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y Drive\INFO\PERSONAL\"/>
    </mc:Choice>
  </mc:AlternateContent>
  <xr:revisionPtr revIDLastSave="0" documentId="13_ncr:1_{49C1B704-B99B-4A9C-BC46-37A2D7261A5F}" xr6:coauthVersionLast="47" xr6:coauthVersionMax="47" xr10:uidLastSave="{00000000-0000-0000-0000-000000000000}"/>
  <bookViews>
    <workbookView xWindow="-108" yWindow="-108" windowWidth="23256" windowHeight="12720" activeTab="1" xr2:uid="{0A1BB7F4-7D1A-443D-984C-CC8A9EE4FEA7}"/>
  </bookViews>
  <sheets>
    <sheet name="inicio" sheetId="64" r:id="rId1"/>
    <sheet name="pagos" sheetId="531" r:id="rId2"/>
    <sheet name="Fecha de hoy" sheetId="12" state="hidden" r:id="rId3"/>
    <sheet name="Retenciones" sheetId="11" state="hidden" r:id="rId4"/>
    <sheet name="Terceros" sheetId="10" r:id="rId5"/>
    <sheet name="Palabra no opera" sheetId="128" state="hidden" r:id="rId6"/>
    <sheet name="F.Proveedores" sheetId="1" r:id="rId7"/>
    <sheet name="USD" sheetId="104" r:id="rId8"/>
    <sheet name="Reporte" sheetId="16" r:id="rId9"/>
    <sheet name="Financiación" sheetId="6" r:id="rId10"/>
    <sheet name="Financiadores" sheetId="15" r:id="rId11"/>
    <sheet name="facturas vencidas" sheetId="157" r:id="rId12"/>
    <sheet name="Hoja1" sheetId="109" r:id="rId13"/>
  </sheets>
  <externalReferences>
    <externalReference r:id="rId14"/>
  </externalReferences>
  <definedNames>
    <definedName name="_xlnm._FilterDatabase" localSheetId="6" hidden="1">F.Proveedores!$A$1:$Z$2398</definedName>
    <definedName name="_xlnm._FilterDatabase" localSheetId="11" hidden="1">'facturas vencidas'!#REF!</definedName>
    <definedName name="_xlnm._FilterDatabase" localSheetId="12" hidden="1">Hoja1!$D$7:$F$10</definedName>
    <definedName name="_xlnm._FilterDatabase" localSheetId="8" hidden="1">Reporte!#REF!</definedName>
    <definedName name="_xlnm._FilterDatabase" localSheetId="7" hidden="1">USD!$C$1:$I$178</definedName>
    <definedName name="area" localSheetId="7">#REF!</definedName>
    <definedName name="area">#REF!</definedName>
    <definedName name="Correo" localSheetId="7">#REF!</definedName>
    <definedName name="Correo">#REF!</definedName>
    <definedName name="_xlnm.Criteria" localSheetId="6">F.Proveedores!#REF!</definedName>
    <definedName name="_xlnm.Criteria" localSheetId="1">pagos!#REF!</definedName>
    <definedName name="_xlnm.Criteria" localSheetId="7">USD!#REF!</definedName>
    <definedName name="depend">[1]vicep!$B$2:$B$3100</definedName>
    <definedName name="_xlnm.Extract" localSheetId="6">F.Proveedores!#REF!</definedName>
    <definedName name="_xlnm.Extract" localSheetId="1">pagos!$A$1:$M$1</definedName>
    <definedName name="_xlnm.Extract" localSheetId="7">USD!#REF!</definedName>
    <definedName name="info">pagos!$A$1:$M$18</definedName>
    <definedName name="_xlnm.Print_Area" localSheetId="1">pagos!$A$17:$N$19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330" i="157" l="1"/>
  <c r="S2328" i="157"/>
  <c r="S2327" i="157"/>
  <c r="S2323" i="157"/>
  <c r="S2320" i="157"/>
  <c r="S2326" i="157"/>
  <c r="S2325" i="157"/>
  <c r="S2324" i="157"/>
  <c r="S2322" i="157"/>
  <c r="S2317" i="157"/>
  <c r="S2318" i="157"/>
  <c r="S2321" i="157"/>
  <c r="S2319" i="157"/>
  <c r="S2313" i="157"/>
  <c r="S2310" i="157"/>
  <c r="S2309" i="157"/>
  <c r="S2311" i="157"/>
  <c r="S2314" i="157"/>
  <c r="S2312" i="157"/>
  <c r="S2315" i="157"/>
  <c r="S2316" i="157"/>
  <c r="S2307" i="157"/>
  <c r="S2308" i="157"/>
  <c r="S2306" i="157"/>
  <c r="S2305" i="157"/>
  <c r="S2304" i="157"/>
  <c r="S2297" i="157"/>
  <c r="S2295" i="157"/>
  <c r="S2303" i="157"/>
  <c r="S2302" i="157"/>
  <c r="S2296" i="157"/>
  <c r="S2298" i="157"/>
  <c r="S2299" i="157"/>
  <c r="S2300" i="157"/>
  <c r="S2301" i="157"/>
  <c r="S2294" i="157"/>
  <c r="S2292" i="157"/>
  <c r="S2290" i="157"/>
  <c r="S2291" i="157"/>
  <c r="S2293" i="157"/>
  <c r="S2289" i="157"/>
  <c r="S2288" i="157"/>
  <c r="S2287" i="157"/>
  <c r="S2285" i="157"/>
  <c r="S2286" i="157"/>
  <c r="S2284" i="157"/>
  <c r="S2283" i="157"/>
  <c r="S2275" i="157"/>
  <c r="S2276" i="157"/>
  <c r="S2282" i="157"/>
  <c r="S2281" i="157"/>
  <c r="S2279" i="157"/>
  <c r="S2280" i="157"/>
  <c r="S2278" i="157"/>
  <c r="S2277" i="157"/>
  <c r="S2262" i="157"/>
  <c r="S2265" i="157"/>
  <c r="S2274" i="157"/>
  <c r="S2266" i="157"/>
  <c r="S2267" i="157"/>
  <c r="S2263" i="157"/>
  <c r="S2268" i="157"/>
  <c r="S2264" i="157"/>
  <c r="S2269" i="157"/>
  <c r="S2270" i="157"/>
  <c r="S2271" i="157"/>
  <c r="S2272" i="157"/>
  <c r="S2273" i="157"/>
  <c r="S2259" i="157"/>
  <c r="S2260" i="157"/>
  <c r="S2261" i="157"/>
  <c r="S2257" i="157"/>
  <c r="S2258" i="157"/>
  <c r="S2256" i="157"/>
  <c r="S2255" i="157"/>
  <c r="S2254" i="157"/>
  <c r="S2245" i="157"/>
  <c r="S2246" i="157"/>
  <c r="S2248" i="157"/>
  <c r="S2249" i="157"/>
  <c r="S2253" i="157"/>
  <c r="S2251" i="157"/>
  <c r="S2247" i="157"/>
  <c r="S2252" i="157"/>
  <c r="S2250" i="157"/>
  <c r="S2241" i="157"/>
  <c r="S2243" i="157"/>
  <c r="S2242" i="157"/>
  <c r="S2244" i="157"/>
  <c r="S2240" i="157"/>
  <c r="S2238" i="157"/>
  <c r="S2239" i="157"/>
  <c r="S2234" i="157"/>
  <c r="S2235" i="157"/>
  <c r="S2236" i="157"/>
  <c r="S2237" i="157"/>
  <c r="S2230" i="157"/>
  <c r="S2232" i="157"/>
  <c r="S2231" i="157"/>
  <c r="S2233" i="157"/>
  <c r="S2227" i="157"/>
  <c r="S2225" i="157"/>
  <c r="S2229" i="157"/>
  <c r="S2226" i="157"/>
  <c r="S2228" i="157"/>
  <c r="S2221" i="157"/>
  <c r="S2224" i="157"/>
  <c r="S2223" i="157"/>
  <c r="S2222" i="157"/>
  <c r="S2220" i="157"/>
  <c r="S2217" i="157"/>
  <c r="S2218" i="157"/>
  <c r="S2219" i="157"/>
  <c r="S2214" i="157"/>
  <c r="S2207" i="157"/>
  <c r="S2208" i="157"/>
  <c r="S2215" i="157"/>
  <c r="S2216" i="157"/>
  <c r="S2209" i="157"/>
  <c r="S2210" i="157"/>
  <c r="S2211" i="157"/>
  <c r="S2212" i="157"/>
  <c r="S2213" i="157"/>
  <c r="S2205" i="157"/>
  <c r="S2197" i="157"/>
  <c r="S2198" i="157"/>
  <c r="S2199" i="157"/>
  <c r="S2200" i="157"/>
  <c r="S2201" i="157"/>
  <c r="S2202" i="157"/>
  <c r="S2203" i="157"/>
  <c r="S2206" i="157"/>
  <c r="S2204" i="157"/>
  <c r="S2196" i="157"/>
  <c r="S2195" i="157"/>
  <c r="S2190" i="157"/>
  <c r="S2185" i="157"/>
  <c r="S2186" i="157"/>
  <c r="S2187" i="157"/>
  <c r="S2194" i="157"/>
  <c r="S2191" i="157"/>
  <c r="S2192" i="157"/>
  <c r="S2189" i="157"/>
  <c r="S2188" i="157"/>
  <c r="S2193" i="157"/>
  <c r="S2183" i="157"/>
  <c r="S2184" i="157"/>
  <c r="S2179" i="157"/>
  <c r="S2178" i="157"/>
  <c r="S2181" i="157"/>
  <c r="S2180" i="157"/>
  <c r="S2182" i="157"/>
  <c r="S2176" i="157"/>
  <c r="S2177" i="157"/>
  <c r="S2175" i="157"/>
  <c r="S2174" i="157"/>
  <c r="S2173" i="157"/>
  <c r="S2163" i="157"/>
  <c r="S2164" i="157"/>
  <c r="S2170" i="157"/>
  <c r="S2165" i="157"/>
  <c r="S2171" i="157"/>
  <c r="S2172" i="157"/>
  <c r="S2166" i="157"/>
  <c r="S2167" i="157"/>
  <c r="S2168" i="157"/>
  <c r="S2169" i="157"/>
  <c r="S2162" i="157"/>
  <c r="S2159" i="157"/>
  <c r="S2160" i="157"/>
  <c r="S2161" i="157"/>
  <c r="S2152" i="157"/>
  <c r="S2157" i="157"/>
  <c r="S2155" i="157"/>
  <c r="S2153" i="157"/>
  <c r="S2156" i="157"/>
  <c r="S2154" i="157"/>
  <c r="S2158" i="157"/>
  <c r="S2150" i="157"/>
  <c r="S2151" i="157"/>
  <c r="S2147" i="157"/>
  <c r="S2148" i="157"/>
  <c r="S2149" i="157"/>
  <c r="S2146" i="157"/>
  <c r="S2145" i="157"/>
  <c r="S2143" i="157"/>
  <c r="S2144" i="157"/>
  <c r="S2141" i="157"/>
  <c r="S2137" i="157"/>
  <c r="S2136" i="157"/>
  <c r="S2138" i="157"/>
  <c r="S2139" i="157"/>
  <c r="S2142" i="157"/>
  <c r="S2140" i="157"/>
  <c r="S2134" i="157"/>
  <c r="S2133" i="157"/>
  <c r="S2135" i="157"/>
  <c r="S2131" i="157"/>
  <c r="S2128" i="157"/>
  <c r="S2132" i="157"/>
  <c r="S2129" i="157"/>
  <c r="S2130" i="157"/>
  <c r="S2127" i="157"/>
  <c r="S2126" i="157"/>
  <c r="S2116" i="157"/>
  <c r="S2123" i="157"/>
  <c r="S2117" i="157"/>
  <c r="S2118" i="157"/>
  <c r="S2119" i="157"/>
  <c r="S2120" i="157"/>
  <c r="S2121" i="157"/>
  <c r="S2125" i="157"/>
  <c r="S2124" i="157"/>
  <c r="S2122" i="157"/>
  <c r="S2108" i="157"/>
  <c r="S2109" i="157"/>
  <c r="S2110" i="157"/>
  <c r="S2111" i="157"/>
  <c r="S2112" i="157"/>
  <c r="S2113" i="157"/>
  <c r="S2115" i="157"/>
  <c r="S2114" i="157"/>
  <c r="S2096" i="157"/>
  <c r="S2104" i="157"/>
  <c r="S2093" i="157"/>
  <c r="S2107" i="157"/>
  <c r="S2100" i="157"/>
  <c r="S2105" i="157"/>
  <c r="S2106" i="157"/>
  <c r="S2098" i="157"/>
  <c r="S2097" i="157"/>
  <c r="S2099" i="157"/>
  <c r="S2102" i="157"/>
  <c r="S2103" i="157"/>
  <c r="S2094" i="157"/>
  <c r="S2095" i="157"/>
  <c r="S2101" i="157"/>
  <c r="S2092" i="157"/>
  <c r="S2090" i="157"/>
  <c r="S2089" i="157"/>
  <c r="S2083" i="157"/>
  <c r="S2081" i="157"/>
  <c r="S2091" i="157"/>
  <c r="S2082" i="157"/>
  <c r="S2084" i="157"/>
  <c r="S2087" i="157"/>
  <c r="S2088" i="157"/>
  <c r="S2085" i="157"/>
  <c r="S2086" i="157"/>
  <c r="S2079" i="157"/>
  <c r="S2080" i="157"/>
  <c r="S2076" i="157"/>
  <c r="S2073" i="157"/>
  <c r="S2078" i="157"/>
  <c r="S2077" i="157"/>
  <c r="S2074" i="157"/>
  <c r="S2075" i="157"/>
  <c r="S2071" i="157"/>
  <c r="S2072" i="157"/>
  <c r="S2070" i="157"/>
  <c r="S2069" i="157"/>
  <c r="S2067" i="157"/>
  <c r="S2068" i="157"/>
  <c r="S2064" i="157"/>
  <c r="S2065" i="157"/>
  <c r="S2066" i="157"/>
  <c r="S2058" i="157"/>
  <c r="S2059" i="157"/>
  <c r="S2060" i="157"/>
  <c r="S2061" i="157"/>
  <c r="S2062" i="157"/>
  <c r="S2063" i="157"/>
  <c r="S2057" i="157"/>
  <c r="S2054" i="157"/>
  <c r="S2056" i="157"/>
  <c r="S2055" i="157"/>
  <c r="S2053" i="157"/>
  <c r="S2049" i="157"/>
  <c r="S2050" i="157"/>
  <c r="S2051" i="157"/>
  <c r="S2052" i="157"/>
  <c r="S2047" i="157"/>
  <c r="S2048" i="157"/>
  <c r="S2046" i="157"/>
  <c r="S2045" i="157"/>
  <c r="S2043" i="157"/>
  <c r="S2042" i="157"/>
  <c r="S2034" i="157"/>
  <c r="S2035" i="157"/>
  <c r="S2044" i="157"/>
  <c r="S2033" i="157"/>
  <c r="S2032" i="157"/>
  <c r="S2041" i="157"/>
  <c r="S2036" i="157"/>
  <c r="S2037" i="157"/>
  <c r="S2038" i="157"/>
  <c r="S2039" i="157"/>
  <c r="S2040" i="157"/>
  <c r="S2030" i="157"/>
  <c r="S2031" i="157"/>
  <c r="S2024" i="157"/>
  <c r="S2025" i="157"/>
  <c r="S2026" i="157"/>
  <c r="S2027" i="157"/>
  <c r="S2028" i="157"/>
  <c r="S2029" i="157"/>
  <c r="S2023" i="157"/>
  <c r="S2022" i="157"/>
  <c r="S2020" i="157"/>
  <c r="S2008" i="157"/>
  <c r="S2014" i="157"/>
  <c r="S2021" i="157"/>
  <c r="S2015" i="157"/>
  <c r="S2012" i="157"/>
  <c r="S2011" i="157"/>
  <c r="S2009" i="157"/>
  <c r="S2013" i="157"/>
  <c r="S2018" i="157"/>
  <c r="S2017" i="157"/>
  <c r="S2010" i="157"/>
  <c r="S2019" i="157"/>
  <c r="S2016" i="157"/>
  <c r="S2007" i="157"/>
  <c r="S2005" i="157"/>
  <c r="S2006" i="157"/>
  <c r="S2002" i="157"/>
  <c r="S2001" i="157"/>
  <c r="S2004" i="157"/>
  <c r="S2003" i="157"/>
  <c r="S2000" i="157"/>
  <c r="S1999" i="157"/>
  <c r="S1998" i="157"/>
  <c r="S1997" i="157"/>
  <c r="S1996" i="157"/>
  <c r="S1995" i="157"/>
  <c r="S1994" i="157"/>
  <c r="S1993" i="157"/>
  <c r="S1990" i="157"/>
  <c r="S1991" i="157"/>
  <c r="S1992" i="157"/>
  <c r="S1989" i="157"/>
  <c r="S1988" i="157"/>
  <c r="S1985" i="157"/>
  <c r="S1977" i="157"/>
  <c r="S1986" i="157"/>
  <c r="S1987" i="157"/>
  <c r="S1978" i="157"/>
  <c r="S1979" i="157"/>
  <c r="S1980" i="157"/>
  <c r="S1981" i="157"/>
  <c r="S1982" i="157"/>
  <c r="S1983" i="157"/>
  <c r="S1984" i="157"/>
  <c r="S1975" i="157"/>
  <c r="S1976" i="157"/>
  <c r="S1974" i="157"/>
  <c r="S1973" i="157"/>
  <c r="S1972" i="157"/>
  <c r="S1969" i="157"/>
  <c r="S1967" i="157"/>
  <c r="S1968" i="157"/>
  <c r="S1971" i="157"/>
  <c r="S1970" i="157"/>
  <c r="S1960" i="157"/>
  <c r="S1961" i="157"/>
  <c r="S1962" i="157"/>
  <c r="S1963" i="157"/>
  <c r="S1966" i="157"/>
  <c r="S1958" i="157"/>
  <c r="S1959" i="157"/>
  <c r="S1965" i="157"/>
  <c r="S1964" i="157"/>
  <c r="S1955" i="157"/>
  <c r="S1956" i="157"/>
  <c r="S1957" i="157"/>
  <c r="S1953" i="157"/>
  <c r="S1954" i="157"/>
  <c r="S1943" i="157"/>
  <c r="S1941" i="157"/>
  <c r="S1951" i="157"/>
  <c r="S1950" i="157"/>
  <c r="S1952" i="157"/>
  <c r="S1940" i="157"/>
  <c r="S1946" i="157"/>
  <c r="S1944" i="157"/>
  <c r="S1949" i="157"/>
  <c r="S1945" i="157"/>
  <c r="S1947" i="157"/>
  <c r="S1942" i="157"/>
  <c r="S1948" i="157"/>
  <c r="S1939" i="157"/>
  <c r="S1927" i="157"/>
  <c r="S1928" i="157"/>
  <c r="S1937" i="157"/>
  <c r="S1930" i="157"/>
  <c r="S1938" i="157"/>
  <c r="S1931" i="157"/>
  <c r="S1929" i="157"/>
  <c r="S1932" i="157"/>
  <c r="S1933" i="157"/>
  <c r="S1934" i="157"/>
  <c r="S1935" i="157"/>
  <c r="S1936" i="157"/>
  <c r="S1923" i="157"/>
  <c r="S1917" i="157"/>
  <c r="S1918" i="157"/>
  <c r="S1919" i="157"/>
  <c r="S1920" i="157"/>
  <c r="S1921" i="157"/>
  <c r="S1922" i="157"/>
  <c r="S1926" i="157"/>
  <c r="S1925" i="157"/>
  <c r="S1924" i="157"/>
  <c r="S1916" i="157"/>
  <c r="S1914" i="157"/>
  <c r="S1915" i="157"/>
  <c r="S1912" i="157"/>
  <c r="S1913" i="157"/>
  <c r="S1911" i="157"/>
  <c r="S1904" i="157"/>
  <c r="S1901" i="157"/>
  <c r="S1899" i="157"/>
  <c r="S1910" i="157"/>
  <c r="S1902" i="157"/>
  <c r="S1909" i="157"/>
  <c r="S1908" i="157"/>
  <c r="S1906" i="157"/>
  <c r="S1907" i="157"/>
  <c r="S1898" i="157"/>
  <c r="S1897" i="157"/>
  <c r="S1905" i="157"/>
  <c r="S1903" i="157"/>
  <c r="S1900" i="157"/>
  <c r="S1896" i="157"/>
  <c r="S1895" i="157"/>
  <c r="S1894" i="157"/>
  <c r="S1883" i="157"/>
  <c r="S1890" i="157"/>
  <c r="S1891" i="157"/>
  <c r="S1887" i="157"/>
  <c r="S1888" i="157"/>
  <c r="S1884" i="157"/>
  <c r="S1882" i="157"/>
  <c r="S1892" i="157"/>
  <c r="S1893" i="157"/>
  <c r="S1889" i="157"/>
  <c r="S1879" i="157"/>
  <c r="S1880" i="157"/>
  <c r="S1885" i="157"/>
  <c r="S1886" i="157"/>
  <c r="S1881" i="157"/>
  <c r="S1874" i="157"/>
  <c r="S1875" i="157"/>
  <c r="S1878" i="157"/>
  <c r="S1877" i="157"/>
  <c r="S1876" i="157"/>
  <c r="S1873" i="157"/>
  <c r="S1872" i="157"/>
  <c r="S1870" i="157"/>
  <c r="S1871" i="157"/>
  <c r="S1854" i="157"/>
  <c r="S1857" i="157"/>
  <c r="S1858" i="157"/>
  <c r="S1859" i="157"/>
  <c r="S1860" i="157"/>
  <c r="S1856" i="157"/>
  <c r="S1855" i="157"/>
  <c r="S1861" i="157"/>
  <c r="S1869" i="157"/>
  <c r="S1868" i="157"/>
  <c r="S1862" i="157"/>
  <c r="S1863" i="157"/>
  <c r="S1864" i="157"/>
  <c r="S1865" i="157"/>
  <c r="S1866" i="157"/>
  <c r="S1867" i="157"/>
  <c r="S1852" i="157"/>
  <c r="S1853" i="157"/>
  <c r="S1848" i="157"/>
  <c r="S1841" i="157"/>
  <c r="S1844" i="157"/>
  <c r="S1842" i="157"/>
  <c r="S1849" i="157"/>
  <c r="S1845" i="157"/>
  <c r="S1851" i="157"/>
  <c r="S1850" i="157"/>
  <c r="S1843" i="157"/>
  <c r="S1847" i="157"/>
  <c r="S1846" i="157"/>
  <c r="S1840" i="157"/>
  <c r="S1838" i="157"/>
  <c r="S1839" i="157"/>
  <c r="S1837" i="157"/>
  <c r="S1836" i="157"/>
  <c r="S1834" i="157"/>
  <c r="S1826" i="157"/>
  <c r="S1833" i="157"/>
  <c r="S1825" i="157"/>
  <c r="S1832" i="157"/>
  <c r="S1827" i="157"/>
  <c r="S1835" i="157"/>
  <c r="S1828" i="157"/>
  <c r="S1829" i="157"/>
  <c r="S1830" i="157"/>
  <c r="S1831" i="157"/>
  <c r="S1823" i="157"/>
  <c r="S1817" i="157"/>
  <c r="S1818" i="157"/>
  <c r="S1819" i="157"/>
  <c r="S1820" i="157"/>
  <c r="S1821" i="157"/>
  <c r="S1822" i="157"/>
  <c r="S1824" i="157"/>
  <c r="S1814" i="157"/>
  <c r="S1816" i="157"/>
  <c r="S1815" i="157"/>
  <c r="S1813" i="157"/>
  <c r="S1812" i="157"/>
  <c r="S1808" i="157"/>
  <c r="S1809" i="157"/>
  <c r="S1810" i="157"/>
  <c r="S1811" i="157"/>
  <c r="S1807" i="157"/>
  <c r="S1801" i="157"/>
  <c r="S1802" i="157"/>
  <c r="S1806" i="157"/>
  <c r="S1805" i="157"/>
  <c r="S1803" i="157"/>
  <c r="S1804" i="157"/>
  <c r="S1789" i="157"/>
  <c r="S1791" i="157"/>
  <c r="S1792" i="157"/>
  <c r="S1793" i="157"/>
  <c r="S1794" i="157"/>
  <c r="S1790" i="157"/>
  <c r="S1800" i="157"/>
  <c r="S1795" i="157"/>
  <c r="S1799" i="157"/>
  <c r="S1798" i="157"/>
  <c r="S1796" i="157"/>
  <c r="S1797" i="157"/>
  <c r="S1788" i="157"/>
  <c r="S1781" i="157"/>
  <c r="S1783" i="157"/>
  <c r="S1785" i="157"/>
  <c r="S1780" i="157"/>
  <c r="S1787" i="157"/>
  <c r="S1786" i="157"/>
  <c r="S1784" i="157"/>
  <c r="S1782" i="157"/>
  <c r="S1779" i="157"/>
  <c r="S1778" i="157"/>
  <c r="S1774" i="157"/>
  <c r="S1776" i="157"/>
  <c r="S1775" i="157"/>
  <c r="S1777" i="157"/>
  <c r="S1773" i="157"/>
  <c r="S1770" i="157"/>
  <c r="S1772" i="157"/>
  <c r="S1771" i="157"/>
  <c r="S1769" i="157"/>
  <c r="S1768" i="157"/>
  <c r="S1767" i="157"/>
  <c r="S1766" i="157"/>
  <c r="S1765" i="157"/>
  <c r="S1764" i="157"/>
  <c r="S1763" i="157"/>
  <c r="S1761" i="157"/>
  <c r="S1759" i="157"/>
  <c r="S1760" i="157"/>
  <c r="S1755" i="157"/>
  <c r="S1762" i="157"/>
  <c r="S1758" i="157"/>
  <c r="S1756" i="157"/>
  <c r="S1757" i="157"/>
  <c r="S1750" i="157"/>
  <c r="S1751" i="157"/>
  <c r="S1752" i="157"/>
  <c r="S1753" i="157"/>
  <c r="S1754" i="157"/>
  <c r="S1749" i="157"/>
  <c r="S1743" i="157"/>
  <c r="S1746" i="157"/>
  <c r="S1741" i="157"/>
  <c r="S1735" i="157"/>
  <c r="S1739" i="157"/>
  <c r="S1736" i="157"/>
  <c r="S1737" i="157"/>
  <c r="S1747" i="157"/>
  <c r="S1748" i="157"/>
  <c r="S1740" i="157"/>
  <c r="S1738" i="157"/>
  <c r="S1745" i="157"/>
  <c r="S1744" i="157"/>
  <c r="S1742" i="157"/>
  <c r="S1734" i="157"/>
  <c r="S1732" i="157"/>
  <c r="S1733" i="157"/>
  <c r="S1731" i="157"/>
  <c r="S1730" i="157"/>
  <c r="S1725" i="157"/>
  <c r="S1727" i="157"/>
  <c r="S1728" i="157"/>
  <c r="S1726" i="157"/>
  <c r="S1729" i="157"/>
  <c r="S1722" i="157"/>
  <c r="S1723" i="157"/>
  <c r="S1724" i="157"/>
  <c r="S1719" i="157"/>
  <c r="S1721" i="157"/>
  <c r="S1720" i="157"/>
  <c r="S1718" i="157"/>
  <c r="S1717" i="157"/>
  <c r="S1714" i="157"/>
  <c r="S1716" i="157"/>
  <c r="S1713" i="157"/>
  <c r="S1715" i="157"/>
  <c r="S1707" i="157"/>
  <c r="S1708" i="157"/>
  <c r="S1709" i="157"/>
  <c r="S1710" i="157"/>
  <c r="S1711" i="157"/>
  <c r="S1712" i="157"/>
  <c r="S1706" i="157"/>
  <c r="S1705" i="157"/>
  <c r="S1701" i="157"/>
  <c r="S1702" i="157"/>
  <c r="S1700" i="157"/>
  <c r="S1703" i="157"/>
  <c r="S1704" i="157"/>
  <c r="S1680" i="157"/>
  <c r="S1679" i="157"/>
  <c r="S1678" i="157"/>
  <c r="S1699" i="157"/>
  <c r="S1689" i="157"/>
  <c r="S1695" i="157"/>
  <c r="S1690" i="157"/>
  <c r="S1684" i="157"/>
  <c r="S1685" i="157"/>
  <c r="S1687" i="157"/>
  <c r="S1697" i="157"/>
  <c r="S1696" i="157"/>
  <c r="S1686" i="157"/>
  <c r="S1688" i="157"/>
  <c r="S1681" i="157"/>
  <c r="S1698" i="157"/>
  <c r="S1693" i="157"/>
  <c r="S1691" i="157"/>
  <c r="S1692" i="157"/>
  <c r="S1683" i="157"/>
  <c r="S1694" i="157"/>
  <c r="S1682" i="157"/>
  <c r="S1677" i="157"/>
  <c r="S1675" i="157"/>
  <c r="S1676" i="157"/>
  <c r="S1674" i="157"/>
  <c r="S1673" i="157"/>
  <c r="S1672" i="157"/>
  <c r="S1663" i="157"/>
  <c r="S1664" i="157"/>
  <c r="S1661" i="157"/>
  <c r="S1670" i="157"/>
  <c r="S1669" i="157"/>
  <c r="S1666" i="157"/>
  <c r="S1671" i="157"/>
  <c r="S1668" i="157"/>
  <c r="S1667" i="157"/>
  <c r="S1662" i="157"/>
  <c r="S1665" i="157"/>
  <c r="S1659" i="157"/>
  <c r="S1660" i="157"/>
  <c r="S1658" i="157"/>
  <c r="S1657" i="157"/>
  <c r="S1656" i="157"/>
  <c r="S1655" i="157"/>
  <c r="S1653" i="157"/>
  <c r="S1654" i="157"/>
  <c r="S1652" i="157"/>
  <c r="S1648" i="157"/>
  <c r="S1649" i="157"/>
  <c r="S1650" i="157"/>
  <c r="S1651" i="157"/>
  <c r="S1647" i="157"/>
  <c r="S1637" i="157"/>
  <c r="S1645" i="157"/>
  <c r="S1642" i="157"/>
  <c r="S1635" i="157"/>
  <c r="S1638" i="157"/>
  <c r="S1646" i="157"/>
  <c r="S1644" i="157"/>
  <c r="S1643" i="157"/>
  <c r="S1639" i="157"/>
  <c r="S1640" i="157"/>
  <c r="S1641" i="157"/>
  <c r="S1636" i="157"/>
  <c r="S1634" i="157"/>
  <c r="S1633" i="157"/>
  <c r="S1630" i="157"/>
  <c r="S1631" i="157"/>
  <c r="S1632" i="157"/>
  <c r="S1623" i="157"/>
  <c r="S1624" i="157"/>
  <c r="S1625" i="157"/>
  <c r="S1622" i="157"/>
  <c r="S1620" i="157"/>
  <c r="S1627" i="157"/>
  <c r="S1621" i="157"/>
  <c r="S1629" i="157"/>
  <c r="S1628" i="157"/>
  <c r="S1626" i="157"/>
  <c r="S1618" i="157"/>
  <c r="S1619" i="157"/>
  <c r="S1615" i="157"/>
  <c r="S1614" i="157"/>
  <c r="S1612" i="157"/>
  <c r="S1617" i="157"/>
  <c r="S1616" i="157"/>
  <c r="S1613" i="157"/>
  <c r="S1610" i="157"/>
  <c r="S1611" i="157"/>
  <c r="S1608" i="157"/>
  <c r="S1609" i="157"/>
  <c r="S1602" i="157"/>
  <c r="S1603" i="157"/>
  <c r="S1604" i="157"/>
  <c r="S1605" i="157"/>
  <c r="S1606" i="157"/>
  <c r="S1607" i="157"/>
  <c r="S1601" i="157"/>
  <c r="S1598" i="157"/>
  <c r="S1589" i="157"/>
  <c r="S1590" i="157"/>
  <c r="S1591" i="157"/>
  <c r="S1592" i="157"/>
  <c r="S1593" i="157"/>
  <c r="S1594" i="157"/>
  <c r="S1595" i="157"/>
  <c r="S1596" i="157"/>
  <c r="S1600" i="157"/>
  <c r="S1599" i="157"/>
  <c r="S1597" i="157"/>
  <c r="S1588" i="157"/>
  <c r="S1587" i="157"/>
  <c r="S1575" i="157"/>
  <c r="S1584" i="157"/>
  <c r="S1576" i="157"/>
  <c r="S1577" i="157"/>
  <c r="S1580" i="157"/>
  <c r="S1579" i="157"/>
  <c r="S1578" i="157"/>
  <c r="S1583" i="157"/>
  <c r="S1586" i="157"/>
  <c r="S1585" i="157"/>
  <c r="S1582" i="157"/>
  <c r="S1581" i="157"/>
  <c r="S1573" i="157"/>
  <c r="S1572" i="157"/>
  <c r="S1574" i="157"/>
  <c r="S1571" i="157"/>
  <c r="S1569" i="157"/>
  <c r="S1570" i="157"/>
  <c r="S1567" i="157"/>
  <c r="S1568" i="157"/>
  <c r="S1565" i="157"/>
  <c r="S1566" i="157"/>
  <c r="S1562" i="157"/>
  <c r="S1563" i="157"/>
  <c r="S1564" i="157"/>
  <c r="S1560" i="157"/>
  <c r="S1561" i="157"/>
  <c r="S1559" i="157"/>
  <c r="S1558" i="157"/>
  <c r="S1557" i="157"/>
  <c r="S1556" i="157"/>
  <c r="S1555" i="157"/>
  <c r="S1553" i="157"/>
  <c r="S1554" i="157"/>
  <c r="S1551" i="157"/>
  <c r="S1552" i="157"/>
  <c r="S1549" i="157"/>
  <c r="S1550" i="157"/>
  <c r="S1541" i="157"/>
  <c r="S1542" i="157"/>
  <c r="S1548" i="157"/>
  <c r="S1546" i="157"/>
  <c r="S1545" i="157"/>
  <c r="S1540" i="157"/>
  <c r="S1544" i="157"/>
  <c r="S1547" i="157"/>
  <c r="S1543" i="157"/>
  <c r="S1539" i="157"/>
  <c r="S1538" i="157"/>
  <c r="S1536" i="157"/>
  <c r="S1537" i="157"/>
  <c r="S1526" i="157"/>
  <c r="S1530" i="157"/>
  <c r="S1531" i="157"/>
  <c r="S1532" i="157"/>
  <c r="S1528" i="157"/>
  <c r="S1529" i="157"/>
  <c r="S1533" i="157"/>
  <c r="S1527" i="157"/>
  <c r="S1534" i="157"/>
  <c r="S1535" i="157"/>
  <c r="S1525" i="157"/>
  <c r="S1524" i="157"/>
  <c r="S1523" i="157"/>
  <c r="S1519" i="157"/>
  <c r="S1522" i="157"/>
  <c r="S1521" i="157"/>
  <c r="S1520" i="157"/>
  <c r="S1513" i="157"/>
  <c r="S1514" i="157"/>
  <c r="S1515" i="157"/>
  <c r="S1516" i="157"/>
  <c r="S1517" i="157"/>
  <c r="S1518" i="157"/>
  <c r="S1512" i="157"/>
  <c r="S1510" i="157"/>
  <c r="S1511" i="157"/>
  <c r="S1509" i="157"/>
  <c r="S1500" i="157"/>
  <c r="S1507" i="157"/>
  <c r="S1503" i="157"/>
  <c r="S1502" i="157"/>
  <c r="S1501" i="157"/>
  <c r="S1508" i="157"/>
  <c r="S1506" i="157"/>
  <c r="S1504" i="157"/>
  <c r="S1505" i="157"/>
  <c r="S1498" i="157"/>
  <c r="S1499" i="157"/>
  <c r="S1497" i="157"/>
  <c r="S1496" i="157"/>
  <c r="S1491" i="157"/>
  <c r="S1492" i="157"/>
  <c r="S1493" i="157"/>
  <c r="S1494" i="157"/>
  <c r="S1495" i="157"/>
  <c r="S1489" i="157"/>
  <c r="S1484" i="157"/>
  <c r="S1487" i="157"/>
  <c r="S1490" i="157"/>
  <c r="S1480" i="157"/>
  <c r="S1481" i="157"/>
  <c r="S1486" i="157"/>
  <c r="S1488" i="157"/>
  <c r="S1485" i="157"/>
  <c r="S1479" i="157"/>
  <c r="S1482" i="157"/>
  <c r="S1483" i="157"/>
  <c r="S1478" i="157"/>
  <c r="S1477" i="157"/>
  <c r="S1471" i="157"/>
  <c r="S1473" i="157"/>
  <c r="S1472" i="157"/>
  <c r="S1475" i="157"/>
  <c r="S1474" i="157"/>
  <c r="S1476" i="157"/>
  <c r="S1463" i="157"/>
  <c r="S1467" i="157"/>
  <c r="S1468" i="157"/>
  <c r="S1464" i="157"/>
  <c r="S1470" i="157"/>
  <c r="S1469" i="157"/>
  <c r="S1466" i="157"/>
  <c r="S1465" i="157"/>
  <c r="S1452" i="157"/>
  <c r="S1457" i="157"/>
  <c r="S1455" i="157"/>
  <c r="S1454" i="157"/>
  <c r="S1460" i="157"/>
  <c r="S1462" i="157"/>
  <c r="S1461" i="157"/>
  <c r="S1458" i="157"/>
  <c r="S1456" i="157"/>
  <c r="S1453" i="157"/>
  <c r="S1459" i="157"/>
  <c r="S1451" i="157"/>
  <c r="S1437" i="157"/>
  <c r="S1447" i="157"/>
  <c r="S1446" i="157"/>
  <c r="S1442" i="157"/>
  <c r="S1439" i="157"/>
  <c r="S1438" i="157"/>
  <c r="S1443" i="157"/>
  <c r="S1444" i="157"/>
  <c r="S1440" i="157"/>
  <c r="S1441" i="157"/>
  <c r="S1450" i="157"/>
  <c r="S1449" i="157"/>
  <c r="S1448" i="157"/>
  <c r="S1445" i="157"/>
  <c r="S1434" i="157"/>
  <c r="S1435" i="157"/>
  <c r="S1433" i="157"/>
  <c r="S1436" i="157"/>
  <c r="S1432" i="157"/>
  <c r="S1430" i="157"/>
  <c r="S1431" i="157"/>
  <c r="S1428" i="157"/>
  <c r="S1429" i="157"/>
  <c r="S1427" i="157"/>
  <c r="S1417" i="157"/>
  <c r="S1418" i="157"/>
  <c r="S1419" i="157"/>
  <c r="S1420" i="157"/>
  <c r="S1421" i="157"/>
  <c r="S1422" i="157"/>
  <c r="S1423" i="157"/>
  <c r="S1424" i="157"/>
  <c r="S1426" i="157"/>
  <c r="S1425" i="157"/>
  <c r="S1416" i="157"/>
  <c r="S1398" i="157"/>
  <c r="S1405" i="157"/>
  <c r="S1401" i="157"/>
  <c r="S1402" i="157"/>
  <c r="S1407" i="157"/>
  <c r="S1395" i="157"/>
  <c r="S1396" i="157"/>
  <c r="S1400" i="157"/>
  <c r="S1411" i="157"/>
  <c r="S1412" i="157"/>
  <c r="S1413" i="157"/>
  <c r="S1404" i="157"/>
  <c r="S1403" i="157"/>
  <c r="S1397" i="157"/>
  <c r="S1414" i="157"/>
  <c r="S1415" i="157"/>
  <c r="S1406" i="157"/>
  <c r="S1410" i="157"/>
  <c r="S1409" i="157"/>
  <c r="S1399" i="157"/>
  <c r="S1408" i="157"/>
  <c r="S1389" i="157"/>
  <c r="S1390" i="157"/>
  <c r="S1391" i="157"/>
  <c r="S1392" i="157"/>
  <c r="S1394" i="157"/>
  <c r="S1393" i="157"/>
  <c r="S1374" i="157"/>
  <c r="S1373" i="157"/>
  <c r="S1387" i="157"/>
  <c r="S1388" i="157"/>
  <c r="S1385" i="157"/>
  <c r="S1386" i="157"/>
  <c r="S1383" i="157"/>
  <c r="S1384" i="157"/>
  <c r="S1379" i="157"/>
  <c r="S1380" i="157"/>
  <c r="S1381" i="157"/>
  <c r="S1382" i="157"/>
  <c r="S1375" i="157"/>
  <c r="S1376" i="157"/>
  <c r="S1377" i="157"/>
  <c r="S1378" i="157"/>
  <c r="S1372" i="157"/>
  <c r="S1369" i="157"/>
  <c r="S1370" i="157"/>
  <c r="S1371" i="157"/>
  <c r="S1368" i="157"/>
  <c r="S1367" i="157"/>
  <c r="S1366" i="157"/>
  <c r="S1363" i="157"/>
  <c r="S1365" i="157"/>
  <c r="S1364" i="157"/>
  <c r="S1362" i="157"/>
  <c r="S1358" i="157"/>
  <c r="S1359" i="157"/>
  <c r="S1361" i="157"/>
  <c r="S1360" i="157"/>
  <c r="S1355" i="157"/>
  <c r="S1337" i="157"/>
  <c r="S1348" i="157"/>
  <c r="S1352" i="157"/>
  <c r="S1353" i="157"/>
  <c r="S1350" i="157"/>
  <c r="S1351" i="157"/>
  <c r="S1356" i="157"/>
  <c r="S1357" i="157"/>
  <c r="S1346" i="157"/>
  <c r="S1340" i="157"/>
  <c r="S1354" i="157"/>
  <c r="S1349" i="157"/>
  <c r="S1347" i="157"/>
  <c r="S1338" i="157"/>
  <c r="S1341" i="157"/>
  <c r="S1342" i="157"/>
  <c r="S1343" i="157"/>
  <c r="S1344" i="157"/>
  <c r="S1345" i="157"/>
  <c r="S1339" i="157"/>
  <c r="S1329" i="157"/>
  <c r="S1330" i="157"/>
  <c r="S1331" i="157"/>
  <c r="S1332" i="157"/>
  <c r="S1333" i="157"/>
  <c r="S1336" i="157"/>
  <c r="S1335" i="157"/>
  <c r="S1334" i="157"/>
  <c r="S1326" i="157"/>
  <c r="S1325" i="157"/>
  <c r="S1327" i="157"/>
  <c r="S1328" i="157"/>
  <c r="S1322" i="157"/>
  <c r="S1321" i="157"/>
  <c r="S1323" i="157"/>
  <c r="S1324" i="157"/>
  <c r="S1309" i="157"/>
  <c r="S1318" i="157"/>
  <c r="S1314" i="157"/>
  <c r="S1316" i="157"/>
  <c r="S1312" i="157"/>
  <c r="S1320" i="157"/>
  <c r="S1319" i="157"/>
  <c r="S1317" i="157"/>
  <c r="S1315" i="157"/>
  <c r="S1310" i="157"/>
  <c r="S1313" i="157"/>
  <c r="S1311" i="157"/>
  <c r="S1307" i="157"/>
  <c r="S1308" i="157"/>
  <c r="S1306" i="157"/>
  <c r="S1305" i="157"/>
  <c r="S1288" i="157"/>
  <c r="S1304" i="157"/>
  <c r="S1303" i="157"/>
  <c r="S1286" i="157"/>
  <c r="S1301" i="157"/>
  <c r="S1290" i="157"/>
  <c r="S1291" i="157"/>
  <c r="S1289" i="157"/>
  <c r="S1300" i="157"/>
  <c r="S1292" i="157"/>
  <c r="S1287" i="157"/>
  <c r="S1302" i="157"/>
  <c r="S1293" i="157"/>
  <c r="S1294" i="157"/>
  <c r="S1295" i="157"/>
  <c r="S1296" i="157"/>
  <c r="S1297" i="157"/>
  <c r="S1298" i="157"/>
  <c r="S1299" i="157"/>
  <c r="S1285" i="157"/>
  <c r="S1284" i="157"/>
  <c r="S1280" i="157"/>
  <c r="S1282" i="157"/>
  <c r="S1281" i="157"/>
  <c r="S1283" i="157"/>
  <c r="S1279" i="157"/>
  <c r="S1278" i="157"/>
  <c r="S1276" i="157"/>
  <c r="S1277" i="157"/>
  <c r="S1275" i="157"/>
  <c r="S1274" i="157"/>
  <c r="S1272" i="157"/>
  <c r="S1268" i="157"/>
  <c r="S1269" i="157"/>
  <c r="S1270" i="157"/>
  <c r="S1271" i="157"/>
  <c r="S1266" i="157"/>
  <c r="S1267" i="157"/>
  <c r="S1264" i="157"/>
  <c r="S1273" i="157"/>
  <c r="S1265" i="157"/>
  <c r="S1259" i="157"/>
  <c r="S1260" i="157"/>
  <c r="S1258" i="157"/>
  <c r="S1257" i="157"/>
  <c r="S1253" i="157"/>
  <c r="S1254" i="157"/>
  <c r="S1255" i="157"/>
  <c r="S1251" i="157"/>
  <c r="S1252" i="157"/>
  <c r="S1256" i="157"/>
  <c r="S1263" i="157"/>
  <c r="S1262" i="157"/>
  <c r="S1261" i="157"/>
  <c r="S1250" i="157"/>
  <c r="S1245" i="157"/>
  <c r="S1244" i="157"/>
  <c r="S1249" i="157"/>
  <c r="S1248" i="157"/>
  <c r="S1247" i="157"/>
  <c r="S1246" i="157"/>
  <c r="S1243" i="157"/>
  <c r="S1239" i="157"/>
  <c r="S1237" i="157"/>
  <c r="S1236" i="157"/>
  <c r="S1240" i="157"/>
  <c r="S1241" i="157"/>
  <c r="S1242" i="157"/>
  <c r="S1238" i="157"/>
  <c r="S1228" i="157"/>
  <c r="S1224" i="157"/>
  <c r="S1227" i="157"/>
  <c r="S1226" i="157"/>
  <c r="S1225" i="157"/>
  <c r="S1232" i="157"/>
  <c r="S1230" i="157"/>
  <c r="S1229" i="157"/>
  <c r="S1233" i="157"/>
  <c r="S1231" i="157"/>
  <c r="S1235" i="157"/>
  <c r="S1234" i="157"/>
  <c r="S1221" i="157"/>
  <c r="S1223" i="157"/>
  <c r="S1219" i="157"/>
  <c r="S1220" i="157"/>
  <c r="S1218" i="157"/>
  <c r="S1222" i="157"/>
  <c r="S1217" i="157"/>
  <c r="S1214" i="157"/>
  <c r="S1215" i="157"/>
  <c r="S1216" i="157"/>
  <c r="S1213" i="157"/>
  <c r="S1212" i="157"/>
  <c r="S1211" i="157"/>
  <c r="S1205" i="157"/>
  <c r="S1206" i="157"/>
  <c r="S1207" i="157"/>
  <c r="S1208" i="157"/>
  <c r="S1209" i="157"/>
  <c r="S1210" i="157"/>
  <c r="S1202" i="157"/>
  <c r="S1203" i="157"/>
  <c r="S1204" i="157"/>
  <c r="S1201" i="157"/>
  <c r="S1200" i="157"/>
  <c r="S1199" i="157"/>
  <c r="S1198" i="157"/>
  <c r="S1197" i="157"/>
  <c r="S1196" i="157"/>
  <c r="S1195" i="157"/>
  <c r="S1194" i="157"/>
  <c r="S1193" i="157"/>
  <c r="S1192" i="157"/>
  <c r="S1190" i="157"/>
  <c r="S1191" i="157"/>
  <c r="S1188" i="157"/>
  <c r="S1189" i="157"/>
  <c r="S1187" i="157"/>
  <c r="S1145" i="157"/>
  <c r="S1183" i="157"/>
  <c r="S1185" i="157"/>
  <c r="S1184" i="157"/>
  <c r="S1186" i="157"/>
  <c r="S1182" i="157"/>
  <c r="S1181" i="157"/>
  <c r="S1180" i="157"/>
  <c r="S1170" i="157"/>
  <c r="S1171" i="157"/>
  <c r="S1174" i="157"/>
  <c r="S1172" i="157"/>
  <c r="S1173" i="157"/>
  <c r="S1177" i="157"/>
  <c r="S1178" i="157"/>
  <c r="S1175" i="157"/>
  <c r="S1176" i="157"/>
  <c r="S1179" i="157"/>
  <c r="S1165" i="157"/>
  <c r="S1169" i="157"/>
  <c r="S1166" i="157"/>
  <c r="S1167" i="157"/>
  <c r="S1168" i="157"/>
  <c r="S1164" i="157"/>
  <c r="S1163" i="157"/>
  <c r="S1160" i="157"/>
  <c r="S1161" i="157"/>
  <c r="S1162" i="157"/>
  <c r="S1159" i="157"/>
  <c r="S1148" i="157"/>
  <c r="S1149" i="157"/>
  <c r="S1150" i="157"/>
  <c r="S1151" i="157"/>
  <c r="S1152" i="157"/>
  <c r="S1153" i="157"/>
  <c r="S1155" i="157"/>
  <c r="S1158" i="157"/>
  <c r="S1156" i="157"/>
  <c r="S1157" i="157"/>
  <c r="S1154" i="157"/>
  <c r="S1147" i="157"/>
  <c r="S1146" i="157"/>
  <c r="S882" i="157"/>
  <c r="S1141" i="157"/>
  <c r="S1139" i="157"/>
  <c r="S1142" i="157"/>
  <c r="S1144" i="157"/>
  <c r="S1143" i="157"/>
  <c r="S1140" i="157"/>
  <c r="S1138" i="157"/>
  <c r="S1136" i="157"/>
  <c r="S1137" i="157"/>
  <c r="S1135" i="157"/>
  <c r="S1133" i="157"/>
  <c r="S1134" i="157"/>
  <c r="S1131" i="157"/>
  <c r="S1132" i="157"/>
  <c r="S1130" i="157"/>
  <c r="S1129" i="157"/>
  <c r="S1128" i="157"/>
  <c r="S1127" i="157"/>
  <c r="S1125" i="157"/>
  <c r="S1126" i="157"/>
  <c r="S1124" i="157"/>
  <c r="S1122" i="157"/>
  <c r="S1123" i="157"/>
  <c r="S1117" i="157"/>
  <c r="S1121" i="157"/>
  <c r="S1120" i="157"/>
  <c r="S1118" i="157"/>
  <c r="S1105" i="157"/>
  <c r="S1106" i="157"/>
  <c r="S1107" i="157"/>
  <c r="S1099" i="157"/>
  <c r="S1100" i="157"/>
  <c r="S1101" i="157"/>
  <c r="S1102" i="157"/>
  <c r="S1103" i="157"/>
  <c r="S1104" i="157"/>
  <c r="S1108" i="157"/>
  <c r="S1109" i="157"/>
  <c r="S1110" i="157"/>
  <c r="S1111" i="157"/>
  <c r="S1098" i="157"/>
  <c r="S1112" i="157"/>
  <c r="S1113" i="157"/>
  <c r="S1114" i="157"/>
  <c r="S1115" i="157"/>
  <c r="S1116" i="157"/>
  <c r="S1119" i="157"/>
  <c r="S1097" i="157"/>
  <c r="S1096" i="157"/>
  <c r="S1095" i="157"/>
  <c r="S1094" i="157"/>
  <c r="S1093" i="157"/>
  <c r="S1087" i="157"/>
  <c r="S1088" i="157"/>
  <c r="S1089" i="157"/>
  <c r="S1090" i="157"/>
  <c r="S1091" i="157"/>
  <c r="S1092" i="157"/>
  <c r="S1086" i="157"/>
  <c r="S1085" i="157"/>
  <c r="S1043" i="157"/>
  <c r="S1044" i="157"/>
  <c r="S1072" i="157"/>
  <c r="S1073" i="157"/>
  <c r="S1056" i="157"/>
  <c r="S1076" i="157"/>
  <c r="S1068" i="157"/>
  <c r="S1051" i="157"/>
  <c r="S1066" i="157"/>
  <c r="S1070" i="157"/>
  <c r="S1084" i="157"/>
  <c r="S1081" i="157"/>
  <c r="S1082" i="157"/>
  <c r="S1071" i="157"/>
  <c r="S1065" i="157"/>
  <c r="S1063" i="157"/>
  <c r="S1062" i="157"/>
  <c r="S1061" i="157"/>
  <c r="S1059" i="157"/>
  <c r="S1058" i="157"/>
  <c r="S1050" i="157"/>
  <c r="S1077" i="157"/>
  <c r="S1053" i="157"/>
  <c r="S1048" i="157"/>
  <c r="S1045" i="157"/>
  <c r="S1080" i="157"/>
  <c r="S1078" i="157"/>
  <c r="S1067" i="157"/>
  <c r="S1064" i="157"/>
  <c r="S1046" i="157"/>
  <c r="S1054" i="157"/>
  <c r="S1074" i="157"/>
  <c r="S1057" i="157"/>
  <c r="S1055" i="157"/>
  <c r="S1049" i="157"/>
  <c r="S1083" i="157"/>
  <c r="S1079" i="157"/>
  <c r="S1060" i="157"/>
  <c r="S1075" i="157"/>
  <c r="S1069" i="157"/>
  <c r="S1052" i="157"/>
  <c r="S1047" i="157"/>
  <c r="S1035" i="157"/>
  <c r="S1042" i="157"/>
  <c r="S1036" i="157"/>
  <c r="S1041" i="157"/>
  <c r="S1037" i="157"/>
  <c r="S1040" i="157"/>
  <c r="S1038" i="157"/>
  <c r="S1039" i="157"/>
  <c r="S1033" i="157"/>
  <c r="S1034" i="157"/>
  <c r="S1032" i="157"/>
  <c r="S1029" i="157"/>
  <c r="S1030" i="157"/>
  <c r="S1031" i="157"/>
  <c r="S1027" i="157"/>
  <c r="S1028" i="157"/>
  <c r="S1025" i="157"/>
  <c r="S1026" i="157"/>
  <c r="S1022" i="157"/>
  <c r="S1023" i="157"/>
  <c r="S1018" i="157"/>
  <c r="S1019" i="157"/>
  <c r="S1020" i="157"/>
  <c r="S1021" i="157"/>
  <c r="S1024" i="157"/>
  <c r="S1016" i="157"/>
  <c r="S1017" i="157"/>
  <c r="S1014" i="157"/>
  <c r="S1015" i="157"/>
  <c r="S1013" i="157"/>
  <c r="S1005" i="157"/>
  <c r="S1008" i="157"/>
  <c r="S1007" i="157"/>
  <c r="S1006" i="157"/>
  <c r="S1012" i="157"/>
  <c r="S1011" i="157"/>
  <c r="S1010" i="157"/>
  <c r="S1009" i="157"/>
  <c r="S1003" i="157"/>
  <c r="S1004" i="157"/>
  <c r="S1001" i="157"/>
  <c r="S1002" i="157"/>
  <c r="S1000" i="157"/>
  <c r="S999" i="157"/>
  <c r="S998" i="157"/>
  <c r="S997" i="157"/>
  <c r="S995" i="157"/>
  <c r="S994" i="157"/>
  <c r="S993" i="157"/>
  <c r="S996" i="157"/>
  <c r="S992" i="157"/>
  <c r="S991" i="157"/>
  <c r="S989" i="157"/>
  <c r="S990" i="157"/>
  <c r="S988" i="157"/>
  <c r="S980" i="157"/>
  <c r="S982" i="157"/>
  <c r="S983" i="157"/>
  <c r="S984" i="157"/>
  <c r="S985" i="157"/>
  <c r="S981" i="157"/>
  <c r="S986" i="157"/>
  <c r="S987" i="157"/>
  <c r="S979" i="157"/>
  <c r="S970" i="157"/>
  <c r="S969" i="157"/>
  <c r="S971" i="157"/>
  <c r="S972" i="157"/>
  <c r="S973" i="157"/>
  <c r="S974" i="157"/>
  <c r="S975" i="157"/>
  <c r="S976" i="157"/>
  <c r="S977" i="157"/>
  <c r="S978" i="157"/>
  <c r="S957" i="157"/>
  <c r="S958" i="157"/>
  <c r="S959" i="157"/>
  <c r="S960" i="157"/>
  <c r="S961" i="157"/>
  <c r="S968" i="157"/>
  <c r="S967" i="157"/>
  <c r="S966" i="157"/>
  <c r="S965" i="157"/>
  <c r="S964" i="157"/>
  <c r="S963" i="157"/>
  <c r="S962" i="157"/>
  <c r="S956" i="157"/>
  <c r="S954" i="157"/>
  <c r="S955" i="157"/>
  <c r="S950" i="157"/>
  <c r="S951" i="157"/>
  <c r="S952" i="157"/>
  <c r="S953" i="157"/>
  <c r="S945" i="157"/>
  <c r="S948" i="157"/>
  <c r="S949" i="157"/>
  <c r="S946" i="157"/>
  <c r="S947" i="157"/>
  <c r="S944" i="157"/>
  <c r="S943" i="157"/>
  <c r="S939" i="157"/>
  <c r="S940" i="157"/>
  <c r="S941" i="157"/>
  <c r="S938" i="157"/>
  <c r="S937" i="157"/>
  <c r="S942" i="157"/>
  <c r="S928" i="157"/>
  <c r="S929" i="157"/>
  <c r="S930" i="157"/>
  <c r="S931" i="157"/>
  <c r="S932" i="157"/>
  <c r="S933" i="157"/>
  <c r="S934" i="157"/>
  <c r="S935" i="157"/>
  <c r="S936" i="157"/>
  <c r="S925" i="157"/>
  <c r="S924" i="157"/>
  <c r="S919" i="157"/>
  <c r="S920" i="157"/>
  <c r="S927" i="157"/>
  <c r="S922" i="157"/>
  <c r="S926" i="157"/>
  <c r="S918" i="157"/>
  <c r="S921" i="157"/>
  <c r="S923" i="157"/>
  <c r="S915" i="157"/>
  <c r="S917" i="157"/>
  <c r="S916" i="157"/>
  <c r="S913" i="157"/>
  <c r="S914" i="157"/>
  <c r="S911" i="157"/>
  <c r="S912" i="157"/>
  <c r="S910" i="157"/>
  <c r="S908" i="157"/>
  <c r="S906" i="157"/>
  <c r="S904" i="157"/>
  <c r="S905" i="157"/>
  <c r="S909" i="157"/>
  <c r="S907" i="157"/>
  <c r="S890" i="157"/>
  <c r="S891" i="157"/>
  <c r="S903" i="157"/>
  <c r="S902" i="157"/>
  <c r="S900" i="157"/>
  <c r="S901" i="157"/>
  <c r="S894" i="157"/>
  <c r="S895" i="157"/>
  <c r="S899" i="157"/>
  <c r="S898" i="157"/>
  <c r="S897" i="157"/>
  <c r="S896" i="157"/>
  <c r="S892" i="157"/>
  <c r="S893" i="157"/>
  <c r="S889" i="157"/>
  <c r="S888" i="157"/>
  <c r="S887" i="157"/>
  <c r="S884" i="157"/>
  <c r="S885" i="157"/>
  <c r="S886" i="157"/>
  <c r="S883" i="157"/>
  <c r="S881" i="157"/>
  <c r="S742" i="157"/>
  <c r="S880" i="157"/>
  <c r="S879" i="157"/>
  <c r="S878" i="157"/>
  <c r="S877" i="157"/>
  <c r="S876" i="157"/>
  <c r="S875" i="157"/>
  <c r="S873" i="157"/>
  <c r="S874" i="157"/>
  <c r="S872" i="157"/>
  <c r="S867" i="157"/>
  <c r="S868" i="157"/>
  <c r="S869" i="157"/>
  <c r="S870" i="157"/>
  <c r="S871" i="157"/>
  <c r="S865" i="157"/>
  <c r="S866" i="157"/>
  <c r="S857" i="157"/>
  <c r="S855" i="157"/>
  <c r="S864" i="157"/>
  <c r="S863" i="157"/>
  <c r="S862" i="157"/>
  <c r="S861" i="157"/>
  <c r="S860" i="157"/>
  <c r="S859" i="157"/>
  <c r="S858" i="157"/>
  <c r="S856" i="157"/>
  <c r="S854" i="157"/>
  <c r="S852" i="157"/>
  <c r="S849" i="157"/>
  <c r="S850" i="157"/>
  <c r="S851" i="157"/>
  <c r="S847" i="157"/>
  <c r="S848" i="157"/>
  <c r="S853" i="157"/>
  <c r="S846" i="157"/>
  <c r="S845" i="157"/>
  <c r="S844" i="157"/>
  <c r="S840" i="157"/>
  <c r="S836" i="157"/>
  <c r="S838" i="157"/>
  <c r="S839" i="157"/>
  <c r="S837" i="157"/>
  <c r="S835" i="157"/>
  <c r="S841" i="157"/>
  <c r="S843" i="157"/>
  <c r="S842" i="157"/>
  <c r="S834" i="157"/>
  <c r="S833" i="157"/>
  <c r="S832" i="157"/>
  <c r="S822" i="157"/>
  <c r="S831" i="157"/>
  <c r="S825" i="157"/>
  <c r="S826" i="157"/>
  <c r="S823" i="157"/>
  <c r="S827" i="157"/>
  <c r="S828" i="157"/>
  <c r="S829" i="157"/>
  <c r="S824" i="157"/>
  <c r="S830" i="157"/>
  <c r="S821" i="157"/>
  <c r="S820" i="157"/>
  <c r="S818" i="157"/>
  <c r="S819" i="157"/>
  <c r="S817" i="157"/>
  <c r="S816" i="157"/>
  <c r="S815" i="157"/>
  <c r="S814" i="157"/>
  <c r="S812" i="157"/>
  <c r="S813" i="157"/>
  <c r="S811" i="157"/>
  <c r="S810" i="157"/>
  <c r="S809" i="157"/>
  <c r="S807" i="157"/>
  <c r="S808" i="157"/>
  <c r="S806" i="157"/>
  <c r="S805" i="157"/>
  <c r="S804" i="157"/>
  <c r="S803" i="157"/>
  <c r="S799" i="157"/>
  <c r="S800" i="157"/>
  <c r="S801" i="157"/>
  <c r="S802" i="157"/>
  <c r="S793" i="157"/>
  <c r="S794" i="157"/>
  <c r="S795" i="157"/>
  <c r="S796" i="157"/>
  <c r="S797" i="157"/>
  <c r="S798" i="157"/>
  <c r="S792" i="157"/>
  <c r="S789" i="157"/>
  <c r="S790" i="157"/>
  <c r="S791" i="157"/>
  <c r="S783" i="157"/>
  <c r="S781" i="157"/>
  <c r="S782" i="157"/>
  <c r="S772" i="157"/>
  <c r="S773" i="157"/>
  <c r="S788" i="157"/>
  <c r="S784" i="157"/>
  <c r="S787" i="157"/>
  <c r="S777" i="157"/>
  <c r="S776" i="157"/>
  <c r="S775" i="157"/>
  <c r="S771" i="157"/>
  <c r="S770" i="157"/>
  <c r="S778" i="157"/>
  <c r="S786" i="157"/>
  <c r="S785" i="157"/>
  <c r="S780" i="157"/>
  <c r="S779" i="157"/>
  <c r="S774" i="157"/>
  <c r="S769" i="157"/>
  <c r="S768" i="157"/>
  <c r="S767" i="157"/>
  <c r="S766" i="157"/>
  <c r="S763" i="157"/>
  <c r="S764" i="157"/>
  <c r="S765" i="157"/>
  <c r="S762" i="157"/>
  <c r="S761" i="157"/>
  <c r="S759" i="157"/>
  <c r="S760" i="157"/>
  <c r="S758" i="157"/>
  <c r="S752" i="157"/>
  <c r="S757" i="157"/>
  <c r="S754" i="157"/>
  <c r="S755" i="157"/>
  <c r="S756" i="157"/>
  <c r="S753" i="157"/>
  <c r="S750" i="157"/>
  <c r="S751" i="157"/>
  <c r="S746" i="157"/>
  <c r="S748" i="157"/>
  <c r="S747" i="157"/>
  <c r="S749" i="157"/>
  <c r="S731" i="157"/>
  <c r="S741" i="157"/>
  <c r="S743" i="157"/>
  <c r="S739" i="157"/>
  <c r="S491" i="157"/>
  <c r="S734" i="157"/>
  <c r="S732" i="157"/>
  <c r="S745" i="157"/>
  <c r="S744" i="157"/>
  <c r="S740" i="157"/>
  <c r="S736" i="157"/>
  <c r="S733" i="157"/>
  <c r="S735" i="157"/>
  <c r="S738" i="157"/>
  <c r="S737" i="157"/>
  <c r="S729" i="157"/>
  <c r="S727" i="157"/>
  <c r="S725" i="157"/>
  <c r="S730" i="157"/>
  <c r="S728" i="157"/>
  <c r="S726" i="157"/>
  <c r="S724" i="157"/>
  <c r="S723" i="157"/>
  <c r="S721" i="157"/>
  <c r="S722" i="157"/>
  <c r="S720" i="157"/>
  <c r="S714" i="157"/>
  <c r="S716" i="157"/>
  <c r="S717" i="157"/>
  <c r="S718" i="157"/>
  <c r="S719" i="157"/>
  <c r="S715" i="157"/>
  <c r="S713" i="157"/>
  <c r="S711" i="157"/>
  <c r="S712" i="157"/>
  <c r="S710" i="157"/>
  <c r="S709" i="157"/>
  <c r="S708" i="157"/>
  <c r="S707" i="157"/>
  <c r="S706" i="157"/>
  <c r="S703" i="157"/>
  <c r="S697" i="157"/>
  <c r="S698" i="157"/>
  <c r="S699" i="157"/>
  <c r="S700" i="157"/>
  <c r="S701" i="157"/>
  <c r="S702" i="157"/>
  <c r="S705" i="157"/>
  <c r="S704" i="157"/>
  <c r="S696" i="157"/>
  <c r="S695" i="157"/>
  <c r="S691" i="157"/>
  <c r="S690" i="157"/>
  <c r="S689" i="157"/>
  <c r="S688" i="157"/>
  <c r="S687" i="157"/>
  <c r="S686" i="157"/>
  <c r="S685" i="157"/>
  <c r="S684" i="157"/>
  <c r="S682" i="157"/>
  <c r="S683" i="157"/>
  <c r="S693" i="157"/>
  <c r="S694" i="157"/>
  <c r="S692" i="157"/>
  <c r="S680" i="157"/>
  <c r="S681" i="157"/>
  <c r="S678" i="157"/>
  <c r="S679" i="157"/>
  <c r="S677" i="157"/>
  <c r="S672" i="157"/>
  <c r="S676" i="157"/>
  <c r="S675" i="157"/>
  <c r="S669" i="157"/>
  <c r="S670" i="157"/>
  <c r="S674" i="157"/>
  <c r="S673" i="157"/>
  <c r="S671" i="157"/>
  <c r="S666" i="157"/>
  <c r="S667" i="157"/>
  <c r="S668" i="157"/>
  <c r="S665" i="157"/>
  <c r="S663" i="157"/>
  <c r="S664" i="157"/>
  <c r="S662" i="157"/>
  <c r="S660" i="157"/>
  <c r="S661" i="157"/>
  <c r="S659" i="157"/>
  <c r="S636" i="157"/>
  <c r="S654" i="157"/>
  <c r="S655" i="157"/>
  <c r="S656" i="157"/>
  <c r="S657" i="157"/>
  <c r="S658" i="157"/>
  <c r="S650" i="157"/>
  <c r="S651" i="157"/>
  <c r="S641" i="157"/>
  <c r="S642" i="157"/>
  <c r="S643" i="157"/>
  <c r="S644" i="157"/>
  <c r="S638" i="157"/>
  <c r="S639" i="157"/>
  <c r="S640" i="157"/>
  <c r="S652" i="157"/>
  <c r="S653" i="157"/>
  <c r="S649" i="157"/>
  <c r="S648" i="157"/>
  <c r="S646" i="157"/>
  <c r="S645" i="157"/>
  <c r="S637" i="157"/>
  <c r="S647" i="157"/>
  <c r="S635" i="157"/>
  <c r="S634" i="157"/>
  <c r="S633" i="157"/>
  <c r="S632" i="157"/>
  <c r="S622" i="157"/>
  <c r="S623" i="157"/>
  <c r="S630" i="157"/>
  <c r="S628" i="157"/>
  <c r="S625" i="157"/>
  <c r="S631" i="157"/>
  <c r="S629" i="157"/>
  <c r="S626" i="157"/>
  <c r="S627" i="157"/>
  <c r="S624" i="157"/>
  <c r="S621" i="157"/>
  <c r="S617" i="157"/>
  <c r="S618" i="157"/>
  <c r="S619" i="157"/>
  <c r="S620" i="157"/>
  <c r="S615" i="157"/>
  <c r="S616" i="157"/>
  <c r="S604" i="157"/>
  <c r="S605" i="157"/>
  <c r="S611" i="157"/>
  <c r="S612" i="157"/>
  <c r="S608" i="157"/>
  <c r="S609" i="157"/>
  <c r="S610" i="157"/>
  <c r="S606" i="157"/>
  <c r="S607" i="157"/>
  <c r="S601" i="157"/>
  <c r="S602" i="157"/>
  <c r="S614" i="157"/>
  <c r="S613" i="157"/>
  <c r="S603" i="157"/>
  <c r="S598" i="157"/>
  <c r="S599" i="157"/>
  <c r="S600" i="157"/>
  <c r="S597" i="157"/>
  <c r="S596" i="157"/>
  <c r="S593" i="157"/>
  <c r="S594" i="157"/>
  <c r="S589" i="157"/>
  <c r="S595" i="157"/>
  <c r="S592" i="157"/>
  <c r="S591" i="157"/>
  <c r="S590" i="157"/>
  <c r="S586" i="157"/>
  <c r="S584" i="157"/>
  <c r="S585" i="157"/>
  <c r="S587" i="157"/>
  <c r="S588" i="157"/>
  <c r="S583" i="157"/>
  <c r="S582" i="157"/>
  <c r="S581" i="157"/>
  <c r="S578" i="157"/>
  <c r="S580" i="157"/>
  <c r="S579" i="157"/>
  <c r="S577" i="157"/>
  <c r="S576" i="157"/>
  <c r="S574" i="157"/>
  <c r="S575" i="157"/>
  <c r="S573" i="157"/>
  <c r="S572" i="157"/>
  <c r="S570" i="157"/>
  <c r="S571" i="157"/>
  <c r="S567" i="157"/>
  <c r="S568" i="157"/>
  <c r="S569" i="157"/>
  <c r="S566" i="157"/>
  <c r="S565" i="157"/>
  <c r="S549" i="157"/>
  <c r="S558" i="157"/>
  <c r="S559" i="157"/>
  <c r="S560" i="157"/>
  <c r="S561" i="157"/>
  <c r="S554" i="157"/>
  <c r="S555" i="157"/>
  <c r="S556" i="157"/>
  <c r="S557" i="157"/>
  <c r="S550" i="157"/>
  <c r="S551" i="157"/>
  <c r="S552" i="157"/>
  <c r="S553" i="157"/>
  <c r="S543" i="157"/>
  <c r="S544" i="157"/>
  <c r="S545" i="157"/>
  <c r="S546" i="157"/>
  <c r="S547" i="157"/>
  <c r="S548" i="157"/>
  <c r="S562" i="157"/>
  <c r="S563" i="157"/>
  <c r="S564" i="157"/>
  <c r="S542" i="157"/>
  <c r="S539" i="157"/>
  <c r="S540" i="157"/>
  <c r="S541" i="157"/>
  <c r="S538" i="157"/>
  <c r="S536" i="157"/>
  <c r="S537" i="157"/>
  <c r="S535" i="157"/>
  <c r="S532" i="157"/>
  <c r="S534" i="157"/>
  <c r="S533" i="157"/>
  <c r="S530" i="157"/>
  <c r="S531" i="157"/>
  <c r="S529" i="157"/>
  <c r="S527" i="157"/>
  <c r="S528" i="157"/>
  <c r="S524" i="157"/>
  <c r="S522" i="157"/>
  <c r="S520" i="157"/>
  <c r="S523" i="157"/>
  <c r="S521" i="157"/>
  <c r="S526" i="157"/>
  <c r="S525" i="157"/>
  <c r="S518" i="157"/>
  <c r="S519" i="157"/>
  <c r="S517" i="157"/>
  <c r="S509" i="157"/>
  <c r="S510" i="157"/>
  <c r="S511" i="157"/>
  <c r="S512" i="157"/>
  <c r="S513" i="157"/>
  <c r="S514" i="157"/>
  <c r="S515" i="157"/>
  <c r="S516" i="157"/>
  <c r="S508" i="157"/>
  <c r="S507" i="157"/>
  <c r="S505" i="157"/>
  <c r="S506" i="157"/>
  <c r="S504" i="157"/>
  <c r="S503" i="157"/>
  <c r="S501" i="157"/>
  <c r="S502" i="157"/>
  <c r="S499" i="157"/>
  <c r="S500" i="157"/>
  <c r="S498" i="157"/>
  <c r="S497" i="157"/>
  <c r="S496" i="157"/>
  <c r="S487" i="157"/>
  <c r="S493" i="157"/>
  <c r="S494" i="157"/>
  <c r="S485" i="157"/>
  <c r="S304" i="157"/>
  <c r="S490" i="157"/>
  <c r="S488" i="157"/>
  <c r="S495" i="157"/>
  <c r="S492" i="157"/>
  <c r="S489" i="157"/>
  <c r="S486" i="157"/>
  <c r="S484" i="157"/>
  <c r="S483" i="157"/>
  <c r="S482" i="157"/>
  <c r="S477" i="157"/>
  <c r="S478" i="157"/>
  <c r="S481" i="157"/>
  <c r="S479" i="157"/>
  <c r="S480" i="157"/>
  <c r="S475" i="157"/>
  <c r="S476" i="157"/>
  <c r="S474" i="157"/>
  <c r="S465" i="157"/>
  <c r="S466" i="157"/>
  <c r="S468" i="157"/>
  <c r="S469" i="157"/>
  <c r="S467" i="157"/>
  <c r="S470" i="157"/>
  <c r="S473" i="157"/>
  <c r="S472" i="157"/>
  <c r="S471" i="157"/>
  <c r="S462" i="157"/>
  <c r="S463" i="157"/>
  <c r="S464" i="157"/>
  <c r="S461" i="157"/>
  <c r="S460" i="157"/>
  <c r="S459" i="157"/>
  <c r="S457" i="157"/>
  <c r="S458" i="157"/>
  <c r="S455" i="157"/>
  <c r="S452" i="157"/>
  <c r="S456" i="157"/>
  <c r="S453" i="157"/>
  <c r="S454" i="157"/>
  <c r="S451" i="157"/>
  <c r="S450" i="157"/>
  <c r="S443" i="157"/>
  <c r="S437" i="157"/>
  <c r="S427" i="157"/>
  <c r="S449" i="157"/>
  <c r="S448" i="157"/>
  <c r="S445" i="157"/>
  <c r="S439" i="157"/>
  <c r="S432" i="157"/>
  <c r="S428" i="157"/>
  <c r="S446" i="157"/>
  <c r="S444" i="157"/>
  <c r="S441" i="157"/>
  <c r="S442" i="157"/>
  <c r="S435" i="157"/>
  <c r="S433" i="157"/>
  <c r="S431" i="157"/>
  <c r="S430" i="157"/>
  <c r="S429" i="157"/>
  <c r="S426" i="157"/>
  <c r="S424" i="157"/>
  <c r="S423" i="157"/>
  <c r="S425" i="157"/>
  <c r="S418" i="157"/>
  <c r="S440" i="157"/>
  <c r="S438" i="157"/>
  <c r="S436" i="157"/>
  <c r="S434" i="157"/>
  <c r="S419" i="157"/>
  <c r="S420" i="157"/>
  <c r="S421" i="157"/>
  <c r="S447" i="157"/>
  <c r="S422" i="157"/>
  <c r="S414" i="157"/>
  <c r="S415" i="157"/>
  <c r="S416" i="157"/>
  <c r="S417" i="157"/>
  <c r="S413" i="157"/>
  <c r="S412" i="157"/>
  <c r="S411" i="157"/>
  <c r="S405" i="157"/>
  <c r="S406" i="157"/>
  <c r="S407" i="157"/>
  <c r="S408" i="157"/>
  <c r="S409" i="157"/>
  <c r="S410" i="157"/>
  <c r="S402" i="157"/>
  <c r="S392" i="157"/>
  <c r="S393" i="157"/>
  <c r="S403" i="157"/>
  <c r="S394" i="157"/>
  <c r="S400" i="157"/>
  <c r="S395" i="157"/>
  <c r="S404" i="157"/>
  <c r="S397" i="157"/>
  <c r="S396" i="157"/>
  <c r="S399" i="157"/>
  <c r="S398" i="157"/>
  <c r="S401" i="157"/>
  <c r="S388" i="157"/>
  <c r="S389" i="157"/>
  <c r="S390" i="157"/>
  <c r="S391" i="157"/>
  <c r="S381" i="157"/>
  <c r="S387" i="157"/>
  <c r="S386" i="157"/>
  <c r="S385" i="157"/>
  <c r="S383" i="157"/>
  <c r="S384" i="157"/>
  <c r="S382" i="157"/>
  <c r="S376" i="157"/>
  <c r="S375" i="157"/>
  <c r="S377" i="157"/>
  <c r="S371" i="157"/>
  <c r="S378" i="157"/>
  <c r="S379" i="157"/>
  <c r="S380" i="157"/>
  <c r="S374" i="157"/>
  <c r="S373" i="157"/>
  <c r="S372" i="157"/>
  <c r="S370" i="157"/>
  <c r="S369" i="157"/>
  <c r="S368" i="157"/>
  <c r="S351" i="157"/>
  <c r="S366" i="157"/>
  <c r="S346" i="157"/>
  <c r="S362" i="157"/>
  <c r="S359" i="157"/>
  <c r="S355" i="157"/>
  <c r="S353" i="157"/>
  <c r="S352" i="157"/>
  <c r="S348" i="157"/>
  <c r="S365" i="157"/>
  <c r="S360" i="157"/>
  <c r="S367" i="157"/>
  <c r="S349" i="157"/>
  <c r="S347" i="157"/>
  <c r="S354" i="157"/>
  <c r="S363" i="157"/>
  <c r="S361" i="157"/>
  <c r="S358" i="157"/>
  <c r="S350" i="157"/>
  <c r="S364" i="157"/>
  <c r="S357" i="157"/>
  <c r="S356" i="157"/>
  <c r="S341" i="157"/>
  <c r="S345" i="157"/>
  <c r="S342" i="157"/>
  <c r="S343" i="157"/>
  <c r="S344" i="157"/>
  <c r="S340" i="157"/>
  <c r="S338" i="157"/>
  <c r="S339" i="157"/>
  <c r="S337" i="157"/>
  <c r="S336" i="157"/>
  <c r="S327" i="157"/>
  <c r="S326" i="157"/>
  <c r="S335" i="157"/>
  <c r="S333" i="157"/>
  <c r="S328" i="157"/>
  <c r="S329" i="157"/>
  <c r="S334" i="157"/>
  <c r="S330" i="157"/>
  <c r="S331" i="157"/>
  <c r="S332" i="157"/>
  <c r="S323" i="157"/>
  <c r="S322" i="157"/>
  <c r="S325" i="157"/>
  <c r="S324" i="157"/>
  <c r="S320" i="157"/>
  <c r="S321" i="157"/>
  <c r="S310" i="157"/>
  <c r="S311" i="157"/>
  <c r="S312" i="157"/>
  <c r="S313" i="157"/>
  <c r="S314" i="157"/>
  <c r="S315" i="157"/>
  <c r="S317" i="157"/>
  <c r="S316" i="157"/>
  <c r="S318" i="157"/>
  <c r="S319" i="157"/>
  <c r="S308" i="157"/>
  <c r="S309" i="157"/>
  <c r="S305" i="157"/>
  <c r="S306" i="157"/>
  <c r="S307" i="157"/>
  <c r="S298" i="157"/>
  <c r="S303" i="157"/>
  <c r="S302" i="157"/>
  <c r="S301" i="157"/>
  <c r="S299" i="157"/>
  <c r="S300" i="157"/>
  <c r="S222" i="157"/>
  <c r="S290" i="157"/>
  <c r="S291" i="157"/>
  <c r="S292" i="157"/>
  <c r="S293" i="157"/>
  <c r="S294" i="157"/>
  <c r="S295" i="157"/>
  <c r="S296" i="157"/>
  <c r="S297" i="157"/>
  <c r="S284" i="157"/>
  <c r="S285" i="157"/>
  <c r="S286" i="157"/>
  <c r="S287" i="157"/>
  <c r="S288" i="157"/>
  <c r="S289" i="157"/>
  <c r="S270" i="157"/>
  <c r="S269" i="157"/>
  <c r="S283" i="157"/>
  <c r="S279" i="157"/>
  <c r="S277" i="157"/>
  <c r="S275" i="157"/>
  <c r="S274" i="157"/>
  <c r="S273" i="157"/>
  <c r="S281" i="157"/>
  <c r="S280" i="157"/>
  <c r="S282" i="157"/>
  <c r="S278" i="157"/>
  <c r="S276" i="157"/>
  <c r="S272" i="157"/>
  <c r="S271" i="157"/>
  <c r="S268" i="157"/>
  <c r="S267" i="157"/>
  <c r="S265" i="157"/>
  <c r="S266" i="157"/>
  <c r="S261" i="157"/>
  <c r="S253" i="157"/>
  <c r="S262" i="157"/>
  <c r="S264" i="157"/>
  <c r="S259" i="157"/>
  <c r="S256" i="157"/>
  <c r="S254" i="157"/>
  <c r="S255" i="157"/>
  <c r="S263" i="157"/>
  <c r="S257" i="157"/>
  <c r="S260" i="157"/>
  <c r="S258" i="157"/>
  <c r="S245" i="157"/>
  <c r="S252" i="157"/>
  <c r="S251" i="157"/>
  <c r="S249" i="157"/>
  <c r="S248" i="157"/>
  <c r="S247" i="157"/>
  <c r="S246" i="157"/>
  <c r="S244" i="157"/>
  <c r="S250" i="157"/>
  <c r="S240" i="157"/>
  <c r="S241" i="157"/>
  <c r="S242" i="157"/>
  <c r="S243" i="157"/>
  <c r="S237" i="157"/>
  <c r="S239" i="157"/>
  <c r="S238" i="157"/>
  <c r="S233" i="157"/>
  <c r="S234" i="157"/>
  <c r="S235" i="157"/>
  <c r="S236" i="157"/>
  <c r="S230" i="157"/>
  <c r="S231" i="157"/>
  <c r="S232" i="157"/>
  <c r="S218" i="157"/>
  <c r="S217" i="157"/>
  <c r="S223" i="157"/>
  <c r="S171" i="157"/>
  <c r="S227" i="157"/>
  <c r="S219" i="157"/>
  <c r="S220" i="157"/>
  <c r="S224" i="157"/>
  <c r="S221" i="157"/>
  <c r="S229" i="157"/>
  <c r="S228" i="157"/>
  <c r="S225" i="157"/>
  <c r="S226" i="157"/>
  <c r="S215" i="157"/>
  <c r="S207" i="157"/>
  <c r="S208" i="157"/>
  <c r="S209" i="157"/>
  <c r="S213" i="157"/>
  <c r="S210" i="157"/>
  <c r="S216" i="157"/>
  <c r="S214" i="157"/>
  <c r="S212" i="157"/>
  <c r="S204" i="157"/>
  <c r="S196" i="157"/>
  <c r="S200" i="157"/>
  <c r="S205" i="157"/>
  <c r="S206" i="157"/>
  <c r="S197" i="157"/>
  <c r="S198" i="157"/>
  <c r="S199" i="157"/>
  <c r="S201" i="157"/>
  <c r="S202" i="157"/>
  <c r="S203" i="157"/>
  <c r="S191" i="157"/>
  <c r="S183" i="157"/>
  <c r="S181" i="157"/>
  <c r="S180" i="157"/>
  <c r="S177" i="157"/>
  <c r="S178" i="157"/>
  <c r="S179" i="157"/>
  <c r="S176" i="157"/>
  <c r="S173" i="157"/>
  <c r="S195" i="157"/>
  <c r="S190" i="157"/>
  <c r="S184" i="157"/>
  <c r="S188" i="157"/>
  <c r="S192" i="157"/>
  <c r="S193" i="157"/>
  <c r="S194" i="157"/>
  <c r="S185" i="157"/>
  <c r="S186" i="157"/>
  <c r="S175" i="157"/>
  <c r="S174" i="157"/>
  <c r="S189" i="157"/>
  <c r="S187" i="157"/>
  <c r="S182" i="157"/>
  <c r="S172" i="157"/>
  <c r="S167" i="157"/>
  <c r="S168" i="157"/>
  <c r="S169" i="157"/>
  <c r="S170" i="157"/>
  <c r="S160" i="157"/>
  <c r="S161" i="157"/>
  <c r="S162" i="157"/>
  <c r="S158" i="157"/>
  <c r="S163" i="157"/>
  <c r="S164" i="157"/>
  <c r="S159" i="157"/>
  <c r="S166" i="157"/>
  <c r="S165" i="157"/>
  <c r="S153" i="157"/>
  <c r="S154" i="157"/>
  <c r="S155" i="157"/>
  <c r="S156" i="157"/>
  <c r="S157" i="157"/>
  <c r="S147" i="157"/>
  <c r="S148" i="157"/>
  <c r="S149" i="157"/>
  <c r="S150" i="157"/>
  <c r="S151" i="157"/>
  <c r="S152" i="157"/>
  <c r="S143" i="157"/>
  <c r="S144" i="157"/>
  <c r="S145" i="157"/>
  <c r="S146" i="157"/>
  <c r="S141" i="157"/>
  <c r="S142" i="157"/>
  <c r="S136" i="157"/>
  <c r="S122" i="157"/>
  <c r="S133" i="157"/>
  <c r="S132" i="157"/>
  <c r="S129" i="157"/>
  <c r="S137" i="157"/>
  <c r="S125" i="157"/>
  <c r="S138" i="157"/>
  <c r="S130" i="157"/>
  <c r="S124" i="157"/>
  <c r="S126" i="157"/>
  <c r="S127" i="157"/>
  <c r="S123" i="157"/>
  <c r="S131" i="157"/>
  <c r="S134" i="157"/>
  <c r="S135" i="157"/>
  <c r="S128" i="157"/>
  <c r="S120" i="157"/>
  <c r="S116" i="157"/>
  <c r="S119" i="157"/>
  <c r="S117" i="157"/>
  <c r="S118" i="157"/>
  <c r="S115" i="157"/>
  <c r="S110" i="157"/>
  <c r="S109" i="157"/>
  <c r="S99" i="157"/>
  <c r="S100" i="157"/>
  <c r="S101" i="157"/>
  <c r="S114" i="157"/>
  <c r="S112" i="157"/>
  <c r="S113" i="157"/>
  <c r="S102" i="157"/>
  <c r="S103" i="157"/>
  <c r="S111" i="157"/>
  <c r="S104" i="157"/>
  <c r="S105" i="157"/>
  <c r="S106" i="157"/>
  <c r="S107" i="157"/>
  <c r="S108" i="157"/>
  <c r="S98" i="157"/>
  <c r="S94" i="157"/>
  <c r="S97" i="157"/>
  <c r="S96" i="157"/>
  <c r="S95" i="157"/>
  <c r="S91" i="157"/>
  <c r="S90" i="157"/>
  <c r="S89" i="157"/>
  <c r="S88" i="157"/>
  <c r="S87" i="157"/>
  <c r="S86" i="157"/>
  <c r="S85" i="157"/>
  <c r="S83" i="157"/>
  <c r="S82" i="157"/>
  <c r="S81" i="157"/>
  <c r="S79" i="157"/>
  <c r="S76" i="157"/>
  <c r="S73" i="157"/>
  <c r="S74" i="157"/>
  <c r="S75" i="157"/>
  <c r="S72" i="157"/>
  <c r="S70" i="157"/>
  <c r="S71" i="157"/>
  <c r="S68" i="157"/>
  <c r="S67" i="157"/>
  <c r="S69" i="157"/>
  <c r="S60" i="157"/>
  <c r="S61" i="157"/>
  <c r="S62" i="157"/>
  <c r="S63" i="157"/>
  <c r="S66" i="157"/>
  <c r="S64" i="157"/>
  <c r="S65" i="157"/>
  <c r="S59" i="157"/>
  <c r="S57" i="157"/>
  <c r="S58" i="157"/>
  <c r="S54" i="157"/>
  <c r="S53" i="157"/>
  <c r="S52" i="157"/>
  <c r="S51" i="157"/>
  <c r="S2390" i="157"/>
  <c r="S2389" i="157"/>
  <c r="S2388" i="157"/>
  <c r="S31" i="157"/>
  <c r="S47" i="157"/>
  <c r="S2387" i="157"/>
  <c r="S26" i="157"/>
  <c r="S27" i="157"/>
  <c r="S46" i="157"/>
  <c r="S2386" i="157"/>
  <c r="S39" i="157"/>
  <c r="S2384" i="157"/>
  <c r="S45" i="157"/>
  <c r="S15" i="157"/>
  <c r="S25" i="157"/>
  <c r="S40" i="157"/>
  <c r="S30" i="157"/>
  <c r="S37" i="157"/>
  <c r="S24" i="157"/>
  <c r="S44" i="157"/>
  <c r="S23" i="157"/>
  <c r="S2383" i="157"/>
  <c r="S22" i="157"/>
  <c r="S33" i="157"/>
  <c r="S34" i="157"/>
  <c r="S35" i="157"/>
  <c r="S36" i="157"/>
  <c r="S2382" i="157"/>
  <c r="S21" i="157"/>
  <c r="S2380" i="157"/>
  <c r="S10" i="157"/>
  <c r="S2381" i="157"/>
  <c r="S20" i="157"/>
  <c r="S19" i="157"/>
  <c r="S2373" i="157"/>
  <c r="S2374" i="157"/>
  <c r="S2375" i="157"/>
  <c r="S2376" i="157"/>
  <c r="S2370" i="157"/>
  <c r="S2371" i="157"/>
  <c r="S2365" i="157"/>
  <c r="S2361" i="157"/>
  <c r="S2354" i="157"/>
  <c r="S9" i="157"/>
  <c r="S42" i="157"/>
  <c r="S43" i="157"/>
  <c r="S48" i="157"/>
  <c r="S50" i="157"/>
  <c r="S49" i="157"/>
  <c r="S32" i="157"/>
  <c r="S38" i="157"/>
  <c r="S92" i="157"/>
  <c r="S55" i="157"/>
  <c r="S78" i="157"/>
  <c r="S56" i="157"/>
  <c r="S2344" i="157"/>
  <c r="S2350" i="157"/>
  <c r="S2359" i="157"/>
  <c r="S2349" i="157"/>
  <c r="S2345" i="157"/>
  <c r="S2351" i="157"/>
  <c r="S2372" i="157"/>
  <c r="S2355" i="157"/>
  <c r="S2385" i="157"/>
  <c r="S2356" i="157"/>
  <c r="S2352" i="157"/>
  <c r="S2362" i="157"/>
  <c r="S2363" i="157"/>
  <c r="S2364" i="157"/>
  <c r="S2341" i="157"/>
  <c r="S2357" i="157"/>
  <c r="S2366" i="157"/>
  <c r="S2367" i="157"/>
  <c r="S2358" i="157"/>
  <c r="S2360" i="157"/>
  <c r="S2342" i="157"/>
  <c r="S2369" i="157"/>
  <c r="S29" i="157"/>
  <c r="S2346" i="157"/>
  <c r="S2347" i="157"/>
  <c r="S2339" i="157"/>
  <c r="S28" i="157"/>
  <c r="S18" i="157"/>
  <c r="S2334" i="157"/>
  <c r="S93" i="157"/>
  <c r="S121" i="157"/>
  <c r="S2377" i="157"/>
  <c r="S8" i="157"/>
  <c r="S2368" i="157"/>
  <c r="S2333" i="157"/>
  <c r="S2335" i="157"/>
  <c r="S2340" i="157"/>
  <c r="S2348" i="157"/>
  <c r="S2336" i="157"/>
  <c r="S2343" i="157"/>
  <c r="S2337" i="157"/>
  <c r="S211" i="157"/>
  <c r="S140" i="157"/>
  <c r="S77" i="157"/>
  <c r="S84" i="157"/>
  <c r="S80" i="157"/>
  <c r="S41" i="157"/>
  <c r="S139" i="157"/>
  <c r="S16" i="157"/>
  <c r="S17" i="157"/>
  <c r="S13" i="157"/>
  <c r="S2331" i="157"/>
  <c r="S2378" i="157"/>
  <c r="S2379" i="157"/>
  <c r="S7" i="157"/>
  <c r="S12" i="157"/>
  <c r="S11" i="157"/>
  <c r="S14" i="157"/>
  <c r="S2332" i="157"/>
  <c r="S2338" i="157"/>
  <c r="S2353" i="157"/>
  <c r="T2330" i="157"/>
  <c r="U2330" i="157" s="1"/>
  <c r="T2328" i="157"/>
  <c r="T2327" i="157"/>
  <c r="T2323" i="157"/>
  <c r="U2323" i="157" s="1"/>
  <c r="T2320" i="157"/>
  <c r="U2320" i="157" s="1"/>
  <c r="T2326" i="157"/>
  <c r="T2325" i="157"/>
  <c r="T2324" i="157"/>
  <c r="U2324" i="157" s="1"/>
  <c r="T2322" i="157"/>
  <c r="U2322" i="157" s="1"/>
  <c r="T2317" i="157"/>
  <c r="T2318" i="157"/>
  <c r="T2321" i="157"/>
  <c r="U2321" i="157" s="1"/>
  <c r="T2319" i="157"/>
  <c r="U2319" i="157" s="1"/>
  <c r="T2313" i="157"/>
  <c r="T2310" i="157"/>
  <c r="T2309" i="157"/>
  <c r="U2309" i="157" s="1"/>
  <c r="T2311" i="157"/>
  <c r="U2311" i="157" s="1"/>
  <c r="T2314" i="157"/>
  <c r="T2312" i="157"/>
  <c r="T2315" i="157"/>
  <c r="U2315" i="157" s="1"/>
  <c r="T2316" i="157"/>
  <c r="U2316" i="157" s="1"/>
  <c r="T2307" i="157"/>
  <c r="T2308" i="157"/>
  <c r="T2306" i="157"/>
  <c r="U2306" i="157" s="1"/>
  <c r="T2305" i="157"/>
  <c r="U2305" i="157" s="1"/>
  <c r="T2304" i="157"/>
  <c r="T2297" i="157"/>
  <c r="T2295" i="157"/>
  <c r="U2295" i="157" s="1"/>
  <c r="T2303" i="157"/>
  <c r="U2303" i="157" s="1"/>
  <c r="T2302" i="157"/>
  <c r="T2296" i="157"/>
  <c r="T2298" i="157"/>
  <c r="U2298" i="157" s="1"/>
  <c r="T2299" i="157"/>
  <c r="U2299" i="157" s="1"/>
  <c r="T2300" i="157"/>
  <c r="T2301" i="157"/>
  <c r="T2294" i="157"/>
  <c r="U2294" i="157" s="1"/>
  <c r="T2292" i="157"/>
  <c r="U2292" i="157" s="1"/>
  <c r="T2290" i="157"/>
  <c r="T2291" i="157"/>
  <c r="T2293" i="157"/>
  <c r="U2293" i="157" s="1"/>
  <c r="T2289" i="157"/>
  <c r="U2289" i="157" s="1"/>
  <c r="T2288" i="157"/>
  <c r="T2287" i="157"/>
  <c r="T2285" i="157"/>
  <c r="U2285" i="157" s="1"/>
  <c r="T2286" i="157"/>
  <c r="U2286" i="157" s="1"/>
  <c r="T2284" i="157"/>
  <c r="T2283" i="157"/>
  <c r="T2275" i="157"/>
  <c r="U2275" i="157" s="1"/>
  <c r="T2276" i="157"/>
  <c r="U2276" i="157" s="1"/>
  <c r="T2282" i="157"/>
  <c r="T2281" i="157"/>
  <c r="T2279" i="157"/>
  <c r="U2279" i="157" s="1"/>
  <c r="T2280" i="157"/>
  <c r="U2280" i="157" s="1"/>
  <c r="T2278" i="157"/>
  <c r="T2277" i="157"/>
  <c r="T2262" i="157"/>
  <c r="U2262" i="157" s="1"/>
  <c r="T2265" i="157"/>
  <c r="U2265" i="157" s="1"/>
  <c r="T2274" i="157"/>
  <c r="T2266" i="157"/>
  <c r="T2267" i="157"/>
  <c r="U2267" i="157" s="1"/>
  <c r="T2263" i="157"/>
  <c r="U2263" i="157" s="1"/>
  <c r="T2268" i="157"/>
  <c r="T2264" i="157"/>
  <c r="T2269" i="157"/>
  <c r="U2269" i="157" s="1"/>
  <c r="T2270" i="157"/>
  <c r="U2270" i="157" s="1"/>
  <c r="T2271" i="157"/>
  <c r="T2272" i="157"/>
  <c r="T2273" i="157"/>
  <c r="U2273" i="157" s="1"/>
  <c r="T2259" i="157"/>
  <c r="U2259" i="157" s="1"/>
  <c r="T2260" i="157"/>
  <c r="T2261" i="157"/>
  <c r="T2257" i="157"/>
  <c r="U2257" i="157" s="1"/>
  <c r="T2258" i="157"/>
  <c r="U2258" i="157" s="1"/>
  <c r="T2256" i="157"/>
  <c r="T2255" i="157"/>
  <c r="T2254" i="157"/>
  <c r="U2254" i="157" s="1"/>
  <c r="T2245" i="157"/>
  <c r="U2245" i="157" s="1"/>
  <c r="T2246" i="157"/>
  <c r="T2248" i="157"/>
  <c r="T2249" i="157"/>
  <c r="U2249" i="157" s="1"/>
  <c r="T2253" i="157"/>
  <c r="U2253" i="157" s="1"/>
  <c r="T2251" i="157"/>
  <c r="T2247" i="157"/>
  <c r="T2252" i="157"/>
  <c r="U2252" i="157" s="1"/>
  <c r="T2250" i="157"/>
  <c r="U2250" i="157" s="1"/>
  <c r="T2241" i="157"/>
  <c r="T2243" i="157"/>
  <c r="T2242" i="157"/>
  <c r="U2242" i="157" s="1"/>
  <c r="T2244" i="157"/>
  <c r="U2244" i="157" s="1"/>
  <c r="T2240" i="157"/>
  <c r="T2238" i="157"/>
  <c r="T2239" i="157"/>
  <c r="U2239" i="157" s="1"/>
  <c r="T2234" i="157"/>
  <c r="U2234" i="157" s="1"/>
  <c r="T2235" i="157"/>
  <c r="T2236" i="157"/>
  <c r="T2237" i="157"/>
  <c r="U2237" i="157" s="1"/>
  <c r="T2230" i="157"/>
  <c r="U2230" i="157" s="1"/>
  <c r="T2232" i="157"/>
  <c r="T2231" i="157"/>
  <c r="T2233" i="157"/>
  <c r="U2233" i="157" s="1"/>
  <c r="T2227" i="157"/>
  <c r="U2227" i="157" s="1"/>
  <c r="T2225" i="157"/>
  <c r="T2229" i="157"/>
  <c r="T2226" i="157"/>
  <c r="U2226" i="157" s="1"/>
  <c r="T2228" i="157"/>
  <c r="U2228" i="157" s="1"/>
  <c r="T2221" i="157"/>
  <c r="T2224" i="157"/>
  <c r="T2223" i="157"/>
  <c r="U2223" i="157" s="1"/>
  <c r="T2222" i="157"/>
  <c r="U2222" i="157" s="1"/>
  <c r="T2220" i="157"/>
  <c r="T2217" i="157"/>
  <c r="T2218" i="157"/>
  <c r="U2218" i="157" s="1"/>
  <c r="T2219" i="157"/>
  <c r="U2219" i="157" s="1"/>
  <c r="T2214" i="157"/>
  <c r="T2207" i="157"/>
  <c r="T2208" i="157"/>
  <c r="U2208" i="157" s="1"/>
  <c r="T2215" i="157"/>
  <c r="U2215" i="157" s="1"/>
  <c r="T2216" i="157"/>
  <c r="T2209" i="157"/>
  <c r="T2210" i="157"/>
  <c r="U2210" i="157" s="1"/>
  <c r="T2211" i="157"/>
  <c r="U2211" i="157" s="1"/>
  <c r="T2212" i="157"/>
  <c r="T2213" i="157"/>
  <c r="T2205" i="157"/>
  <c r="U2205" i="157" s="1"/>
  <c r="T2197" i="157"/>
  <c r="U2197" i="157" s="1"/>
  <c r="T2198" i="157"/>
  <c r="T2199" i="157"/>
  <c r="T2200" i="157"/>
  <c r="U2200" i="157" s="1"/>
  <c r="T2201" i="157"/>
  <c r="U2201" i="157" s="1"/>
  <c r="T2202" i="157"/>
  <c r="T2203" i="157"/>
  <c r="T2206" i="157"/>
  <c r="U2206" i="157" s="1"/>
  <c r="T2204" i="157"/>
  <c r="U2204" i="157" s="1"/>
  <c r="T2196" i="157"/>
  <c r="T2195" i="157"/>
  <c r="T2190" i="157"/>
  <c r="U2190" i="157" s="1"/>
  <c r="T2185" i="157"/>
  <c r="U2185" i="157" s="1"/>
  <c r="T2186" i="157"/>
  <c r="T2187" i="157"/>
  <c r="T2194" i="157"/>
  <c r="U2194" i="157" s="1"/>
  <c r="T2191" i="157"/>
  <c r="U2191" i="157" s="1"/>
  <c r="T2192" i="157"/>
  <c r="T2189" i="157"/>
  <c r="T2188" i="157"/>
  <c r="U2188" i="157" s="1"/>
  <c r="T2193" i="157"/>
  <c r="U2193" i="157" s="1"/>
  <c r="T2183" i="157"/>
  <c r="T2184" i="157"/>
  <c r="T2179" i="157"/>
  <c r="U2179" i="157" s="1"/>
  <c r="T2178" i="157"/>
  <c r="U2178" i="157" s="1"/>
  <c r="T2181" i="157"/>
  <c r="T2180" i="157"/>
  <c r="T2182" i="157"/>
  <c r="U2182" i="157" s="1"/>
  <c r="T2176" i="157"/>
  <c r="U2176" i="157" s="1"/>
  <c r="T2177" i="157"/>
  <c r="T2175" i="157"/>
  <c r="T2174" i="157"/>
  <c r="U2174" i="157" s="1"/>
  <c r="T2173" i="157"/>
  <c r="U2173" i="157" s="1"/>
  <c r="T2163" i="157"/>
  <c r="T2164" i="157"/>
  <c r="T2170" i="157"/>
  <c r="U2170" i="157" s="1"/>
  <c r="T2165" i="157"/>
  <c r="U2165" i="157" s="1"/>
  <c r="T2171" i="157"/>
  <c r="T2172" i="157"/>
  <c r="T2166" i="157"/>
  <c r="U2166" i="157" s="1"/>
  <c r="T2167" i="157"/>
  <c r="U2167" i="157" s="1"/>
  <c r="T2168" i="157"/>
  <c r="T2169" i="157"/>
  <c r="T2162" i="157"/>
  <c r="U2162" i="157" s="1"/>
  <c r="T2159" i="157"/>
  <c r="U2159" i="157" s="1"/>
  <c r="T2160" i="157"/>
  <c r="T2161" i="157"/>
  <c r="T2152" i="157"/>
  <c r="U2152" i="157" s="1"/>
  <c r="T2157" i="157"/>
  <c r="U2157" i="157" s="1"/>
  <c r="T2155" i="157"/>
  <c r="T2153" i="157"/>
  <c r="T2156" i="157"/>
  <c r="U2156" i="157" s="1"/>
  <c r="T2154" i="157"/>
  <c r="U2154" i="157" s="1"/>
  <c r="T2158" i="157"/>
  <c r="T2150" i="157"/>
  <c r="T2151" i="157"/>
  <c r="U2151" i="157" s="1"/>
  <c r="T2147" i="157"/>
  <c r="U2147" i="157" s="1"/>
  <c r="T2148" i="157"/>
  <c r="T2149" i="157"/>
  <c r="T2146" i="157"/>
  <c r="U2146" i="157" s="1"/>
  <c r="T2145" i="157"/>
  <c r="U2145" i="157" s="1"/>
  <c r="T2143" i="157"/>
  <c r="T2144" i="157"/>
  <c r="T2141" i="157"/>
  <c r="U2141" i="157" s="1"/>
  <c r="T2137" i="157"/>
  <c r="U2137" i="157" s="1"/>
  <c r="T2136" i="157"/>
  <c r="T2138" i="157"/>
  <c r="T2139" i="157"/>
  <c r="U2139" i="157" s="1"/>
  <c r="T2142" i="157"/>
  <c r="U2142" i="157" s="1"/>
  <c r="T2140" i="157"/>
  <c r="T2134" i="157"/>
  <c r="T2133" i="157"/>
  <c r="U2133" i="157" s="1"/>
  <c r="T2135" i="157"/>
  <c r="U2135" i="157" s="1"/>
  <c r="T2131" i="157"/>
  <c r="T2128" i="157"/>
  <c r="T2132" i="157"/>
  <c r="U2132" i="157" s="1"/>
  <c r="T2129" i="157"/>
  <c r="U2129" i="157" s="1"/>
  <c r="T2130" i="157"/>
  <c r="T2127" i="157"/>
  <c r="T2126" i="157"/>
  <c r="U2126" i="157" s="1"/>
  <c r="T2116" i="157"/>
  <c r="U2116" i="157" s="1"/>
  <c r="T2123" i="157"/>
  <c r="T2117" i="157"/>
  <c r="T2118" i="157"/>
  <c r="U2118" i="157" s="1"/>
  <c r="T2119" i="157"/>
  <c r="U2119" i="157" s="1"/>
  <c r="T2120" i="157"/>
  <c r="T2121" i="157"/>
  <c r="T2125" i="157"/>
  <c r="U2125" i="157" s="1"/>
  <c r="T2124" i="157"/>
  <c r="U2124" i="157" s="1"/>
  <c r="T2122" i="157"/>
  <c r="T2108" i="157"/>
  <c r="T2109" i="157"/>
  <c r="U2109" i="157" s="1"/>
  <c r="T2110" i="157"/>
  <c r="U2110" i="157" s="1"/>
  <c r="T2111" i="157"/>
  <c r="T2112" i="157"/>
  <c r="T2113" i="157"/>
  <c r="U2113" i="157" s="1"/>
  <c r="T2115" i="157"/>
  <c r="U2115" i="157" s="1"/>
  <c r="T2114" i="157"/>
  <c r="T2096" i="157"/>
  <c r="T2104" i="157"/>
  <c r="U2104" i="157" s="1"/>
  <c r="T2093" i="157"/>
  <c r="U2093" i="157" s="1"/>
  <c r="T2107" i="157"/>
  <c r="T2100" i="157"/>
  <c r="T2105" i="157"/>
  <c r="U2105" i="157" s="1"/>
  <c r="T2106" i="157"/>
  <c r="U2106" i="157" s="1"/>
  <c r="T2098" i="157"/>
  <c r="T2097" i="157"/>
  <c r="T2099" i="157"/>
  <c r="U2099" i="157" s="1"/>
  <c r="T2102" i="157"/>
  <c r="U2102" i="157" s="1"/>
  <c r="T2103" i="157"/>
  <c r="T2094" i="157"/>
  <c r="T2095" i="157"/>
  <c r="U2095" i="157" s="1"/>
  <c r="T2101" i="157"/>
  <c r="U2101" i="157" s="1"/>
  <c r="T2092" i="157"/>
  <c r="T2090" i="157"/>
  <c r="T2089" i="157"/>
  <c r="U2089" i="157" s="1"/>
  <c r="T2083" i="157"/>
  <c r="U2083" i="157" s="1"/>
  <c r="T2081" i="157"/>
  <c r="T2091" i="157"/>
  <c r="T2082" i="157"/>
  <c r="U2082" i="157" s="1"/>
  <c r="T2084" i="157"/>
  <c r="U2084" i="157" s="1"/>
  <c r="T2087" i="157"/>
  <c r="T2088" i="157"/>
  <c r="T2085" i="157"/>
  <c r="U2085" i="157" s="1"/>
  <c r="T2086" i="157"/>
  <c r="U2086" i="157" s="1"/>
  <c r="T2079" i="157"/>
  <c r="T2080" i="157"/>
  <c r="T2076" i="157"/>
  <c r="U2076" i="157" s="1"/>
  <c r="T2073" i="157"/>
  <c r="U2073" i="157" s="1"/>
  <c r="T2078" i="157"/>
  <c r="T2077" i="157"/>
  <c r="T2074" i="157"/>
  <c r="U2074" i="157" s="1"/>
  <c r="T2075" i="157"/>
  <c r="U2075" i="157" s="1"/>
  <c r="T2071" i="157"/>
  <c r="T2072" i="157"/>
  <c r="T2070" i="157"/>
  <c r="U2070" i="157" s="1"/>
  <c r="T2069" i="157"/>
  <c r="U2069" i="157" s="1"/>
  <c r="T2067" i="157"/>
  <c r="T2068" i="157"/>
  <c r="T2064" i="157"/>
  <c r="U2064" i="157" s="1"/>
  <c r="T2065" i="157"/>
  <c r="U2065" i="157" s="1"/>
  <c r="T2066" i="157"/>
  <c r="T2058" i="157"/>
  <c r="T2059" i="157"/>
  <c r="U2059" i="157" s="1"/>
  <c r="T2060" i="157"/>
  <c r="U2060" i="157" s="1"/>
  <c r="T2061" i="157"/>
  <c r="T2062" i="157"/>
  <c r="T2063" i="157"/>
  <c r="U2063" i="157" s="1"/>
  <c r="T2057" i="157"/>
  <c r="U2057" i="157" s="1"/>
  <c r="T2054" i="157"/>
  <c r="T2056" i="157"/>
  <c r="T2055" i="157"/>
  <c r="U2055" i="157" s="1"/>
  <c r="T2053" i="157"/>
  <c r="U2053" i="157" s="1"/>
  <c r="T2049" i="157"/>
  <c r="T2050" i="157"/>
  <c r="T2051" i="157"/>
  <c r="U2051" i="157" s="1"/>
  <c r="T2052" i="157"/>
  <c r="U2052" i="157" s="1"/>
  <c r="T2047" i="157"/>
  <c r="T2048" i="157"/>
  <c r="T2046" i="157"/>
  <c r="U2046" i="157" s="1"/>
  <c r="T2045" i="157"/>
  <c r="U2045" i="157" s="1"/>
  <c r="T2043" i="157"/>
  <c r="T2042" i="157"/>
  <c r="T2034" i="157"/>
  <c r="U2034" i="157" s="1"/>
  <c r="T2035" i="157"/>
  <c r="U2035" i="157" s="1"/>
  <c r="T2044" i="157"/>
  <c r="T2033" i="157"/>
  <c r="T2032" i="157"/>
  <c r="U2032" i="157" s="1"/>
  <c r="T2041" i="157"/>
  <c r="U2041" i="157" s="1"/>
  <c r="T2036" i="157"/>
  <c r="T2037" i="157"/>
  <c r="T2038" i="157"/>
  <c r="U2038" i="157" s="1"/>
  <c r="T2039" i="157"/>
  <c r="U2039" i="157" s="1"/>
  <c r="T2040" i="157"/>
  <c r="T2030" i="157"/>
  <c r="T2031" i="157"/>
  <c r="U2031" i="157" s="1"/>
  <c r="T2024" i="157"/>
  <c r="U2024" i="157" s="1"/>
  <c r="T2025" i="157"/>
  <c r="T2026" i="157"/>
  <c r="T2027" i="157"/>
  <c r="U2027" i="157" s="1"/>
  <c r="T2028" i="157"/>
  <c r="U2028" i="157" s="1"/>
  <c r="T2029" i="157"/>
  <c r="T2023" i="157"/>
  <c r="T2022" i="157"/>
  <c r="U2022" i="157" s="1"/>
  <c r="T2020" i="157"/>
  <c r="U2020" i="157" s="1"/>
  <c r="T2008" i="157"/>
  <c r="T2014" i="157"/>
  <c r="T2021" i="157"/>
  <c r="U2021" i="157" s="1"/>
  <c r="T2015" i="157"/>
  <c r="U2015" i="157" s="1"/>
  <c r="T2012" i="157"/>
  <c r="T2011" i="157"/>
  <c r="T2009" i="157"/>
  <c r="U2009" i="157" s="1"/>
  <c r="T2013" i="157"/>
  <c r="U2013" i="157" s="1"/>
  <c r="T2018" i="157"/>
  <c r="T2017" i="157"/>
  <c r="T2010" i="157"/>
  <c r="U2010" i="157" s="1"/>
  <c r="T2019" i="157"/>
  <c r="U2019" i="157" s="1"/>
  <c r="T2016" i="157"/>
  <c r="T2007" i="157"/>
  <c r="T2005" i="157"/>
  <c r="U2005" i="157" s="1"/>
  <c r="T2006" i="157"/>
  <c r="U2006" i="157" s="1"/>
  <c r="T2002" i="157"/>
  <c r="T2001" i="157"/>
  <c r="T2004" i="157"/>
  <c r="U2004" i="157" s="1"/>
  <c r="T2003" i="157"/>
  <c r="U2003" i="157" s="1"/>
  <c r="T2000" i="157"/>
  <c r="T1999" i="157"/>
  <c r="T1998" i="157"/>
  <c r="U1998" i="157" s="1"/>
  <c r="T1997" i="157"/>
  <c r="U1997" i="157" s="1"/>
  <c r="T1996" i="157"/>
  <c r="T1995" i="157"/>
  <c r="T1994" i="157"/>
  <c r="U1994" i="157" s="1"/>
  <c r="T1993" i="157"/>
  <c r="U1993" i="157" s="1"/>
  <c r="T1990" i="157"/>
  <c r="T1991" i="157"/>
  <c r="T1992" i="157"/>
  <c r="U1992" i="157" s="1"/>
  <c r="T1989" i="157"/>
  <c r="U1989" i="157" s="1"/>
  <c r="T1988" i="157"/>
  <c r="T1985" i="157"/>
  <c r="T1977" i="157"/>
  <c r="T1986" i="157"/>
  <c r="U1986" i="157" s="1"/>
  <c r="T1987" i="157"/>
  <c r="T1978" i="157"/>
  <c r="T1979" i="157"/>
  <c r="U1979" i="157" s="1"/>
  <c r="T1980" i="157"/>
  <c r="U1980" i="157" s="1"/>
  <c r="T1981" i="157"/>
  <c r="T1982" i="157"/>
  <c r="T1983" i="157"/>
  <c r="U1983" i="157" s="1"/>
  <c r="T1984" i="157"/>
  <c r="U1984" i="157" s="1"/>
  <c r="T1975" i="157"/>
  <c r="T1976" i="157"/>
  <c r="T1974" i="157"/>
  <c r="T1973" i="157"/>
  <c r="U1973" i="157" s="1"/>
  <c r="T1972" i="157"/>
  <c r="T1969" i="157"/>
  <c r="T1967" i="157"/>
  <c r="U1967" i="157" s="1"/>
  <c r="T1968" i="157"/>
  <c r="U1968" i="157" s="1"/>
  <c r="T1971" i="157"/>
  <c r="T1970" i="157"/>
  <c r="T1960" i="157"/>
  <c r="U1960" i="157" s="1"/>
  <c r="T1961" i="157"/>
  <c r="U1961" i="157" s="1"/>
  <c r="T1962" i="157"/>
  <c r="T1963" i="157"/>
  <c r="T1966" i="157"/>
  <c r="U1966" i="157" s="1"/>
  <c r="T1958" i="157"/>
  <c r="U1958" i="157" s="1"/>
  <c r="T1959" i="157"/>
  <c r="T1965" i="157"/>
  <c r="T1964" i="157"/>
  <c r="U1964" i="157" s="1"/>
  <c r="T1955" i="157"/>
  <c r="U1955" i="157" s="1"/>
  <c r="T1956" i="157"/>
  <c r="T1957" i="157"/>
  <c r="T1953" i="157"/>
  <c r="T1954" i="157"/>
  <c r="U1954" i="157" s="1"/>
  <c r="T1943" i="157"/>
  <c r="T1941" i="157"/>
  <c r="T1951" i="157"/>
  <c r="U1951" i="157" s="1"/>
  <c r="T1950" i="157"/>
  <c r="U1950" i="157" s="1"/>
  <c r="T1952" i="157"/>
  <c r="T1940" i="157"/>
  <c r="T1946" i="157"/>
  <c r="U1946" i="157" s="1"/>
  <c r="T1944" i="157"/>
  <c r="U1944" i="157" s="1"/>
  <c r="T1949" i="157"/>
  <c r="T1945" i="157"/>
  <c r="T1947" i="157"/>
  <c r="T1942" i="157"/>
  <c r="U1942" i="157" s="1"/>
  <c r="T1948" i="157"/>
  <c r="T1939" i="157"/>
  <c r="T1927" i="157"/>
  <c r="U1927" i="157" s="1"/>
  <c r="T1928" i="157"/>
  <c r="U1928" i="157" s="1"/>
  <c r="T1937" i="157"/>
  <c r="T1930" i="157"/>
  <c r="T1938" i="157"/>
  <c r="U1938" i="157" s="1"/>
  <c r="T1931" i="157"/>
  <c r="U1931" i="157" s="1"/>
  <c r="T1929" i="157"/>
  <c r="T1932" i="157"/>
  <c r="T1933" i="157"/>
  <c r="U1933" i="157" s="1"/>
  <c r="T1934" i="157"/>
  <c r="U1934" i="157" s="1"/>
  <c r="T1935" i="157"/>
  <c r="T1936" i="157"/>
  <c r="T1923" i="157"/>
  <c r="U1923" i="157" s="1"/>
  <c r="T1917" i="157"/>
  <c r="U1917" i="157" s="1"/>
  <c r="T1918" i="157"/>
  <c r="T1919" i="157"/>
  <c r="T1920" i="157"/>
  <c r="T1921" i="157"/>
  <c r="U1921" i="157" s="1"/>
  <c r="T1922" i="157"/>
  <c r="T1926" i="157"/>
  <c r="T1925" i="157"/>
  <c r="U1925" i="157" s="1"/>
  <c r="T1924" i="157"/>
  <c r="U1924" i="157" s="1"/>
  <c r="T1916" i="157"/>
  <c r="T1914" i="157"/>
  <c r="T1915" i="157"/>
  <c r="U1915" i="157" s="1"/>
  <c r="T1912" i="157"/>
  <c r="U1912" i="157" s="1"/>
  <c r="T1913" i="157"/>
  <c r="T1911" i="157"/>
  <c r="T1904" i="157"/>
  <c r="T1901" i="157"/>
  <c r="U1901" i="157" s="1"/>
  <c r="T1899" i="157"/>
  <c r="T1910" i="157"/>
  <c r="T1902" i="157"/>
  <c r="U1902" i="157" s="1"/>
  <c r="T1909" i="157"/>
  <c r="U1909" i="157" s="1"/>
  <c r="T1908" i="157"/>
  <c r="T1906" i="157"/>
  <c r="T1907" i="157"/>
  <c r="U1907" i="157" s="1"/>
  <c r="T1898" i="157"/>
  <c r="U1898" i="157" s="1"/>
  <c r="T1897" i="157"/>
  <c r="T1905" i="157"/>
  <c r="T1903" i="157"/>
  <c r="U1903" i="157" s="1"/>
  <c r="T1900" i="157"/>
  <c r="U1900" i="157" s="1"/>
  <c r="T1896" i="157"/>
  <c r="T1895" i="157"/>
  <c r="T1894" i="157"/>
  <c r="U1894" i="157" s="1"/>
  <c r="T1883" i="157"/>
  <c r="U1883" i="157" s="1"/>
  <c r="T1890" i="157"/>
  <c r="T1891" i="157"/>
  <c r="T1887" i="157"/>
  <c r="U1887" i="157" s="1"/>
  <c r="T1888" i="157"/>
  <c r="U1888" i="157" s="1"/>
  <c r="T1884" i="157"/>
  <c r="T1882" i="157"/>
  <c r="T1892" i="157"/>
  <c r="U1892" i="157" s="1"/>
  <c r="T1893" i="157"/>
  <c r="U1893" i="157" s="1"/>
  <c r="T1889" i="157"/>
  <c r="T1879" i="157"/>
  <c r="T1880" i="157"/>
  <c r="U1880" i="157" s="1"/>
  <c r="T1885" i="157"/>
  <c r="U1885" i="157" s="1"/>
  <c r="T1886" i="157"/>
  <c r="T1881" i="157"/>
  <c r="T1874" i="157"/>
  <c r="T1875" i="157"/>
  <c r="U1875" i="157" s="1"/>
  <c r="T1878" i="157"/>
  <c r="T1877" i="157"/>
  <c r="T1876" i="157"/>
  <c r="U1876" i="157" s="1"/>
  <c r="T1873" i="157"/>
  <c r="U1873" i="157" s="1"/>
  <c r="T1872" i="157"/>
  <c r="T1870" i="157"/>
  <c r="T1871" i="157"/>
  <c r="U1871" i="157" s="1"/>
  <c r="T1854" i="157"/>
  <c r="U1854" i="157" s="1"/>
  <c r="T1857" i="157"/>
  <c r="T1858" i="157"/>
  <c r="T1859" i="157"/>
  <c r="U1859" i="157" s="1"/>
  <c r="T1860" i="157"/>
  <c r="U1860" i="157" s="1"/>
  <c r="T1856" i="157"/>
  <c r="T1855" i="157"/>
  <c r="T1861" i="157"/>
  <c r="U1861" i="157" s="1"/>
  <c r="T1869" i="157"/>
  <c r="U1869" i="157" s="1"/>
  <c r="T1868" i="157"/>
  <c r="T1862" i="157"/>
  <c r="T1863" i="157"/>
  <c r="T1864" i="157"/>
  <c r="U1864" i="157" s="1"/>
  <c r="T1865" i="157"/>
  <c r="T1866" i="157"/>
  <c r="T1867" i="157"/>
  <c r="U1867" i="157" s="1"/>
  <c r="T1852" i="157"/>
  <c r="U1852" i="157" s="1"/>
  <c r="T1853" i="157"/>
  <c r="T1848" i="157"/>
  <c r="T1841" i="157"/>
  <c r="U1841" i="157" s="1"/>
  <c r="T1844" i="157"/>
  <c r="U1844" i="157" s="1"/>
  <c r="T1842" i="157"/>
  <c r="T1849" i="157"/>
  <c r="T1845" i="157"/>
  <c r="U1845" i="157" s="1"/>
  <c r="T1851" i="157"/>
  <c r="U1851" i="157" s="1"/>
  <c r="T1850" i="157"/>
  <c r="T1843" i="157"/>
  <c r="T1847" i="157"/>
  <c r="U1847" i="157" s="1"/>
  <c r="T1846" i="157"/>
  <c r="U1846" i="157" s="1"/>
  <c r="T1840" i="157"/>
  <c r="T1838" i="157"/>
  <c r="T1839" i="157"/>
  <c r="U1839" i="157" s="1"/>
  <c r="T1837" i="157"/>
  <c r="U1837" i="157" s="1"/>
  <c r="T1836" i="157"/>
  <c r="T1834" i="157"/>
  <c r="T1826" i="157"/>
  <c r="U1826" i="157" s="1"/>
  <c r="T1833" i="157"/>
  <c r="U1833" i="157" s="1"/>
  <c r="T1825" i="157"/>
  <c r="T1832" i="157"/>
  <c r="T1827" i="157"/>
  <c r="U1827" i="157" s="1"/>
  <c r="T1835" i="157"/>
  <c r="U1835" i="157" s="1"/>
  <c r="T1828" i="157"/>
  <c r="T1829" i="157"/>
  <c r="T1830" i="157"/>
  <c r="U1830" i="157" s="1"/>
  <c r="T1831" i="157"/>
  <c r="U1831" i="157" s="1"/>
  <c r="T1823" i="157"/>
  <c r="T1817" i="157"/>
  <c r="T1818" i="157"/>
  <c r="U1818" i="157" s="1"/>
  <c r="T1819" i="157"/>
  <c r="U1819" i="157" s="1"/>
  <c r="T1820" i="157"/>
  <c r="T1821" i="157"/>
  <c r="T1822" i="157"/>
  <c r="U1822" i="157" s="1"/>
  <c r="T1824" i="157"/>
  <c r="U1824" i="157" s="1"/>
  <c r="T1814" i="157"/>
  <c r="T1816" i="157"/>
  <c r="T1815" i="157"/>
  <c r="T1813" i="157"/>
  <c r="U1813" i="157" s="1"/>
  <c r="T1812" i="157"/>
  <c r="T1808" i="157"/>
  <c r="T1809" i="157"/>
  <c r="U1809" i="157" s="1"/>
  <c r="T1810" i="157"/>
  <c r="U1810" i="157" s="1"/>
  <c r="T1811" i="157"/>
  <c r="T1807" i="157"/>
  <c r="T1801" i="157"/>
  <c r="U1801" i="157" s="1"/>
  <c r="T1802" i="157"/>
  <c r="U1802" i="157" s="1"/>
  <c r="T1806" i="157"/>
  <c r="T1805" i="157"/>
  <c r="T1803" i="157"/>
  <c r="U1803" i="157" s="1"/>
  <c r="T1804" i="157"/>
  <c r="U1804" i="157" s="1"/>
  <c r="T1789" i="157"/>
  <c r="T1791" i="157"/>
  <c r="T1792" i="157"/>
  <c r="U1792" i="157" s="1"/>
  <c r="T1793" i="157"/>
  <c r="U1793" i="157" s="1"/>
  <c r="T1794" i="157"/>
  <c r="T1790" i="157"/>
  <c r="T1800" i="157"/>
  <c r="T1795" i="157"/>
  <c r="U1795" i="157" s="1"/>
  <c r="T1799" i="157"/>
  <c r="T1798" i="157"/>
  <c r="T1796" i="157"/>
  <c r="U1796" i="157" s="1"/>
  <c r="T1797" i="157"/>
  <c r="U1797" i="157" s="1"/>
  <c r="T1788" i="157"/>
  <c r="T1781" i="157"/>
  <c r="T1783" i="157"/>
  <c r="U1783" i="157" s="1"/>
  <c r="T1785" i="157"/>
  <c r="U1785" i="157" s="1"/>
  <c r="T1780" i="157"/>
  <c r="T1787" i="157"/>
  <c r="T1786" i="157"/>
  <c r="U1786" i="157" s="1"/>
  <c r="T1784" i="157"/>
  <c r="U1784" i="157" s="1"/>
  <c r="T1782" i="157"/>
  <c r="T1779" i="157"/>
  <c r="T1778" i="157"/>
  <c r="U1778" i="157" s="1"/>
  <c r="T1774" i="157"/>
  <c r="U1774" i="157" s="1"/>
  <c r="T1776" i="157"/>
  <c r="T1775" i="157"/>
  <c r="T1777" i="157"/>
  <c r="U1777" i="157" s="1"/>
  <c r="T1773" i="157"/>
  <c r="U1773" i="157" s="1"/>
  <c r="T1770" i="157"/>
  <c r="T1772" i="157"/>
  <c r="T1771" i="157"/>
  <c r="U1771" i="157" s="1"/>
  <c r="T1769" i="157"/>
  <c r="U1769" i="157" s="1"/>
  <c r="T1768" i="157"/>
  <c r="T1767" i="157"/>
  <c r="T1766" i="157"/>
  <c r="U1766" i="157" s="1"/>
  <c r="T1765" i="157"/>
  <c r="U1765" i="157" s="1"/>
  <c r="T1764" i="157"/>
  <c r="T1763" i="157"/>
  <c r="T1761" i="157"/>
  <c r="U1761" i="157" s="1"/>
  <c r="T1759" i="157"/>
  <c r="U1759" i="157" s="1"/>
  <c r="T1760" i="157"/>
  <c r="T1755" i="157"/>
  <c r="T1762" i="157"/>
  <c r="U1762" i="157" s="1"/>
  <c r="T1758" i="157"/>
  <c r="U1758" i="157" s="1"/>
  <c r="T1756" i="157"/>
  <c r="T1757" i="157"/>
  <c r="T1750" i="157"/>
  <c r="U1750" i="157" s="1"/>
  <c r="T1751" i="157"/>
  <c r="U1751" i="157" s="1"/>
  <c r="T1752" i="157"/>
  <c r="T1753" i="157"/>
  <c r="T1754" i="157"/>
  <c r="T1749" i="157"/>
  <c r="U1749" i="157" s="1"/>
  <c r="T1743" i="157"/>
  <c r="T1746" i="157"/>
  <c r="T1741" i="157"/>
  <c r="U1741" i="157" s="1"/>
  <c r="T1735" i="157"/>
  <c r="U1735" i="157" s="1"/>
  <c r="T1739" i="157"/>
  <c r="T1736" i="157"/>
  <c r="T1737" i="157"/>
  <c r="U1737" i="157" s="1"/>
  <c r="T1747" i="157"/>
  <c r="U1747" i="157" s="1"/>
  <c r="T1748" i="157"/>
  <c r="T1740" i="157"/>
  <c r="T1738" i="157"/>
  <c r="U1738" i="157" s="1"/>
  <c r="T1745" i="157"/>
  <c r="U1745" i="157" s="1"/>
  <c r="T1744" i="157"/>
  <c r="T1742" i="157"/>
  <c r="T1734" i="157"/>
  <c r="U1734" i="157" s="1"/>
  <c r="T1732" i="157"/>
  <c r="U1732" i="157" s="1"/>
  <c r="T1733" i="157"/>
  <c r="T1731" i="157"/>
  <c r="T1730" i="157"/>
  <c r="T1725" i="157"/>
  <c r="U1725" i="157" s="1"/>
  <c r="T1727" i="157"/>
  <c r="T1728" i="157"/>
  <c r="T1726" i="157"/>
  <c r="U1726" i="157" s="1"/>
  <c r="T1729" i="157"/>
  <c r="U1729" i="157" s="1"/>
  <c r="T1722" i="157"/>
  <c r="T1723" i="157"/>
  <c r="T1724" i="157"/>
  <c r="U1724" i="157" s="1"/>
  <c r="T1719" i="157"/>
  <c r="U1719" i="157" s="1"/>
  <c r="T1721" i="157"/>
  <c r="T1720" i="157"/>
  <c r="T1718" i="157"/>
  <c r="U1718" i="157" s="1"/>
  <c r="T1717" i="157"/>
  <c r="U1717" i="157" s="1"/>
  <c r="T1714" i="157"/>
  <c r="T1716" i="157"/>
  <c r="T1713" i="157"/>
  <c r="U1713" i="157" s="1"/>
  <c r="T1715" i="157"/>
  <c r="U1715" i="157" s="1"/>
  <c r="T1707" i="157"/>
  <c r="T1708" i="157"/>
  <c r="T1709" i="157"/>
  <c r="U1709" i="157" s="1"/>
  <c r="T1710" i="157"/>
  <c r="U1710" i="157" s="1"/>
  <c r="T1711" i="157"/>
  <c r="T1712" i="157"/>
  <c r="T1706" i="157"/>
  <c r="U1706" i="157" s="1"/>
  <c r="T1705" i="157"/>
  <c r="U1705" i="157" s="1"/>
  <c r="T1701" i="157"/>
  <c r="T1702" i="157"/>
  <c r="T1700" i="157"/>
  <c r="U1700" i="157" s="1"/>
  <c r="T1703" i="157"/>
  <c r="U1703" i="157" s="1"/>
  <c r="T1704" i="157"/>
  <c r="T1680" i="157"/>
  <c r="T1679" i="157"/>
  <c r="U1679" i="157" s="1"/>
  <c r="T1678" i="157"/>
  <c r="U1678" i="157" s="1"/>
  <c r="T1699" i="157"/>
  <c r="T1689" i="157"/>
  <c r="T1695" i="157"/>
  <c r="U1695" i="157" s="1"/>
  <c r="T1690" i="157"/>
  <c r="U1690" i="157" s="1"/>
  <c r="T1684" i="157"/>
  <c r="T1685" i="157"/>
  <c r="T1687" i="157"/>
  <c r="U1687" i="157" s="1"/>
  <c r="T1697" i="157"/>
  <c r="U1697" i="157" s="1"/>
  <c r="T1696" i="157"/>
  <c r="T1686" i="157"/>
  <c r="T1688" i="157"/>
  <c r="T1681" i="157"/>
  <c r="U1681" i="157" s="1"/>
  <c r="T1698" i="157"/>
  <c r="T1693" i="157"/>
  <c r="T1691" i="157"/>
  <c r="U1691" i="157" s="1"/>
  <c r="T1692" i="157"/>
  <c r="U1692" i="157" s="1"/>
  <c r="T1683" i="157"/>
  <c r="T1694" i="157"/>
  <c r="T1682" i="157"/>
  <c r="U1682" i="157" s="1"/>
  <c r="T1677" i="157"/>
  <c r="U1677" i="157" s="1"/>
  <c r="T1675" i="157"/>
  <c r="T1676" i="157"/>
  <c r="T1674" i="157"/>
  <c r="U1674" i="157" s="1"/>
  <c r="T1673" i="157"/>
  <c r="U1673" i="157" s="1"/>
  <c r="T1672" i="157"/>
  <c r="T1663" i="157"/>
  <c r="T1664" i="157"/>
  <c r="U1664" i="157" s="1"/>
  <c r="T1661" i="157"/>
  <c r="U1661" i="157" s="1"/>
  <c r="T1670" i="157"/>
  <c r="T1669" i="157"/>
  <c r="T1666" i="157"/>
  <c r="T1671" i="157"/>
  <c r="U1671" i="157" s="1"/>
  <c r="T1668" i="157"/>
  <c r="T1667" i="157"/>
  <c r="T1662" i="157"/>
  <c r="U1662" i="157" s="1"/>
  <c r="T1665" i="157"/>
  <c r="U1665" i="157" s="1"/>
  <c r="T1659" i="157"/>
  <c r="T1660" i="157"/>
  <c r="T1658" i="157"/>
  <c r="U1658" i="157" s="1"/>
  <c r="T1657" i="157"/>
  <c r="U1657" i="157" s="1"/>
  <c r="T1656" i="157"/>
  <c r="T1655" i="157"/>
  <c r="T1653" i="157"/>
  <c r="T1654" i="157"/>
  <c r="U1654" i="157" s="1"/>
  <c r="T1652" i="157"/>
  <c r="T1648" i="157"/>
  <c r="T1649" i="157"/>
  <c r="U1649" i="157" s="1"/>
  <c r="T1650" i="157"/>
  <c r="U1650" i="157" s="1"/>
  <c r="T1651" i="157"/>
  <c r="T1647" i="157"/>
  <c r="T1637" i="157"/>
  <c r="U1637" i="157" s="1"/>
  <c r="T1645" i="157"/>
  <c r="U1645" i="157" s="1"/>
  <c r="T1642" i="157"/>
  <c r="T1635" i="157"/>
  <c r="T1638" i="157"/>
  <c r="U1638" i="157" s="1"/>
  <c r="T1646" i="157"/>
  <c r="U1646" i="157" s="1"/>
  <c r="T1644" i="157"/>
  <c r="T1643" i="157"/>
  <c r="T1639" i="157"/>
  <c r="U1639" i="157" s="1"/>
  <c r="T1640" i="157"/>
  <c r="U1640" i="157" s="1"/>
  <c r="T1641" i="157"/>
  <c r="T1636" i="157"/>
  <c r="T1634" i="157"/>
  <c r="U1634" i="157" s="1"/>
  <c r="T1633" i="157"/>
  <c r="U1633" i="157" s="1"/>
  <c r="T1630" i="157"/>
  <c r="T1631" i="157"/>
  <c r="T1632" i="157"/>
  <c r="U1632" i="157" s="1"/>
  <c r="T1623" i="157"/>
  <c r="U1623" i="157" s="1"/>
  <c r="T1624" i="157"/>
  <c r="T1625" i="157"/>
  <c r="T1622" i="157"/>
  <c r="U1622" i="157" s="1"/>
  <c r="T1620" i="157"/>
  <c r="U1620" i="157" s="1"/>
  <c r="T1627" i="157"/>
  <c r="T1621" i="157"/>
  <c r="T1629" i="157"/>
  <c r="T1628" i="157"/>
  <c r="U1628" i="157" s="1"/>
  <c r="T1626" i="157"/>
  <c r="T1618" i="157"/>
  <c r="T1619" i="157"/>
  <c r="U1619" i="157" s="1"/>
  <c r="T1615" i="157"/>
  <c r="U1615" i="157" s="1"/>
  <c r="T1614" i="157"/>
  <c r="T1612" i="157"/>
  <c r="T1617" i="157"/>
  <c r="U1617" i="157" s="1"/>
  <c r="T1616" i="157"/>
  <c r="U1616" i="157" s="1"/>
  <c r="T1613" i="157"/>
  <c r="T1610" i="157"/>
  <c r="T1611" i="157"/>
  <c r="U1611" i="157" s="1"/>
  <c r="T1608" i="157"/>
  <c r="U1608" i="157" s="1"/>
  <c r="T1609" i="157"/>
  <c r="T1602" i="157"/>
  <c r="T1603" i="157"/>
  <c r="U1603" i="157" s="1"/>
  <c r="T1604" i="157"/>
  <c r="U1604" i="157" s="1"/>
  <c r="T1605" i="157"/>
  <c r="T1606" i="157"/>
  <c r="T1607" i="157"/>
  <c r="T1601" i="157"/>
  <c r="U1601" i="157" s="1"/>
  <c r="T1598" i="157"/>
  <c r="T1589" i="157"/>
  <c r="T1590" i="157"/>
  <c r="U1590" i="157" s="1"/>
  <c r="T1591" i="157"/>
  <c r="U1591" i="157" s="1"/>
  <c r="T1592" i="157"/>
  <c r="T1593" i="157"/>
  <c r="T1594" i="157"/>
  <c r="U1594" i="157" s="1"/>
  <c r="T1595" i="157"/>
  <c r="U1595" i="157" s="1"/>
  <c r="T1596" i="157"/>
  <c r="T1600" i="157"/>
  <c r="T1599" i="157"/>
  <c r="T1597" i="157"/>
  <c r="U1597" i="157" s="1"/>
  <c r="T1588" i="157"/>
  <c r="T1587" i="157"/>
  <c r="T1575" i="157"/>
  <c r="U1575" i="157" s="1"/>
  <c r="T1584" i="157"/>
  <c r="U1584" i="157" s="1"/>
  <c r="T1576" i="157"/>
  <c r="T1577" i="157"/>
  <c r="T1580" i="157"/>
  <c r="U1580" i="157" s="1"/>
  <c r="T1579" i="157"/>
  <c r="U1579" i="157" s="1"/>
  <c r="T1578" i="157"/>
  <c r="T1583" i="157"/>
  <c r="T1586" i="157"/>
  <c r="U1586" i="157" s="1"/>
  <c r="T1585" i="157"/>
  <c r="U1585" i="157" s="1"/>
  <c r="T1582" i="157"/>
  <c r="T1581" i="157"/>
  <c r="T1573" i="157"/>
  <c r="U1573" i="157" s="1"/>
  <c r="T1572" i="157"/>
  <c r="U1572" i="157" s="1"/>
  <c r="T1574" i="157"/>
  <c r="T1571" i="157"/>
  <c r="T1569" i="157"/>
  <c r="U1569" i="157" s="1"/>
  <c r="T1570" i="157"/>
  <c r="U1570" i="157" s="1"/>
  <c r="T1567" i="157"/>
  <c r="T1568" i="157"/>
  <c r="T1565" i="157"/>
  <c r="U1565" i="157" s="1"/>
  <c r="T1566" i="157"/>
  <c r="U1566" i="157" s="1"/>
  <c r="T1562" i="157"/>
  <c r="T1563" i="157"/>
  <c r="T1564" i="157"/>
  <c r="U1564" i="157" s="1"/>
  <c r="T1560" i="157"/>
  <c r="U1560" i="157" s="1"/>
  <c r="T1561" i="157"/>
  <c r="T1559" i="157"/>
  <c r="T1558" i="157"/>
  <c r="T1557" i="157"/>
  <c r="U1557" i="157" s="1"/>
  <c r="T1556" i="157"/>
  <c r="T1555" i="157"/>
  <c r="T1553" i="157"/>
  <c r="U1553" i="157" s="1"/>
  <c r="T1554" i="157"/>
  <c r="U1554" i="157" s="1"/>
  <c r="T1551" i="157"/>
  <c r="T1552" i="157"/>
  <c r="T1549" i="157"/>
  <c r="U1549" i="157" s="1"/>
  <c r="T1550" i="157"/>
  <c r="U1550" i="157" s="1"/>
  <c r="T1541" i="157"/>
  <c r="T1542" i="157"/>
  <c r="T1548" i="157"/>
  <c r="U1548" i="157" s="1"/>
  <c r="T1546" i="157"/>
  <c r="U1546" i="157" s="1"/>
  <c r="T1545" i="157"/>
  <c r="T1540" i="157"/>
  <c r="T1544" i="157"/>
  <c r="U1544" i="157" s="1"/>
  <c r="T1547" i="157"/>
  <c r="U1547" i="157" s="1"/>
  <c r="T1543" i="157"/>
  <c r="T1539" i="157"/>
  <c r="T1538" i="157"/>
  <c r="T1536" i="157"/>
  <c r="U1536" i="157" s="1"/>
  <c r="T1537" i="157"/>
  <c r="T1526" i="157"/>
  <c r="T1530" i="157"/>
  <c r="U1530" i="157" s="1"/>
  <c r="T1531" i="157"/>
  <c r="U1531" i="157" s="1"/>
  <c r="T1532" i="157"/>
  <c r="T1528" i="157"/>
  <c r="T1529" i="157"/>
  <c r="U1529" i="157" s="1"/>
  <c r="T1533" i="157"/>
  <c r="U1533" i="157" s="1"/>
  <c r="T1527" i="157"/>
  <c r="T1534" i="157"/>
  <c r="T1535" i="157"/>
  <c r="T1525" i="157"/>
  <c r="U1525" i="157" s="1"/>
  <c r="T1524" i="157"/>
  <c r="T1523" i="157"/>
  <c r="T1519" i="157"/>
  <c r="U1519" i="157" s="1"/>
  <c r="T1522" i="157"/>
  <c r="U1522" i="157" s="1"/>
  <c r="T1521" i="157"/>
  <c r="T1520" i="157"/>
  <c r="T1513" i="157"/>
  <c r="U1513" i="157" s="1"/>
  <c r="T1514" i="157"/>
  <c r="U1514" i="157" s="1"/>
  <c r="T1515" i="157"/>
  <c r="T1516" i="157"/>
  <c r="T1517" i="157"/>
  <c r="U1517" i="157" s="1"/>
  <c r="T1518" i="157"/>
  <c r="U1518" i="157" s="1"/>
  <c r="T1512" i="157"/>
  <c r="T1510" i="157"/>
  <c r="T1511" i="157"/>
  <c r="U1511" i="157" s="1"/>
  <c r="T1509" i="157"/>
  <c r="U1509" i="157" s="1"/>
  <c r="T1500" i="157"/>
  <c r="T1507" i="157"/>
  <c r="T1503" i="157"/>
  <c r="U1503" i="157" s="1"/>
  <c r="T1502" i="157"/>
  <c r="U1502" i="157" s="1"/>
  <c r="T1501" i="157"/>
  <c r="T1508" i="157"/>
  <c r="T1506" i="157"/>
  <c r="U1506" i="157" s="1"/>
  <c r="T1504" i="157"/>
  <c r="U1504" i="157" s="1"/>
  <c r="T1505" i="157"/>
  <c r="T1498" i="157"/>
  <c r="T1499" i="157"/>
  <c r="U1499" i="157" s="1"/>
  <c r="T1497" i="157"/>
  <c r="U1497" i="157" s="1"/>
  <c r="T1496" i="157"/>
  <c r="T1491" i="157"/>
  <c r="T1492" i="157"/>
  <c r="T1493" i="157"/>
  <c r="U1493" i="157" s="1"/>
  <c r="T1494" i="157"/>
  <c r="T1495" i="157"/>
  <c r="T1489" i="157"/>
  <c r="U1489" i="157" s="1"/>
  <c r="T1484" i="157"/>
  <c r="U1484" i="157" s="1"/>
  <c r="T1487" i="157"/>
  <c r="T1490" i="157"/>
  <c r="T1480" i="157"/>
  <c r="U1480" i="157" s="1"/>
  <c r="T1481" i="157"/>
  <c r="U1481" i="157" s="1"/>
  <c r="T1486" i="157"/>
  <c r="T1488" i="157"/>
  <c r="T1485" i="157"/>
  <c r="U1485" i="157" s="1"/>
  <c r="T1479" i="157"/>
  <c r="U1479" i="157" s="1"/>
  <c r="T1482" i="157"/>
  <c r="T1483" i="157"/>
  <c r="T1478" i="157"/>
  <c r="U1478" i="157" s="1"/>
  <c r="T1477" i="157"/>
  <c r="U1477" i="157" s="1"/>
  <c r="T1471" i="157"/>
  <c r="T1473" i="157"/>
  <c r="T1472" i="157"/>
  <c r="U1472" i="157" s="1"/>
  <c r="T1475" i="157"/>
  <c r="U1475" i="157" s="1"/>
  <c r="T1474" i="157"/>
  <c r="T1476" i="157"/>
  <c r="T1463" i="157"/>
  <c r="U1463" i="157" s="1"/>
  <c r="T1467" i="157"/>
  <c r="U1467" i="157" s="1"/>
  <c r="T1468" i="157"/>
  <c r="T1464" i="157"/>
  <c r="T1470" i="157"/>
  <c r="U1470" i="157" s="1"/>
  <c r="T1469" i="157"/>
  <c r="U1469" i="157" s="1"/>
  <c r="T1466" i="157"/>
  <c r="T1465" i="157"/>
  <c r="T1452" i="157"/>
  <c r="U1452" i="157" s="1"/>
  <c r="T1457" i="157"/>
  <c r="U1457" i="157" s="1"/>
  <c r="T1455" i="157"/>
  <c r="T1454" i="157"/>
  <c r="T1460" i="157"/>
  <c r="U1460" i="157" s="1"/>
  <c r="T1462" i="157"/>
  <c r="U1462" i="157" s="1"/>
  <c r="T1461" i="157"/>
  <c r="T1458" i="157"/>
  <c r="T1456" i="157"/>
  <c r="U1456" i="157" s="1"/>
  <c r="T1453" i="157"/>
  <c r="U1453" i="157" s="1"/>
  <c r="T1459" i="157"/>
  <c r="T1451" i="157"/>
  <c r="T1437" i="157"/>
  <c r="U1437" i="157" s="1"/>
  <c r="T1447" i="157"/>
  <c r="U1447" i="157" s="1"/>
  <c r="T1446" i="157"/>
  <c r="T1442" i="157"/>
  <c r="T1439" i="157"/>
  <c r="U1439" i="157" s="1"/>
  <c r="T1438" i="157"/>
  <c r="U1438" i="157" s="1"/>
  <c r="T1443" i="157"/>
  <c r="T1444" i="157"/>
  <c r="T1440" i="157"/>
  <c r="U1440" i="157" s="1"/>
  <c r="T1441" i="157"/>
  <c r="U1441" i="157" s="1"/>
  <c r="T1450" i="157"/>
  <c r="T1449" i="157"/>
  <c r="T1448" i="157"/>
  <c r="U1448" i="157" s="1"/>
  <c r="T1445" i="157"/>
  <c r="U1445" i="157" s="1"/>
  <c r="T1434" i="157"/>
  <c r="T1435" i="157"/>
  <c r="T1433" i="157"/>
  <c r="U1433" i="157" s="1"/>
  <c r="T1436" i="157"/>
  <c r="U1436" i="157" s="1"/>
  <c r="T1432" i="157"/>
  <c r="T1430" i="157"/>
  <c r="T1431" i="157"/>
  <c r="U1431" i="157" s="1"/>
  <c r="T1428" i="157"/>
  <c r="U1428" i="157" s="1"/>
  <c r="T1429" i="157"/>
  <c r="T1427" i="157"/>
  <c r="T1417" i="157"/>
  <c r="U1417" i="157" s="1"/>
  <c r="T1418" i="157"/>
  <c r="U1418" i="157" s="1"/>
  <c r="T1419" i="157"/>
  <c r="T1420" i="157"/>
  <c r="T1421" i="157"/>
  <c r="U1421" i="157" s="1"/>
  <c r="T1422" i="157"/>
  <c r="U1422" i="157" s="1"/>
  <c r="T1423" i="157"/>
  <c r="T1424" i="157"/>
  <c r="T1426" i="157"/>
  <c r="U1426" i="157" s="1"/>
  <c r="T1425" i="157"/>
  <c r="U1425" i="157" s="1"/>
  <c r="T1416" i="157"/>
  <c r="T1398" i="157"/>
  <c r="T1405" i="157"/>
  <c r="U1405" i="157" s="1"/>
  <c r="T1401" i="157"/>
  <c r="U1401" i="157" s="1"/>
  <c r="T1402" i="157"/>
  <c r="T1407" i="157"/>
  <c r="T1395" i="157"/>
  <c r="U1395" i="157" s="1"/>
  <c r="T1396" i="157"/>
  <c r="U1396" i="157" s="1"/>
  <c r="T1400" i="157"/>
  <c r="T1411" i="157"/>
  <c r="T1412" i="157"/>
  <c r="U1412" i="157" s="1"/>
  <c r="T1413" i="157"/>
  <c r="U1413" i="157" s="1"/>
  <c r="T1404" i="157"/>
  <c r="T1403" i="157"/>
  <c r="T1397" i="157"/>
  <c r="U1397" i="157" s="1"/>
  <c r="T1414" i="157"/>
  <c r="U1414" i="157" s="1"/>
  <c r="T1415" i="157"/>
  <c r="T1406" i="157"/>
  <c r="T1410" i="157"/>
  <c r="T1409" i="157"/>
  <c r="U1409" i="157" s="1"/>
  <c r="T1399" i="157"/>
  <c r="T1408" i="157"/>
  <c r="T1389" i="157"/>
  <c r="U1389" i="157" s="1"/>
  <c r="T1390" i="157"/>
  <c r="U1390" i="157" s="1"/>
  <c r="T1391" i="157"/>
  <c r="T1392" i="157"/>
  <c r="T1394" i="157"/>
  <c r="U1394" i="157" s="1"/>
  <c r="T1393" i="157"/>
  <c r="U1393" i="157" s="1"/>
  <c r="T1374" i="157"/>
  <c r="T1373" i="157"/>
  <c r="T1387" i="157"/>
  <c r="U1387" i="157" s="1"/>
  <c r="T1388" i="157"/>
  <c r="U1388" i="157" s="1"/>
  <c r="T1385" i="157"/>
  <c r="T1386" i="157"/>
  <c r="T1383" i="157"/>
  <c r="U1383" i="157" s="1"/>
  <c r="T1384" i="157"/>
  <c r="U1384" i="157" s="1"/>
  <c r="T1379" i="157"/>
  <c r="T1380" i="157"/>
  <c r="T1381" i="157"/>
  <c r="U1381" i="157" s="1"/>
  <c r="T1382" i="157"/>
  <c r="U1382" i="157" s="1"/>
  <c r="T1375" i="157"/>
  <c r="T1376" i="157"/>
  <c r="T1377" i="157"/>
  <c r="U1377" i="157" s="1"/>
  <c r="T1378" i="157"/>
  <c r="U1378" i="157" s="1"/>
  <c r="T1372" i="157"/>
  <c r="T1369" i="157"/>
  <c r="T1370" i="157"/>
  <c r="U1370" i="157" s="1"/>
  <c r="T1371" i="157"/>
  <c r="U1371" i="157" s="1"/>
  <c r="T1368" i="157"/>
  <c r="T1367" i="157"/>
  <c r="T1366" i="157"/>
  <c r="U1366" i="157" s="1"/>
  <c r="T1363" i="157"/>
  <c r="U1363" i="157" s="1"/>
  <c r="T1365" i="157"/>
  <c r="T1364" i="157"/>
  <c r="T1362" i="157"/>
  <c r="U1362" i="157" s="1"/>
  <c r="T1358" i="157"/>
  <c r="U1358" i="157" s="1"/>
  <c r="T1359" i="157"/>
  <c r="T1361" i="157"/>
  <c r="T1360" i="157"/>
  <c r="U1360" i="157" s="1"/>
  <c r="T1355" i="157"/>
  <c r="U1355" i="157" s="1"/>
  <c r="T1337" i="157"/>
  <c r="T1348" i="157"/>
  <c r="T1352" i="157"/>
  <c r="U1352" i="157" s="1"/>
  <c r="T1353" i="157"/>
  <c r="U1353" i="157" s="1"/>
  <c r="T1350" i="157"/>
  <c r="T1351" i="157"/>
  <c r="T1356" i="157"/>
  <c r="U1356" i="157" s="1"/>
  <c r="T1357" i="157"/>
  <c r="U1357" i="157" s="1"/>
  <c r="T1346" i="157"/>
  <c r="T1340" i="157"/>
  <c r="T1354" i="157"/>
  <c r="U1354" i="157" s="1"/>
  <c r="T1349" i="157"/>
  <c r="U1349" i="157" s="1"/>
  <c r="T1347" i="157"/>
  <c r="T1338" i="157"/>
  <c r="T1341" i="157"/>
  <c r="U1341" i="157" s="1"/>
  <c r="T1342" i="157"/>
  <c r="U1342" i="157" s="1"/>
  <c r="T1343" i="157"/>
  <c r="T1344" i="157"/>
  <c r="T1345" i="157"/>
  <c r="U1345" i="157" s="1"/>
  <c r="T1339" i="157"/>
  <c r="U1339" i="157" s="1"/>
  <c r="T1329" i="157"/>
  <c r="T1330" i="157"/>
  <c r="T1331" i="157"/>
  <c r="U1331" i="157" s="1"/>
  <c r="T1332" i="157"/>
  <c r="U1332" i="157" s="1"/>
  <c r="T1333" i="157"/>
  <c r="T1336" i="157"/>
  <c r="T1335" i="157"/>
  <c r="U1335" i="157" s="1"/>
  <c r="T1334" i="157"/>
  <c r="U1334" i="157" s="1"/>
  <c r="T1326" i="157"/>
  <c r="T1325" i="157"/>
  <c r="T1327" i="157"/>
  <c r="U1327" i="157" s="1"/>
  <c r="T1328" i="157"/>
  <c r="U1328" i="157" s="1"/>
  <c r="T1322" i="157"/>
  <c r="T1321" i="157"/>
  <c r="T1323" i="157"/>
  <c r="U1323" i="157" s="1"/>
  <c r="T1324" i="157"/>
  <c r="U1324" i="157" s="1"/>
  <c r="T1309" i="157"/>
  <c r="T1318" i="157"/>
  <c r="T1314" i="157"/>
  <c r="U1314" i="157" s="1"/>
  <c r="T1316" i="157"/>
  <c r="U1316" i="157" s="1"/>
  <c r="T1312" i="157"/>
  <c r="T1320" i="157"/>
  <c r="T1319" i="157"/>
  <c r="U1319" i="157" s="1"/>
  <c r="T1317" i="157"/>
  <c r="U1317" i="157" s="1"/>
  <c r="T1315" i="157"/>
  <c r="T1310" i="157"/>
  <c r="T1313" i="157"/>
  <c r="U1313" i="157" s="1"/>
  <c r="T1311" i="157"/>
  <c r="U1311" i="157" s="1"/>
  <c r="T1307" i="157"/>
  <c r="T1308" i="157"/>
  <c r="T1306" i="157"/>
  <c r="U1306" i="157" s="1"/>
  <c r="T1305" i="157"/>
  <c r="U1305" i="157" s="1"/>
  <c r="T1288" i="157"/>
  <c r="T1304" i="157"/>
  <c r="T1303" i="157"/>
  <c r="U1303" i="157" s="1"/>
  <c r="T1286" i="157"/>
  <c r="U1286" i="157" s="1"/>
  <c r="T1301" i="157"/>
  <c r="T1290" i="157"/>
  <c r="T1291" i="157"/>
  <c r="U1291" i="157" s="1"/>
  <c r="T1289" i="157"/>
  <c r="U1289" i="157" s="1"/>
  <c r="T1300" i="157"/>
  <c r="T1292" i="157"/>
  <c r="T1287" i="157"/>
  <c r="U1287" i="157" s="1"/>
  <c r="T1302" i="157"/>
  <c r="U1302" i="157" s="1"/>
  <c r="T1293" i="157"/>
  <c r="T1294" i="157"/>
  <c r="T1295" i="157"/>
  <c r="U1295" i="157" s="1"/>
  <c r="T1296" i="157"/>
  <c r="T1297" i="157"/>
  <c r="T1298" i="157"/>
  <c r="T1299" i="157"/>
  <c r="U1299" i="157" s="1"/>
  <c r="T1285" i="157"/>
  <c r="U1285" i="157" s="1"/>
  <c r="T1284" i="157"/>
  <c r="T1280" i="157"/>
  <c r="T1282" i="157"/>
  <c r="U1282" i="157" s="1"/>
  <c r="T1281" i="157"/>
  <c r="U1281" i="157" s="1"/>
  <c r="T1283" i="157"/>
  <c r="T1279" i="157"/>
  <c r="T1278" i="157"/>
  <c r="U1278" i="157" s="1"/>
  <c r="T1276" i="157"/>
  <c r="U1276" i="157" s="1"/>
  <c r="T1277" i="157"/>
  <c r="T1275" i="157"/>
  <c r="T1274" i="157"/>
  <c r="U1274" i="157" s="1"/>
  <c r="T1272" i="157"/>
  <c r="U1272" i="157" s="1"/>
  <c r="T1268" i="157"/>
  <c r="T1269" i="157"/>
  <c r="T1270" i="157"/>
  <c r="U1270" i="157" s="1"/>
  <c r="T1271" i="157"/>
  <c r="U1271" i="157" s="1"/>
  <c r="T1266" i="157"/>
  <c r="T1267" i="157"/>
  <c r="T1264" i="157"/>
  <c r="U1264" i="157" s="1"/>
  <c r="T1273" i="157"/>
  <c r="U1273" i="157" s="1"/>
  <c r="T1265" i="157"/>
  <c r="T1259" i="157"/>
  <c r="T1260" i="157"/>
  <c r="U1260" i="157" s="1"/>
  <c r="T1258" i="157"/>
  <c r="U1258" i="157" s="1"/>
  <c r="T1257" i="157"/>
  <c r="T1253" i="157"/>
  <c r="T1254" i="157"/>
  <c r="U1254" i="157" s="1"/>
  <c r="T1255" i="157"/>
  <c r="U1255" i="157" s="1"/>
  <c r="T1251" i="157"/>
  <c r="T1252" i="157"/>
  <c r="T1256" i="157"/>
  <c r="U1256" i="157" s="1"/>
  <c r="T1263" i="157"/>
  <c r="U1263" i="157" s="1"/>
  <c r="T1262" i="157"/>
  <c r="T1261" i="157"/>
  <c r="T1250" i="157"/>
  <c r="U1250" i="157" s="1"/>
  <c r="T1245" i="157"/>
  <c r="U1245" i="157" s="1"/>
  <c r="T1244" i="157"/>
  <c r="T1249" i="157"/>
  <c r="T1248" i="157"/>
  <c r="U1248" i="157" s="1"/>
  <c r="T1247" i="157"/>
  <c r="U1247" i="157" s="1"/>
  <c r="T1246" i="157"/>
  <c r="T1243" i="157"/>
  <c r="T1239" i="157"/>
  <c r="U1239" i="157" s="1"/>
  <c r="T1237" i="157"/>
  <c r="U1237" i="157" s="1"/>
  <c r="T1236" i="157"/>
  <c r="T1240" i="157"/>
  <c r="T1241" i="157"/>
  <c r="U1241" i="157" s="1"/>
  <c r="T1242" i="157"/>
  <c r="U1242" i="157" s="1"/>
  <c r="T1238" i="157"/>
  <c r="T1228" i="157"/>
  <c r="T1224" i="157"/>
  <c r="U1224" i="157" s="1"/>
  <c r="T1227" i="157"/>
  <c r="U1227" i="157" s="1"/>
  <c r="T1226" i="157"/>
  <c r="T1225" i="157"/>
  <c r="T1232" i="157"/>
  <c r="U1232" i="157" s="1"/>
  <c r="T1230" i="157"/>
  <c r="U1230" i="157" s="1"/>
  <c r="T1229" i="157"/>
  <c r="T1233" i="157"/>
  <c r="T1231" i="157"/>
  <c r="U1231" i="157" s="1"/>
  <c r="T1235" i="157"/>
  <c r="U1235" i="157" s="1"/>
  <c r="T1234" i="157"/>
  <c r="T1221" i="157"/>
  <c r="T1223" i="157"/>
  <c r="U1223" i="157" s="1"/>
  <c r="T1219" i="157"/>
  <c r="U1219" i="157" s="1"/>
  <c r="T1220" i="157"/>
  <c r="T1218" i="157"/>
  <c r="T1222" i="157"/>
  <c r="U1222" i="157" s="1"/>
  <c r="T1217" i="157"/>
  <c r="U1217" i="157" s="1"/>
  <c r="T1214" i="157"/>
  <c r="T1215" i="157"/>
  <c r="T1216" i="157"/>
  <c r="U1216" i="157" s="1"/>
  <c r="T1213" i="157"/>
  <c r="U1213" i="157" s="1"/>
  <c r="T1212" i="157"/>
  <c r="T1211" i="157"/>
  <c r="T1205" i="157"/>
  <c r="U1205" i="157" s="1"/>
  <c r="T1206" i="157"/>
  <c r="U1206" i="157" s="1"/>
  <c r="T1207" i="157"/>
  <c r="T1208" i="157"/>
  <c r="T1209" i="157"/>
  <c r="U1209" i="157" s="1"/>
  <c r="T1210" i="157"/>
  <c r="U1210" i="157" s="1"/>
  <c r="T1202" i="157"/>
  <c r="T1203" i="157"/>
  <c r="T1204" i="157"/>
  <c r="U1204" i="157" s="1"/>
  <c r="T1201" i="157"/>
  <c r="U1201" i="157" s="1"/>
  <c r="T1200" i="157"/>
  <c r="T1199" i="157"/>
  <c r="T1198" i="157"/>
  <c r="U1198" i="157" s="1"/>
  <c r="T1197" i="157"/>
  <c r="U1197" i="157" s="1"/>
  <c r="T1196" i="157"/>
  <c r="T1195" i="157"/>
  <c r="T1194" i="157"/>
  <c r="U1194" i="157" s="1"/>
  <c r="T1193" i="157"/>
  <c r="U1193" i="157" s="1"/>
  <c r="T1192" i="157"/>
  <c r="T1190" i="157"/>
  <c r="T1191" i="157"/>
  <c r="U1191" i="157" s="1"/>
  <c r="T1188" i="157"/>
  <c r="U1188" i="157" s="1"/>
  <c r="T1189" i="157"/>
  <c r="T1187" i="157"/>
  <c r="T1145" i="157"/>
  <c r="U1145" i="157" s="1"/>
  <c r="T1183" i="157"/>
  <c r="U1183" i="157" s="1"/>
  <c r="T1185" i="157"/>
  <c r="T1184" i="157"/>
  <c r="T1186" i="157"/>
  <c r="U1186" i="157" s="1"/>
  <c r="T1182" i="157"/>
  <c r="U1182" i="157" s="1"/>
  <c r="T1181" i="157"/>
  <c r="T1180" i="157"/>
  <c r="T1170" i="157"/>
  <c r="U1170" i="157" s="1"/>
  <c r="T1171" i="157"/>
  <c r="U1171" i="157" s="1"/>
  <c r="T1174" i="157"/>
  <c r="T1172" i="157"/>
  <c r="T1173" i="157"/>
  <c r="U1173" i="157" s="1"/>
  <c r="T1177" i="157"/>
  <c r="U1177" i="157" s="1"/>
  <c r="T1178" i="157"/>
  <c r="T1175" i="157"/>
  <c r="T1176" i="157"/>
  <c r="U1176" i="157" s="1"/>
  <c r="T1179" i="157"/>
  <c r="U1179" i="157" s="1"/>
  <c r="T1165" i="157"/>
  <c r="T1169" i="157"/>
  <c r="T1166" i="157"/>
  <c r="U1166" i="157" s="1"/>
  <c r="T1167" i="157"/>
  <c r="U1167" i="157" s="1"/>
  <c r="T1168" i="157"/>
  <c r="T1164" i="157"/>
  <c r="T1163" i="157"/>
  <c r="U1163" i="157" s="1"/>
  <c r="T1160" i="157"/>
  <c r="U1160" i="157" s="1"/>
  <c r="T1161" i="157"/>
  <c r="T1162" i="157"/>
  <c r="T1159" i="157"/>
  <c r="U1159" i="157" s="1"/>
  <c r="T1148" i="157"/>
  <c r="U1148" i="157" s="1"/>
  <c r="T1149" i="157"/>
  <c r="T1150" i="157"/>
  <c r="T1151" i="157"/>
  <c r="U1151" i="157" s="1"/>
  <c r="T1152" i="157"/>
  <c r="U1152" i="157" s="1"/>
  <c r="T1153" i="157"/>
  <c r="T1155" i="157"/>
  <c r="T1158" i="157"/>
  <c r="U1158" i="157" s="1"/>
  <c r="T1156" i="157"/>
  <c r="U1156" i="157" s="1"/>
  <c r="T1157" i="157"/>
  <c r="T1154" i="157"/>
  <c r="T1147" i="157"/>
  <c r="U1147" i="157" s="1"/>
  <c r="T1146" i="157"/>
  <c r="U1146" i="157" s="1"/>
  <c r="T882" i="157"/>
  <c r="T1141" i="157"/>
  <c r="T1139" i="157"/>
  <c r="U1139" i="157" s="1"/>
  <c r="T1142" i="157"/>
  <c r="U1142" i="157" s="1"/>
  <c r="T1144" i="157"/>
  <c r="T1143" i="157"/>
  <c r="T1140" i="157"/>
  <c r="U1140" i="157" s="1"/>
  <c r="T1138" i="157"/>
  <c r="U1138" i="157" s="1"/>
  <c r="T1136" i="157"/>
  <c r="T1137" i="157"/>
  <c r="T1135" i="157"/>
  <c r="U1135" i="157" s="1"/>
  <c r="T1133" i="157"/>
  <c r="U1133" i="157" s="1"/>
  <c r="T1134" i="157"/>
  <c r="T1131" i="157"/>
  <c r="T1132" i="157"/>
  <c r="U1132" i="157" s="1"/>
  <c r="T1130" i="157"/>
  <c r="U1130" i="157" s="1"/>
  <c r="T1129" i="157"/>
  <c r="T1128" i="157"/>
  <c r="T1127" i="157"/>
  <c r="U1127" i="157" s="1"/>
  <c r="T1125" i="157"/>
  <c r="U1125" i="157" s="1"/>
  <c r="T1126" i="157"/>
  <c r="T1124" i="157"/>
  <c r="T1122" i="157"/>
  <c r="U1122" i="157" s="1"/>
  <c r="T1123" i="157"/>
  <c r="U1123" i="157" s="1"/>
  <c r="T1117" i="157"/>
  <c r="T1121" i="157"/>
  <c r="T1120" i="157"/>
  <c r="U1120" i="157" s="1"/>
  <c r="T1118" i="157"/>
  <c r="U1118" i="157" s="1"/>
  <c r="T1105" i="157"/>
  <c r="T1106" i="157"/>
  <c r="T1107" i="157"/>
  <c r="U1107" i="157" s="1"/>
  <c r="T1099" i="157"/>
  <c r="U1099" i="157" s="1"/>
  <c r="T1100" i="157"/>
  <c r="T1101" i="157"/>
  <c r="T1102" i="157"/>
  <c r="U1102" i="157" s="1"/>
  <c r="T1103" i="157"/>
  <c r="U1103" i="157" s="1"/>
  <c r="T1104" i="157"/>
  <c r="T1108" i="157"/>
  <c r="T1109" i="157"/>
  <c r="U1109" i="157" s="1"/>
  <c r="T1110" i="157"/>
  <c r="U1110" i="157" s="1"/>
  <c r="T1111" i="157"/>
  <c r="T1098" i="157"/>
  <c r="T1112" i="157"/>
  <c r="U1112" i="157" s="1"/>
  <c r="T1113" i="157"/>
  <c r="U1113" i="157" s="1"/>
  <c r="T1114" i="157"/>
  <c r="T1115" i="157"/>
  <c r="T1116" i="157"/>
  <c r="U1116" i="157" s="1"/>
  <c r="T1119" i="157"/>
  <c r="U1119" i="157" s="1"/>
  <c r="T1097" i="157"/>
  <c r="T1096" i="157"/>
  <c r="T1095" i="157"/>
  <c r="U1095" i="157" s="1"/>
  <c r="T1094" i="157"/>
  <c r="U1094" i="157" s="1"/>
  <c r="T1093" i="157"/>
  <c r="T1087" i="157"/>
  <c r="T1088" i="157"/>
  <c r="U1088" i="157" s="1"/>
  <c r="T1089" i="157"/>
  <c r="U1089" i="157" s="1"/>
  <c r="T1090" i="157"/>
  <c r="T1091" i="157"/>
  <c r="T1092" i="157"/>
  <c r="U1092" i="157" s="1"/>
  <c r="T1086" i="157"/>
  <c r="U1086" i="157" s="1"/>
  <c r="T1085" i="157"/>
  <c r="T1043" i="157"/>
  <c r="T1044" i="157"/>
  <c r="U1044" i="157" s="1"/>
  <c r="T1072" i="157"/>
  <c r="U1072" i="157" s="1"/>
  <c r="T1073" i="157"/>
  <c r="T1056" i="157"/>
  <c r="T1076" i="157"/>
  <c r="U1076" i="157" s="1"/>
  <c r="T1068" i="157"/>
  <c r="U1068" i="157" s="1"/>
  <c r="T1051" i="157"/>
  <c r="T1066" i="157"/>
  <c r="T1070" i="157"/>
  <c r="U1070" i="157" s="1"/>
  <c r="T1084" i="157"/>
  <c r="U1084" i="157" s="1"/>
  <c r="T1081" i="157"/>
  <c r="T1082" i="157"/>
  <c r="T1071" i="157"/>
  <c r="U1071" i="157" s="1"/>
  <c r="T1065" i="157"/>
  <c r="U1065" i="157" s="1"/>
  <c r="T1063" i="157"/>
  <c r="T1062" i="157"/>
  <c r="T1061" i="157"/>
  <c r="U1061" i="157" s="1"/>
  <c r="T1059" i="157"/>
  <c r="U1059" i="157" s="1"/>
  <c r="T1058" i="157"/>
  <c r="T1050" i="157"/>
  <c r="T1077" i="157"/>
  <c r="U1077" i="157" s="1"/>
  <c r="T1053" i="157"/>
  <c r="U1053" i="157" s="1"/>
  <c r="T1048" i="157"/>
  <c r="T1045" i="157"/>
  <c r="T1080" i="157"/>
  <c r="U1080" i="157" s="1"/>
  <c r="T1078" i="157"/>
  <c r="U1078" i="157" s="1"/>
  <c r="T1067" i="157"/>
  <c r="T1064" i="157"/>
  <c r="T1046" i="157"/>
  <c r="U1046" i="157" s="1"/>
  <c r="T1054" i="157"/>
  <c r="U1054" i="157" s="1"/>
  <c r="T1074" i="157"/>
  <c r="T1057" i="157"/>
  <c r="T1055" i="157"/>
  <c r="U1055" i="157" s="1"/>
  <c r="T1049" i="157"/>
  <c r="U1049" i="157" s="1"/>
  <c r="T1083" i="157"/>
  <c r="T1079" i="157"/>
  <c r="T1060" i="157"/>
  <c r="U1060" i="157" s="1"/>
  <c r="T1075" i="157"/>
  <c r="U1075" i="157" s="1"/>
  <c r="T1069" i="157"/>
  <c r="T1052" i="157"/>
  <c r="T1047" i="157"/>
  <c r="U1047" i="157" s="1"/>
  <c r="T1035" i="157"/>
  <c r="U1035" i="157" s="1"/>
  <c r="T1042" i="157"/>
  <c r="T1036" i="157"/>
  <c r="T1041" i="157"/>
  <c r="U1041" i="157" s="1"/>
  <c r="T1037" i="157"/>
  <c r="U1037" i="157" s="1"/>
  <c r="T1040" i="157"/>
  <c r="T1038" i="157"/>
  <c r="T1039" i="157"/>
  <c r="U1039" i="157" s="1"/>
  <c r="T1033" i="157"/>
  <c r="U1033" i="157" s="1"/>
  <c r="T1034" i="157"/>
  <c r="T1032" i="157"/>
  <c r="T1029" i="157"/>
  <c r="U1029" i="157" s="1"/>
  <c r="T1030" i="157"/>
  <c r="U1030" i="157" s="1"/>
  <c r="T1031" i="157"/>
  <c r="T1027" i="157"/>
  <c r="T1028" i="157"/>
  <c r="U1028" i="157" s="1"/>
  <c r="T1025" i="157"/>
  <c r="U1025" i="157" s="1"/>
  <c r="T1026" i="157"/>
  <c r="T1022" i="157"/>
  <c r="T1023" i="157"/>
  <c r="U1023" i="157" s="1"/>
  <c r="T1018" i="157"/>
  <c r="U1018" i="157" s="1"/>
  <c r="T1019" i="157"/>
  <c r="T1020" i="157"/>
  <c r="T1021" i="157"/>
  <c r="U1021" i="157" s="1"/>
  <c r="T1024" i="157"/>
  <c r="U1024" i="157" s="1"/>
  <c r="T1016" i="157"/>
  <c r="T1017" i="157"/>
  <c r="T1014" i="157"/>
  <c r="U1014" i="157" s="1"/>
  <c r="T1015" i="157"/>
  <c r="U1015" i="157" s="1"/>
  <c r="T1013" i="157"/>
  <c r="T1005" i="157"/>
  <c r="T1008" i="157"/>
  <c r="U1008" i="157" s="1"/>
  <c r="T1007" i="157"/>
  <c r="U1007" i="157" s="1"/>
  <c r="T1006" i="157"/>
  <c r="T1012" i="157"/>
  <c r="T1011" i="157"/>
  <c r="U1011" i="157" s="1"/>
  <c r="T1010" i="157"/>
  <c r="U1010" i="157" s="1"/>
  <c r="T1009" i="157"/>
  <c r="T1003" i="157"/>
  <c r="T1004" i="157"/>
  <c r="U1004" i="157" s="1"/>
  <c r="T1001" i="157"/>
  <c r="U1001" i="157" s="1"/>
  <c r="T1002" i="157"/>
  <c r="T1000" i="157"/>
  <c r="T999" i="157"/>
  <c r="U999" i="157" s="1"/>
  <c r="T998" i="157"/>
  <c r="U998" i="157" s="1"/>
  <c r="T997" i="157"/>
  <c r="T995" i="157"/>
  <c r="T994" i="157"/>
  <c r="U994" i="157" s="1"/>
  <c r="T993" i="157"/>
  <c r="U993" i="157" s="1"/>
  <c r="T996" i="157"/>
  <c r="T992" i="157"/>
  <c r="T991" i="157"/>
  <c r="U991" i="157" s="1"/>
  <c r="T989" i="157"/>
  <c r="U989" i="157" s="1"/>
  <c r="T990" i="157"/>
  <c r="T988" i="157"/>
  <c r="T980" i="157"/>
  <c r="U980" i="157" s="1"/>
  <c r="T982" i="157"/>
  <c r="U982" i="157" s="1"/>
  <c r="T983" i="157"/>
  <c r="T984" i="157"/>
  <c r="T985" i="157"/>
  <c r="U985" i="157" s="1"/>
  <c r="T981" i="157"/>
  <c r="U981" i="157" s="1"/>
  <c r="T986" i="157"/>
  <c r="T987" i="157"/>
  <c r="T979" i="157"/>
  <c r="U979" i="157" s="1"/>
  <c r="T970" i="157"/>
  <c r="U970" i="157" s="1"/>
  <c r="T969" i="157"/>
  <c r="T971" i="157"/>
  <c r="T972" i="157"/>
  <c r="U972" i="157" s="1"/>
  <c r="T973" i="157"/>
  <c r="U973" i="157" s="1"/>
  <c r="T974" i="157"/>
  <c r="T975" i="157"/>
  <c r="T976" i="157"/>
  <c r="U976" i="157" s="1"/>
  <c r="T977" i="157"/>
  <c r="U977" i="157" s="1"/>
  <c r="T978" i="157"/>
  <c r="T957" i="157"/>
  <c r="T958" i="157"/>
  <c r="U958" i="157" s="1"/>
  <c r="T959" i="157"/>
  <c r="U959" i="157" s="1"/>
  <c r="T960" i="157"/>
  <c r="T961" i="157"/>
  <c r="T968" i="157"/>
  <c r="U968" i="157" s="1"/>
  <c r="T967" i="157"/>
  <c r="U967" i="157" s="1"/>
  <c r="T966" i="157"/>
  <c r="T965" i="157"/>
  <c r="T964" i="157"/>
  <c r="U964" i="157" s="1"/>
  <c r="T963" i="157"/>
  <c r="U963" i="157" s="1"/>
  <c r="T962" i="157"/>
  <c r="T956" i="157"/>
  <c r="T954" i="157"/>
  <c r="U954" i="157" s="1"/>
  <c r="T955" i="157"/>
  <c r="U955" i="157" s="1"/>
  <c r="T950" i="157"/>
  <c r="T951" i="157"/>
  <c r="T952" i="157"/>
  <c r="U952" i="157" s="1"/>
  <c r="T953" i="157"/>
  <c r="U953" i="157" s="1"/>
  <c r="T945" i="157"/>
  <c r="T948" i="157"/>
  <c r="T949" i="157"/>
  <c r="U949" i="157" s="1"/>
  <c r="T946" i="157"/>
  <c r="U946" i="157" s="1"/>
  <c r="T947" i="157"/>
  <c r="T944" i="157"/>
  <c r="T943" i="157"/>
  <c r="U943" i="157" s="1"/>
  <c r="T939" i="157"/>
  <c r="U939" i="157" s="1"/>
  <c r="T940" i="157"/>
  <c r="T941" i="157"/>
  <c r="T938" i="157"/>
  <c r="U938" i="157" s="1"/>
  <c r="T937" i="157"/>
  <c r="U937" i="157" s="1"/>
  <c r="T942" i="157"/>
  <c r="T928" i="157"/>
  <c r="T929" i="157"/>
  <c r="U929" i="157" s="1"/>
  <c r="T930" i="157"/>
  <c r="U930" i="157" s="1"/>
  <c r="T931" i="157"/>
  <c r="T932" i="157"/>
  <c r="T933" i="157"/>
  <c r="U933" i="157" s="1"/>
  <c r="T934" i="157"/>
  <c r="U934" i="157" s="1"/>
  <c r="T935" i="157"/>
  <c r="T936" i="157"/>
  <c r="T925" i="157"/>
  <c r="U925" i="157" s="1"/>
  <c r="T924" i="157"/>
  <c r="U924" i="157" s="1"/>
  <c r="T919" i="157"/>
  <c r="T920" i="157"/>
  <c r="T927" i="157"/>
  <c r="U927" i="157" s="1"/>
  <c r="T922" i="157"/>
  <c r="U922" i="157" s="1"/>
  <c r="T926" i="157"/>
  <c r="T918" i="157"/>
  <c r="T921" i="157"/>
  <c r="U921" i="157" s="1"/>
  <c r="T923" i="157"/>
  <c r="U923" i="157" s="1"/>
  <c r="T915" i="157"/>
  <c r="T917" i="157"/>
  <c r="T916" i="157"/>
  <c r="U916" i="157" s="1"/>
  <c r="T913" i="157"/>
  <c r="U913" i="157" s="1"/>
  <c r="T914" i="157"/>
  <c r="T911" i="157"/>
  <c r="T912" i="157"/>
  <c r="U912" i="157" s="1"/>
  <c r="T910" i="157"/>
  <c r="U910" i="157" s="1"/>
  <c r="T908" i="157"/>
  <c r="T906" i="157"/>
  <c r="T904" i="157"/>
  <c r="U904" i="157" s="1"/>
  <c r="T905" i="157"/>
  <c r="U905" i="157" s="1"/>
  <c r="T909" i="157"/>
  <c r="T907" i="157"/>
  <c r="T890" i="157"/>
  <c r="U890" i="157" s="1"/>
  <c r="T891" i="157"/>
  <c r="U891" i="157" s="1"/>
  <c r="T903" i="157"/>
  <c r="T902" i="157"/>
  <c r="T900" i="157"/>
  <c r="U900" i="157" s="1"/>
  <c r="T901" i="157"/>
  <c r="U901" i="157" s="1"/>
  <c r="T894" i="157"/>
  <c r="T895" i="157"/>
  <c r="T899" i="157"/>
  <c r="U899" i="157" s="1"/>
  <c r="T898" i="157"/>
  <c r="U898" i="157" s="1"/>
  <c r="T897" i="157"/>
  <c r="T896" i="157"/>
  <c r="T892" i="157"/>
  <c r="U892" i="157" s="1"/>
  <c r="T893" i="157"/>
  <c r="U893" i="157" s="1"/>
  <c r="T889" i="157"/>
  <c r="T888" i="157"/>
  <c r="T887" i="157"/>
  <c r="U887" i="157" s="1"/>
  <c r="T884" i="157"/>
  <c r="U884" i="157" s="1"/>
  <c r="T885" i="157"/>
  <c r="T886" i="157"/>
  <c r="T883" i="157"/>
  <c r="U883" i="157" s="1"/>
  <c r="T881" i="157"/>
  <c r="U881" i="157" s="1"/>
  <c r="T742" i="157"/>
  <c r="T880" i="157"/>
  <c r="T879" i="157"/>
  <c r="U879" i="157" s="1"/>
  <c r="T878" i="157"/>
  <c r="U878" i="157" s="1"/>
  <c r="T877" i="157"/>
  <c r="T876" i="157"/>
  <c r="T875" i="157"/>
  <c r="U875" i="157" s="1"/>
  <c r="T873" i="157"/>
  <c r="U873" i="157" s="1"/>
  <c r="T874" i="157"/>
  <c r="T872" i="157"/>
  <c r="T867" i="157"/>
  <c r="U867" i="157" s="1"/>
  <c r="T868" i="157"/>
  <c r="U868" i="157" s="1"/>
  <c r="T869" i="157"/>
  <c r="T870" i="157"/>
  <c r="T871" i="157"/>
  <c r="U871" i="157" s="1"/>
  <c r="T865" i="157"/>
  <c r="U865" i="157" s="1"/>
  <c r="T866" i="157"/>
  <c r="T857" i="157"/>
  <c r="T855" i="157"/>
  <c r="U855" i="157" s="1"/>
  <c r="T864" i="157"/>
  <c r="U864" i="157" s="1"/>
  <c r="T863" i="157"/>
  <c r="T862" i="157"/>
  <c r="T861" i="157"/>
  <c r="U861" i="157" s="1"/>
  <c r="T860" i="157"/>
  <c r="U860" i="157" s="1"/>
  <c r="T859" i="157"/>
  <c r="T858" i="157"/>
  <c r="T856" i="157"/>
  <c r="U856" i="157" s="1"/>
  <c r="T854" i="157"/>
  <c r="U854" i="157" s="1"/>
  <c r="T852" i="157"/>
  <c r="T849" i="157"/>
  <c r="T850" i="157"/>
  <c r="U850" i="157" s="1"/>
  <c r="T851" i="157"/>
  <c r="U851" i="157" s="1"/>
  <c r="T847" i="157"/>
  <c r="T848" i="157"/>
  <c r="T853" i="157"/>
  <c r="U853" i="157" s="1"/>
  <c r="T846" i="157"/>
  <c r="U846" i="157" s="1"/>
  <c r="T845" i="157"/>
  <c r="T844" i="157"/>
  <c r="T840" i="157"/>
  <c r="U840" i="157" s="1"/>
  <c r="T836" i="157"/>
  <c r="U836" i="157" s="1"/>
  <c r="T838" i="157"/>
  <c r="T839" i="157"/>
  <c r="T837" i="157"/>
  <c r="U837" i="157" s="1"/>
  <c r="T835" i="157"/>
  <c r="U835" i="157" s="1"/>
  <c r="T841" i="157"/>
  <c r="T843" i="157"/>
  <c r="T842" i="157"/>
  <c r="U842" i="157" s="1"/>
  <c r="T834" i="157"/>
  <c r="U834" i="157" s="1"/>
  <c r="T833" i="157"/>
  <c r="T832" i="157"/>
  <c r="T822" i="157"/>
  <c r="U822" i="157" s="1"/>
  <c r="T831" i="157"/>
  <c r="U831" i="157" s="1"/>
  <c r="T825" i="157"/>
  <c r="T826" i="157"/>
  <c r="T823" i="157"/>
  <c r="U823" i="157" s="1"/>
  <c r="T827" i="157"/>
  <c r="U827" i="157" s="1"/>
  <c r="T828" i="157"/>
  <c r="T829" i="157"/>
  <c r="T824" i="157"/>
  <c r="U824" i="157" s="1"/>
  <c r="T830" i="157"/>
  <c r="U830" i="157" s="1"/>
  <c r="T821" i="157"/>
  <c r="T820" i="157"/>
  <c r="T818" i="157"/>
  <c r="U818" i="157" s="1"/>
  <c r="T819" i="157"/>
  <c r="U819" i="157" s="1"/>
  <c r="T817" i="157"/>
  <c r="T816" i="157"/>
  <c r="T815" i="157"/>
  <c r="U815" i="157" s="1"/>
  <c r="T814" i="157"/>
  <c r="U814" i="157" s="1"/>
  <c r="T812" i="157"/>
  <c r="T813" i="157"/>
  <c r="T811" i="157"/>
  <c r="U811" i="157" s="1"/>
  <c r="T810" i="157"/>
  <c r="U810" i="157" s="1"/>
  <c r="T809" i="157"/>
  <c r="T807" i="157"/>
  <c r="T808" i="157"/>
  <c r="U808" i="157" s="1"/>
  <c r="T806" i="157"/>
  <c r="U806" i="157" s="1"/>
  <c r="W806" i="157" s="1"/>
  <c r="T805" i="157"/>
  <c r="T804" i="157"/>
  <c r="T803" i="157"/>
  <c r="U803" i="157" s="1"/>
  <c r="T799" i="157"/>
  <c r="U799" i="157" s="1"/>
  <c r="W799" i="157" s="1"/>
  <c r="T800" i="157"/>
  <c r="T801" i="157"/>
  <c r="T802" i="157"/>
  <c r="U802" i="157" s="1"/>
  <c r="T793" i="157"/>
  <c r="U793" i="157" s="1"/>
  <c r="W793" i="157" s="1"/>
  <c r="T794" i="157"/>
  <c r="T795" i="157"/>
  <c r="T796" i="157"/>
  <c r="U796" i="157" s="1"/>
  <c r="T797" i="157"/>
  <c r="U797" i="157" s="1"/>
  <c r="W797" i="157" s="1"/>
  <c r="T798" i="157"/>
  <c r="T792" i="157"/>
  <c r="T789" i="157"/>
  <c r="U789" i="157" s="1"/>
  <c r="T790" i="157"/>
  <c r="U790" i="157" s="1"/>
  <c r="W790" i="157" s="1"/>
  <c r="T791" i="157"/>
  <c r="T783" i="157"/>
  <c r="T781" i="157"/>
  <c r="U781" i="157" s="1"/>
  <c r="T782" i="157"/>
  <c r="U782" i="157" s="1"/>
  <c r="W782" i="157" s="1"/>
  <c r="T772" i="157"/>
  <c r="T773" i="157"/>
  <c r="T788" i="157"/>
  <c r="U788" i="157" s="1"/>
  <c r="T784" i="157"/>
  <c r="U784" i="157" s="1"/>
  <c r="T787" i="157"/>
  <c r="T777" i="157"/>
  <c r="T776" i="157"/>
  <c r="U776" i="157" s="1"/>
  <c r="T775" i="157"/>
  <c r="U775" i="157" s="1"/>
  <c r="T771" i="157"/>
  <c r="T770" i="157"/>
  <c r="T778" i="157"/>
  <c r="U778" i="157" s="1"/>
  <c r="T786" i="157"/>
  <c r="U786" i="157" s="1"/>
  <c r="T785" i="157"/>
  <c r="T780" i="157"/>
  <c r="T779" i="157"/>
  <c r="U779" i="157" s="1"/>
  <c r="T774" i="157"/>
  <c r="U774" i="157" s="1"/>
  <c r="T769" i="157"/>
  <c r="T768" i="157"/>
  <c r="T767" i="157"/>
  <c r="U767" i="157" s="1"/>
  <c r="T766" i="157"/>
  <c r="U766" i="157" s="1"/>
  <c r="T763" i="157"/>
  <c r="T764" i="157"/>
  <c r="T765" i="157"/>
  <c r="U765" i="157" s="1"/>
  <c r="T762" i="157"/>
  <c r="U762" i="157" s="1"/>
  <c r="T761" i="157"/>
  <c r="T759" i="157"/>
  <c r="T760" i="157"/>
  <c r="U760" i="157" s="1"/>
  <c r="T758" i="157"/>
  <c r="U758" i="157" s="1"/>
  <c r="T752" i="157"/>
  <c r="T757" i="157"/>
  <c r="T754" i="157"/>
  <c r="U754" i="157" s="1"/>
  <c r="T755" i="157"/>
  <c r="U755" i="157" s="1"/>
  <c r="T756" i="157"/>
  <c r="T753" i="157"/>
  <c r="T750" i="157"/>
  <c r="U750" i="157" s="1"/>
  <c r="T751" i="157"/>
  <c r="U751" i="157" s="1"/>
  <c r="T746" i="157"/>
  <c r="T748" i="157"/>
  <c r="T747" i="157"/>
  <c r="U747" i="157" s="1"/>
  <c r="T749" i="157"/>
  <c r="U749" i="157" s="1"/>
  <c r="T731" i="157"/>
  <c r="T741" i="157"/>
  <c r="T743" i="157"/>
  <c r="U743" i="157" s="1"/>
  <c r="T739" i="157"/>
  <c r="U739" i="157" s="1"/>
  <c r="T491" i="157"/>
  <c r="T734" i="157"/>
  <c r="T732" i="157"/>
  <c r="U732" i="157" s="1"/>
  <c r="T745" i="157"/>
  <c r="U745" i="157" s="1"/>
  <c r="T744" i="157"/>
  <c r="T740" i="157"/>
  <c r="T736" i="157"/>
  <c r="U736" i="157" s="1"/>
  <c r="T733" i="157"/>
  <c r="U733" i="157" s="1"/>
  <c r="T735" i="157"/>
  <c r="T738" i="157"/>
  <c r="T737" i="157"/>
  <c r="U737" i="157" s="1"/>
  <c r="T729" i="157"/>
  <c r="U729" i="157" s="1"/>
  <c r="T727" i="157"/>
  <c r="T725" i="157"/>
  <c r="T730" i="157"/>
  <c r="U730" i="157" s="1"/>
  <c r="T728" i="157"/>
  <c r="U728" i="157" s="1"/>
  <c r="T726" i="157"/>
  <c r="T724" i="157"/>
  <c r="T723" i="157"/>
  <c r="U723" i="157" s="1"/>
  <c r="T721" i="157"/>
  <c r="U721" i="157" s="1"/>
  <c r="T722" i="157"/>
  <c r="T720" i="157"/>
  <c r="T714" i="157"/>
  <c r="U714" i="157" s="1"/>
  <c r="T716" i="157"/>
  <c r="U716" i="157" s="1"/>
  <c r="T717" i="157"/>
  <c r="T718" i="157"/>
  <c r="T719" i="157"/>
  <c r="U719" i="157" s="1"/>
  <c r="T715" i="157"/>
  <c r="U715" i="157" s="1"/>
  <c r="T713" i="157"/>
  <c r="T711" i="157"/>
  <c r="T712" i="157"/>
  <c r="U712" i="157" s="1"/>
  <c r="T710" i="157"/>
  <c r="U710" i="157" s="1"/>
  <c r="T709" i="157"/>
  <c r="T708" i="157"/>
  <c r="T707" i="157"/>
  <c r="U707" i="157" s="1"/>
  <c r="T706" i="157"/>
  <c r="U706" i="157" s="1"/>
  <c r="T703" i="157"/>
  <c r="T697" i="157"/>
  <c r="T698" i="157"/>
  <c r="U698" i="157" s="1"/>
  <c r="T699" i="157"/>
  <c r="U699" i="157" s="1"/>
  <c r="T700" i="157"/>
  <c r="T701" i="157"/>
  <c r="T702" i="157"/>
  <c r="U702" i="157" s="1"/>
  <c r="T705" i="157"/>
  <c r="U705" i="157" s="1"/>
  <c r="T704" i="157"/>
  <c r="T696" i="157"/>
  <c r="T695" i="157"/>
  <c r="U695" i="157" s="1"/>
  <c r="T691" i="157"/>
  <c r="U691" i="157" s="1"/>
  <c r="T690" i="157"/>
  <c r="T689" i="157"/>
  <c r="T688" i="157"/>
  <c r="U688" i="157" s="1"/>
  <c r="T687" i="157"/>
  <c r="U687" i="157" s="1"/>
  <c r="T686" i="157"/>
  <c r="T685" i="157"/>
  <c r="T684" i="157"/>
  <c r="U684" i="157" s="1"/>
  <c r="T682" i="157"/>
  <c r="U682" i="157" s="1"/>
  <c r="T683" i="157"/>
  <c r="T693" i="157"/>
  <c r="T694" i="157"/>
  <c r="U694" i="157" s="1"/>
  <c r="T692" i="157"/>
  <c r="U692" i="157" s="1"/>
  <c r="T680" i="157"/>
  <c r="T681" i="157"/>
  <c r="T678" i="157"/>
  <c r="U678" i="157" s="1"/>
  <c r="T679" i="157"/>
  <c r="U679" i="157" s="1"/>
  <c r="T677" i="157"/>
  <c r="T672" i="157"/>
  <c r="T676" i="157"/>
  <c r="U676" i="157" s="1"/>
  <c r="T675" i="157"/>
  <c r="U675" i="157" s="1"/>
  <c r="T669" i="157"/>
  <c r="T670" i="157"/>
  <c r="T674" i="157"/>
  <c r="U674" i="157" s="1"/>
  <c r="T673" i="157"/>
  <c r="U673" i="157" s="1"/>
  <c r="T671" i="157"/>
  <c r="T666" i="157"/>
  <c r="T667" i="157"/>
  <c r="U667" i="157" s="1"/>
  <c r="T668" i="157"/>
  <c r="U668" i="157" s="1"/>
  <c r="T665" i="157"/>
  <c r="T663" i="157"/>
  <c r="T664" i="157"/>
  <c r="U664" i="157" s="1"/>
  <c r="T662" i="157"/>
  <c r="U662" i="157" s="1"/>
  <c r="T660" i="157"/>
  <c r="T661" i="157"/>
  <c r="T659" i="157"/>
  <c r="U659" i="157" s="1"/>
  <c r="T636" i="157"/>
  <c r="U636" i="157" s="1"/>
  <c r="T654" i="157"/>
  <c r="T655" i="157"/>
  <c r="T656" i="157"/>
  <c r="U656" i="157" s="1"/>
  <c r="T657" i="157"/>
  <c r="U657" i="157" s="1"/>
  <c r="T658" i="157"/>
  <c r="T650" i="157"/>
  <c r="T651" i="157"/>
  <c r="U651" i="157" s="1"/>
  <c r="T641" i="157"/>
  <c r="U641" i="157" s="1"/>
  <c r="W641" i="157" s="1"/>
  <c r="T642" i="157"/>
  <c r="T643" i="157"/>
  <c r="T644" i="157"/>
  <c r="U644" i="157" s="1"/>
  <c r="T638" i="157"/>
  <c r="U638" i="157" s="1"/>
  <c r="W638" i="157" s="1"/>
  <c r="T639" i="157"/>
  <c r="T640" i="157"/>
  <c r="T652" i="157"/>
  <c r="U652" i="157" s="1"/>
  <c r="T653" i="157"/>
  <c r="U653" i="157" s="1"/>
  <c r="W653" i="157" s="1"/>
  <c r="T649" i="157"/>
  <c r="T648" i="157"/>
  <c r="T646" i="157"/>
  <c r="U646" i="157" s="1"/>
  <c r="T645" i="157"/>
  <c r="U645" i="157" s="1"/>
  <c r="W645" i="157" s="1"/>
  <c r="T637" i="157"/>
  <c r="T647" i="157"/>
  <c r="T635" i="157"/>
  <c r="U635" i="157" s="1"/>
  <c r="T634" i="157"/>
  <c r="U634" i="157" s="1"/>
  <c r="W634" i="157" s="1"/>
  <c r="T633" i="157"/>
  <c r="T632" i="157"/>
  <c r="T622" i="157"/>
  <c r="U622" i="157" s="1"/>
  <c r="T623" i="157"/>
  <c r="U623" i="157" s="1"/>
  <c r="W623" i="157" s="1"/>
  <c r="T630" i="157"/>
  <c r="T628" i="157"/>
  <c r="T625" i="157"/>
  <c r="U625" i="157" s="1"/>
  <c r="T631" i="157"/>
  <c r="U631" i="157" s="1"/>
  <c r="W631" i="157" s="1"/>
  <c r="T629" i="157"/>
  <c r="T626" i="157"/>
  <c r="T627" i="157"/>
  <c r="U627" i="157" s="1"/>
  <c r="T624" i="157"/>
  <c r="U624" i="157" s="1"/>
  <c r="T621" i="157"/>
  <c r="T617" i="157"/>
  <c r="T618" i="157"/>
  <c r="U618" i="157" s="1"/>
  <c r="T619" i="157"/>
  <c r="U619" i="157" s="1"/>
  <c r="T620" i="157"/>
  <c r="T615" i="157"/>
  <c r="T616" i="157"/>
  <c r="U616" i="157" s="1"/>
  <c r="T604" i="157"/>
  <c r="U604" i="157" s="1"/>
  <c r="T605" i="157"/>
  <c r="T611" i="157"/>
  <c r="T612" i="157"/>
  <c r="U612" i="157" s="1"/>
  <c r="T608" i="157"/>
  <c r="U608" i="157" s="1"/>
  <c r="T609" i="157"/>
  <c r="T610" i="157"/>
  <c r="T606" i="157"/>
  <c r="U606" i="157" s="1"/>
  <c r="T607" i="157"/>
  <c r="U607" i="157" s="1"/>
  <c r="T601" i="157"/>
  <c r="T602" i="157"/>
  <c r="T614" i="157"/>
  <c r="U614" i="157" s="1"/>
  <c r="T613" i="157"/>
  <c r="U613" i="157" s="1"/>
  <c r="T603" i="157"/>
  <c r="T598" i="157"/>
  <c r="T599" i="157"/>
  <c r="U599" i="157" s="1"/>
  <c r="T600" i="157"/>
  <c r="U600" i="157" s="1"/>
  <c r="T597" i="157"/>
  <c r="T596" i="157"/>
  <c r="T593" i="157"/>
  <c r="U593" i="157" s="1"/>
  <c r="T594" i="157"/>
  <c r="U594" i="157" s="1"/>
  <c r="T589" i="157"/>
  <c r="T595" i="157"/>
  <c r="T592" i="157"/>
  <c r="U592" i="157" s="1"/>
  <c r="T591" i="157"/>
  <c r="U591" i="157" s="1"/>
  <c r="T590" i="157"/>
  <c r="T586" i="157"/>
  <c r="T584" i="157"/>
  <c r="U584" i="157" s="1"/>
  <c r="T585" i="157"/>
  <c r="U585" i="157" s="1"/>
  <c r="T587" i="157"/>
  <c r="T588" i="157"/>
  <c r="T583" i="157"/>
  <c r="U583" i="157" s="1"/>
  <c r="T582" i="157"/>
  <c r="U582" i="157" s="1"/>
  <c r="T581" i="157"/>
  <c r="T578" i="157"/>
  <c r="T580" i="157"/>
  <c r="U580" i="157" s="1"/>
  <c r="T579" i="157"/>
  <c r="U579" i="157" s="1"/>
  <c r="T577" i="157"/>
  <c r="T576" i="157"/>
  <c r="T574" i="157"/>
  <c r="U574" i="157" s="1"/>
  <c r="T575" i="157"/>
  <c r="U575" i="157" s="1"/>
  <c r="T573" i="157"/>
  <c r="T572" i="157"/>
  <c r="T570" i="157"/>
  <c r="U570" i="157" s="1"/>
  <c r="T571" i="157"/>
  <c r="U571" i="157" s="1"/>
  <c r="T567" i="157"/>
  <c r="T568" i="157"/>
  <c r="T569" i="157"/>
  <c r="U569" i="157" s="1"/>
  <c r="T566" i="157"/>
  <c r="U566" i="157" s="1"/>
  <c r="T565" i="157"/>
  <c r="T549" i="157"/>
  <c r="T558" i="157"/>
  <c r="U558" i="157" s="1"/>
  <c r="T559" i="157"/>
  <c r="U559" i="157" s="1"/>
  <c r="T560" i="157"/>
  <c r="T561" i="157"/>
  <c r="T554" i="157"/>
  <c r="U554" i="157" s="1"/>
  <c r="T555" i="157"/>
  <c r="U555" i="157" s="1"/>
  <c r="T556" i="157"/>
  <c r="T557" i="157"/>
  <c r="T550" i="157"/>
  <c r="U550" i="157" s="1"/>
  <c r="T551" i="157"/>
  <c r="U551" i="157" s="1"/>
  <c r="T552" i="157"/>
  <c r="T553" i="157"/>
  <c r="T543" i="157"/>
  <c r="U543" i="157" s="1"/>
  <c r="T544" i="157"/>
  <c r="U544" i="157" s="1"/>
  <c r="T545" i="157"/>
  <c r="T546" i="157"/>
  <c r="T547" i="157"/>
  <c r="U547" i="157" s="1"/>
  <c r="T548" i="157"/>
  <c r="U548" i="157" s="1"/>
  <c r="T562" i="157"/>
  <c r="T563" i="157"/>
  <c r="T564" i="157"/>
  <c r="U564" i="157" s="1"/>
  <c r="T542" i="157"/>
  <c r="U542" i="157" s="1"/>
  <c r="T539" i="157"/>
  <c r="T540" i="157"/>
  <c r="T541" i="157"/>
  <c r="U541" i="157" s="1"/>
  <c r="T538" i="157"/>
  <c r="U538" i="157" s="1"/>
  <c r="T536" i="157"/>
  <c r="T537" i="157"/>
  <c r="T535" i="157"/>
  <c r="U535" i="157" s="1"/>
  <c r="T532" i="157"/>
  <c r="U532" i="157" s="1"/>
  <c r="T534" i="157"/>
  <c r="T533" i="157"/>
  <c r="T530" i="157"/>
  <c r="U530" i="157" s="1"/>
  <c r="T531" i="157"/>
  <c r="U531" i="157" s="1"/>
  <c r="T529" i="157"/>
  <c r="T527" i="157"/>
  <c r="T528" i="157"/>
  <c r="U528" i="157" s="1"/>
  <c r="T524" i="157"/>
  <c r="U524" i="157" s="1"/>
  <c r="T522" i="157"/>
  <c r="T520" i="157"/>
  <c r="T523" i="157"/>
  <c r="U523" i="157" s="1"/>
  <c r="T521" i="157"/>
  <c r="U521" i="157" s="1"/>
  <c r="T526" i="157"/>
  <c r="T525" i="157"/>
  <c r="T518" i="157"/>
  <c r="U518" i="157" s="1"/>
  <c r="T519" i="157"/>
  <c r="U519" i="157" s="1"/>
  <c r="T517" i="157"/>
  <c r="T509" i="157"/>
  <c r="T510" i="157"/>
  <c r="U510" i="157" s="1"/>
  <c r="T511" i="157"/>
  <c r="U511" i="157" s="1"/>
  <c r="T512" i="157"/>
  <c r="T513" i="157"/>
  <c r="T514" i="157"/>
  <c r="U514" i="157" s="1"/>
  <c r="T515" i="157"/>
  <c r="U515" i="157" s="1"/>
  <c r="T516" i="157"/>
  <c r="T508" i="157"/>
  <c r="T507" i="157"/>
  <c r="U507" i="157" s="1"/>
  <c r="T505" i="157"/>
  <c r="U505" i="157" s="1"/>
  <c r="T506" i="157"/>
  <c r="T504" i="157"/>
  <c r="T503" i="157"/>
  <c r="U503" i="157" s="1"/>
  <c r="T501" i="157"/>
  <c r="U501" i="157" s="1"/>
  <c r="T502" i="157"/>
  <c r="T499" i="157"/>
  <c r="T500" i="157"/>
  <c r="U500" i="157" s="1"/>
  <c r="T498" i="157"/>
  <c r="U498" i="157" s="1"/>
  <c r="T497" i="157"/>
  <c r="T496" i="157"/>
  <c r="T487" i="157"/>
  <c r="U487" i="157" s="1"/>
  <c r="T493" i="157"/>
  <c r="U493" i="157" s="1"/>
  <c r="T494" i="157"/>
  <c r="T485" i="157"/>
  <c r="T304" i="157"/>
  <c r="U304" i="157" s="1"/>
  <c r="T490" i="157"/>
  <c r="U490" i="157" s="1"/>
  <c r="T488" i="157"/>
  <c r="T495" i="157"/>
  <c r="T492" i="157"/>
  <c r="U492" i="157" s="1"/>
  <c r="T489" i="157"/>
  <c r="U489" i="157" s="1"/>
  <c r="W489" i="157" s="1"/>
  <c r="T486" i="157"/>
  <c r="T484" i="157"/>
  <c r="T483" i="157"/>
  <c r="U483" i="157" s="1"/>
  <c r="T482" i="157"/>
  <c r="U482" i="157" s="1"/>
  <c r="W482" i="157" s="1"/>
  <c r="T477" i="157"/>
  <c r="T478" i="157"/>
  <c r="T481" i="157"/>
  <c r="U481" i="157" s="1"/>
  <c r="T479" i="157"/>
  <c r="U479" i="157" s="1"/>
  <c r="W479" i="157" s="1"/>
  <c r="T480" i="157"/>
  <c r="T475" i="157"/>
  <c r="T476" i="157"/>
  <c r="U476" i="157" s="1"/>
  <c r="T474" i="157"/>
  <c r="U474" i="157" s="1"/>
  <c r="W474" i="157" s="1"/>
  <c r="T465" i="157"/>
  <c r="T466" i="157"/>
  <c r="T468" i="157"/>
  <c r="U468" i="157" s="1"/>
  <c r="T469" i="157"/>
  <c r="U469" i="157" s="1"/>
  <c r="W469" i="157" s="1"/>
  <c r="T467" i="157"/>
  <c r="T470" i="157"/>
  <c r="T473" i="157"/>
  <c r="U473" i="157" s="1"/>
  <c r="T472" i="157"/>
  <c r="U472" i="157" s="1"/>
  <c r="W472" i="157" s="1"/>
  <c r="T471" i="157"/>
  <c r="T462" i="157"/>
  <c r="T463" i="157"/>
  <c r="U463" i="157" s="1"/>
  <c r="T464" i="157"/>
  <c r="U464" i="157" s="1"/>
  <c r="T461" i="157"/>
  <c r="T460" i="157"/>
  <c r="T459" i="157"/>
  <c r="U459" i="157" s="1"/>
  <c r="T457" i="157"/>
  <c r="U457" i="157" s="1"/>
  <c r="T458" i="157"/>
  <c r="T455" i="157"/>
  <c r="T452" i="157"/>
  <c r="U452" i="157" s="1"/>
  <c r="T456" i="157"/>
  <c r="U456" i="157" s="1"/>
  <c r="T453" i="157"/>
  <c r="T454" i="157"/>
  <c r="T451" i="157"/>
  <c r="U451" i="157" s="1"/>
  <c r="T450" i="157"/>
  <c r="U450" i="157" s="1"/>
  <c r="T443" i="157"/>
  <c r="T437" i="157"/>
  <c r="T427" i="157"/>
  <c r="U427" i="157" s="1"/>
  <c r="T449" i="157"/>
  <c r="U449" i="157" s="1"/>
  <c r="T448" i="157"/>
  <c r="T445" i="157"/>
  <c r="T439" i="157"/>
  <c r="U439" i="157" s="1"/>
  <c r="T432" i="157"/>
  <c r="U432" i="157" s="1"/>
  <c r="T428" i="157"/>
  <c r="T446" i="157"/>
  <c r="T444" i="157"/>
  <c r="U444" i="157" s="1"/>
  <c r="T441" i="157"/>
  <c r="U441" i="157" s="1"/>
  <c r="T442" i="157"/>
  <c r="T435" i="157"/>
  <c r="T433" i="157"/>
  <c r="U433" i="157" s="1"/>
  <c r="T431" i="157"/>
  <c r="U431" i="157" s="1"/>
  <c r="T430" i="157"/>
  <c r="T429" i="157"/>
  <c r="T426" i="157"/>
  <c r="U426" i="157" s="1"/>
  <c r="T424" i="157"/>
  <c r="U424" i="157" s="1"/>
  <c r="T423" i="157"/>
  <c r="T425" i="157"/>
  <c r="T418" i="157"/>
  <c r="U418" i="157" s="1"/>
  <c r="T440" i="157"/>
  <c r="U440" i="157" s="1"/>
  <c r="T438" i="157"/>
  <c r="T436" i="157"/>
  <c r="T434" i="157"/>
  <c r="U434" i="157" s="1"/>
  <c r="T419" i="157"/>
  <c r="U419" i="157" s="1"/>
  <c r="T420" i="157"/>
  <c r="T421" i="157"/>
  <c r="T447" i="157"/>
  <c r="U447" i="157" s="1"/>
  <c r="T422" i="157"/>
  <c r="U422" i="157" s="1"/>
  <c r="T414" i="157"/>
  <c r="T415" i="157"/>
  <c r="T416" i="157"/>
  <c r="U416" i="157" s="1"/>
  <c r="T417" i="157"/>
  <c r="U417" i="157" s="1"/>
  <c r="T413" i="157"/>
  <c r="T412" i="157"/>
  <c r="T411" i="157"/>
  <c r="U411" i="157" s="1"/>
  <c r="T405" i="157"/>
  <c r="U405" i="157" s="1"/>
  <c r="T406" i="157"/>
  <c r="T407" i="157"/>
  <c r="T408" i="157"/>
  <c r="U408" i="157" s="1"/>
  <c r="T409" i="157"/>
  <c r="U409" i="157" s="1"/>
  <c r="T410" i="157"/>
  <c r="T402" i="157"/>
  <c r="T392" i="157"/>
  <c r="U392" i="157" s="1"/>
  <c r="T393" i="157"/>
  <c r="U393" i="157" s="1"/>
  <c r="T403" i="157"/>
  <c r="T394" i="157"/>
  <c r="T400" i="157"/>
  <c r="U400" i="157" s="1"/>
  <c r="T395" i="157"/>
  <c r="U395" i="157" s="1"/>
  <c r="T404" i="157"/>
  <c r="T397" i="157"/>
  <c r="T396" i="157"/>
  <c r="U396" i="157" s="1"/>
  <c r="T399" i="157"/>
  <c r="U399" i="157" s="1"/>
  <c r="T398" i="157"/>
  <c r="T401" i="157"/>
  <c r="T388" i="157"/>
  <c r="U388" i="157" s="1"/>
  <c r="T389" i="157"/>
  <c r="U389" i="157" s="1"/>
  <c r="T390" i="157"/>
  <c r="T391" i="157"/>
  <c r="T381" i="157"/>
  <c r="U381" i="157" s="1"/>
  <c r="T387" i="157"/>
  <c r="U387" i="157" s="1"/>
  <c r="T386" i="157"/>
  <c r="T385" i="157"/>
  <c r="T383" i="157"/>
  <c r="U383" i="157" s="1"/>
  <c r="T384" i="157"/>
  <c r="U384" i="157" s="1"/>
  <c r="T382" i="157"/>
  <c r="T376" i="157"/>
  <c r="T375" i="157"/>
  <c r="U375" i="157" s="1"/>
  <c r="T377" i="157"/>
  <c r="U377" i="157" s="1"/>
  <c r="T371" i="157"/>
  <c r="T378" i="157"/>
  <c r="T379" i="157"/>
  <c r="U379" i="157" s="1"/>
  <c r="T380" i="157"/>
  <c r="U380" i="157" s="1"/>
  <c r="T374" i="157"/>
  <c r="T373" i="157"/>
  <c r="T372" i="157"/>
  <c r="U372" i="157" s="1"/>
  <c r="T370" i="157"/>
  <c r="U370" i="157" s="1"/>
  <c r="T369" i="157"/>
  <c r="T368" i="157"/>
  <c r="T351" i="157"/>
  <c r="U351" i="157" s="1"/>
  <c r="T366" i="157"/>
  <c r="U366" i="157" s="1"/>
  <c r="T346" i="157"/>
  <c r="T362" i="157"/>
  <c r="T359" i="157"/>
  <c r="U359" i="157" s="1"/>
  <c r="T355" i="157"/>
  <c r="U355" i="157" s="1"/>
  <c r="T353" i="157"/>
  <c r="T352" i="157"/>
  <c r="T348" i="157"/>
  <c r="U348" i="157" s="1"/>
  <c r="T365" i="157"/>
  <c r="U365" i="157" s="1"/>
  <c r="T360" i="157"/>
  <c r="T367" i="157"/>
  <c r="T349" i="157"/>
  <c r="U349" i="157" s="1"/>
  <c r="T347" i="157"/>
  <c r="U347" i="157" s="1"/>
  <c r="T354" i="157"/>
  <c r="T363" i="157"/>
  <c r="T361" i="157"/>
  <c r="U361" i="157" s="1"/>
  <c r="T358" i="157"/>
  <c r="U358" i="157" s="1"/>
  <c r="T350" i="157"/>
  <c r="T364" i="157"/>
  <c r="T357" i="157"/>
  <c r="U357" i="157" s="1"/>
  <c r="T356" i="157"/>
  <c r="U356" i="157" s="1"/>
  <c r="T341" i="157"/>
  <c r="T345" i="157"/>
  <c r="T342" i="157"/>
  <c r="U342" i="157" s="1"/>
  <c r="T343" i="157"/>
  <c r="U343" i="157" s="1"/>
  <c r="T344" i="157"/>
  <c r="T340" i="157"/>
  <c r="T338" i="157"/>
  <c r="U338" i="157" s="1"/>
  <c r="T339" i="157"/>
  <c r="U339" i="157" s="1"/>
  <c r="T337" i="157"/>
  <c r="T336" i="157"/>
  <c r="T327" i="157"/>
  <c r="U327" i="157" s="1"/>
  <c r="T326" i="157"/>
  <c r="U326" i="157" s="1"/>
  <c r="T335" i="157"/>
  <c r="T333" i="157"/>
  <c r="T328" i="157"/>
  <c r="U328" i="157" s="1"/>
  <c r="T329" i="157"/>
  <c r="U329" i="157" s="1"/>
  <c r="T334" i="157"/>
  <c r="T330" i="157"/>
  <c r="T331" i="157"/>
  <c r="U331" i="157" s="1"/>
  <c r="T332" i="157"/>
  <c r="U332" i="157" s="1"/>
  <c r="T323" i="157"/>
  <c r="T322" i="157"/>
  <c r="T325" i="157"/>
  <c r="U325" i="157" s="1"/>
  <c r="T324" i="157"/>
  <c r="U324" i="157" s="1"/>
  <c r="T320" i="157"/>
  <c r="T321" i="157"/>
  <c r="T310" i="157"/>
  <c r="U310" i="157" s="1"/>
  <c r="T311" i="157"/>
  <c r="U311" i="157" s="1"/>
  <c r="T312" i="157"/>
  <c r="T313" i="157"/>
  <c r="T314" i="157"/>
  <c r="U314" i="157" s="1"/>
  <c r="T315" i="157"/>
  <c r="U315" i="157" s="1"/>
  <c r="T317" i="157"/>
  <c r="T316" i="157"/>
  <c r="T318" i="157"/>
  <c r="U318" i="157" s="1"/>
  <c r="T319" i="157"/>
  <c r="U319" i="157" s="1"/>
  <c r="T308" i="157"/>
  <c r="T309" i="157"/>
  <c r="T305" i="157"/>
  <c r="U305" i="157" s="1"/>
  <c r="T306" i="157"/>
  <c r="U306" i="157" s="1"/>
  <c r="T307" i="157"/>
  <c r="T298" i="157"/>
  <c r="T303" i="157"/>
  <c r="U303" i="157" s="1"/>
  <c r="T302" i="157"/>
  <c r="U302" i="157" s="1"/>
  <c r="T301" i="157"/>
  <c r="T299" i="157"/>
  <c r="T300" i="157"/>
  <c r="U300" i="157" s="1"/>
  <c r="T222" i="157"/>
  <c r="U222" i="157" s="1"/>
  <c r="T290" i="157"/>
  <c r="T291" i="157"/>
  <c r="T292" i="157"/>
  <c r="U292" i="157" s="1"/>
  <c r="T293" i="157"/>
  <c r="U293" i="157" s="1"/>
  <c r="W293" i="157" s="1"/>
  <c r="T294" i="157"/>
  <c r="T295" i="157"/>
  <c r="T296" i="157"/>
  <c r="U296" i="157" s="1"/>
  <c r="T297" i="157"/>
  <c r="U297" i="157" s="1"/>
  <c r="W297" i="157" s="1"/>
  <c r="T284" i="157"/>
  <c r="T285" i="157"/>
  <c r="T286" i="157"/>
  <c r="U286" i="157" s="1"/>
  <c r="T287" i="157"/>
  <c r="U287" i="157" s="1"/>
  <c r="W287" i="157" s="1"/>
  <c r="T288" i="157"/>
  <c r="T289" i="157"/>
  <c r="T270" i="157"/>
  <c r="U270" i="157" s="1"/>
  <c r="T269" i="157"/>
  <c r="U269" i="157" s="1"/>
  <c r="W269" i="157" s="1"/>
  <c r="T283" i="157"/>
  <c r="T279" i="157"/>
  <c r="T277" i="157"/>
  <c r="U277" i="157" s="1"/>
  <c r="T275" i="157"/>
  <c r="U275" i="157" s="1"/>
  <c r="W275" i="157" s="1"/>
  <c r="T274" i="157"/>
  <c r="T273" i="157"/>
  <c r="T281" i="157"/>
  <c r="U281" i="157" s="1"/>
  <c r="T280" i="157"/>
  <c r="U280" i="157" s="1"/>
  <c r="W280" i="157" s="1"/>
  <c r="T282" i="157"/>
  <c r="T278" i="157"/>
  <c r="T276" i="157"/>
  <c r="U276" i="157" s="1"/>
  <c r="T272" i="157"/>
  <c r="U272" i="157" s="1"/>
  <c r="T271" i="157"/>
  <c r="T268" i="157"/>
  <c r="T267" i="157"/>
  <c r="U267" i="157" s="1"/>
  <c r="T265" i="157"/>
  <c r="U265" i="157" s="1"/>
  <c r="T266" i="157"/>
  <c r="T261" i="157"/>
  <c r="T253" i="157"/>
  <c r="U253" i="157" s="1"/>
  <c r="T262" i="157"/>
  <c r="U262" i="157" s="1"/>
  <c r="T264" i="157"/>
  <c r="T259" i="157"/>
  <c r="T256" i="157"/>
  <c r="U256" i="157" s="1"/>
  <c r="T254" i="157"/>
  <c r="U254" i="157" s="1"/>
  <c r="T255" i="157"/>
  <c r="T263" i="157"/>
  <c r="T257" i="157"/>
  <c r="U257" i="157" s="1"/>
  <c r="T260" i="157"/>
  <c r="U260" i="157" s="1"/>
  <c r="T258" i="157"/>
  <c r="T245" i="157"/>
  <c r="T252" i="157"/>
  <c r="U252" i="157" s="1"/>
  <c r="T251" i="157"/>
  <c r="U251" i="157" s="1"/>
  <c r="T249" i="157"/>
  <c r="T248" i="157"/>
  <c r="T247" i="157"/>
  <c r="U247" i="157" s="1"/>
  <c r="T246" i="157"/>
  <c r="U246" i="157" s="1"/>
  <c r="T244" i="157"/>
  <c r="T250" i="157"/>
  <c r="T240" i="157"/>
  <c r="U240" i="157" s="1"/>
  <c r="T241" i="157"/>
  <c r="U241" i="157" s="1"/>
  <c r="T242" i="157"/>
  <c r="T243" i="157"/>
  <c r="T237" i="157"/>
  <c r="U237" i="157" s="1"/>
  <c r="T239" i="157"/>
  <c r="U239" i="157" s="1"/>
  <c r="T238" i="157"/>
  <c r="T233" i="157"/>
  <c r="T234" i="157"/>
  <c r="U234" i="157" s="1"/>
  <c r="T235" i="157"/>
  <c r="U235" i="157" s="1"/>
  <c r="T236" i="157"/>
  <c r="T230" i="157"/>
  <c r="T231" i="157"/>
  <c r="U231" i="157" s="1"/>
  <c r="T232" i="157"/>
  <c r="U232" i="157" s="1"/>
  <c r="T218" i="157"/>
  <c r="T217" i="157"/>
  <c r="T223" i="157"/>
  <c r="U223" i="157" s="1"/>
  <c r="T171" i="157"/>
  <c r="U171" i="157" s="1"/>
  <c r="T227" i="157"/>
  <c r="T219" i="157"/>
  <c r="T220" i="157"/>
  <c r="U220" i="157" s="1"/>
  <c r="T224" i="157"/>
  <c r="U224" i="157" s="1"/>
  <c r="T221" i="157"/>
  <c r="T229" i="157"/>
  <c r="T228" i="157"/>
  <c r="U228" i="157" s="1"/>
  <c r="T225" i="157"/>
  <c r="U225" i="157" s="1"/>
  <c r="T226" i="157"/>
  <c r="T215" i="157"/>
  <c r="T207" i="157"/>
  <c r="U207" i="157" s="1"/>
  <c r="T208" i="157"/>
  <c r="U208" i="157" s="1"/>
  <c r="T209" i="157"/>
  <c r="T213" i="157"/>
  <c r="T210" i="157"/>
  <c r="U210" i="157" s="1"/>
  <c r="T216" i="157"/>
  <c r="U216" i="157" s="1"/>
  <c r="T214" i="157"/>
  <c r="T212" i="157"/>
  <c r="T204" i="157"/>
  <c r="U204" i="157" s="1"/>
  <c r="T196" i="157"/>
  <c r="U196" i="157" s="1"/>
  <c r="W196" i="157" s="1"/>
  <c r="T200" i="157"/>
  <c r="T205" i="157"/>
  <c r="T206" i="157"/>
  <c r="U206" i="157" s="1"/>
  <c r="T197" i="157"/>
  <c r="U197" i="157" s="1"/>
  <c r="W197" i="157" s="1"/>
  <c r="T198" i="157"/>
  <c r="T199" i="157"/>
  <c r="T201" i="157"/>
  <c r="U201" i="157" s="1"/>
  <c r="T202" i="157"/>
  <c r="U202" i="157" s="1"/>
  <c r="W202" i="157" s="1"/>
  <c r="T203" i="157"/>
  <c r="T191" i="157"/>
  <c r="T183" i="157"/>
  <c r="U183" i="157" s="1"/>
  <c r="T181" i="157"/>
  <c r="U181" i="157" s="1"/>
  <c r="T180" i="157"/>
  <c r="T177" i="157"/>
  <c r="T178" i="157"/>
  <c r="U178" i="157" s="1"/>
  <c r="T179" i="157"/>
  <c r="U179" i="157" s="1"/>
  <c r="T176" i="157"/>
  <c r="T173" i="157"/>
  <c r="T195" i="157"/>
  <c r="U195" i="157" s="1"/>
  <c r="T190" i="157"/>
  <c r="U190" i="157" s="1"/>
  <c r="T184" i="157"/>
  <c r="T188" i="157"/>
  <c r="T192" i="157"/>
  <c r="U192" i="157" s="1"/>
  <c r="T193" i="157"/>
  <c r="U193" i="157" s="1"/>
  <c r="T194" i="157"/>
  <c r="T185" i="157"/>
  <c r="T186" i="157"/>
  <c r="U186" i="157" s="1"/>
  <c r="T175" i="157"/>
  <c r="U175" i="157" s="1"/>
  <c r="T174" i="157"/>
  <c r="T189" i="157"/>
  <c r="T187" i="157"/>
  <c r="U187" i="157" s="1"/>
  <c r="T182" i="157"/>
  <c r="U182" i="157" s="1"/>
  <c r="T172" i="157"/>
  <c r="T167" i="157"/>
  <c r="T168" i="157"/>
  <c r="U168" i="157" s="1"/>
  <c r="T169" i="157"/>
  <c r="U169" i="157" s="1"/>
  <c r="T170" i="157"/>
  <c r="T160" i="157"/>
  <c r="T161" i="157"/>
  <c r="U161" i="157" s="1"/>
  <c r="T162" i="157"/>
  <c r="U162" i="157" s="1"/>
  <c r="T158" i="157"/>
  <c r="T163" i="157"/>
  <c r="T164" i="157"/>
  <c r="U164" i="157" s="1"/>
  <c r="T159" i="157"/>
  <c r="U159" i="157" s="1"/>
  <c r="T166" i="157"/>
  <c r="T165" i="157"/>
  <c r="T153" i="157"/>
  <c r="U153" i="157" s="1"/>
  <c r="T154" i="157"/>
  <c r="U154" i="157" s="1"/>
  <c r="T155" i="157"/>
  <c r="T156" i="157"/>
  <c r="T157" i="157"/>
  <c r="U157" i="157" s="1"/>
  <c r="T147" i="157"/>
  <c r="U147" i="157" s="1"/>
  <c r="T148" i="157"/>
  <c r="T149" i="157"/>
  <c r="T150" i="157"/>
  <c r="U150" i="157" s="1"/>
  <c r="T151" i="157"/>
  <c r="U151" i="157" s="1"/>
  <c r="T152" i="157"/>
  <c r="T143" i="157"/>
  <c r="T144" i="157"/>
  <c r="U144" i="157" s="1"/>
  <c r="T145" i="157"/>
  <c r="U145" i="157" s="1"/>
  <c r="W145" i="157" s="1"/>
  <c r="T146" i="157"/>
  <c r="T141" i="157"/>
  <c r="T142" i="157"/>
  <c r="U142" i="157" s="1"/>
  <c r="T136" i="157"/>
  <c r="U136" i="157" s="1"/>
  <c r="T122" i="157"/>
  <c r="T133" i="157"/>
  <c r="T132" i="157"/>
  <c r="U132" i="157" s="1"/>
  <c r="T129" i="157"/>
  <c r="U129" i="157" s="1"/>
  <c r="T137" i="157"/>
  <c r="T125" i="157"/>
  <c r="T138" i="157"/>
  <c r="U138" i="157" s="1"/>
  <c r="T130" i="157"/>
  <c r="U130" i="157" s="1"/>
  <c r="W130" i="157" s="1"/>
  <c r="T124" i="157"/>
  <c r="T126" i="157"/>
  <c r="T127" i="157"/>
  <c r="U127" i="157" s="1"/>
  <c r="T123" i="157"/>
  <c r="U123" i="157" s="1"/>
  <c r="T131" i="157"/>
  <c r="T134" i="157"/>
  <c r="T135" i="157"/>
  <c r="U135" i="157" s="1"/>
  <c r="T128" i="157"/>
  <c r="U128" i="157" s="1"/>
  <c r="T120" i="157"/>
  <c r="T116" i="157"/>
  <c r="T119" i="157"/>
  <c r="U119" i="157" s="1"/>
  <c r="T117" i="157"/>
  <c r="U117" i="157" s="1"/>
  <c r="T118" i="157"/>
  <c r="T115" i="157"/>
  <c r="T110" i="157"/>
  <c r="U110" i="157" s="1"/>
  <c r="T109" i="157"/>
  <c r="U109" i="157" s="1"/>
  <c r="T99" i="157"/>
  <c r="T100" i="157"/>
  <c r="T101" i="157"/>
  <c r="U101" i="157" s="1"/>
  <c r="T114" i="157"/>
  <c r="U114" i="157" s="1"/>
  <c r="T112" i="157"/>
  <c r="T113" i="157"/>
  <c r="T102" i="157"/>
  <c r="U102" i="157" s="1"/>
  <c r="T103" i="157"/>
  <c r="U103" i="157" s="1"/>
  <c r="T111" i="157"/>
  <c r="T104" i="157"/>
  <c r="T105" i="157"/>
  <c r="U105" i="157" s="1"/>
  <c r="T106" i="157"/>
  <c r="U106" i="157" s="1"/>
  <c r="T107" i="157"/>
  <c r="T108" i="157"/>
  <c r="T98" i="157"/>
  <c r="U98" i="157" s="1"/>
  <c r="T94" i="157"/>
  <c r="U94" i="157" s="1"/>
  <c r="T97" i="157"/>
  <c r="T96" i="157"/>
  <c r="T95" i="157"/>
  <c r="U95" i="157" s="1"/>
  <c r="T91" i="157"/>
  <c r="U91" i="157" s="1"/>
  <c r="T90" i="157"/>
  <c r="T89" i="157"/>
  <c r="T88" i="157"/>
  <c r="U88" i="157" s="1"/>
  <c r="T87" i="157"/>
  <c r="U87" i="157" s="1"/>
  <c r="T86" i="157"/>
  <c r="T85" i="157"/>
  <c r="T83" i="157"/>
  <c r="U83" i="157" s="1"/>
  <c r="T82" i="157"/>
  <c r="U82" i="157" s="1"/>
  <c r="T81" i="157"/>
  <c r="T79" i="157"/>
  <c r="T76" i="157"/>
  <c r="U76" i="157" s="1"/>
  <c r="T73" i="157"/>
  <c r="U73" i="157" s="1"/>
  <c r="T74" i="157"/>
  <c r="T75" i="157"/>
  <c r="T72" i="157"/>
  <c r="U72" i="157" s="1"/>
  <c r="T70" i="157"/>
  <c r="U70" i="157" s="1"/>
  <c r="T71" i="157"/>
  <c r="T68" i="157"/>
  <c r="T67" i="157"/>
  <c r="U67" i="157" s="1"/>
  <c r="T69" i="157"/>
  <c r="U69" i="157" s="1"/>
  <c r="T60" i="157"/>
  <c r="T61" i="157"/>
  <c r="T62" i="157"/>
  <c r="U62" i="157" s="1"/>
  <c r="T63" i="157"/>
  <c r="U63" i="157" s="1"/>
  <c r="T66" i="157"/>
  <c r="T64" i="157"/>
  <c r="T65" i="157"/>
  <c r="U65" i="157" s="1"/>
  <c r="T59" i="157"/>
  <c r="U59" i="157" s="1"/>
  <c r="T57" i="157"/>
  <c r="T58" i="157"/>
  <c r="T54" i="157"/>
  <c r="U54" i="157" s="1"/>
  <c r="T53" i="157"/>
  <c r="U53" i="157" s="1"/>
  <c r="T52" i="157"/>
  <c r="T51" i="157"/>
  <c r="T2390" i="157"/>
  <c r="U2390" i="157" s="1"/>
  <c r="T2389" i="157"/>
  <c r="U2389" i="157" s="1"/>
  <c r="T2388" i="157"/>
  <c r="T31" i="157"/>
  <c r="T47" i="157"/>
  <c r="U47" i="157" s="1"/>
  <c r="T2387" i="157"/>
  <c r="U2387" i="157" s="1"/>
  <c r="T26" i="157"/>
  <c r="T27" i="157"/>
  <c r="T46" i="157"/>
  <c r="U46" i="157" s="1"/>
  <c r="T2386" i="157"/>
  <c r="U2386" i="157" s="1"/>
  <c r="T39" i="157"/>
  <c r="T2384" i="157"/>
  <c r="T45" i="157"/>
  <c r="U45" i="157" s="1"/>
  <c r="T15" i="157"/>
  <c r="U15" i="157" s="1"/>
  <c r="T25" i="157"/>
  <c r="T40" i="157"/>
  <c r="T30" i="157"/>
  <c r="U30" i="157" s="1"/>
  <c r="T37" i="157"/>
  <c r="U37" i="157" s="1"/>
  <c r="T24" i="157"/>
  <c r="T44" i="157"/>
  <c r="T23" i="157"/>
  <c r="U23" i="157" s="1"/>
  <c r="T2383" i="157"/>
  <c r="U2383" i="157" s="1"/>
  <c r="T22" i="157"/>
  <c r="T33" i="157"/>
  <c r="T34" i="157"/>
  <c r="U34" i="157" s="1"/>
  <c r="T35" i="157"/>
  <c r="U35" i="157" s="1"/>
  <c r="T36" i="157"/>
  <c r="T2382" i="157"/>
  <c r="T21" i="157"/>
  <c r="U21" i="157" s="1"/>
  <c r="T2380" i="157"/>
  <c r="U2380" i="157" s="1"/>
  <c r="T10" i="157"/>
  <c r="T2381" i="157"/>
  <c r="T20" i="157"/>
  <c r="U20" i="157" s="1"/>
  <c r="T19" i="157"/>
  <c r="U19" i="157" s="1"/>
  <c r="T2373" i="157"/>
  <c r="T2374" i="157"/>
  <c r="T2375" i="157"/>
  <c r="U2375" i="157" s="1"/>
  <c r="T2376" i="157"/>
  <c r="U2376" i="157" s="1"/>
  <c r="T2370" i="157"/>
  <c r="T2371" i="157"/>
  <c r="T2365" i="157"/>
  <c r="U2365" i="157" s="1"/>
  <c r="T2361" i="157"/>
  <c r="U2361" i="157" s="1"/>
  <c r="T2354" i="157"/>
  <c r="T9" i="157"/>
  <c r="T42" i="157"/>
  <c r="U42" i="157" s="1"/>
  <c r="T43" i="157"/>
  <c r="U43" i="157" s="1"/>
  <c r="W43" i="157" s="1"/>
  <c r="T48" i="157"/>
  <c r="T50" i="157"/>
  <c r="T49" i="157"/>
  <c r="U49" i="157" s="1"/>
  <c r="T32" i="157"/>
  <c r="U32" i="157" s="1"/>
  <c r="W32" i="157" s="1"/>
  <c r="T38" i="157"/>
  <c r="T92" i="157"/>
  <c r="T55" i="157"/>
  <c r="U55" i="157" s="1"/>
  <c r="T78" i="157"/>
  <c r="U78" i="157" s="1"/>
  <c r="W78" i="157" s="1"/>
  <c r="T56" i="157"/>
  <c r="T2344" i="157"/>
  <c r="T2350" i="157"/>
  <c r="U2350" i="157" s="1"/>
  <c r="T2359" i="157"/>
  <c r="U2359" i="157" s="1"/>
  <c r="W2359" i="157" s="1"/>
  <c r="T2349" i="157"/>
  <c r="T2345" i="157"/>
  <c r="T2351" i="157"/>
  <c r="U2351" i="157" s="1"/>
  <c r="T2372" i="157"/>
  <c r="U2372" i="157" s="1"/>
  <c r="T2355" i="157"/>
  <c r="T2385" i="157"/>
  <c r="T2356" i="157"/>
  <c r="U2356" i="157" s="1"/>
  <c r="T2352" i="157"/>
  <c r="U2352" i="157" s="1"/>
  <c r="T2362" i="157"/>
  <c r="T2363" i="157"/>
  <c r="T2364" i="157"/>
  <c r="U2364" i="157" s="1"/>
  <c r="T2341" i="157"/>
  <c r="U2341" i="157" s="1"/>
  <c r="T2357" i="157"/>
  <c r="T2366" i="157"/>
  <c r="T2367" i="157"/>
  <c r="U2367" i="157" s="1"/>
  <c r="T2358" i="157"/>
  <c r="U2358" i="157" s="1"/>
  <c r="T2360" i="157"/>
  <c r="T2342" i="157"/>
  <c r="T2369" i="157"/>
  <c r="U2369" i="157" s="1"/>
  <c r="T29" i="157"/>
  <c r="U29" i="157" s="1"/>
  <c r="T2346" i="157"/>
  <c r="T2347" i="157"/>
  <c r="T2339" i="157"/>
  <c r="U2339" i="157" s="1"/>
  <c r="T28" i="157"/>
  <c r="U28" i="157" s="1"/>
  <c r="T18" i="157"/>
  <c r="T2334" i="157"/>
  <c r="T93" i="157"/>
  <c r="U93" i="157" s="1"/>
  <c r="T121" i="157"/>
  <c r="U121" i="157" s="1"/>
  <c r="T2377" i="157"/>
  <c r="T8" i="157"/>
  <c r="T2368" i="157"/>
  <c r="U2368" i="157" s="1"/>
  <c r="T2333" i="157"/>
  <c r="U2333" i="157" s="1"/>
  <c r="T2335" i="157"/>
  <c r="T2340" i="157"/>
  <c r="T2348" i="157"/>
  <c r="U2348" i="157" s="1"/>
  <c r="T2336" i="157"/>
  <c r="U2336" i="157" s="1"/>
  <c r="T2343" i="157"/>
  <c r="T2337" i="157"/>
  <c r="T211" i="157"/>
  <c r="U211" i="157" s="1"/>
  <c r="T140" i="157"/>
  <c r="U140" i="157" s="1"/>
  <c r="T77" i="157"/>
  <c r="T84" i="157"/>
  <c r="T80" i="157"/>
  <c r="U80" i="157" s="1"/>
  <c r="T41" i="157"/>
  <c r="U41" i="157" s="1"/>
  <c r="T139" i="157"/>
  <c r="T16" i="157"/>
  <c r="T17" i="157"/>
  <c r="U17" i="157" s="1"/>
  <c r="T13" i="157"/>
  <c r="U13" i="157" s="1"/>
  <c r="T2331" i="157"/>
  <c r="T2378" i="157"/>
  <c r="T2379" i="157"/>
  <c r="U2379" i="157" s="1"/>
  <c r="T7" i="157"/>
  <c r="U7" i="157" s="1"/>
  <c r="T12" i="157"/>
  <c r="T11" i="157"/>
  <c r="T14" i="157"/>
  <c r="U14" i="157" s="1"/>
  <c r="T2332" i="157"/>
  <c r="U2332" i="157" s="1"/>
  <c r="T2338" i="157"/>
  <c r="T2353" i="157"/>
  <c r="U2328" i="157"/>
  <c r="W2328" i="157" s="1"/>
  <c r="U2327" i="157"/>
  <c r="W2327" i="157" s="1"/>
  <c r="U2326" i="157"/>
  <c r="U2325" i="157"/>
  <c r="U2317" i="157"/>
  <c r="W2317" i="157" s="1"/>
  <c r="U2318" i="157"/>
  <c r="W2318" i="157" s="1"/>
  <c r="U2313" i="157"/>
  <c r="U2310" i="157"/>
  <c r="U2314" i="157"/>
  <c r="U2312" i="157"/>
  <c r="W2312" i="157" s="1"/>
  <c r="U2307" i="157"/>
  <c r="U2308" i="157"/>
  <c r="U2304" i="157"/>
  <c r="W2304" i="157" s="1"/>
  <c r="U2297" i="157"/>
  <c r="W2297" i="157" s="1"/>
  <c r="U2302" i="157"/>
  <c r="U2296" i="157"/>
  <c r="U2300" i="157"/>
  <c r="U2301" i="157"/>
  <c r="W2301" i="157" s="1"/>
  <c r="U2290" i="157"/>
  <c r="U2291" i="157"/>
  <c r="U2288" i="157"/>
  <c r="W2288" i="157" s="1"/>
  <c r="U2287" i="157"/>
  <c r="W2287" i="157" s="1"/>
  <c r="U2284" i="157"/>
  <c r="U2283" i="157"/>
  <c r="U2282" i="157"/>
  <c r="U2281" i="157"/>
  <c r="W2281" i="157" s="1"/>
  <c r="U2278" i="157"/>
  <c r="U2277" i="157"/>
  <c r="U2274" i="157"/>
  <c r="W2274" i="157" s="1"/>
  <c r="U2266" i="157"/>
  <c r="W2266" i="157" s="1"/>
  <c r="U2268" i="157"/>
  <c r="U2264" i="157"/>
  <c r="U2271" i="157"/>
  <c r="U2272" i="157"/>
  <c r="W2272" i="157" s="1"/>
  <c r="U2260" i="157"/>
  <c r="U2261" i="157"/>
  <c r="U2256" i="157"/>
  <c r="W2256" i="157" s="1"/>
  <c r="U2255" i="157"/>
  <c r="W2255" i="157" s="1"/>
  <c r="U2246" i="157"/>
  <c r="U2248" i="157"/>
  <c r="U2251" i="157"/>
  <c r="W2251" i="157" s="1"/>
  <c r="U2247" i="157"/>
  <c r="W2247" i="157" s="1"/>
  <c r="U2241" i="157"/>
  <c r="U2243" i="157"/>
  <c r="U2240" i="157"/>
  <c r="W2240" i="157" s="1"/>
  <c r="U2238" i="157"/>
  <c r="W2238" i="157" s="1"/>
  <c r="U2235" i="157"/>
  <c r="U2236" i="157"/>
  <c r="U2232" i="157"/>
  <c r="U2231" i="157"/>
  <c r="W2231" i="157" s="1"/>
  <c r="U2225" i="157"/>
  <c r="U2229" i="157"/>
  <c r="U2221" i="157"/>
  <c r="W2221" i="157" s="1"/>
  <c r="U2224" i="157"/>
  <c r="W2224" i="157" s="1"/>
  <c r="U2220" i="157"/>
  <c r="U2217" i="157"/>
  <c r="U2214" i="157"/>
  <c r="U2207" i="157"/>
  <c r="W2207" i="157" s="1"/>
  <c r="U2216" i="157"/>
  <c r="U2209" i="157"/>
  <c r="U2212" i="157"/>
  <c r="W2212" i="157" s="1"/>
  <c r="U2213" i="157"/>
  <c r="W2213" i="157" s="1"/>
  <c r="U2198" i="157"/>
  <c r="U2199" i="157"/>
  <c r="U2202" i="157"/>
  <c r="U2203" i="157"/>
  <c r="W2203" i="157" s="1"/>
  <c r="U2196" i="157"/>
  <c r="U2195" i="157"/>
  <c r="U2186" i="157"/>
  <c r="W2186" i="157" s="1"/>
  <c r="U2187" i="157"/>
  <c r="W2187" i="157" s="1"/>
  <c r="U2192" i="157"/>
  <c r="U2189" i="157"/>
  <c r="U2183" i="157"/>
  <c r="U2184" i="157"/>
  <c r="W2184" i="157" s="1"/>
  <c r="U2181" i="157"/>
  <c r="U2180" i="157"/>
  <c r="U2177" i="157"/>
  <c r="W2177" i="157" s="1"/>
  <c r="U2175" i="157"/>
  <c r="W2175" i="157" s="1"/>
  <c r="U2163" i="157"/>
  <c r="U2164" i="157"/>
  <c r="U2171" i="157"/>
  <c r="U2172" i="157"/>
  <c r="W2172" i="157" s="1"/>
  <c r="U2168" i="157"/>
  <c r="U2169" i="157"/>
  <c r="U2160" i="157"/>
  <c r="W2160" i="157" s="1"/>
  <c r="U2161" i="157"/>
  <c r="W2161" i="157" s="1"/>
  <c r="U2155" i="157"/>
  <c r="U2153" i="157"/>
  <c r="U2158" i="157"/>
  <c r="U2150" i="157"/>
  <c r="W2150" i="157" s="1"/>
  <c r="U2148" i="157"/>
  <c r="U2149" i="157"/>
  <c r="U2143" i="157"/>
  <c r="W2143" i="157" s="1"/>
  <c r="U2144" i="157"/>
  <c r="W2144" i="157" s="1"/>
  <c r="U2136" i="157"/>
  <c r="U2138" i="157"/>
  <c r="U2140" i="157"/>
  <c r="U2134" i="157"/>
  <c r="W2134" i="157" s="1"/>
  <c r="U2131" i="157"/>
  <c r="U2128" i="157"/>
  <c r="U2130" i="157"/>
  <c r="W2130" i="157" s="1"/>
  <c r="U2127" i="157"/>
  <c r="W2127" i="157" s="1"/>
  <c r="U2123" i="157"/>
  <c r="U2117" i="157"/>
  <c r="U2120" i="157"/>
  <c r="U2121" i="157"/>
  <c r="W2121" i="157" s="1"/>
  <c r="U2122" i="157"/>
  <c r="U2108" i="157"/>
  <c r="U2111" i="157"/>
  <c r="W2111" i="157" s="1"/>
  <c r="U2112" i="157"/>
  <c r="W2112" i="157" s="1"/>
  <c r="U2114" i="157"/>
  <c r="U2096" i="157"/>
  <c r="U2107" i="157"/>
  <c r="U2100" i="157"/>
  <c r="W2100" i="157" s="1"/>
  <c r="U2098" i="157"/>
  <c r="U2097" i="157"/>
  <c r="U2103" i="157"/>
  <c r="W2103" i="157" s="1"/>
  <c r="U2094" i="157"/>
  <c r="W2094" i="157" s="1"/>
  <c r="U2092" i="157"/>
  <c r="U2090" i="157"/>
  <c r="U2081" i="157"/>
  <c r="U2091" i="157"/>
  <c r="W2091" i="157" s="1"/>
  <c r="U2087" i="157"/>
  <c r="U2088" i="157"/>
  <c r="U2079" i="157"/>
  <c r="U2080" i="157"/>
  <c r="W2080" i="157" s="1"/>
  <c r="U2078" i="157"/>
  <c r="U2077" i="157"/>
  <c r="U2071" i="157"/>
  <c r="W2071" i="157" s="1"/>
  <c r="U2072" i="157"/>
  <c r="W2072" i="157" s="1"/>
  <c r="U2067" i="157"/>
  <c r="U2068" i="157"/>
  <c r="U2066" i="157"/>
  <c r="W2066" i="157" s="1"/>
  <c r="U2058" i="157"/>
  <c r="W2058" i="157" s="1"/>
  <c r="U2061" i="157"/>
  <c r="U2062" i="157"/>
  <c r="U2054" i="157"/>
  <c r="U2056" i="157"/>
  <c r="U2049" i="157"/>
  <c r="U2050" i="157"/>
  <c r="U2047" i="157"/>
  <c r="W2047" i="157" s="1"/>
  <c r="U2048" i="157"/>
  <c r="W2048" i="157" s="1"/>
  <c r="U2043" i="157"/>
  <c r="U2042" i="157"/>
  <c r="U2044" i="157"/>
  <c r="U2033" i="157"/>
  <c r="U2036" i="157"/>
  <c r="U2037" i="157"/>
  <c r="U2040" i="157"/>
  <c r="W2040" i="157" s="1"/>
  <c r="U2030" i="157"/>
  <c r="W2030" i="157" s="1"/>
  <c r="U2025" i="157"/>
  <c r="U2026" i="157"/>
  <c r="U2029" i="157"/>
  <c r="U2023" i="157"/>
  <c r="W2023" i="157" s="1"/>
  <c r="U2008" i="157"/>
  <c r="U2014" i="157"/>
  <c r="U2012" i="157"/>
  <c r="W2012" i="157" s="1"/>
  <c r="U2011" i="157"/>
  <c r="W2011" i="157" s="1"/>
  <c r="U2018" i="157"/>
  <c r="U2017" i="157"/>
  <c r="U2016" i="157"/>
  <c r="U2007" i="157"/>
  <c r="W2007" i="157" s="1"/>
  <c r="U2002" i="157"/>
  <c r="U2001" i="157"/>
  <c r="U2000" i="157"/>
  <c r="W2000" i="157" s="1"/>
  <c r="U1999" i="157"/>
  <c r="W1999" i="157" s="1"/>
  <c r="U1996" i="157"/>
  <c r="U1995" i="157"/>
  <c r="U1990" i="157"/>
  <c r="W1990" i="157" s="1"/>
  <c r="U1991" i="157"/>
  <c r="W1991" i="157" s="1"/>
  <c r="U1988" i="157"/>
  <c r="U1985" i="157"/>
  <c r="U1977" i="157"/>
  <c r="W1977" i="157" s="1"/>
  <c r="U1987" i="157"/>
  <c r="U1978" i="157"/>
  <c r="U1981" i="157"/>
  <c r="U1982" i="157"/>
  <c r="W1982" i="157" s="1"/>
  <c r="U1975" i="157"/>
  <c r="U1976" i="157"/>
  <c r="U1974" i="157"/>
  <c r="U1972" i="157"/>
  <c r="W1972" i="157" s="1"/>
  <c r="U1969" i="157"/>
  <c r="W1969" i="157" s="1"/>
  <c r="U1971" i="157"/>
  <c r="U1970" i="157"/>
  <c r="U1962" i="157"/>
  <c r="W1962" i="157" s="1"/>
  <c r="U1963" i="157"/>
  <c r="W1963" i="157" s="1"/>
  <c r="U1959" i="157"/>
  <c r="U1965" i="157"/>
  <c r="U1956" i="157"/>
  <c r="W1956" i="157" s="1"/>
  <c r="U1957" i="157"/>
  <c r="U1953" i="157"/>
  <c r="U1943" i="157"/>
  <c r="U1941" i="157"/>
  <c r="W1941" i="157" s="1"/>
  <c r="U1952" i="157"/>
  <c r="U1940" i="157"/>
  <c r="U1949" i="157"/>
  <c r="U1945" i="157"/>
  <c r="U1947" i="157"/>
  <c r="U1948" i="157"/>
  <c r="U1939" i="157"/>
  <c r="U1937" i="157"/>
  <c r="W1937" i="157" s="1"/>
  <c r="U1930" i="157"/>
  <c r="U1929" i="157"/>
  <c r="U1932" i="157"/>
  <c r="U1935" i="157"/>
  <c r="U1936" i="157"/>
  <c r="U1918" i="157"/>
  <c r="U1919" i="157"/>
  <c r="U1920" i="157"/>
  <c r="W1920" i="157" s="1"/>
  <c r="U1922" i="157"/>
  <c r="U1926" i="157"/>
  <c r="U1916" i="157"/>
  <c r="U1914" i="157"/>
  <c r="W1914" i="157" s="1"/>
  <c r="U1913" i="157"/>
  <c r="U1911" i="157"/>
  <c r="U1904" i="157"/>
  <c r="U1899" i="157"/>
  <c r="W1899" i="157" s="1"/>
  <c r="U1910" i="157"/>
  <c r="U1908" i="157"/>
  <c r="U1906" i="157"/>
  <c r="U1897" i="157"/>
  <c r="W1897" i="157" s="1"/>
  <c r="U1905" i="157"/>
  <c r="W1905" i="157" s="1"/>
  <c r="U1896" i="157"/>
  <c r="U1895" i="157"/>
  <c r="U1890" i="157"/>
  <c r="W1890" i="157" s="1"/>
  <c r="U1891" i="157"/>
  <c r="U1884" i="157"/>
  <c r="U1882" i="157"/>
  <c r="U1889" i="157"/>
  <c r="W1889" i="157" s="1"/>
  <c r="U1879" i="157"/>
  <c r="W1879" i="157" s="1"/>
  <c r="U1886" i="157"/>
  <c r="U1881" i="157"/>
  <c r="U1874" i="157"/>
  <c r="W1874" i="157" s="1"/>
  <c r="U1878" i="157"/>
  <c r="U1877" i="157"/>
  <c r="U1872" i="157"/>
  <c r="U1870" i="157"/>
  <c r="W1870" i="157" s="1"/>
  <c r="U1857" i="157"/>
  <c r="U1858" i="157"/>
  <c r="U1856" i="157"/>
  <c r="U1855" i="157"/>
  <c r="W1855" i="157" s="1"/>
  <c r="U1868" i="157"/>
  <c r="U1862" i="157"/>
  <c r="U1863" i="157"/>
  <c r="U1865" i="157"/>
  <c r="W1865" i="157" s="1"/>
  <c r="U1866" i="157"/>
  <c r="W1866" i="157" s="1"/>
  <c r="U1853" i="157"/>
  <c r="U1848" i="157"/>
  <c r="U1842" i="157"/>
  <c r="U1849" i="157"/>
  <c r="W1849" i="157" s="1"/>
  <c r="U1850" i="157"/>
  <c r="U1843" i="157"/>
  <c r="U1840" i="157"/>
  <c r="W1840" i="157" s="1"/>
  <c r="U1838" i="157"/>
  <c r="W1838" i="157" s="1"/>
  <c r="U1836" i="157"/>
  <c r="U1834" i="157"/>
  <c r="U1825" i="157"/>
  <c r="U1832" i="157"/>
  <c r="W1832" i="157" s="1"/>
  <c r="U1828" i="157"/>
  <c r="U1829" i="157"/>
  <c r="U1823" i="157"/>
  <c r="W1823" i="157" s="1"/>
  <c r="U1817" i="157"/>
  <c r="U1820" i="157"/>
  <c r="U1821" i="157"/>
  <c r="U1814" i="157"/>
  <c r="U1816" i="157"/>
  <c r="W1816" i="157" s="1"/>
  <c r="U1815" i="157"/>
  <c r="U1812" i="157"/>
  <c r="U1808" i="157"/>
  <c r="W1808" i="157" s="1"/>
  <c r="U1811" i="157"/>
  <c r="U1807" i="157"/>
  <c r="U1806" i="157"/>
  <c r="U1805" i="157"/>
  <c r="W1805" i="157" s="1"/>
  <c r="U1789" i="157"/>
  <c r="U1791" i="157"/>
  <c r="U1794" i="157"/>
  <c r="U1790" i="157"/>
  <c r="W1790" i="157" s="1"/>
  <c r="U1800" i="157"/>
  <c r="U1799" i="157"/>
  <c r="U1798" i="157"/>
  <c r="U1788" i="157"/>
  <c r="W1788" i="157" s="1"/>
  <c r="U1781" i="157"/>
  <c r="U1780" i="157"/>
  <c r="U1787" i="157"/>
  <c r="U1782" i="157"/>
  <c r="W1782" i="157" s="1"/>
  <c r="U1779" i="157"/>
  <c r="U1776" i="157"/>
  <c r="U1775" i="157"/>
  <c r="U1770" i="157"/>
  <c r="W1770" i="157" s="1"/>
  <c r="U1772" i="157"/>
  <c r="W1772" i="157" s="1"/>
  <c r="U1768" i="157"/>
  <c r="U1767" i="157"/>
  <c r="U1764" i="157"/>
  <c r="W1764" i="157" s="1"/>
  <c r="U1763" i="157"/>
  <c r="W1763" i="157" s="1"/>
  <c r="U1760" i="157"/>
  <c r="U1755" i="157"/>
  <c r="U1756" i="157"/>
  <c r="W1756" i="157" s="1"/>
  <c r="U1757" i="157"/>
  <c r="W1757" i="157" s="1"/>
  <c r="U1752" i="157"/>
  <c r="U1753" i="157"/>
  <c r="U1754" i="157"/>
  <c r="W1754" i="157" s="1"/>
  <c r="U1743" i="157"/>
  <c r="U1746" i="157"/>
  <c r="U1739" i="157"/>
  <c r="U1736" i="157"/>
  <c r="W1736" i="157" s="1"/>
  <c r="U1748" i="157"/>
  <c r="U1740" i="157"/>
  <c r="U1744" i="157"/>
  <c r="U1742" i="157"/>
  <c r="W1742" i="157" s="1"/>
  <c r="U1733" i="157"/>
  <c r="U1731" i="157"/>
  <c r="U1730" i="157"/>
  <c r="U1727" i="157"/>
  <c r="U1728" i="157"/>
  <c r="U1722" i="157"/>
  <c r="U1723" i="157"/>
  <c r="U1721" i="157"/>
  <c r="U1720" i="157"/>
  <c r="W1720" i="157" s="1"/>
  <c r="U1714" i="157"/>
  <c r="U1716" i="157"/>
  <c r="U1707" i="157"/>
  <c r="U1708" i="157"/>
  <c r="W1708" i="157" s="1"/>
  <c r="U1711" i="157"/>
  <c r="U1712" i="157"/>
  <c r="U1701" i="157"/>
  <c r="U1702" i="157"/>
  <c r="W1702" i="157" s="1"/>
  <c r="U1704" i="157"/>
  <c r="U1680" i="157"/>
  <c r="U1699" i="157"/>
  <c r="U1689" i="157"/>
  <c r="W1689" i="157" s="1"/>
  <c r="U1684" i="157"/>
  <c r="U1685" i="157"/>
  <c r="U1696" i="157"/>
  <c r="U1686" i="157"/>
  <c r="W1686" i="157" s="1"/>
  <c r="U1688" i="157"/>
  <c r="U1698" i="157"/>
  <c r="U1693" i="157"/>
  <c r="W1693" i="157" s="1"/>
  <c r="U1683" i="157"/>
  <c r="U1694" i="157"/>
  <c r="U1675" i="157"/>
  <c r="U1676" i="157"/>
  <c r="W1676" i="157" s="1"/>
  <c r="U1672" i="157"/>
  <c r="U1663" i="157"/>
  <c r="U1670" i="157"/>
  <c r="U1669" i="157"/>
  <c r="W1669" i="157" s="1"/>
  <c r="U1666" i="157"/>
  <c r="W1666" i="157" s="1"/>
  <c r="U1668" i="157"/>
  <c r="U1667" i="157"/>
  <c r="U1659" i="157"/>
  <c r="U1660" i="157"/>
  <c r="U1656" i="157"/>
  <c r="U1655" i="157"/>
  <c r="U1653" i="157"/>
  <c r="W1653" i="157" s="1"/>
  <c r="U1652" i="157"/>
  <c r="U1648" i="157"/>
  <c r="U1651" i="157"/>
  <c r="U1647" i="157"/>
  <c r="W1647" i="157" s="1"/>
  <c r="U1642" i="157"/>
  <c r="U1635" i="157"/>
  <c r="U1644" i="157"/>
  <c r="U1643" i="157"/>
  <c r="W1643" i="157" s="1"/>
  <c r="U1641" i="157"/>
  <c r="U1636" i="157"/>
  <c r="U1630" i="157"/>
  <c r="U1631" i="157"/>
  <c r="W1631" i="157" s="1"/>
  <c r="U1624" i="157"/>
  <c r="U1625" i="157"/>
  <c r="U1627" i="157"/>
  <c r="U1621" i="157"/>
  <c r="W1621" i="157" s="1"/>
  <c r="U1629" i="157"/>
  <c r="U1626" i="157"/>
  <c r="U1618" i="157"/>
  <c r="U1614" i="157"/>
  <c r="U1612" i="157"/>
  <c r="W1612" i="157" s="1"/>
  <c r="U1613" i="157"/>
  <c r="U1610" i="157"/>
  <c r="U1609" i="157"/>
  <c r="U1602" i="157"/>
  <c r="W1602" i="157" s="1"/>
  <c r="U1605" i="157"/>
  <c r="U1606" i="157"/>
  <c r="U1607" i="157"/>
  <c r="W1607" i="157" s="1"/>
  <c r="U1598" i="157"/>
  <c r="U1589" i="157"/>
  <c r="U1592" i="157"/>
  <c r="U1593" i="157"/>
  <c r="W1593" i="157" s="1"/>
  <c r="U1596" i="157"/>
  <c r="U1600" i="157"/>
  <c r="U1599" i="157"/>
  <c r="U1588" i="157"/>
  <c r="U1587" i="157"/>
  <c r="W1587" i="157" s="1"/>
  <c r="U1576" i="157"/>
  <c r="U1577" i="157"/>
  <c r="U1578" i="157"/>
  <c r="U1583" i="157"/>
  <c r="W1583" i="157" s="1"/>
  <c r="U1582" i="157"/>
  <c r="U1581" i="157"/>
  <c r="U1574" i="157"/>
  <c r="U1571" i="157"/>
  <c r="W1571" i="157" s="1"/>
  <c r="U1567" i="157"/>
  <c r="U1568" i="157"/>
  <c r="U1562" i="157"/>
  <c r="U1563" i="157"/>
  <c r="W1563" i="157" s="1"/>
  <c r="U1561" i="157"/>
  <c r="U1559" i="157"/>
  <c r="U1558" i="157"/>
  <c r="W1558" i="157" s="1"/>
  <c r="U1556" i="157"/>
  <c r="U1555" i="157"/>
  <c r="U1551" i="157"/>
  <c r="U1552" i="157"/>
  <c r="W1552" i="157" s="1"/>
  <c r="U1541" i="157"/>
  <c r="U1542" i="157"/>
  <c r="U1545" i="157"/>
  <c r="U1540" i="157"/>
  <c r="W1540" i="157" s="1"/>
  <c r="U1543" i="157"/>
  <c r="U1539" i="157"/>
  <c r="U1538" i="157"/>
  <c r="U1537" i="157"/>
  <c r="U1526" i="157"/>
  <c r="W1526" i="157" s="1"/>
  <c r="U1532" i="157"/>
  <c r="U1528" i="157"/>
  <c r="U1527" i="157"/>
  <c r="U1534" i="157"/>
  <c r="W1534" i="157" s="1"/>
  <c r="U1535" i="157"/>
  <c r="U1524" i="157"/>
  <c r="U1523" i="157"/>
  <c r="W1523" i="157" s="1"/>
  <c r="U1521" i="157"/>
  <c r="U1520" i="157"/>
  <c r="U1515" i="157"/>
  <c r="U1516" i="157"/>
  <c r="W1516" i="157" s="1"/>
  <c r="U1512" i="157"/>
  <c r="U1510" i="157"/>
  <c r="U1500" i="157"/>
  <c r="U1507" i="157"/>
  <c r="W1507" i="157" s="1"/>
  <c r="U1501" i="157"/>
  <c r="U1508" i="157"/>
  <c r="U1505" i="157"/>
  <c r="U1498" i="157"/>
  <c r="W1498" i="157" s="1"/>
  <c r="U1496" i="157"/>
  <c r="U1491" i="157"/>
  <c r="U1492" i="157"/>
  <c r="U1494" i="157"/>
  <c r="U1495" i="157"/>
  <c r="W1495" i="157" s="1"/>
  <c r="U1487" i="157"/>
  <c r="U1490" i="157"/>
  <c r="U1486" i="157"/>
  <c r="U1488" i="157"/>
  <c r="U1482" i="157"/>
  <c r="U1483" i="157"/>
  <c r="U1471" i="157"/>
  <c r="U1473" i="157"/>
  <c r="W1473" i="157" s="1"/>
  <c r="U1474" i="157"/>
  <c r="U1476" i="157"/>
  <c r="U1468" i="157"/>
  <c r="U1464" i="157"/>
  <c r="U1466" i="157"/>
  <c r="U1465" i="157"/>
  <c r="U1455" i="157"/>
  <c r="U1454" i="157"/>
  <c r="U1461" i="157"/>
  <c r="U1458" i="157"/>
  <c r="U1459" i="157"/>
  <c r="U1451" i="157"/>
  <c r="W1451" i="157" s="1"/>
  <c r="U1446" i="157"/>
  <c r="U1442" i="157"/>
  <c r="U1443" i="157"/>
  <c r="U1444" i="157"/>
  <c r="W1444" i="157" s="1"/>
  <c r="U1450" i="157"/>
  <c r="U1449" i="157"/>
  <c r="U1434" i="157"/>
  <c r="U1435" i="157"/>
  <c r="W1435" i="157" s="1"/>
  <c r="U1432" i="157"/>
  <c r="U1430" i="157"/>
  <c r="U1429" i="157"/>
  <c r="U1427" i="157"/>
  <c r="W1427" i="157" s="1"/>
  <c r="U1419" i="157"/>
  <c r="U1420" i="157"/>
  <c r="U1423" i="157"/>
  <c r="U1424" i="157"/>
  <c r="W1424" i="157" s="1"/>
  <c r="U1416" i="157"/>
  <c r="U1398" i="157"/>
  <c r="U1402" i="157"/>
  <c r="U1407" i="157"/>
  <c r="W1407" i="157" s="1"/>
  <c r="U1400" i="157"/>
  <c r="U1411" i="157"/>
  <c r="U1404" i="157"/>
  <c r="U1403" i="157"/>
  <c r="U1415" i="157"/>
  <c r="U1406" i="157"/>
  <c r="U1410" i="157"/>
  <c r="W1410" i="157" s="1"/>
  <c r="U1399" i="157"/>
  <c r="U1408" i="157"/>
  <c r="U1391" i="157"/>
  <c r="U1392" i="157"/>
  <c r="W1392" i="157" s="1"/>
  <c r="U1374" i="157"/>
  <c r="W1374" i="157" s="1"/>
  <c r="U1373" i="157"/>
  <c r="U1385" i="157"/>
  <c r="U1386" i="157"/>
  <c r="W1386" i="157" s="1"/>
  <c r="U1379" i="157"/>
  <c r="U1380" i="157"/>
  <c r="U1375" i="157"/>
  <c r="U1376" i="157"/>
  <c r="W1376" i="157" s="1"/>
  <c r="U1372" i="157"/>
  <c r="W1372" i="157" s="1"/>
  <c r="U1369" i="157"/>
  <c r="U1368" i="157"/>
  <c r="U1367" i="157"/>
  <c r="W1367" i="157" s="1"/>
  <c r="U1365" i="157"/>
  <c r="U1364" i="157"/>
  <c r="U1359" i="157"/>
  <c r="U1361" i="157"/>
  <c r="W1361" i="157" s="1"/>
  <c r="U1337" i="157"/>
  <c r="U1348" i="157"/>
  <c r="U1350" i="157"/>
  <c r="U1351" i="157"/>
  <c r="U1346" i="157"/>
  <c r="U1340" i="157"/>
  <c r="U1347" i="157"/>
  <c r="U1338" i="157"/>
  <c r="U1343" i="157"/>
  <c r="U1344" i="157"/>
  <c r="U1329" i="157"/>
  <c r="U1330" i="157"/>
  <c r="U1333" i="157"/>
  <c r="U1336" i="157"/>
  <c r="U1326" i="157"/>
  <c r="U1325" i="157"/>
  <c r="U1322" i="157"/>
  <c r="U1321" i="157"/>
  <c r="U1309" i="157"/>
  <c r="U1318" i="157"/>
  <c r="U1312" i="157"/>
  <c r="U1320" i="157"/>
  <c r="U1315" i="157"/>
  <c r="U1310" i="157"/>
  <c r="U1307" i="157"/>
  <c r="U1308" i="157"/>
  <c r="U1288" i="157"/>
  <c r="U1304" i="157"/>
  <c r="U1301" i="157"/>
  <c r="U1290" i="157"/>
  <c r="U1300" i="157"/>
  <c r="U1292" i="157"/>
  <c r="U1293" i="157"/>
  <c r="U1294" i="157"/>
  <c r="U1296" i="157"/>
  <c r="U1297" i="157"/>
  <c r="U1298" i="157"/>
  <c r="W1298" i="157" s="1"/>
  <c r="U1284" i="157"/>
  <c r="U1280" i="157"/>
  <c r="U1283" i="157"/>
  <c r="U1279" i="157"/>
  <c r="W1279" i="157" s="1"/>
  <c r="U1277" i="157"/>
  <c r="U1275" i="157"/>
  <c r="U1268" i="157"/>
  <c r="U1269" i="157"/>
  <c r="W1269" i="157" s="1"/>
  <c r="U1266" i="157"/>
  <c r="U1267" i="157"/>
  <c r="U1265" i="157"/>
  <c r="U1259" i="157"/>
  <c r="U1257" i="157"/>
  <c r="U1253" i="157"/>
  <c r="U1251" i="157"/>
  <c r="U1252" i="157"/>
  <c r="W1252" i="157" s="1"/>
  <c r="U1262" i="157"/>
  <c r="U1261" i="157"/>
  <c r="U1244" i="157"/>
  <c r="U1249" i="157"/>
  <c r="W1249" i="157" s="1"/>
  <c r="U1246" i="157"/>
  <c r="U1243" i="157"/>
  <c r="U1236" i="157"/>
  <c r="U1240" i="157"/>
  <c r="W1240" i="157" s="1"/>
  <c r="U1238" i="157"/>
  <c r="U1228" i="157"/>
  <c r="U1226" i="157"/>
  <c r="U1225" i="157"/>
  <c r="W1225" i="157" s="1"/>
  <c r="U1229" i="157"/>
  <c r="U1233" i="157"/>
  <c r="U1234" i="157"/>
  <c r="U1221" i="157"/>
  <c r="U1220" i="157"/>
  <c r="U1218" i="157"/>
  <c r="U1214" i="157"/>
  <c r="U1215" i="157"/>
  <c r="W1215" i="157" s="1"/>
  <c r="U1212" i="157"/>
  <c r="U1211" i="157"/>
  <c r="U1207" i="157"/>
  <c r="U1208" i="157"/>
  <c r="W1208" i="157" s="1"/>
  <c r="U1202" i="157"/>
  <c r="U1203" i="157"/>
  <c r="U1200" i="157"/>
  <c r="U1199" i="157"/>
  <c r="U1196" i="157"/>
  <c r="U1195" i="157"/>
  <c r="U1192" i="157"/>
  <c r="U1190" i="157"/>
  <c r="W1190" i="157" s="1"/>
  <c r="U1189" i="157"/>
  <c r="U1187" i="157"/>
  <c r="U1185" i="157"/>
  <c r="U1184" i="157"/>
  <c r="W1184" i="157" s="1"/>
  <c r="U1181" i="157"/>
  <c r="U1180" i="157"/>
  <c r="U1174" i="157"/>
  <c r="U1172" i="157"/>
  <c r="W1172" i="157" s="1"/>
  <c r="U1178" i="157"/>
  <c r="U1175" i="157"/>
  <c r="U1165" i="157"/>
  <c r="U1169" i="157"/>
  <c r="W1169" i="157" s="1"/>
  <c r="U1168" i="157"/>
  <c r="U1164" i="157"/>
  <c r="U1161" i="157"/>
  <c r="U1162" i="157"/>
  <c r="W1162" i="157" s="1"/>
  <c r="U1149" i="157"/>
  <c r="U1150" i="157"/>
  <c r="U1153" i="157"/>
  <c r="U1155" i="157"/>
  <c r="W1155" i="157" s="1"/>
  <c r="U1157" i="157"/>
  <c r="U1154" i="157"/>
  <c r="U882" i="157"/>
  <c r="U1141" i="157"/>
  <c r="W1141" i="157" s="1"/>
  <c r="U1144" i="157"/>
  <c r="U1143" i="157"/>
  <c r="U1136" i="157"/>
  <c r="U1137" i="157"/>
  <c r="W1137" i="157" s="1"/>
  <c r="U1134" i="157"/>
  <c r="U1131" i="157"/>
  <c r="U1129" i="157"/>
  <c r="U1128" i="157"/>
  <c r="W1128" i="157" s="1"/>
  <c r="U1126" i="157"/>
  <c r="U1124" i="157"/>
  <c r="U1117" i="157"/>
  <c r="U1121" i="157"/>
  <c r="U1105" i="157"/>
  <c r="U1106" i="157"/>
  <c r="U1100" i="157"/>
  <c r="U1101" i="157"/>
  <c r="W1101" i="157" s="1"/>
  <c r="U1104" i="157"/>
  <c r="U1108" i="157"/>
  <c r="U1111" i="157"/>
  <c r="U1098" i="157"/>
  <c r="W1098" i="157" s="1"/>
  <c r="U1114" i="157"/>
  <c r="U1115" i="157"/>
  <c r="U1097" i="157"/>
  <c r="U1096" i="157"/>
  <c r="W1096" i="157" s="1"/>
  <c r="U1093" i="157"/>
  <c r="U1087" i="157"/>
  <c r="U1090" i="157"/>
  <c r="U1091" i="157"/>
  <c r="W1091" i="157" s="1"/>
  <c r="U1085" i="157"/>
  <c r="U1043" i="157"/>
  <c r="U1073" i="157"/>
  <c r="U1056" i="157"/>
  <c r="W1056" i="157" s="1"/>
  <c r="U1051" i="157"/>
  <c r="U1066" i="157"/>
  <c r="U1081" i="157"/>
  <c r="U1082" i="157"/>
  <c r="W1082" i="157" s="1"/>
  <c r="U1063" i="157"/>
  <c r="U1062" i="157"/>
  <c r="U1058" i="157"/>
  <c r="U1050" i="157"/>
  <c r="W1050" i="157" s="1"/>
  <c r="U1048" i="157"/>
  <c r="U1045" i="157"/>
  <c r="U1067" i="157"/>
  <c r="U1064" i="157"/>
  <c r="W1064" i="157" s="1"/>
  <c r="U1074" i="157"/>
  <c r="U1057" i="157"/>
  <c r="U1083" i="157"/>
  <c r="U1079" i="157"/>
  <c r="W1079" i="157" s="1"/>
  <c r="U1069" i="157"/>
  <c r="U1052" i="157"/>
  <c r="U1042" i="157"/>
  <c r="U1036" i="157"/>
  <c r="W1036" i="157" s="1"/>
  <c r="U1040" i="157"/>
  <c r="U1038" i="157"/>
  <c r="U1034" i="157"/>
  <c r="U1032" i="157"/>
  <c r="W1032" i="157" s="1"/>
  <c r="U1031" i="157"/>
  <c r="U1027" i="157"/>
  <c r="U1026" i="157"/>
  <c r="U1022" i="157"/>
  <c r="W1022" i="157" s="1"/>
  <c r="U1019" i="157"/>
  <c r="U1020" i="157"/>
  <c r="U1016" i="157"/>
  <c r="U1017" i="157"/>
  <c r="W1017" i="157" s="1"/>
  <c r="U1013" i="157"/>
  <c r="U1005" i="157"/>
  <c r="U1006" i="157"/>
  <c r="U1012" i="157"/>
  <c r="W1012" i="157" s="1"/>
  <c r="U1009" i="157"/>
  <c r="U1003" i="157"/>
  <c r="U1002" i="157"/>
  <c r="U1000" i="157"/>
  <c r="W1000" i="157" s="1"/>
  <c r="U997" i="157"/>
  <c r="U995" i="157"/>
  <c r="U996" i="157"/>
  <c r="U992" i="157"/>
  <c r="U990" i="157"/>
  <c r="U988" i="157"/>
  <c r="U983" i="157"/>
  <c r="U984" i="157"/>
  <c r="U986" i="157"/>
  <c r="U987" i="157"/>
  <c r="U969" i="157"/>
  <c r="U971" i="157"/>
  <c r="W971" i="157" s="1"/>
  <c r="U974" i="157"/>
  <c r="U975" i="157"/>
  <c r="U978" i="157"/>
  <c r="U957" i="157"/>
  <c r="W957" i="157" s="1"/>
  <c r="U960" i="157"/>
  <c r="U961" i="157"/>
  <c r="U966" i="157"/>
  <c r="U965" i="157"/>
  <c r="W965" i="157" s="1"/>
  <c r="U962" i="157"/>
  <c r="U956" i="157"/>
  <c r="U950" i="157"/>
  <c r="U951" i="157"/>
  <c r="W951" i="157" s="1"/>
  <c r="U945" i="157"/>
  <c r="U948" i="157"/>
  <c r="U947" i="157"/>
  <c r="U944" i="157"/>
  <c r="W944" i="157" s="1"/>
  <c r="U940" i="157"/>
  <c r="U941" i="157"/>
  <c r="U942" i="157"/>
  <c r="U928" i="157"/>
  <c r="W928" i="157" s="1"/>
  <c r="U931" i="157"/>
  <c r="U932" i="157"/>
  <c r="U935" i="157"/>
  <c r="U936" i="157"/>
  <c r="W936" i="157" s="1"/>
  <c r="U919" i="157"/>
  <c r="U920" i="157"/>
  <c r="U926" i="157"/>
  <c r="U918" i="157"/>
  <c r="W918" i="157" s="1"/>
  <c r="U915" i="157"/>
  <c r="U917" i="157"/>
  <c r="U914" i="157"/>
  <c r="U911" i="157"/>
  <c r="W911" i="157" s="1"/>
  <c r="U908" i="157"/>
  <c r="U906" i="157"/>
  <c r="U909" i="157"/>
  <c r="U907" i="157"/>
  <c r="U903" i="157"/>
  <c r="U902" i="157"/>
  <c r="U894" i="157"/>
  <c r="U895" i="157"/>
  <c r="W895" i="157" s="1"/>
  <c r="U897" i="157"/>
  <c r="U896" i="157"/>
  <c r="U889" i="157"/>
  <c r="U888" i="157"/>
  <c r="W888" i="157" s="1"/>
  <c r="U885" i="157"/>
  <c r="U886" i="157"/>
  <c r="U742" i="157"/>
  <c r="U880" i="157"/>
  <c r="U877" i="157"/>
  <c r="U876" i="157"/>
  <c r="U874" i="157"/>
  <c r="U872" i="157"/>
  <c r="W872" i="157" s="1"/>
  <c r="U869" i="157"/>
  <c r="U870" i="157"/>
  <c r="U866" i="157"/>
  <c r="U857" i="157"/>
  <c r="W857" i="157" s="1"/>
  <c r="U863" i="157"/>
  <c r="U862" i="157"/>
  <c r="U859" i="157"/>
  <c r="U858" i="157"/>
  <c r="W858" i="157" s="1"/>
  <c r="U852" i="157"/>
  <c r="U849" i="157"/>
  <c r="U847" i="157"/>
  <c r="U848" i="157"/>
  <c r="W848" i="157" s="1"/>
  <c r="U845" i="157"/>
  <c r="U844" i="157"/>
  <c r="U838" i="157"/>
  <c r="U839" i="157"/>
  <c r="W839" i="157" s="1"/>
  <c r="U841" i="157"/>
  <c r="U843" i="157"/>
  <c r="U833" i="157"/>
  <c r="U832" i="157"/>
  <c r="W832" i="157" s="1"/>
  <c r="U825" i="157"/>
  <c r="U826" i="157"/>
  <c r="U828" i="157"/>
  <c r="U829" i="157"/>
  <c r="W829" i="157" s="1"/>
  <c r="U821" i="157"/>
  <c r="U820" i="157"/>
  <c r="U817" i="157"/>
  <c r="U816" i="157"/>
  <c r="U812" i="157"/>
  <c r="U813" i="157"/>
  <c r="U809" i="157"/>
  <c r="U807" i="157"/>
  <c r="W807" i="157" s="1"/>
  <c r="U805" i="157"/>
  <c r="U804" i="157"/>
  <c r="U800" i="157"/>
  <c r="U801" i="157"/>
  <c r="W801" i="157" s="1"/>
  <c r="U794" i="157"/>
  <c r="U795" i="157"/>
  <c r="U798" i="157"/>
  <c r="U792" i="157"/>
  <c r="U791" i="157"/>
  <c r="U783" i="157"/>
  <c r="U772" i="157"/>
  <c r="U773" i="157"/>
  <c r="W773" i="157" s="1"/>
  <c r="U787" i="157"/>
  <c r="U777" i="157"/>
  <c r="U771" i="157"/>
  <c r="U770" i="157"/>
  <c r="W770" i="157" s="1"/>
  <c r="U785" i="157"/>
  <c r="U780" i="157"/>
  <c r="U769" i="157"/>
  <c r="U768" i="157"/>
  <c r="W768" i="157" s="1"/>
  <c r="U763" i="157"/>
  <c r="U764" i="157"/>
  <c r="U761" i="157"/>
  <c r="U759" i="157"/>
  <c r="W759" i="157" s="1"/>
  <c r="U752" i="157"/>
  <c r="U757" i="157"/>
  <c r="U756" i="157"/>
  <c r="U753" i="157"/>
  <c r="W753" i="157" s="1"/>
  <c r="U746" i="157"/>
  <c r="U748" i="157"/>
  <c r="U731" i="157"/>
  <c r="U741" i="157"/>
  <c r="W741" i="157" s="1"/>
  <c r="U491" i="157"/>
  <c r="U734" i="157"/>
  <c r="U744" i="157"/>
  <c r="U740" i="157"/>
  <c r="W740" i="157" s="1"/>
  <c r="U735" i="157"/>
  <c r="U738" i="157"/>
  <c r="U727" i="157"/>
  <c r="U725" i="157"/>
  <c r="W725" i="157" s="1"/>
  <c r="U726" i="157"/>
  <c r="U724" i="157"/>
  <c r="U722" i="157"/>
  <c r="U720" i="157"/>
  <c r="W720" i="157" s="1"/>
  <c r="U717" i="157"/>
  <c r="U718" i="157"/>
  <c r="U713" i="157"/>
  <c r="U711" i="157"/>
  <c r="W711" i="157" s="1"/>
  <c r="U709" i="157"/>
  <c r="U708" i="157"/>
  <c r="U703" i="157"/>
  <c r="U697" i="157"/>
  <c r="W697" i="157" s="1"/>
  <c r="U700" i="157"/>
  <c r="U701" i="157"/>
  <c r="U704" i="157"/>
  <c r="U696" i="157"/>
  <c r="W696" i="157" s="1"/>
  <c r="U690" i="157"/>
  <c r="U689" i="157"/>
  <c r="U686" i="157"/>
  <c r="U685" i="157"/>
  <c r="W685" i="157" s="1"/>
  <c r="U683" i="157"/>
  <c r="U693" i="157"/>
  <c r="U680" i="157"/>
  <c r="U681" i="157"/>
  <c r="W681" i="157" s="1"/>
  <c r="U677" i="157"/>
  <c r="U672" i="157"/>
  <c r="U669" i="157"/>
  <c r="U670" i="157"/>
  <c r="W670" i="157" s="1"/>
  <c r="U671" i="157"/>
  <c r="U666" i="157"/>
  <c r="U665" i="157"/>
  <c r="U663" i="157"/>
  <c r="W663" i="157" s="1"/>
  <c r="U660" i="157"/>
  <c r="U661" i="157"/>
  <c r="U654" i="157"/>
  <c r="U655" i="157"/>
  <c r="W655" i="157" s="1"/>
  <c r="U658" i="157"/>
  <c r="U650" i="157"/>
  <c r="U642" i="157"/>
  <c r="U643" i="157"/>
  <c r="W643" i="157" s="1"/>
  <c r="U639" i="157"/>
  <c r="U640" i="157"/>
  <c r="U649" i="157"/>
  <c r="U648" i="157"/>
  <c r="W648" i="157" s="1"/>
  <c r="U637" i="157"/>
  <c r="U647" i="157"/>
  <c r="U633" i="157"/>
  <c r="U632" i="157"/>
  <c r="W632" i="157" s="1"/>
  <c r="U630" i="157"/>
  <c r="U628" i="157"/>
  <c r="U629" i="157"/>
  <c r="U626" i="157"/>
  <c r="W626" i="157" s="1"/>
  <c r="U621" i="157"/>
  <c r="U617" i="157"/>
  <c r="U620" i="157"/>
  <c r="U615" i="157"/>
  <c r="W615" i="157" s="1"/>
  <c r="U605" i="157"/>
  <c r="U611" i="157"/>
  <c r="U609" i="157"/>
  <c r="U610" i="157"/>
  <c r="U601" i="157"/>
  <c r="U602" i="157"/>
  <c r="U603" i="157"/>
  <c r="U598" i="157"/>
  <c r="U597" i="157"/>
  <c r="U596" i="157"/>
  <c r="U589" i="157"/>
  <c r="U595" i="157"/>
  <c r="U590" i="157"/>
  <c r="U586" i="157"/>
  <c r="U587" i="157"/>
  <c r="U588" i="157"/>
  <c r="W588" i="157" s="1"/>
  <c r="U581" i="157"/>
  <c r="U578" i="157"/>
  <c r="U577" i="157"/>
  <c r="U576" i="157"/>
  <c r="W576" i="157" s="1"/>
  <c r="U573" i="157"/>
  <c r="U572" i="157"/>
  <c r="U567" i="157"/>
  <c r="U568" i="157"/>
  <c r="W568" i="157" s="1"/>
  <c r="U565" i="157"/>
  <c r="U549" i="157"/>
  <c r="U560" i="157"/>
  <c r="U561" i="157"/>
  <c r="W561" i="157" s="1"/>
  <c r="U556" i="157"/>
  <c r="U557" i="157"/>
  <c r="U552" i="157"/>
  <c r="U553" i="157"/>
  <c r="U545" i="157"/>
  <c r="U546" i="157"/>
  <c r="U562" i="157"/>
  <c r="U563" i="157"/>
  <c r="W563" i="157" s="1"/>
  <c r="U539" i="157"/>
  <c r="U540" i="157"/>
  <c r="U536" i="157"/>
  <c r="U537" i="157"/>
  <c r="W537" i="157" s="1"/>
  <c r="U534" i="157"/>
  <c r="U533" i="157"/>
  <c r="U529" i="157"/>
  <c r="U527" i="157"/>
  <c r="W527" i="157" s="1"/>
  <c r="U522" i="157"/>
  <c r="U520" i="157"/>
  <c r="U526" i="157"/>
  <c r="U525" i="157"/>
  <c r="W525" i="157" s="1"/>
  <c r="U517" i="157"/>
  <c r="U509" i="157"/>
  <c r="U512" i="157"/>
  <c r="U513" i="157"/>
  <c r="W513" i="157" s="1"/>
  <c r="U516" i="157"/>
  <c r="U508" i="157"/>
  <c r="U506" i="157"/>
  <c r="U504" i="157"/>
  <c r="W504" i="157" s="1"/>
  <c r="U502" i="157"/>
  <c r="U499" i="157"/>
  <c r="U497" i="157"/>
  <c r="U496" i="157"/>
  <c r="W496" i="157" s="1"/>
  <c r="U494" i="157"/>
  <c r="U485" i="157"/>
  <c r="U488" i="157"/>
  <c r="U495" i="157"/>
  <c r="W495" i="157" s="1"/>
  <c r="U486" i="157"/>
  <c r="U484" i="157"/>
  <c r="U477" i="157"/>
  <c r="U478" i="157"/>
  <c r="W478" i="157" s="1"/>
  <c r="U480" i="157"/>
  <c r="U475" i="157"/>
  <c r="U465" i="157"/>
  <c r="U466" i="157"/>
  <c r="W466" i="157" s="1"/>
  <c r="U467" i="157"/>
  <c r="U470" i="157"/>
  <c r="U471" i="157"/>
  <c r="U462" i="157"/>
  <c r="U461" i="157"/>
  <c r="U460" i="157"/>
  <c r="U458" i="157"/>
  <c r="U455" i="157"/>
  <c r="W455" i="157" s="1"/>
  <c r="U453" i="157"/>
  <c r="U454" i="157"/>
  <c r="U443" i="157"/>
  <c r="U437" i="157"/>
  <c r="W437" i="157" s="1"/>
  <c r="U448" i="157"/>
  <c r="U445" i="157"/>
  <c r="U428" i="157"/>
  <c r="U446" i="157"/>
  <c r="W446" i="157" s="1"/>
  <c r="U442" i="157"/>
  <c r="U435" i="157"/>
  <c r="U430" i="157"/>
  <c r="U429" i="157"/>
  <c r="W429" i="157" s="1"/>
  <c r="U423" i="157"/>
  <c r="U425" i="157"/>
  <c r="U438" i="157"/>
  <c r="U436" i="157"/>
  <c r="W436" i="157" s="1"/>
  <c r="U420" i="157"/>
  <c r="U421" i="157"/>
  <c r="U414" i="157"/>
  <c r="U415" i="157"/>
  <c r="W415" i="157" s="1"/>
  <c r="U413" i="157"/>
  <c r="U412" i="157"/>
  <c r="U406" i="157"/>
  <c r="U407" i="157"/>
  <c r="W407" i="157" s="1"/>
  <c r="U410" i="157"/>
  <c r="U402" i="157"/>
  <c r="U403" i="157"/>
  <c r="U394" i="157"/>
  <c r="W394" i="157" s="1"/>
  <c r="U404" i="157"/>
  <c r="U397" i="157"/>
  <c r="U398" i="157"/>
  <c r="U401" i="157"/>
  <c r="W401" i="157" s="1"/>
  <c r="U390" i="157"/>
  <c r="U391" i="157"/>
  <c r="U386" i="157"/>
  <c r="U385" i="157"/>
  <c r="W385" i="157" s="1"/>
  <c r="U382" i="157"/>
  <c r="U376" i="157"/>
  <c r="U371" i="157"/>
  <c r="U378" i="157"/>
  <c r="W378" i="157" s="1"/>
  <c r="U374" i="157"/>
  <c r="U373" i="157"/>
  <c r="U369" i="157"/>
  <c r="U368" i="157"/>
  <c r="W368" i="157" s="1"/>
  <c r="U346" i="157"/>
  <c r="U362" i="157"/>
  <c r="U353" i="157"/>
  <c r="U352" i="157"/>
  <c r="W352" i="157" s="1"/>
  <c r="U360" i="157"/>
  <c r="U367" i="157"/>
  <c r="U354" i="157"/>
  <c r="U363" i="157"/>
  <c r="W363" i="157" s="1"/>
  <c r="U350" i="157"/>
  <c r="U364" i="157"/>
  <c r="U341" i="157"/>
  <c r="U345" i="157"/>
  <c r="W345" i="157" s="1"/>
  <c r="U344" i="157"/>
  <c r="U340" i="157"/>
  <c r="U337" i="157"/>
  <c r="U336" i="157"/>
  <c r="W336" i="157" s="1"/>
  <c r="U335" i="157"/>
  <c r="U333" i="157"/>
  <c r="U334" i="157"/>
  <c r="U330" i="157"/>
  <c r="W330" i="157" s="1"/>
  <c r="U323" i="157"/>
  <c r="U322" i="157"/>
  <c r="U320" i="157"/>
  <c r="U321" i="157"/>
  <c r="W321" i="157" s="1"/>
  <c r="U312" i="157"/>
  <c r="U313" i="157"/>
  <c r="U317" i="157"/>
  <c r="U316" i="157"/>
  <c r="W316" i="157" s="1"/>
  <c r="U308" i="157"/>
  <c r="U309" i="157"/>
  <c r="U307" i="157"/>
  <c r="U298" i="157"/>
  <c r="W298" i="157" s="1"/>
  <c r="U301" i="157"/>
  <c r="U299" i="157"/>
  <c r="U290" i="157"/>
  <c r="U291" i="157"/>
  <c r="W291" i="157" s="1"/>
  <c r="U294" i="157"/>
  <c r="U295" i="157"/>
  <c r="U284" i="157"/>
  <c r="U285" i="157"/>
  <c r="W285" i="157" s="1"/>
  <c r="U288" i="157"/>
  <c r="U289" i="157"/>
  <c r="U283" i="157"/>
  <c r="U279" i="157"/>
  <c r="W279" i="157" s="1"/>
  <c r="U274" i="157"/>
  <c r="U273" i="157"/>
  <c r="U282" i="157"/>
  <c r="U278" i="157"/>
  <c r="W278" i="157" s="1"/>
  <c r="U271" i="157"/>
  <c r="U268" i="157"/>
  <c r="U266" i="157"/>
  <c r="U261" i="157"/>
  <c r="W261" i="157" s="1"/>
  <c r="U264" i="157"/>
  <c r="U259" i="157"/>
  <c r="U255" i="157"/>
  <c r="U263" i="157"/>
  <c r="W263" i="157" s="1"/>
  <c r="U258" i="157"/>
  <c r="U245" i="157"/>
  <c r="U249" i="157"/>
  <c r="U248" i="157"/>
  <c r="W248" i="157" s="1"/>
  <c r="U244" i="157"/>
  <c r="U250" i="157"/>
  <c r="U242" i="157"/>
  <c r="U243" i="157"/>
  <c r="W243" i="157" s="1"/>
  <c r="U238" i="157"/>
  <c r="U233" i="157"/>
  <c r="U236" i="157"/>
  <c r="U230" i="157"/>
  <c r="U218" i="157"/>
  <c r="U217" i="157"/>
  <c r="U227" i="157"/>
  <c r="U219" i="157"/>
  <c r="U221" i="157"/>
  <c r="U229" i="157"/>
  <c r="U226" i="157"/>
  <c r="U215" i="157"/>
  <c r="W215" i="157" s="1"/>
  <c r="U209" i="157"/>
  <c r="U213" i="157"/>
  <c r="U214" i="157"/>
  <c r="U212" i="157"/>
  <c r="U200" i="157"/>
  <c r="U205" i="157"/>
  <c r="U198" i="157"/>
  <c r="U199" i="157"/>
  <c r="U203" i="157"/>
  <c r="U191" i="157"/>
  <c r="U180" i="157"/>
  <c r="U177" i="157"/>
  <c r="U176" i="157"/>
  <c r="U173" i="157"/>
  <c r="U184" i="157"/>
  <c r="U188" i="157"/>
  <c r="U194" i="157"/>
  <c r="U185" i="157"/>
  <c r="U174" i="157"/>
  <c r="U189" i="157"/>
  <c r="U172" i="157"/>
  <c r="U167" i="157"/>
  <c r="U170" i="157"/>
  <c r="U160" i="157"/>
  <c r="U158" i="157"/>
  <c r="U163" i="157"/>
  <c r="U166" i="157"/>
  <c r="U165" i="157"/>
  <c r="U155" i="157"/>
  <c r="U156" i="157"/>
  <c r="U148" i="157"/>
  <c r="U149" i="157"/>
  <c r="U152" i="157"/>
  <c r="U143" i="157"/>
  <c r="U146" i="157"/>
  <c r="U141" i="157"/>
  <c r="U122" i="157"/>
  <c r="U133" i="157"/>
  <c r="U137" i="157"/>
  <c r="U125" i="157"/>
  <c r="U124" i="157"/>
  <c r="U126" i="157"/>
  <c r="U131" i="157"/>
  <c r="U134" i="157"/>
  <c r="U120" i="157"/>
  <c r="U116" i="157"/>
  <c r="U118" i="157"/>
  <c r="U115" i="157"/>
  <c r="U99" i="157"/>
  <c r="U100" i="157"/>
  <c r="U112" i="157"/>
  <c r="U113" i="157"/>
  <c r="U111" i="157"/>
  <c r="U104" i="157"/>
  <c r="U107" i="157"/>
  <c r="U108" i="157"/>
  <c r="U97" i="157"/>
  <c r="U96" i="157"/>
  <c r="U90" i="157"/>
  <c r="U89" i="157"/>
  <c r="U86" i="157"/>
  <c r="U85" i="157"/>
  <c r="U81" i="157"/>
  <c r="U79" i="157"/>
  <c r="U74" i="157"/>
  <c r="U75" i="157"/>
  <c r="U71" i="157"/>
  <c r="U68" i="157"/>
  <c r="U60" i="157"/>
  <c r="U61" i="157"/>
  <c r="U66" i="157"/>
  <c r="U64" i="157"/>
  <c r="U57" i="157"/>
  <c r="U58" i="157"/>
  <c r="U52" i="157"/>
  <c r="U51" i="157"/>
  <c r="U2388" i="157"/>
  <c r="U31" i="157"/>
  <c r="U26" i="157"/>
  <c r="U27" i="157"/>
  <c r="U39" i="157"/>
  <c r="U2384" i="157"/>
  <c r="U25" i="157"/>
  <c r="U40" i="157"/>
  <c r="U24" i="157"/>
  <c r="U44" i="157"/>
  <c r="U22" i="157"/>
  <c r="U33" i="157"/>
  <c r="U36" i="157"/>
  <c r="U2382" i="157"/>
  <c r="U10" i="157"/>
  <c r="U2381" i="157"/>
  <c r="U2373" i="157"/>
  <c r="U2374" i="157"/>
  <c r="U2370" i="157"/>
  <c r="U2371" i="157"/>
  <c r="U2354" i="157"/>
  <c r="U9" i="157"/>
  <c r="U48" i="157"/>
  <c r="U50" i="157"/>
  <c r="U38" i="157"/>
  <c r="U92" i="157"/>
  <c r="U56" i="157"/>
  <c r="U2344" i="157"/>
  <c r="U2349" i="157"/>
  <c r="U2345" i="157"/>
  <c r="U2355" i="157"/>
  <c r="U2385" i="157"/>
  <c r="U2362" i="157"/>
  <c r="U2363" i="157"/>
  <c r="U2357" i="157"/>
  <c r="U2366" i="157"/>
  <c r="U2360" i="157"/>
  <c r="U2342" i="157"/>
  <c r="U2346" i="157"/>
  <c r="U2347" i="157"/>
  <c r="U18" i="157"/>
  <c r="U2334" i="157"/>
  <c r="U2377" i="157"/>
  <c r="U8" i="157"/>
  <c r="U2335" i="157"/>
  <c r="U2340" i="157"/>
  <c r="U2343" i="157"/>
  <c r="U2337" i="157"/>
  <c r="U77" i="157"/>
  <c r="U84" i="157"/>
  <c r="U139" i="157"/>
  <c r="U16" i="157"/>
  <c r="U2331" i="157"/>
  <c r="U2378" i="157"/>
  <c r="U12" i="157"/>
  <c r="U11" i="157"/>
  <c r="U2338" i="157"/>
  <c r="U2353" i="157"/>
  <c r="V2330" i="157"/>
  <c r="V2328" i="157"/>
  <c r="V2327" i="157"/>
  <c r="V2323" i="157"/>
  <c r="V2320" i="157"/>
  <c r="V2326" i="157"/>
  <c r="W2326" i="157" s="1"/>
  <c r="V2325" i="157"/>
  <c r="V2324" i="157"/>
  <c r="V2322" i="157"/>
  <c r="V2317" i="157"/>
  <c r="V2318" i="157"/>
  <c r="V2321" i="157"/>
  <c r="V2319" i="157"/>
  <c r="V2313" i="157"/>
  <c r="V2310" i="157"/>
  <c r="V2309" i="157"/>
  <c r="V2311" i="157"/>
  <c r="V2314" i="157"/>
  <c r="V2312" i="157"/>
  <c r="V2315" i="157"/>
  <c r="V2316" i="157"/>
  <c r="V2307" i="157"/>
  <c r="W2307" i="157" s="1"/>
  <c r="V2308" i="157"/>
  <c r="V2306" i="157"/>
  <c r="V2305" i="157"/>
  <c r="V2304" i="157"/>
  <c r="V2297" i="157"/>
  <c r="V2295" i="157"/>
  <c r="V2303" i="157"/>
  <c r="V2302" i="157"/>
  <c r="W2302" i="157" s="1"/>
  <c r="V2296" i="157"/>
  <c r="V2298" i="157"/>
  <c r="V2299" i="157"/>
  <c r="V2300" i="157"/>
  <c r="V2301" i="157"/>
  <c r="V2294" i="157"/>
  <c r="V2292" i="157"/>
  <c r="V2290" i="157"/>
  <c r="W2290" i="157" s="1"/>
  <c r="V2291" i="157"/>
  <c r="V2293" i="157"/>
  <c r="V2289" i="157"/>
  <c r="V2288" i="157"/>
  <c r="V2287" i="157"/>
  <c r="V2285" i="157"/>
  <c r="V2286" i="157"/>
  <c r="V2284" i="157"/>
  <c r="W2284" i="157" s="1"/>
  <c r="V2283" i="157"/>
  <c r="V2275" i="157"/>
  <c r="V2276" i="157"/>
  <c r="V2282" i="157"/>
  <c r="V2281" i="157"/>
  <c r="V2279" i="157"/>
  <c r="V2280" i="157"/>
  <c r="V2278" i="157"/>
  <c r="W2278" i="157" s="1"/>
  <c r="V2277" i="157"/>
  <c r="V2262" i="157"/>
  <c r="V2265" i="157"/>
  <c r="V2274" i="157"/>
  <c r="V2266" i="157"/>
  <c r="V2267" i="157"/>
  <c r="V2263" i="157"/>
  <c r="V2268" i="157"/>
  <c r="W2268" i="157" s="1"/>
  <c r="V2264" i="157"/>
  <c r="V2269" i="157"/>
  <c r="V2270" i="157"/>
  <c r="V2271" i="157"/>
  <c r="V2272" i="157"/>
  <c r="V2273" i="157"/>
  <c r="V2259" i="157"/>
  <c r="V2260" i="157"/>
  <c r="W2260" i="157" s="1"/>
  <c r="V2261" i="157"/>
  <c r="V2257" i="157"/>
  <c r="V2258" i="157"/>
  <c r="V2256" i="157"/>
  <c r="V2255" i="157"/>
  <c r="V2254" i="157"/>
  <c r="V2245" i="157"/>
  <c r="V2246" i="157"/>
  <c r="W2246" i="157" s="1"/>
  <c r="V2248" i="157"/>
  <c r="V2249" i="157"/>
  <c r="V2253" i="157"/>
  <c r="V2251" i="157"/>
  <c r="V2247" i="157"/>
  <c r="V2252" i="157"/>
  <c r="V2250" i="157"/>
  <c r="V2241" i="157"/>
  <c r="W2241" i="157" s="1"/>
  <c r="V2243" i="157"/>
  <c r="V2242" i="157"/>
  <c r="V2244" i="157"/>
  <c r="V2240" i="157"/>
  <c r="V2238" i="157"/>
  <c r="V2239" i="157"/>
  <c r="V2234" i="157"/>
  <c r="V2235" i="157"/>
  <c r="W2235" i="157" s="1"/>
  <c r="V2236" i="157"/>
  <c r="V2237" i="157"/>
  <c r="V2230" i="157"/>
  <c r="V2232" i="157"/>
  <c r="V2231" i="157"/>
  <c r="V2233" i="157"/>
  <c r="V2227" i="157"/>
  <c r="V2225" i="157"/>
  <c r="W2225" i="157" s="1"/>
  <c r="V2229" i="157"/>
  <c r="V2226" i="157"/>
  <c r="V2228" i="157"/>
  <c r="V2221" i="157"/>
  <c r="V2224" i="157"/>
  <c r="V2223" i="157"/>
  <c r="V2222" i="157"/>
  <c r="V2220" i="157"/>
  <c r="W2220" i="157" s="1"/>
  <c r="V2217" i="157"/>
  <c r="V2218" i="157"/>
  <c r="V2219" i="157"/>
  <c r="V2214" i="157"/>
  <c r="V2207" i="157"/>
  <c r="V2208" i="157"/>
  <c r="V2215" i="157"/>
  <c r="V2216" i="157"/>
  <c r="W2216" i="157" s="1"/>
  <c r="V2209" i="157"/>
  <c r="V2210" i="157"/>
  <c r="V2211" i="157"/>
  <c r="V2212" i="157"/>
  <c r="V2213" i="157"/>
  <c r="V2205" i="157"/>
  <c r="V2197" i="157"/>
  <c r="V2198" i="157"/>
  <c r="W2198" i="157" s="1"/>
  <c r="V2199" i="157"/>
  <c r="V2200" i="157"/>
  <c r="V2201" i="157"/>
  <c r="V2202" i="157"/>
  <c r="V2203" i="157"/>
  <c r="V2206" i="157"/>
  <c r="V2204" i="157"/>
  <c r="V2196" i="157"/>
  <c r="W2196" i="157" s="1"/>
  <c r="V2195" i="157"/>
  <c r="V2190" i="157"/>
  <c r="V2185" i="157"/>
  <c r="V2186" i="157"/>
  <c r="V2187" i="157"/>
  <c r="V2194" i="157"/>
  <c r="V2191" i="157"/>
  <c r="V2192" i="157"/>
  <c r="W2192" i="157" s="1"/>
  <c r="V2189" i="157"/>
  <c r="V2188" i="157"/>
  <c r="V2193" i="157"/>
  <c r="V2183" i="157"/>
  <c r="V2184" i="157"/>
  <c r="V2179" i="157"/>
  <c r="V2178" i="157"/>
  <c r="V2181" i="157"/>
  <c r="W2181" i="157" s="1"/>
  <c r="V2180" i="157"/>
  <c r="V2182" i="157"/>
  <c r="V2176" i="157"/>
  <c r="V2177" i="157"/>
  <c r="V2175" i="157"/>
  <c r="V2174" i="157"/>
  <c r="V2173" i="157"/>
  <c r="V2163" i="157"/>
  <c r="W2163" i="157" s="1"/>
  <c r="V2164" i="157"/>
  <c r="V2170" i="157"/>
  <c r="V2165" i="157"/>
  <c r="V2171" i="157"/>
  <c r="V2172" i="157"/>
  <c r="V2166" i="157"/>
  <c r="V2167" i="157"/>
  <c r="V2168" i="157"/>
  <c r="W2168" i="157" s="1"/>
  <c r="V2169" i="157"/>
  <c r="V2162" i="157"/>
  <c r="V2159" i="157"/>
  <c r="V2160" i="157"/>
  <c r="V2161" i="157"/>
  <c r="V2152" i="157"/>
  <c r="V2157" i="157"/>
  <c r="V2155" i="157"/>
  <c r="W2155" i="157" s="1"/>
  <c r="V2153" i="157"/>
  <c r="V2156" i="157"/>
  <c r="V2154" i="157"/>
  <c r="V2158" i="157"/>
  <c r="V2150" i="157"/>
  <c r="V2151" i="157"/>
  <c r="V2147" i="157"/>
  <c r="V2148" i="157"/>
  <c r="W2148" i="157" s="1"/>
  <c r="V2149" i="157"/>
  <c r="V2146" i="157"/>
  <c r="V2145" i="157"/>
  <c r="V2143" i="157"/>
  <c r="V2144" i="157"/>
  <c r="V2141" i="157"/>
  <c r="V2137" i="157"/>
  <c r="V2136" i="157"/>
  <c r="W2136" i="157" s="1"/>
  <c r="V2138" i="157"/>
  <c r="V2139" i="157"/>
  <c r="V2142" i="157"/>
  <c r="V2140" i="157"/>
  <c r="V2134" i="157"/>
  <c r="V2133" i="157"/>
  <c r="V2135" i="157"/>
  <c r="V2131" i="157"/>
  <c r="W2131" i="157" s="1"/>
  <c r="V2128" i="157"/>
  <c r="V2132" i="157"/>
  <c r="V2129" i="157"/>
  <c r="V2130" i="157"/>
  <c r="V2127" i="157"/>
  <c r="V2126" i="157"/>
  <c r="V2116" i="157"/>
  <c r="V2123" i="157"/>
  <c r="W2123" i="157" s="1"/>
  <c r="V2117" i="157"/>
  <c r="V2118" i="157"/>
  <c r="V2119" i="157"/>
  <c r="V2120" i="157"/>
  <c r="V2121" i="157"/>
  <c r="V2125" i="157"/>
  <c r="V2124" i="157"/>
  <c r="V2122" i="157"/>
  <c r="W2122" i="157" s="1"/>
  <c r="V2108" i="157"/>
  <c r="V2109" i="157"/>
  <c r="V2110" i="157"/>
  <c r="V2111" i="157"/>
  <c r="V2112" i="157"/>
  <c r="V2113" i="157"/>
  <c r="V2115" i="157"/>
  <c r="V2114" i="157"/>
  <c r="V2096" i="157"/>
  <c r="V2104" i="157"/>
  <c r="V2093" i="157"/>
  <c r="V2107" i="157"/>
  <c r="V2100" i="157"/>
  <c r="V2105" i="157"/>
  <c r="V2106" i="157"/>
  <c r="V2098" i="157"/>
  <c r="W2098" i="157" s="1"/>
  <c r="V2097" i="157"/>
  <c r="V2099" i="157"/>
  <c r="V2102" i="157"/>
  <c r="V2103" i="157"/>
  <c r="V2094" i="157"/>
  <c r="V2095" i="157"/>
  <c r="V2101" i="157"/>
  <c r="V2092" i="157"/>
  <c r="W2092" i="157" s="1"/>
  <c r="V2090" i="157"/>
  <c r="V2089" i="157"/>
  <c r="V2083" i="157"/>
  <c r="V2081" i="157"/>
  <c r="V2091" i="157"/>
  <c r="V2082" i="157"/>
  <c r="V2084" i="157"/>
  <c r="V2087" i="157"/>
  <c r="V2088" i="157"/>
  <c r="V2085" i="157"/>
  <c r="V2086" i="157"/>
  <c r="V2079" i="157"/>
  <c r="V2080" i="157"/>
  <c r="V2076" i="157"/>
  <c r="V2073" i="157"/>
  <c r="V2078" i="157"/>
  <c r="W2078" i="157" s="1"/>
  <c r="V2077" i="157"/>
  <c r="V2074" i="157"/>
  <c r="V2075" i="157"/>
  <c r="V2071" i="157"/>
  <c r="V2072" i="157"/>
  <c r="V2070" i="157"/>
  <c r="V2069" i="157"/>
  <c r="V2067" i="157"/>
  <c r="W2067" i="157" s="1"/>
  <c r="V2068" i="157"/>
  <c r="V2064" i="157"/>
  <c r="V2065" i="157"/>
  <c r="V2066" i="157"/>
  <c r="V2058" i="157"/>
  <c r="V2059" i="157"/>
  <c r="V2060" i="157"/>
  <c r="V2061" i="157"/>
  <c r="W2061" i="157" s="1"/>
  <c r="V2062" i="157"/>
  <c r="V2063" i="157"/>
  <c r="V2057" i="157"/>
  <c r="V2054" i="157"/>
  <c r="V2056" i="157"/>
  <c r="V2055" i="157"/>
  <c r="V2053" i="157"/>
  <c r="V2049" i="157"/>
  <c r="W2049" i="157" s="1"/>
  <c r="V2050" i="157"/>
  <c r="V2051" i="157"/>
  <c r="V2052" i="157"/>
  <c r="V2047" i="157"/>
  <c r="V2048" i="157"/>
  <c r="V2046" i="157"/>
  <c r="V2045" i="157"/>
  <c r="V2043" i="157"/>
  <c r="W2043" i="157" s="1"/>
  <c r="V2042" i="157"/>
  <c r="V2034" i="157"/>
  <c r="V2035" i="157"/>
  <c r="V2044" i="157"/>
  <c r="V2033" i="157"/>
  <c r="V2032" i="157"/>
  <c r="V2041" i="157"/>
  <c r="V2036" i="157"/>
  <c r="W2036" i="157" s="1"/>
  <c r="V2037" i="157"/>
  <c r="V2038" i="157"/>
  <c r="V2039" i="157"/>
  <c r="V2040" i="157"/>
  <c r="V2030" i="157"/>
  <c r="V2031" i="157"/>
  <c r="V2024" i="157"/>
  <c r="V2025" i="157"/>
  <c r="W2025" i="157" s="1"/>
  <c r="V2026" i="157"/>
  <c r="V2027" i="157"/>
  <c r="V2028" i="157"/>
  <c r="V2029" i="157"/>
  <c r="V2023" i="157"/>
  <c r="V2022" i="157"/>
  <c r="V2020" i="157"/>
  <c r="V2008" i="157"/>
  <c r="W2008" i="157" s="1"/>
  <c r="V2014" i="157"/>
  <c r="V2021" i="157"/>
  <c r="V2015" i="157"/>
  <c r="V2012" i="157"/>
  <c r="V2011" i="157"/>
  <c r="V2009" i="157"/>
  <c r="V2013" i="157"/>
  <c r="V2018" i="157"/>
  <c r="W2018" i="157" s="1"/>
  <c r="V2017" i="157"/>
  <c r="V2010" i="157"/>
  <c r="V2019" i="157"/>
  <c r="V2016" i="157"/>
  <c r="V2007" i="157"/>
  <c r="V2005" i="157"/>
  <c r="V2006" i="157"/>
  <c r="V2002" i="157"/>
  <c r="W2002" i="157" s="1"/>
  <c r="V2001" i="157"/>
  <c r="V2004" i="157"/>
  <c r="V2003" i="157"/>
  <c r="V2000" i="157"/>
  <c r="V1999" i="157"/>
  <c r="V1998" i="157"/>
  <c r="V1997" i="157"/>
  <c r="V1996" i="157"/>
  <c r="W1996" i="157" s="1"/>
  <c r="V1995" i="157"/>
  <c r="V1994" i="157"/>
  <c r="V1993" i="157"/>
  <c r="V1990" i="157"/>
  <c r="V1991" i="157"/>
  <c r="V1992" i="157"/>
  <c r="V1989" i="157"/>
  <c r="V1988" i="157"/>
  <c r="W1988" i="157" s="1"/>
  <c r="V1985" i="157"/>
  <c r="V1977" i="157"/>
  <c r="V1986" i="157"/>
  <c r="V1987" i="157"/>
  <c r="V1978" i="157"/>
  <c r="V1979" i="157"/>
  <c r="V1980" i="157"/>
  <c r="V1981" i="157"/>
  <c r="V1982" i="157"/>
  <c r="V1983" i="157"/>
  <c r="V1984" i="157"/>
  <c r="V1975" i="157"/>
  <c r="V1976" i="157"/>
  <c r="V1974" i="157"/>
  <c r="V1973" i="157"/>
  <c r="V1972" i="157"/>
  <c r="V1969" i="157"/>
  <c r="V1967" i="157"/>
  <c r="V1968" i="157"/>
  <c r="V1971" i="157"/>
  <c r="W1971" i="157" s="1"/>
  <c r="V1970" i="157"/>
  <c r="V1960" i="157"/>
  <c r="V1961" i="157"/>
  <c r="V1962" i="157"/>
  <c r="V1963" i="157"/>
  <c r="V1966" i="157"/>
  <c r="V1958" i="157"/>
  <c r="V1959" i="157"/>
  <c r="W1959" i="157" s="1"/>
  <c r="V1965" i="157"/>
  <c r="V1964" i="157"/>
  <c r="V1955" i="157"/>
  <c r="V1956" i="157"/>
  <c r="V1957" i="157"/>
  <c r="V1953" i="157"/>
  <c r="V1954" i="157"/>
  <c r="V1943" i="157"/>
  <c r="V1941" i="157"/>
  <c r="V1951" i="157"/>
  <c r="V1950" i="157"/>
  <c r="V1952" i="157"/>
  <c r="V1940" i="157"/>
  <c r="V1946" i="157"/>
  <c r="V1944" i="157"/>
  <c r="V1949" i="157"/>
  <c r="V1945" i="157"/>
  <c r="V1947" i="157"/>
  <c r="V1942" i="157"/>
  <c r="V1948" i="157"/>
  <c r="V1939" i="157"/>
  <c r="V1927" i="157"/>
  <c r="V1928" i="157"/>
  <c r="V1937" i="157"/>
  <c r="V1930" i="157"/>
  <c r="V1938" i="157"/>
  <c r="V1931" i="157"/>
  <c r="V1929" i="157"/>
  <c r="V1932" i="157"/>
  <c r="V1933" i="157"/>
  <c r="V1934" i="157"/>
  <c r="V1935" i="157"/>
  <c r="V1936" i="157"/>
  <c r="V1923" i="157"/>
  <c r="V1917" i="157"/>
  <c r="V1918" i="157"/>
  <c r="W1918" i="157" s="1"/>
  <c r="V1919" i="157"/>
  <c r="V1920" i="157"/>
  <c r="V1921" i="157"/>
  <c r="V1922" i="157"/>
  <c r="V1926" i="157"/>
  <c r="V1925" i="157"/>
  <c r="V1924" i="157"/>
  <c r="V1916" i="157"/>
  <c r="V1914" i="157"/>
  <c r="V1915" i="157"/>
  <c r="V1912" i="157"/>
  <c r="V1913" i="157"/>
  <c r="V1911" i="157"/>
  <c r="V1904" i="157"/>
  <c r="V1901" i="157"/>
  <c r="V1899" i="157"/>
  <c r="V1910" i="157"/>
  <c r="V1902" i="157"/>
  <c r="V1909" i="157"/>
  <c r="V1908" i="157"/>
  <c r="W1908" i="157" s="1"/>
  <c r="V1906" i="157"/>
  <c r="V1907" i="157"/>
  <c r="V1898" i="157"/>
  <c r="V1897" i="157"/>
  <c r="V1905" i="157"/>
  <c r="V1903" i="157"/>
  <c r="V1900" i="157"/>
  <c r="V1896" i="157"/>
  <c r="W1896" i="157" s="1"/>
  <c r="V1895" i="157"/>
  <c r="V1894" i="157"/>
  <c r="V1883" i="157"/>
  <c r="V1890" i="157"/>
  <c r="V1891" i="157"/>
  <c r="V1887" i="157"/>
  <c r="V1888" i="157"/>
  <c r="V1884" i="157"/>
  <c r="W1884" i="157" s="1"/>
  <c r="V1882" i="157"/>
  <c r="V1892" i="157"/>
  <c r="V1893" i="157"/>
  <c r="V1889" i="157"/>
  <c r="V1879" i="157"/>
  <c r="V1880" i="157"/>
  <c r="V1885" i="157"/>
  <c r="V1886" i="157"/>
  <c r="W1886" i="157" s="1"/>
  <c r="V1881" i="157"/>
  <c r="V1874" i="157"/>
  <c r="V1875" i="157"/>
  <c r="V1878" i="157"/>
  <c r="V1877" i="157"/>
  <c r="V1876" i="157"/>
  <c r="V1873" i="157"/>
  <c r="V1872" i="157"/>
  <c r="V1870" i="157"/>
  <c r="V1871" i="157"/>
  <c r="V1854" i="157"/>
  <c r="V1857" i="157"/>
  <c r="V1858" i="157"/>
  <c r="V1859" i="157"/>
  <c r="V1860" i="157"/>
  <c r="V1856" i="157"/>
  <c r="V1855" i="157"/>
  <c r="V1861" i="157"/>
  <c r="V1869" i="157"/>
  <c r="V1868" i="157"/>
  <c r="V1862" i="157"/>
  <c r="V1863" i="157"/>
  <c r="V1864" i="157"/>
  <c r="V1865" i="157"/>
  <c r="V1866" i="157"/>
  <c r="V1867" i="157"/>
  <c r="V1852" i="157"/>
  <c r="V1853" i="157"/>
  <c r="W1853" i="157" s="1"/>
  <c r="V1848" i="157"/>
  <c r="V1841" i="157"/>
  <c r="V1844" i="157"/>
  <c r="V1842" i="157"/>
  <c r="V1849" i="157"/>
  <c r="V1845" i="157"/>
  <c r="V1851" i="157"/>
  <c r="V1850" i="157"/>
  <c r="W1850" i="157" s="1"/>
  <c r="V1843" i="157"/>
  <c r="V1847" i="157"/>
  <c r="V1846" i="157"/>
  <c r="V1840" i="157"/>
  <c r="V1838" i="157"/>
  <c r="V1839" i="157"/>
  <c r="V1837" i="157"/>
  <c r="V1836" i="157"/>
  <c r="W1836" i="157" s="1"/>
  <c r="V1834" i="157"/>
  <c r="V1826" i="157"/>
  <c r="V1833" i="157"/>
  <c r="V1825" i="157"/>
  <c r="V1832" i="157"/>
  <c r="V1827" i="157"/>
  <c r="V1835" i="157"/>
  <c r="V1828" i="157"/>
  <c r="V1829" i="157"/>
  <c r="V1830" i="157"/>
  <c r="V1831" i="157"/>
  <c r="V1823" i="157"/>
  <c r="V1817" i="157"/>
  <c r="V1818" i="157"/>
  <c r="V1819" i="157"/>
  <c r="V1820" i="157"/>
  <c r="W1820" i="157" s="1"/>
  <c r="V1821" i="157"/>
  <c r="V1822" i="157"/>
  <c r="V1824" i="157"/>
  <c r="V1814" i="157"/>
  <c r="V1816" i="157"/>
  <c r="V1815" i="157"/>
  <c r="V1813" i="157"/>
  <c r="V1812" i="157"/>
  <c r="V1808" i="157"/>
  <c r="V1809" i="157"/>
  <c r="V1810" i="157"/>
  <c r="V1811" i="157"/>
  <c r="V1807" i="157"/>
  <c r="V1801" i="157"/>
  <c r="V1802" i="157"/>
  <c r="V1806" i="157"/>
  <c r="V1805" i="157"/>
  <c r="V1803" i="157"/>
  <c r="V1804" i="157"/>
  <c r="V1789" i="157"/>
  <c r="V1791" i="157"/>
  <c r="V1792" i="157"/>
  <c r="V1793" i="157"/>
  <c r="V1794" i="157"/>
  <c r="V1790" i="157"/>
  <c r="V1800" i="157"/>
  <c r="V1795" i="157"/>
  <c r="V1799" i="157"/>
  <c r="W1799" i="157" s="1"/>
  <c r="V1798" i="157"/>
  <c r="V1796" i="157"/>
  <c r="V1797" i="157"/>
  <c r="V1788" i="157"/>
  <c r="V1781" i="157"/>
  <c r="V1783" i="157"/>
  <c r="V1785" i="157"/>
  <c r="V1780" i="157"/>
  <c r="W1780" i="157" s="1"/>
  <c r="V1787" i="157"/>
  <c r="V1786" i="157"/>
  <c r="V1784" i="157"/>
  <c r="V1782" i="157"/>
  <c r="V1779" i="157"/>
  <c r="V1778" i="157"/>
  <c r="V1774" i="157"/>
  <c r="V1776" i="157"/>
  <c r="W1776" i="157" s="1"/>
  <c r="V1775" i="157"/>
  <c r="V1777" i="157"/>
  <c r="V1773" i="157"/>
  <c r="V1770" i="157"/>
  <c r="V1772" i="157"/>
  <c r="V1771" i="157"/>
  <c r="V1769" i="157"/>
  <c r="V1768" i="157"/>
  <c r="W1768" i="157" s="1"/>
  <c r="V1767" i="157"/>
  <c r="V1766" i="157"/>
  <c r="V1765" i="157"/>
  <c r="V1764" i="157"/>
  <c r="V1763" i="157"/>
  <c r="V1761" i="157"/>
  <c r="V1759" i="157"/>
  <c r="V1760" i="157"/>
  <c r="W1760" i="157" s="1"/>
  <c r="V1755" i="157"/>
  <c r="V1762" i="157"/>
  <c r="V1758" i="157"/>
  <c r="V1756" i="157"/>
  <c r="V1757" i="157"/>
  <c r="V1750" i="157"/>
  <c r="V1751" i="157"/>
  <c r="V1752" i="157"/>
  <c r="W1752" i="157" s="1"/>
  <c r="V1753" i="157"/>
  <c r="V1754" i="157"/>
  <c r="V1749" i="157"/>
  <c r="V1743" i="157"/>
  <c r="V1746" i="157"/>
  <c r="V1741" i="157"/>
  <c r="V1735" i="157"/>
  <c r="V1739" i="157"/>
  <c r="V1736" i="157"/>
  <c r="V1737" i="157"/>
  <c r="V1747" i="157"/>
  <c r="V1748" i="157"/>
  <c r="V1740" i="157"/>
  <c r="V1738" i="157"/>
  <c r="V1745" i="157"/>
  <c r="V1744" i="157"/>
  <c r="V1742" i="157"/>
  <c r="V1734" i="157"/>
  <c r="V1732" i="157"/>
  <c r="V1733" i="157"/>
  <c r="V1731" i="157"/>
  <c r="V1730" i="157"/>
  <c r="V1725" i="157"/>
  <c r="V1727" i="157"/>
  <c r="V1728" i="157"/>
  <c r="V1726" i="157"/>
  <c r="V1729" i="157"/>
  <c r="V1722" i="157"/>
  <c r="W1722" i="157" s="1"/>
  <c r="V1723" i="157"/>
  <c r="V1724" i="157"/>
  <c r="V1719" i="157"/>
  <c r="V1721" i="157"/>
  <c r="V1720" i="157"/>
  <c r="V1718" i="157"/>
  <c r="V1717" i="157"/>
  <c r="V1714" i="157"/>
  <c r="W1714" i="157" s="1"/>
  <c r="V1716" i="157"/>
  <c r="V1713" i="157"/>
  <c r="V1715" i="157"/>
  <c r="V1707" i="157"/>
  <c r="V1708" i="157"/>
  <c r="V1709" i="157"/>
  <c r="V1710" i="157"/>
  <c r="V1711" i="157"/>
  <c r="W1711" i="157" s="1"/>
  <c r="V1712" i="157"/>
  <c r="V1706" i="157"/>
  <c r="V1705" i="157"/>
  <c r="V1701" i="157"/>
  <c r="V1702" i="157"/>
  <c r="V1700" i="157"/>
  <c r="V1703" i="157"/>
  <c r="V1704" i="157"/>
  <c r="W1704" i="157" s="1"/>
  <c r="V1680" i="157"/>
  <c r="V1679" i="157"/>
  <c r="V1678" i="157"/>
  <c r="V1699" i="157"/>
  <c r="V1689" i="157"/>
  <c r="V1695" i="157"/>
  <c r="V1690" i="157"/>
  <c r="V1684" i="157"/>
  <c r="W1684" i="157" s="1"/>
  <c r="V1685" i="157"/>
  <c r="V1687" i="157"/>
  <c r="V1697" i="157"/>
  <c r="V1696" i="157"/>
  <c r="V1686" i="157"/>
  <c r="V1688" i="157"/>
  <c r="V1681" i="157"/>
  <c r="V1698" i="157"/>
  <c r="V1693" i="157"/>
  <c r="V1691" i="157"/>
  <c r="V1692" i="157"/>
  <c r="V1683" i="157"/>
  <c r="V1694" i="157"/>
  <c r="V1682" i="157"/>
  <c r="V1677" i="157"/>
  <c r="V1675" i="157"/>
  <c r="V1676" i="157"/>
  <c r="V1674" i="157"/>
  <c r="V1673" i="157"/>
  <c r="V1672" i="157"/>
  <c r="W1672" i="157" s="1"/>
  <c r="V1663" i="157"/>
  <c r="V1664" i="157"/>
  <c r="V1661" i="157"/>
  <c r="V1670" i="157"/>
  <c r="V1669" i="157"/>
  <c r="V1666" i="157"/>
  <c r="V1671" i="157"/>
  <c r="V1668" i="157"/>
  <c r="W1668" i="157" s="1"/>
  <c r="V1667" i="157"/>
  <c r="V1662" i="157"/>
  <c r="V1665" i="157"/>
  <c r="V1659" i="157"/>
  <c r="V1660" i="157"/>
  <c r="V1658" i="157"/>
  <c r="V1657" i="157"/>
  <c r="V1656" i="157"/>
  <c r="W1656" i="157" s="1"/>
  <c r="V1655" i="157"/>
  <c r="V1653" i="157"/>
  <c r="V1654" i="157"/>
  <c r="V1652" i="157"/>
  <c r="W1652" i="157" s="1"/>
  <c r="V1648" i="157"/>
  <c r="V1649" i="157"/>
  <c r="V1650" i="157"/>
  <c r="V1651" i="157"/>
  <c r="V1647" i="157"/>
  <c r="V1637" i="157"/>
  <c r="V1645" i="157"/>
  <c r="V1642" i="157"/>
  <c r="W1642" i="157" s="1"/>
  <c r="V1635" i="157"/>
  <c r="V1638" i="157"/>
  <c r="V1646" i="157"/>
  <c r="V1644" i="157"/>
  <c r="V1643" i="157"/>
  <c r="V1639" i="157"/>
  <c r="V1640" i="157"/>
  <c r="V1641" i="157"/>
  <c r="V1636" i="157"/>
  <c r="V1634" i="157"/>
  <c r="V1633" i="157"/>
  <c r="V1630" i="157"/>
  <c r="V1631" i="157"/>
  <c r="V1632" i="157"/>
  <c r="V1623" i="157"/>
  <c r="V1624" i="157"/>
  <c r="W1624" i="157" s="1"/>
  <c r="V1625" i="157"/>
  <c r="V1622" i="157"/>
  <c r="V1620" i="157"/>
  <c r="V1627" i="157"/>
  <c r="W1627" i="157" s="1"/>
  <c r="V1621" i="157"/>
  <c r="V1629" i="157"/>
  <c r="V1628" i="157"/>
  <c r="V1626" i="157"/>
  <c r="W1626" i="157" s="1"/>
  <c r="V1618" i="157"/>
  <c r="V1619" i="157"/>
  <c r="V1615" i="157"/>
  <c r="V1614" i="157"/>
  <c r="V1612" i="157"/>
  <c r="V1617" i="157"/>
  <c r="V1616" i="157"/>
  <c r="V1613" i="157"/>
  <c r="W1613" i="157" s="1"/>
  <c r="V1610" i="157"/>
  <c r="V1611" i="157"/>
  <c r="V1608" i="157"/>
  <c r="V1609" i="157"/>
  <c r="V1602" i="157"/>
  <c r="V1603" i="157"/>
  <c r="V1604" i="157"/>
  <c r="V1605" i="157"/>
  <c r="W1605" i="157" s="1"/>
  <c r="V1606" i="157"/>
  <c r="V1607" i="157"/>
  <c r="V1601" i="157"/>
  <c r="V1598" i="157"/>
  <c r="W1598" i="157" s="1"/>
  <c r="V1589" i="157"/>
  <c r="V1590" i="157"/>
  <c r="V1591" i="157"/>
  <c r="V1592" i="157"/>
  <c r="V1593" i="157"/>
  <c r="V1594" i="157"/>
  <c r="V1595" i="157"/>
  <c r="V1596" i="157"/>
  <c r="W1596" i="157" s="1"/>
  <c r="V1600" i="157"/>
  <c r="V1599" i="157"/>
  <c r="V1597" i="157"/>
  <c r="V1588" i="157"/>
  <c r="V1587" i="157"/>
  <c r="V1575" i="157"/>
  <c r="V1584" i="157"/>
  <c r="V1576" i="157"/>
  <c r="W1576" i="157" s="1"/>
  <c r="V1577" i="157"/>
  <c r="V1580" i="157"/>
  <c r="V1579" i="157"/>
  <c r="V1578" i="157"/>
  <c r="V1583" i="157"/>
  <c r="V1586" i="157"/>
  <c r="V1585" i="157"/>
  <c r="V1582" i="157"/>
  <c r="W1582" i="157" s="1"/>
  <c r="V1581" i="157"/>
  <c r="V1573" i="157"/>
  <c r="V1572" i="157"/>
  <c r="V1574" i="157"/>
  <c r="V1571" i="157"/>
  <c r="V1569" i="157"/>
  <c r="V1570" i="157"/>
  <c r="V1567" i="157"/>
  <c r="W1567" i="157" s="1"/>
  <c r="V1568" i="157"/>
  <c r="V1565" i="157"/>
  <c r="V1566" i="157"/>
  <c r="V1562" i="157"/>
  <c r="V1563" i="157"/>
  <c r="V1564" i="157"/>
  <c r="V1560" i="157"/>
  <c r="V1561" i="157"/>
  <c r="W1561" i="157" s="1"/>
  <c r="V1559" i="157"/>
  <c r="V1558" i="157"/>
  <c r="V1557" i="157"/>
  <c r="V1556" i="157"/>
  <c r="W1556" i="157" s="1"/>
  <c r="V1555" i="157"/>
  <c r="V1553" i="157"/>
  <c r="V1554" i="157"/>
  <c r="V1551" i="157"/>
  <c r="V1552" i="157"/>
  <c r="V1549" i="157"/>
  <c r="V1550" i="157"/>
  <c r="V1541" i="157"/>
  <c r="V1542" i="157"/>
  <c r="V1548" i="157"/>
  <c r="V1546" i="157"/>
  <c r="V1545" i="157"/>
  <c r="V1540" i="157"/>
  <c r="V1544" i="157"/>
  <c r="V1547" i="157"/>
  <c r="V1543" i="157"/>
  <c r="W1543" i="157" s="1"/>
  <c r="V1539" i="157"/>
  <c r="V1538" i="157"/>
  <c r="V1536" i="157"/>
  <c r="V1537" i="157"/>
  <c r="V1526" i="157"/>
  <c r="V1530" i="157"/>
  <c r="V1531" i="157"/>
  <c r="V1532" i="157"/>
  <c r="W1532" i="157" s="1"/>
  <c r="V1528" i="157"/>
  <c r="V1529" i="157"/>
  <c r="V1533" i="157"/>
  <c r="V1527" i="157"/>
  <c r="V1534" i="157"/>
  <c r="V1535" i="157"/>
  <c r="V1525" i="157"/>
  <c r="V1524" i="157"/>
  <c r="V1523" i="157"/>
  <c r="V1519" i="157"/>
  <c r="V1522" i="157"/>
  <c r="V1521" i="157"/>
  <c r="V1520" i="157"/>
  <c r="V1513" i="157"/>
  <c r="V1514" i="157"/>
  <c r="V1515" i="157"/>
  <c r="V1516" i="157"/>
  <c r="V1517" i="157"/>
  <c r="V1518" i="157"/>
  <c r="V1512" i="157"/>
  <c r="W1512" i="157" s="1"/>
  <c r="V1510" i="157"/>
  <c r="V1511" i="157"/>
  <c r="V1509" i="157"/>
  <c r="V1500" i="157"/>
  <c r="V1507" i="157"/>
  <c r="V1503" i="157"/>
  <c r="V1502" i="157"/>
  <c r="V1501" i="157"/>
  <c r="W1501" i="157" s="1"/>
  <c r="V1508" i="157"/>
  <c r="V1506" i="157"/>
  <c r="V1504" i="157"/>
  <c r="V1505" i="157"/>
  <c r="W1505" i="157" s="1"/>
  <c r="V1498" i="157"/>
  <c r="V1499" i="157"/>
  <c r="V1497" i="157"/>
  <c r="V1496" i="157"/>
  <c r="W1496" i="157" s="1"/>
  <c r="V1491" i="157"/>
  <c r="V1492" i="157"/>
  <c r="V1493" i="157"/>
  <c r="V1494" i="157"/>
  <c r="V1495" i="157"/>
  <c r="V1489" i="157"/>
  <c r="V1484" i="157"/>
  <c r="V1487" i="157"/>
  <c r="V1490" i="157"/>
  <c r="V1480" i="157"/>
  <c r="V1481" i="157"/>
  <c r="V1486" i="157"/>
  <c r="V1488" i="157"/>
  <c r="V1485" i="157"/>
  <c r="V1479" i="157"/>
  <c r="V1482" i="157"/>
  <c r="W1482" i="157" s="1"/>
  <c r="V1483" i="157"/>
  <c r="V1478" i="157"/>
  <c r="V1477" i="157"/>
  <c r="V1471" i="157"/>
  <c r="V1473" i="157"/>
  <c r="V1472" i="157"/>
  <c r="V1475" i="157"/>
  <c r="V1474" i="157"/>
  <c r="V1476" i="157"/>
  <c r="V1463" i="157"/>
  <c r="V1467" i="157"/>
  <c r="V1468" i="157"/>
  <c r="W1468" i="157" s="1"/>
  <c r="V1464" i="157"/>
  <c r="V1470" i="157"/>
  <c r="V1469" i="157"/>
  <c r="V1466" i="157"/>
  <c r="W1466" i="157" s="1"/>
  <c r="V1465" i="157"/>
  <c r="V1452" i="157"/>
  <c r="V1457" i="157"/>
  <c r="V1455" i="157"/>
  <c r="W1455" i="157" s="1"/>
  <c r="V1454" i="157"/>
  <c r="V1460" i="157"/>
  <c r="V1462" i="157"/>
  <c r="V1461" i="157"/>
  <c r="W1461" i="157" s="1"/>
  <c r="V1458" i="157"/>
  <c r="V1456" i="157"/>
  <c r="V1453" i="157"/>
  <c r="V1459" i="157"/>
  <c r="W1459" i="157" s="1"/>
  <c r="V1451" i="157"/>
  <c r="V1437" i="157"/>
  <c r="V1447" i="157"/>
  <c r="V1446" i="157"/>
  <c r="W1446" i="157" s="1"/>
  <c r="V1442" i="157"/>
  <c r="V1439" i="157"/>
  <c r="V1438" i="157"/>
  <c r="V1443" i="157"/>
  <c r="W1443" i="157" s="1"/>
  <c r="V1444" i="157"/>
  <c r="V1440" i="157"/>
  <c r="V1441" i="157"/>
  <c r="V1450" i="157"/>
  <c r="W1450" i="157" s="1"/>
  <c r="V1449" i="157"/>
  <c r="V1448" i="157"/>
  <c r="V1445" i="157"/>
  <c r="V1434" i="157"/>
  <c r="W1434" i="157" s="1"/>
  <c r="V1435" i="157"/>
  <c r="V1433" i="157"/>
  <c r="V1436" i="157"/>
  <c r="V1432" i="157"/>
  <c r="W1432" i="157" s="1"/>
  <c r="V1430" i="157"/>
  <c r="V1431" i="157"/>
  <c r="V1428" i="157"/>
  <c r="V1429" i="157"/>
  <c r="W1429" i="157" s="1"/>
  <c r="V1427" i="157"/>
  <c r="V1417" i="157"/>
  <c r="V1418" i="157"/>
  <c r="V1419" i="157"/>
  <c r="V1420" i="157"/>
  <c r="V1421" i="157"/>
  <c r="V1422" i="157"/>
  <c r="V1423" i="157"/>
  <c r="V1424" i="157"/>
  <c r="V1426" i="157"/>
  <c r="V1425" i="157"/>
  <c r="V1416" i="157"/>
  <c r="W1416" i="157" s="1"/>
  <c r="V1398" i="157"/>
  <c r="V1405" i="157"/>
  <c r="V1401" i="157"/>
  <c r="V1402" i="157"/>
  <c r="V1407" i="157"/>
  <c r="V1395" i="157"/>
  <c r="V1396" i="157"/>
  <c r="V1400" i="157"/>
  <c r="W1400" i="157" s="1"/>
  <c r="V1411" i="157"/>
  <c r="V1412" i="157"/>
  <c r="V1413" i="157"/>
  <c r="V1404" i="157"/>
  <c r="V1403" i="157"/>
  <c r="V1397" i="157"/>
  <c r="V1414" i="157"/>
  <c r="V1415" i="157"/>
  <c r="W1415" i="157" s="1"/>
  <c r="V1406" i="157"/>
  <c r="V1410" i="157"/>
  <c r="V1409" i="157"/>
  <c r="V1399" i="157"/>
  <c r="W1399" i="157" s="1"/>
  <c r="V1408" i="157"/>
  <c r="V1389" i="157"/>
  <c r="V1390" i="157"/>
  <c r="V1391" i="157"/>
  <c r="V1392" i="157"/>
  <c r="V1394" i="157"/>
  <c r="V1393" i="157"/>
  <c r="V1374" i="157"/>
  <c r="V1373" i="157"/>
  <c r="V1387" i="157"/>
  <c r="V1388" i="157"/>
  <c r="V1385" i="157"/>
  <c r="V1386" i="157"/>
  <c r="V1383" i="157"/>
  <c r="V1384" i="157"/>
  <c r="V1379" i="157"/>
  <c r="W1379" i="157" s="1"/>
  <c r="V1380" i="157"/>
  <c r="V1381" i="157"/>
  <c r="V1382" i="157"/>
  <c r="V1375" i="157"/>
  <c r="V1376" i="157"/>
  <c r="V1377" i="157"/>
  <c r="V1378" i="157"/>
  <c r="V1372" i="157"/>
  <c r="V1369" i="157"/>
  <c r="V1370" i="157"/>
  <c r="V1371" i="157"/>
  <c r="V1368" i="157"/>
  <c r="V1367" i="157"/>
  <c r="V1366" i="157"/>
  <c r="V1363" i="157"/>
  <c r="V1365" i="157"/>
  <c r="W1365" i="157" s="1"/>
  <c r="V1364" i="157"/>
  <c r="V1362" i="157"/>
  <c r="V1358" i="157"/>
  <c r="V1359" i="157"/>
  <c r="V1361" i="157"/>
  <c r="V1360" i="157"/>
  <c r="V1355" i="157"/>
  <c r="V1337" i="157"/>
  <c r="W1337" i="157" s="1"/>
  <c r="V1348" i="157"/>
  <c r="V1352" i="157"/>
  <c r="V1353" i="157"/>
  <c r="V1350" i="157"/>
  <c r="V1351" i="157"/>
  <c r="V1356" i="157"/>
  <c r="V1357" i="157"/>
  <c r="V1346" i="157"/>
  <c r="W1346" i="157" s="1"/>
  <c r="V1340" i="157"/>
  <c r="V1354" i="157"/>
  <c r="V1349" i="157"/>
  <c r="V1347" i="157"/>
  <c r="V1338" i="157"/>
  <c r="V1341" i="157"/>
  <c r="V1342" i="157"/>
  <c r="V1343" i="157"/>
  <c r="V1344" i="157"/>
  <c r="V1345" i="157"/>
  <c r="V1339" i="157"/>
  <c r="V1329" i="157"/>
  <c r="V1330" i="157"/>
  <c r="V1331" i="157"/>
  <c r="V1332" i="157"/>
  <c r="V1333" i="157"/>
  <c r="W1333" i="157" s="1"/>
  <c r="V1336" i="157"/>
  <c r="V1335" i="157"/>
  <c r="V1334" i="157"/>
  <c r="V1326" i="157"/>
  <c r="V1325" i="157"/>
  <c r="V1327" i="157"/>
  <c r="V1328" i="157"/>
  <c r="V1322" i="157"/>
  <c r="W1322" i="157" s="1"/>
  <c r="V1321" i="157"/>
  <c r="V1323" i="157"/>
  <c r="V1324" i="157"/>
  <c r="V1309" i="157"/>
  <c r="V1318" i="157"/>
  <c r="V1314" i="157"/>
  <c r="V1316" i="157"/>
  <c r="V1312" i="157"/>
  <c r="W1312" i="157" s="1"/>
  <c r="V1320" i="157"/>
  <c r="V1319" i="157"/>
  <c r="V1317" i="157"/>
  <c r="V1315" i="157"/>
  <c r="V1310" i="157"/>
  <c r="V1313" i="157"/>
  <c r="V1311" i="157"/>
  <c r="V1307" i="157"/>
  <c r="V1308" i="157"/>
  <c r="V1306" i="157"/>
  <c r="V1305" i="157"/>
  <c r="V1288" i="157"/>
  <c r="V1304" i="157"/>
  <c r="V1303" i="157"/>
  <c r="V1286" i="157"/>
  <c r="V1301" i="157"/>
  <c r="W1301" i="157" s="1"/>
  <c r="V1290" i="157"/>
  <c r="V1291" i="157"/>
  <c r="V1289" i="157"/>
  <c r="V1300" i="157"/>
  <c r="V1292" i="157"/>
  <c r="V1287" i="157"/>
  <c r="V1302" i="157"/>
  <c r="V1293" i="157"/>
  <c r="W1293" i="157" s="1"/>
  <c r="V1294" i="157"/>
  <c r="V1295" i="157"/>
  <c r="V1296" i="157"/>
  <c r="V1297" i="157"/>
  <c r="W1297" i="157" s="1"/>
  <c r="V1298" i="157"/>
  <c r="V1299" i="157"/>
  <c r="V1285" i="157"/>
  <c r="V1284" i="157"/>
  <c r="V1280" i="157"/>
  <c r="V1282" i="157"/>
  <c r="V1281" i="157"/>
  <c r="V1283" i="157"/>
  <c r="W1283" i="157" s="1"/>
  <c r="V1279" i="157"/>
  <c r="V1278" i="157"/>
  <c r="V1276" i="157"/>
  <c r="V1277" i="157"/>
  <c r="W1277" i="157" s="1"/>
  <c r="V1275" i="157"/>
  <c r="V1274" i="157"/>
  <c r="V1272" i="157"/>
  <c r="V1268" i="157"/>
  <c r="W1268" i="157" s="1"/>
  <c r="V1269" i="157"/>
  <c r="V1270" i="157"/>
  <c r="V1271" i="157"/>
  <c r="V1266" i="157"/>
  <c r="V1267" i="157"/>
  <c r="V1264" i="157"/>
  <c r="V1273" i="157"/>
  <c r="V1265" i="157"/>
  <c r="W1265" i="157" s="1"/>
  <c r="V1259" i="157"/>
  <c r="V1260" i="157"/>
  <c r="V1258" i="157"/>
  <c r="V1257" i="157"/>
  <c r="V1253" i="157"/>
  <c r="V1254" i="157"/>
  <c r="V1255" i="157"/>
  <c r="V1251" i="157"/>
  <c r="W1251" i="157" s="1"/>
  <c r="V1252" i="157"/>
  <c r="V1256" i="157"/>
  <c r="V1263" i="157"/>
  <c r="V1262" i="157"/>
  <c r="V1261" i="157"/>
  <c r="V1250" i="157"/>
  <c r="V1245" i="157"/>
  <c r="V1244" i="157"/>
  <c r="W1244" i="157" s="1"/>
  <c r="V1249" i="157"/>
  <c r="V1248" i="157"/>
  <c r="V1247" i="157"/>
  <c r="V1246" i="157"/>
  <c r="W1246" i="157" s="1"/>
  <c r="V1243" i="157"/>
  <c r="V1239" i="157"/>
  <c r="V1237" i="157"/>
  <c r="V1236" i="157"/>
  <c r="W1236" i="157" s="1"/>
  <c r="V1240" i="157"/>
  <c r="V1241" i="157"/>
  <c r="V1242" i="157"/>
  <c r="V1238" i="157"/>
  <c r="V1228" i="157"/>
  <c r="V1224" i="157"/>
  <c r="V1227" i="157"/>
  <c r="V1226" i="157"/>
  <c r="W1226" i="157" s="1"/>
  <c r="V1225" i="157"/>
  <c r="V1232" i="157"/>
  <c r="V1230" i="157"/>
  <c r="V1229" i="157"/>
  <c r="V1233" i="157"/>
  <c r="V1231" i="157"/>
  <c r="V1235" i="157"/>
  <c r="V1234" i="157"/>
  <c r="W1234" i="157" s="1"/>
  <c r="V1221" i="157"/>
  <c r="V1223" i="157"/>
  <c r="V1219" i="157"/>
  <c r="V1220" i="157"/>
  <c r="V1218" i="157"/>
  <c r="V1222" i="157"/>
  <c r="V1217" i="157"/>
  <c r="V1214" i="157"/>
  <c r="W1214" i="157" s="1"/>
  <c r="V1215" i="157"/>
  <c r="V1216" i="157"/>
  <c r="V1213" i="157"/>
  <c r="V1212" i="157"/>
  <c r="V1211" i="157"/>
  <c r="V1205" i="157"/>
  <c r="V1206" i="157"/>
  <c r="V1207" i="157"/>
  <c r="W1207" i="157" s="1"/>
  <c r="V1208" i="157"/>
  <c r="V1209" i="157"/>
  <c r="V1210" i="157"/>
  <c r="V1202" i="157"/>
  <c r="V1203" i="157"/>
  <c r="V1204" i="157"/>
  <c r="V1201" i="157"/>
  <c r="V1200" i="157"/>
  <c r="W1200" i="157" s="1"/>
  <c r="V1199" i="157"/>
  <c r="V1198" i="157"/>
  <c r="V1197" i="157"/>
  <c r="V1196" i="157"/>
  <c r="V1195" i="157"/>
  <c r="V1194" i="157"/>
  <c r="V1193" i="157"/>
  <c r="V1192" i="157"/>
  <c r="W1192" i="157" s="1"/>
  <c r="V1190" i="157"/>
  <c r="V1191" i="157"/>
  <c r="V1188" i="157"/>
  <c r="V1189" i="157"/>
  <c r="V1187" i="157"/>
  <c r="V1145" i="157"/>
  <c r="V1183" i="157"/>
  <c r="V1185" i="157"/>
  <c r="W1185" i="157" s="1"/>
  <c r="V1184" i="157"/>
  <c r="V1186" i="157"/>
  <c r="V1182" i="157"/>
  <c r="V1181" i="157"/>
  <c r="V1180" i="157"/>
  <c r="V1170" i="157"/>
  <c r="V1171" i="157"/>
  <c r="V1174" i="157"/>
  <c r="W1174" i="157" s="1"/>
  <c r="V1172" i="157"/>
  <c r="V1173" i="157"/>
  <c r="V1177" i="157"/>
  <c r="V1178" i="157"/>
  <c r="V1175" i="157"/>
  <c r="V1176" i="157"/>
  <c r="V1179" i="157"/>
  <c r="V1165" i="157"/>
  <c r="W1165" i="157" s="1"/>
  <c r="V1169" i="157"/>
  <c r="V1166" i="157"/>
  <c r="V1167" i="157"/>
  <c r="V1168" i="157"/>
  <c r="V1164" i="157"/>
  <c r="V1163" i="157"/>
  <c r="V1160" i="157"/>
  <c r="V1161" i="157"/>
  <c r="V1162" i="157"/>
  <c r="V1159" i="157"/>
  <c r="V1148" i="157"/>
  <c r="V1149" i="157"/>
  <c r="V1150" i="157"/>
  <c r="V1151" i="157"/>
  <c r="V1152" i="157"/>
  <c r="V1153" i="157"/>
  <c r="W1153" i="157" s="1"/>
  <c r="V1155" i="157"/>
  <c r="V1158" i="157"/>
  <c r="V1156" i="157"/>
  <c r="V1157" i="157"/>
  <c r="V1154" i="157"/>
  <c r="V1147" i="157"/>
  <c r="V1146" i="157"/>
  <c r="V882" i="157"/>
  <c r="W882" i="157" s="1"/>
  <c r="V1141" i="157"/>
  <c r="V1139" i="157"/>
  <c r="V1142" i="157"/>
  <c r="V1144" i="157"/>
  <c r="V1143" i="157"/>
  <c r="V1140" i="157"/>
  <c r="V1138" i="157"/>
  <c r="V1136" i="157"/>
  <c r="W1136" i="157" s="1"/>
  <c r="V1137" i="157"/>
  <c r="V1135" i="157"/>
  <c r="V1133" i="157"/>
  <c r="V1134" i="157"/>
  <c r="V1131" i="157"/>
  <c r="V1132" i="157"/>
  <c r="V1130" i="157"/>
  <c r="V1129" i="157"/>
  <c r="W1129" i="157" s="1"/>
  <c r="V1128" i="157"/>
  <c r="V1127" i="157"/>
  <c r="V1125" i="157"/>
  <c r="V1126" i="157"/>
  <c r="V1124" i="157"/>
  <c r="V1122" i="157"/>
  <c r="V1123" i="157"/>
  <c r="V1117" i="157"/>
  <c r="W1117" i="157" s="1"/>
  <c r="V1121" i="157"/>
  <c r="V1120" i="157"/>
  <c r="V1118" i="157"/>
  <c r="V1105" i="157"/>
  <c r="V1106" i="157"/>
  <c r="V1107" i="157"/>
  <c r="V1099" i="157"/>
  <c r="V1100" i="157"/>
  <c r="W1100" i="157" s="1"/>
  <c r="V1101" i="157"/>
  <c r="V1102" i="157"/>
  <c r="V1103" i="157"/>
  <c r="V1104" i="157"/>
  <c r="V1108" i="157"/>
  <c r="V1109" i="157"/>
  <c r="V1110" i="157"/>
  <c r="V1111" i="157"/>
  <c r="W1111" i="157" s="1"/>
  <c r="V1098" i="157"/>
  <c r="V1112" i="157"/>
  <c r="V1113" i="157"/>
  <c r="V1114" i="157"/>
  <c r="V1115" i="157"/>
  <c r="V1116" i="157"/>
  <c r="V1119" i="157"/>
  <c r="V1097" i="157"/>
  <c r="W1097" i="157" s="1"/>
  <c r="V1096" i="157"/>
  <c r="V1095" i="157"/>
  <c r="V1094" i="157"/>
  <c r="V1093" i="157"/>
  <c r="V1087" i="157"/>
  <c r="V1088" i="157"/>
  <c r="V1089" i="157"/>
  <c r="V1090" i="157"/>
  <c r="W1090" i="157" s="1"/>
  <c r="V1091" i="157"/>
  <c r="V1092" i="157"/>
  <c r="V1086" i="157"/>
  <c r="V1085" i="157"/>
  <c r="V1043" i="157"/>
  <c r="V1044" i="157"/>
  <c r="V1072" i="157"/>
  <c r="V1073" i="157"/>
  <c r="V1056" i="157"/>
  <c r="V1076" i="157"/>
  <c r="V1068" i="157"/>
  <c r="V1051" i="157"/>
  <c r="V1066" i="157"/>
  <c r="V1070" i="157"/>
  <c r="V1084" i="157"/>
  <c r="V1081" i="157"/>
  <c r="W1081" i="157" s="1"/>
  <c r="V1082" i="157"/>
  <c r="V1071" i="157"/>
  <c r="V1065" i="157"/>
  <c r="V1063" i="157"/>
  <c r="W1063" i="157" s="1"/>
  <c r="V1062" i="157"/>
  <c r="V1061" i="157"/>
  <c r="V1059" i="157"/>
  <c r="V1058" i="157"/>
  <c r="W1058" i="157" s="1"/>
  <c r="V1050" i="157"/>
  <c r="V1077" i="157"/>
  <c r="V1053" i="157"/>
  <c r="V1048" i="157"/>
  <c r="V1045" i="157"/>
  <c r="V1080" i="157"/>
  <c r="V1078" i="157"/>
  <c r="V1067" i="157"/>
  <c r="W1067" i="157" s="1"/>
  <c r="V1064" i="157"/>
  <c r="V1046" i="157"/>
  <c r="V1054" i="157"/>
  <c r="V1074" i="157"/>
  <c r="V1057" i="157"/>
  <c r="V1055" i="157"/>
  <c r="V1049" i="157"/>
  <c r="V1083" i="157"/>
  <c r="V1079" i="157"/>
  <c r="V1060" i="157"/>
  <c r="V1075" i="157"/>
  <c r="V1069" i="157"/>
  <c r="V1052" i="157"/>
  <c r="V1047" i="157"/>
  <c r="V1035" i="157"/>
  <c r="V1042" i="157"/>
  <c r="W1042" i="157" s="1"/>
  <c r="V1036" i="157"/>
  <c r="V1041" i="157"/>
  <c r="V1037" i="157"/>
  <c r="V1040" i="157"/>
  <c r="W1040" i="157" s="1"/>
  <c r="V1038" i="157"/>
  <c r="V1039" i="157"/>
  <c r="V1033" i="157"/>
  <c r="V1034" i="157"/>
  <c r="W1034" i="157" s="1"/>
  <c r="V1032" i="157"/>
  <c r="V1029" i="157"/>
  <c r="V1030" i="157"/>
  <c r="V1031" i="157"/>
  <c r="V1027" i="157"/>
  <c r="V1028" i="157"/>
  <c r="V1025" i="157"/>
  <c r="V1026" i="157"/>
  <c r="W1026" i="157" s="1"/>
  <c r="V1022" i="157"/>
  <c r="V1023" i="157"/>
  <c r="V1018" i="157"/>
  <c r="V1019" i="157"/>
  <c r="V1020" i="157"/>
  <c r="V1021" i="157"/>
  <c r="V1024" i="157"/>
  <c r="V1016" i="157"/>
  <c r="V1017" i="157"/>
  <c r="V1014" i="157"/>
  <c r="V1015" i="157"/>
  <c r="V1013" i="157"/>
  <c r="V1005" i="157"/>
  <c r="V1008" i="157"/>
  <c r="V1007" i="157"/>
  <c r="V1006" i="157"/>
  <c r="W1006" i="157" s="1"/>
  <c r="V1012" i="157"/>
  <c r="V1011" i="157"/>
  <c r="V1010" i="157"/>
  <c r="V1009" i="157"/>
  <c r="W1009" i="157" s="1"/>
  <c r="V1003" i="157"/>
  <c r="V1004" i="157"/>
  <c r="V1001" i="157"/>
  <c r="V1002" i="157"/>
  <c r="W1002" i="157" s="1"/>
  <c r="V1000" i="157"/>
  <c r="V999" i="157"/>
  <c r="V998" i="157"/>
  <c r="V997" i="157"/>
  <c r="V995" i="157"/>
  <c r="V994" i="157"/>
  <c r="V993" i="157"/>
  <c r="V996" i="157"/>
  <c r="W996" i="157" s="1"/>
  <c r="V992" i="157"/>
  <c r="V991" i="157"/>
  <c r="V989" i="157"/>
  <c r="V990" i="157"/>
  <c r="W990" i="157" s="1"/>
  <c r="V988" i="157"/>
  <c r="V980" i="157"/>
  <c r="V982" i="157"/>
  <c r="V983" i="157"/>
  <c r="W983" i="157" s="1"/>
  <c r="V984" i="157"/>
  <c r="V985" i="157"/>
  <c r="V981" i="157"/>
  <c r="V986" i="157"/>
  <c r="V987" i="157"/>
  <c r="V979" i="157"/>
  <c r="V970" i="157"/>
  <c r="V969" i="157"/>
  <c r="W969" i="157" s="1"/>
  <c r="V971" i="157"/>
  <c r="V972" i="157"/>
  <c r="V973" i="157"/>
  <c r="V974" i="157"/>
  <c r="V975" i="157"/>
  <c r="V976" i="157"/>
  <c r="V977" i="157"/>
  <c r="V978" i="157"/>
  <c r="W978" i="157" s="1"/>
  <c r="V957" i="157"/>
  <c r="V958" i="157"/>
  <c r="V959" i="157"/>
  <c r="V960" i="157"/>
  <c r="V961" i="157"/>
  <c r="V968" i="157"/>
  <c r="V967" i="157"/>
  <c r="V966" i="157"/>
  <c r="W966" i="157" s="1"/>
  <c r="V965" i="157"/>
  <c r="V964" i="157"/>
  <c r="V963" i="157"/>
  <c r="V962" i="157"/>
  <c r="V956" i="157"/>
  <c r="V954" i="157"/>
  <c r="V955" i="157"/>
  <c r="V950" i="157"/>
  <c r="W950" i="157" s="1"/>
  <c r="V951" i="157"/>
  <c r="V952" i="157"/>
  <c r="V953" i="157"/>
  <c r="W953" i="157" s="1"/>
  <c r="V945" i="157"/>
  <c r="V948" i="157"/>
  <c r="V949" i="157"/>
  <c r="V946" i="157"/>
  <c r="V947" i="157"/>
  <c r="W947" i="157" s="1"/>
  <c r="V944" i="157"/>
  <c r="V943" i="157"/>
  <c r="V939" i="157"/>
  <c r="V940" i="157"/>
  <c r="V941" i="157"/>
  <c r="V938" i="157"/>
  <c r="V937" i="157"/>
  <c r="V942" i="157"/>
  <c r="W942" i="157" s="1"/>
  <c r="V928" i="157"/>
  <c r="V929" i="157"/>
  <c r="V930" i="157"/>
  <c r="V931" i="157"/>
  <c r="V932" i="157"/>
  <c r="V933" i="157"/>
  <c r="V934" i="157"/>
  <c r="V935" i="157"/>
  <c r="W935" i="157" s="1"/>
  <c r="V936" i="157"/>
  <c r="V925" i="157"/>
  <c r="V924" i="157"/>
  <c r="V919" i="157"/>
  <c r="W919" i="157" s="1"/>
  <c r="V920" i="157"/>
  <c r="V927" i="157"/>
  <c r="V922" i="157"/>
  <c r="V926" i="157"/>
  <c r="W926" i="157" s="1"/>
  <c r="V918" i="157"/>
  <c r="V921" i="157"/>
  <c r="V923" i="157"/>
  <c r="V915" i="157"/>
  <c r="W915" i="157" s="1"/>
  <c r="V917" i="157"/>
  <c r="V916" i="157"/>
  <c r="V913" i="157"/>
  <c r="V914" i="157"/>
  <c r="W914" i="157" s="1"/>
  <c r="V911" i="157"/>
  <c r="V912" i="157"/>
  <c r="V910" i="157"/>
  <c r="V908" i="157"/>
  <c r="W908" i="157" s="1"/>
  <c r="V906" i="157"/>
  <c r="V904" i="157"/>
  <c r="V905" i="157"/>
  <c r="V909" i="157"/>
  <c r="W909" i="157" s="1"/>
  <c r="V907" i="157"/>
  <c r="V890" i="157"/>
  <c r="V891" i="157"/>
  <c r="V903" i="157"/>
  <c r="W903" i="157" s="1"/>
  <c r="V902" i="157"/>
  <c r="V900" i="157"/>
  <c r="V901" i="157"/>
  <c r="V894" i="157"/>
  <c r="W894" i="157" s="1"/>
  <c r="V895" i="157"/>
  <c r="V899" i="157"/>
  <c r="V898" i="157"/>
  <c r="V897" i="157"/>
  <c r="V896" i="157"/>
  <c r="V892" i="157"/>
  <c r="V893" i="157"/>
  <c r="V889" i="157"/>
  <c r="W889" i="157" s="1"/>
  <c r="V888" i="157"/>
  <c r="V887" i="157"/>
  <c r="V884" i="157"/>
  <c r="V885" i="157"/>
  <c r="V886" i="157"/>
  <c r="V883" i="157"/>
  <c r="V881" i="157"/>
  <c r="V742" i="157"/>
  <c r="W742" i="157" s="1"/>
  <c r="V880" i="157"/>
  <c r="V879" i="157"/>
  <c r="V878" i="157"/>
  <c r="V877" i="157"/>
  <c r="V876" i="157"/>
  <c r="V875" i="157"/>
  <c r="V873" i="157"/>
  <c r="V874" i="157"/>
  <c r="W874" i="157" s="1"/>
  <c r="V872" i="157"/>
  <c r="V867" i="157"/>
  <c r="V868" i="157"/>
  <c r="V869" i="157"/>
  <c r="V870" i="157"/>
  <c r="V871" i="157"/>
  <c r="V865" i="157"/>
  <c r="V866" i="157"/>
  <c r="W866" i="157" s="1"/>
  <c r="V857" i="157"/>
  <c r="V855" i="157"/>
  <c r="V864" i="157"/>
  <c r="V863" i="157"/>
  <c r="W863" i="157" s="1"/>
  <c r="V862" i="157"/>
  <c r="V861" i="157"/>
  <c r="V860" i="157"/>
  <c r="V859" i="157"/>
  <c r="W859" i="157" s="1"/>
  <c r="V858" i="157"/>
  <c r="V856" i="157"/>
  <c r="V854" i="157"/>
  <c r="V852" i="157"/>
  <c r="W852" i="157" s="1"/>
  <c r="V849" i="157"/>
  <c r="V850" i="157"/>
  <c r="V851" i="157"/>
  <c r="V847" i="157"/>
  <c r="W847" i="157" s="1"/>
  <c r="V848" i="157"/>
  <c r="V853" i="157"/>
  <c r="V846" i="157"/>
  <c r="V845" i="157"/>
  <c r="W845" i="157" s="1"/>
  <c r="V844" i="157"/>
  <c r="V840" i="157"/>
  <c r="V836" i="157"/>
  <c r="V838" i="157"/>
  <c r="W838" i="157" s="1"/>
  <c r="V839" i="157"/>
  <c r="V837" i="157"/>
  <c r="V835" i="157"/>
  <c r="V841" i="157"/>
  <c r="W841" i="157" s="1"/>
  <c r="V843" i="157"/>
  <c r="V842" i="157"/>
  <c r="V834" i="157"/>
  <c r="V833" i="157"/>
  <c r="W833" i="157" s="1"/>
  <c r="V832" i="157"/>
  <c r="V822" i="157"/>
  <c r="V831" i="157"/>
  <c r="V825" i="157"/>
  <c r="V826" i="157"/>
  <c r="V823" i="157"/>
  <c r="V827" i="157"/>
  <c r="V828" i="157"/>
  <c r="W828" i="157" s="1"/>
  <c r="V829" i="157"/>
  <c r="V824" i="157"/>
  <c r="V830" i="157"/>
  <c r="V821" i="157"/>
  <c r="V820" i="157"/>
  <c r="V818" i="157"/>
  <c r="V819" i="157"/>
  <c r="V817" i="157"/>
  <c r="W817" i="157" s="1"/>
  <c r="V816" i="157"/>
  <c r="V815" i="157"/>
  <c r="V814" i="157"/>
  <c r="V812" i="157"/>
  <c r="W812" i="157" s="1"/>
  <c r="V813" i="157"/>
  <c r="V811" i="157"/>
  <c r="V810" i="157"/>
  <c r="V809" i="157"/>
  <c r="W809" i="157" s="1"/>
  <c r="V807" i="157"/>
  <c r="V808" i="157"/>
  <c r="V806" i="157"/>
  <c r="V805" i="157"/>
  <c r="V804" i="157"/>
  <c r="V803" i="157"/>
  <c r="V799" i="157"/>
  <c r="V800" i="157"/>
  <c r="W800" i="157" s="1"/>
  <c r="V801" i="157"/>
  <c r="V802" i="157"/>
  <c r="V793" i="157"/>
  <c r="V794" i="157"/>
  <c r="W794" i="157" s="1"/>
  <c r="V795" i="157"/>
  <c r="V796" i="157"/>
  <c r="V797" i="157"/>
  <c r="V798" i="157"/>
  <c r="W798" i="157" s="1"/>
  <c r="V792" i="157"/>
  <c r="V789" i="157"/>
  <c r="V790" i="157"/>
  <c r="V791" i="157"/>
  <c r="V783" i="157"/>
  <c r="V781" i="157"/>
  <c r="V782" i="157"/>
  <c r="V772" i="157"/>
  <c r="W772" i="157" s="1"/>
  <c r="V773" i="157"/>
  <c r="V788" i="157"/>
  <c r="V784" i="157"/>
  <c r="V787" i="157"/>
  <c r="V777" i="157"/>
  <c r="V776" i="157"/>
  <c r="V775" i="157"/>
  <c r="V771" i="157"/>
  <c r="W771" i="157" s="1"/>
  <c r="V770" i="157"/>
  <c r="V778" i="157"/>
  <c r="V786" i="157"/>
  <c r="V785" i="157"/>
  <c r="W785" i="157" s="1"/>
  <c r="V780" i="157"/>
  <c r="V779" i="157"/>
  <c r="V774" i="157"/>
  <c r="V769" i="157"/>
  <c r="W769" i="157" s="1"/>
  <c r="V768" i="157"/>
  <c r="V767" i="157"/>
  <c r="V766" i="157"/>
  <c r="V763" i="157"/>
  <c r="W763" i="157" s="1"/>
  <c r="V764" i="157"/>
  <c r="V765" i="157"/>
  <c r="V762" i="157"/>
  <c r="V761" i="157"/>
  <c r="W761" i="157" s="1"/>
  <c r="V759" i="157"/>
  <c r="V760" i="157"/>
  <c r="V758" i="157"/>
  <c r="V752" i="157"/>
  <c r="V757" i="157"/>
  <c r="V754" i="157"/>
  <c r="V755" i="157"/>
  <c r="V756" i="157"/>
  <c r="W756" i="157" s="1"/>
  <c r="V753" i="157"/>
  <c r="V750" i="157"/>
  <c r="V751" i="157"/>
  <c r="V746" i="157"/>
  <c r="W746" i="157" s="1"/>
  <c r="V748" i="157"/>
  <c r="V747" i="157"/>
  <c r="V749" i="157"/>
  <c r="V731" i="157"/>
  <c r="W731" i="157" s="1"/>
  <c r="V741" i="157"/>
  <c r="V743" i="157"/>
  <c r="V739" i="157"/>
  <c r="V491" i="157"/>
  <c r="W491" i="157" s="1"/>
  <c r="V734" i="157"/>
  <c r="V732" i="157"/>
  <c r="V745" i="157"/>
  <c r="V744" i="157"/>
  <c r="W744" i="157" s="1"/>
  <c r="V740" i="157"/>
  <c r="V736" i="157"/>
  <c r="V733" i="157"/>
  <c r="V735" i="157"/>
  <c r="W735" i="157" s="1"/>
  <c r="V738" i="157"/>
  <c r="V737" i="157"/>
  <c r="V729" i="157"/>
  <c r="V727" i="157"/>
  <c r="W727" i="157" s="1"/>
  <c r="V725" i="157"/>
  <c r="V730" i="157"/>
  <c r="V728" i="157"/>
  <c r="V726" i="157"/>
  <c r="V724" i="157"/>
  <c r="V723" i="157"/>
  <c r="V721" i="157"/>
  <c r="V722" i="157"/>
  <c r="W722" i="157" s="1"/>
  <c r="V720" i="157"/>
  <c r="V714" i="157"/>
  <c r="V716" i="157"/>
  <c r="V717" i="157"/>
  <c r="W717" i="157" s="1"/>
  <c r="V718" i="157"/>
  <c r="V719" i="157"/>
  <c r="V715" i="157"/>
  <c r="V713" i="157"/>
  <c r="W713" i="157" s="1"/>
  <c r="V711" i="157"/>
  <c r="V712" i="157"/>
  <c r="V710" i="157"/>
  <c r="V709" i="157"/>
  <c r="W709" i="157" s="1"/>
  <c r="V708" i="157"/>
  <c r="V707" i="157"/>
  <c r="V706" i="157"/>
  <c r="V703" i="157"/>
  <c r="W703" i="157" s="1"/>
  <c r="V697" i="157"/>
  <c r="V698" i="157"/>
  <c r="V699" i="157"/>
  <c r="V700" i="157"/>
  <c r="W700" i="157" s="1"/>
  <c r="V701" i="157"/>
  <c r="V702" i="157"/>
  <c r="V705" i="157"/>
  <c r="V704" i="157"/>
  <c r="W704" i="157" s="1"/>
  <c r="V696" i="157"/>
  <c r="V695" i="157"/>
  <c r="V691" i="157"/>
  <c r="V690" i="157"/>
  <c r="V689" i="157"/>
  <c r="V688" i="157"/>
  <c r="V687" i="157"/>
  <c r="V686" i="157"/>
  <c r="W686" i="157" s="1"/>
  <c r="V685" i="157"/>
  <c r="V684" i="157"/>
  <c r="V682" i="157"/>
  <c r="V683" i="157"/>
  <c r="W683" i="157" s="1"/>
  <c r="V693" i="157"/>
  <c r="V694" i="157"/>
  <c r="V692" i="157"/>
  <c r="V680" i="157"/>
  <c r="W680" i="157" s="1"/>
  <c r="V681" i="157"/>
  <c r="V678" i="157"/>
  <c r="V679" i="157"/>
  <c r="V677" i="157"/>
  <c r="W677" i="157" s="1"/>
  <c r="V672" i="157"/>
  <c r="V676" i="157"/>
  <c r="V675" i="157"/>
  <c r="V669" i="157"/>
  <c r="W669" i="157" s="1"/>
  <c r="V670" i="157"/>
  <c r="V674" i="157"/>
  <c r="V673" i="157"/>
  <c r="V671" i="157"/>
  <c r="W671" i="157" s="1"/>
  <c r="V666" i="157"/>
  <c r="V667" i="157"/>
  <c r="V668" i="157"/>
  <c r="V665" i="157"/>
  <c r="W665" i="157" s="1"/>
  <c r="V663" i="157"/>
  <c r="V664" i="157"/>
  <c r="V662" i="157"/>
  <c r="V660" i="157"/>
  <c r="V661" i="157"/>
  <c r="V659" i="157"/>
  <c r="V636" i="157"/>
  <c r="V654" i="157"/>
  <c r="W654" i="157" s="1"/>
  <c r="V655" i="157"/>
  <c r="V656" i="157"/>
  <c r="V657" i="157"/>
  <c r="V658" i="157"/>
  <c r="W658" i="157" s="1"/>
  <c r="V650" i="157"/>
  <c r="V651" i="157"/>
  <c r="V641" i="157"/>
  <c r="V642" i="157"/>
  <c r="W642" i="157" s="1"/>
  <c r="V643" i="157"/>
  <c r="V644" i="157"/>
  <c r="V638" i="157"/>
  <c r="V639" i="157"/>
  <c r="W639" i="157" s="1"/>
  <c r="V640" i="157"/>
  <c r="V652" i="157"/>
  <c r="V653" i="157"/>
  <c r="V649" i="157"/>
  <c r="W649" i="157" s="1"/>
  <c r="V648" i="157"/>
  <c r="V646" i="157"/>
  <c r="V645" i="157"/>
  <c r="V637" i="157"/>
  <c r="W637" i="157" s="1"/>
  <c r="V647" i="157"/>
  <c r="V635" i="157"/>
  <c r="V634" i="157"/>
  <c r="V633" i="157"/>
  <c r="W633" i="157" s="1"/>
  <c r="V632" i="157"/>
  <c r="V622" i="157"/>
  <c r="V623" i="157"/>
  <c r="V630" i="157"/>
  <c r="V628" i="157"/>
  <c r="V625" i="157"/>
  <c r="V631" i="157"/>
  <c r="V629" i="157"/>
  <c r="W629" i="157" s="1"/>
  <c r="V626" i="157"/>
  <c r="V627" i="157"/>
  <c r="V624" i="157"/>
  <c r="V621" i="157"/>
  <c r="W621" i="157" s="1"/>
  <c r="V617" i="157"/>
  <c r="V618" i="157"/>
  <c r="V619" i="157"/>
  <c r="V620" i="157"/>
  <c r="W620" i="157" s="1"/>
  <c r="V615" i="157"/>
  <c r="V616" i="157"/>
  <c r="V604" i="157"/>
  <c r="V605" i="157"/>
  <c r="W605" i="157" s="1"/>
  <c r="V611" i="157"/>
  <c r="V612" i="157"/>
  <c r="V608" i="157"/>
  <c r="V609" i="157"/>
  <c r="W609" i="157" s="1"/>
  <c r="V610" i="157"/>
  <c r="V606" i="157"/>
  <c r="V607" i="157"/>
  <c r="V601" i="157"/>
  <c r="W601" i="157" s="1"/>
  <c r="V602" i="157"/>
  <c r="V614" i="157"/>
  <c r="V613" i="157"/>
  <c r="V603" i="157"/>
  <c r="W603" i="157" s="1"/>
  <c r="V598" i="157"/>
  <c r="V599" i="157"/>
  <c r="V600" i="157"/>
  <c r="V597" i="157"/>
  <c r="W597" i="157" s="1"/>
  <c r="V596" i="157"/>
  <c r="V593" i="157"/>
  <c r="V594" i="157"/>
  <c r="V589" i="157"/>
  <c r="W589" i="157" s="1"/>
  <c r="V595" i="157"/>
  <c r="V592" i="157"/>
  <c r="V591" i="157"/>
  <c r="V590" i="157"/>
  <c r="W590" i="157" s="1"/>
  <c r="V586" i="157"/>
  <c r="V584" i="157"/>
  <c r="V585" i="157"/>
  <c r="V587" i="157"/>
  <c r="V588" i="157"/>
  <c r="V583" i="157"/>
  <c r="V582" i="157"/>
  <c r="V581" i="157"/>
  <c r="W581" i="157" s="1"/>
  <c r="V578" i="157"/>
  <c r="V580" i="157"/>
  <c r="V579" i="157"/>
  <c r="V577" i="157"/>
  <c r="W577" i="157" s="1"/>
  <c r="V576" i="157"/>
  <c r="V574" i="157"/>
  <c r="V575" i="157"/>
  <c r="V573" i="157"/>
  <c r="W573" i="157" s="1"/>
  <c r="V572" i="157"/>
  <c r="V570" i="157"/>
  <c r="V571" i="157"/>
  <c r="V567" i="157"/>
  <c r="W567" i="157" s="1"/>
  <c r="V568" i="157"/>
  <c r="V569" i="157"/>
  <c r="V566" i="157"/>
  <c r="V565" i="157"/>
  <c r="W565" i="157" s="1"/>
  <c r="V549" i="157"/>
  <c r="V558" i="157"/>
  <c r="V559" i="157"/>
  <c r="V560" i="157"/>
  <c r="W560" i="157" s="1"/>
  <c r="V561" i="157"/>
  <c r="V554" i="157"/>
  <c r="V555" i="157"/>
  <c r="V556" i="157"/>
  <c r="W556" i="157" s="1"/>
  <c r="V557" i="157"/>
  <c r="V550" i="157"/>
  <c r="V551" i="157"/>
  <c r="V552" i="157"/>
  <c r="W552" i="157" s="1"/>
  <c r="V553" i="157"/>
  <c r="V543" i="157"/>
  <c r="V544" i="157"/>
  <c r="V545" i="157"/>
  <c r="W545" i="157" s="1"/>
  <c r="V546" i="157"/>
  <c r="V547" i="157"/>
  <c r="V548" i="157"/>
  <c r="V562" i="157"/>
  <c r="W562" i="157" s="1"/>
  <c r="V563" i="157"/>
  <c r="V564" i="157"/>
  <c r="V542" i="157"/>
  <c r="V539" i="157"/>
  <c r="W539" i="157" s="1"/>
  <c r="V540" i="157"/>
  <c r="V541" i="157"/>
  <c r="V538" i="157"/>
  <c r="V536" i="157"/>
  <c r="W536" i="157" s="1"/>
  <c r="V537" i="157"/>
  <c r="V535" i="157"/>
  <c r="V532" i="157"/>
  <c r="V534" i="157"/>
  <c r="W534" i="157" s="1"/>
  <c r="V533" i="157"/>
  <c r="V530" i="157"/>
  <c r="V531" i="157"/>
  <c r="V529" i="157"/>
  <c r="W529" i="157" s="1"/>
  <c r="V527" i="157"/>
  <c r="V528" i="157"/>
  <c r="V524" i="157"/>
  <c r="V522" i="157"/>
  <c r="W522" i="157" s="1"/>
  <c r="V520" i="157"/>
  <c r="V523" i="157"/>
  <c r="V521" i="157"/>
  <c r="V526" i="157"/>
  <c r="W526" i="157" s="1"/>
  <c r="V525" i="157"/>
  <c r="V518" i="157"/>
  <c r="V519" i="157"/>
  <c r="V517" i="157"/>
  <c r="W517" i="157" s="1"/>
  <c r="V509" i="157"/>
  <c r="V510" i="157"/>
  <c r="V511" i="157"/>
  <c r="V512" i="157"/>
  <c r="W512" i="157" s="1"/>
  <c r="V513" i="157"/>
  <c r="V514" i="157"/>
  <c r="V515" i="157"/>
  <c r="V516" i="157"/>
  <c r="W516" i="157" s="1"/>
  <c r="V508" i="157"/>
  <c r="V507" i="157"/>
  <c r="V505" i="157"/>
  <c r="V506" i="157"/>
  <c r="W506" i="157" s="1"/>
  <c r="V504" i="157"/>
  <c r="V503" i="157"/>
  <c r="V501" i="157"/>
  <c r="V502" i="157"/>
  <c r="W502" i="157" s="1"/>
  <c r="V499" i="157"/>
  <c r="V500" i="157"/>
  <c r="V498" i="157"/>
  <c r="V497" i="157"/>
  <c r="W497" i="157" s="1"/>
  <c r="V496" i="157"/>
  <c r="V487" i="157"/>
  <c r="V493" i="157"/>
  <c r="V494" i="157"/>
  <c r="W494" i="157" s="1"/>
  <c r="V485" i="157"/>
  <c r="V304" i="157"/>
  <c r="V490" i="157"/>
  <c r="V488" i="157"/>
  <c r="W488" i="157" s="1"/>
  <c r="V495" i="157"/>
  <c r="V492" i="157"/>
  <c r="V489" i="157"/>
  <c r="V486" i="157"/>
  <c r="V484" i="157"/>
  <c r="V483" i="157"/>
  <c r="V482" i="157"/>
  <c r="V477" i="157"/>
  <c r="W477" i="157" s="1"/>
  <c r="V478" i="157"/>
  <c r="V481" i="157"/>
  <c r="V479" i="157"/>
  <c r="V480" i="157"/>
  <c r="W480" i="157" s="1"/>
  <c r="V475" i="157"/>
  <c r="V476" i="157"/>
  <c r="V474" i="157"/>
  <c r="V465" i="157"/>
  <c r="W465" i="157" s="1"/>
  <c r="V466" i="157"/>
  <c r="V468" i="157"/>
  <c r="V469" i="157"/>
  <c r="V467" i="157"/>
  <c r="W467" i="157" s="1"/>
  <c r="V470" i="157"/>
  <c r="V473" i="157"/>
  <c r="V472" i="157"/>
  <c r="V471" i="157"/>
  <c r="W471" i="157" s="1"/>
  <c r="V462" i="157"/>
  <c r="V463" i="157"/>
  <c r="V464" i="157"/>
  <c r="V461" i="157"/>
  <c r="W461" i="157" s="1"/>
  <c r="V460" i="157"/>
  <c r="V459" i="157"/>
  <c r="V457" i="157"/>
  <c r="V458" i="157"/>
  <c r="W458" i="157" s="1"/>
  <c r="V455" i="157"/>
  <c r="V452" i="157"/>
  <c r="V456" i="157"/>
  <c r="V453" i="157"/>
  <c r="W453" i="157" s="1"/>
  <c r="V454" i="157"/>
  <c r="V451" i="157"/>
  <c r="V450" i="157"/>
  <c r="V443" i="157"/>
  <c r="W443" i="157" s="1"/>
  <c r="V437" i="157"/>
  <c r="V427" i="157"/>
  <c r="V449" i="157"/>
  <c r="V448" i="157"/>
  <c r="W448" i="157" s="1"/>
  <c r="V445" i="157"/>
  <c r="V439" i="157"/>
  <c r="V432" i="157"/>
  <c r="V428" i="157"/>
  <c r="W428" i="157" s="1"/>
  <c r="V446" i="157"/>
  <c r="V444" i="157"/>
  <c r="V441" i="157"/>
  <c r="V442" i="157"/>
  <c r="W442" i="157" s="1"/>
  <c r="V435" i="157"/>
  <c r="V433" i="157"/>
  <c r="V431" i="157"/>
  <c r="V430" i="157"/>
  <c r="W430" i="157" s="1"/>
  <c r="V429" i="157"/>
  <c r="V426" i="157"/>
  <c r="V424" i="157"/>
  <c r="V423" i="157"/>
  <c r="W423" i="157" s="1"/>
  <c r="V425" i="157"/>
  <c r="V418" i="157"/>
  <c r="V440" i="157"/>
  <c r="V438" i="157"/>
  <c r="W438" i="157" s="1"/>
  <c r="V436" i="157"/>
  <c r="V434" i="157"/>
  <c r="V419" i="157"/>
  <c r="V420" i="157"/>
  <c r="W420" i="157" s="1"/>
  <c r="V421" i="157"/>
  <c r="V447" i="157"/>
  <c r="V422" i="157"/>
  <c r="V414" i="157"/>
  <c r="W414" i="157" s="1"/>
  <c r="V415" i="157"/>
  <c r="V416" i="157"/>
  <c r="V417" i="157"/>
  <c r="V413" i="157"/>
  <c r="W413" i="157" s="1"/>
  <c r="V412" i="157"/>
  <c r="V411" i="157"/>
  <c r="V405" i="157"/>
  <c r="V406" i="157"/>
  <c r="W406" i="157" s="1"/>
  <c r="V407" i="157"/>
  <c r="V408" i="157"/>
  <c r="V409" i="157"/>
  <c r="V410" i="157"/>
  <c r="W410" i="157" s="1"/>
  <c r="V402" i="157"/>
  <c r="V392" i="157"/>
  <c r="V393" i="157"/>
  <c r="V403" i="157"/>
  <c r="W403" i="157" s="1"/>
  <c r="V394" i="157"/>
  <c r="V400" i="157"/>
  <c r="V395" i="157"/>
  <c r="V404" i="157"/>
  <c r="V397" i="157"/>
  <c r="V396" i="157"/>
  <c r="V399" i="157"/>
  <c r="V398" i="157"/>
  <c r="W398" i="157" s="1"/>
  <c r="V401" i="157"/>
  <c r="V388" i="157"/>
  <c r="V389" i="157"/>
  <c r="V390" i="157"/>
  <c r="W390" i="157" s="1"/>
  <c r="V391" i="157"/>
  <c r="V381" i="157"/>
  <c r="V387" i="157"/>
  <c r="V386" i="157"/>
  <c r="W386" i="157" s="1"/>
  <c r="V385" i="157"/>
  <c r="V383" i="157"/>
  <c r="V384" i="157"/>
  <c r="V382" i="157"/>
  <c r="W382" i="157" s="1"/>
  <c r="V376" i="157"/>
  <c r="V375" i="157"/>
  <c r="V377" i="157"/>
  <c r="V371" i="157"/>
  <c r="W371" i="157" s="1"/>
  <c r="V378" i="157"/>
  <c r="V379" i="157"/>
  <c r="V380" i="157"/>
  <c r="V374" i="157"/>
  <c r="W374" i="157" s="1"/>
  <c r="V373" i="157"/>
  <c r="V372" i="157"/>
  <c r="V370" i="157"/>
  <c r="V369" i="157"/>
  <c r="W369" i="157" s="1"/>
  <c r="V368" i="157"/>
  <c r="V351" i="157"/>
  <c r="V366" i="157"/>
  <c r="V346" i="157"/>
  <c r="W346" i="157" s="1"/>
  <c r="V362" i="157"/>
  <c r="V359" i="157"/>
  <c r="V355" i="157"/>
  <c r="V353" i="157"/>
  <c r="V352" i="157"/>
  <c r="V348" i="157"/>
  <c r="V365" i="157"/>
  <c r="V360" i="157"/>
  <c r="W360" i="157" s="1"/>
  <c r="V367" i="157"/>
  <c r="V349" i="157"/>
  <c r="V347" i="157"/>
  <c r="V354" i="157"/>
  <c r="W354" i="157" s="1"/>
  <c r="V363" i="157"/>
  <c r="V361" i="157"/>
  <c r="V358" i="157"/>
  <c r="V350" i="157"/>
  <c r="W350" i="157" s="1"/>
  <c r="V364" i="157"/>
  <c r="V357" i="157"/>
  <c r="V356" i="157"/>
  <c r="V341" i="157"/>
  <c r="W341" i="157" s="1"/>
  <c r="V345" i="157"/>
  <c r="V342" i="157"/>
  <c r="V343" i="157"/>
  <c r="V344" i="157"/>
  <c r="W344" i="157" s="1"/>
  <c r="V340" i="157"/>
  <c r="V338" i="157"/>
  <c r="V339" i="157"/>
  <c r="V337" i="157"/>
  <c r="W337" i="157" s="1"/>
  <c r="V336" i="157"/>
  <c r="V327" i="157"/>
  <c r="V326" i="157"/>
  <c r="V335" i="157"/>
  <c r="W335" i="157" s="1"/>
  <c r="V333" i="157"/>
  <c r="V328" i="157"/>
  <c r="V329" i="157"/>
  <c r="V334" i="157"/>
  <c r="W334" i="157" s="1"/>
  <c r="V330" i="157"/>
  <c r="V331" i="157"/>
  <c r="V332" i="157"/>
  <c r="V323" i="157"/>
  <c r="W323" i="157" s="1"/>
  <c r="V322" i="157"/>
  <c r="V325" i="157"/>
  <c r="V324" i="157"/>
  <c r="V320" i="157"/>
  <c r="W320" i="157" s="1"/>
  <c r="V321" i="157"/>
  <c r="V310" i="157"/>
  <c r="V311" i="157"/>
  <c r="V312" i="157"/>
  <c r="W312" i="157" s="1"/>
  <c r="V313" i="157"/>
  <c r="V314" i="157"/>
  <c r="V315" i="157"/>
  <c r="V317" i="157"/>
  <c r="W317" i="157" s="1"/>
  <c r="V316" i="157"/>
  <c r="V318" i="157"/>
  <c r="V319" i="157"/>
  <c r="V308" i="157"/>
  <c r="W308" i="157" s="1"/>
  <c r="V309" i="157"/>
  <c r="V305" i="157"/>
  <c r="V306" i="157"/>
  <c r="V307" i="157"/>
  <c r="W307" i="157" s="1"/>
  <c r="V298" i="157"/>
  <c r="V303" i="157"/>
  <c r="V302" i="157"/>
  <c r="V301" i="157"/>
  <c r="W301" i="157" s="1"/>
  <c r="V299" i="157"/>
  <c r="V300" i="157"/>
  <c r="V222" i="157"/>
  <c r="V290" i="157"/>
  <c r="W290" i="157" s="1"/>
  <c r="V291" i="157"/>
  <c r="V292" i="157"/>
  <c r="V293" i="157"/>
  <c r="V294" i="157"/>
  <c r="W294" i="157" s="1"/>
  <c r="V295" i="157"/>
  <c r="V296" i="157"/>
  <c r="V297" i="157"/>
  <c r="V284" i="157"/>
  <c r="W284" i="157" s="1"/>
  <c r="V285" i="157"/>
  <c r="V286" i="157"/>
  <c r="V287" i="157"/>
  <c r="V288" i="157"/>
  <c r="W288" i="157" s="1"/>
  <c r="V289" i="157"/>
  <c r="V270" i="157"/>
  <c r="V269" i="157"/>
  <c r="V283" i="157"/>
  <c r="W283" i="157" s="1"/>
  <c r="V279" i="157"/>
  <c r="V277" i="157"/>
  <c r="V275" i="157"/>
  <c r="V274" i="157"/>
  <c r="W274" i="157" s="1"/>
  <c r="V273" i="157"/>
  <c r="V281" i="157"/>
  <c r="V280" i="157"/>
  <c r="V282" i="157"/>
  <c r="W282" i="157" s="1"/>
  <c r="V278" i="157"/>
  <c r="V276" i="157"/>
  <c r="V272" i="157"/>
  <c r="V271" i="157"/>
  <c r="W271" i="157" s="1"/>
  <c r="V268" i="157"/>
  <c r="V267" i="157"/>
  <c r="V265" i="157"/>
  <c r="V266" i="157"/>
  <c r="W266" i="157" s="1"/>
  <c r="V261" i="157"/>
  <c r="V253" i="157"/>
  <c r="V262" i="157"/>
  <c r="V264" i="157"/>
  <c r="W264" i="157" s="1"/>
  <c r="V259" i="157"/>
  <c r="V256" i="157"/>
  <c r="V254" i="157"/>
  <c r="V255" i="157"/>
  <c r="W255" i="157" s="1"/>
  <c r="V263" i="157"/>
  <c r="V257" i="157"/>
  <c r="V260" i="157"/>
  <c r="V258" i="157"/>
  <c r="W258" i="157" s="1"/>
  <c r="V245" i="157"/>
  <c r="V252" i="157"/>
  <c r="V251" i="157"/>
  <c r="V249" i="157"/>
  <c r="W249" i="157" s="1"/>
  <c r="V248" i="157"/>
  <c r="V247" i="157"/>
  <c r="V246" i="157"/>
  <c r="V244" i="157"/>
  <c r="W244" i="157" s="1"/>
  <c r="V250" i="157"/>
  <c r="V240" i="157"/>
  <c r="V241" i="157"/>
  <c r="V242" i="157"/>
  <c r="V243" i="157"/>
  <c r="V237" i="157"/>
  <c r="V239" i="157"/>
  <c r="V238" i="157"/>
  <c r="W238" i="157" s="1"/>
  <c r="V233" i="157"/>
  <c r="V234" i="157"/>
  <c r="V235" i="157"/>
  <c r="V236" i="157"/>
  <c r="W236" i="157" s="1"/>
  <c r="V230" i="157"/>
  <c r="V231" i="157"/>
  <c r="V232" i="157"/>
  <c r="V218" i="157"/>
  <c r="V217" i="157"/>
  <c r="V223" i="157"/>
  <c r="V171" i="157"/>
  <c r="V227" i="157"/>
  <c r="W227" i="157" s="1"/>
  <c r="V219" i="157"/>
  <c r="V220" i="157"/>
  <c r="V224" i="157"/>
  <c r="V221" i="157"/>
  <c r="V229" i="157"/>
  <c r="V228" i="157"/>
  <c r="V225" i="157"/>
  <c r="V226" i="157"/>
  <c r="V215" i="157"/>
  <c r="V207" i="157"/>
  <c r="V208" i="157"/>
  <c r="V209" i="157"/>
  <c r="W209" i="157" s="1"/>
  <c r="V213" i="157"/>
  <c r="V210" i="157"/>
  <c r="V216" i="157"/>
  <c r="V214" i="157"/>
  <c r="W214" i="157" s="1"/>
  <c r="V212" i="157"/>
  <c r="V204" i="157"/>
  <c r="V196" i="157"/>
  <c r="V200" i="157"/>
  <c r="W200" i="157" s="1"/>
  <c r="V205" i="157"/>
  <c r="V206" i="157"/>
  <c r="V197" i="157"/>
  <c r="V198" i="157"/>
  <c r="W198" i="157" s="1"/>
  <c r="V199" i="157"/>
  <c r="V201" i="157"/>
  <c r="V202" i="157"/>
  <c r="V203" i="157"/>
  <c r="W203" i="157" s="1"/>
  <c r="V191" i="157"/>
  <c r="V183" i="157"/>
  <c r="V181" i="157"/>
  <c r="V180" i="157"/>
  <c r="W180" i="157" s="1"/>
  <c r="V177" i="157"/>
  <c r="V178" i="157"/>
  <c r="V179" i="157"/>
  <c r="V176" i="157"/>
  <c r="W176" i="157" s="1"/>
  <c r="V173" i="157"/>
  <c r="V195" i="157"/>
  <c r="V190" i="157"/>
  <c r="V184" i="157"/>
  <c r="V188" i="157"/>
  <c r="V192" i="157"/>
  <c r="V193" i="157"/>
  <c r="V194" i="157"/>
  <c r="W194" i="157" s="1"/>
  <c r="V185" i="157"/>
  <c r="V186" i="157"/>
  <c r="V175" i="157"/>
  <c r="V174" i="157"/>
  <c r="W174" i="157" s="1"/>
  <c r="V189" i="157"/>
  <c r="V187" i="157"/>
  <c r="V182" i="157"/>
  <c r="V172" i="157"/>
  <c r="W172" i="157" s="1"/>
  <c r="V167" i="157"/>
  <c r="V168" i="157"/>
  <c r="V169" i="157"/>
  <c r="V170" i="157"/>
  <c r="W170" i="157" s="1"/>
  <c r="V160" i="157"/>
  <c r="V161" i="157"/>
  <c r="V162" i="157"/>
  <c r="V158" i="157"/>
  <c r="W158" i="157" s="1"/>
  <c r="V163" i="157"/>
  <c r="V164" i="157"/>
  <c r="V159" i="157"/>
  <c r="V166" i="157"/>
  <c r="V165" i="157"/>
  <c r="V153" i="157"/>
  <c r="V154" i="157"/>
  <c r="V155" i="157"/>
  <c r="W155" i="157" s="1"/>
  <c r="V156" i="157"/>
  <c r="V157" i="157"/>
  <c r="V147" i="157"/>
  <c r="V148" i="157"/>
  <c r="W148" i="157" s="1"/>
  <c r="V149" i="157"/>
  <c r="V150" i="157"/>
  <c r="V151" i="157"/>
  <c r="V152" i="157"/>
  <c r="W152" i="157" s="1"/>
  <c r="V143" i="157"/>
  <c r="V144" i="157"/>
  <c r="V145" i="157"/>
  <c r="V146" i="157"/>
  <c r="W146" i="157" s="1"/>
  <c r="V141" i="157"/>
  <c r="V142" i="157"/>
  <c r="V136" i="157"/>
  <c r="V122" i="157"/>
  <c r="W122" i="157" s="1"/>
  <c r="V133" i="157"/>
  <c r="V132" i="157"/>
  <c r="V129" i="157"/>
  <c r="V137" i="157"/>
  <c r="W137" i="157" s="1"/>
  <c r="V125" i="157"/>
  <c r="V138" i="157"/>
  <c r="V130" i="157"/>
  <c r="V124" i="157"/>
  <c r="W124" i="157" s="1"/>
  <c r="V126" i="157"/>
  <c r="V127" i="157"/>
  <c r="V123" i="157"/>
  <c r="V131" i="157"/>
  <c r="V134" i="157"/>
  <c r="V135" i="157"/>
  <c r="V128" i="157"/>
  <c r="V120" i="157"/>
  <c r="W120" i="157" s="1"/>
  <c r="V116" i="157"/>
  <c r="V119" i="157"/>
  <c r="V117" i="157"/>
  <c r="V118" i="157"/>
  <c r="W118" i="157" s="1"/>
  <c r="V115" i="157"/>
  <c r="V110" i="157"/>
  <c r="V109" i="157"/>
  <c r="V99" i="157"/>
  <c r="V100" i="157"/>
  <c r="V101" i="157"/>
  <c r="V114" i="157"/>
  <c r="V112" i="157"/>
  <c r="W112" i="157" s="1"/>
  <c r="V113" i="157"/>
  <c r="V102" i="157"/>
  <c r="V103" i="157"/>
  <c r="V111" i="157"/>
  <c r="V104" i="157"/>
  <c r="V105" i="157"/>
  <c r="V106" i="157"/>
  <c r="V107" i="157"/>
  <c r="W107" i="157" s="1"/>
  <c r="V108" i="157"/>
  <c r="V98" i="157"/>
  <c r="V94" i="157"/>
  <c r="V97" i="157"/>
  <c r="W97" i="157" s="1"/>
  <c r="V96" i="157"/>
  <c r="V95" i="157"/>
  <c r="V91" i="157"/>
  <c r="V90" i="157"/>
  <c r="W90" i="157" s="1"/>
  <c r="V89" i="157"/>
  <c r="V88" i="157"/>
  <c r="V87" i="157"/>
  <c r="V86" i="157"/>
  <c r="W86" i="157" s="1"/>
  <c r="V85" i="157"/>
  <c r="V83" i="157"/>
  <c r="V82" i="157"/>
  <c r="V81" i="157"/>
  <c r="W81" i="157" s="1"/>
  <c r="V79" i="157"/>
  <c r="V76" i="157"/>
  <c r="V73" i="157"/>
  <c r="V74" i="157"/>
  <c r="W74" i="157" s="1"/>
  <c r="V75" i="157"/>
  <c r="V72" i="157"/>
  <c r="V70" i="157"/>
  <c r="V71" i="157"/>
  <c r="V68" i="157"/>
  <c r="V67" i="157"/>
  <c r="V69" i="157"/>
  <c r="V60" i="157"/>
  <c r="V61" i="157"/>
  <c r="V62" i="157"/>
  <c r="V63" i="157"/>
  <c r="V66" i="157"/>
  <c r="V64" i="157"/>
  <c r="V65" i="157"/>
  <c r="V59" i="157"/>
  <c r="V57" i="157"/>
  <c r="V58" i="157"/>
  <c r="V54" i="157"/>
  <c r="V53" i="157"/>
  <c r="V52" i="157"/>
  <c r="W52" i="157" s="1"/>
  <c r="V51" i="157"/>
  <c r="V2390" i="157"/>
  <c r="V2389" i="157"/>
  <c r="V2388" i="157"/>
  <c r="W2388" i="157" s="1"/>
  <c r="V31" i="157"/>
  <c r="V47" i="157"/>
  <c r="V2387" i="157"/>
  <c r="V26" i="157"/>
  <c r="W26" i="157" s="1"/>
  <c r="V27" i="157"/>
  <c r="V46" i="157"/>
  <c r="V2386" i="157"/>
  <c r="V39" i="157"/>
  <c r="W39" i="157" s="1"/>
  <c r="V2384" i="157"/>
  <c r="V45" i="157"/>
  <c r="V15" i="157"/>
  <c r="V25" i="157"/>
  <c r="W25" i="157" s="1"/>
  <c r="V40" i="157"/>
  <c r="V30" i="157"/>
  <c r="V37" i="157"/>
  <c r="V24" i="157"/>
  <c r="W24" i="157" s="1"/>
  <c r="V44" i="157"/>
  <c r="V23" i="157"/>
  <c r="V2383" i="157"/>
  <c r="V22" i="157"/>
  <c r="V33" i="157"/>
  <c r="V34" i="157"/>
  <c r="V35" i="157"/>
  <c r="V36" i="157"/>
  <c r="W36" i="157" s="1"/>
  <c r="V2382" i="157"/>
  <c r="V21" i="157"/>
  <c r="V2380" i="157"/>
  <c r="V10" i="157"/>
  <c r="V2381" i="157"/>
  <c r="V20" i="157"/>
  <c r="V19" i="157"/>
  <c r="V2373" i="157"/>
  <c r="W2373" i="157" s="1"/>
  <c r="V2374" i="157"/>
  <c r="V2375" i="157"/>
  <c r="V2376" i="157"/>
  <c r="V2370" i="157"/>
  <c r="W2370" i="157" s="1"/>
  <c r="V2371" i="157"/>
  <c r="V2365" i="157"/>
  <c r="V2361" i="157"/>
  <c r="V2354" i="157"/>
  <c r="W2354" i="157" s="1"/>
  <c r="V9" i="157"/>
  <c r="V42" i="157"/>
  <c r="V43" i="157"/>
  <c r="V48" i="157"/>
  <c r="V50" i="157"/>
  <c r="V49" i="157"/>
  <c r="V32" i="157"/>
  <c r="V38" i="157"/>
  <c r="W38" i="157" s="1"/>
  <c r="V92" i="157"/>
  <c r="V55" i="157"/>
  <c r="V78" i="157"/>
  <c r="V56" i="157"/>
  <c r="W56" i="157" s="1"/>
  <c r="V2344" i="157"/>
  <c r="V2350" i="157"/>
  <c r="V2359" i="157"/>
  <c r="V2349" i="157"/>
  <c r="W2349" i="157" s="1"/>
  <c r="V2345" i="157"/>
  <c r="V2351" i="157"/>
  <c r="V2372" i="157"/>
  <c r="V2355" i="157"/>
  <c r="W2355" i="157" s="1"/>
  <c r="V2385" i="157"/>
  <c r="V2356" i="157"/>
  <c r="V2352" i="157"/>
  <c r="V2362" i="157"/>
  <c r="W2362" i="157" s="1"/>
  <c r="V2363" i="157"/>
  <c r="V2364" i="157"/>
  <c r="V2341" i="157"/>
  <c r="V2357" i="157"/>
  <c r="W2357" i="157" s="1"/>
  <c r="V2366" i="157"/>
  <c r="V2367" i="157"/>
  <c r="V2358" i="157"/>
  <c r="V2360" i="157"/>
  <c r="W2360" i="157" s="1"/>
  <c r="V2342" i="157"/>
  <c r="V2369" i="157"/>
  <c r="V29" i="157"/>
  <c r="V2346" i="157"/>
  <c r="W2346" i="157" s="1"/>
  <c r="V2347" i="157"/>
  <c r="V2339" i="157"/>
  <c r="V28" i="157"/>
  <c r="V18" i="157"/>
  <c r="W18" i="157" s="1"/>
  <c r="V2334" i="157"/>
  <c r="V93" i="157"/>
  <c r="V121" i="157"/>
  <c r="V2377" i="157"/>
  <c r="W2377" i="157" s="1"/>
  <c r="V8" i="157"/>
  <c r="V2368" i="157"/>
  <c r="V2333" i="157"/>
  <c r="V2335" i="157"/>
  <c r="W2335" i="157" s="1"/>
  <c r="V2340" i="157"/>
  <c r="V2348" i="157"/>
  <c r="V2336" i="157"/>
  <c r="V2343" i="157"/>
  <c r="V2337" i="157"/>
  <c r="V211" i="157"/>
  <c r="V140" i="157"/>
  <c r="V77" i="157"/>
  <c r="W77" i="157" s="1"/>
  <c r="V84" i="157"/>
  <c r="V80" i="157"/>
  <c r="V41" i="157"/>
  <c r="V139" i="157"/>
  <c r="W139" i="157" s="1"/>
  <c r="V16" i="157"/>
  <c r="V17" i="157"/>
  <c r="V13" i="157"/>
  <c r="V2331" i="157"/>
  <c r="W2331" i="157" s="1"/>
  <c r="V2378" i="157"/>
  <c r="V2379" i="157"/>
  <c r="V7" i="157"/>
  <c r="V12" i="157"/>
  <c r="W12" i="157" s="1"/>
  <c r="V11" i="157"/>
  <c r="V14" i="157"/>
  <c r="V2332" i="157"/>
  <c r="V2338" i="157"/>
  <c r="W2338" i="157" s="1"/>
  <c r="V2353" i="157"/>
  <c r="W2323" i="157"/>
  <c r="W2324" i="157"/>
  <c r="W2321" i="157"/>
  <c r="W2310" i="157"/>
  <c r="W2309" i="157"/>
  <c r="W2315" i="157"/>
  <c r="W2308" i="157"/>
  <c r="W2306" i="157"/>
  <c r="W2295" i="157"/>
  <c r="W2296" i="157"/>
  <c r="W2298" i="157"/>
  <c r="W2294" i="157"/>
  <c r="W2291" i="157"/>
  <c r="W2293" i="157"/>
  <c r="W2285" i="157"/>
  <c r="W2283" i="157"/>
  <c r="W2275" i="157"/>
  <c r="W2279" i="157"/>
  <c r="W2262" i="157"/>
  <c r="W2267" i="157"/>
  <c r="W2264" i="157"/>
  <c r="W2269" i="157"/>
  <c r="W2273" i="157"/>
  <c r="W2261" i="157"/>
  <c r="W2257" i="157"/>
  <c r="W2254" i="157"/>
  <c r="W2248" i="157"/>
  <c r="W2249" i="157"/>
  <c r="W2252" i="157"/>
  <c r="W2243" i="157"/>
  <c r="W2242" i="157"/>
  <c r="W2239" i="157"/>
  <c r="W2236" i="157"/>
  <c r="W2237" i="157"/>
  <c r="W2233" i="157"/>
  <c r="W2229" i="157"/>
  <c r="W2226" i="157"/>
  <c r="W2223" i="157"/>
  <c r="W2217" i="157"/>
  <c r="W2218" i="157"/>
  <c r="W2208" i="157"/>
  <c r="W2209" i="157"/>
  <c r="W2210" i="157"/>
  <c r="W2205" i="157"/>
  <c r="W2199" i="157"/>
  <c r="W2200" i="157"/>
  <c r="W2206" i="157"/>
  <c r="W2190" i="157"/>
  <c r="W2194" i="157"/>
  <c r="W2189" i="157"/>
  <c r="W2188" i="157"/>
  <c r="W2179" i="157"/>
  <c r="W2180" i="157"/>
  <c r="W2182" i="157"/>
  <c r="W2174" i="157"/>
  <c r="W2164" i="157"/>
  <c r="W2170" i="157"/>
  <c r="W2166" i="157"/>
  <c r="W2169" i="157"/>
  <c r="W2162" i="157"/>
  <c r="W2152" i="157"/>
  <c r="W2153" i="157"/>
  <c r="W2156" i="157"/>
  <c r="W2151" i="157"/>
  <c r="W2146" i="157"/>
  <c r="W2141" i="157"/>
  <c r="W2138" i="157"/>
  <c r="W2139" i="157"/>
  <c r="W2133" i="157"/>
  <c r="W2128" i="157"/>
  <c r="W2132" i="157"/>
  <c r="W2126" i="157"/>
  <c r="W2117" i="157"/>
  <c r="W2118" i="157"/>
  <c r="W2125" i="157"/>
  <c r="W2108" i="157"/>
  <c r="W2109" i="157"/>
  <c r="W2113" i="157"/>
  <c r="W2096" i="157"/>
  <c r="W2104" i="157"/>
  <c r="W2105" i="157"/>
  <c r="W2097" i="157"/>
  <c r="W2099" i="157"/>
  <c r="W2095" i="157"/>
  <c r="W2090" i="157"/>
  <c r="W2089" i="157"/>
  <c r="W2082" i="157"/>
  <c r="W2088" i="157"/>
  <c r="W2085" i="157"/>
  <c r="W2079" i="157"/>
  <c r="W2077" i="157"/>
  <c r="W2074" i="157"/>
  <c r="W2070" i="157"/>
  <c r="W2064" i="157"/>
  <c r="W2063" i="157"/>
  <c r="W2055" i="157"/>
  <c r="W2051" i="157"/>
  <c r="W2034" i="157"/>
  <c r="W2032" i="157"/>
  <c r="W2038" i="157"/>
  <c r="W2027" i="157"/>
  <c r="W2022" i="157"/>
  <c r="W2021" i="157"/>
  <c r="W2010" i="157"/>
  <c r="W2005" i="157"/>
  <c r="W2004" i="157"/>
  <c r="W1994" i="157"/>
  <c r="W1992" i="157"/>
  <c r="W1978" i="157"/>
  <c r="W1983" i="157"/>
  <c r="W1976" i="157"/>
  <c r="W1967" i="157"/>
  <c r="W1966" i="157"/>
  <c r="W1964" i="157"/>
  <c r="W1957" i="157"/>
  <c r="W1953" i="157"/>
  <c r="W1943" i="157"/>
  <c r="W1940" i="157"/>
  <c r="W1946" i="157"/>
  <c r="W1945" i="157"/>
  <c r="W1948" i="157"/>
  <c r="W1927" i="157"/>
  <c r="W1930" i="157"/>
  <c r="W1929" i="157"/>
  <c r="W1933" i="157"/>
  <c r="W1923" i="157"/>
  <c r="W1926" i="157"/>
  <c r="W1916" i="157"/>
  <c r="W1915" i="157"/>
  <c r="W1911" i="157"/>
  <c r="W1910" i="157"/>
  <c r="W1902" i="157"/>
  <c r="W1903" i="157"/>
  <c r="W1894" i="157"/>
  <c r="W1891" i="157"/>
  <c r="W1880" i="157"/>
  <c r="W1877" i="157"/>
  <c r="W1876" i="157"/>
  <c r="W1858" i="157"/>
  <c r="W1859" i="157"/>
  <c r="W1861" i="157"/>
  <c r="W1862" i="157"/>
  <c r="W1841" i="157"/>
  <c r="W1847" i="157"/>
  <c r="W1834" i="157"/>
  <c r="W1826" i="157"/>
  <c r="W1827" i="157"/>
  <c r="W1828" i="157"/>
  <c r="W1817" i="157"/>
  <c r="W1822" i="157"/>
  <c r="W1815" i="157"/>
  <c r="W1809" i="157"/>
  <c r="W1807" i="157"/>
  <c r="W1803" i="157"/>
  <c r="W1792" i="157"/>
  <c r="W1783" i="157"/>
  <c r="W1779" i="157"/>
  <c r="W1778" i="157"/>
  <c r="W1777" i="157"/>
  <c r="W1771" i="157"/>
  <c r="W1766" i="157"/>
  <c r="W1761" i="157"/>
  <c r="W1762" i="157"/>
  <c r="W1750" i="157"/>
  <c r="W1746" i="157"/>
  <c r="W1741" i="157"/>
  <c r="W1737" i="157"/>
  <c r="W1740" i="157"/>
  <c r="W1738" i="157"/>
  <c r="W1734" i="157"/>
  <c r="W1731" i="157"/>
  <c r="W1728" i="157"/>
  <c r="W1726" i="157"/>
  <c r="W1724" i="157"/>
  <c r="W1713" i="157"/>
  <c r="W1709" i="157"/>
  <c r="W1706" i="157"/>
  <c r="W1700" i="157"/>
  <c r="W1679" i="157"/>
  <c r="W1695" i="157"/>
  <c r="W1687" i="157"/>
  <c r="W1691" i="157"/>
  <c r="W1694" i="157"/>
  <c r="W1682" i="157"/>
  <c r="W1674" i="157"/>
  <c r="W1663" i="157"/>
  <c r="W1664" i="157"/>
  <c r="W1662" i="157"/>
  <c r="W1658" i="157"/>
  <c r="W1648" i="157"/>
  <c r="W1649" i="157"/>
  <c r="W1637" i="157"/>
  <c r="W1635" i="157"/>
  <c r="W1638" i="157"/>
  <c r="W1639" i="157"/>
  <c r="W1641" i="157"/>
  <c r="W1636" i="157"/>
  <c r="W1634" i="157"/>
  <c r="W1632" i="157"/>
  <c r="W1625" i="157"/>
  <c r="W1622" i="157"/>
  <c r="W1619" i="157"/>
  <c r="W1617" i="157"/>
  <c r="W1610" i="157"/>
  <c r="W1611" i="157"/>
  <c r="W1603" i="157"/>
  <c r="W1606" i="157"/>
  <c r="W1589" i="157"/>
  <c r="W1590" i="157"/>
  <c r="W1594" i="157"/>
  <c r="W1600" i="157"/>
  <c r="W1599" i="157"/>
  <c r="W1575" i="157"/>
  <c r="W1580" i="157"/>
  <c r="W1586" i="157"/>
  <c r="W1573" i="157"/>
  <c r="W1569" i="157"/>
  <c r="W1565" i="157"/>
  <c r="W1564" i="157"/>
  <c r="W1555" i="157"/>
  <c r="W1553" i="157"/>
  <c r="W1549" i="157"/>
  <c r="W1542" i="157"/>
  <c r="W1548" i="157"/>
  <c r="W1544" i="157"/>
  <c r="W1539" i="157"/>
  <c r="W1530" i="157"/>
  <c r="W1529" i="157"/>
  <c r="W1535" i="157"/>
  <c r="W1519" i="157"/>
  <c r="W1520" i="157"/>
  <c r="W1513" i="157"/>
  <c r="W1517" i="157"/>
  <c r="W1510" i="157"/>
  <c r="W1503" i="157"/>
  <c r="W1508" i="157"/>
  <c r="W1491" i="157"/>
  <c r="W1488" i="157"/>
  <c r="W1483" i="157"/>
  <c r="W1463" i="157"/>
  <c r="W1465" i="157"/>
  <c r="W1454" i="157"/>
  <c r="W1458" i="157"/>
  <c r="W1442" i="157"/>
  <c r="W1449" i="157"/>
  <c r="W1448" i="157"/>
  <c r="W1430" i="157"/>
  <c r="W1420" i="157"/>
  <c r="W1421" i="157"/>
  <c r="W1426" i="157"/>
  <c r="W1398" i="157"/>
  <c r="W1412" i="157"/>
  <c r="W1406" i="157"/>
  <c r="W1408" i="157"/>
  <c r="W1389" i="157"/>
  <c r="W1394" i="157"/>
  <c r="W1373" i="157"/>
  <c r="W1380" i="157"/>
  <c r="W1377" i="157"/>
  <c r="W1369" i="157"/>
  <c r="W1364" i="157"/>
  <c r="W1362" i="157"/>
  <c r="W1348" i="157"/>
  <c r="W1350" i="157"/>
  <c r="W1351" i="157"/>
  <c r="W1354" i="157"/>
  <c r="W1338" i="157"/>
  <c r="W1343" i="157"/>
  <c r="W1330" i="157"/>
  <c r="W1335" i="157"/>
  <c r="W1325" i="157"/>
  <c r="W1327" i="157"/>
  <c r="W1318" i="157"/>
  <c r="W1310" i="157"/>
  <c r="W1313" i="157"/>
  <c r="W1307" i="157"/>
  <c r="W1304" i="157"/>
  <c r="W1291" i="157"/>
  <c r="W1292" i="157"/>
  <c r="W1287" i="157"/>
  <c r="W1264" i="157"/>
  <c r="W1259" i="157"/>
  <c r="W1260" i="157"/>
  <c r="W1261" i="157"/>
  <c r="W1241" i="157"/>
  <c r="W1232" i="157"/>
  <c r="W1221" i="157"/>
  <c r="W1216" i="157"/>
  <c r="W1209" i="157"/>
  <c r="W1199" i="157"/>
  <c r="W1198" i="157"/>
  <c r="W1186" i="157"/>
  <c r="W1173" i="157"/>
  <c r="W1166" i="157"/>
  <c r="W1161" i="157"/>
  <c r="W1158" i="157"/>
  <c r="W1139" i="157"/>
  <c r="W1135" i="157"/>
  <c r="W1121" i="157"/>
  <c r="W1120" i="157"/>
  <c r="W1102" i="157"/>
  <c r="W1112" i="157"/>
  <c r="W1092" i="157"/>
  <c r="W1073" i="157"/>
  <c r="W1070" i="157"/>
  <c r="W1071" i="157"/>
  <c r="W1077" i="157"/>
  <c r="W1046" i="157"/>
  <c r="W1083" i="157"/>
  <c r="W1047" i="157"/>
  <c r="W1041" i="157"/>
  <c r="W1029" i="157"/>
  <c r="W1023" i="157"/>
  <c r="W1016" i="157"/>
  <c r="W1008" i="157"/>
  <c r="W1011" i="157"/>
  <c r="W999" i="157"/>
  <c r="W994" i="157"/>
  <c r="W992" i="157"/>
  <c r="W988" i="157"/>
  <c r="W980" i="157"/>
  <c r="W984" i="157"/>
  <c r="W985" i="157"/>
  <c r="W979" i="157"/>
  <c r="W976" i="157"/>
  <c r="W958" i="157"/>
  <c r="W959" i="157"/>
  <c r="W964" i="157"/>
  <c r="W954" i="157"/>
  <c r="W952" i="157"/>
  <c r="W943" i="157"/>
  <c r="W938" i="157"/>
  <c r="W933" i="157"/>
  <c r="W927" i="157"/>
  <c r="W917" i="157"/>
  <c r="W916" i="157"/>
  <c r="W912" i="157"/>
  <c r="W904" i="157"/>
  <c r="W907" i="157"/>
  <c r="W899" i="157"/>
  <c r="W883" i="157"/>
  <c r="W880" i="157"/>
  <c r="W879" i="157"/>
  <c r="W875" i="157"/>
  <c r="W871" i="157"/>
  <c r="W861" i="157"/>
  <c r="W849" i="157"/>
  <c r="W850" i="157"/>
  <c r="W853" i="157"/>
  <c r="W840" i="157"/>
  <c r="W843" i="157"/>
  <c r="W822" i="157"/>
  <c r="W826" i="157"/>
  <c r="W823" i="157"/>
  <c r="W820" i="157"/>
  <c r="W818" i="157"/>
  <c r="W816" i="157"/>
  <c r="W813" i="157"/>
  <c r="W811" i="157"/>
  <c r="W804" i="157"/>
  <c r="W795" i="157"/>
  <c r="W792" i="157"/>
  <c r="W783" i="157"/>
  <c r="W777" i="157"/>
  <c r="W776" i="157"/>
  <c r="W780" i="157"/>
  <c r="W779" i="157"/>
  <c r="W764" i="157"/>
  <c r="W760" i="157"/>
  <c r="W752" i="157"/>
  <c r="W757" i="157"/>
  <c r="W754" i="157"/>
  <c r="W748" i="157"/>
  <c r="W747" i="157"/>
  <c r="W734" i="157"/>
  <c r="W732" i="157"/>
  <c r="W738" i="157"/>
  <c r="W730" i="157"/>
  <c r="W726" i="157"/>
  <c r="W724" i="157"/>
  <c r="W723" i="157"/>
  <c r="W718" i="157"/>
  <c r="W719" i="157"/>
  <c r="W708" i="157"/>
  <c r="W707" i="157"/>
  <c r="W701" i="157"/>
  <c r="W695" i="157"/>
  <c r="W690" i="157"/>
  <c r="W689" i="157"/>
  <c r="W688" i="157"/>
  <c r="W693" i="157"/>
  <c r="W694" i="157"/>
  <c r="W672" i="157"/>
  <c r="W676" i="157"/>
  <c r="W666" i="157"/>
  <c r="W664" i="157"/>
  <c r="W660" i="157"/>
  <c r="W661" i="157"/>
  <c r="W659" i="157"/>
  <c r="W650" i="157"/>
  <c r="W651" i="157"/>
  <c r="W644" i="157"/>
  <c r="W640" i="157"/>
  <c r="W646" i="157"/>
  <c r="W647" i="157"/>
  <c r="W635" i="157"/>
  <c r="W622" i="157"/>
  <c r="W630" i="157"/>
  <c r="W628" i="157"/>
  <c r="W627" i="157"/>
  <c r="W617" i="157"/>
  <c r="W618" i="157"/>
  <c r="W611" i="157"/>
  <c r="W610" i="157"/>
  <c r="W606" i="157"/>
  <c r="W602" i="157"/>
  <c r="W614" i="157"/>
  <c r="W598" i="157"/>
  <c r="W599" i="157"/>
  <c r="W596" i="157"/>
  <c r="W595" i="157"/>
  <c r="W592" i="157"/>
  <c r="W586" i="157"/>
  <c r="W584" i="157"/>
  <c r="W587" i="157"/>
  <c r="W578" i="157"/>
  <c r="W574" i="157"/>
  <c r="W572" i="157"/>
  <c r="W570" i="157"/>
  <c r="W569" i="157"/>
  <c r="W549" i="157"/>
  <c r="W554" i="157"/>
  <c r="W557" i="157"/>
  <c r="W550" i="157"/>
  <c r="W553" i="157"/>
  <c r="W546" i="157"/>
  <c r="W564" i="157"/>
  <c r="W540" i="157"/>
  <c r="W541" i="157"/>
  <c r="W535" i="157"/>
  <c r="W533" i="157"/>
  <c r="W528" i="157"/>
  <c r="W520" i="157"/>
  <c r="W523" i="157"/>
  <c r="W509" i="157"/>
  <c r="W514" i="157"/>
  <c r="W508" i="157"/>
  <c r="W507" i="157"/>
  <c r="W503" i="157"/>
  <c r="W499" i="157"/>
  <c r="W487" i="157"/>
  <c r="W485" i="157"/>
  <c r="W304" i="157"/>
  <c r="W486" i="157"/>
  <c r="W484" i="157"/>
  <c r="W475" i="157"/>
  <c r="W470" i="157"/>
  <c r="W462" i="157"/>
  <c r="W460" i="157"/>
  <c r="W452" i="157"/>
  <c r="W454" i="157"/>
  <c r="W451" i="157"/>
  <c r="W427" i="157"/>
  <c r="W445" i="157"/>
  <c r="W444" i="157"/>
  <c r="W435" i="157"/>
  <c r="W433" i="157"/>
  <c r="W425" i="157"/>
  <c r="W434" i="157"/>
  <c r="W421" i="157"/>
  <c r="W447" i="157"/>
  <c r="W416" i="157"/>
  <c r="W412" i="157"/>
  <c r="W408" i="157"/>
  <c r="W402" i="157"/>
  <c r="W392" i="157"/>
  <c r="W404" i="157"/>
  <c r="W397" i="157"/>
  <c r="W388" i="157"/>
  <c r="W391" i="157"/>
  <c r="W381" i="157"/>
  <c r="W383" i="157"/>
  <c r="W376" i="157"/>
  <c r="W379" i="157"/>
  <c r="W373" i="157"/>
  <c r="W372" i="157"/>
  <c r="W362" i="157"/>
  <c r="W353" i="157"/>
  <c r="W348" i="157"/>
  <c r="W367" i="157"/>
  <c r="W349" i="157"/>
  <c r="W361" i="157"/>
  <c r="W364" i="157"/>
  <c r="W342" i="157"/>
  <c r="W340" i="157"/>
  <c r="W338" i="157"/>
  <c r="W333" i="157"/>
  <c r="W328" i="157"/>
  <c r="W331" i="157"/>
  <c r="W322" i="157"/>
  <c r="W325" i="157"/>
  <c r="W313" i="157"/>
  <c r="W314" i="157"/>
  <c r="W318" i="157"/>
  <c r="W309" i="157"/>
  <c r="W305" i="157"/>
  <c r="W299" i="157"/>
  <c r="W300" i="157"/>
  <c r="W292" i="157"/>
  <c r="W295" i="157"/>
  <c r="W296" i="157"/>
  <c r="W286" i="157"/>
  <c r="W289" i="157"/>
  <c r="W270" i="157"/>
  <c r="W277" i="157"/>
  <c r="W273" i="157"/>
  <c r="W281" i="157"/>
  <c r="W276" i="157"/>
  <c r="W268" i="157"/>
  <c r="W267" i="157"/>
  <c r="W259" i="157"/>
  <c r="W256" i="157"/>
  <c r="W245" i="157"/>
  <c r="W247" i="157"/>
  <c r="W250" i="157"/>
  <c r="W242" i="157"/>
  <c r="W233" i="157"/>
  <c r="W234" i="157"/>
  <c r="W230" i="157"/>
  <c r="W231" i="157"/>
  <c r="W217" i="157"/>
  <c r="W219" i="157"/>
  <c r="W220" i="157"/>
  <c r="W229" i="157"/>
  <c r="W228" i="157"/>
  <c r="W226" i="157"/>
  <c r="W207" i="157"/>
  <c r="W213" i="157"/>
  <c r="W212" i="157"/>
  <c r="W205" i="157"/>
  <c r="W206" i="157"/>
  <c r="W199" i="157"/>
  <c r="W201" i="157"/>
  <c r="W191" i="157"/>
  <c r="W177" i="157"/>
  <c r="W178" i="157"/>
  <c r="W173" i="157"/>
  <c r="W195" i="157"/>
  <c r="W184" i="157"/>
  <c r="W192" i="157"/>
  <c r="W185" i="157"/>
  <c r="W189" i="157"/>
  <c r="W187" i="157"/>
  <c r="W167" i="157"/>
  <c r="W168" i="157"/>
  <c r="W160" i="157"/>
  <c r="W163" i="157"/>
  <c r="W166" i="157"/>
  <c r="W165" i="157"/>
  <c r="W153" i="157"/>
  <c r="W156" i="157"/>
  <c r="W149" i="157"/>
  <c r="W150" i="157"/>
  <c r="W143" i="157"/>
  <c r="W141" i="157"/>
  <c r="W142" i="157"/>
  <c r="W136" i="157"/>
  <c r="W133" i="157"/>
  <c r="W132" i="157"/>
  <c r="W129" i="157"/>
  <c r="W125" i="157"/>
  <c r="W138" i="157"/>
  <c r="W126" i="157"/>
  <c r="W131" i="157"/>
  <c r="W134" i="157"/>
  <c r="W135" i="157"/>
  <c r="W116" i="157"/>
  <c r="W119" i="157"/>
  <c r="W115" i="157"/>
  <c r="W110" i="157"/>
  <c r="W99" i="157"/>
  <c r="W100" i="157"/>
  <c r="W113" i="157"/>
  <c r="W102" i="157"/>
  <c r="W111" i="157"/>
  <c r="W104" i="157"/>
  <c r="W105" i="157"/>
  <c r="W108" i="157"/>
  <c r="W96" i="157"/>
  <c r="W89" i="157"/>
  <c r="W88" i="157"/>
  <c r="W85" i="157"/>
  <c r="W79" i="157"/>
  <c r="W76" i="157"/>
  <c r="W75" i="157"/>
  <c r="W70" i="157"/>
  <c r="W71" i="157"/>
  <c r="W68" i="157"/>
  <c r="W67" i="157"/>
  <c r="W69" i="157"/>
  <c r="W60" i="157"/>
  <c r="W61" i="157"/>
  <c r="W62" i="157"/>
  <c r="W63" i="157"/>
  <c r="W66" i="157"/>
  <c r="W64" i="157"/>
  <c r="W65" i="157"/>
  <c r="W59" i="157"/>
  <c r="W57" i="157"/>
  <c r="W58" i="157"/>
  <c r="W51" i="157"/>
  <c r="W2390" i="157"/>
  <c r="W31" i="157"/>
  <c r="W47" i="157"/>
  <c r="W27" i="157"/>
  <c r="W46" i="157"/>
  <c r="W2384" i="157"/>
  <c r="W40" i="157"/>
  <c r="W30" i="157"/>
  <c r="W44" i="157"/>
  <c r="W22" i="157"/>
  <c r="W33" i="157"/>
  <c r="W2382" i="157"/>
  <c r="W10" i="157"/>
  <c r="W2381" i="157"/>
  <c r="W20" i="157"/>
  <c r="W2374" i="157"/>
  <c r="W2371" i="157"/>
  <c r="W2365" i="157"/>
  <c r="W9" i="157"/>
  <c r="W48" i="157"/>
  <c r="W50" i="157"/>
  <c r="W49" i="157"/>
  <c r="W92" i="157"/>
  <c r="W55" i="157"/>
  <c r="W2344" i="157"/>
  <c r="W2350" i="157"/>
  <c r="W2345" i="157"/>
  <c r="W2385" i="157"/>
  <c r="W2356" i="157"/>
  <c r="W2363" i="157"/>
  <c r="W2364" i="157"/>
  <c r="W2366" i="157"/>
  <c r="W2367" i="157"/>
  <c r="W2342" i="157"/>
  <c r="W2347" i="157"/>
  <c r="W2339" i="157"/>
  <c r="W2334" i="157"/>
  <c r="W93" i="157"/>
  <c r="W8" i="157"/>
  <c r="W2340" i="157"/>
  <c r="W2343" i="157"/>
  <c r="W2337" i="157"/>
  <c r="W211" i="157"/>
  <c r="W84" i="157"/>
  <c r="W16" i="157"/>
  <c r="W2378" i="157"/>
  <c r="W7" i="157"/>
  <c r="W11" i="157"/>
  <c r="W14" i="157"/>
  <c r="W2332" i="157"/>
  <c r="W2353" i="157"/>
  <c r="A2398" i="1"/>
  <c r="C2398" i="1"/>
  <c r="B2398" i="1" s="1"/>
  <c r="F2398" i="1"/>
  <c r="M2398" i="1"/>
  <c r="O2398" i="1"/>
  <c r="S2398" i="1"/>
  <c r="T2398" i="1"/>
  <c r="U2398" i="1"/>
  <c r="Y2398" i="1" s="1"/>
  <c r="V2398" i="1"/>
  <c r="W2398" i="1" s="1"/>
  <c r="Z2398" i="1"/>
  <c r="A2397" i="1"/>
  <c r="C2397" i="1"/>
  <c r="B2397" i="1" s="1"/>
  <c r="F2397" i="1"/>
  <c r="M2397" i="1"/>
  <c r="O2397" i="1"/>
  <c r="S2397" i="1"/>
  <c r="T2397" i="1"/>
  <c r="U2397" i="1"/>
  <c r="Y2397" i="1" s="1"/>
  <c r="V2397" i="1"/>
  <c r="W2397" i="1" s="1"/>
  <c r="Z2397" i="1"/>
  <c r="A2396" i="1"/>
  <c r="C2396" i="1"/>
  <c r="B2396" i="1" s="1"/>
  <c r="D2396" i="1"/>
  <c r="F2396" i="1"/>
  <c r="O2396" i="1"/>
  <c r="S2396" i="1"/>
  <c r="T2396" i="1"/>
  <c r="U2396" i="1"/>
  <c r="Y2396" i="1" s="1"/>
  <c r="V2396" i="1"/>
  <c r="W2396" i="1" s="1"/>
  <c r="Z2396" i="1"/>
  <c r="A2395" i="1"/>
  <c r="C2395" i="1"/>
  <c r="B2395" i="1" s="1"/>
  <c r="F2395" i="1"/>
  <c r="M2395" i="1"/>
  <c r="O2395" i="1"/>
  <c r="T2395" i="1"/>
  <c r="U2395" i="1"/>
  <c r="V2395" i="1"/>
  <c r="W2395" i="1" s="1"/>
  <c r="Z2395" i="1"/>
  <c r="A2394" i="1"/>
  <c r="C2394" i="1"/>
  <c r="B2394" i="1" s="1"/>
  <c r="F2394" i="1"/>
  <c r="O2394" i="1"/>
  <c r="S2394" i="1"/>
  <c r="T2394" i="1"/>
  <c r="U2394" i="1"/>
  <c r="Y2394" i="1" s="1"/>
  <c r="V2394" i="1"/>
  <c r="W2394" i="1" s="1"/>
  <c r="Z2394" i="1"/>
  <c r="A2393" i="1"/>
  <c r="C2393" i="1"/>
  <c r="B2393" i="1" s="1"/>
  <c r="F2393" i="1"/>
  <c r="M2393" i="1"/>
  <c r="O2393" i="1"/>
  <c r="U2393" i="1"/>
  <c r="Y2393" i="1" s="1"/>
  <c r="V2393" i="1"/>
  <c r="W2393" i="1" s="1"/>
  <c r="Z2393" i="1"/>
  <c r="A2392" i="1"/>
  <c r="C2392" i="1"/>
  <c r="B2392" i="1" s="1"/>
  <c r="F2392" i="1"/>
  <c r="M2392" i="1"/>
  <c r="O2392" i="1"/>
  <c r="T2392" i="1"/>
  <c r="U2392" i="1"/>
  <c r="Y2392" i="1" s="1"/>
  <c r="V2392" i="1"/>
  <c r="W2392" i="1" s="1"/>
  <c r="Z2392" i="1"/>
  <c r="A2391" i="1"/>
  <c r="C2391" i="1"/>
  <c r="B2391" i="1" s="1"/>
  <c r="F2391" i="1"/>
  <c r="M2391" i="1"/>
  <c r="O2391" i="1"/>
  <c r="T2391" i="1"/>
  <c r="U2391" i="1"/>
  <c r="Y2391" i="1" s="1"/>
  <c r="V2391" i="1"/>
  <c r="W2391" i="1" s="1"/>
  <c r="Z2391" i="1"/>
  <c r="A2390" i="1"/>
  <c r="C2390" i="1"/>
  <c r="B2390" i="1" s="1"/>
  <c r="F2390" i="1"/>
  <c r="M2390" i="1"/>
  <c r="O2390" i="1"/>
  <c r="U2390" i="1"/>
  <c r="Y2390" i="1" s="1"/>
  <c r="V2390" i="1"/>
  <c r="W2390" i="1" s="1"/>
  <c r="Z2390" i="1"/>
  <c r="A2389" i="1"/>
  <c r="C2389" i="1"/>
  <c r="B2389" i="1" s="1"/>
  <c r="F2389" i="1"/>
  <c r="M2389" i="1"/>
  <c r="O2389" i="1"/>
  <c r="T2389" i="1"/>
  <c r="U2389" i="1"/>
  <c r="Y2389" i="1" s="1"/>
  <c r="V2389" i="1"/>
  <c r="W2389" i="1" s="1"/>
  <c r="Z2389" i="1"/>
  <c r="E1637" i="6"/>
  <c r="F1637" i="6"/>
  <c r="I1637" i="6"/>
  <c r="J1637" i="6"/>
  <c r="A2388" i="1"/>
  <c r="C2388" i="1"/>
  <c r="B2388" i="1" s="1"/>
  <c r="F2388" i="1"/>
  <c r="M2388" i="1"/>
  <c r="O2388" i="1"/>
  <c r="S2388" i="1"/>
  <c r="U2388" i="1"/>
  <c r="Y2388" i="1" s="1"/>
  <c r="V2388" i="1"/>
  <c r="W2388" i="1" s="1"/>
  <c r="Z2388" i="1"/>
  <c r="A2387" i="1"/>
  <c r="C2387" i="1"/>
  <c r="B2387" i="1" s="1"/>
  <c r="F2387" i="1"/>
  <c r="M2387" i="1"/>
  <c r="O2387" i="1"/>
  <c r="U2387" i="1"/>
  <c r="Y2387" i="1" s="1"/>
  <c r="V2387" i="1"/>
  <c r="W2387" i="1" s="1"/>
  <c r="Z2387" i="1"/>
  <c r="E1644" i="6"/>
  <c r="F1644" i="6"/>
  <c r="I1644" i="6"/>
  <c r="J1644" i="6"/>
  <c r="A2386" i="1"/>
  <c r="C2386" i="1"/>
  <c r="B2386" i="1" s="1"/>
  <c r="F2386" i="1"/>
  <c r="M2386" i="1"/>
  <c r="O2386" i="1"/>
  <c r="T2386" i="1"/>
  <c r="U2386" i="1"/>
  <c r="Y2386" i="1" s="1"/>
  <c r="V2386" i="1"/>
  <c r="W2386" i="1" s="1"/>
  <c r="Z2386" i="1"/>
  <c r="Y28" i="16"/>
  <c r="Y13" i="16" s="1"/>
  <c r="Y22" i="16"/>
  <c r="Y20" i="16"/>
  <c r="Y12" i="16" s="1"/>
  <c r="E1682" i="6"/>
  <c r="E1684" i="6"/>
  <c r="E1686" i="6"/>
  <c r="I1682" i="6"/>
  <c r="I1684" i="6"/>
  <c r="I1686" i="6"/>
  <c r="J1682" i="6"/>
  <c r="J1684" i="6"/>
  <c r="J1686" i="6"/>
  <c r="E1663" i="6"/>
  <c r="F1663" i="6"/>
  <c r="I1663" i="6"/>
  <c r="J1663" i="6"/>
  <c r="E1654" i="6"/>
  <c r="F1654" i="6"/>
  <c r="I1654" i="6"/>
  <c r="J1654" i="6"/>
  <c r="E1671" i="6"/>
  <c r="F1671" i="6"/>
  <c r="I1671" i="6"/>
  <c r="J1671" i="6"/>
  <c r="E1673" i="6"/>
  <c r="F1673" i="6"/>
  <c r="I1673" i="6"/>
  <c r="J1673" i="6"/>
  <c r="E1650" i="6"/>
  <c r="F1650" i="6"/>
  <c r="I1650" i="6"/>
  <c r="J1650" i="6"/>
  <c r="D1680" i="6"/>
  <c r="E1680" i="6"/>
  <c r="F1680" i="6"/>
  <c r="I1680" i="6"/>
  <c r="J1680" i="6"/>
  <c r="E1661" i="6"/>
  <c r="F1661" i="6"/>
  <c r="I1661" i="6"/>
  <c r="J1661" i="6"/>
  <c r="E1659" i="6"/>
  <c r="E1660" i="6"/>
  <c r="F1659" i="6"/>
  <c r="F1660" i="6"/>
  <c r="I1659" i="6"/>
  <c r="I1660" i="6"/>
  <c r="J1659" i="6"/>
  <c r="J1660" i="6"/>
  <c r="W1521" i="157" l="1"/>
  <c r="W1541" i="157"/>
  <c r="W1733" i="157"/>
  <c r="W1404" i="157"/>
  <c r="W1402" i="157"/>
  <c r="W1423" i="157"/>
  <c r="W1471" i="157"/>
  <c r="W1486" i="157"/>
  <c r="W1494" i="157"/>
  <c r="W1527" i="157"/>
  <c r="W1537" i="157"/>
  <c r="W1562" i="157"/>
  <c r="W1574" i="157"/>
  <c r="W1578" i="157"/>
  <c r="W1588" i="157"/>
  <c r="W1609" i="157"/>
  <c r="W1614" i="157"/>
  <c r="W1659" i="157"/>
  <c r="W1696" i="157"/>
  <c r="W1699" i="157"/>
  <c r="W1701" i="157"/>
  <c r="W1707" i="157"/>
  <c r="W1721" i="157"/>
  <c r="W1727" i="157"/>
  <c r="W2379" i="157"/>
  <c r="W17" i="157"/>
  <c r="W80" i="157"/>
  <c r="W2348" i="157"/>
  <c r="W2368" i="157"/>
  <c r="W2369" i="157"/>
  <c r="W2351" i="157"/>
  <c r="W42" i="157"/>
  <c r="W2375" i="157"/>
  <c r="W21" i="157"/>
  <c r="W34" i="157"/>
  <c r="W23" i="157"/>
  <c r="W45" i="157"/>
  <c r="W54" i="157"/>
  <c r="W72" i="157"/>
  <c r="W83" i="157"/>
  <c r="W95" i="157"/>
  <c r="W98" i="157"/>
  <c r="W101" i="157"/>
  <c r="W127" i="157"/>
  <c r="W144" i="157"/>
  <c r="W157" i="157"/>
  <c r="W164" i="157"/>
  <c r="W161" i="157"/>
  <c r="W186" i="157"/>
  <c r="W183" i="157"/>
  <c r="W204" i="157"/>
  <c r="W210" i="157"/>
  <c r="W223" i="157"/>
  <c r="W237" i="157"/>
  <c r="W240" i="157"/>
  <c r="W252" i="157"/>
  <c r="W257" i="157"/>
  <c r="W253" i="157"/>
  <c r="W303" i="157"/>
  <c r="W310" i="157"/>
  <c r="W327" i="157"/>
  <c r="W357" i="157"/>
  <c r="W359" i="157"/>
  <c r="W351" i="157"/>
  <c r="W375" i="157"/>
  <c r="W396" i="157"/>
  <c r="W400" i="157"/>
  <c r="W411" i="157"/>
  <c r="W418" i="157"/>
  <c r="W426" i="157"/>
  <c r="W439" i="157"/>
  <c r="W459" i="157"/>
  <c r="W463" i="157"/>
  <c r="W473" i="157"/>
  <c r="W468" i="157"/>
  <c r="W476" i="157"/>
  <c r="W481" i="157"/>
  <c r="W483" i="157"/>
  <c r="W492" i="157"/>
  <c r="W500" i="157"/>
  <c r="W510" i="157"/>
  <c r="W518" i="157"/>
  <c r="W530" i="157"/>
  <c r="W547" i="157"/>
  <c r="W543" i="157"/>
  <c r="W558" i="157"/>
  <c r="W580" i="157"/>
  <c r="W583" i="157"/>
  <c r="W593" i="157"/>
  <c r="W612" i="157"/>
  <c r="W616" i="157"/>
  <c r="W625" i="157"/>
  <c r="W652" i="157"/>
  <c r="W656" i="157"/>
  <c r="W667" i="157"/>
  <c r="W674" i="157"/>
  <c r="W678" i="157"/>
  <c r="W684" i="157"/>
  <c r="W702" i="157"/>
  <c r="W698" i="157"/>
  <c r="W712" i="157"/>
  <c r="W714" i="157"/>
  <c r="W737" i="157"/>
  <c r="W736" i="157"/>
  <c r="W743" i="157"/>
  <c r="W750" i="157"/>
  <c r="W765" i="157"/>
  <c r="W767" i="157"/>
  <c r="W778" i="157"/>
  <c r="W788" i="157"/>
  <c r="W781" i="157"/>
  <c r="W789" i="157"/>
  <c r="W796" i="157"/>
  <c r="W802" i="157"/>
  <c r="W803" i="157"/>
  <c r="W808" i="157"/>
  <c r="W815" i="157"/>
  <c r="W824" i="157"/>
  <c r="W842" i="157"/>
  <c r="W837" i="157"/>
  <c r="W856" i="157"/>
  <c r="W855" i="157"/>
  <c r="W867" i="157"/>
  <c r="W887" i="157"/>
  <c r="W892" i="157"/>
  <c r="W900" i="157"/>
  <c r="W890" i="157"/>
  <c r="W921" i="157"/>
  <c r="W925" i="157"/>
  <c r="W929" i="157"/>
  <c r="W949" i="157"/>
  <c r="W968" i="157"/>
  <c r="W972" i="157"/>
  <c r="W991" i="157"/>
  <c r="W1004" i="157"/>
  <c r="W1014" i="157"/>
  <c r="W1021" i="157"/>
  <c r="W1028" i="157"/>
  <c r="W1039" i="157"/>
  <c r="W1060" i="157"/>
  <c r="W844" i="157"/>
  <c r="W862" i="157"/>
  <c r="W870" i="157"/>
  <c r="W876" i="157"/>
  <c r="W886" i="157"/>
  <c r="W896" i="157"/>
  <c r="W902" i="157"/>
  <c r="W906" i="157"/>
  <c r="W920" i="157"/>
  <c r="W932" i="157"/>
  <c r="W941" i="157"/>
  <c r="W948" i="157"/>
  <c r="W956" i="157"/>
  <c r="W961" i="157"/>
  <c r="W975" i="157"/>
  <c r="W987" i="157"/>
  <c r="W995" i="157"/>
  <c r="W1003" i="157"/>
  <c r="W1005" i="157"/>
  <c r="W1020" i="157"/>
  <c r="W1027" i="157"/>
  <c r="W1038" i="157"/>
  <c r="W1052" i="157"/>
  <c r="W1057" i="157"/>
  <c r="W1045" i="157"/>
  <c r="W1062" i="157"/>
  <c r="W1066" i="157"/>
  <c r="W1043" i="157"/>
  <c r="W1087" i="157"/>
  <c r="W1115" i="157"/>
  <c r="W1108" i="157"/>
  <c r="W1106" i="157"/>
  <c r="W1124" i="157"/>
  <c r="W1131" i="157"/>
  <c r="W1143" i="157"/>
  <c r="W1154" i="157"/>
  <c r="W1150" i="157"/>
  <c r="W1164" i="157"/>
  <c r="W1175" i="157"/>
  <c r="W1180" i="157"/>
  <c r="W1187" i="157"/>
  <c r="W1195" i="157"/>
  <c r="W1203" i="157"/>
  <c r="W1211" i="157"/>
  <c r="W1218" i="157"/>
  <c r="W1233" i="157"/>
  <c r="W1228" i="157"/>
  <c r="W1243" i="157"/>
  <c r="W1748" i="157"/>
  <c r="W1743" i="157"/>
  <c r="W1789" i="157"/>
  <c r="W1868" i="157"/>
  <c r="W1857" i="157"/>
  <c r="W1878" i="157"/>
  <c r="W1913" i="157"/>
  <c r="W1922" i="157"/>
  <c r="W1975" i="157"/>
  <c r="W1987" i="157"/>
  <c r="W188" i="157"/>
  <c r="W221" i="157"/>
  <c r="W218" i="157"/>
  <c r="W787" i="157"/>
  <c r="W791" i="157"/>
  <c r="W805" i="157"/>
  <c r="W821" i="157"/>
  <c r="W825" i="157"/>
  <c r="W869" i="157"/>
  <c r="W877" i="157"/>
  <c r="W885" i="157"/>
  <c r="W897" i="157"/>
  <c r="W931" i="157"/>
  <c r="W940" i="157"/>
  <c r="W945" i="157"/>
  <c r="W962" i="157"/>
  <c r="W960" i="157"/>
  <c r="W946" i="157"/>
  <c r="W955" i="157"/>
  <c r="W963" i="157"/>
  <c r="W967" i="157"/>
  <c r="W977" i="157"/>
  <c r="W970" i="157"/>
  <c r="W981" i="157"/>
  <c r="W982" i="157"/>
  <c r="W989" i="157"/>
  <c r="W993" i="157"/>
  <c r="W998" i="157"/>
  <c r="W1055" i="157"/>
  <c r="W1080" i="157"/>
  <c r="W1061" i="157"/>
  <c r="W1076" i="157"/>
  <c r="W1044" i="157"/>
  <c r="W1088" i="157"/>
  <c r="W1095" i="157"/>
  <c r="W1116" i="157"/>
  <c r="W1109" i="157"/>
  <c r="W1107" i="157"/>
  <c r="W1122" i="157"/>
  <c r="W1127" i="157"/>
  <c r="W1132" i="157"/>
  <c r="W1140" i="157"/>
  <c r="W1147" i="157"/>
  <c r="W1151" i="157"/>
  <c r="W1159" i="157"/>
  <c r="W1163" i="157"/>
  <c r="W1176" i="157"/>
  <c r="W1170" i="157"/>
  <c r="W1145" i="157"/>
  <c r="W1191" i="157"/>
  <c r="W1194" i="157"/>
  <c r="W1204" i="157"/>
  <c r="W1205" i="157"/>
  <c r="W1222" i="157"/>
  <c r="W1223" i="157"/>
  <c r="W1231" i="157"/>
  <c r="W1224" i="157"/>
  <c r="W1239" i="157"/>
  <c r="W1248" i="157"/>
  <c r="W1250" i="157"/>
  <c r="W1256" i="157"/>
  <c r="W1254" i="157"/>
  <c r="W1270" i="157"/>
  <c r="W1274" i="157"/>
  <c r="W1278" i="157"/>
  <c r="W1282" i="157"/>
  <c r="W1299" i="157"/>
  <c r="W1295" i="157"/>
  <c r="W1303" i="157"/>
  <c r="W1306" i="157"/>
  <c r="W1319" i="157"/>
  <c r="W1314" i="157"/>
  <c r="W1323" i="157"/>
  <c r="W1331" i="157"/>
  <c r="W1345" i="157"/>
  <c r="W1341" i="157"/>
  <c r="W1356" i="157"/>
  <c r="W1352" i="157"/>
  <c r="W1360" i="157"/>
  <c r="W1366" i="157"/>
  <c r="W1370" i="157"/>
  <c r="W1381" i="157"/>
  <c r="W1383" i="157"/>
  <c r="W1387" i="157"/>
  <c r="W1397" i="157"/>
  <c r="W1395" i="157"/>
  <c r="W1405" i="157"/>
  <c r="W1417" i="157"/>
  <c r="W1433" i="157"/>
  <c r="W1440" i="157"/>
  <c r="W1439" i="157"/>
  <c r="W1437" i="157"/>
  <c r="W1456" i="157"/>
  <c r="W1460" i="157"/>
  <c r="W1452" i="157"/>
  <c r="W1470" i="157"/>
  <c r="W1472" i="157"/>
  <c r="W1478" i="157"/>
  <c r="W1485" i="157"/>
  <c r="W1480" i="157"/>
  <c r="W1489" i="157"/>
  <c r="W1499" i="157"/>
  <c r="W1506" i="157"/>
  <c r="W1511" i="157"/>
  <c r="W1253" i="157"/>
  <c r="W1267" i="157"/>
  <c r="W1275" i="157"/>
  <c r="W1280" i="157"/>
  <c r="W1300" i="157"/>
  <c r="W1288" i="157"/>
  <c r="W1315" i="157"/>
  <c r="W1309" i="157"/>
  <c r="W1326" i="157"/>
  <c r="W1329" i="157"/>
  <c r="W1347" i="157"/>
  <c r="W1359" i="157"/>
  <c r="W1368" i="157"/>
  <c r="W1375" i="157"/>
  <c r="W1385" i="157"/>
  <c r="W1391" i="157"/>
  <c r="W1411" i="157"/>
  <c r="W1476" i="157"/>
  <c r="W1490" i="157"/>
  <c r="W1500" i="157"/>
  <c r="W1515" i="157"/>
  <c r="W1524" i="157"/>
  <c r="W1528" i="157"/>
  <c r="W1538" i="157"/>
  <c r="W1545" i="157"/>
  <c r="W1551" i="157"/>
  <c r="W1559" i="157"/>
  <c r="W1568" i="157"/>
  <c r="W1581" i="157"/>
  <c r="W1577" i="157"/>
  <c r="W1592" i="157"/>
  <c r="W1618" i="157"/>
  <c r="W1630" i="157"/>
  <c r="W1644" i="157"/>
  <c r="W1651" i="157"/>
  <c r="W1655" i="157"/>
  <c r="W1667" i="157"/>
  <c r="W1670" i="157"/>
  <c r="W1675" i="157"/>
  <c r="W1698" i="157"/>
  <c r="W1685" i="157"/>
  <c r="W1680" i="157"/>
  <c r="W1712" i="157"/>
  <c r="W1716" i="157"/>
  <c r="W1723" i="157"/>
  <c r="W1730" i="157"/>
  <c r="W1744" i="157"/>
  <c r="W1739" i="157"/>
  <c r="W1753" i="157"/>
  <c r="W1755" i="157"/>
  <c r="W1767" i="157"/>
  <c r="W1775" i="157"/>
  <c r="W1787" i="157"/>
  <c r="W1798" i="157"/>
  <c r="W1794" i="157"/>
  <c r="W1806" i="157"/>
  <c r="W1812" i="157"/>
  <c r="W1821" i="157"/>
  <c r="W1829" i="157"/>
  <c r="W1843" i="157"/>
  <c r="W1848" i="157"/>
  <c r="W1872" i="157"/>
  <c r="W1881" i="157"/>
  <c r="W1882" i="157"/>
  <c r="W1895" i="157"/>
  <c r="W1906" i="157"/>
  <c r="W1904" i="157"/>
  <c r="W1919" i="157"/>
  <c r="W1932" i="157"/>
  <c r="W1939" i="157"/>
  <c r="W1965" i="157"/>
  <c r="W1970" i="157"/>
  <c r="W1974" i="157"/>
  <c r="W1981" i="157"/>
  <c r="W1985" i="157"/>
  <c r="W1995" i="157"/>
  <c r="W2001" i="157"/>
  <c r="W2017" i="157"/>
  <c r="W2014" i="157"/>
  <c r="W2026" i="157"/>
  <c r="W2037" i="157"/>
  <c r="W2042" i="157"/>
  <c r="W2050" i="157"/>
  <c r="W2062" i="157"/>
  <c r="W2068" i="157"/>
  <c r="W974" i="157"/>
  <c r="W986" i="157"/>
  <c r="W997" i="157"/>
  <c r="W1013" i="157"/>
  <c r="W1019" i="157"/>
  <c r="W1031" i="157"/>
  <c r="W1069" i="157"/>
  <c r="W1074" i="157"/>
  <c r="W1048" i="157"/>
  <c r="W1051" i="157"/>
  <c r="W1085" i="157"/>
  <c r="W1093" i="157"/>
  <c r="W1114" i="157"/>
  <c r="W1104" i="157"/>
  <c r="W1105" i="157"/>
  <c r="W1126" i="157"/>
  <c r="W1134" i="157"/>
  <c r="W1144" i="157"/>
  <c r="W1157" i="157"/>
  <c r="W1149" i="157"/>
  <c r="W1168" i="157"/>
  <c r="W1178" i="157"/>
  <c r="W1181" i="157"/>
  <c r="W1189" i="157"/>
  <c r="W1196" i="157"/>
  <c r="W1202" i="157"/>
  <c r="W1212" i="157"/>
  <c r="W1220" i="157"/>
  <c r="W1229" i="157"/>
  <c r="W1238" i="157"/>
  <c r="W1262" i="157"/>
  <c r="W1257" i="157"/>
  <c r="W1266" i="157"/>
  <c r="W1284" i="157"/>
  <c r="W1294" i="157"/>
  <c r="W1290" i="157"/>
  <c r="W1308" i="157"/>
  <c r="W1320" i="157"/>
  <c r="W1321" i="157"/>
  <c r="W1336" i="157"/>
  <c r="W1344" i="157"/>
  <c r="W1340" i="157"/>
  <c r="W13" i="157"/>
  <c r="W41" i="157"/>
  <c r="W140" i="157"/>
  <c r="W2336" i="157"/>
  <c r="W2333" i="157"/>
  <c r="W121" i="157"/>
  <c r="W28" i="157"/>
  <c r="W29" i="157"/>
  <c r="W2358" i="157"/>
  <c r="W2341" i="157"/>
  <c r="W2352" i="157"/>
  <c r="W2372" i="157"/>
  <c r="W2361" i="157"/>
  <c r="W2376" i="157"/>
  <c r="W19" i="157"/>
  <c r="W2380" i="157"/>
  <c r="W35" i="157"/>
  <c r="W2383" i="157"/>
  <c r="W37" i="157"/>
  <c r="W15" i="157"/>
  <c r="W2386" i="157"/>
  <c r="W2387" i="157"/>
  <c r="W2389" i="157"/>
  <c r="W53" i="157"/>
  <c r="W73" i="157"/>
  <c r="W82" i="157"/>
  <c r="W87" i="157"/>
  <c r="W91" i="157"/>
  <c r="W94" i="157"/>
  <c r="W106" i="157"/>
  <c r="W103" i="157"/>
  <c r="W114" i="157"/>
  <c r="W109" i="157"/>
  <c r="W117" i="157"/>
  <c r="W128" i="157"/>
  <c r="W123" i="157"/>
  <c r="W151" i="157"/>
  <c r="W147" i="157"/>
  <c r="W154" i="157"/>
  <c r="W159" i="157"/>
  <c r="W162" i="157"/>
  <c r="W169" i="157"/>
  <c r="W182" i="157"/>
  <c r="W175" i="157"/>
  <c r="W193" i="157"/>
  <c r="W190" i="157"/>
  <c r="W179" i="157"/>
  <c r="W181" i="157"/>
  <c r="W216" i="157"/>
  <c r="W208" i="157"/>
  <c r="W225" i="157"/>
  <c r="W224" i="157"/>
  <c r="W171" i="157"/>
  <c r="W232" i="157"/>
  <c r="W235" i="157"/>
  <c r="W239" i="157"/>
  <c r="W241" i="157"/>
  <c r="W246" i="157"/>
  <c r="W251" i="157"/>
  <c r="W260" i="157"/>
  <c r="W254" i="157"/>
  <c r="W262" i="157"/>
  <c r="W306" i="157"/>
  <c r="W319" i="157"/>
  <c r="W315" i="157"/>
  <c r="W311" i="157"/>
  <c r="W324" i="157"/>
  <c r="W332" i="157"/>
  <c r="W339" i="157"/>
  <c r="W343" i="157"/>
  <c r="W356" i="157"/>
  <c r="W358" i="157"/>
  <c r="W347" i="157"/>
  <c r="W365" i="157"/>
  <c r="W370" i="157"/>
  <c r="W380" i="157"/>
  <c r="W377" i="157"/>
  <c r="W384" i="157"/>
  <c r="W387" i="157"/>
  <c r="W389" i="157"/>
  <c r="W399" i="157"/>
  <c r="W393" i="157"/>
  <c r="W409" i="157"/>
  <c r="W405" i="157"/>
  <c r="W417" i="157"/>
  <c r="W422" i="157"/>
  <c r="W419" i="157"/>
  <c r="W431" i="157"/>
  <c r="W441" i="157"/>
  <c r="W432" i="157"/>
  <c r="W449" i="157"/>
  <c r="W450" i="157"/>
  <c r="W456" i="157"/>
  <c r="W457" i="157"/>
  <c r="W498" i="157"/>
  <c r="W501" i="157"/>
  <c r="W505" i="157"/>
  <c r="W515" i="157"/>
  <c r="W511" i="157"/>
  <c r="W519" i="157"/>
  <c r="W531" i="157"/>
  <c r="W532" i="157"/>
  <c r="W538" i="157"/>
  <c r="W542" i="157"/>
  <c r="W548" i="157"/>
  <c r="W544" i="157"/>
  <c r="W559" i="157"/>
  <c r="W566" i="157"/>
  <c r="W571" i="157"/>
  <c r="W575" i="157"/>
  <c r="W579" i="157"/>
  <c r="W582" i="157"/>
  <c r="W594" i="157"/>
  <c r="W600" i="157"/>
  <c r="W613" i="157"/>
  <c r="W607" i="157"/>
  <c r="W608" i="157"/>
  <c r="W604" i="157"/>
  <c r="W636" i="157"/>
  <c r="W662" i="157"/>
  <c r="W668" i="157"/>
  <c r="W673" i="157"/>
  <c r="W675" i="157"/>
  <c r="W679" i="157"/>
  <c r="W687" i="157"/>
  <c r="W691" i="157"/>
  <c r="W705" i="157"/>
  <c r="W699" i="157"/>
  <c r="W706" i="157"/>
  <c r="W710" i="157"/>
  <c r="W715" i="157"/>
  <c r="W721" i="157"/>
  <c r="W728" i="157"/>
  <c r="W729" i="157"/>
  <c r="W733" i="157"/>
  <c r="W745" i="157"/>
  <c r="W739" i="157"/>
  <c r="W755" i="157"/>
  <c r="W758" i="157"/>
  <c r="W762" i="157"/>
  <c r="W766" i="157"/>
  <c r="W774" i="157"/>
  <c r="W786" i="157"/>
  <c r="W775" i="157"/>
  <c r="W819" i="157"/>
  <c r="W830" i="157"/>
  <c r="W827" i="157"/>
  <c r="W831" i="157"/>
  <c r="W834" i="157"/>
  <c r="W835" i="157"/>
  <c r="W836" i="157"/>
  <c r="W851" i="157"/>
  <c r="W854" i="157"/>
  <c r="W860" i="157"/>
  <c r="W864" i="157"/>
  <c r="W865" i="157"/>
  <c r="W868" i="157"/>
  <c r="W881" i="157"/>
  <c r="W884" i="157"/>
  <c r="W893" i="157"/>
  <c r="W898" i="157"/>
  <c r="W901" i="157"/>
  <c r="W891" i="157"/>
  <c r="W905" i="157"/>
  <c r="W913" i="157"/>
  <c r="W923" i="157"/>
  <c r="W922" i="157"/>
  <c r="W924" i="157"/>
  <c r="W934" i="157"/>
  <c r="W930" i="157"/>
  <c r="W1474" i="157"/>
  <c r="W265" i="157"/>
  <c r="W329" i="157"/>
  <c r="W521" i="157"/>
  <c r="W585" i="157"/>
  <c r="W1033" i="157"/>
  <c r="W1119" i="157"/>
  <c r="W1296" i="157"/>
  <c r="W272" i="157"/>
  <c r="W222" i="157"/>
  <c r="W302" i="157"/>
  <c r="W326" i="157"/>
  <c r="W355" i="157"/>
  <c r="W366" i="157"/>
  <c r="W395" i="157"/>
  <c r="W440" i="157"/>
  <c r="W424" i="157"/>
  <c r="W464" i="157"/>
  <c r="W490" i="157"/>
  <c r="W493" i="157"/>
  <c r="W524" i="157"/>
  <c r="W551" i="157"/>
  <c r="W555" i="157"/>
  <c r="W591" i="157"/>
  <c r="W619" i="157"/>
  <c r="W624" i="157"/>
  <c r="W657" i="157"/>
  <c r="W692" i="157"/>
  <c r="W682" i="157"/>
  <c r="W716" i="157"/>
  <c r="W749" i="157"/>
  <c r="W751" i="157"/>
  <c r="W784" i="157"/>
  <c r="W810" i="157"/>
  <c r="W814" i="157"/>
  <c r="W846" i="157"/>
  <c r="W873" i="157"/>
  <c r="W878" i="157"/>
  <c r="W910" i="157"/>
  <c r="W937" i="157"/>
  <c r="W939" i="157"/>
  <c r="W973" i="157"/>
  <c r="W1001" i="157"/>
  <c r="W1010" i="157"/>
  <c r="W1007" i="157"/>
  <c r="W1015" i="157"/>
  <c r="W1024" i="157"/>
  <c r="W1018" i="157"/>
  <c r="W1025" i="157"/>
  <c r="W1030" i="157"/>
  <c r="W1037" i="157"/>
  <c r="W1035" i="157"/>
  <c r="W1075" i="157"/>
  <c r="W1049" i="157"/>
  <c r="W1054" i="157"/>
  <c r="W1078" i="157"/>
  <c r="W1053" i="157"/>
  <c r="W1059" i="157"/>
  <c r="W1065" i="157"/>
  <c r="W1084" i="157"/>
  <c r="W1068" i="157"/>
  <c r="W1072" i="157"/>
  <c r="W1086" i="157"/>
  <c r="W1089" i="157"/>
  <c r="W1094" i="157"/>
  <c r="W1113" i="157"/>
  <c r="W1110" i="157"/>
  <c r="W1103" i="157"/>
  <c r="W1099" i="157"/>
  <c r="W1118" i="157"/>
  <c r="W1123" i="157"/>
  <c r="W1125" i="157"/>
  <c r="W1130" i="157"/>
  <c r="W1133" i="157"/>
  <c r="W1138" i="157"/>
  <c r="W1142" i="157"/>
  <c r="W1146" i="157"/>
  <c r="W1156" i="157"/>
  <c r="W1152" i="157"/>
  <c r="W1148" i="157"/>
  <c r="W1160" i="157"/>
  <c r="W1167" i="157"/>
  <c r="W1179" i="157"/>
  <c r="W1177" i="157"/>
  <c r="W1171" i="157"/>
  <c r="W1182" i="157"/>
  <c r="W1183" i="157"/>
  <c r="W1188" i="157"/>
  <c r="W1193" i="157"/>
  <c r="W1197" i="157"/>
  <c r="W1201" i="157"/>
  <c r="W1210" i="157"/>
  <c r="W1206" i="157"/>
  <c r="W1213" i="157"/>
  <c r="W1217" i="157"/>
  <c r="W1219" i="157"/>
  <c r="W1235" i="157"/>
  <c r="W1230" i="157"/>
  <c r="W1227" i="157"/>
  <c r="W1242" i="157"/>
  <c r="W1237" i="157"/>
  <c r="W1247" i="157"/>
  <c r="W1245" i="157"/>
  <c r="W1263" i="157"/>
  <c r="W1255" i="157"/>
  <c r="W1258" i="157"/>
  <c r="W1273" i="157"/>
  <c r="W1271" i="157"/>
  <c r="W1272" i="157"/>
  <c r="W1276" i="157"/>
  <c r="W1281" i="157"/>
  <c r="W1285" i="157"/>
  <c r="W1302" i="157"/>
  <c r="W1289" i="157"/>
  <c r="W1286" i="157"/>
  <c r="W1353" i="157"/>
  <c r="W1492" i="157"/>
  <c r="W1863" i="157"/>
  <c r="W2075" i="157"/>
  <c r="W1814" i="157"/>
  <c r="W1825" i="157"/>
  <c r="W1842" i="157"/>
  <c r="W1856" i="157"/>
  <c r="W1935" i="157"/>
  <c r="W1949" i="157"/>
  <c r="W2016" i="157"/>
  <c r="W2029" i="157"/>
  <c r="W2044" i="157"/>
  <c r="W2054" i="157"/>
  <c r="W2081" i="157"/>
  <c r="W2107" i="157"/>
  <c r="W2140" i="157"/>
  <c r="W2158" i="157"/>
  <c r="W2171" i="157"/>
  <c r="W2183" i="157"/>
  <c r="W2214" i="157"/>
  <c r="W2232" i="157"/>
  <c r="W2271" i="157"/>
  <c r="W2282" i="157"/>
  <c r="W2300" i="157"/>
  <c r="W2314" i="157"/>
  <c r="W1305" i="157"/>
  <c r="W1311" i="157"/>
  <c r="W1317" i="157"/>
  <c r="W1316" i="157"/>
  <c r="W1324" i="157"/>
  <c r="W1328" i="157"/>
  <c r="W1334" i="157"/>
  <c r="W1332" i="157"/>
  <c r="W1339" i="157"/>
  <c r="W1342" i="157"/>
  <c r="W1349" i="157"/>
  <c r="W1357" i="157"/>
  <c r="W1355" i="157"/>
  <c r="W1358" i="157"/>
  <c r="W1363" i="157"/>
  <c r="W1371" i="157"/>
  <c r="W1378" i="157"/>
  <c r="W1382" i="157"/>
  <c r="W1384" i="157"/>
  <c r="W1388" i="157"/>
  <c r="W1393" i="157"/>
  <c r="W1390" i="157"/>
  <c r="W1409" i="157"/>
  <c r="W1414" i="157"/>
  <c r="W1413" i="157"/>
  <c r="W1396" i="157"/>
  <c r="W1401" i="157"/>
  <c r="W1425" i="157"/>
  <c r="W1422" i="157"/>
  <c r="W1418" i="157"/>
  <c r="W1428" i="157"/>
  <c r="W1436" i="157"/>
  <c r="W1445" i="157"/>
  <c r="W1441" i="157"/>
  <c r="W1438" i="157"/>
  <c r="W1447" i="157"/>
  <c r="W1453" i="157"/>
  <c r="W1462" i="157"/>
  <c r="W1457" i="157"/>
  <c r="W1469" i="157"/>
  <c r="W1467" i="157"/>
  <c r="W1475" i="157"/>
  <c r="W1477" i="157"/>
  <c r="W1479" i="157"/>
  <c r="W1481" i="157"/>
  <c r="W1484" i="157"/>
  <c r="W1493" i="157"/>
  <c r="W1497" i="157"/>
  <c r="W1504" i="157"/>
  <c r="W1502" i="157"/>
  <c r="W1509" i="157"/>
  <c r="W1518" i="157"/>
  <c r="W1514" i="157"/>
  <c r="W1522" i="157"/>
  <c r="W1525" i="157"/>
  <c r="W1533" i="157"/>
  <c r="W1531" i="157"/>
  <c r="W1536" i="157"/>
  <c r="W1547" i="157"/>
  <c r="W1546" i="157"/>
  <c r="W1550" i="157"/>
  <c r="W1554" i="157"/>
  <c r="W1557" i="157"/>
  <c r="W1560" i="157"/>
  <c r="W1566" i="157"/>
  <c r="W1570" i="157"/>
  <c r="W1572" i="157"/>
  <c r="W1585" i="157"/>
  <c r="W1579" i="157"/>
  <c r="W1584" i="157"/>
  <c r="W1597" i="157"/>
  <c r="W1595" i="157"/>
  <c r="W1591" i="157"/>
  <c r="W1601" i="157"/>
  <c r="W1604" i="157"/>
  <c r="W1608" i="157"/>
  <c r="W1616" i="157"/>
  <c r="W1615" i="157"/>
  <c r="W1628" i="157"/>
  <c r="W1620" i="157"/>
  <c r="W1623" i="157"/>
  <c r="W1633" i="157"/>
  <c r="W1640" i="157"/>
  <c r="W1646" i="157"/>
  <c r="W1645" i="157"/>
  <c r="W1650" i="157"/>
  <c r="W1654" i="157"/>
  <c r="W1657" i="157"/>
  <c r="W1665" i="157"/>
  <c r="W1671" i="157"/>
  <c r="W1661" i="157"/>
  <c r="W1673" i="157"/>
  <c r="W1677" i="157"/>
  <c r="W1692" i="157"/>
  <c r="W1681" i="157"/>
  <c r="W1697" i="157"/>
  <c r="W1690" i="157"/>
  <c r="W1678" i="157"/>
  <c r="W1703" i="157"/>
  <c r="W1705" i="157"/>
  <c r="W1710" i="157"/>
  <c r="W1715" i="157"/>
  <c r="W1717" i="157"/>
  <c r="W1719" i="157"/>
  <c r="W1729" i="157"/>
  <c r="W1725" i="157"/>
  <c r="W1732" i="157"/>
  <c r="W1745" i="157"/>
  <c r="W1747" i="157"/>
  <c r="W1735" i="157"/>
  <c r="W1749" i="157"/>
  <c r="W1751" i="157"/>
  <c r="W1758" i="157"/>
  <c r="W1759" i="157"/>
  <c r="W1765" i="157"/>
  <c r="W1769" i="157"/>
  <c r="W1773" i="157"/>
  <c r="W1774" i="157"/>
  <c r="W1784" i="157"/>
  <c r="W1785" i="157"/>
  <c r="W1797" i="157"/>
  <c r="W1795" i="157"/>
  <c r="W1793" i="157"/>
  <c r="W1804" i="157"/>
  <c r="W1802" i="157"/>
  <c r="W1810" i="157"/>
  <c r="W1813" i="157"/>
  <c r="W1824" i="157"/>
  <c r="W1819" i="157"/>
  <c r="W1831" i="157"/>
  <c r="W1835" i="157"/>
  <c r="W1833" i="157"/>
  <c r="W1837" i="157"/>
  <c r="W1846" i="157"/>
  <c r="W1851" i="157"/>
  <c r="W1844" i="157"/>
  <c r="W1852" i="157"/>
  <c r="W1864" i="157"/>
  <c r="W1869" i="157"/>
  <c r="W1860" i="157"/>
  <c r="W1854" i="157"/>
  <c r="W1873" i="157"/>
  <c r="W1875" i="157"/>
  <c r="W1885" i="157"/>
  <c r="W1893" i="157"/>
  <c r="W1888" i="157"/>
  <c r="W1883" i="157"/>
  <c r="W1900" i="157"/>
  <c r="W1898" i="157"/>
  <c r="W1909" i="157"/>
  <c r="W1901" i="157"/>
  <c r="W1912" i="157"/>
  <c r="W1924" i="157"/>
  <c r="W1921" i="157"/>
  <c r="W1917" i="157"/>
  <c r="W1934" i="157"/>
  <c r="W1931" i="157"/>
  <c r="W1928" i="157"/>
  <c r="W1942" i="157"/>
  <c r="W1944" i="157"/>
  <c r="W1950" i="157"/>
  <c r="W1954" i="157"/>
  <c r="W1955" i="157"/>
  <c r="W1958" i="157"/>
  <c r="W1961" i="157"/>
  <c r="W1968" i="157"/>
  <c r="W1973" i="157"/>
  <c r="W1984" i="157"/>
  <c r="W1980" i="157"/>
  <c r="W1986" i="157"/>
  <c r="W1718" i="157"/>
  <c r="W1786" i="157"/>
  <c r="W1796" i="157"/>
  <c r="W1801" i="157"/>
  <c r="W1818" i="157"/>
  <c r="W1830" i="157"/>
  <c r="W1431" i="157"/>
  <c r="W1464" i="157"/>
  <c r="W1487" i="157"/>
  <c r="W1688" i="157"/>
  <c r="W1791" i="157"/>
  <c r="W2149" i="157"/>
  <c r="W2195" i="157"/>
  <c r="W2277" i="157"/>
  <c r="W2325" i="157"/>
  <c r="W1403" i="157"/>
  <c r="W1419" i="157"/>
  <c r="W1629" i="157"/>
  <c r="W1660" i="157"/>
  <c r="W1683" i="157"/>
  <c r="W1781" i="157"/>
  <c r="W1800" i="157"/>
  <c r="W1811" i="157"/>
  <c r="W1936" i="157"/>
  <c r="W1947" i="157"/>
  <c r="W1952" i="157"/>
  <c r="W2033" i="157"/>
  <c r="W2056" i="157"/>
  <c r="W2087" i="157"/>
  <c r="W2114" i="157"/>
  <c r="W2313" i="157"/>
  <c r="W1989" i="157"/>
  <c r="W1993" i="157"/>
  <c r="W1997" i="157"/>
  <c r="W2003" i="157"/>
  <c r="W2006" i="157"/>
  <c r="W2019" i="157"/>
  <c r="W2013" i="157"/>
  <c r="W2015" i="157"/>
  <c r="W2020" i="157"/>
  <c r="W2028" i="157"/>
  <c r="W2024" i="157"/>
  <c r="W2039" i="157"/>
  <c r="W2041" i="157"/>
  <c r="W2035" i="157"/>
  <c r="W2045" i="157"/>
  <c r="W2052" i="157"/>
  <c r="W2053" i="157"/>
  <c r="W2057" i="157"/>
  <c r="W2060" i="157"/>
  <c r="W2065" i="157"/>
  <c r="W2069" i="157"/>
  <c r="W2073" i="157"/>
  <c r="W2086" i="157"/>
  <c r="W2084" i="157"/>
  <c r="W2083" i="157"/>
  <c r="W2101" i="157"/>
  <c r="W2102" i="157"/>
  <c r="W2106" i="157"/>
  <c r="W2093" i="157"/>
  <c r="W2115" i="157"/>
  <c r="W2110" i="157"/>
  <c r="W2124" i="157"/>
  <c r="W2119" i="157"/>
  <c r="W2116" i="157"/>
  <c r="W2129" i="157"/>
  <c r="W2135" i="157"/>
  <c r="W2142" i="157"/>
  <c r="W2137" i="157"/>
  <c r="W2145" i="157"/>
  <c r="W2147" i="157"/>
  <c r="W2154" i="157"/>
  <c r="W2157" i="157"/>
  <c r="W2159" i="157"/>
  <c r="W2167" i="157"/>
  <c r="W2165" i="157"/>
  <c r="W2173" i="157"/>
  <c r="W2176" i="157"/>
  <c r="W2178" i="157"/>
  <c r="W2193" i="157"/>
  <c r="W2191" i="157"/>
  <c r="W2185" i="157"/>
  <c r="W2204" i="157"/>
  <c r="W2201" i="157"/>
  <c r="W2197" i="157"/>
  <c r="W2211" i="157"/>
  <c r="W2215" i="157"/>
  <c r="W2219" i="157"/>
  <c r="W2222" i="157"/>
  <c r="W2228" i="157"/>
  <c r="W2227" i="157"/>
  <c r="W2230" i="157"/>
  <c r="W2234" i="157"/>
  <c r="W2244" i="157"/>
  <c r="W2250" i="157"/>
  <c r="W2253" i="157"/>
  <c r="W2245" i="157"/>
  <c r="W2258" i="157"/>
  <c r="W2259" i="157"/>
  <c r="W2270" i="157"/>
  <c r="W2263" i="157"/>
  <c r="W2265" i="157"/>
  <c r="W2280" i="157"/>
  <c r="W2276" i="157"/>
  <c r="W2286" i="157"/>
  <c r="W2289" i="157"/>
  <c r="W2292" i="157"/>
  <c r="W2299" i="157"/>
  <c r="W2303" i="157"/>
  <c r="W2305" i="157"/>
  <c r="W2316" i="157"/>
  <c r="W2311" i="157"/>
  <c r="W2319" i="157"/>
  <c r="W2322" i="157"/>
  <c r="W2320" i="157"/>
  <c r="W2330" i="157"/>
  <c r="W1839" i="157"/>
  <c r="W1845" i="157"/>
  <c r="W1867" i="157"/>
  <c r="W1871" i="157"/>
  <c r="W1892" i="157"/>
  <c r="W1887" i="157"/>
  <c r="W1907" i="157"/>
  <c r="W1925" i="157"/>
  <c r="W1938" i="157"/>
  <c r="W1951" i="157"/>
  <c r="W1960" i="157"/>
  <c r="W1979" i="157"/>
  <c r="W1998" i="157"/>
  <c r="W2009" i="157"/>
  <c r="W2031" i="157"/>
  <c r="W2046" i="157"/>
  <c r="W2059" i="157"/>
  <c r="W2076" i="157"/>
  <c r="W2202" i="157"/>
  <c r="W2120" i="157"/>
  <c r="X2398" i="1"/>
  <c r="P2398" i="1" s="1"/>
  <c r="Q2398" i="1" s="1"/>
  <c r="R2398" i="1" s="1"/>
  <c r="X2397" i="1"/>
  <c r="P2397" i="1" s="1"/>
  <c r="Q2397" i="1" s="1"/>
  <c r="R2397" i="1" s="1"/>
  <c r="D2397" i="1"/>
  <c r="D2398" i="1"/>
  <c r="X2396" i="1"/>
  <c r="P2396" i="1" s="1"/>
  <c r="Q2396" i="1" s="1"/>
  <c r="R2396" i="1" s="1"/>
  <c r="X2395" i="1"/>
  <c r="Y2395" i="1"/>
  <c r="T2393" i="1"/>
  <c r="X2394" i="1"/>
  <c r="P2394" i="1" s="1"/>
  <c r="R2394" i="1" s="1"/>
  <c r="X2393" i="1"/>
  <c r="P2393" i="1" s="1"/>
  <c r="Q2393" i="1" s="1"/>
  <c r="R2393" i="1" s="1"/>
  <c r="D2393" i="1" s="1"/>
  <c r="X2392" i="1"/>
  <c r="P2392" i="1" s="1"/>
  <c r="Q2392" i="1" s="1"/>
  <c r="R2392" i="1" s="1"/>
  <c r="D2392" i="1" s="1"/>
  <c r="X2391" i="1"/>
  <c r="P2391" i="1" s="1"/>
  <c r="Q2391" i="1" s="1"/>
  <c r="R2391" i="1" s="1"/>
  <c r="D2391" i="1" s="1"/>
  <c r="X2390" i="1"/>
  <c r="P2390" i="1" s="1"/>
  <c r="Q2390" i="1" s="1"/>
  <c r="R2390" i="1" s="1"/>
  <c r="D2390" i="1" s="1"/>
  <c r="T2390" i="1"/>
  <c r="X2389" i="1"/>
  <c r="P2389" i="1" s="1"/>
  <c r="Q2389" i="1" s="1"/>
  <c r="R2389" i="1" s="1"/>
  <c r="D2389" i="1" s="1"/>
  <c r="X2386" i="1"/>
  <c r="P2386" i="1" s="1"/>
  <c r="Q2386" i="1" s="1"/>
  <c r="R2386" i="1" s="1"/>
  <c r="D2386" i="1" s="1"/>
  <c r="T2388" i="1"/>
  <c r="X2388" i="1"/>
  <c r="P2388" i="1" s="1"/>
  <c r="Q2388" i="1" s="1"/>
  <c r="R2388" i="1" s="1"/>
  <c r="D2388" i="1" s="1"/>
  <c r="T2387" i="1"/>
  <c r="X2387" i="1"/>
  <c r="P2387" i="1" s="1"/>
  <c r="Q2387" i="1" s="1"/>
  <c r="R2387" i="1" s="1"/>
  <c r="D2387" i="1" s="1"/>
  <c r="Q2395" i="1" l="1"/>
  <c r="R2395" i="1" s="1"/>
  <c r="E1656" i="6"/>
  <c r="F1656" i="6"/>
  <c r="I1656" i="6"/>
  <c r="J1656" i="6"/>
  <c r="E1678" i="6"/>
  <c r="F1678" i="6"/>
  <c r="I1678" i="6"/>
  <c r="J1678" i="6"/>
  <c r="E1677" i="6"/>
  <c r="F1677" i="6"/>
  <c r="I1677" i="6"/>
  <c r="J1677" i="6"/>
  <c r="D2395" i="1" l="1"/>
  <c r="D2394" i="1"/>
  <c r="A2385" i="1"/>
  <c r="C2385" i="1"/>
  <c r="B2385" i="1" s="1"/>
  <c r="F2385" i="1"/>
  <c r="M2385" i="1"/>
  <c r="O2385" i="1"/>
  <c r="U2385" i="1"/>
  <c r="V2385" i="1"/>
  <c r="W2385" i="1" s="1"/>
  <c r="Z2385" i="1"/>
  <c r="X2385" i="1" l="1"/>
  <c r="Y2385" i="1"/>
  <c r="T2385" i="1"/>
  <c r="P2385" i="1" l="1"/>
  <c r="Q2385" i="1" s="1"/>
  <c r="R2385" i="1" s="1"/>
  <c r="D2385" i="1" s="1"/>
  <c r="A2384" i="1" l="1"/>
  <c r="C2384" i="1"/>
  <c r="B2384" i="1" s="1"/>
  <c r="F2384" i="1"/>
  <c r="M2384" i="1"/>
  <c r="U2384" i="1"/>
  <c r="Y2384" i="1" s="1"/>
  <c r="V2384" i="1"/>
  <c r="W2384" i="1" s="1"/>
  <c r="Z2384" i="1"/>
  <c r="A2383" i="1"/>
  <c r="C2383" i="1"/>
  <c r="B2383" i="1" s="1"/>
  <c r="F2383" i="1"/>
  <c r="M2383" i="1"/>
  <c r="O2383" i="1"/>
  <c r="T2383" i="1"/>
  <c r="U2383" i="1"/>
  <c r="Y2383" i="1" s="1"/>
  <c r="V2383" i="1"/>
  <c r="W2383" i="1" s="1"/>
  <c r="Z2383" i="1"/>
  <c r="A2382" i="1"/>
  <c r="C2382" i="1"/>
  <c r="B2382" i="1" s="1"/>
  <c r="F2382" i="1"/>
  <c r="O2382" i="1"/>
  <c r="T2382" i="1"/>
  <c r="U2382" i="1"/>
  <c r="Y2382" i="1" s="1"/>
  <c r="V2382" i="1"/>
  <c r="W2382" i="1" s="1"/>
  <c r="Z2382" i="1"/>
  <c r="A2381" i="1"/>
  <c r="C2381" i="1"/>
  <c r="B2381" i="1" s="1"/>
  <c r="F2381" i="1"/>
  <c r="M2381" i="1"/>
  <c r="O2381" i="1"/>
  <c r="T2381" i="1"/>
  <c r="U2381" i="1"/>
  <c r="Y2381" i="1" s="1"/>
  <c r="V2381" i="1"/>
  <c r="W2381" i="1" s="1"/>
  <c r="Z2381" i="1"/>
  <c r="A2380" i="1"/>
  <c r="C2380" i="1"/>
  <c r="B2380" i="1" s="1"/>
  <c r="F2380" i="1"/>
  <c r="M2380" i="1"/>
  <c r="O2380" i="1"/>
  <c r="T2380" i="1"/>
  <c r="U2380" i="1"/>
  <c r="Y2380" i="1" s="1"/>
  <c r="V2380" i="1"/>
  <c r="W2380" i="1" s="1"/>
  <c r="Z2380" i="1"/>
  <c r="A2379" i="1"/>
  <c r="C2379" i="1"/>
  <c r="B2379" i="1" s="1"/>
  <c r="F2379" i="1"/>
  <c r="M2379" i="1"/>
  <c r="O2379" i="1"/>
  <c r="U2379" i="1"/>
  <c r="Y2379" i="1" s="1"/>
  <c r="V2379" i="1"/>
  <c r="W2379" i="1" s="1"/>
  <c r="Z2379" i="1"/>
  <c r="A2378" i="1"/>
  <c r="C2378" i="1"/>
  <c r="B2378" i="1" s="1"/>
  <c r="F2378" i="1"/>
  <c r="M2378" i="1"/>
  <c r="O2378" i="1"/>
  <c r="U2378" i="1"/>
  <c r="Y2378" i="1" s="1"/>
  <c r="V2378" i="1"/>
  <c r="W2378" i="1" s="1"/>
  <c r="Z2378" i="1"/>
  <c r="A2377" i="1"/>
  <c r="C2377" i="1"/>
  <c r="B2377" i="1" s="1"/>
  <c r="F2377" i="1"/>
  <c r="M2377" i="1"/>
  <c r="O2377" i="1"/>
  <c r="U2377" i="1"/>
  <c r="Y2377" i="1" s="1"/>
  <c r="V2377" i="1"/>
  <c r="W2377" i="1" s="1"/>
  <c r="Z2377" i="1"/>
  <c r="A2376" i="1"/>
  <c r="C2376" i="1"/>
  <c r="B2376" i="1" s="1"/>
  <c r="F2376" i="1"/>
  <c r="M2376" i="1"/>
  <c r="O2376" i="1"/>
  <c r="U2376" i="1"/>
  <c r="Y2376" i="1" s="1"/>
  <c r="V2376" i="1"/>
  <c r="W2376" i="1" s="1"/>
  <c r="Z2376" i="1"/>
  <c r="A2375" i="1"/>
  <c r="C2375" i="1"/>
  <c r="B2375" i="1" s="1"/>
  <c r="F2375" i="1"/>
  <c r="M2375" i="1"/>
  <c r="O2375" i="1"/>
  <c r="S2375" i="1"/>
  <c r="T2375" i="1"/>
  <c r="U2375" i="1"/>
  <c r="Y2375" i="1" s="1"/>
  <c r="V2375" i="1"/>
  <c r="W2375" i="1" s="1"/>
  <c r="Z2375" i="1"/>
  <c r="A2374" i="1"/>
  <c r="C2374" i="1"/>
  <c r="B2374" i="1" s="1"/>
  <c r="F2374" i="1"/>
  <c r="M2374" i="1"/>
  <c r="O2374" i="1"/>
  <c r="T2374" i="1"/>
  <c r="U2374" i="1"/>
  <c r="Y2374" i="1" s="1"/>
  <c r="V2374" i="1"/>
  <c r="W2374" i="1" s="1"/>
  <c r="Z2374" i="1"/>
  <c r="A2373" i="1"/>
  <c r="C2373" i="1"/>
  <c r="B2373" i="1" s="1"/>
  <c r="D2373" i="1"/>
  <c r="F2373" i="1"/>
  <c r="M2373" i="1"/>
  <c r="O2373" i="1"/>
  <c r="T2373" i="1"/>
  <c r="U2373" i="1"/>
  <c r="Y2373" i="1" s="1"/>
  <c r="V2373" i="1"/>
  <c r="W2373" i="1" s="1"/>
  <c r="Z2373" i="1"/>
  <c r="A2372" i="1"/>
  <c r="C2372" i="1"/>
  <c r="B2372" i="1" s="1"/>
  <c r="F2372" i="1"/>
  <c r="M2372" i="1"/>
  <c r="O2372" i="1"/>
  <c r="T2372" i="1"/>
  <c r="U2372" i="1"/>
  <c r="Y2372" i="1" s="1"/>
  <c r="V2372" i="1"/>
  <c r="W2372" i="1" s="1"/>
  <c r="Z2372" i="1"/>
  <c r="A2371" i="1"/>
  <c r="C2371" i="1"/>
  <c r="B2371" i="1" s="1"/>
  <c r="F2371" i="1"/>
  <c r="M2371" i="1"/>
  <c r="O2371" i="1"/>
  <c r="T2371" i="1"/>
  <c r="U2371" i="1"/>
  <c r="Y2371" i="1" s="1"/>
  <c r="V2371" i="1"/>
  <c r="W2371" i="1" s="1"/>
  <c r="Z2371" i="1"/>
  <c r="A2370" i="1"/>
  <c r="C2370" i="1"/>
  <c r="B2370" i="1" s="1"/>
  <c r="F2370" i="1"/>
  <c r="M2370" i="1"/>
  <c r="O2370" i="1"/>
  <c r="T2370" i="1"/>
  <c r="U2370" i="1"/>
  <c r="Y2370" i="1" s="1"/>
  <c r="V2370" i="1"/>
  <c r="W2370" i="1" s="1"/>
  <c r="Z2370" i="1"/>
  <c r="A2369" i="1"/>
  <c r="C2369" i="1"/>
  <c r="B2369" i="1" s="1"/>
  <c r="F2369" i="1"/>
  <c r="M2369" i="1"/>
  <c r="O2369" i="1"/>
  <c r="T2369" i="1"/>
  <c r="U2369" i="1"/>
  <c r="Y2369" i="1" s="1"/>
  <c r="V2369" i="1"/>
  <c r="W2369" i="1" s="1"/>
  <c r="Z2369" i="1"/>
  <c r="A2367" i="1"/>
  <c r="A2368" i="1"/>
  <c r="C2367" i="1"/>
  <c r="B2367" i="1" s="1"/>
  <c r="C2368" i="1"/>
  <c r="B2368" i="1" s="1"/>
  <c r="F2367" i="1"/>
  <c r="F2368" i="1"/>
  <c r="M2367" i="1"/>
  <c r="M2368" i="1"/>
  <c r="O2367" i="1"/>
  <c r="O2368" i="1"/>
  <c r="S2368" i="1"/>
  <c r="T2367" i="1"/>
  <c r="T2368" i="1"/>
  <c r="U2367" i="1"/>
  <c r="Y2367" i="1" s="1"/>
  <c r="U2368" i="1"/>
  <c r="Y2368" i="1" s="1"/>
  <c r="V2367" i="1"/>
  <c r="W2367" i="1" s="1"/>
  <c r="V2368" i="1"/>
  <c r="W2368" i="1" s="1"/>
  <c r="Z2367" i="1"/>
  <c r="Z2368" i="1"/>
  <c r="A2366" i="1"/>
  <c r="C2366" i="1"/>
  <c r="B2366" i="1" s="1"/>
  <c r="F2366" i="1"/>
  <c r="M2366" i="1"/>
  <c r="O2366" i="1"/>
  <c r="T2366" i="1"/>
  <c r="U2366" i="1"/>
  <c r="Y2366" i="1" s="1"/>
  <c r="V2366" i="1"/>
  <c r="W2366" i="1" s="1"/>
  <c r="Z2366" i="1"/>
  <c r="X2384" i="1" l="1"/>
  <c r="P2384" i="1" s="1"/>
  <c r="Q2384" i="1" s="1"/>
  <c r="R2384" i="1" s="1"/>
  <c r="T2384" i="1"/>
  <c r="X2383" i="1"/>
  <c r="P2383" i="1" s="1"/>
  <c r="Q2383" i="1" s="1"/>
  <c r="R2383" i="1" s="1"/>
  <c r="X2382" i="1"/>
  <c r="P2382" i="1" s="1"/>
  <c r="Q2382" i="1" s="1"/>
  <c r="R2382" i="1" s="1"/>
  <c r="D2382" i="1" s="1"/>
  <c r="T2377" i="1"/>
  <c r="X2381" i="1"/>
  <c r="P2381" i="1" s="1"/>
  <c r="Q2381" i="1" s="1"/>
  <c r="T2378" i="1"/>
  <c r="T2376" i="1"/>
  <c r="X2379" i="1"/>
  <c r="P2379" i="1" s="1"/>
  <c r="Q2379" i="1" s="1"/>
  <c r="R2379" i="1" s="1"/>
  <c r="D2379" i="1" s="1"/>
  <c r="X2380" i="1"/>
  <c r="P2380" i="1" s="1"/>
  <c r="Q2380" i="1" s="1"/>
  <c r="R2380" i="1" s="1"/>
  <c r="T2379" i="1"/>
  <c r="X2376" i="1"/>
  <c r="P2376" i="1" s="1"/>
  <c r="Q2376" i="1" s="1"/>
  <c r="R2376" i="1" s="1"/>
  <c r="D2376" i="1" s="1"/>
  <c r="D2380" i="1"/>
  <c r="R2381" i="1"/>
  <c r="D2381" i="1" s="1"/>
  <c r="X2378" i="1"/>
  <c r="P2378" i="1" s="1"/>
  <c r="Q2378" i="1" s="1"/>
  <c r="R2378" i="1" s="1"/>
  <c r="D2378" i="1" s="1"/>
  <c r="X2377" i="1"/>
  <c r="P2377" i="1" s="1"/>
  <c r="Q2377" i="1" s="1"/>
  <c r="R2377" i="1" s="1"/>
  <c r="X2375" i="1"/>
  <c r="P2375" i="1" s="1"/>
  <c r="Q2375" i="1" s="1"/>
  <c r="R2375" i="1" s="1"/>
  <c r="D2375" i="1" s="1"/>
  <c r="X2374" i="1"/>
  <c r="P2374" i="1" s="1"/>
  <c r="Q2374" i="1" s="1"/>
  <c r="R2374" i="1" s="1"/>
  <c r="D2374" i="1" s="1"/>
  <c r="X2372" i="1"/>
  <c r="P2372" i="1" s="1"/>
  <c r="Q2372" i="1" s="1"/>
  <c r="R2372" i="1" s="1"/>
  <c r="D2372" i="1" s="1"/>
  <c r="X2373" i="1"/>
  <c r="P2373" i="1" s="1"/>
  <c r="Q2373" i="1" s="1"/>
  <c r="R2373" i="1" s="1"/>
  <c r="X2371" i="1"/>
  <c r="P2371" i="1" s="1"/>
  <c r="Q2371" i="1" s="1"/>
  <c r="R2371" i="1" s="1"/>
  <c r="D2371" i="1" s="1"/>
  <c r="X2370" i="1"/>
  <c r="P2370" i="1" s="1"/>
  <c r="Q2370" i="1" s="1"/>
  <c r="R2370" i="1" s="1"/>
  <c r="D2370" i="1" s="1"/>
  <c r="X2369" i="1"/>
  <c r="P2369" i="1" s="1"/>
  <c r="Q2369" i="1" s="1"/>
  <c r="R2369" i="1" s="1"/>
  <c r="D2369" i="1" s="1"/>
  <c r="X2367" i="1"/>
  <c r="P2367" i="1" s="1"/>
  <c r="Q2367" i="1" s="1"/>
  <c r="R2367" i="1" s="1"/>
  <c r="X2366" i="1"/>
  <c r="P2366" i="1" s="1"/>
  <c r="Q2366" i="1" s="1"/>
  <c r="R2366" i="1" s="1"/>
  <c r="D2366" i="1" s="1"/>
  <c r="X2368" i="1"/>
  <c r="P2368" i="1" s="1"/>
  <c r="Q2368" i="1" s="1"/>
  <c r="R2368" i="1" s="1"/>
  <c r="D2368" i="1" l="1"/>
  <c r="D2367" i="1"/>
  <c r="A2365" i="1" l="1"/>
  <c r="C2365" i="1"/>
  <c r="B2365" i="1" s="1"/>
  <c r="F2365" i="1"/>
  <c r="M2365" i="1"/>
  <c r="O2365" i="1"/>
  <c r="U2365" i="1"/>
  <c r="V2365" i="1"/>
  <c r="W2365" i="1" s="1"/>
  <c r="Z2365" i="1"/>
  <c r="A2363" i="1"/>
  <c r="A2364" i="1"/>
  <c r="C2363" i="1"/>
  <c r="B2363" i="1" s="1"/>
  <c r="C2364" i="1"/>
  <c r="B2364" i="1" s="1"/>
  <c r="F2363" i="1"/>
  <c r="F2364" i="1"/>
  <c r="M2363" i="1"/>
  <c r="M2364" i="1"/>
  <c r="O2363" i="1"/>
  <c r="O2364" i="1"/>
  <c r="T2363" i="1"/>
  <c r="T2364" i="1"/>
  <c r="U2363" i="1"/>
  <c r="Y2363" i="1" s="1"/>
  <c r="U2364" i="1"/>
  <c r="Y2364" i="1" s="1"/>
  <c r="V2363" i="1"/>
  <c r="W2363" i="1" s="1"/>
  <c r="V2364" i="1"/>
  <c r="W2364" i="1" s="1"/>
  <c r="Z2363" i="1"/>
  <c r="Z2364" i="1"/>
  <c r="A2362" i="1"/>
  <c r="C2362" i="1"/>
  <c r="B2362" i="1" s="1"/>
  <c r="F2362" i="1"/>
  <c r="M2362" i="1"/>
  <c r="O2362" i="1"/>
  <c r="U2362" i="1"/>
  <c r="Y2362" i="1" s="1"/>
  <c r="V2362" i="1"/>
  <c r="W2362" i="1" s="1"/>
  <c r="Z2362" i="1"/>
  <c r="A2361" i="1"/>
  <c r="C2361" i="1"/>
  <c r="B2361" i="1" s="1"/>
  <c r="F2361" i="1"/>
  <c r="M2361" i="1"/>
  <c r="O2361" i="1"/>
  <c r="U2361" i="1"/>
  <c r="Y2361" i="1" s="1"/>
  <c r="V2361" i="1"/>
  <c r="W2361" i="1" s="1"/>
  <c r="Z2361" i="1"/>
  <c r="A2360" i="1"/>
  <c r="C2360" i="1"/>
  <c r="B2360" i="1" s="1"/>
  <c r="F2360" i="1"/>
  <c r="M2360" i="1"/>
  <c r="O2360" i="1"/>
  <c r="U2360" i="1"/>
  <c r="Y2360" i="1" s="1"/>
  <c r="V2360" i="1"/>
  <c r="W2360" i="1" s="1"/>
  <c r="Z2360" i="1"/>
  <c r="A2359" i="1"/>
  <c r="C2359" i="1"/>
  <c r="B2359" i="1" s="1"/>
  <c r="F2359" i="1"/>
  <c r="M2359" i="1"/>
  <c r="O2359" i="1"/>
  <c r="U2359" i="1"/>
  <c r="Y2359" i="1" s="1"/>
  <c r="V2359" i="1"/>
  <c r="W2359" i="1" s="1"/>
  <c r="Z2359" i="1"/>
  <c r="I178" i="104"/>
  <c r="A178" i="104"/>
  <c r="B178" i="104"/>
  <c r="C178" i="104"/>
  <c r="A2283" i="1"/>
  <c r="C2283" i="1"/>
  <c r="B2283" i="1" s="1"/>
  <c r="F2283" i="1"/>
  <c r="M2283" i="1"/>
  <c r="O2283" i="1"/>
  <c r="T2283" i="1"/>
  <c r="U2283" i="1"/>
  <c r="Y2283" i="1" s="1"/>
  <c r="V2283" i="1"/>
  <c r="W2283" i="1" s="1"/>
  <c r="Z2283" i="1"/>
  <c r="E1666" i="6"/>
  <c r="F1666" i="6"/>
  <c r="I1666" i="6"/>
  <c r="J1666" i="6"/>
  <c r="E1665" i="6"/>
  <c r="F1665" i="6"/>
  <c r="I1665" i="6"/>
  <c r="J1665" i="6"/>
  <c r="A2357" i="1"/>
  <c r="C2357" i="1"/>
  <c r="B2357" i="1" s="1"/>
  <c r="F2357" i="1"/>
  <c r="M2357" i="1"/>
  <c r="O2357" i="1"/>
  <c r="U2357" i="1"/>
  <c r="Y2357" i="1" s="1"/>
  <c r="V2357" i="1"/>
  <c r="W2357" i="1" s="1"/>
  <c r="Z2357" i="1"/>
  <c r="A2356" i="1"/>
  <c r="C2356" i="1"/>
  <c r="B2356" i="1" s="1"/>
  <c r="F2356" i="1"/>
  <c r="M2356" i="1"/>
  <c r="O2356" i="1"/>
  <c r="U2356" i="1"/>
  <c r="Y2356" i="1" s="1"/>
  <c r="V2356" i="1"/>
  <c r="W2356" i="1" s="1"/>
  <c r="Z2356" i="1"/>
  <c r="A2355" i="1"/>
  <c r="C2355" i="1"/>
  <c r="B2355" i="1" s="1"/>
  <c r="F2355" i="1"/>
  <c r="M2355" i="1"/>
  <c r="O2355" i="1"/>
  <c r="T2355" i="1"/>
  <c r="U2355" i="1"/>
  <c r="Y2355" i="1" s="1"/>
  <c r="V2355" i="1"/>
  <c r="W2355" i="1" s="1"/>
  <c r="Z2355" i="1"/>
  <c r="A2354" i="1"/>
  <c r="C2354" i="1"/>
  <c r="B2354" i="1" s="1"/>
  <c r="F2354" i="1"/>
  <c r="M2354" i="1"/>
  <c r="O2354" i="1"/>
  <c r="T2354" i="1"/>
  <c r="U2354" i="1"/>
  <c r="Y2354" i="1" s="1"/>
  <c r="V2354" i="1"/>
  <c r="W2354" i="1" s="1"/>
  <c r="Z2354" i="1"/>
  <c r="A2353" i="1"/>
  <c r="C2353" i="1"/>
  <c r="B2353" i="1" s="1"/>
  <c r="F2353" i="1"/>
  <c r="M2353" i="1"/>
  <c r="O2353" i="1"/>
  <c r="U2353" i="1"/>
  <c r="Y2353" i="1" s="1"/>
  <c r="V2353" i="1"/>
  <c r="W2353" i="1" s="1"/>
  <c r="Z2353" i="1"/>
  <c r="A2352" i="1"/>
  <c r="C2352" i="1"/>
  <c r="B2352" i="1" s="1"/>
  <c r="F2352" i="1"/>
  <c r="M2352" i="1"/>
  <c r="O2352" i="1"/>
  <c r="T2352" i="1"/>
  <c r="U2352" i="1"/>
  <c r="Y2352" i="1" s="1"/>
  <c r="V2352" i="1"/>
  <c r="W2352" i="1" s="1"/>
  <c r="Z2352" i="1"/>
  <c r="A2351" i="1"/>
  <c r="C2351" i="1"/>
  <c r="B2351" i="1" s="1"/>
  <c r="F2351" i="1"/>
  <c r="M2351" i="1"/>
  <c r="O2351" i="1"/>
  <c r="T2351" i="1"/>
  <c r="U2351" i="1"/>
  <c r="Y2351" i="1" s="1"/>
  <c r="V2351" i="1"/>
  <c r="W2351" i="1" s="1"/>
  <c r="Z2351" i="1"/>
  <c r="A2350" i="1"/>
  <c r="C2350" i="1"/>
  <c r="B2350" i="1" s="1"/>
  <c r="F2350" i="1"/>
  <c r="M2350" i="1"/>
  <c r="O2350" i="1"/>
  <c r="U2350" i="1"/>
  <c r="Y2350" i="1" s="1"/>
  <c r="V2350" i="1"/>
  <c r="W2350" i="1" s="1"/>
  <c r="Z2350" i="1"/>
  <c r="A2349" i="1"/>
  <c r="C2349" i="1"/>
  <c r="B2349" i="1" s="1"/>
  <c r="F2349" i="1"/>
  <c r="M2349" i="1"/>
  <c r="O2349" i="1"/>
  <c r="U2349" i="1"/>
  <c r="Y2349" i="1" s="1"/>
  <c r="V2349" i="1"/>
  <c r="W2349" i="1" s="1"/>
  <c r="Z2349" i="1"/>
  <c r="A2348" i="1"/>
  <c r="C2348" i="1"/>
  <c r="B2348" i="1" s="1"/>
  <c r="F2348" i="1"/>
  <c r="M2348" i="1"/>
  <c r="O2348" i="1"/>
  <c r="U2348" i="1"/>
  <c r="Y2348" i="1" s="1"/>
  <c r="V2348" i="1"/>
  <c r="W2348" i="1" s="1"/>
  <c r="Z2348" i="1"/>
  <c r="A2347" i="1"/>
  <c r="C2347" i="1"/>
  <c r="B2347" i="1" s="1"/>
  <c r="F2347" i="1"/>
  <c r="M2347" i="1"/>
  <c r="O2347" i="1"/>
  <c r="U2347" i="1"/>
  <c r="Y2347" i="1" s="1"/>
  <c r="V2347" i="1"/>
  <c r="W2347" i="1" s="1"/>
  <c r="Z2347" i="1"/>
  <c r="A2346" i="1"/>
  <c r="C2346" i="1"/>
  <c r="B2346" i="1" s="1"/>
  <c r="F2346" i="1"/>
  <c r="M2346" i="1"/>
  <c r="O2346" i="1"/>
  <c r="U2346" i="1"/>
  <c r="Y2346" i="1" s="1"/>
  <c r="V2346" i="1"/>
  <c r="W2346" i="1" s="1"/>
  <c r="Z2346" i="1"/>
  <c r="A2345" i="1"/>
  <c r="C2345" i="1"/>
  <c r="B2345" i="1" s="1"/>
  <c r="F2345" i="1"/>
  <c r="M2345" i="1"/>
  <c r="O2345" i="1"/>
  <c r="U2345" i="1"/>
  <c r="Y2345" i="1" s="1"/>
  <c r="V2345" i="1"/>
  <c r="W2345" i="1" s="1"/>
  <c r="Z2345" i="1"/>
  <c r="A2344" i="1"/>
  <c r="C2344" i="1"/>
  <c r="B2344" i="1" s="1"/>
  <c r="F2344" i="1"/>
  <c r="M2344" i="1"/>
  <c r="O2344" i="1"/>
  <c r="U2344" i="1"/>
  <c r="Y2344" i="1" s="1"/>
  <c r="V2344" i="1"/>
  <c r="W2344" i="1" s="1"/>
  <c r="Z2344" i="1"/>
  <c r="A2343" i="1"/>
  <c r="C2343" i="1"/>
  <c r="B2343" i="1" s="1"/>
  <c r="F2343" i="1"/>
  <c r="M2343" i="1"/>
  <c r="O2343" i="1"/>
  <c r="U2343" i="1"/>
  <c r="Y2343" i="1" s="1"/>
  <c r="V2343" i="1"/>
  <c r="W2343" i="1" s="1"/>
  <c r="Z2343" i="1"/>
  <c r="A2342" i="1"/>
  <c r="C2342" i="1"/>
  <c r="B2342" i="1" s="1"/>
  <c r="F2342" i="1"/>
  <c r="M2342" i="1"/>
  <c r="O2342" i="1"/>
  <c r="U2342" i="1"/>
  <c r="Y2342" i="1" s="1"/>
  <c r="V2342" i="1"/>
  <c r="W2342" i="1" s="1"/>
  <c r="Z2342" i="1"/>
  <c r="A2341" i="1"/>
  <c r="C2341" i="1"/>
  <c r="B2341" i="1" s="1"/>
  <c r="F2341" i="1"/>
  <c r="M2341" i="1"/>
  <c r="O2341" i="1"/>
  <c r="U2341" i="1"/>
  <c r="Y2341" i="1" s="1"/>
  <c r="V2341" i="1"/>
  <c r="W2341" i="1" s="1"/>
  <c r="Z2341" i="1"/>
  <c r="A2340" i="1"/>
  <c r="C2340" i="1"/>
  <c r="B2340" i="1" s="1"/>
  <c r="F2340" i="1"/>
  <c r="M2340" i="1"/>
  <c r="O2340" i="1"/>
  <c r="U2340" i="1"/>
  <c r="Y2340" i="1" s="1"/>
  <c r="V2340" i="1"/>
  <c r="W2340" i="1" s="1"/>
  <c r="Z2340" i="1"/>
  <c r="I177" i="104"/>
  <c r="A177" i="104"/>
  <c r="B177" i="104"/>
  <c r="C177" i="104"/>
  <c r="A2339" i="1"/>
  <c r="C2339" i="1"/>
  <c r="B2339" i="1" s="1"/>
  <c r="F2339" i="1"/>
  <c r="M2339" i="1"/>
  <c r="O2339" i="1"/>
  <c r="U2339" i="1"/>
  <c r="Y2339" i="1" s="1"/>
  <c r="V2339" i="1"/>
  <c r="W2339" i="1" s="1"/>
  <c r="Z2339" i="1"/>
  <c r="A2338" i="1"/>
  <c r="C2338" i="1"/>
  <c r="B2338" i="1" s="1"/>
  <c r="F2338" i="1"/>
  <c r="M2338" i="1"/>
  <c r="O2338" i="1"/>
  <c r="U2338" i="1"/>
  <c r="Y2338" i="1" s="1"/>
  <c r="V2338" i="1"/>
  <c r="W2338" i="1" s="1"/>
  <c r="Z2338" i="1"/>
  <c r="A2337" i="1"/>
  <c r="C2337" i="1"/>
  <c r="B2337" i="1" s="1"/>
  <c r="F2337" i="1"/>
  <c r="M2337" i="1"/>
  <c r="O2337" i="1"/>
  <c r="U2337" i="1"/>
  <c r="Y2337" i="1" s="1"/>
  <c r="V2337" i="1"/>
  <c r="W2337" i="1" s="1"/>
  <c r="Z2337" i="1"/>
  <c r="A2336" i="1"/>
  <c r="C2336" i="1"/>
  <c r="B2336" i="1" s="1"/>
  <c r="F2336" i="1"/>
  <c r="M2336" i="1"/>
  <c r="O2336" i="1"/>
  <c r="U2336" i="1"/>
  <c r="Y2336" i="1" s="1"/>
  <c r="V2336" i="1"/>
  <c r="W2336" i="1" s="1"/>
  <c r="Z2336" i="1"/>
  <c r="A2335" i="1"/>
  <c r="C2335" i="1"/>
  <c r="B2335" i="1" s="1"/>
  <c r="F2335" i="1"/>
  <c r="M2335" i="1"/>
  <c r="O2335" i="1"/>
  <c r="U2335" i="1"/>
  <c r="Y2335" i="1" s="1"/>
  <c r="V2335" i="1"/>
  <c r="W2335" i="1" s="1"/>
  <c r="Z2335" i="1"/>
  <c r="A2358" i="1"/>
  <c r="C2358" i="1"/>
  <c r="B2358" i="1" s="1"/>
  <c r="F2358" i="1"/>
  <c r="M2358" i="1"/>
  <c r="O2358" i="1"/>
  <c r="U2358" i="1"/>
  <c r="Y2358" i="1" s="1"/>
  <c r="V2358" i="1"/>
  <c r="W2358" i="1" s="1"/>
  <c r="Z2358" i="1"/>
  <c r="A2334" i="1"/>
  <c r="C2334" i="1"/>
  <c r="B2334" i="1" s="1"/>
  <c r="F2334" i="1"/>
  <c r="M2334" i="1"/>
  <c r="U2334" i="1"/>
  <c r="Y2334" i="1" s="1"/>
  <c r="V2334" i="1"/>
  <c r="W2334" i="1" s="1"/>
  <c r="Z2334" i="1"/>
  <c r="A2332" i="1"/>
  <c r="C2332" i="1"/>
  <c r="B2332" i="1" s="1"/>
  <c r="F2332" i="1"/>
  <c r="M2332" i="1"/>
  <c r="O2332" i="1"/>
  <c r="U2332" i="1"/>
  <c r="Y2332" i="1" s="1"/>
  <c r="V2332" i="1"/>
  <c r="W2332" i="1" s="1"/>
  <c r="Z2332" i="1"/>
  <c r="A2331" i="1"/>
  <c r="C2331" i="1"/>
  <c r="B2331" i="1" s="1"/>
  <c r="F2331" i="1"/>
  <c r="M2331" i="1"/>
  <c r="O2331" i="1"/>
  <c r="U2331" i="1"/>
  <c r="Y2331" i="1" s="1"/>
  <c r="V2331" i="1"/>
  <c r="W2331" i="1" s="1"/>
  <c r="Z2331" i="1"/>
  <c r="A2330" i="1"/>
  <c r="C2330" i="1"/>
  <c r="B2330" i="1" s="1"/>
  <c r="F2330" i="1"/>
  <c r="M2330" i="1"/>
  <c r="O2330" i="1"/>
  <c r="U2330" i="1"/>
  <c r="Y2330" i="1" s="1"/>
  <c r="V2330" i="1"/>
  <c r="W2330" i="1" s="1"/>
  <c r="Z2330" i="1"/>
  <c r="A2329" i="1"/>
  <c r="C2329" i="1"/>
  <c r="B2329" i="1" s="1"/>
  <c r="F2329" i="1"/>
  <c r="M2329" i="1"/>
  <c r="O2329" i="1"/>
  <c r="U2329" i="1"/>
  <c r="Y2329" i="1" s="1"/>
  <c r="V2329" i="1"/>
  <c r="W2329" i="1" s="1"/>
  <c r="Z2329" i="1"/>
  <c r="M2328" i="1"/>
  <c r="M2327" i="1"/>
  <c r="A2328" i="1"/>
  <c r="C2328" i="1"/>
  <c r="B2328" i="1" s="1"/>
  <c r="F2328" i="1"/>
  <c r="O2328" i="1"/>
  <c r="U2328" i="1"/>
  <c r="Y2328" i="1" s="1"/>
  <c r="V2328" i="1"/>
  <c r="W2328" i="1" s="1"/>
  <c r="Z2328" i="1"/>
  <c r="A2327" i="1"/>
  <c r="C2327" i="1"/>
  <c r="B2327" i="1" s="1"/>
  <c r="F2327" i="1"/>
  <c r="O2327" i="1"/>
  <c r="U2327" i="1"/>
  <c r="Y2327" i="1" s="1"/>
  <c r="V2327" i="1"/>
  <c r="W2327" i="1" s="1"/>
  <c r="Z2327" i="1"/>
  <c r="A2326" i="1"/>
  <c r="C2326" i="1"/>
  <c r="B2326" i="1" s="1"/>
  <c r="F2326" i="1"/>
  <c r="M2326" i="1"/>
  <c r="O2326" i="1"/>
  <c r="U2326" i="1"/>
  <c r="Y2326" i="1" s="1"/>
  <c r="V2326" i="1"/>
  <c r="W2326" i="1" s="1"/>
  <c r="Z2326" i="1"/>
  <c r="A2325" i="1"/>
  <c r="C2325" i="1"/>
  <c r="B2325" i="1" s="1"/>
  <c r="F2325" i="1"/>
  <c r="M2325" i="1"/>
  <c r="O2325" i="1"/>
  <c r="U2325" i="1"/>
  <c r="Y2325" i="1" s="1"/>
  <c r="V2325" i="1"/>
  <c r="W2325" i="1" s="1"/>
  <c r="Z2325" i="1"/>
  <c r="T2346" i="1" l="1"/>
  <c r="T2359" i="1"/>
  <c r="T2361" i="1"/>
  <c r="X2365" i="1"/>
  <c r="X2360" i="1"/>
  <c r="P2360" i="1" s="1"/>
  <c r="Q2360" i="1" s="1"/>
  <c r="R2360" i="1" s="1"/>
  <c r="D2360" i="1" s="1"/>
  <c r="Y2365" i="1"/>
  <c r="X2364" i="1"/>
  <c r="P2364" i="1" s="1"/>
  <c r="Q2364" i="1" s="1"/>
  <c r="R2364" i="1" s="1"/>
  <c r="T2357" i="1"/>
  <c r="T2362" i="1"/>
  <c r="T2365" i="1"/>
  <c r="T2360" i="1"/>
  <c r="X2363" i="1"/>
  <c r="P2363" i="1" s="1"/>
  <c r="Q2363" i="1" s="1"/>
  <c r="R2363" i="1" s="1"/>
  <c r="X2362" i="1"/>
  <c r="P2362" i="1" s="1"/>
  <c r="Q2362" i="1" s="1"/>
  <c r="R2362" i="1" s="1"/>
  <c r="X2361" i="1"/>
  <c r="P2361" i="1" s="1"/>
  <c r="Q2361" i="1" s="1"/>
  <c r="R2361" i="1" s="1"/>
  <c r="X2359" i="1"/>
  <c r="P2359" i="1" s="1"/>
  <c r="Q2359" i="1" s="1"/>
  <c r="R2359" i="1" s="1"/>
  <c r="D2359" i="1" s="1"/>
  <c r="X2283" i="1"/>
  <c r="P2283" i="1" s="1"/>
  <c r="Q2283" i="1" s="1"/>
  <c r="R2283" i="1" s="1"/>
  <c r="T2356" i="1"/>
  <c r="X2357" i="1"/>
  <c r="P2357" i="1" s="1"/>
  <c r="Q2357" i="1" s="1"/>
  <c r="R2357" i="1" s="1"/>
  <c r="D2357" i="1" s="1"/>
  <c r="X2356" i="1"/>
  <c r="P2356" i="1" s="1"/>
  <c r="Q2356" i="1" s="1"/>
  <c r="R2356" i="1" s="1"/>
  <c r="D2356" i="1" s="1"/>
  <c r="X2355" i="1"/>
  <c r="P2355" i="1" s="1"/>
  <c r="Q2355" i="1" s="1"/>
  <c r="R2355" i="1" s="1"/>
  <c r="D2355" i="1" s="1"/>
  <c r="X2354" i="1"/>
  <c r="P2354" i="1" s="1"/>
  <c r="Q2354" i="1" s="1"/>
  <c r="R2354" i="1" s="1"/>
  <c r="D2354" i="1" s="1"/>
  <c r="T2344" i="1"/>
  <c r="T2353" i="1"/>
  <c r="X2353" i="1"/>
  <c r="P2353" i="1" s="1"/>
  <c r="Q2353" i="1" s="1"/>
  <c r="R2353" i="1" s="1"/>
  <c r="X2352" i="1"/>
  <c r="P2352" i="1" s="1"/>
  <c r="Q2352" i="1" s="1"/>
  <c r="R2352" i="1" s="1"/>
  <c r="D2352" i="1" s="1"/>
  <c r="X2351" i="1"/>
  <c r="P2351" i="1" s="1"/>
  <c r="Q2351" i="1" s="1"/>
  <c r="R2351" i="1" s="1"/>
  <c r="D2351" i="1" s="1"/>
  <c r="T2345" i="1"/>
  <c r="T2350" i="1"/>
  <c r="T2342" i="1"/>
  <c r="X2350" i="1"/>
  <c r="P2350" i="1" s="1"/>
  <c r="Q2350" i="1" s="1"/>
  <c r="R2350" i="1" s="1"/>
  <c r="T2341" i="1"/>
  <c r="X2348" i="1"/>
  <c r="P2348" i="1" s="1"/>
  <c r="Q2348" i="1" s="1"/>
  <c r="R2348" i="1" s="1"/>
  <c r="X2349" i="1"/>
  <c r="P2349" i="1" s="1"/>
  <c r="Q2349" i="1" s="1"/>
  <c r="R2349" i="1" s="1"/>
  <c r="T2349" i="1"/>
  <c r="T2343" i="1"/>
  <c r="T2340" i="1"/>
  <c r="T2347" i="1"/>
  <c r="T2348" i="1"/>
  <c r="X2346" i="1"/>
  <c r="X2341" i="1"/>
  <c r="P2341" i="1" s="1"/>
  <c r="Q2341" i="1" s="1"/>
  <c r="R2341" i="1" s="1"/>
  <c r="X2345" i="1"/>
  <c r="P2345" i="1" s="1"/>
  <c r="Q2345" i="1" s="1"/>
  <c r="R2345" i="1" s="1"/>
  <c r="X2347" i="1"/>
  <c r="P2347" i="1" s="1"/>
  <c r="Q2347" i="1" s="1"/>
  <c r="R2347" i="1" s="1"/>
  <c r="P2346" i="1"/>
  <c r="Q2346" i="1" s="1"/>
  <c r="R2346" i="1" s="1"/>
  <c r="D2346" i="1" s="1"/>
  <c r="X2344" i="1"/>
  <c r="P2344" i="1" s="1"/>
  <c r="Q2344" i="1" s="1"/>
  <c r="R2344" i="1" s="1"/>
  <c r="X2343" i="1"/>
  <c r="P2343" i="1" s="1"/>
  <c r="Q2343" i="1" s="1"/>
  <c r="R2343" i="1" s="1"/>
  <c r="X2342" i="1"/>
  <c r="P2342" i="1" s="1"/>
  <c r="Q2342" i="1" s="1"/>
  <c r="R2342" i="1" s="1"/>
  <c r="T2337" i="1"/>
  <c r="X2340" i="1"/>
  <c r="P2340" i="1" s="1"/>
  <c r="Q2340" i="1" s="1"/>
  <c r="R2340" i="1" s="1"/>
  <c r="T2336" i="1"/>
  <c r="X2339" i="1"/>
  <c r="P2339" i="1" s="1"/>
  <c r="Q2339" i="1" s="1"/>
  <c r="R2339" i="1" s="1"/>
  <c r="D2339" i="1" s="1"/>
  <c r="T2358" i="1"/>
  <c r="T2339" i="1"/>
  <c r="T2338" i="1"/>
  <c r="X2338" i="1"/>
  <c r="P2338" i="1" s="1"/>
  <c r="Q2338" i="1" s="1"/>
  <c r="R2338" i="1" s="1"/>
  <c r="X2337" i="1"/>
  <c r="P2337" i="1" s="1"/>
  <c r="Q2337" i="1" s="1"/>
  <c r="R2337" i="1" s="1"/>
  <c r="D2337" i="1" s="1"/>
  <c r="X2336" i="1"/>
  <c r="P2336" i="1" s="1"/>
  <c r="Q2336" i="1" s="1"/>
  <c r="R2336" i="1" s="1"/>
  <c r="D2336" i="1" s="1"/>
  <c r="T2331" i="1"/>
  <c r="T2335" i="1"/>
  <c r="X2335" i="1"/>
  <c r="P2335" i="1" s="1"/>
  <c r="Q2335" i="1" s="1"/>
  <c r="R2335" i="1" s="1"/>
  <c r="D2335" i="1" s="1"/>
  <c r="X2358" i="1"/>
  <c r="P2358" i="1" s="1"/>
  <c r="Q2358" i="1" s="1"/>
  <c r="R2358" i="1" s="1"/>
  <c r="X2334" i="1"/>
  <c r="P2334" i="1" s="1"/>
  <c r="Q2334" i="1" s="1"/>
  <c r="R2334" i="1" s="1"/>
  <c r="X2331" i="1"/>
  <c r="P2331" i="1" s="1"/>
  <c r="Q2331" i="1" s="1"/>
  <c r="R2331" i="1" s="1"/>
  <c r="T2332" i="1"/>
  <c r="T2334" i="1"/>
  <c r="X2332" i="1"/>
  <c r="P2332" i="1" s="1"/>
  <c r="Q2332" i="1" s="1"/>
  <c r="R2332" i="1" s="1"/>
  <c r="X2330" i="1"/>
  <c r="P2330" i="1" s="1"/>
  <c r="Q2330" i="1" s="1"/>
  <c r="R2330" i="1" s="1"/>
  <c r="X2328" i="1"/>
  <c r="P2328" i="1" s="1"/>
  <c r="Q2328" i="1" s="1"/>
  <c r="R2328" i="1" s="1"/>
  <c r="T2329" i="1"/>
  <c r="T2330" i="1"/>
  <c r="X2327" i="1"/>
  <c r="P2327" i="1" s="1"/>
  <c r="Q2327" i="1" s="1"/>
  <c r="R2327" i="1" s="1"/>
  <c r="D2327" i="1" s="1"/>
  <c r="T2327" i="1"/>
  <c r="X2329" i="1"/>
  <c r="P2329" i="1" s="1"/>
  <c r="Q2329" i="1" s="1"/>
  <c r="R2329" i="1" s="1"/>
  <c r="D2329" i="1" s="1"/>
  <c r="T2326" i="1"/>
  <c r="T2328" i="1"/>
  <c r="T2325" i="1"/>
  <c r="X2326" i="1"/>
  <c r="P2326" i="1" s="1"/>
  <c r="Q2326" i="1" s="1"/>
  <c r="R2326" i="1" s="1"/>
  <c r="D2326" i="1" s="1"/>
  <c r="X2325" i="1"/>
  <c r="P2325" i="1" s="1"/>
  <c r="Q2325" i="1" s="1"/>
  <c r="R2325" i="1" s="1"/>
  <c r="A2324" i="1"/>
  <c r="C2324" i="1"/>
  <c r="B2324" i="1" s="1"/>
  <c r="D2324" i="1"/>
  <c r="F2324" i="1"/>
  <c r="M2324" i="1"/>
  <c r="O2324" i="1"/>
  <c r="T2324" i="1"/>
  <c r="U2324" i="1"/>
  <c r="Y2324" i="1" s="1"/>
  <c r="V2324" i="1"/>
  <c r="W2324" i="1" s="1"/>
  <c r="Z2324" i="1"/>
  <c r="A2323" i="1"/>
  <c r="C2323" i="1"/>
  <c r="B2323" i="1" s="1"/>
  <c r="F2323" i="1"/>
  <c r="M2323" i="1"/>
  <c r="O2323" i="1"/>
  <c r="T2323" i="1"/>
  <c r="U2323" i="1"/>
  <c r="Y2323" i="1" s="1"/>
  <c r="V2323" i="1"/>
  <c r="W2323" i="1" s="1"/>
  <c r="Z2323" i="1"/>
  <c r="A2322" i="1"/>
  <c r="C2322" i="1"/>
  <c r="B2322" i="1" s="1"/>
  <c r="F2322" i="1"/>
  <c r="M2322" i="1"/>
  <c r="O2322" i="1"/>
  <c r="S2322" i="1"/>
  <c r="T2322" i="1"/>
  <c r="U2322" i="1"/>
  <c r="Y2322" i="1" s="1"/>
  <c r="V2322" i="1"/>
  <c r="W2322" i="1" s="1"/>
  <c r="Z2322" i="1"/>
  <c r="A2321" i="1"/>
  <c r="C2321" i="1"/>
  <c r="B2321" i="1" s="1"/>
  <c r="F2321" i="1"/>
  <c r="M2321" i="1"/>
  <c r="O2321" i="1"/>
  <c r="T2321" i="1"/>
  <c r="U2321" i="1"/>
  <c r="V2321" i="1"/>
  <c r="W2321" i="1" s="1"/>
  <c r="Z2321" i="1"/>
  <c r="A2320" i="1"/>
  <c r="C2320" i="1"/>
  <c r="B2320" i="1" s="1"/>
  <c r="F2320" i="1"/>
  <c r="M2320" i="1"/>
  <c r="O2320" i="1"/>
  <c r="S2320" i="1"/>
  <c r="T2320" i="1"/>
  <c r="U2320" i="1"/>
  <c r="Y2320" i="1" s="1"/>
  <c r="V2320" i="1"/>
  <c r="W2320" i="1" s="1"/>
  <c r="Z2320" i="1"/>
  <c r="A2319" i="1"/>
  <c r="C2319" i="1"/>
  <c r="B2319" i="1" s="1"/>
  <c r="F2319" i="1"/>
  <c r="M2319" i="1"/>
  <c r="O2319" i="1"/>
  <c r="S2319" i="1"/>
  <c r="T2319" i="1"/>
  <c r="U2319" i="1"/>
  <c r="Y2319" i="1" s="1"/>
  <c r="V2319" i="1"/>
  <c r="W2319" i="1" s="1"/>
  <c r="Z2319" i="1"/>
  <c r="A2318" i="1"/>
  <c r="C2318" i="1"/>
  <c r="B2318" i="1" s="1"/>
  <c r="D2318" i="1"/>
  <c r="F2318" i="1"/>
  <c r="M2318" i="1"/>
  <c r="O2318" i="1"/>
  <c r="S2318" i="1"/>
  <c r="T2318" i="1"/>
  <c r="U2318" i="1"/>
  <c r="Y2318" i="1" s="1"/>
  <c r="V2318" i="1"/>
  <c r="W2318" i="1" s="1"/>
  <c r="Z2318" i="1"/>
  <c r="A2317" i="1"/>
  <c r="C2317" i="1"/>
  <c r="B2317" i="1" s="1"/>
  <c r="D2317" i="1"/>
  <c r="F2317" i="1"/>
  <c r="M2317" i="1"/>
  <c r="O2317" i="1"/>
  <c r="S2317" i="1"/>
  <c r="T2317" i="1"/>
  <c r="U2317" i="1"/>
  <c r="Y2317" i="1" s="1"/>
  <c r="V2317" i="1"/>
  <c r="W2317" i="1" s="1"/>
  <c r="Z2317" i="1"/>
  <c r="A2316" i="1"/>
  <c r="C2316" i="1"/>
  <c r="B2316" i="1" s="1"/>
  <c r="D2316" i="1"/>
  <c r="F2316" i="1"/>
  <c r="M2316" i="1"/>
  <c r="O2316" i="1"/>
  <c r="S2316" i="1"/>
  <c r="T2316" i="1"/>
  <c r="U2316" i="1"/>
  <c r="Y2316" i="1" s="1"/>
  <c r="V2316" i="1"/>
  <c r="W2316" i="1" s="1"/>
  <c r="Z2316" i="1"/>
  <c r="P2365" i="1" l="1"/>
  <c r="Q2365" i="1" s="1"/>
  <c r="R2365" i="1" s="1"/>
  <c r="D2363" i="1"/>
  <c r="D2364" i="1"/>
  <c r="D2338" i="1"/>
  <c r="D2362" i="1"/>
  <c r="D2350" i="1"/>
  <c r="D2347" i="1"/>
  <c r="D2343" i="1"/>
  <c r="D2344" i="1"/>
  <c r="D2341" i="1"/>
  <c r="D2342" i="1"/>
  <c r="D2325" i="1"/>
  <c r="D2319" i="1"/>
  <c r="D2320" i="1"/>
  <c r="X2324" i="1"/>
  <c r="P2324" i="1" s="1"/>
  <c r="Q2324" i="1" s="1"/>
  <c r="R2324" i="1" s="1"/>
  <c r="X2323" i="1"/>
  <c r="P2323" i="1" s="1"/>
  <c r="Q2323" i="1" s="1"/>
  <c r="R2323" i="1" s="1"/>
  <c r="D2323" i="1" s="1"/>
  <c r="X2322" i="1"/>
  <c r="P2322" i="1" s="1"/>
  <c r="Q2322" i="1" s="1"/>
  <c r="R2322" i="1" s="1"/>
  <c r="D2322" i="1" s="1"/>
  <c r="X2321" i="1"/>
  <c r="P2321" i="1" s="1"/>
  <c r="Q2321" i="1" s="1"/>
  <c r="R2321" i="1" s="1"/>
  <c r="D2321" i="1" s="1"/>
  <c r="Y2321" i="1"/>
  <c r="X2320" i="1"/>
  <c r="P2320" i="1" s="1"/>
  <c r="Q2320" i="1" s="1"/>
  <c r="R2320" i="1" s="1"/>
  <c r="X2319" i="1"/>
  <c r="P2319" i="1" s="1"/>
  <c r="Q2319" i="1" s="1"/>
  <c r="R2319" i="1" s="1"/>
  <c r="X2317" i="1"/>
  <c r="P2317" i="1" s="1"/>
  <c r="Q2317" i="1" s="1"/>
  <c r="R2317" i="1" s="1"/>
  <c r="X2318" i="1"/>
  <c r="P2318" i="1" s="1"/>
  <c r="Q2318" i="1" s="1"/>
  <c r="R2318" i="1" s="1"/>
  <c r="X2316" i="1"/>
  <c r="P2316" i="1" s="1"/>
  <c r="Q2316" i="1" s="1"/>
  <c r="R2316" i="1" s="1"/>
  <c r="A2315" i="1" l="1"/>
  <c r="C2315" i="1"/>
  <c r="B2315" i="1" s="1"/>
  <c r="F2315" i="1"/>
  <c r="M2315" i="1"/>
  <c r="O2315" i="1"/>
  <c r="S2315" i="1"/>
  <c r="T2315" i="1"/>
  <c r="U2315" i="1"/>
  <c r="Y2315" i="1" s="1"/>
  <c r="V2315" i="1"/>
  <c r="W2315" i="1" s="1"/>
  <c r="Z2315" i="1"/>
  <c r="A2314" i="1"/>
  <c r="C2314" i="1"/>
  <c r="B2314" i="1" s="1"/>
  <c r="F2314" i="1"/>
  <c r="M2314" i="1"/>
  <c r="O2314" i="1"/>
  <c r="S2314" i="1"/>
  <c r="T2314" i="1"/>
  <c r="U2314" i="1"/>
  <c r="Y2314" i="1" s="1"/>
  <c r="V2314" i="1"/>
  <c r="W2314" i="1" s="1"/>
  <c r="Z2314" i="1"/>
  <c r="A2213" i="1"/>
  <c r="C2213" i="1"/>
  <c r="B2213" i="1" s="1"/>
  <c r="F2213" i="1"/>
  <c r="M2213" i="1"/>
  <c r="O2213" i="1"/>
  <c r="T2213" i="1"/>
  <c r="U2213" i="1"/>
  <c r="V2213" i="1"/>
  <c r="W2213" i="1" s="1"/>
  <c r="Z2213" i="1"/>
  <c r="A2190" i="1"/>
  <c r="C2190" i="1"/>
  <c r="B2190" i="1" s="1"/>
  <c r="F2190" i="1"/>
  <c r="M2190" i="1"/>
  <c r="O2190" i="1"/>
  <c r="T2190" i="1"/>
  <c r="U2190" i="1"/>
  <c r="V2190" i="1"/>
  <c r="W2190" i="1" s="1"/>
  <c r="Z2190" i="1"/>
  <c r="X2315" i="1" l="1"/>
  <c r="P2315" i="1" s="1"/>
  <c r="Q2315" i="1" s="1"/>
  <c r="R2315" i="1" s="1"/>
  <c r="D2315" i="1" s="1"/>
  <c r="X2314" i="1"/>
  <c r="P2314" i="1" s="1"/>
  <c r="Q2314" i="1" s="1"/>
  <c r="R2314" i="1" s="1"/>
  <c r="D2314" i="1" s="1"/>
  <c r="X2190" i="1"/>
  <c r="X2213" i="1"/>
  <c r="Y2213" i="1"/>
  <c r="Y2190" i="1"/>
  <c r="P2213" i="1" l="1"/>
  <c r="Q2213" i="1" s="1"/>
  <c r="R2213" i="1" s="1"/>
  <c r="P2190" i="1"/>
  <c r="Q2190" i="1" s="1"/>
  <c r="R2190" i="1" s="1"/>
  <c r="D2190" i="1"/>
  <c r="D2213" i="1"/>
  <c r="I176" i="104" l="1"/>
  <c r="A2265" i="1"/>
  <c r="C2265" i="1"/>
  <c r="B2265" i="1" s="1"/>
  <c r="F2265" i="1"/>
  <c r="M2265" i="1"/>
  <c r="O2265" i="1"/>
  <c r="T2265" i="1"/>
  <c r="U2265" i="1"/>
  <c r="Y2265" i="1" s="1"/>
  <c r="V2265" i="1"/>
  <c r="W2265" i="1" s="1"/>
  <c r="Z2265" i="1"/>
  <c r="A176" i="104"/>
  <c r="B176" i="104"/>
  <c r="C176" i="104"/>
  <c r="A2245" i="1"/>
  <c r="C2245" i="1"/>
  <c r="B2245" i="1" s="1"/>
  <c r="F2245" i="1"/>
  <c r="M2245" i="1"/>
  <c r="O2245" i="1"/>
  <c r="S2245" i="1"/>
  <c r="T2245" i="1"/>
  <c r="U2245" i="1"/>
  <c r="Y2245" i="1" s="1"/>
  <c r="V2245" i="1"/>
  <c r="W2245" i="1" s="1"/>
  <c r="Z2245" i="1"/>
  <c r="A2309" i="1"/>
  <c r="C2309" i="1"/>
  <c r="B2309" i="1" s="1"/>
  <c r="F2309" i="1"/>
  <c r="M2309" i="1"/>
  <c r="O2309" i="1"/>
  <c r="U2309" i="1"/>
  <c r="Y2309" i="1" s="1"/>
  <c r="V2309" i="1"/>
  <c r="W2309" i="1" s="1"/>
  <c r="Z2309" i="1"/>
  <c r="A2311" i="1"/>
  <c r="C2311" i="1"/>
  <c r="B2311" i="1" s="1"/>
  <c r="F2311" i="1"/>
  <c r="M2311" i="1"/>
  <c r="O2311" i="1"/>
  <c r="U2311" i="1"/>
  <c r="Y2311" i="1" s="1"/>
  <c r="V2311" i="1"/>
  <c r="W2311" i="1" s="1"/>
  <c r="Z2311" i="1"/>
  <c r="A2307" i="1"/>
  <c r="C2307" i="1"/>
  <c r="B2307" i="1" s="1"/>
  <c r="F2307" i="1"/>
  <c r="M2307" i="1"/>
  <c r="O2307" i="1"/>
  <c r="U2307" i="1"/>
  <c r="Y2307" i="1" s="1"/>
  <c r="V2307" i="1"/>
  <c r="W2307" i="1" s="1"/>
  <c r="Z2307" i="1"/>
  <c r="A2303" i="1"/>
  <c r="C2303" i="1"/>
  <c r="B2303" i="1" s="1"/>
  <c r="F2303" i="1"/>
  <c r="M2303" i="1"/>
  <c r="O2303" i="1"/>
  <c r="U2303" i="1"/>
  <c r="Y2303" i="1" s="1"/>
  <c r="V2303" i="1"/>
  <c r="W2303" i="1" s="1"/>
  <c r="Z2303" i="1"/>
  <c r="A2302" i="1"/>
  <c r="C2302" i="1"/>
  <c r="B2302" i="1" s="1"/>
  <c r="F2302" i="1"/>
  <c r="M2302" i="1"/>
  <c r="O2302" i="1"/>
  <c r="U2302" i="1"/>
  <c r="Y2302" i="1" s="1"/>
  <c r="V2302" i="1"/>
  <c r="W2302" i="1" s="1"/>
  <c r="Z2302" i="1"/>
  <c r="A2306" i="1"/>
  <c r="C2306" i="1"/>
  <c r="B2306" i="1" s="1"/>
  <c r="F2306" i="1"/>
  <c r="M2306" i="1"/>
  <c r="O2306" i="1"/>
  <c r="U2306" i="1"/>
  <c r="Y2306" i="1" s="1"/>
  <c r="V2306" i="1"/>
  <c r="W2306" i="1" s="1"/>
  <c r="Z2306" i="1"/>
  <c r="A2301" i="1"/>
  <c r="C2301" i="1"/>
  <c r="B2301" i="1" s="1"/>
  <c r="F2301" i="1"/>
  <c r="M2301" i="1"/>
  <c r="O2301" i="1"/>
  <c r="U2301" i="1"/>
  <c r="Y2301" i="1" s="1"/>
  <c r="V2301" i="1"/>
  <c r="W2301" i="1" s="1"/>
  <c r="Z2301" i="1"/>
  <c r="A2308" i="1"/>
  <c r="C2308" i="1"/>
  <c r="B2308" i="1" s="1"/>
  <c r="F2308" i="1"/>
  <c r="M2308" i="1"/>
  <c r="O2308" i="1"/>
  <c r="U2308" i="1"/>
  <c r="Y2308" i="1" s="1"/>
  <c r="V2308" i="1"/>
  <c r="W2308" i="1" s="1"/>
  <c r="Z2308" i="1"/>
  <c r="A2310" i="1"/>
  <c r="C2310" i="1"/>
  <c r="B2310" i="1" s="1"/>
  <c r="F2310" i="1"/>
  <c r="M2310" i="1"/>
  <c r="O2310" i="1"/>
  <c r="U2310" i="1"/>
  <c r="Y2310" i="1" s="1"/>
  <c r="V2310" i="1"/>
  <c r="W2310" i="1" s="1"/>
  <c r="Z2310" i="1"/>
  <c r="A2313" i="1"/>
  <c r="C2313" i="1"/>
  <c r="B2313" i="1" s="1"/>
  <c r="F2313" i="1"/>
  <c r="M2313" i="1"/>
  <c r="O2313" i="1"/>
  <c r="U2313" i="1"/>
  <c r="Y2313" i="1" s="1"/>
  <c r="V2313" i="1"/>
  <c r="W2313" i="1" s="1"/>
  <c r="Z2313" i="1"/>
  <c r="A2305" i="1"/>
  <c r="C2305" i="1"/>
  <c r="B2305" i="1" s="1"/>
  <c r="F2305" i="1"/>
  <c r="O2305" i="1"/>
  <c r="U2305" i="1"/>
  <c r="Y2305" i="1" s="1"/>
  <c r="V2305" i="1"/>
  <c r="W2305" i="1" s="1"/>
  <c r="Z2305" i="1"/>
  <c r="A2304" i="1"/>
  <c r="C2304" i="1"/>
  <c r="B2304" i="1" s="1"/>
  <c r="F2304" i="1"/>
  <c r="M2304" i="1"/>
  <c r="O2304" i="1"/>
  <c r="U2304" i="1"/>
  <c r="Y2304" i="1" s="1"/>
  <c r="V2304" i="1"/>
  <c r="W2304" i="1" s="1"/>
  <c r="Z2304" i="1"/>
  <c r="A2312" i="1"/>
  <c r="C2312" i="1"/>
  <c r="B2312" i="1" s="1"/>
  <c r="F2312" i="1"/>
  <c r="M2312" i="1"/>
  <c r="O2312" i="1"/>
  <c r="U2312" i="1"/>
  <c r="Y2312" i="1" s="1"/>
  <c r="V2312" i="1"/>
  <c r="W2312" i="1" s="1"/>
  <c r="Z2312" i="1"/>
  <c r="A2242" i="1"/>
  <c r="C2242" i="1"/>
  <c r="B2242" i="1" s="1"/>
  <c r="F2242" i="1"/>
  <c r="M2242" i="1"/>
  <c r="O2242" i="1"/>
  <c r="S2242" i="1"/>
  <c r="T2242" i="1"/>
  <c r="U2242" i="1"/>
  <c r="Y2242" i="1" s="1"/>
  <c r="V2242" i="1"/>
  <c r="W2242" i="1" s="1"/>
  <c r="Z2242" i="1"/>
  <c r="A2188" i="1"/>
  <c r="C2188" i="1"/>
  <c r="B2188" i="1" s="1"/>
  <c r="F2188" i="1"/>
  <c r="M2188" i="1"/>
  <c r="O2188" i="1"/>
  <c r="S2188" i="1"/>
  <c r="T2188" i="1"/>
  <c r="U2188" i="1"/>
  <c r="Y2188" i="1" s="1"/>
  <c r="V2188" i="1"/>
  <c r="W2188" i="1" s="1"/>
  <c r="Z2188" i="1"/>
  <c r="A2208" i="1"/>
  <c r="C2208" i="1"/>
  <c r="B2208" i="1" s="1"/>
  <c r="F2208" i="1"/>
  <c r="M2208" i="1"/>
  <c r="O2208" i="1"/>
  <c r="S2208" i="1"/>
  <c r="T2208" i="1"/>
  <c r="U2208" i="1"/>
  <c r="Y2208" i="1" s="1"/>
  <c r="V2208" i="1"/>
  <c r="W2208" i="1" s="1"/>
  <c r="Z2208" i="1"/>
  <c r="A2244" i="1"/>
  <c r="C2244" i="1"/>
  <c r="B2244" i="1" s="1"/>
  <c r="D2244" i="1"/>
  <c r="F2244" i="1"/>
  <c r="M2244" i="1"/>
  <c r="O2244" i="1"/>
  <c r="S2244" i="1"/>
  <c r="T2244" i="1"/>
  <c r="U2244" i="1"/>
  <c r="Y2244" i="1" s="1"/>
  <c r="V2244" i="1"/>
  <c r="W2244" i="1" s="1"/>
  <c r="Z2244" i="1"/>
  <c r="X2265" i="1" l="1"/>
  <c r="P2265" i="1" s="1"/>
  <c r="Q2265" i="1" s="1"/>
  <c r="R2265" i="1" s="1"/>
  <c r="T2307" i="1"/>
  <c r="T2311" i="1"/>
  <c r="T2309" i="1"/>
  <c r="X2302" i="1"/>
  <c r="P2302" i="1" s="1"/>
  <c r="Q2302" i="1" s="1"/>
  <c r="R2302" i="1" s="1"/>
  <c r="X2245" i="1"/>
  <c r="P2245" i="1" s="1"/>
  <c r="Q2245" i="1" s="1"/>
  <c r="R2245" i="1" s="1"/>
  <c r="D2245" i="1" s="1"/>
  <c r="X2309" i="1"/>
  <c r="P2309" i="1" s="1"/>
  <c r="Q2309" i="1" s="1"/>
  <c r="R2309" i="1" s="1"/>
  <c r="X2311" i="1"/>
  <c r="P2311" i="1" s="1"/>
  <c r="Q2311" i="1" s="1"/>
  <c r="R2311" i="1" s="1"/>
  <c r="D2311" i="1" s="1"/>
  <c r="X2303" i="1"/>
  <c r="P2303" i="1" s="1"/>
  <c r="Q2303" i="1" s="1"/>
  <c r="R2303" i="1" s="1"/>
  <c r="X2307" i="1"/>
  <c r="P2307" i="1" s="1"/>
  <c r="Q2307" i="1" s="1"/>
  <c r="R2307" i="1" s="1"/>
  <c r="D2383" i="1" s="1"/>
  <c r="T2308" i="1"/>
  <c r="T2303" i="1"/>
  <c r="T2306" i="1"/>
  <c r="T2302" i="1"/>
  <c r="X2306" i="1"/>
  <c r="P2306" i="1" s="1"/>
  <c r="Q2306" i="1" s="1"/>
  <c r="R2306" i="1" s="1"/>
  <c r="X2301" i="1"/>
  <c r="P2301" i="1" s="1"/>
  <c r="Q2301" i="1" s="1"/>
  <c r="R2301" i="1" s="1"/>
  <c r="T2313" i="1"/>
  <c r="T2310" i="1"/>
  <c r="T2301" i="1"/>
  <c r="X2308" i="1"/>
  <c r="P2308" i="1" s="1"/>
  <c r="Q2308" i="1" s="1"/>
  <c r="R2308" i="1" s="1"/>
  <c r="D2365" i="1" s="1"/>
  <c r="X2310" i="1"/>
  <c r="P2310" i="1" s="1"/>
  <c r="Q2310" i="1" s="1"/>
  <c r="R2310" i="1" s="1"/>
  <c r="T2304" i="1"/>
  <c r="X2313" i="1"/>
  <c r="P2313" i="1" s="1"/>
  <c r="Q2313" i="1" s="1"/>
  <c r="R2313" i="1" s="1"/>
  <c r="X2304" i="1"/>
  <c r="P2304" i="1" s="1"/>
  <c r="Q2304" i="1" s="1"/>
  <c r="R2304" i="1" s="1"/>
  <c r="T2305" i="1"/>
  <c r="X2305" i="1"/>
  <c r="P2305" i="1" s="1"/>
  <c r="Q2305" i="1" s="1"/>
  <c r="R2305" i="1" s="1"/>
  <c r="X2312" i="1"/>
  <c r="P2312" i="1" s="1"/>
  <c r="Q2312" i="1" s="1"/>
  <c r="R2312" i="1" s="1"/>
  <c r="T2312" i="1"/>
  <c r="X2242" i="1"/>
  <c r="P2242" i="1" s="1"/>
  <c r="Q2242" i="1" s="1"/>
  <c r="R2242" i="1" s="1"/>
  <c r="D2242" i="1" s="1"/>
  <c r="X2208" i="1"/>
  <c r="P2208" i="1" s="1"/>
  <c r="Q2208" i="1" s="1"/>
  <c r="R2208" i="1" s="1"/>
  <c r="D2208" i="1" s="1"/>
  <c r="X2188" i="1"/>
  <c r="P2188" i="1" s="1"/>
  <c r="Q2188" i="1" s="1"/>
  <c r="R2188" i="1" s="1"/>
  <c r="D2188" i="1" s="1"/>
  <c r="X2244" i="1"/>
  <c r="P2244" i="1" s="1"/>
  <c r="Q2244" i="1" s="1"/>
  <c r="R2244" i="1" s="1"/>
  <c r="D2361" i="1" l="1"/>
  <c r="D2312" i="1"/>
  <c r="D2377" i="1"/>
  <c r="D2310" i="1"/>
  <c r="D2332" i="1"/>
  <c r="D2330" i="1"/>
  <c r="D2331" i="1"/>
  <c r="D2303" i="1"/>
  <c r="D2302" i="1"/>
  <c r="A2241" i="1" l="1"/>
  <c r="C2241" i="1"/>
  <c r="B2241" i="1" s="1"/>
  <c r="F2241" i="1"/>
  <c r="O2241" i="1"/>
  <c r="T2241" i="1"/>
  <c r="U2241" i="1"/>
  <c r="Y2241" i="1" s="1"/>
  <c r="V2241" i="1"/>
  <c r="W2241" i="1" s="1"/>
  <c r="Z2241" i="1"/>
  <c r="A2235" i="1"/>
  <c r="C2235" i="1"/>
  <c r="B2235" i="1" s="1"/>
  <c r="F2235" i="1"/>
  <c r="M2235" i="1"/>
  <c r="O2235" i="1"/>
  <c r="T2235" i="1"/>
  <c r="U2235" i="1"/>
  <c r="V2235" i="1"/>
  <c r="W2235" i="1" s="1"/>
  <c r="Z2235" i="1"/>
  <c r="X2241" i="1" l="1"/>
  <c r="P2241" i="1" s="1"/>
  <c r="Q2241" i="1" s="1"/>
  <c r="R2241" i="1" s="1"/>
  <c r="D2241" i="1" s="1"/>
  <c r="X2235" i="1"/>
  <c r="Y2235" i="1"/>
  <c r="R2235" i="1"/>
  <c r="E1641" i="6" l="1"/>
  <c r="E1632" i="6"/>
  <c r="F1632" i="6"/>
  <c r="I1641" i="6"/>
  <c r="I1632" i="6"/>
  <c r="J1641" i="6"/>
  <c r="J1632" i="6"/>
  <c r="E1648" i="6"/>
  <c r="F1648" i="6"/>
  <c r="I1648" i="6"/>
  <c r="J1648" i="6"/>
  <c r="D1636" i="6"/>
  <c r="Y19" i="16" s="1"/>
  <c r="E1646" i="6"/>
  <c r="I1646" i="6"/>
  <c r="J1646" i="6"/>
  <c r="E1639" i="6"/>
  <c r="F1639" i="6"/>
  <c r="I1639" i="6"/>
  <c r="J1639" i="6"/>
  <c r="E1630" i="6"/>
  <c r="F1630" i="6"/>
  <c r="I1630" i="6"/>
  <c r="J1630" i="6"/>
  <c r="E1676" i="6"/>
  <c r="F1676" i="6"/>
  <c r="I1676" i="6"/>
  <c r="J1676" i="6"/>
  <c r="E1643" i="6"/>
  <c r="F1643" i="6"/>
  <c r="I1643" i="6"/>
  <c r="J1643" i="6"/>
  <c r="A2223" i="1"/>
  <c r="C2223" i="1"/>
  <c r="B2223" i="1" s="1"/>
  <c r="F2223" i="1"/>
  <c r="M2223" i="1"/>
  <c r="O2223" i="1"/>
  <c r="S2223" i="1"/>
  <c r="T2223" i="1"/>
  <c r="U2223" i="1"/>
  <c r="Y2223" i="1" s="1"/>
  <c r="V2223" i="1"/>
  <c r="W2223" i="1" s="1"/>
  <c r="Z2223" i="1"/>
  <c r="A2224" i="1"/>
  <c r="C2224" i="1"/>
  <c r="B2224" i="1" s="1"/>
  <c r="F2224" i="1"/>
  <c r="M2224" i="1"/>
  <c r="O2224" i="1"/>
  <c r="S2224" i="1"/>
  <c r="T2224" i="1"/>
  <c r="U2224" i="1"/>
  <c r="Y2224" i="1" s="1"/>
  <c r="V2224" i="1"/>
  <c r="W2224" i="1" s="1"/>
  <c r="Z2224" i="1"/>
  <c r="A2225" i="1"/>
  <c r="A2226" i="1"/>
  <c r="C2225" i="1"/>
  <c r="B2225" i="1" s="1"/>
  <c r="C2226" i="1"/>
  <c r="B2226" i="1" s="1"/>
  <c r="F2225" i="1"/>
  <c r="F2226" i="1"/>
  <c r="M2225" i="1"/>
  <c r="M2226" i="1"/>
  <c r="O2225" i="1"/>
  <c r="O2226" i="1"/>
  <c r="T2225" i="1"/>
  <c r="T2226" i="1"/>
  <c r="U2225" i="1"/>
  <c r="Y2225" i="1" s="1"/>
  <c r="U2226" i="1"/>
  <c r="Y2226" i="1" s="1"/>
  <c r="V2225" i="1"/>
  <c r="W2225" i="1" s="1"/>
  <c r="V2226" i="1"/>
  <c r="W2226" i="1" s="1"/>
  <c r="Z2225" i="1"/>
  <c r="Z2226" i="1"/>
  <c r="A2228" i="1"/>
  <c r="C2228" i="1"/>
  <c r="B2228" i="1" s="1"/>
  <c r="F2228" i="1"/>
  <c r="M2228" i="1"/>
  <c r="O2228" i="1"/>
  <c r="T2228" i="1"/>
  <c r="U2228" i="1"/>
  <c r="Y2228" i="1" s="1"/>
  <c r="V2228" i="1"/>
  <c r="W2228" i="1" s="1"/>
  <c r="Z2228" i="1"/>
  <c r="A2222" i="1"/>
  <c r="C2222" i="1"/>
  <c r="B2222" i="1" s="1"/>
  <c r="F2222" i="1"/>
  <c r="M2222" i="1"/>
  <c r="T2222" i="1"/>
  <c r="U2222" i="1"/>
  <c r="Y2222" i="1" s="1"/>
  <c r="V2222" i="1"/>
  <c r="W2222" i="1" s="1"/>
  <c r="Z2222" i="1"/>
  <c r="A2227" i="1"/>
  <c r="C2227" i="1"/>
  <c r="B2227" i="1" s="1"/>
  <c r="F2227" i="1"/>
  <c r="O2227" i="1"/>
  <c r="S2227" i="1"/>
  <c r="T2227" i="1"/>
  <c r="U2227" i="1"/>
  <c r="Y2227" i="1" s="1"/>
  <c r="V2227" i="1"/>
  <c r="W2227" i="1" s="1"/>
  <c r="Z2227" i="1"/>
  <c r="A2218" i="1"/>
  <c r="C2218" i="1"/>
  <c r="B2218" i="1" s="1"/>
  <c r="D2218" i="1"/>
  <c r="F2218" i="1"/>
  <c r="M2218" i="1"/>
  <c r="O2218" i="1"/>
  <c r="S2218" i="1"/>
  <c r="T2218" i="1"/>
  <c r="U2218" i="1"/>
  <c r="Y2218" i="1" s="1"/>
  <c r="V2218" i="1"/>
  <c r="W2218" i="1" s="1"/>
  <c r="Z2218" i="1"/>
  <c r="A2217" i="1"/>
  <c r="C2217" i="1"/>
  <c r="B2217" i="1" s="1"/>
  <c r="F2217" i="1"/>
  <c r="M2217" i="1"/>
  <c r="O2217" i="1"/>
  <c r="S2217" i="1"/>
  <c r="U2217" i="1"/>
  <c r="Y2217" i="1" s="1"/>
  <c r="V2217" i="1"/>
  <c r="W2217" i="1" s="1"/>
  <c r="Z2217" i="1"/>
  <c r="A2229" i="1"/>
  <c r="C2229" i="1"/>
  <c r="B2229" i="1" s="1"/>
  <c r="F2229" i="1"/>
  <c r="O2229" i="1"/>
  <c r="T2229" i="1"/>
  <c r="U2229" i="1"/>
  <c r="Y2229" i="1" s="1"/>
  <c r="V2229" i="1"/>
  <c r="W2229" i="1" s="1"/>
  <c r="Z2229" i="1"/>
  <c r="A2216" i="1"/>
  <c r="C2216" i="1"/>
  <c r="B2216" i="1" s="1"/>
  <c r="F2216" i="1"/>
  <c r="M2216" i="1"/>
  <c r="O2216" i="1"/>
  <c r="T2216" i="1"/>
  <c r="U2216" i="1"/>
  <c r="Y2216" i="1" s="1"/>
  <c r="V2216" i="1"/>
  <c r="W2216" i="1" s="1"/>
  <c r="Z2216" i="1"/>
  <c r="A2209" i="1"/>
  <c r="C2209" i="1"/>
  <c r="B2209" i="1" s="1"/>
  <c r="F2209" i="1"/>
  <c r="M2209" i="1"/>
  <c r="O2209" i="1"/>
  <c r="T2209" i="1"/>
  <c r="U2209" i="1"/>
  <c r="V2209" i="1"/>
  <c r="W2209" i="1" s="1"/>
  <c r="Z2209" i="1"/>
  <c r="X2223" i="1" l="1"/>
  <c r="P2223" i="1" s="1"/>
  <c r="Q2223" i="1" s="1"/>
  <c r="R2223" i="1" s="1"/>
  <c r="D2223" i="1" s="1"/>
  <c r="X2228" i="1"/>
  <c r="P2228" i="1" s="1"/>
  <c r="Q2228" i="1" s="1"/>
  <c r="R2228" i="1" s="1"/>
  <c r="D2228" i="1" s="1"/>
  <c r="X2225" i="1"/>
  <c r="P2225" i="1" s="1"/>
  <c r="Q2225" i="1" s="1"/>
  <c r="R2225" i="1" s="1"/>
  <c r="X2224" i="1"/>
  <c r="P2224" i="1" s="1"/>
  <c r="Q2224" i="1" s="1"/>
  <c r="R2224" i="1" s="1"/>
  <c r="D2224" i="1" s="1"/>
  <c r="X2226" i="1"/>
  <c r="P2226" i="1" s="1"/>
  <c r="Q2226" i="1" s="1"/>
  <c r="R2226" i="1" s="1"/>
  <c r="D2225" i="1"/>
  <c r="D2226" i="1"/>
  <c r="X2222" i="1"/>
  <c r="P2222" i="1" s="1"/>
  <c r="Q2222" i="1" s="1"/>
  <c r="R2222" i="1" s="1"/>
  <c r="D2222" i="1" s="1"/>
  <c r="X2227" i="1"/>
  <c r="P2227" i="1" s="1"/>
  <c r="X2218" i="1"/>
  <c r="Q2218" i="1" s="1"/>
  <c r="R2218" i="1" s="1"/>
  <c r="R2227" i="1"/>
  <c r="D2227" i="1" s="1"/>
  <c r="X2217" i="1"/>
  <c r="P2217" i="1" s="1"/>
  <c r="Q2217" i="1" s="1"/>
  <c r="R2217" i="1" s="1"/>
  <c r="D2217" i="1" s="1"/>
  <c r="T2217" i="1"/>
  <c r="X2229" i="1"/>
  <c r="P2229" i="1" s="1"/>
  <c r="Q2229" i="1" s="1"/>
  <c r="R2229" i="1" s="1"/>
  <c r="D2229" i="1" s="1"/>
  <c r="X2216" i="1"/>
  <c r="P2216" i="1" s="1"/>
  <c r="Q2216" i="1" s="1"/>
  <c r="R2216" i="1" s="1"/>
  <c r="X2209" i="1"/>
  <c r="Y2209" i="1"/>
  <c r="P2209" i="1" l="1"/>
  <c r="Q2209" i="1" s="1"/>
  <c r="R2209" i="1" s="1"/>
  <c r="D2209" i="1" s="1"/>
  <c r="X52" i="15" l="1"/>
  <c r="X22" i="16"/>
  <c r="X20" i="16"/>
  <c r="X59" i="15"/>
  <c r="X54" i="15"/>
  <c r="X53" i="15"/>
  <c r="X51" i="15"/>
  <c r="X50" i="15"/>
  <c r="X49" i="15"/>
  <c r="X48" i="15"/>
  <c r="X47" i="15"/>
  <c r="X46" i="15"/>
  <c r="X45" i="15"/>
  <c r="X43" i="15"/>
  <c r="X42" i="15"/>
  <c r="X41" i="15"/>
  <c r="X40" i="15"/>
  <c r="X39" i="15"/>
  <c r="X38" i="15"/>
  <c r="X32" i="15"/>
  <c r="X31" i="15"/>
  <c r="X30" i="15"/>
  <c r="X29" i="15"/>
  <c r="X28" i="15"/>
  <c r="X27" i="15"/>
  <c r="X26" i="15"/>
  <c r="X25" i="15"/>
  <c r="X24" i="15"/>
  <c r="X23" i="15"/>
  <c r="X22" i="15"/>
  <c r="X21" i="15"/>
  <c r="X20" i="15"/>
  <c r="X19" i="15"/>
  <c r="X18" i="15"/>
  <c r="X17" i="15"/>
  <c r="X16" i="15"/>
  <c r="X15" i="15"/>
  <c r="X14" i="15"/>
  <c r="X13" i="15"/>
  <c r="X11" i="15"/>
  <c r="X10" i="15"/>
  <c r="X9" i="15"/>
  <c r="X7" i="15"/>
  <c r="X6" i="15"/>
  <c r="X5" i="15"/>
  <c r="X4" i="15"/>
  <c r="X3" i="15"/>
  <c r="X2" i="15"/>
  <c r="A2261" i="1"/>
  <c r="A2262" i="1"/>
  <c r="A2263" i="1"/>
  <c r="A2264" i="1"/>
  <c r="C2261" i="1"/>
  <c r="B2261" i="1" s="1"/>
  <c r="C2262" i="1"/>
  <c r="B2262" i="1" s="1"/>
  <c r="C2263" i="1"/>
  <c r="B2263" i="1" s="1"/>
  <c r="C2264" i="1"/>
  <c r="B2264" i="1" s="1"/>
  <c r="F2261" i="1"/>
  <c r="F2262" i="1"/>
  <c r="F2263" i="1"/>
  <c r="F2264" i="1"/>
  <c r="M2261" i="1"/>
  <c r="M2262" i="1"/>
  <c r="M2263" i="1"/>
  <c r="M2264" i="1"/>
  <c r="O2261" i="1"/>
  <c r="O2262" i="1"/>
  <c r="O2263" i="1"/>
  <c r="O2264" i="1"/>
  <c r="U2261" i="1"/>
  <c r="Y2261" i="1" s="1"/>
  <c r="U2262" i="1"/>
  <c r="Y2262" i="1" s="1"/>
  <c r="U2263" i="1"/>
  <c r="Y2263" i="1" s="1"/>
  <c r="U2264" i="1"/>
  <c r="V2261" i="1"/>
  <c r="W2261" i="1" s="1"/>
  <c r="V2262" i="1"/>
  <c r="W2262" i="1" s="1"/>
  <c r="V2263" i="1"/>
  <c r="W2263" i="1" s="1"/>
  <c r="V2264" i="1"/>
  <c r="W2264" i="1" s="1"/>
  <c r="Z2261" i="1"/>
  <c r="Z2262" i="1"/>
  <c r="Z2263" i="1"/>
  <c r="Z2264" i="1"/>
  <c r="I172" i="104"/>
  <c r="I173" i="104"/>
  <c r="I174" i="104"/>
  <c r="I175" i="104"/>
  <c r="A173" i="104"/>
  <c r="A174" i="104"/>
  <c r="A175" i="104"/>
  <c r="B173" i="104"/>
  <c r="B174" i="104"/>
  <c r="B175" i="104"/>
  <c r="C173" i="104"/>
  <c r="C174" i="104"/>
  <c r="C175" i="104"/>
  <c r="A172" i="104"/>
  <c r="B172" i="104"/>
  <c r="C172" i="104"/>
  <c r="T2262" i="1" l="1"/>
  <c r="X13" i="16"/>
  <c r="T2261" i="1"/>
  <c r="X12" i="16"/>
  <c r="T2263" i="1"/>
  <c r="T2264" i="1"/>
  <c r="X2263" i="1"/>
  <c r="X2262" i="1"/>
  <c r="P2262" i="1" s="1"/>
  <c r="X2261" i="1"/>
  <c r="P2261" i="1" s="1"/>
  <c r="X2264" i="1"/>
  <c r="Y2264" i="1"/>
  <c r="P2263" i="1" l="1"/>
  <c r="Q2263" i="1" s="1"/>
  <c r="Q2261" i="1"/>
  <c r="P2264" i="1"/>
  <c r="Q2262" i="1"/>
  <c r="R2262" i="1" l="1"/>
  <c r="R2263" i="1"/>
  <c r="Q2264" i="1"/>
  <c r="R2261" i="1"/>
  <c r="R2264" i="1" l="1"/>
  <c r="E1636" i="6" l="1"/>
  <c r="F1636" i="6"/>
  <c r="I1636" i="6"/>
  <c r="J1636" i="6"/>
  <c r="E1635" i="6"/>
  <c r="F1635" i="6"/>
  <c r="I1635" i="6"/>
  <c r="J1635" i="6"/>
  <c r="E1634" i="6"/>
  <c r="F1634" i="6"/>
  <c r="I1634" i="6"/>
  <c r="J1634" i="6"/>
  <c r="A2184" i="1"/>
  <c r="C2184" i="1"/>
  <c r="B2184" i="1" s="1"/>
  <c r="F2184" i="1"/>
  <c r="M2184" i="1"/>
  <c r="O2184" i="1"/>
  <c r="S2184" i="1"/>
  <c r="T2184" i="1"/>
  <c r="U2184" i="1"/>
  <c r="Y2184" i="1" s="1"/>
  <c r="V2184" i="1"/>
  <c r="W2184" i="1" s="1"/>
  <c r="Z2184" i="1"/>
  <c r="A2180" i="1"/>
  <c r="A2181" i="1"/>
  <c r="A2182" i="1"/>
  <c r="A2183" i="1"/>
  <c r="C2180" i="1"/>
  <c r="B2180" i="1" s="1"/>
  <c r="C2181" i="1"/>
  <c r="B2181" i="1" s="1"/>
  <c r="C2182" i="1"/>
  <c r="B2182" i="1" s="1"/>
  <c r="C2183" i="1"/>
  <c r="B2183" i="1" s="1"/>
  <c r="F2180" i="1"/>
  <c r="F2181" i="1"/>
  <c r="F2182" i="1"/>
  <c r="F2183" i="1"/>
  <c r="M2180" i="1"/>
  <c r="M2181" i="1"/>
  <c r="M2182" i="1"/>
  <c r="M2183" i="1"/>
  <c r="O2180" i="1"/>
  <c r="O2181" i="1"/>
  <c r="O2182" i="1"/>
  <c r="O2183" i="1"/>
  <c r="S2180" i="1"/>
  <c r="S2181" i="1"/>
  <c r="S2182" i="1"/>
  <c r="S2183" i="1"/>
  <c r="T2180" i="1"/>
  <c r="T2181" i="1"/>
  <c r="T2182" i="1"/>
  <c r="T2183" i="1"/>
  <c r="U2180" i="1"/>
  <c r="U2181" i="1"/>
  <c r="U2182" i="1"/>
  <c r="Y2182" i="1" s="1"/>
  <c r="U2183" i="1"/>
  <c r="V2180" i="1"/>
  <c r="W2180" i="1" s="1"/>
  <c r="V2181" i="1"/>
  <c r="W2181" i="1" s="1"/>
  <c r="V2182" i="1"/>
  <c r="W2182" i="1" s="1"/>
  <c r="V2183" i="1"/>
  <c r="W2183" i="1" s="1"/>
  <c r="Z2180" i="1"/>
  <c r="Z2181" i="1"/>
  <c r="Z2182" i="1"/>
  <c r="Z2183" i="1"/>
  <c r="A2179" i="1"/>
  <c r="C2179" i="1"/>
  <c r="B2179" i="1" s="1"/>
  <c r="F2179" i="1"/>
  <c r="M2179" i="1"/>
  <c r="O2179" i="1"/>
  <c r="T2179" i="1"/>
  <c r="U2179" i="1"/>
  <c r="Y2179" i="1" s="1"/>
  <c r="V2179" i="1"/>
  <c r="W2179" i="1" s="1"/>
  <c r="Z2179" i="1"/>
  <c r="A2192" i="1"/>
  <c r="C2192" i="1"/>
  <c r="B2192" i="1" s="1"/>
  <c r="F2192" i="1"/>
  <c r="M2192" i="1"/>
  <c r="O2192" i="1"/>
  <c r="T2192" i="1"/>
  <c r="U2192" i="1"/>
  <c r="Y2192" i="1" s="1"/>
  <c r="V2192" i="1"/>
  <c r="W2192" i="1" s="1"/>
  <c r="Z2192" i="1"/>
  <c r="A2189" i="1"/>
  <c r="C2189" i="1"/>
  <c r="B2189" i="1" s="1"/>
  <c r="F2189" i="1"/>
  <c r="M2189" i="1"/>
  <c r="O2189" i="1"/>
  <c r="T2189" i="1"/>
  <c r="U2189" i="1"/>
  <c r="Y2189" i="1" s="1"/>
  <c r="V2189" i="1"/>
  <c r="W2189" i="1" s="1"/>
  <c r="Z2189" i="1"/>
  <c r="A2186" i="1"/>
  <c r="C2186" i="1"/>
  <c r="B2186" i="1" s="1"/>
  <c r="F2186" i="1"/>
  <c r="M2186" i="1"/>
  <c r="O2186" i="1"/>
  <c r="S2186" i="1"/>
  <c r="T2186" i="1"/>
  <c r="U2186" i="1"/>
  <c r="Y2186" i="1" s="1"/>
  <c r="V2186" i="1"/>
  <c r="W2186" i="1" s="1"/>
  <c r="Z2186" i="1"/>
  <c r="X2180" i="1" l="1"/>
  <c r="Y2180" i="1"/>
  <c r="X2183" i="1"/>
  <c r="X2184" i="1"/>
  <c r="X2179" i="1"/>
  <c r="Y2183" i="1"/>
  <c r="X2182" i="1"/>
  <c r="X2181" i="1"/>
  <c r="Y2181" i="1"/>
  <c r="X2192" i="1"/>
  <c r="X2189" i="1"/>
  <c r="X2186" i="1"/>
  <c r="P2180" i="1" l="1"/>
  <c r="Q2180" i="1" s="1"/>
  <c r="P2186" i="1"/>
  <c r="P2182" i="1"/>
  <c r="P2189" i="1"/>
  <c r="P2192" i="1"/>
  <c r="P2179" i="1"/>
  <c r="P2184" i="1"/>
  <c r="P2183" i="1"/>
  <c r="P2181" i="1"/>
  <c r="A2185" i="1"/>
  <c r="C2185" i="1"/>
  <c r="B2185" i="1" s="1"/>
  <c r="F2185" i="1"/>
  <c r="M2185" i="1"/>
  <c r="O2185" i="1"/>
  <c r="T2185" i="1"/>
  <c r="U2185" i="1"/>
  <c r="Y2185" i="1" s="1"/>
  <c r="V2185" i="1"/>
  <c r="W2185" i="1" s="1"/>
  <c r="Z2185" i="1"/>
  <c r="A2187" i="1"/>
  <c r="C2187" i="1"/>
  <c r="B2187" i="1" s="1"/>
  <c r="F2187" i="1"/>
  <c r="M2187" i="1"/>
  <c r="O2187" i="1"/>
  <c r="T2187" i="1"/>
  <c r="U2187" i="1"/>
  <c r="Y2187" i="1" s="1"/>
  <c r="V2187" i="1"/>
  <c r="W2187" i="1" s="1"/>
  <c r="Z2187" i="1"/>
  <c r="A2300" i="1"/>
  <c r="C2300" i="1"/>
  <c r="B2300" i="1" s="1"/>
  <c r="F2300" i="1"/>
  <c r="O2300" i="1"/>
  <c r="U2300" i="1"/>
  <c r="Y2300" i="1" s="1"/>
  <c r="V2300" i="1"/>
  <c r="W2300" i="1" s="1"/>
  <c r="Z2300" i="1"/>
  <c r="D1674" i="6"/>
  <c r="D1679" i="6"/>
  <c r="E1669" i="6"/>
  <c r="F1669" i="6"/>
  <c r="I1669" i="6"/>
  <c r="J1669" i="6"/>
  <c r="E1681" i="6"/>
  <c r="E1683" i="6"/>
  <c r="E1685" i="6"/>
  <c r="I1681" i="6"/>
  <c r="I1683" i="6"/>
  <c r="I1685" i="6"/>
  <c r="J1681" i="6"/>
  <c r="J1683" i="6"/>
  <c r="J1685" i="6"/>
  <c r="E1662" i="6"/>
  <c r="E1664" i="6"/>
  <c r="F1662" i="6"/>
  <c r="F1664" i="6"/>
  <c r="I1662" i="6"/>
  <c r="I1664" i="6"/>
  <c r="J1662" i="6"/>
  <c r="J1664" i="6"/>
  <c r="E1672" i="6"/>
  <c r="F1672" i="6"/>
  <c r="I1672" i="6"/>
  <c r="J1672" i="6"/>
  <c r="E1657" i="6"/>
  <c r="F1657" i="6"/>
  <c r="I1657" i="6"/>
  <c r="J1657" i="6"/>
  <c r="E1658" i="6"/>
  <c r="F1658" i="6"/>
  <c r="I1658" i="6"/>
  <c r="J1658" i="6"/>
  <c r="E1655" i="6"/>
  <c r="F1655" i="6"/>
  <c r="I1655" i="6"/>
  <c r="J1655" i="6"/>
  <c r="E1653" i="6"/>
  <c r="F1653" i="6"/>
  <c r="I1653" i="6"/>
  <c r="J1653" i="6"/>
  <c r="E1675" i="6"/>
  <c r="F1675" i="6"/>
  <c r="I1675" i="6"/>
  <c r="J1675" i="6"/>
  <c r="Q2183" i="1" l="1"/>
  <c r="Q2179" i="1"/>
  <c r="R2180" i="1"/>
  <c r="Q2182" i="1"/>
  <c r="Q2184" i="1"/>
  <c r="Q2181" i="1"/>
  <c r="Q2192" i="1"/>
  <c r="Q2189" i="1"/>
  <c r="Q2186" i="1"/>
  <c r="X2187" i="1"/>
  <c r="X2185" i="1"/>
  <c r="X2300" i="1"/>
  <c r="T2300" i="1"/>
  <c r="A2175" i="1"/>
  <c r="A2176" i="1"/>
  <c r="A2177" i="1"/>
  <c r="C2175" i="1"/>
  <c r="B2175" i="1" s="1"/>
  <c r="C2176" i="1"/>
  <c r="B2176" i="1" s="1"/>
  <c r="C2177" i="1"/>
  <c r="B2177" i="1" s="1"/>
  <c r="D2175" i="1"/>
  <c r="D2176" i="1"/>
  <c r="D2177" i="1"/>
  <c r="F2175" i="1"/>
  <c r="F2176" i="1"/>
  <c r="F2177" i="1"/>
  <c r="M2175" i="1"/>
  <c r="M2176" i="1"/>
  <c r="M2177" i="1"/>
  <c r="O2175" i="1"/>
  <c r="O2176" i="1"/>
  <c r="O2177" i="1"/>
  <c r="S2175" i="1"/>
  <c r="S2176" i="1"/>
  <c r="S2177" i="1"/>
  <c r="T2175" i="1"/>
  <c r="T2176" i="1"/>
  <c r="T2177" i="1"/>
  <c r="U2175" i="1"/>
  <c r="Y2175" i="1" s="1"/>
  <c r="U2176" i="1"/>
  <c r="Y2176" i="1" s="1"/>
  <c r="U2177" i="1"/>
  <c r="Y2177" i="1" s="1"/>
  <c r="V2175" i="1"/>
  <c r="W2175" i="1" s="1"/>
  <c r="V2176" i="1"/>
  <c r="W2176" i="1" s="1"/>
  <c r="V2177" i="1"/>
  <c r="W2177" i="1" s="1"/>
  <c r="Z2175" i="1"/>
  <c r="Z2176" i="1"/>
  <c r="Z2177" i="1"/>
  <c r="A2174" i="1"/>
  <c r="C2174" i="1"/>
  <c r="B2174" i="1" s="1"/>
  <c r="F2174" i="1"/>
  <c r="M2174" i="1"/>
  <c r="O2174" i="1"/>
  <c r="T2174" i="1"/>
  <c r="U2174" i="1"/>
  <c r="Y2174" i="1" s="1"/>
  <c r="V2174" i="1"/>
  <c r="W2174" i="1" s="1"/>
  <c r="Z2174" i="1"/>
  <c r="A2299" i="1"/>
  <c r="C2299" i="1"/>
  <c r="B2299" i="1" s="1"/>
  <c r="F2299" i="1"/>
  <c r="M2299" i="1"/>
  <c r="O2299" i="1"/>
  <c r="U2299" i="1"/>
  <c r="Y2299" i="1" s="1"/>
  <c r="V2299" i="1"/>
  <c r="W2299" i="1" s="1"/>
  <c r="Z2299" i="1"/>
  <c r="A2178" i="1"/>
  <c r="C2178" i="1"/>
  <c r="B2178" i="1" s="1"/>
  <c r="F2178" i="1"/>
  <c r="M2178" i="1"/>
  <c r="O2178" i="1"/>
  <c r="T2178" i="1"/>
  <c r="U2178" i="1"/>
  <c r="Y2178" i="1" s="1"/>
  <c r="V2178" i="1"/>
  <c r="W2178" i="1" s="1"/>
  <c r="Z2178" i="1"/>
  <c r="P2300" i="1" l="1"/>
  <c r="R2186" i="1"/>
  <c r="D2186" i="1" s="1"/>
  <c r="R2192" i="1"/>
  <c r="D2192" i="1" s="1"/>
  <c r="R2182" i="1"/>
  <c r="R2179" i="1"/>
  <c r="P2185" i="1"/>
  <c r="R2184" i="1"/>
  <c r="P2187" i="1"/>
  <c r="R2189" i="1"/>
  <c r="D2189" i="1" s="1"/>
  <c r="R2181" i="1"/>
  <c r="R2183" i="1"/>
  <c r="X2176" i="1"/>
  <c r="X2174" i="1"/>
  <c r="X2175" i="1"/>
  <c r="X2177" i="1"/>
  <c r="X2299" i="1"/>
  <c r="T2299" i="1"/>
  <c r="X2178" i="1"/>
  <c r="Q2300" i="1" l="1"/>
  <c r="P2177" i="1"/>
  <c r="Q2185" i="1"/>
  <c r="P2178" i="1"/>
  <c r="P2175" i="1"/>
  <c r="P2174" i="1"/>
  <c r="P2299" i="1"/>
  <c r="P2176" i="1"/>
  <c r="Q2187" i="1"/>
  <c r="Q2176" i="1" l="1"/>
  <c r="Q2174" i="1"/>
  <c r="Q2178" i="1"/>
  <c r="Q2177" i="1"/>
  <c r="R2187" i="1"/>
  <c r="D2187" i="1" s="1"/>
  <c r="Q2299" i="1"/>
  <c r="Q2175" i="1"/>
  <c r="R2185" i="1"/>
  <c r="R2300" i="1"/>
  <c r="D2328" i="1" s="1"/>
  <c r="E1670" i="6"/>
  <c r="F1670" i="6"/>
  <c r="I1670" i="6"/>
  <c r="J1670" i="6"/>
  <c r="B59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E1668" i="6"/>
  <c r="F1668" i="6"/>
  <c r="I1668" i="6"/>
  <c r="J1668" i="6"/>
  <c r="A2161" i="1"/>
  <c r="C2161" i="1"/>
  <c r="B2161" i="1" s="1"/>
  <c r="F2161" i="1"/>
  <c r="M2161" i="1"/>
  <c r="O2161" i="1"/>
  <c r="S2161" i="1"/>
  <c r="T2161" i="1"/>
  <c r="U2161" i="1"/>
  <c r="Y2161" i="1" s="1"/>
  <c r="V2161" i="1"/>
  <c r="W2161" i="1" s="1"/>
  <c r="Z2161" i="1"/>
  <c r="A2065" i="1"/>
  <c r="A2081" i="1"/>
  <c r="A2104" i="1"/>
  <c r="C2065" i="1"/>
  <c r="B2065" i="1" s="1"/>
  <c r="C2081" i="1"/>
  <c r="B2081" i="1" s="1"/>
  <c r="C2104" i="1"/>
  <c r="B2104" i="1" s="1"/>
  <c r="F2065" i="1"/>
  <c r="F2081" i="1"/>
  <c r="F2104" i="1"/>
  <c r="M2065" i="1"/>
  <c r="M2081" i="1"/>
  <c r="M2104" i="1"/>
  <c r="O2065" i="1"/>
  <c r="O2081" i="1"/>
  <c r="O2104" i="1"/>
  <c r="S2081" i="1"/>
  <c r="S2104" i="1"/>
  <c r="T2065" i="1"/>
  <c r="T2104" i="1"/>
  <c r="U2065" i="1"/>
  <c r="Y2065" i="1" s="1"/>
  <c r="U2081" i="1"/>
  <c r="Y2081" i="1" s="1"/>
  <c r="U2104" i="1"/>
  <c r="Y2104" i="1" s="1"/>
  <c r="V2065" i="1"/>
  <c r="W2065" i="1" s="1"/>
  <c r="V2081" i="1"/>
  <c r="W2081" i="1" s="1"/>
  <c r="V2104" i="1"/>
  <c r="W2104" i="1" s="1"/>
  <c r="Z2065" i="1"/>
  <c r="Z2081" i="1"/>
  <c r="Z2104" i="1"/>
  <c r="A2050" i="1"/>
  <c r="C2050" i="1"/>
  <c r="B2050" i="1" s="1"/>
  <c r="F2050" i="1"/>
  <c r="M2050" i="1"/>
  <c r="O2050" i="1"/>
  <c r="U2050" i="1"/>
  <c r="Y2050" i="1" s="1"/>
  <c r="V2050" i="1"/>
  <c r="W2050" i="1" s="1"/>
  <c r="Z2050" i="1"/>
  <c r="A2101" i="1"/>
  <c r="C2101" i="1"/>
  <c r="B2101" i="1" s="1"/>
  <c r="F2101" i="1"/>
  <c r="M2101" i="1"/>
  <c r="O2101" i="1"/>
  <c r="T2101" i="1"/>
  <c r="U2101" i="1"/>
  <c r="Y2101" i="1" s="1"/>
  <c r="V2101" i="1"/>
  <c r="W2101" i="1" s="1"/>
  <c r="Z2101" i="1"/>
  <c r="A2127" i="1"/>
  <c r="C2127" i="1"/>
  <c r="B2127" i="1" s="1"/>
  <c r="F2127" i="1"/>
  <c r="M2127" i="1"/>
  <c r="O2127" i="1"/>
  <c r="S2127" i="1"/>
  <c r="T2127" i="1"/>
  <c r="U2127" i="1"/>
  <c r="Y2127" i="1" s="1"/>
  <c r="V2127" i="1"/>
  <c r="W2127" i="1" s="1"/>
  <c r="Z2127" i="1"/>
  <c r="A2119" i="1"/>
  <c r="C2119" i="1"/>
  <c r="B2119" i="1" s="1"/>
  <c r="F2119" i="1"/>
  <c r="M2119" i="1"/>
  <c r="O2119" i="1"/>
  <c r="S2119" i="1"/>
  <c r="T2119" i="1"/>
  <c r="U2119" i="1"/>
  <c r="Y2119" i="1" s="1"/>
  <c r="V2119" i="1"/>
  <c r="W2119" i="1" s="1"/>
  <c r="Z2119" i="1"/>
  <c r="A2102" i="1"/>
  <c r="C2102" i="1"/>
  <c r="B2102" i="1" s="1"/>
  <c r="F2102" i="1"/>
  <c r="M2102" i="1"/>
  <c r="O2102" i="1"/>
  <c r="T2102" i="1"/>
  <c r="U2102" i="1"/>
  <c r="Y2102" i="1" s="1"/>
  <c r="V2102" i="1"/>
  <c r="W2102" i="1" s="1"/>
  <c r="Z2102" i="1"/>
  <c r="A2047" i="1"/>
  <c r="C2047" i="1"/>
  <c r="B2047" i="1" s="1"/>
  <c r="F2047" i="1"/>
  <c r="M2047" i="1"/>
  <c r="O2047" i="1"/>
  <c r="S2047" i="1"/>
  <c r="T2047" i="1"/>
  <c r="U2047" i="1"/>
  <c r="Y2047" i="1" s="1"/>
  <c r="V2047" i="1"/>
  <c r="W2047" i="1" s="1"/>
  <c r="Z2047" i="1"/>
  <c r="A2049" i="1"/>
  <c r="C2049" i="1"/>
  <c r="B2049" i="1" s="1"/>
  <c r="F2049" i="1"/>
  <c r="M2049" i="1"/>
  <c r="O2049" i="1"/>
  <c r="S2049" i="1"/>
  <c r="T2049" i="1"/>
  <c r="U2049" i="1"/>
  <c r="Y2049" i="1" s="1"/>
  <c r="V2049" i="1"/>
  <c r="W2049" i="1" s="1"/>
  <c r="Z2049" i="1"/>
  <c r="A2048" i="1"/>
  <c r="C2048" i="1"/>
  <c r="B2048" i="1" s="1"/>
  <c r="F2048" i="1"/>
  <c r="M2048" i="1"/>
  <c r="O2048" i="1"/>
  <c r="S2048" i="1"/>
  <c r="T2048" i="1"/>
  <c r="U2048" i="1"/>
  <c r="Y2048" i="1" s="1"/>
  <c r="V2048" i="1"/>
  <c r="W2048" i="1" s="1"/>
  <c r="Z2048" i="1"/>
  <c r="A2281" i="1"/>
  <c r="C2281" i="1"/>
  <c r="B2281" i="1" s="1"/>
  <c r="F2281" i="1"/>
  <c r="M2281" i="1"/>
  <c r="O2281" i="1"/>
  <c r="T2281" i="1"/>
  <c r="U2281" i="1"/>
  <c r="Y2281" i="1" s="1"/>
  <c r="V2281" i="1"/>
  <c r="W2281" i="1" s="1"/>
  <c r="Z2281" i="1"/>
  <c r="A2280" i="1"/>
  <c r="C2280" i="1"/>
  <c r="B2280" i="1" s="1"/>
  <c r="F2280" i="1"/>
  <c r="M2280" i="1"/>
  <c r="O2280" i="1"/>
  <c r="U2280" i="1"/>
  <c r="Y2280" i="1" s="1"/>
  <c r="V2280" i="1"/>
  <c r="W2280" i="1" s="1"/>
  <c r="Z2280" i="1"/>
  <c r="A2278" i="1"/>
  <c r="C2278" i="1"/>
  <c r="B2278" i="1" s="1"/>
  <c r="F2278" i="1"/>
  <c r="M2278" i="1"/>
  <c r="O2278" i="1"/>
  <c r="U2278" i="1"/>
  <c r="Y2278" i="1" s="1"/>
  <c r="V2278" i="1"/>
  <c r="W2278" i="1" s="1"/>
  <c r="Z2278" i="1"/>
  <c r="A2239" i="1"/>
  <c r="C2239" i="1"/>
  <c r="B2239" i="1" s="1"/>
  <c r="F2239" i="1"/>
  <c r="M2239" i="1"/>
  <c r="O2239" i="1"/>
  <c r="U2239" i="1"/>
  <c r="Y2239" i="1" s="1"/>
  <c r="V2239" i="1"/>
  <c r="W2239" i="1" s="1"/>
  <c r="Z2239" i="1"/>
  <c r="A2282" i="1"/>
  <c r="C2282" i="1"/>
  <c r="B2282" i="1" s="1"/>
  <c r="F2282" i="1"/>
  <c r="M2282" i="1"/>
  <c r="O2282" i="1"/>
  <c r="U2282" i="1"/>
  <c r="Y2282" i="1" s="1"/>
  <c r="V2282" i="1"/>
  <c r="W2282" i="1" s="1"/>
  <c r="Z2282" i="1"/>
  <c r="A2247" i="1"/>
  <c r="C2247" i="1"/>
  <c r="B2247" i="1" s="1"/>
  <c r="F2247" i="1"/>
  <c r="M2247" i="1"/>
  <c r="O2247" i="1"/>
  <c r="U2247" i="1"/>
  <c r="Y2247" i="1" s="1"/>
  <c r="V2247" i="1"/>
  <c r="W2247" i="1" s="1"/>
  <c r="Z2247" i="1"/>
  <c r="A2290" i="1"/>
  <c r="C2290" i="1"/>
  <c r="B2290" i="1" s="1"/>
  <c r="F2290" i="1"/>
  <c r="M2290" i="1"/>
  <c r="O2290" i="1"/>
  <c r="U2290" i="1"/>
  <c r="Y2290" i="1" s="1"/>
  <c r="V2290" i="1"/>
  <c r="W2290" i="1" s="1"/>
  <c r="Z2290" i="1"/>
  <c r="A2289" i="1"/>
  <c r="C2289" i="1"/>
  <c r="B2289" i="1" s="1"/>
  <c r="F2289" i="1"/>
  <c r="M2289" i="1"/>
  <c r="O2289" i="1"/>
  <c r="U2289" i="1"/>
  <c r="Y2289" i="1" s="1"/>
  <c r="V2289" i="1"/>
  <c r="W2289" i="1" s="1"/>
  <c r="Z2289" i="1"/>
  <c r="A2260" i="1"/>
  <c r="C2260" i="1"/>
  <c r="B2260" i="1" s="1"/>
  <c r="F2260" i="1"/>
  <c r="M2260" i="1"/>
  <c r="O2260" i="1"/>
  <c r="U2260" i="1"/>
  <c r="Y2260" i="1" s="1"/>
  <c r="V2260" i="1"/>
  <c r="W2260" i="1" s="1"/>
  <c r="Z2260" i="1"/>
  <c r="A2256" i="1"/>
  <c r="A2257" i="1"/>
  <c r="A2258" i="1"/>
  <c r="A2259" i="1"/>
  <c r="C2256" i="1"/>
  <c r="B2256" i="1" s="1"/>
  <c r="C2257" i="1"/>
  <c r="B2257" i="1" s="1"/>
  <c r="C2258" i="1"/>
  <c r="B2258" i="1" s="1"/>
  <c r="C2259" i="1"/>
  <c r="B2259" i="1" s="1"/>
  <c r="F2256" i="1"/>
  <c r="F2257" i="1"/>
  <c r="F2258" i="1"/>
  <c r="F2259" i="1"/>
  <c r="M2256" i="1"/>
  <c r="M2257" i="1"/>
  <c r="M2258" i="1"/>
  <c r="M2259" i="1"/>
  <c r="O2256" i="1"/>
  <c r="O2257" i="1"/>
  <c r="O2258" i="1"/>
  <c r="O2259" i="1"/>
  <c r="T2256" i="1"/>
  <c r="U2256" i="1"/>
  <c r="Y2256" i="1" s="1"/>
  <c r="U2257" i="1"/>
  <c r="Y2257" i="1" s="1"/>
  <c r="U2258" i="1"/>
  <c r="Y2258" i="1" s="1"/>
  <c r="U2259" i="1"/>
  <c r="V2256" i="1"/>
  <c r="W2256" i="1" s="1"/>
  <c r="V2257" i="1"/>
  <c r="W2257" i="1" s="1"/>
  <c r="V2258" i="1"/>
  <c r="W2258" i="1" s="1"/>
  <c r="V2259" i="1"/>
  <c r="W2259" i="1" s="1"/>
  <c r="Z2256" i="1"/>
  <c r="Z2257" i="1"/>
  <c r="Z2258" i="1"/>
  <c r="Z2259" i="1"/>
  <c r="I168" i="104"/>
  <c r="I169" i="104"/>
  <c r="I170" i="104"/>
  <c r="I171" i="104"/>
  <c r="A169" i="104"/>
  <c r="A170" i="104"/>
  <c r="A171" i="104"/>
  <c r="B169" i="104"/>
  <c r="B170" i="104"/>
  <c r="B171" i="104"/>
  <c r="C169" i="104"/>
  <c r="C170" i="104"/>
  <c r="C171" i="104"/>
  <c r="A168" i="104"/>
  <c r="B168" i="104"/>
  <c r="C168" i="104"/>
  <c r="A2251" i="1"/>
  <c r="C2251" i="1"/>
  <c r="B2251" i="1" s="1"/>
  <c r="F2251" i="1"/>
  <c r="M2251" i="1"/>
  <c r="O2251" i="1"/>
  <c r="U2251" i="1"/>
  <c r="Y2251" i="1" s="1"/>
  <c r="V2251" i="1"/>
  <c r="W2251" i="1" s="1"/>
  <c r="Z2251" i="1"/>
  <c r="A2250" i="1"/>
  <c r="C2250" i="1"/>
  <c r="B2250" i="1" s="1"/>
  <c r="F2250" i="1"/>
  <c r="M2250" i="1"/>
  <c r="O2250" i="1"/>
  <c r="U2250" i="1"/>
  <c r="Y2250" i="1" s="1"/>
  <c r="V2250" i="1"/>
  <c r="W2250" i="1" s="1"/>
  <c r="Z2250" i="1"/>
  <c r="A2286" i="1"/>
  <c r="C2286" i="1"/>
  <c r="B2286" i="1" s="1"/>
  <c r="F2286" i="1"/>
  <c r="M2286" i="1"/>
  <c r="O2286" i="1"/>
  <c r="U2286" i="1"/>
  <c r="Y2286" i="1" s="1"/>
  <c r="V2286" i="1"/>
  <c r="W2286" i="1" s="1"/>
  <c r="Z2286" i="1"/>
  <c r="A2269" i="1"/>
  <c r="C2269" i="1"/>
  <c r="B2269" i="1" s="1"/>
  <c r="F2269" i="1"/>
  <c r="M2269" i="1"/>
  <c r="O2269" i="1"/>
  <c r="U2269" i="1"/>
  <c r="Y2269" i="1" s="1"/>
  <c r="V2269" i="1"/>
  <c r="W2269" i="1" s="1"/>
  <c r="Z2269" i="1"/>
  <c r="A2333" i="1"/>
  <c r="C2333" i="1"/>
  <c r="B2333" i="1" s="1"/>
  <c r="F2333" i="1"/>
  <c r="M2333" i="1"/>
  <c r="U2333" i="1"/>
  <c r="Y2333" i="1" s="1"/>
  <c r="V2333" i="1"/>
  <c r="W2333" i="1" s="1"/>
  <c r="Z2333" i="1"/>
  <c r="A2292" i="1"/>
  <c r="C2292" i="1"/>
  <c r="B2292" i="1" s="1"/>
  <c r="F2292" i="1"/>
  <c r="M2292" i="1"/>
  <c r="O2292" i="1"/>
  <c r="U2292" i="1"/>
  <c r="Y2292" i="1" s="1"/>
  <c r="V2292" i="1"/>
  <c r="W2292" i="1" s="1"/>
  <c r="Z2292" i="1"/>
  <c r="A2298" i="1"/>
  <c r="C2298" i="1"/>
  <c r="B2298" i="1" s="1"/>
  <c r="F2298" i="1"/>
  <c r="M2298" i="1"/>
  <c r="O2298" i="1"/>
  <c r="U2298" i="1"/>
  <c r="Y2298" i="1" s="1"/>
  <c r="V2298" i="1"/>
  <c r="W2298" i="1" s="1"/>
  <c r="Z2298" i="1"/>
  <c r="A2295" i="1"/>
  <c r="C2295" i="1"/>
  <c r="B2295" i="1" s="1"/>
  <c r="F2295" i="1"/>
  <c r="O2295" i="1"/>
  <c r="U2295" i="1"/>
  <c r="Y2295" i="1" s="1"/>
  <c r="V2295" i="1"/>
  <c r="W2295" i="1" s="1"/>
  <c r="Z2295" i="1"/>
  <c r="A2294" i="1"/>
  <c r="C2294" i="1"/>
  <c r="B2294" i="1" s="1"/>
  <c r="F2294" i="1"/>
  <c r="M2294" i="1"/>
  <c r="O2294" i="1"/>
  <c r="U2294" i="1"/>
  <c r="Y2294" i="1" s="1"/>
  <c r="V2294" i="1"/>
  <c r="W2294" i="1" s="1"/>
  <c r="Z2294" i="1"/>
  <c r="A2293" i="1"/>
  <c r="C2293" i="1"/>
  <c r="B2293" i="1" s="1"/>
  <c r="F2293" i="1"/>
  <c r="M2293" i="1"/>
  <c r="O2293" i="1"/>
  <c r="U2293" i="1"/>
  <c r="Y2293" i="1" s="1"/>
  <c r="V2293" i="1"/>
  <c r="W2293" i="1" s="1"/>
  <c r="Z2293" i="1"/>
  <c r="A2284" i="1"/>
  <c r="C2284" i="1"/>
  <c r="B2284" i="1" s="1"/>
  <c r="F2284" i="1"/>
  <c r="M2284" i="1"/>
  <c r="O2284" i="1"/>
  <c r="U2284" i="1"/>
  <c r="Y2284" i="1" s="1"/>
  <c r="V2284" i="1"/>
  <c r="W2284" i="1" s="1"/>
  <c r="Z2284" i="1"/>
  <c r="A2273" i="1"/>
  <c r="C2273" i="1"/>
  <c r="B2273" i="1" s="1"/>
  <c r="F2273" i="1"/>
  <c r="M2273" i="1"/>
  <c r="O2273" i="1"/>
  <c r="U2273" i="1"/>
  <c r="Y2273" i="1" s="1"/>
  <c r="V2273" i="1"/>
  <c r="W2273" i="1" s="1"/>
  <c r="Z2273" i="1"/>
  <c r="A2296" i="1"/>
  <c r="C2296" i="1"/>
  <c r="B2296" i="1" s="1"/>
  <c r="F2296" i="1"/>
  <c r="M2296" i="1"/>
  <c r="O2296" i="1"/>
  <c r="U2296" i="1"/>
  <c r="Y2296" i="1" s="1"/>
  <c r="V2296" i="1"/>
  <c r="W2296" i="1" s="1"/>
  <c r="Z2296" i="1"/>
  <c r="A2252" i="1"/>
  <c r="C2252" i="1"/>
  <c r="B2252" i="1" s="1"/>
  <c r="F2252" i="1"/>
  <c r="M2252" i="1"/>
  <c r="O2252" i="1"/>
  <c r="U2252" i="1"/>
  <c r="Y2252" i="1" s="1"/>
  <c r="V2252" i="1"/>
  <c r="W2252" i="1" s="1"/>
  <c r="Z2252" i="1"/>
  <c r="A2287" i="1"/>
  <c r="C2287" i="1"/>
  <c r="B2287" i="1" s="1"/>
  <c r="F2287" i="1"/>
  <c r="M2287" i="1"/>
  <c r="O2287" i="1"/>
  <c r="U2287" i="1"/>
  <c r="Y2287" i="1" s="1"/>
  <c r="V2287" i="1"/>
  <c r="W2287" i="1" s="1"/>
  <c r="Z2287" i="1"/>
  <c r="A2275" i="1"/>
  <c r="A2279" i="1"/>
  <c r="C2275" i="1"/>
  <c r="B2275" i="1" s="1"/>
  <c r="C2279" i="1"/>
  <c r="B2279" i="1" s="1"/>
  <c r="F2275" i="1"/>
  <c r="F2279" i="1"/>
  <c r="M2275" i="1"/>
  <c r="M2279" i="1"/>
  <c r="O2275" i="1"/>
  <c r="O2279" i="1"/>
  <c r="U2275" i="1"/>
  <c r="Y2275" i="1" s="1"/>
  <c r="U2279" i="1"/>
  <c r="Y2279" i="1" s="1"/>
  <c r="V2275" i="1"/>
  <c r="W2275" i="1" s="1"/>
  <c r="V2279" i="1"/>
  <c r="W2279" i="1" s="1"/>
  <c r="Z2275" i="1"/>
  <c r="Z2279" i="1"/>
  <c r="I167" i="104"/>
  <c r="A167" i="104"/>
  <c r="B167" i="104"/>
  <c r="C167" i="104"/>
  <c r="I166" i="104"/>
  <c r="A166" i="104"/>
  <c r="B166" i="104"/>
  <c r="C166" i="104"/>
  <c r="A2297" i="1"/>
  <c r="C2297" i="1"/>
  <c r="B2297" i="1" s="1"/>
  <c r="F2297" i="1"/>
  <c r="M2297" i="1"/>
  <c r="O2297" i="1"/>
  <c r="U2297" i="1"/>
  <c r="Y2297" i="1" s="1"/>
  <c r="V2297" i="1"/>
  <c r="W2297" i="1" s="1"/>
  <c r="Z2297" i="1"/>
  <c r="A2268" i="1"/>
  <c r="C2268" i="1"/>
  <c r="B2268" i="1" s="1"/>
  <c r="F2268" i="1"/>
  <c r="M2268" i="1"/>
  <c r="O2268" i="1"/>
  <c r="U2268" i="1"/>
  <c r="Y2268" i="1" s="1"/>
  <c r="V2268" i="1"/>
  <c r="W2268" i="1" s="1"/>
  <c r="Z2268" i="1"/>
  <c r="A2267" i="1"/>
  <c r="C2267" i="1"/>
  <c r="B2267" i="1" s="1"/>
  <c r="F2267" i="1"/>
  <c r="M2267" i="1"/>
  <c r="O2267" i="1"/>
  <c r="U2267" i="1"/>
  <c r="Y2267" i="1" s="1"/>
  <c r="V2267" i="1"/>
  <c r="W2267" i="1" s="1"/>
  <c r="Z2267" i="1"/>
  <c r="A2288" i="1"/>
  <c r="C2288" i="1"/>
  <c r="B2288" i="1" s="1"/>
  <c r="F2288" i="1"/>
  <c r="M2288" i="1"/>
  <c r="O2288" i="1"/>
  <c r="U2288" i="1"/>
  <c r="Y2288" i="1" s="1"/>
  <c r="V2288" i="1"/>
  <c r="W2288" i="1" s="1"/>
  <c r="Z2288" i="1"/>
  <c r="A2100" i="1"/>
  <c r="C2100" i="1"/>
  <c r="B2100" i="1" s="1"/>
  <c r="F2100" i="1"/>
  <c r="M2100" i="1"/>
  <c r="O2100" i="1"/>
  <c r="T2100" i="1"/>
  <c r="U2100" i="1"/>
  <c r="Y2100" i="1" s="1"/>
  <c r="V2100" i="1"/>
  <c r="W2100" i="1" s="1"/>
  <c r="Z2100" i="1"/>
  <c r="A2266" i="1"/>
  <c r="C2266" i="1"/>
  <c r="B2266" i="1" s="1"/>
  <c r="F2266" i="1"/>
  <c r="M2266" i="1"/>
  <c r="O2266" i="1"/>
  <c r="U2266" i="1"/>
  <c r="Y2266" i="1" s="1"/>
  <c r="V2266" i="1"/>
  <c r="W2266" i="1" s="1"/>
  <c r="Z2266" i="1"/>
  <c r="A2277" i="1"/>
  <c r="C2277" i="1"/>
  <c r="B2277" i="1" s="1"/>
  <c r="F2277" i="1"/>
  <c r="M2277" i="1"/>
  <c r="O2277" i="1"/>
  <c r="U2277" i="1"/>
  <c r="Y2277" i="1" s="1"/>
  <c r="V2277" i="1"/>
  <c r="W2277" i="1" s="1"/>
  <c r="Z2277" i="1"/>
  <c r="A2276" i="1"/>
  <c r="C2276" i="1"/>
  <c r="B2276" i="1" s="1"/>
  <c r="F2276" i="1"/>
  <c r="M2276" i="1"/>
  <c r="O2276" i="1"/>
  <c r="U2276" i="1"/>
  <c r="Y2276" i="1" s="1"/>
  <c r="V2276" i="1"/>
  <c r="W2276" i="1" s="1"/>
  <c r="Z2276" i="1"/>
  <c r="A2285" i="1"/>
  <c r="C2285" i="1"/>
  <c r="B2285" i="1" s="1"/>
  <c r="F2285" i="1"/>
  <c r="M2285" i="1"/>
  <c r="O2285" i="1"/>
  <c r="U2285" i="1"/>
  <c r="Y2285" i="1" s="1"/>
  <c r="V2285" i="1"/>
  <c r="W2285" i="1" s="1"/>
  <c r="Z2285" i="1"/>
  <c r="A2291" i="1"/>
  <c r="C2291" i="1"/>
  <c r="B2291" i="1" s="1"/>
  <c r="F2291" i="1"/>
  <c r="M2291" i="1"/>
  <c r="O2291" i="1"/>
  <c r="U2291" i="1"/>
  <c r="Y2291" i="1" s="1"/>
  <c r="V2291" i="1"/>
  <c r="W2291" i="1" s="1"/>
  <c r="Z2291" i="1"/>
  <c r="A2274" i="1"/>
  <c r="C2274" i="1"/>
  <c r="B2274" i="1" s="1"/>
  <c r="F2274" i="1"/>
  <c r="M2274" i="1"/>
  <c r="O2274" i="1"/>
  <c r="U2274" i="1"/>
  <c r="Y2274" i="1" s="1"/>
  <c r="V2274" i="1"/>
  <c r="W2274" i="1" s="1"/>
  <c r="Z2274" i="1"/>
  <c r="A2215" i="1"/>
  <c r="C2215" i="1"/>
  <c r="B2215" i="1" s="1"/>
  <c r="F2215" i="1"/>
  <c r="M2215" i="1"/>
  <c r="O2215" i="1"/>
  <c r="U2215" i="1"/>
  <c r="Y2215" i="1" s="1"/>
  <c r="V2215" i="1"/>
  <c r="W2215" i="1" s="1"/>
  <c r="Z2215" i="1"/>
  <c r="A2240" i="1"/>
  <c r="C2240" i="1"/>
  <c r="B2240" i="1" s="1"/>
  <c r="F2240" i="1"/>
  <c r="M2240" i="1"/>
  <c r="O2240" i="1"/>
  <c r="U2240" i="1"/>
  <c r="Y2240" i="1" s="1"/>
  <c r="V2240" i="1"/>
  <c r="W2240" i="1" s="1"/>
  <c r="Z2240" i="1"/>
  <c r="A2243" i="1"/>
  <c r="C2243" i="1"/>
  <c r="B2243" i="1" s="1"/>
  <c r="F2243" i="1"/>
  <c r="M2243" i="1"/>
  <c r="O2243" i="1"/>
  <c r="U2243" i="1"/>
  <c r="Y2243" i="1" s="1"/>
  <c r="V2243" i="1"/>
  <c r="W2243" i="1" s="1"/>
  <c r="Z2243" i="1"/>
  <c r="A2253" i="1"/>
  <c r="A2254" i="1"/>
  <c r="C2253" i="1"/>
  <c r="B2253" i="1" s="1"/>
  <c r="C2254" i="1"/>
  <c r="B2254" i="1" s="1"/>
  <c r="F2253" i="1"/>
  <c r="F2254" i="1"/>
  <c r="M2253" i="1"/>
  <c r="M2254" i="1"/>
  <c r="U2253" i="1"/>
  <c r="Y2253" i="1" s="1"/>
  <c r="U2254" i="1"/>
  <c r="Y2254" i="1" s="1"/>
  <c r="V2253" i="1"/>
  <c r="W2253" i="1" s="1"/>
  <c r="V2254" i="1"/>
  <c r="W2254" i="1" s="1"/>
  <c r="Z2253" i="1"/>
  <c r="Z2254" i="1"/>
  <c r="O2254" i="1"/>
  <c r="O2253" i="1"/>
  <c r="I164" i="104"/>
  <c r="I165" i="104"/>
  <c r="A165" i="104"/>
  <c r="B165" i="104"/>
  <c r="C165" i="104"/>
  <c r="A164" i="104"/>
  <c r="B164" i="104"/>
  <c r="C164" i="104"/>
  <c r="A2214" i="1"/>
  <c r="C2214" i="1"/>
  <c r="B2214" i="1" s="1"/>
  <c r="F2214" i="1"/>
  <c r="M2214" i="1"/>
  <c r="O2214" i="1"/>
  <c r="U2214" i="1"/>
  <c r="Y2214" i="1" s="1"/>
  <c r="V2214" i="1"/>
  <c r="W2214" i="1" s="1"/>
  <c r="Z2214" i="1"/>
  <c r="A2107" i="1"/>
  <c r="C2107" i="1"/>
  <c r="B2107" i="1" s="1"/>
  <c r="F2107" i="1"/>
  <c r="M2107" i="1"/>
  <c r="O2107" i="1"/>
  <c r="T2107" i="1"/>
  <c r="U2107" i="1"/>
  <c r="Y2107" i="1" s="1"/>
  <c r="V2107" i="1"/>
  <c r="W2107" i="1" s="1"/>
  <c r="Z2107" i="1"/>
  <c r="A2163" i="1"/>
  <c r="C2163" i="1"/>
  <c r="B2163" i="1" s="1"/>
  <c r="F2163" i="1"/>
  <c r="M2163" i="1"/>
  <c r="O2163" i="1"/>
  <c r="T2163" i="1"/>
  <c r="U2163" i="1"/>
  <c r="V2163" i="1"/>
  <c r="W2163" i="1" s="1"/>
  <c r="Z2163" i="1"/>
  <c r="A2162" i="1"/>
  <c r="C2162" i="1"/>
  <c r="B2162" i="1" s="1"/>
  <c r="F2162" i="1"/>
  <c r="M2162" i="1"/>
  <c r="O2162" i="1"/>
  <c r="S2162" i="1"/>
  <c r="T2162" i="1"/>
  <c r="U2162" i="1"/>
  <c r="V2162" i="1"/>
  <c r="W2162" i="1" s="1"/>
  <c r="Z2162" i="1"/>
  <c r="R2299" i="1" l="1"/>
  <c r="R2177" i="1"/>
  <c r="R2174" i="1"/>
  <c r="D2174" i="1" s="1"/>
  <c r="R2175" i="1"/>
  <c r="R2178" i="1"/>
  <c r="R2176" i="1"/>
  <c r="T2258" i="1"/>
  <c r="T2259" i="1"/>
  <c r="T2257" i="1"/>
  <c r="T2284" i="1"/>
  <c r="T2282" i="1"/>
  <c r="T2250" i="1"/>
  <c r="T2278" i="1"/>
  <c r="T2247" i="1"/>
  <c r="X2065" i="1"/>
  <c r="X2104" i="1"/>
  <c r="X2161" i="1"/>
  <c r="X2081" i="1"/>
  <c r="X2050" i="1"/>
  <c r="T2081" i="1"/>
  <c r="X2119" i="1"/>
  <c r="T2050" i="1"/>
  <c r="X2101" i="1"/>
  <c r="X2047" i="1"/>
  <c r="X2127" i="1"/>
  <c r="P2127" i="1" s="1"/>
  <c r="T2260" i="1"/>
  <c r="X2282" i="1"/>
  <c r="X2048" i="1"/>
  <c r="X2102" i="1"/>
  <c r="X2049" i="1"/>
  <c r="X2257" i="1"/>
  <c r="X2281" i="1"/>
  <c r="T2289" i="1"/>
  <c r="X2280" i="1"/>
  <c r="X2289" i="1"/>
  <c r="T2290" i="1"/>
  <c r="T2239" i="1"/>
  <c r="X2247" i="1"/>
  <c r="X2278" i="1"/>
  <c r="T2280" i="1"/>
  <c r="X2239" i="1"/>
  <c r="X2290" i="1"/>
  <c r="X2256" i="1"/>
  <c r="X2260" i="1"/>
  <c r="X2258" i="1"/>
  <c r="T2252" i="1"/>
  <c r="T2251" i="1"/>
  <c r="X2259" i="1"/>
  <c r="X2251" i="1"/>
  <c r="X2269" i="1"/>
  <c r="T2287" i="1"/>
  <c r="Y2259" i="1"/>
  <c r="T2294" i="1"/>
  <c r="T2292" i="1"/>
  <c r="X2250" i="1"/>
  <c r="X2286" i="1"/>
  <c r="T2286" i="1"/>
  <c r="T2269" i="1"/>
  <c r="X2333" i="1"/>
  <c r="T2267" i="1"/>
  <c r="X2292" i="1"/>
  <c r="T2333" i="1"/>
  <c r="T2297" i="1"/>
  <c r="T2296" i="1"/>
  <c r="T2293" i="1"/>
  <c r="T2275" i="1"/>
  <c r="T2298" i="1"/>
  <c r="X2298" i="1"/>
  <c r="X2294" i="1"/>
  <c r="X2295" i="1"/>
  <c r="T2295" i="1"/>
  <c r="T2273" i="1"/>
  <c r="X2293" i="1"/>
  <c r="X2284" i="1"/>
  <c r="X2273" i="1"/>
  <c r="T2268" i="1"/>
  <c r="X2252" i="1"/>
  <c r="X2296" i="1"/>
  <c r="T2266" i="1"/>
  <c r="X2279" i="1"/>
  <c r="X2297" i="1"/>
  <c r="X2287" i="1"/>
  <c r="T2279" i="1"/>
  <c r="X2275" i="1"/>
  <c r="X2268" i="1"/>
  <c r="X2288" i="1"/>
  <c r="P2288" i="1" s="1"/>
  <c r="X2267" i="1"/>
  <c r="T2285" i="1"/>
  <c r="T2276" i="1"/>
  <c r="T2288" i="1"/>
  <c r="X2100" i="1"/>
  <c r="X2266" i="1"/>
  <c r="T2277" i="1"/>
  <c r="X2277" i="1"/>
  <c r="X2276" i="1"/>
  <c r="X2285" i="1"/>
  <c r="T2291" i="1"/>
  <c r="X2291" i="1"/>
  <c r="T2274" i="1"/>
  <c r="X2274" i="1"/>
  <c r="X2215" i="1"/>
  <c r="T2215" i="1"/>
  <c r="X2240" i="1"/>
  <c r="T2240" i="1"/>
  <c r="X2243" i="1"/>
  <c r="T2243" i="1"/>
  <c r="T2253" i="1"/>
  <c r="X2254" i="1"/>
  <c r="T2254" i="1"/>
  <c r="X2253" i="1"/>
  <c r="T2214" i="1"/>
  <c r="X2214" i="1"/>
  <c r="X2107" i="1"/>
  <c r="X2163" i="1"/>
  <c r="Y2163" i="1"/>
  <c r="X2162" i="1"/>
  <c r="Y2162" i="1"/>
  <c r="P2257" i="1" l="1"/>
  <c r="D2299" i="1"/>
  <c r="D2178" i="1"/>
  <c r="P2253" i="1"/>
  <c r="P2277" i="1"/>
  <c r="P2273" i="1"/>
  <c r="P2260" i="1"/>
  <c r="P2281" i="1"/>
  <c r="P2107" i="1"/>
  <c r="P2215" i="1"/>
  <c r="Q2288" i="1"/>
  <c r="P2287" i="1"/>
  <c r="P2296" i="1"/>
  <c r="P2284" i="1"/>
  <c r="P2295" i="1"/>
  <c r="P2269" i="1"/>
  <c r="P2256" i="1"/>
  <c r="P2278" i="1"/>
  <c r="P2289" i="1"/>
  <c r="P2282" i="1"/>
  <c r="P2101" i="1"/>
  <c r="P2050" i="1"/>
  <c r="P2065" i="1"/>
  <c r="P2291" i="1"/>
  <c r="P2333" i="1"/>
  <c r="P2047" i="1"/>
  <c r="P2162" i="1"/>
  <c r="P2254" i="1"/>
  <c r="P2274" i="1"/>
  <c r="P2285" i="1"/>
  <c r="P2266" i="1"/>
  <c r="P2268" i="1"/>
  <c r="P2297" i="1"/>
  <c r="P2252" i="1"/>
  <c r="P2293" i="1"/>
  <c r="P2294" i="1"/>
  <c r="P2292" i="1"/>
  <c r="Q2257" i="1"/>
  <c r="P2290" i="1"/>
  <c r="P2247" i="1"/>
  <c r="P2280" i="1"/>
  <c r="P2049" i="1"/>
  <c r="P2081" i="1"/>
  <c r="P2163" i="1"/>
  <c r="P2267" i="1"/>
  <c r="P2250" i="1"/>
  <c r="P2048" i="1"/>
  <c r="P2104" i="1"/>
  <c r="P2243" i="1"/>
  <c r="P2214" i="1"/>
  <c r="P2240" i="1"/>
  <c r="P2276" i="1"/>
  <c r="P2100" i="1"/>
  <c r="P2275" i="1"/>
  <c r="P2279" i="1"/>
  <c r="P2298" i="1"/>
  <c r="P2286" i="1"/>
  <c r="P2251" i="1"/>
  <c r="P2258" i="1"/>
  <c r="Q2258" i="1" s="1"/>
  <c r="P2239" i="1"/>
  <c r="P2102" i="1"/>
  <c r="Q2127" i="1"/>
  <c r="P2119" i="1"/>
  <c r="P2161" i="1"/>
  <c r="D2050" i="1"/>
  <c r="D2065" i="1"/>
  <c r="D2081" i="1"/>
  <c r="D2104" i="1"/>
  <c r="P2259" i="1"/>
  <c r="A2160" i="1"/>
  <c r="C2160" i="1"/>
  <c r="B2160" i="1" s="1"/>
  <c r="F2160" i="1"/>
  <c r="M2160" i="1"/>
  <c r="O2160" i="1"/>
  <c r="U2160" i="1"/>
  <c r="Y2160" i="1" s="1"/>
  <c r="V2160" i="1"/>
  <c r="W2160" i="1" s="1"/>
  <c r="Z2160" i="1"/>
  <c r="A2136" i="1"/>
  <c r="C2136" i="1"/>
  <c r="B2136" i="1" s="1"/>
  <c r="F2136" i="1"/>
  <c r="O2136" i="1"/>
  <c r="S2136" i="1"/>
  <c r="T2136" i="1"/>
  <c r="U2136" i="1"/>
  <c r="Y2136" i="1" s="1"/>
  <c r="V2136" i="1"/>
  <c r="W2136" i="1" s="1"/>
  <c r="Z2136" i="1"/>
  <c r="E1679" i="6"/>
  <c r="F1679" i="6"/>
  <c r="I1679" i="6"/>
  <c r="J1679" i="6"/>
  <c r="A2122" i="1"/>
  <c r="C2122" i="1"/>
  <c r="B2122" i="1" s="1"/>
  <c r="F2122" i="1"/>
  <c r="M2122" i="1"/>
  <c r="O2122" i="1"/>
  <c r="T2122" i="1"/>
  <c r="U2122" i="1"/>
  <c r="Y2122" i="1" s="1"/>
  <c r="V2122" i="1"/>
  <c r="W2122" i="1" s="1"/>
  <c r="Z2122" i="1"/>
  <c r="A2066" i="1"/>
  <c r="C2066" i="1"/>
  <c r="B2066" i="1" s="1"/>
  <c r="F2066" i="1"/>
  <c r="M2066" i="1"/>
  <c r="O2066" i="1"/>
  <c r="U2066" i="1"/>
  <c r="Y2066" i="1" s="1"/>
  <c r="V2066" i="1"/>
  <c r="W2066" i="1" s="1"/>
  <c r="Z2066" i="1"/>
  <c r="A2120" i="1"/>
  <c r="C2120" i="1"/>
  <c r="B2120" i="1" s="1"/>
  <c r="F2120" i="1"/>
  <c r="M2120" i="1"/>
  <c r="O2120" i="1"/>
  <c r="T2120" i="1"/>
  <c r="U2120" i="1"/>
  <c r="Y2120" i="1" s="1"/>
  <c r="V2120" i="1"/>
  <c r="W2120" i="1" s="1"/>
  <c r="Z2120" i="1"/>
  <c r="A2118" i="1"/>
  <c r="C2118" i="1"/>
  <c r="B2118" i="1" s="1"/>
  <c r="F2118" i="1"/>
  <c r="M2118" i="1"/>
  <c r="O2118" i="1"/>
  <c r="S2118" i="1"/>
  <c r="T2118" i="1"/>
  <c r="U2118" i="1"/>
  <c r="Y2118" i="1" s="1"/>
  <c r="V2118" i="1"/>
  <c r="W2118" i="1" s="1"/>
  <c r="Z2118" i="1"/>
  <c r="A2105" i="1"/>
  <c r="C2105" i="1"/>
  <c r="B2105" i="1" s="1"/>
  <c r="F2105" i="1"/>
  <c r="M2105" i="1"/>
  <c r="O2105" i="1"/>
  <c r="T2105" i="1"/>
  <c r="U2105" i="1"/>
  <c r="Y2105" i="1" s="1"/>
  <c r="V2105" i="1"/>
  <c r="W2105" i="1" s="1"/>
  <c r="Z2105" i="1"/>
  <c r="A2103" i="1"/>
  <c r="C2103" i="1"/>
  <c r="B2103" i="1" s="1"/>
  <c r="D2103" i="1"/>
  <c r="F2103" i="1"/>
  <c r="M2103" i="1"/>
  <c r="O2103" i="1"/>
  <c r="S2103" i="1"/>
  <c r="T2103" i="1"/>
  <c r="U2103" i="1"/>
  <c r="Y2103" i="1" s="1"/>
  <c r="V2103" i="1"/>
  <c r="W2103" i="1" s="1"/>
  <c r="Z2103" i="1"/>
  <c r="E1667" i="6"/>
  <c r="F1667" i="6"/>
  <c r="I1667" i="6"/>
  <c r="J1667" i="6"/>
  <c r="E1649" i="6"/>
  <c r="F1649" i="6"/>
  <c r="I1649" i="6"/>
  <c r="J1649" i="6"/>
  <c r="E1631" i="6"/>
  <c r="F1631" i="6"/>
  <c r="I1631" i="6"/>
  <c r="J1631" i="6"/>
  <c r="E1640" i="6"/>
  <c r="I1640" i="6"/>
  <c r="J1640" i="6"/>
  <c r="E1647" i="6"/>
  <c r="F1647" i="6"/>
  <c r="I1647" i="6"/>
  <c r="J1647" i="6"/>
  <c r="E1629" i="6"/>
  <c r="F1629" i="6"/>
  <c r="I1629" i="6"/>
  <c r="J1629" i="6"/>
  <c r="E1638" i="6"/>
  <c r="F1638" i="6"/>
  <c r="I1638" i="6"/>
  <c r="J1638" i="6"/>
  <c r="E1645" i="6"/>
  <c r="I1645" i="6"/>
  <c r="J1645" i="6"/>
  <c r="Q2259" i="1" l="1"/>
  <c r="Q2161" i="1"/>
  <c r="R2127" i="1"/>
  <c r="Q2239" i="1"/>
  <c r="Q2251" i="1"/>
  <c r="Q2298" i="1"/>
  <c r="Q2275" i="1"/>
  <c r="Q2276" i="1"/>
  <c r="Q2214" i="1"/>
  <c r="Q2104" i="1"/>
  <c r="Q2250" i="1"/>
  <c r="Q2163" i="1"/>
  <c r="Q2049" i="1"/>
  <c r="Q2247" i="1"/>
  <c r="R2257" i="1"/>
  <c r="Q2294" i="1"/>
  <c r="Q2252" i="1"/>
  <c r="Q2268" i="1"/>
  <c r="Q2285" i="1"/>
  <c r="Q2254" i="1"/>
  <c r="Q2047" i="1"/>
  <c r="Q2291" i="1"/>
  <c r="Q2050" i="1"/>
  <c r="Q2282" i="1"/>
  <c r="Q2278" i="1"/>
  <c r="Q2269" i="1"/>
  <c r="Q2284" i="1"/>
  <c r="Q2287" i="1"/>
  <c r="Q2215" i="1"/>
  <c r="Q2281" i="1"/>
  <c r="Q2273" i="1"/>
  <c r="Q2253" i="1"/>
  <c r="Q2119" i="1"/>
  <c r="Q2102" i="1"/>
  <c r="R2258" i="1"/>
  <c r="Q2286" i="1"/>
  <c r="Q2279" i="1"/>
  <c r="Q2100" i="1"/>
  <c r="Q2240" i="1"/>
  <c r="Q2243" i="1"/>
  <c r="Q2048" i="1"/>
  <c r="Q2267" i="1"/>
  <c r="Q2081" i="1"/>
  <c r="Q2280" i="1"/>
  <c r="Q2290" i="1"/>
  <c r="Q2292" i="1"/>
  <c r="Q2293" i="1"/>
  <c r="Q2297" i="1"/>
  <c r="Q2266" i="1"/>
  <c r="Q2274" i="1"/>
  <c r="Q2162" i="1"/>
  <c r="Q2333" i="1"/>
  <c r="Q2065" i="1"/>
  <c r="Q2101" i="1"/>
  <c r="Q2289" i="1"/>
  <c r="Q2256" i="1"/>
  <c r="Q2295" i="1"/>
  <c r="Q2296" i="1"/>
  <c r="R2288" i="1"/>
  <c r="Q2107" i="1"/>
  <c r="Q2260" i="1"/>
  <c r="Q2277" i="1"/>
  <c r="T2160" i="1"/>
  <c r="X2160" i="1"/>
  <c r="X2136" i="1"/>
  <c r="R2136" i="1"/>
  <c r="D2136" i="1" s="1"/>
  <c r="X2122" i="1"/>
  <c r="X2066" i="1"/>
  <c r="T2066" i="1"/>
  <c r="X2120" i="1"/>
  <c r="X2118" i="1"/>
  <c r="X2105" i="1"/>
  <c r="X2103" i="1"/>
  <c r="P2103" i="1" s="1"/>
  <c r="Q2103" i="1" l="1"/>
  <c r="P2136" i="1"/>
  <c r="R2277" i="1"/>
  <c r="R2107" i="1"/>
  <c r="R2296" i="1"/>
  <c r="R2256" i="1"/>
  <c r="R2101" i="1"/>
  <c r="R2333" i="1"/>
  <c r="D2384" i="1" s="1"/>
  <c r="R2274" i="1"/>
  <c r="R2297" i="1"/>
  <c r="R2292" i="1"/>
  <c r="R2280" i="1"/>
  <c r="R2267" i="1"/>
  <c r="R2243" i="1"/>
  <c r="R2100" i="1"/>
  <c r="D2100" i="1" s="1"/>
  <c r="R2286" i="1"/>
  <c r="R2102" i="1"/>
  <c r="D2102" i="1" s="1"/>
  <c r="R2253" i="1"/>
  <c r="R2281" i="1"/>
  <c r="R2287" i="1"/>
  <c r="R2269" i="1"/>
  <c r="R2282" i="1"/>
  <c r="R2291" i="1"/>
  <c r="R2254" i="1"/>
  <c r="R2268" i="1"/>
  <c r="R2294" i="1"/>
  <c r="R2247" i="1"/>
  <c r="R2163" i="1"/>
  <c r="D2163" i="1" s="1"/>
  <c r="R2104" i="1"/>
  <c r="R2276" i="1"/>
  <c r="R2298" i="1"/>
  <c r="R2239" i="1"/>
  <c r="R2161" i="1"/>
  <c r="D2161" i="1" s="1"/>
  <c r="P2120" i="1"/>
  <c r="P2105" i="1"/>
  <c r="P2066" i="1"/>
  <c r="P2160" i="1"/>
  <c r="P2118" i="1"/>
  <c r="P2122" i="1"/>
  <c r="R2260" i="1"/>
  <c r="R2295" i="1"/>
  <c r="R2289" i="1"/>
  <c r="R2065" i="1"/>
  <c r="R2162" i="1"/>
  <c r="D2162" i="1" s="1"/>
  <c r="R2266" i="1"/>
  <c r="D2307" i="1" s="1"/>
  <c r="R2293" i="1"/>
  <c r="R2290" i="1"/>
  <c r="R2081" i="1"/>
  <c r="R2048" i="1"/>
  <c r="R2240" i="1"/>
  <c r="R2279" i="1"/>
  <c r="R2119" i="1"/>
  <c r="D2119" i="1" s="1"/>
  <c r="R2273" i="1"/>
  <c r="R2215" i="1"/>
  <c r="R2284" i="1"/>
  <c r="R2278" i="1"/>
  <c r="R2050" i="1"/>
  <c r="R2047" i="1"/>
  <c r="D2047" i="1" s="1"/>
  <c r="R2285" i="1"/>
  <c r="R2252" i="1"/>
  <c r="R2049" i="1"/>
  <c r="R2250" i="1"/>
  <c r="R2214" i="1"/>
  <c r="R2275" i="1"/>
  <c r="R2251" i="1"/>
  <c r="R2259" i="1"/>
  <c r="A2098" i="1"/>
  <c r="C2098" i="1"/>
  <c r="B2098" i="1" s="1"/>
  <c r="F2098" i="1"/>
  <c r="M2098" i="1"/>
  <c r="O2098" i="1"/>
  <c r="T2098" i="1"/>
  <c r="U2098" i="1"/>
  <c r="Y2098" i="1" s="1"/>
  <c r="V2098" i="1"/>
  <c r="W2098" i="1" s="1"/>
  <c r="Z2098" i="1"/>
  <c r="A2097" i="1"/>
  <c r="C2097" i="1"/>
  <c r="B2097" i="1" s="1"/>
  <c r="F2097" i="1"/>
  <c r="M2097" i="1"/>
  <c r="O2097" i="1"/>
  <c r="U2097" i="1"/>
  <c r="V2097" i="1"/>
  <c r="W2097" i="1" s="1"/>
  <c r="Z2097" i="1"/>
  <c r="A2145" i="1"/>
  <c r="C2145" i="1"/>
  <c r="B2145" i="1" s="1"/>
  <c r="F2145" i="1"/>
  <c r="O2145" i="1"/>
  <c r="T2145" i="1"/>
  <c r="U2145" i="1"/>
  <c r="Y2145" i="1" s="1"/>
  <c r="V2145" i="1"/>
  <c r="W2145" i="1" s="1"/>
  <c r="Z2145" i="1"/>
  <c r="D2358" i="1" l="1"/>
  <c r="D2283" i="1"/>
  <c r="D2353" i="1"/>
  <c r="D2345" i="1"/>
  <c r="D2348" i="1"/>
  <c r="D2349" i="1"/>
  <c r="D2340" i="1"/>
  <c r="D2235" i="1"/>
  <c r="D2334" i="1"/>
  <c r="D2265" i="1"/>
  <c r="D2309" i="1"/>
  <c r="D2257" i="1"/>
  <c r="D2306" i="1"/>
  <c r="D2301" i="1"/>
  <c r="D2304" i="1"/>
  <c r="D2305" i="1"/>
  <c r="D2216" i="1"/>
  <c r="D2293" i="1"/>
  <c r="D2294" i="1"/>
  <c r="D2295" i="1"/>
  <c r="Q2118" i="1"/>
  <c r="Q2066" i="1"/>
  <c r="Q2120" i="1"/>
  <c r="D2263" i="1"/>
  <c r="D2256" i="1"/>
  <c r="D2262" i="1"/>
  <c r="D2254" i="1"/>
  <c r="D2261" i="1"/>
  <c r="D2259" i="1"/>
  <c r="D2264" i="1"/>
  <c r="D2258" i="1"/>
  <c r="D2253" i="1"/>
  <c r="D2286" i="1"/>
  <c r="D2182" i="1"/>
  <c r="D2127" i="1"/>
  <c r="D2184" i="1"/>
  <c r="D2183" i="1"/>
  <c r="D2101" i="1"/>
  <c r="D2180" i="1"/>
  <c r="D2179" i="1"/>
  <c r="D2215" i="1"/>
  <c r="D2181" i="1"/>
  <c r="D2185" i="1"/>
  <c r="D2243" i="1"/>
  <c r="D2240" i="1"/>
  <c r="D2281" i="1"/>
  <c r="D2280" i="1"/>
  <c r="D2275" i="1"/>
  <c r="D2279" i="1"/>
  <c r="D2250" i="1"/>
  <c r="D2251" i="1"/>
  <c r="D2289" i="1"/>
  <c r="D2285" i="1"/>
  <c r="D2273" i="1"/>
  <c r="D2290" i="1"/>
  <c r="Q2122" i="1"/>
  <c r="Q2160" i="1"/>
  <c r="Q2105" i="1"/>
  <c r="D2049" i="1"/>
  <c r="D2247" i="1"/>
  <c r="D2048" i="1"/>
  <c r="D2269" i="1"/>
  <c r="D2267" i="1"/>
  <c r="D2268" i="1"/>
  <c r="D2298" i="1"/>
  <c r="D2292" i="1"/>
  <c r="D2274" i="1"/>
  <c r="R2103" i="1"/>
  <c r="X2098" i="1"/>
  <c r="X2097" i="1"/>
  <c r="T2097" i="1"/>
  <c r="Y2097" i="1"/>
  <c r="X2145" i="1"/>
  <c r="R2160" i="1" l="1"/>
  <c r="R2066" i="1"/>
  <c r="D2066" i="1" s="1"/>
  <c r="P2145" i="1"/>
  <c r="P2098" i="1"/>
  <c r="R2105" i="1"/>
  <c r="D2105" i="1" s="1"/>
  <c r="R2122" i="1"/>
  <c r="D2122" i="1" s="1"/>
  <c r="R2120" i="1"/>
  <c r="D2120" i="1" s="1"/>
  <c r="R2118" i="1"/>
  <c r="P2097" i="1"/>
  <c r="D2097" i="1"/>
  <c r="D2098" i="1"/>
  <c r="Q2098" i="1" l="1"/>
  <c r="Q2097" i="1"/>
  <c r="Q2145" i="1"/>
  <c r="A2090" i="1"/>
  <c r="C2090" i="1"/>
  <c r="B2090" i="1" s="1"/>
  <c r="F2090" i="1"/>
  <c r="M2090" i="1"/>
  <c r="O2090" i="1"/>
  <c r="U2090" i="1"/>
  <c r="Y2090" i="1" s="1"/>
  <c r="V2090" i="1"/>
  <c r="W2090" i="1" s="1"/>
  <c r="Z2090" i="1"/>
  <c r="A2234" i="1"/>
  <c r="C2234" i="1"/>
  <c r="B2234" i="1" s="1"/>
  <c r="F2234" i="1"/>
  <c r="M2234" i="1"/>
  <c r="O2234" i="1"/>
  <c r="T2234" i="1"/>
  <c r="U2234" i="1"/>
  <c r="Y2234" i="1" s="1"/>
  <c r="V2234" i="1"/>
  <c r="W2234" i="1" s="1"/>
  <c r="Z2234" i="1"/>
  <c r="A2231" i="1"/>
  <c r="A2255" i="1"/>
  <c r="C2231" i="1"/>
  <c r="B2231" i="1" s="1"/>
  <c r="C2255" i="1"/>
  <c r="B2255" i="1" s="1"/>
  <c r="F2231" i="1"/>
  <c r="F2255" i="1"/>
  <c r="M2255" i="1"/>
  <c r="O2231" i="1"/>
  <c r="O2255" i="1"/>
  <c r="U2231" i="1"/>
  <c r="Y2231" i="1" s="1"/>
  <c r="U2255" i="1"/>
  <c r="Y2255" i="1" s="1"/>
  <c r="V2231" i="1"/>
  <c r="W2231" i="1" s="1"/>
  <c r="V2255" i="1"/>
  <c r="W2255" i="1" s="1"/>
  <c r="Z2231" i="1"/>
  <c r="Z2255" i="1"/>
  <c r="A2203" i="1"/>
  <c r="C2203" i="1"/>
  <c r="B2203" i="1" s="1"/>
  <c r="F2203" i="1"/>
  <c r="M2203" i="1"/>
  <c r="O2203" i="1"/>
  <c r="U2203" i="1"/>
  <c r="Y2203" i="1" s="1"/>
  <c r="V2203" i="1"/>
  <c r="W2203" i="1" s="1"/>
  <c r="Z2203" i="1"/>
  <c r="A2099" i="1"/>
  <c r="C2099" i="1"/>
  <c r="B2099" i="1" s="1"/>
  <c r="F2099" i="1"/>
  <c r="M2099" i="1"/>
  <c r="O2099" i="1"/>
  <c r="U2099" i="1"/>
  <c r="Y2099" i="1" s="1"/>
  <c r="V2099" i="1"/>
  <c r="W2099" i="1" s="1"/>
  <c r="Z2099" i="1"/>
  <c r="A2156" i="1"/>
  <c r="C2156" i="1"/>
  <c r="B2156" i="1" s="1"/>
  <c r="F2156" i="1"/>
  <c r="M2156" i="1"/>
  <c r="O2156" i="1"/>
  <c r="U2156" i="1"/>
  <c r="Y2156" i="1" s="1"/>
  <c r="V2156" i="1"/>
  <c r="W2156" i="1" s="1"/>
  <c r="Z2156" i="1"/>
  <c r="A2233" i="1"/>
  <c r="C2233" i="1"/>
  <c r="B2233" i="1" s="1"/>
  <c r="F2233" i="1"/>
  <c r="M2233" i="1"/>
  <c r="O2233" i="1"/>
  <c r="U2233" i="1"/>
  <c r="Y2233" i="1" s="1"/>
  <c r="V2233" i="1"/>
  <c r="W2233" i="1" s="1"/>
  <c r="Z2233" i="1"/>
  <c r="A2248" i="1"/>
  <c r="C2248" i="1"/>
  <c r="B2248" i="1" s="1"/>
  <c r="F2248" i="1"/>
  <c r="M2248" i="1"/>
  <c r="O2248" i="1"/>
  <c r="U2248" i="1"/>
  <c r="Y2248" i="1" s="1"/>
  <c r="V2248" i="1"/>
  <c r="W2248" i="1" s="1"/>
  <c r="Z2248" i="1"/>
  <c r="A2200" i="1"/>
  <c r="C2200" i="1"/>
  <c r="B2200" i="1" s="1"/>
  <c r="F2200" i="1"/>
  <c r="M2200" i="1"/>
  <c r="O2200" i="1"/>
  <c r="U2200" i="1"/>
  <c r="Y2200" i="1" s="1"/>
  <c r="V2200" i="1"/>
  <c r="W2200" i="1" s="1"/>
  <c r="Z2200" i="1"/>
  <c r="A2246" i="1"/>
  <c r="C2246" i="1"/>
  <c r="B2246" i="1" s="1"/>
  <c r="F2246" i="1"/>
  <c r="M2246" i="1"/>
  <c r="O2246" i="1"/>
  <c r="U2246" i="1"/>
  <c r="Y2246" i="1" s="1"/>
  <c r="V2246" i="1"/>
  <c r="W2246" i="1" s="1"/>
  <c r="Z2246" i="1"/>
  <c r="A2249" i="1"/>
  <c r="C2249" i="1"/>
  <c r="B2249" i="1" s="1"/>
  <c r="F2249" i="1"/>
  <c r="M2249" i="1"/>
  <c r="O2249" i="1"/>
  <c r="U2249" i="1"/>
  <c r="Y2249" i="1" s="1"/>
  <c r="V2249" i="1"/>
  <c r="W2249" i="1" s="1"/>
  <c r="Z2249" i="1"/>
  <c r="A2272" i="1"/>
  <c r="C2272" i="1"/>
  <c r="B2272" i="1" s="1"/>
  <c r="F2272" i="1"/>
  <c r="M2272" i="1"/>
  <c r="O2272" i="1"/>
  <c r="U2272" i="1"/>
  <c r="Y2272" i="1" s="1"/>
  <c r="V2272" i="1"/>
  <c r="W2272" i="1" s="1"/>
  <c r="Z2272" i="1"/>
  <c r="A2212" i="1"/>
  <c r="C2212" i="1"/>
  <c r="B2212" i="1" s="1"/>
  <c r="F2212" i="1"/>
  <c r="M2212" i="1"/>
  <c r="O2212" i="1"/>
  <c r="U2212" i="1"/>
  <c r="Y2212" i="1" s="1"/>
  <c r="V2212" i="1"/>
  <c r="W2212" i="1" s="1"/>
  <c r="Z2212" i="1"/>
  <c r="A2045" i="1"/>
  <c r="C2045" i="1"/>
  <c r="B2045" i="1" s="1"/>
  <c r="F2045" i="1"/>
  <c r="M2045" i="1"/>
  <c r="O2045" i="1"/>
  <c r="T2045" i="1"/>
  <c r="U2045" i="1"/>
  <c r="Y2045" i="1" s="1"/>
  <c r="V2045" i="1"/>
  <c r="W2045" i="1" s="1"/>
  <c r="Z2045" i="1"/>
  <c r="A2046" i="1"/>
  <c r="C2046" i="1"/>
  <c r="B2046" i="1" s="1"/>
  <c r="F2046" i="1"/>
  <c r="M2046" i="1"/>
  <c r="O2046" i="1"/>
  <c r="T2046" i="1"/>
  <c r="U2046" i="1"/>
  <c r="Y2046" i="1" s="1"/>
  <c r="V2046" i="1"/>
  <c r="W2046" i="1" s="1"/>
  <c r="Z2046" i="1"/>
  <c r="A2067" i="1"/>
  <c r="C2067" i="1"/>
  <c r="B2067" i="1" s="1"/>
  <c r="F2067" i="1"/>
  <c r="M2067" i="1"/>
  <c r="O2067" i="1"/>
  <c r="T2067" i="1"/>
  <c r="U2067" i="1"/>
  <c r="Y2067" i="1" s="1"/>
  <c r="V2067" i="1"/>
  <c r="W2067" i="1" s="1"/>
  <c r="Z2067" i="1"/>
  <c r="A2210" i="1"/>
  <c r="C2210" i="1"/>
  <c r="B2210" i="1" s="1"/>
  <c r="F2210" i="1"/>
  <c r="M2210" i="1"/>
  <c r="O2210" i="1"/>
  <c r="U2210" i="1"/>
  <c r="Y2210" i="1" s="1"/>
  <c r="V2210" i="1"/>
  <c r="W2210" i="1" s="1"/>
  <c r="Z2210" i="1"/>
  <c r="A2044" i="1"/>
  <c r="C2044" i="1"/>
  <c r="B2044" i="1" s="1"/>
  <c r="F2044" i="1"/>
  <c r="M2044" i="1"/>
  <c r="O2044" i="1"/>
  <c r="T2044" i="1"/>
  <c r="U2044" i="1"/>
  <c r="Y2044" i="1" s="1"/>
  <c r="V2044" i="1"/>
  <c r="W2044" i="1" s="1"/>
  <c r="Z2044" i="1"/>
  <c r="A2238" i="1"/>
  <c r="C2238" i="1"/>
  <c r="B2238" i="1" s="1"/>
  <c r="F2238" i="1"/>
  <c r="M2238" i="1"/>
  <c r="O2238" i="1"/>
  <c r="U2238" i="1"/>
  <c r="Y2238" i="1" s="1"/>
  <c r="V2238" i="1"/>
  <c r="W2238" i="1" s="1"/>
  <c r="Z2238" i="1"/>
  <c r="A2168" i="1"/>
  <c r="C2168" i="1"/>
  <c r="B2168" i="1" s="1"/>
  <c r="F2168" i="1"/>
  <c r="M2168" i="1"/>
  <c r="O2168" i="1"/>
  <c r="U2168" i="1"/>
  <c r="Y2168" i="1" s="1"/>
  <c r="V2168" i="1"/>
  <c r="W2168" i="1" s="1"/>
  <c r="Z2168" i="1"/>
  <c r="A2211" i="1"/>
  <c r="C2211" i="1"/>
  <c r="B2211" i="1" s="1"/>
  <c r="F2211" i="1"/>
  <c r="M2211" i="1"/>
  <c r="O2211" i="1"/>
  <c r="U2211" i="1"/>
  <c r="Y2211" i="1" s="1"/>
  <c r="V2211" i="1"/>
  <c r="W2211" i="1" s="1"/>
  <c r="Z2211" i="1"/>
  <c r="A2237" i="1"/>
  <c r="C2237" i="1"/>
  <c r="B2237" i="1" s="1"/>
  <c r="F2237" i="1"/>
  <c r="M2237" i="1"/>
  <c r="O2237" i="1"/>
  <c r="U2237" i="1"/>
  <c r="Y2237" i="1" s="1"/>
  <c r="V2237" i="1"/>
  <c r="W2237" i="1" s="1"/>
  <c r="Z2237" i="1"/>
  <c r="A2128" i="1"/>
  <c r="C2128" i="1"/>
  <c r="B2128" i="1" s="1"/>
  <c r="F2128" i="1"/>
  <c r="M2128" i="1"/>
  <c r="O2128" i="1"/>
  <c r="T2128" i="1"/>
  <c r="U2128" i="1"/>
  <c r="Y2128" i="1" s="1"/>
  <c r="V2128" i="1"/>
  <c r="W2128" i="1" s="1"/>
  <c r="Z2128" i="1"/>
  <c r="A2133" i="1"/>
  <c r="C2133" i="1"/>
  <c r="B2133" i="1" s="1"/>
  <c r="F2133" i="1"/>
  <c r="M2133" i="1"/>
  <c r="O2133" i="1"/>
  <c r="T2133" i="1"/>
  <c r="U2133" i="1"/>
  <c r="Y2133" i="1" s="1"/>
  <c r="V2133" i="1"/>
  <c r="W2133" i="1" s="1"/>
  <c r="Z2133" i="1"/>
  <c r="A2135" i="1"/>
  <c r="C2135" i="1"/>
  <c r="B2135" i="1" s="1"/>
  <c r="F2135" i="1"/>
  <c r="M2135" i="1"/>
  <c r="O2135" i="1"/>
  <c r="T2135" i="1"/>
  <c r="U2135" i="1"/>
  <c r="Y2135" i="1" s="1"/>
  <c r="V2135" i="1"/>
  <c r="W2135" i="1" s="1"/>
  <c r="Z2135" i="1"/>
  <c r="A2134" i="1"/>
  <c r="C2134" i="1"/>
  <c r="B2134" i="1" s="1"/>
  <c r="F2134" i="1"/>
  <c r="M2134" i="1"/>
  <c r="O2134" i="1"/>
  <c r="T2134" i="1"/>
  <c r="U2134" i="1"/>
  <c r="V2134" i="1"/>
  <c r="W2134" i="1" s="1"/>
  <c r="Z2134" i="1"/>
  <c r="A2132" i="1"/>
  <c r="C2132" i="1"/>
  <c r="B2132" i="1" s="1"/>
  <c r="D2132" i="1"/>
  <c r="F2132" i="1"/>
  <c r="M2132" i="1"/>
  <c r="O2132" i="1"/>
  <c r="S2132" i="1"/>
  <c r="T2132" i="1"/>
  <c r="U2132" i="1"/>
  <c r="V2132" i="1"/>
  <c r="W2132" i="1" s="1"/>
  <c r="Z2132" i="1"/>
  <c r="A2131" i="1"/>
  <c r="C2131" i="1"/>
  <c r="B2131" i="1" s="1"/>
  <c r="F2131" i="1"/>
  <c r="M2131" i="1"/>
  <c r="O2131" i="1"/>
  <c r="S2131" i="1"/>
  <c r="T2131" i="1"/>
  <c r="U2131" i="1"/>
  <c r="V2131" i="1"/>
  <c r="W2131" i="1" s="1"/>
  <c r="Z2131" i="1"/>
  <c r="R2097" i="1" l="1"/>
  <c r="R2145" i="1"/>
  <c r="D2145" i="1" s="1"/>
  <c r="R2098" i="1"/>
  <c r="T2233" i="1"/>
  <c r="T2272" i="1"/>
  <c r="T2255" i="1"/>
  <c r="T2090" i="1"/>
  <c r="X2090" i="1"/>
  <c r="T2156" i="1"/>
  <c r="X2234" i="1"/>
  <c r="T2249" i="1"/>
  <c r="X2231" i="1"/>
  <c r="T2231" i="1"/>
  <c r="X2255" i="1"/>
  <c r="T2246" i="1"/>
  <c r="X2248" i="1"/>
  <c r="T2099" i="1"/>
  <c r="X2203" i="1"/>
  <c r="T2203" i="1"/>
  <c r="X2156" i="1"/>
  <c r="X2099" i="1"/>
  <c r="X2200" i="1"/>
  <c r="X2233" i="1"/>
  <c r="T2248" i="1"/>
  <c r="T2200" i="1"/>
  <c r="X2246" i="1"/>
  <c r="X2249" i="1"/>
  <c r="T2210" i="1"/>
  <c r="T2212" i="1"/>
  <c r="X2272" i="1"/>
  <c r="X2212" i="1"/>
  <c r="T2238" i="1"/>
  <c r="T2237" i="1"/>
  <c r="X2045" i="1"/>
  <c r="T2168" i="1"/>
  <c r="X2067" i="1"/>
  <c r="X2046" i="1"/>
  <c r="X2210" i="1"/>
  <c r="T2211" i="1"/>
  <c r="X2238" i="1"/>
  <c r="X2211" i="1"/>
  <c r="X2044" i="1"/>
  <c r="X2128" i="1"/>
  <c r="X2237" i="1"/>
  <c r="X2168" i="1"/>
  <c r="X2133" i="1"/>
  <c r="X2135" i="1"/>
  <c r="X2134" i="1"/>
  <c r="Y2134" i="1"/>
  <c r="X2132" i="1"/>
  <c r="X2131" i="1"/>
  <c r="Y2132" i="1"/>
  <c r="Y2131" i="1"/>
  <c r="P2133" i="1" l="1"/>
  <c r="P2238" i="1"/>
  <c r="P2156" i="1"/>
  <c r="P2231" i="1"/>
  <c r="P2090" i="1"/>
  <c r="P2128" i="1"/>
  <c r="P2212" i="1"/>
  <c r="P2249" i="1"/>
  <c r="P2233" i="1"/>
  <c r="P2044" i="1"/>
  <c r="P2210" i="1"/>
  <c r="P2045" i="1"/>
  <c r="P2272" i="1"/>
  <c r="P2246" i="1"/>
  <c r="P2200" i="1"/>
  <c r="P2203" i="1"/>
  <c r="P2255" i="1"/>
  <c r="P2234" i="1"/>
  <c r="P2237" i="1"/>
  <c r="P2067" i="1"/>
  <c r="P2248" i="1"/>
  <c r="P2135" i="1"/>
  <c r="P2168" i="1"/>
  <c r="P2211" i="1"/>
  <c r="P2046" i="1"/>
  <c r="P2099" i="1"/>
  <c r="D2210" i="1"/>
  <c r="D2278" i="1"/>
  <c r="D2067" i="1"/>
  <c r="D2046" i="1"/>
  <c r="P2134" i="1"/>
  <c r="D2134" i="1"/>
  <c r="D2135" i="1"/>
  <c r="P2131" i="1"/>
  <c r="P2132" i="1"/>
  <c r="Q2132" i="1" l="1"/>
  <c r="Q2134" i="1"/>
  <c r="Q2099" i="1"/>
  <c r="Q2211" i="1"/>
  <c r="Q2135" i="1"/>
  <c r="Q2067" i="1"/>
  <c r="Q2234" i="1"/>
  <c r="Q2203" i="1"/>
  <c r="Q2246" i="1"/>
  <c r="Q2045" i="1"/>
  <c r="Q2044" i="1"/>
  <c r="Q2249" i="1"/>
  <c r="Q2128" i="1"/>
  <c r="Q2231" i="1"/>
  <c r="Q2238" i="1"/>
  <c r="Q2131" i="1"/>
  <c r="Q2046" i="1"/>
  <c r="Q2168" i="1"/>
  <c r="Q2248" i="1"/>
  <c r="Q2237" i="1"/>
  <c r="Q2255" i="1"/>
  <c r="Q2200" i="1"/>
  <c r="Q2272" i="1"/>
  <c r="Q2210" i="1"/>
  <c r="Q2233" i="1"/>
  <c r="Q2212" i="1"/>
  <c r="Q2090" i="1"/>
  <c r="Q2156" i="1"/>
  <c r="Q2133" i="1"/>
  <c r="A2142" i="1"/>
  <c r="C2142" i="1"/>
  <c r="B2142" i="1" s="1"/>
  <c r="F2142" i="1"/>
  <c r="M2142" i="1"/>
  <c r="O2142" i="1"/>
  <c r="U2142" i="1"/>
  <c r="Y2142" i="1" s="1"/>
  <c r="V2142" i="1"/>
  <c r="W2142" i="1" s="1"/>
  <c r="Z2142" i="1"/>
  <c r="I163" i="104"/>
  <c r="A163" i="104"/>
  <c r="B163" i="104"/>
  <c r="C163" i="104"/>
  <c r="A2109" i="1"/>
  <c r="C2109" i="1"/>
  <c r="B2109" i="1" s="1"/>
  <c r="D2109" i="1"/>
  <c r="F2109" i="1"/>
  <c r="M2109" i="1"/>
  <c r="S2109" i="1"/>
  <c r="T2109" i="1"/>
  <c r="U2109" i="1"/>
  <c r="Y2109" i="1" s="1"/>
  <c r="V2109" i="1"/>
  <c r="W2109" i="1" s="1"/>
  <c r="Z2109" i="1"/>
  <c r="A2110" i="1"/>
  <c r="C2110" i="1"/>
  <c r="B2110" i="1" s="1"/>
  <c r="D2110" i="1"/>
  <c r="F2110" i="1"/>
  <c r="M2110" i="1"/>
  <c r="O2110" i="1"/>
  <c r="S2110" i="1"/>
  <c r="T2110" i="1"/>
  <c r="U2110" i="1"/>
  <c r="Y2110" i="1" s="1"/>
  <c r="V2110" i="1"/>
  <c r="W2110" i="1" s="1"/>
  <c r="Z2110" i="1"/>
  <c r="A2112" i="1"/>
  <c r="C2112" i="1"/>
  <c r="B2112" i="1" s="1"/>
  <c r="D2112" i="1"/>
  <c r="F2112" i="1"/>
  <c r="M2112" i="1"/>
  <c r="O2112" i="1"/>
  <c r="S2112" i="1"/>
  <c r="T2112" i="1"/>
  <c r="U2112" i="1"/>
  <c r="V2112" i="1"/>
  <c r="W2112" i="1" s="1"/>
  <c r="Z2112" i="1"/>
  <c r="R2133" i="1" l="1"/>
  <c r="D2133" i="1" s="1"/>
  <c r="R2090" i="1"/>
  <c r="D2090" i="1" s="1"/>
  <c r="R2233" i="1"/>
  <c r="R2272" i="1"/>
  <c r="R2255" i="1"/>
  <c r="D2313" i="1" s="1"/>
  <c r="R2248" i="1"/>
  <c r="R2046" i="1"/>
  <c r="R2131" i="1"/>
  <c r="D2131" i="1" s="1"/>
  <c r="R2231" i="1"/>
  <c r="R2249" i="1"/>
  <c r="R2045" i="1"/>
  <c r="R2203" i="1"/>
  <c r="R2067" i="1"/>
  <c r="R2211" i="1"/>
  <c r="R2134" i="1"/>
  <c r="R2156" i="1"/>
  <c r="R2212" i="1"/>
  <c r="D2212" i="1" s="1"/>
  <c r="R2210" i="1"/>
  <c r="R2200" i="1"/>
  <c r="R2237" i="1"/>
  <c r="R2168" i="1"/>
  <c r="D2168" i="1" s="1"/>
  <c r="R2238" i="1"/>
  <c r="R2128" i="1"/>
  <c r="D2128" i="1" s="1"/>
  <c r="R2044" i="1"/>
  <c r="R2246" i="1"/>
  <c r="D2308" i="1" s="1"/>
  <c r="R2234" i="1"/>
  <c r="R2135" i="1"/>
  <c r="R2099" i="1"/>
  <c r="R2132" i="1"/>
  <c r="T2142" i="1"/>
  <c r="X2142" i="1"/>
  <c r="X2112" i="1"/>
  <c r="X2109" i="1"/>
  <c r="X2110" i="1"/>
  <c r="Y2112" i="1"/>
  <c r="D2249" i="1" l="1"/>
  <c r="D2284" i="1"/>
  <c r="P2110" i="1"/>
  <c r="D2238" i="1"/>
  <c r="D2239" i="1"/>
  <c r="D2300" i="1"/>
  <c r="D2260" i="1"/>
  <c r="D2203" i="1"/>
  <c r="D2255" i="1"/>
  <c r="D2231" i="1"/>
  <c r="P2109" i="1"/>
  <c r="P2142" i="1"/>
  <c r="P2112" i="1"/>
  <c r="A2221" i="1"/>
  <c r="C2221" i="1"/>
  <c r="B2221" i="1" s="1"/>
  <c r="F2221" i="1"/>
  <c r="M2221" i="1"/>
  <c r="O2221" i="1"/>
  <c r="U2221" i="1"/>
  <c r="Y2221" i="1" s="1"/>
  <c r="V2221" i="1"/>
  <c r="W2221" i="1" s="1"/>
  <c r="Z2221" i="1"/>
  <c r="A2220" i="1"/>
  <c r="C2220" i="1"/>
  <c r="B2220" i="1" s="1"/>
  <c r="F2220" i="1"/>
  <c r="M2220" i="1"/>
  <c r="O2220" i="1"/>
  <c r="U2220" i="1"/>
  <c r="Y2220" i="1" s="1"/>
  <c r="V2220" i="1"/>
  <c r="W2220" i="1" s="1"/>
  <c r="Z2220" i="1"/>
  <c r="A2144" i="1"/>
  <c r="A2141" i="1"/>
  <c r="C2144" i="1"/>
  <c r="B2144" i="1" s="1"/>
  <c r="C2141" i="1"/>
  <c r="B2141" i="1" s="1"/>
  <c r="F2144" i="1"/>
  <c r="F2141" i="1"/>
  <c r="M2144" i="1"/>
  <c r="M2141" i="1"/>
  <c r="O2144" i="1"/>
  <c r="O2141" i="1"/>
  <c r="T2144" i="1"/>
  <c r="T2141" i="1"/>
  <c r="U2144" i="1"/>
  <c r="Y2144" i="1" s="1"/>
  <c r="U2141" i="1"/>
  <c r="Y2141" i="1" s="1"/>
  <c r="V2144" i="1"/>
  <c r="W2144" i="1" s="1"/>
  <c r="V2141" i="1"/>
  <c r="W2141" i="1" s="1"/>
  <c r="Z2144" i="1"/>
  <c r="Z2141" i="1"/>
  <c r="I162" i="104"/>
  <c r="A162" i="104"/>
  <c r="B162" i="104"/>
  <c r="C162" i="104"/>
  <c r="I161" i="104"/>
  <c r="A161" i="104"/>
  <c r="B161" i="104"/>
  <c r="C161" i="104"/>
  <c r="A2092" i="1"/>
  <c r="C2092" i="1"/>
  <c r="B2092" i="1" s="1"/>
  <c r="D2092" i="1"/>
  <c r="F2092" i="1"/>
  <c r="M2092" i="1"/>
  <c r="O2092" i="1"/>
  <c r="S2092" i="1"/>
  <c r="T2092" i="1"/>
  <c r="U2092" i="1"/>
  <c r="Y2092" i="1" s="1"/>
  <c r="V2092" i="1"/>
  <c r="W2092" i="1" s="1"/>
  <c r="Z2092" i="1"/>
  <c r="A2091" i="1"/>
  <c r="C2091" i="1"/>
  <c r="B2091" i="1" s="1"/>
  <c r="D2091" i="1"/>
  <c r="F2091" i="1"/>
  <c r="M2091" i="1"/>
  <c r="O2091" i="1"/>
  <c r="S2091" i="1"/>
  <c r="T2091" i="1"/>
  <c r="U2091" i="1"/>
  <c r="Y2091" i="1" s="1"/>
  <c r="V2091" i="1"/>
  <c r="W2091" i="1" s="1"/>
  <c r="Z2091" i="1"/>
  <c r="A2093" i="1"/>
  <c r="C2093" i="1"/>
  <c r="B2093" i="1" s="1"/>
  <c r="D2093" i="1"/>
  <c r="F2093" i="1"/>
  <c r="O2093" i="1"/>
  <c r="S2093" i="1"/>
  <c r="T2093" i="1"/>
  <c r="U2093" i="1"/>
  <c r="Y2093" i="1" s="1"/>
  <c r="V2093" i="1"/>
  <c r="W2093" i="1" s="1"/>
  <c r="Z2093" i="1"/>
  <c r="A2087" i="1"/>
  <c r="C2087" i="1"/>
  <c r="B2087" i="1" s="1"/>
  <c r="D2087" i="1"/>
  <c r="F2087" i="1"/>
  <c r="M2087" i="1"/>
  <c r="O2087" i="1"/>
  <c r="S2087" i="1"/>
  <c r="T2087" i="1"/>
  <c r="U2087" i="1"/>
  <c r="Y2087" i="1" s="1"/>
  <c r="V2087" i="1"/>
  <c r="W2087" i="1" s="1"/>
  <c r="Z2087" i="1"/>
  <c r="A2068" i="1"/>
  <c r="C2068" i="1"/>
  <c r="B2068" i="1" s="1"/>
  <c r="F2068" i="1"/>
  <c r="M2068" i="1"/>
  <c r="O2068" i="1"/>
  <c r="S2068" i="1"/>
  <c r="T2068" i="1"/>
  <c r="U2068" i="1"/>
  <c r="Y2068" i="1" s="1"/>
  <c r="V2068" i="1"/>
  <c r="W2068" i="1" s="1"/>
  <c r="Z2068" i="1"/>
  <c r="A2088" i="1"/>
  <c r="C2088" i="1"/>
  <c r="B2088" i="1" s="1"/>
  <c r="F2088" i="1"/>
  <c r="M2088" i="1"/>
  <c r="O2088" i="1"/>
  <c r="S2088" i="1"/>
  <c r="T2088" i="1"/>
  <c r="U2088" i="1"/>
  <c r="Y2088" i="1" s="1"/>
  <c r="V2088" i="1"/>
  <c r="W2088" i="1" s="1"/>
  <c r="Z2088" i="1"/>
  <c r="A1952" i="1"/>
  <c r="C1952" i="1"/>
  <c r="B1952" i="1" s="1"/>
  <c r="F1952" i="1"/>
  <c r="M1952" i="1"/>
  <c r="O1952" i="1"/>
  <c r="S1952" i="1"/>
  <c r="T1952" i="1"/>
  <c r="U1952" i="1"/>
  <c r="Y1952" i="1" s="1"/>
  <c r="V1952" i="1"/>
  <c r="W1952" i="1" s="1"/>
  <c r="Z1952" i="1"/>
  <c r="A1963" i="1"/>
  <c r="C1963" i="1"/>
  <c r="B1963" i="1" s="1"/>
  <c r="F1963" i="1"/>
  <c r="M1963" i="1"/>
  <c r="O1963" i="1"/>
  <c r="S1963" i="1"/>
  <c r="T1963" i="1"/>
  <c r="U1963" i="1"/>
  <c r="Y1963" i="1" s="1"/>
  <c r="V1963" i="1"/>
  <c r="W1963" i="1" s="1"/>
  <c r="Z1963" i="1"/>
  <c r="A2155" i="1"/>
  <c r="C2155" i="1"/>
  <c r="B2155" i="1" s="1"/>
  <c r="F2155" i="1"/>
  <c r="M2155" i="1"/>
  <c r="O2155" i="1"/>
  <c r="U2155" i="1"/>
  <c r="Y2155" i="1" s="1"/>
  <c r="V2155" i="1"/>
  <c r="W2155" i="1" s="1"/>
  <c r="Z2155" i="1"/>
  <c r="Q2110" i="1" l="1"/>
  <c r="Q2142" i="1"/>
  <c r="Q2112" i="1"/>
  <c r="Q2109" i="1"/>
  <c r="T2220" i="1"/>
  <c r="T2221" i="1"/>
  <c r="X2221" i="1"/>
  <c r="X2220" i="1"/>
  <c r="X2141" i="1"/>
  <c r="X2144" i="1"/>
  <c r="X2091" i="1"/>
  <c r="T2155" i="1"/>
  <c r="X2092" i="1"/>
  <c r="X2093" i="1"/>
  <c r="X2087" i="1"/>
  <c r="X1963" i="1"/>
  <c r="X1952" i="1"/>
  <c r="X2088" i="1"/>
  <c r="X2068" i="1"/>
  <c r="D2088" i="1"/>
  <c r="D1963" i="1"/>
  <c r="D2068" i="1"/>
  <c r="D1952" i="1"/>
  <c r="X2155" i="1"/>
  <c r="P2068" i="1" l="1"/>
  <c r="P2087" i="1"/>
  <c r="P2091" i="1"/>
  <c r="P2221" i="1"/>
  <c r="R2109" i="1"/>
  <c r="P2155" i="1"/>
  <c r="P2088" i="1"/>
  <c r="P2093" i="1"/>
  <c r="P2144" i="1"/>
  <c r="P1952" i="1"/>
  <c r="Q2092" i="1"/>
  <c r="P2141" i="1"/>
  <c r="R2112" i="1"/>
  <c r="R2110" i="1"/>
  <c r="P1963" i="1"/>
  <c r="P2220" i="1"/>
  <c r="R2142" i="1"/>
  <c r="A2070" i="1"/>
  <c r="C2070" i="1"/>
  <c r="B2070" i="1" s="1"/>
  <c r="D2070" i="1"/>
  <c r="F2070" i="1"/>
  <c r="M2070" i="1"/>
  <c r="O2070" i="1"/>
  <c r="S2070" i="1"/>
  <c r="T2070" i="1"/>
  <c r="U2070" i="1"/>
  <c r="Y2070" i="1" s="1"/>
  <c r="V2070" i="1"/>
  <c r="W2070" i="1" s="1"/>
  <c r="Z2070" i="1"/>
  <c r="E1652" i="6"/>
  <c r="F1652" i="6"/>
  <c r="I1652" i="6"/>
  <c r="J1652" i="6"/>
  <c r="E1651" i="6"/>
  <c r="F1651" i="6"/>
  <c r="I1651" i="6"/>
  <c r="J1651" i="6"/>
  <c r="A2075" i="1"/>
  <c r="C2075" i="1"/>
  <c r="B2075" i="1" s="1"/>
  <c r="F2075" i="1"/>
  <c r="M2075" i="1"/>
  <c r="O2075" i="1"/>
  <c r="T2075" i="1"/>
  <c r="U2075" i="1"/>
  <c r="V2075" i="1"/>
  <c r="W2075" i="1" s="1"/>
  <c r="Z2075" i="1"/>
  <c r="W54" i="15"/>
  <c r="W53" i="15"/>
  <c r="W52" i="15"/>
  <c r="W51" i="15"/>
  <c r="W50" i="15"/>
  <c r="W49" i="15"/>
  <c r="W48" i="15"/>
  <c r="W47" i="15"/>
  <c r="W46" i="15"/>
  <c r="W45" i="15"/>
  <c r="W43" i="15"/>
  <c r="W42" i="15"/>
  <c r="W41" i="15"/>
  <c r="W40" i="15"/>
  <c r="W39" i="15"/>
  <c r="W38" i="15"/>
  <c r="W32" i="15"/>
  <c r="W31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W15" i="15"/>
  <c r="W14" i="15"/>
  <c r="W13" i="15"/>
  <c r="W11" i="15"/>
  <c r="W10" i="15"/>
  <c r="W9" i="15"/>
  <c r="W7" i="15"/>
  <c r="W6" i="15"/>
  <c r="W5" i="15"/>
  <c r="W4" i="15"/>
  <c r="W3" i="15"/>
  <c r="W2" i="15"/>
  <c r="A2040" i="1"/>
  <c r="A2041" i="1"/>
  <c r="C2040" i="1"/>
  <c r="B2040" i="1" s="1"/>
  <c r="C2041" i="1"/>
  <c r="B2041" i="1" s="1"/>
  <c r="F2040" i="1"/>
  <c r="F2041" i="1"/>
  <c r="M2040" i="1"/>
  <c r="M2041" i="1"/>
  <c r="O2040" i="1"/>
  <c r="O2041" i="1"/>
  <c r="S2040" i="1"/>
  <c r="S2041" i="1"/>
  <c r="T2040" i="1"/>
  <c r="T2041" i="1"/>
  <c r="U2040" i="1"/>
  <c r="U2041" i="1"/>
  <c r="Y2041" i="1" s="1"/>
  <c r="V2040" i="1"/>
  <c r="W2040" i="1" s="1"/>
  <c r="V2041" i="1"/>
  <c r="W2041" i="1" s="1"/>
  <c r="Z2040" i="1"/>
  <c r="Z2041" i="1"/>
  <c r="A2037" i="1"/>
  <c r="A2038" i="1"/>
  <c r="A2039" i="1"/>
  <c r="C2037" i="1"/>
  <c r="B2037" i="1" s="1"/>
  <c r="C2038" i="1"/>
  <c r="B2038" i="1" s="1"/>
  <c r="C2039" i="1"/>
  <c r="B2039" i="1" s="1"/>
  <c r="F2037" i="1"/>
  <c r="F2038" i="1"/>
  <c r="F2039" i="1"/>
  <c r="M2037" i="1"/>
  <c r="M2038" i="1"/>
  <c r="M2039" i="1"/>
  <c r="O2037" i="1"/>
  <c r="O2038" i="1"/>
  <c r="O2039" i="1"/>
  <c r="S2037" i="1"/>
  <c r="S2038" i="1"/>
  <c r="S2039" i="1"/>
  <c r="T2037" i="1"/>
  <c r="T2039" i="1"/>
  <c r="U2037" i="1"/>
  <c r="Y2037" i="1" s="1"/>
  <c r="U2038" i="1"/>
  <c r="Y2038" i="1" s="1"/>
  <c r="U2039" i="1"/>
  <c r="Y2039" i="1" s="1"/>
  <c r="V2037" i="1"/>
  <c r="W2037" i="1" s="1"/>
  <c r="V2038" i="1"/>
  <c r="W2038" i="1" s="1"/>
  <c r="V2039" i="1"/>
  <c r="W2039" i="1" s="1"/>
  <c r="Z2037" i="1"/>
  <c r="Z2038" i="1"/>
  <c r="Z2039" i="1"/>
  <c r="A2036" i="1"/>
  <c r="C2036" i="1"/>
  <c r="B2036" i="1" s="1"/>
  <c r="F2036" i="1"/>
  <c r="M2036" i="1"/>
  <c r="O2036" i="1"/>
  <c r="S2036" i="1"/>
  <c r="T2036" i="1"/>
  <c r="U2036" i="1"/>
  <c r="Y2036" i="1" s="1"/>
  <c r="V2036" i="1"/>
  <c r="W2036" i="1" s="1"/>
  <c r="Z2036" i="1"/>
  <c r="E1623" i="6"/>
  <c r="F1623" i="6"/>
  <c r="I1623" i="6"/>
  <c r="J1623" i="6"/>
  <c r="R2220" i="1" l="1"/>
  <c r="Q2141" i="1"/>
  <c r="Q1952" i="1"/>
  <c r="Q2093" i="1"/>
  <c r="Q2155" i="1"/>
  <c r="Q2221" i="1"/>
  <c r="Q2087" i="1"/>
  <c r="Q1963" i="1"/>
  <c r="R2092" i="1"/>
  <c r="Q2144" i="1"/>
  <c r="Q2088" i="1"/>
  <c r="Q2091" i="1"/>
  <c r="Q2068" i="1"/>
  <c r="X2070" i="1"/>
  <c r="X2075" i="1"/>
  <c r="Y2075" i="1"/>
  <c r="X2041" i="1"/>
  <c r="X2039" i="1"/>
  <c r="X2038" i="1"/>
  <c r="X2040" i="1"/>
  <c r="Y2040" i="1"/>
  <c r="X2037" i="1"/>
  <c r="T2038" i="1"/>
  <c r="X2036" i="1"/>
  <c r="R2221" i="1" l="1"/>
  <c r="R2093" i="1"/>
  <c r="R2141" i="1"/>
  <c r="P2037" i="1"/>
  <c r="P2039" i="1"/>
  <c r="P2070" i="1"/>
  <c r="R2091" i="1"/>
  <c r="R2144" i="1"/>
  <c r="R1963" i="1"/>
  <c r="P2038" i="1"/>
  <c r="P2041" i="1"/>
  <c r="R2087" i="1"/>
  <c r="R2155" i="1"/>
  <c r="R1952" i="1"/>
  <c r="P2036" i="1"/>
  <c r="Q2036" i="1" s="1"/>
  <c r="R2068" i="1"/>
  <c r="R2088" i="1"/>
  <c r="P2075" i="1"/>
  <c r="P2040" i="1"/>
  <c r="Q2040" i="1" l="1"/>
  <c r="Q2075" i="1"/>
  <c r="Q2038" i="1"/>
  <c r="Q2070" i="1"/>
  <c r="Q2037" i="1"/>
  <c r="R2036" i="1"/>
  <c r="Q2041" i="1"/>
  <c r="Q2039" i="1"/>
  <c r="D1606" i="6"/>
  <c r="D1618" i="6"/>
  <c r="R2039" i="1" l="1"/>
  <c r="R2070" i="1"/>
  <c r="R2075" i="1"/>
  <c r="D2075" i="1" s="1"/>
  <c r="R2041" i="1"/>
  <c r="R2037" i="1"/>
  <c r="R2038" i="1"/>
  <c r="R2040" i="1"/>
  <c r="E1615" i="6"/>
  <c r="E1609" i="6"/>
  <c r="E1617" i="6"/>
  <c r="E1612" i="6"/>
  <c r="E1611" i="6"/>
  <c r="E1616" i="6"/>
  <c r="E1610" i="6"/>
  <c r="E1614" i="6"/>
  <c r="E1613" i="6"/>
  <c r="E1618" i="6"/>
  <c r="E1621" i="6"/>
  <c r="E1622" i="6"/>
  <c r="E1605" i="6"/>
  <c r="E1624" i="6"/>
  <c r="E1625" i="6"/>
  <c r="E1626" i="6"/>
  <c r="E1627" i="6"/>
  <c r="E1628" i="6"/>
  <c r="F1615" i="6"/>
  <c r="F1609" i="6"/>
  <c r="F1617" i="6"/>
  <c r="F1611" i="6"/>
  <c r="F1616" i="6"/>
  <c r="F1610" i="6"/>
  <c r="F1614" i="6"/>
  <c r="F1613" i="6"/>
  <c r="F1618" i="6"/>
  <c r="F1621" i="6"/>
  <c r="F1622" i="6"/>
  <c r="F1605" i="6"/>
  <c r="F1624" i="6"/>
  <c r="F1625" i="6"/>
  <c r="I1615" i="6"/>
  <c r="I1609" i="6"/>
  <c r="I1617" i="6"/>
  <c r="I1612" i="6"/>
  <c r="I1611" i="6"/>
  <c r="I1616" i="6"/>
  <c r="I1610" i="6"/>
  <c r="I1614" i="6"/>
  <c r="I1613" i="6"/>
  <c r="I1618" i="6"/>
  <c r="I1621" i="6"/>
  <c r="I1622" i="6"/>
  <c r="I1605" i="6"/>
  <c r="I1624" i="6"/>
  <c r="I1625" i="6"/>
  <c r="I1626" i="6"/>
  <c r="I1627" i="6"/>
  <c r="I1628" i="6"/>
  <c r="J1615" i="6"/>
  <c r="J1609" i="6"/>
  <c r="J1617" i="6"/>
  <c r="J1612" i="6"/>
  <c r="J1611" i="6"/>
  <c r="J1616" i="6"/>
  <c r="J1610" i="6"/>
  <c r="J1614" i="6"/>
  <c r="J1613" i="6"/>
  <c r="J1618" i="6"/>
  <c r="J1621" i="6"/>
  <c r="J1622" i="6"/>
  <c r="J1605" i="6"/>
  <c r="J1624" i="6"/>
  <c r="J1625" i="6"/>
  <c r="J1626" i="6"/>
  <c r="J1627" i="6"/>
  <c r="J1628" i="6"/>
  <c r="W20" i="16"/>
  <c r="W22" i="16"/>
  <c r="W28" i="16"/>
  <c r="W19" i="16"/>
  <c r="A2143" i="1"/>
  <c r="C2143" i="1"/>
  <c r="B2143" i="1" s="1"/>
  <c r="F2143" i="1"/>
  <c r="M2143" i="1"/>
  <c r="O2143" i="1"/>
  <c r="U2143" i="1"/>
  <c r="Y2143" i="1" s="1"/>
  <c r="V2143" i="1"/>
  <c r="W2143" i="1" s="1"/>
  <c r="Z2143" i="1"/>
  <c r="I160" i="104"/>
  <c r="A160" i="104"/>
  <c r="B160" i="104"/>
  <c r="C160" i="104"/>
  <c r="A2197" i="1"/>
  <c r="C2197" i="1"/>
  <c r="B2197" i="1" s="1"/>
  <c r="F2197" i="1"/>
  <c r="M2197" i="1"/>
  <c r="O2197" i="1"/>
  <c r="U2197" i="1"/>
  <c r="Y2197" i="1" s="1"/>
  <c r="V2197" i="1"/>
  <c r="W2197" i="1" s="1"/>
  <c r="Z2197" i="1"/>
  <c r="A2201" i="1"/>
  <c r="C2201" i="1"/>
  <c r="B2201" i="1" s="1"/>
  <c r="F2201" i="1"/>
  <c r="M2201" i="1"/>
  <c r="O2201" i="1"/>
  <c r="U2201" i="1"/>
  <c r="Y2201" i="1" s="1"/>
  <c r="V2201" i="1"/>
  <c r="W2201" i="1" s="1"/>
  <c r="Z2201" i="1"/>
  <c r="A2219" i="1"/>
  <c r="C2219" i="1"/>
  <c r="B2219" i="1" s="1"/>
  <c r="F2219" i="1"/>
  <c r="M2219" i="1"/>
  <c r="U2219" i="1"/>
  <c r="Y2219" i="1" s="1"/>
  <c r="V2219" i="1"/>
  <c r="W2219" i="1" s="1"/>
  <c r="Z2219" i="1"/>
  <c r="A2034" i="1"/>
  <c r="C2034" i="1"/>
  <c r="B2034" i="1" s="1"/>
  <c r="F2034" i="1"/>
  <c r="M2034" i="1"/>
  <c r="O2034" i="1"/>
  <c r="S2034" i="1"/>
  <c r="T2034" i="1"/>
  <c r="U2034" i="1"/>
  <c r="Y2034" i="1" s="1"/>
  <c r="V2034" i="1"/>
  <c r="W2034" i="1" s="1"/>
  <c r="Z2034" i="1"/>
  <c r="E1606" i="6"/>
  <c r="F1606" i="6"/>
  <c r="I1606" i="6"/>
  <c r="J1606" i="6"/>
  <c r="E1674" i="6"/>
  <c r="F1674" i="6"/>
  <c r="I1674" i="6"/>
  <c r="J1674" i="6"/>
  <c r="E1642" i="6"/>
  <c r="F1642" i="6"/>
  <c r="I1642" i="6"/>
  <c r="J1642" i="6"/>
  <c r="A2051" i="1"/>
  <c r="C2051" i="1"/>
  <c r="B2051" i="1" s="1"/>
  <c r="F2051" i="1"/>
  <c r="M2051" i="1"/>
  <c r="O2051" i="1"/>
  <c r="S2051" i="1"/>
  <c r="T2051" i="1"/>
  <c r="U2051" i="1"/>
  <c r="Y2051" i="1" s="1"/>
  <c r="V2051" i="1"/>
  <c r="W2051" i="1" s="1"/>
  <c r="Z2051" i="1"/>
  <c r="A2064" i="1"/>
  <c r="C2064" i="1"/>
  <c r="B2064" i="1" s="1"/>
  <c r="F2064" i="1"/>
  <c r="M2064" i="1"/>
  <c r="O2064" i="1"/>
  <c r="S2064" i="1"/>
  <c r="T2064" i="1"/>
  <c r="U2064" i="1"/>
  <c r="V2064" i="1"/>
  <c r="W2064" i="1" s="1"/>
  <c r="Z2064" i="1"/>
  <c r="A2042" i="1"/>
  <c r="C2042" i="1"/>
  <c r="T2042" i="1" s="1"/>
  <c r="F2042" i="1"/>
  <c r="M2042" i="1"/>
  <c r="O2042" i="1"/>
  <c r="S2042" i="1"/>
  <c r="U2042" i="1"/>
  <c r="Y2042" i="1" s="1"/>
  <c r="V2042" i="1"/>
  <c r="W2042" i="1" s="1"/>
  <c r="Z2042" i="1"/>
  <c r="W13" i="16" l="1"/>
  <c r="W12" i="16"/>
  <c r="T2143" i="1"/>
  <c r="X2143" i="1"/>
  <c r="T2197" i="1"/>
  <c r="T2201" i="1"/>
  <c r="X2197" i="1"/>
  <c r="X2201" i="1"/>
  <c r="T2219" i="1"/>
  <c r="X2219" i="1"/>
  <c r="X2034" i="1"/>
  <c r="X2051" i="1"/>
  <c r="X2064" i="1"/>
  <c r="Y2064" i="1"/>
  <c r="X2042" i="1"/>
  <c r="B2042" i="1"/>
  <c r="P2042" i="1" l="1"/>
  <c r="P2051" i="1"/>
  <c r="P2201" i="1"/>
  <c r="P2143" i="1"/>
  <c r="P2197" i="1"/>
  <c r="P2219" i="1"/>
  <c r="P2034" i="1"/>
  <c r="D2160" i="1"/>
  <c r="D2107" i="1"/>
  <c r="D2201" i="1"/>
  <c r="D2233" i="1"/>
  <c r="D2143" i="1"/>
  <c r="D2144" i="1"/>
  <c r="D2197" i="1"/>
  <c r="P2064" i="1"/>
  <c r="A2140" i="1"/>
  <c r="C2140" i="1"/>
  <c r="B2140" i="1" s="1"/>
  <c r="F2140" i="1"/>
  <c r="M2140" i="1"/>
  <c r="O2140" i="1"/>
  <c r="U2140" i="1"/>
  <c r="Y2140" i="1" s="1"/>
  <c r="V2140" i="1"/>
  <c r="W2140" i="1" s="1"/>
  <c r="Z2140" i="1"/>
  <c r="I159" i="104"/>
  <c r="A159" i="104"/>
  <c r="B159" i="104"/>
  <c r="C159" i="104"/>
  <c r="A2043" i="1"/>
  <c r="C2043" i="1"/>
  <c r="B2043" i="1" s="1"/>
  <c r="F2043" i="1"/>
  <c r="M2043" i="1"/>
  <c r="O2043" i="1"/>
  <c r="T2043" i="1"/>
  <c r="U2043" i="1"/>
  <c r="V2043" i="1"/>
  <c r="W2043" i="1" s="1"/>
  <c r="Z2043" i="1"/>
  <c r="A2125" i="1"/>
  <c r="C2125" i="1"/>
  <c r="B2125" i="1" s="1"/>
  <c r="F2125" i="1"/>
  <c r="M2125" i="1"/>
  <c r="O2125" i="1"/>
  <c r="U2125" i="1"/>
  <c r="V2125" i="1"/>
  <c r="W2125" i="1" s="1"/>
  <c r="Z2125" i="1"/>
  <c r="A1979" i="1"/>
  <c r="C1979" i="1"/>
  <c r="B1979" i="1" s="1"/>
  <c r="F1979" i="1"/>
  <c r="M1979" i="1"/>
  <c r="O1979" i="1"/>
  <c r="T1979" i="1"/>
  <c r="U1979" i="1"/>
  <c r="Y1979" i="1" s="1"/>
  <c r="V1979" i="1"/>
  <c r="W1979" i="1" s="1"/>
  <c r="Z1979" i="1"/>
  <c r="Q2064" i="1" l="1"/>
  <c r="Q2219" i="1"/>
  <c r="Q2143" i="1"/>
  <c r="Q2051" i="1"/>
  <c r="Q2034" i="1"/>
  <c r="Q2197" i="1"/>
  <c r="Q2201" i="1"/>
  <c r="Q2042" i="1"/>
  <c r="T2140" i="1"/>
  <c r="X2140" i="1"/>
  <c r="X2043" i="1"/>
  <c r="Y2043" i="1"/>
  <c r="T2125" i="1"/>
  <c r="X2125" i="1"/>
  <c r="Y2125" i="1"/>
  <c r="X1979" i="1"/>
  <c r="R2042" i="1" l="1"/>
  <c r="D2042" i="1" s="1"/>
  <c r="R2197" i="1"/>
  <c r="R2051" i="1"/>
  <c r="D2051" i="1" s="1"/>
  <c r="R2219" i="1"/>
  <c r="D2333" i="1" s="1"/>
  <c r="P2140" i="1"/>
  <c r="P1979" i="1"/>
  <c r="R2201" i="1"/>
  <c r="R2034" i="1"/>
  <c r="D2034" i="1" s="1"/>
  <c r="R2143" i="1"/>
  <c r="R2064" i="1"/>
  <c r="D2064" i="1" s="1"/>
  <c r="P2125" i="1"/>
  <c r="P2043" i="1"/>
  <c r="A2207" i="1"/>
  <c r="C2207" i="1"/>
  <c r="B2207" i="1" s="1"/>
  <c r="F2207" i="1"/>
  <c r="M2207" i="1"/>
  <c r="O2207" i="1"/>
  <c r="U2207" i="1"/>
  <c r="Y2207" i="1" s="1"/>
  <c r="V2207" i="1"/>
  <c r="W2207" i="1" s="1"/>
  <c r="Z2207" i="1"/>
  <c r="A2159" i="1"/>
  <c r="C2159" i="1"/>
  <c r="B2159" i="1" s="1"/>
  <c r="F2159" i="1"/>
  <c r="M2159" i="1"/>
  <c r="O2159" i="1"/>
  <c r="U2159" i="1"/>
  <c r="Y2159" i="1" s="1"/>
  <c r="V2159" i="1"/>
  <c r="W2159" i="1" s="1"/>
  <c r="Z2159" i="1"/>
  <c r="A2232" i="1"/>
  <c r="C2232" i="1"/>
  <c r="B2232" i="1" s="1"/>
  <c r="F2232" i="1"/>
  <c r="M2232" i="1"/>
  <c r="O2232" i="1"/>
  <c r="U2232" i="1"/>
  <c r="Y2232" i="1" s="1"/>
  <c r="V2232" i="1"/>
  <c r="W2232" i="1" s="1"/>
  <c r="Z2232" i="1"/>
  <c r="A2206" i="1"/>
  <c r="C2206" i="1"/>
  <c r="B2206" i="1" s="1"/>
  <c r="F2206" i="1"/>
  <c r="M2206" i="1"/>
  <c r="O2206" i="1"/>
  <c r="U2206" i="1"/>
  <c r="Y2206" i="1" s="1"/>
  <c r="V2206" i="1"/>
  <c r="W2206" i="1" s="1"/>
  <c r="Z2206" i="1"/>
  <c r="A2205" i="1"/>
  <c r="C2205" i="1"/>
  <c r="B2205" i="1" s="1"/>
  <c r="F2205" i="1"/>
  <c r="M2205" i="1"/>
  <c r="O2205" i="1"/>
  <c r="U2205" i="1"/>
  <c r="Y2205" i="1" s="1"/>
  <c r="V2205" i="1"/>
  <c r="W2205" i="1" s="1"/>
  <c r="Z2205" i="1"/>
  <c r="A2164" i="1"/>
  <c r="C2164" i="1"/>
  <c r="B2164" i="1" s="1"/>
  <c r="F2164" i="1"/>
  <c r="M2164" i="1"/>
  <c r="O2164" i="1"/>
  <c r="U2164" i="1"/>
  <c r="Y2164" i="1" s="1"/>
  <c r="V2164" i="1"/>
  <c r="W2164" i="1" s="1"/>
  <c r="Z2164" i="1"/>
  <c r="A2204" i="1"/>
  <c r="C2204" i="1"/>
  <c r="B2204" i="1" s="1"/>
  <c r="F2204" i="1"/>
  <c r="M2204" i="1"/>
  <c r="O2204" i="1"/>
  <c r="U2204" i="1"/>
  <c r="Y2204" i="1" s="1"/>
  <c r="V2204" i="1"/>
  <c r="W2204" i="1" s="1"/>
  <c r="Z2204" i="1"/>
  <c r="A2124" i="1"/>
  <c r="C2124" i="1"/>
  <c r="B2124" i="1" s="1"/>
  <c r="F2124" i="1"/>
  <c r="M2124" i="1"/>
  <c r="O2124" i="1"/>
  <c r="U2124" i="1"/>
  <c r="Y2124" i="1" s="1"/>
  <c r="V2124" i="1"/>
  <c r="W2124" i="1" s="1"/>
  <c r="Z2124" i="1"/>
  <c r="A2202" i="1"/>
  <c r="C2202" i="1"/>
  <c r="B2202" i="1" s="1"/>
  <c r="F2202" i="1"/>
  <c r="M2202" i="1"/>
  <c r="O2202" i="1"/>
  <c r="U2202" i="1"/>
  <c r="Y2202" i="1" s="1"/>
  <c r="V2202" i="1"/>
  <c r="W2202" i="1" s="1"/>
  <c r="Z2202" i="1"/>
  <c r="A2171" i="1"/>
  <c r="C2171" i="1"/>
  <c r="B2171" i="1" s="1"/>
  <c r="F2171" i="1"/>
  <c r="M2171" i="1"/>
  <c r="O2171" i="1"/>
  <c r="U2171" i="1"/>
  <c r="Y2171" i="1" s="1"/>
  <c r="V2171" i="1"/>
  <c r="W2171" i="1" s="1"/>
  <c r="Z2171" i="1"/>
  <c r="A2170" i="1"/>
  <c r="C2170" i="1"/>
  <c r="B2170" i="1" s="1"/>
  <c r="F2170" i="1"/>
  <c r="M2170" i="1"/>
  <c r="O2170" i="1"/>
  <c r="U2170" i="1"/>
  <c r="V2170" i="1"/>
  <c r="W2170" i="1" s="1"/>
  <c r="Z2170" i="1"/>
  <c r="A2169" i="1"/>
  <c r="C2169" i="1"/>
  <c r="B2169" i="1" s="1"/>
  <c r="F2169" i="1"/>
  <c r="M2169" i="1"/>
  <c r="O2169" i="1"/>
  <c r="U2169" i="1"/>
  <c r="Y2169" i="1" s="1"/>
  <c r="V2169" i="1"/>
  <c r="W2169" i="1" s="1"/>
  <c r="Z2169" i="1"/>
  <c r="A2199" i="1"/>
  <c r="C2199" i="1"/>
  <c r="B2199" i="1" s="1"/>
  <c r="F2199" i="1"/>
  <c r="M2199" i="1"/>
  <c r="O2199" i="1"/>
  <c r="U2199" i="1"/>
  <c r="Y2199" i="1" s="1"/>
  <c r="V2199" i="1"/>
  <c r="W2199" i="1" s="1"/>
  <c r="Z2199" i="1"/>
  <c r="A2198" i="1"/>
  <c r="C2198" i="1"/>
  <c r="B2198" i="1" s="1"/>
  <c r="F2198" i="1"/>
  <c r="M2198" i="1"/>
  <c r="O2198" i="1"/>
  <c r="U2198" i="1"/>
  <c r="Y2198" i="1" s="1"/>
  <c r="V2198" i="1"/>
  <c r="W2198" i="1" s="1"/>
  <c r="Z2198" i="1"/>
  <c r="A2106" i="1"/>
  <c r="C2106" i="1"/>
  <c r="B2106" i="1" s="1"/>
  <c r="F2106" i="1"/>
  <c r="M2106" i="1"/>
  <c r="O2106" i="1"/>
  <c r="U2106" i="1"/>
  <c r="Y2106" i="1" s="1"/>
  <c r="V2106" i="1"/>
  <c r="W2106" i="1" s="1"/>
  <c r="Z2106" i="1"/>
  <c r="A2035" i="1"/>
  <c r="C2035" i="1"/>
  <c r="B2035" i="1" s="1"/>
  <c r="F2035" i="1"/>
  <c r="M2035" i="1"/>
  <c r="O2035" i="1"/>
  <c r="U2035" i="1"/>
  <c r="Y2035" i="1" s="1"/>
  <c r="V2035" i="1"/>
  <c r="W2035" i="1" s="1"/>
  <c r="Z2035" i="1"/>
  <c r="A2076" i="1"/>
  <c r="C2076" i="1"/>
  <c r="B2076" i="1" s="1"/>
  <c r="F2076" i="1"/>
  <c r="M2076" i="1"/>
  <c r="O2076" i="1"/>
  <c r="U2076" i="1"/>
  <c r="Y2076" i="1" s="1"/>
  <c r="V2076" i="1"/>
  <c r="W2076" i="1" s="1"/>
  <c r="Z2076" i="1"/>
  <c r="A2196" i="1"/>
  <c r="C2196" i="1"/>
  <c r="B2196" i="1" s="1"/>
  <c r="F2196" i="1"/>
  <c r="M2196" i="1"/>
  <c r="O2196" i="1"/>
  <c r="U2196" i="1"/>
  <c r="Y2196" i="1" s="1"/>
  <c r="V2196" i="1"/>
  <c r="W2196" i="1" s="1"/>
  <c r="Z2196" i="1"/>
  <c r="A2195" i="1"/>
  <c r="C2195" i="1"/>
  <c r="B2195" i="1" s="1"/>
  <c r="F2195" i="1"/>
  <c r="M2195" i="1"/>
  <c r="O2195" i="1"/>
  <c r="U2195" i="1"/>
  <c r="Y2195" i="1" s="1"/>
  <c r="V2195" i="1"/>
  <c r="W2195" i="1" s="1"/>
  <c r="Z2195" i="1"/>
  <c r="A2194" i="1"/>
  <c r="C2194" i="1"/>
  <c r="B2194" i="1" s="1"/>
  <c r="F2194" i="1"/>
  <c r="M2194" i="1"/>
  <c r="O2194" i="1"/>
  <c r="U2194" i="1"/>
  <c r="Y2194" i="1" s="1"/>
  <c r="V2194" i="1"/>
  <c r="W2194" i="1" s="1"/>
  <c r="Z2194" i="1"/>
  <c r="A2193" i="1"/>
  <c r="C2193" i="1"/>
  <c r="B2193" i="1" s="1"/>
  <c r="F2193" i="1"/>
  <c r="M2193" i="1"/>
  <c r="O2193" i="1"/>
  <c r="U2193" i="1"/>
  <c r="Y2193" i="1" s="1"/>
  <c r="V2193" i="1"/>
  <c r="W2193" i="1" s="1"/>
  <c r="Z2193" i="1"/>
  <c r="A2096" i="1"/>
  <c r="C2096" i="1"/>
  <c r="B2096" i="1" s="1"/>
  <c r="F2096" i="1"/>
  <c r="M2096" i="1"/>
  <c r="O2096" i="1"/>
  <c r="U2096" i="1"/>
  <c r="Y2096" i="1" s="1"/>
  <c r="V2096" i="1"/>
  <c r="W2096" i="1" s="1"/>
  <c r="Z2096" i="1"/>
  <c r="A2138" i="1"/>
  <c r="A2139" i="1"/>
  <c r="C2138" i="1"/>
  <c r="B2138" i="1" s="1"/>
  <c r="C2139" i="1"/>
  <c r="B2139" i="1" s="1"/>
  <c r="F2138" i="1"/>
  <c r="F2139" i="1"/>
  <c r="M2138" i="1"/>
  <c r="M2139" i="1"/>
  <c r="O2138" i="1"/>
  <c r="O2139" i="1"/>
  <c r="U2138" i="1"/>
  <c r="Y2138" i="1" s="1"/>
  <c r="U2139" i="1"/>
  <c r="Y2139" i="1" s="1"/>
  <c r="V2138" i="1"/>
  <c r="W2138" i="1" s="1"/>
  <c r="V2139" i="1"/>
  <c r="W2139" i="1" s="1"/>
  <c r="Z2138" i="1"/>
  <c r="Z2139" i="1"/>
  <c r="I158" i="104"/>
  <c r="I157" i="104"/>
  <c r="A158" i="104"/>
  <c r="B158" i="104"/>
  <c r="C158" i="104"/>
  <c r="A157" i="104"/>
  <c r="B157" i="104"/>
  <c r="C157" i="104"/>
  <c r="A2236" i="1"/>
  <c r="C2236" i="1"/>
  <c r="B2236" i="1" s="1"/>
  <c r="F2236" i="1"/>
  <c r="M2236" i="1"/>
  <c r="O2236" i="1"/>
  <c r="U2236" i="1"/>
  <c r="Y2236" i="1" s="1"/>
  <c r="V2236" i="1"/>
  <c r="W2236" i="1" s="1"/>
  <c r="Z2236" i="1"/>
  <c r="A1945" i="1"/>
  <c r="C1945" i="1"/>
  <c r="B1945" i="1" s="1"/>
  <c r="F1945" i="1"/>
  <c r="M1945" i="1"/>
  <c r="O1945" i="1"/>
  <c r="T1945" i="1"/>
  <c r="U1945" i="1"/>
  <c r="Y1945" i="1" s="1"/>
  <c r="V1945" i="1"/>
  <c r="W1945" i="1" s="1"/>
  <c r="Z1945" i="1"/>
  <c r="A2121" i="1"/>
  <c r="C2121" i="1"/>
  <c r="B2121" i="1" s="1"/>
  <c r="F2121" i="1"/>
  <c r="M2121" i="1"/>
  <c r="O2121" i="1"/>
  <c r="U2121" i="1"/>
  <c r="Y2121" i="1" s="1"/>
  <c r="V2121" i="1"/>
  <c r="W2121" i="1" s="1"/>
  <c r="Z2121" i="1"/>
  <c r="A2094" i="1"/>
  <c r="C2094" i="1"/>
  <c r="B2094" i="1" s="1"/>
  <c r="F2094" i="1"/>
  <c r="M2094" i="1"/>
  <c r="O2094" i="1"/>
  <c r="U2094" i="1"/>
  <c r="Y2094" i="1" s="1"/>
  <c r="V2094" i="1"/>
  <c r="W2094" i="1" s="1"/>
  <c r="Z2094" i="1"/>
  <c r="A2167" i="1"/>
  <c r="C2167" i="1"/>
  <c r="B2167" i="1" s="1"/>
  <c r="F2167" i="1"/>
  <c r="M2167" i="1"/>
  <c r="O2167" i="1"/>
  <c r="U2167" i="1"/>
  <c r="V2167" i="1"/>
  <c r="W2167" i="1" s="1"/>
  <c r="Z2167" i="1"/>
  <c r="A2013" i="1"/>
  <c r="C2013" i="1"/>
  <c r="B2013" i="1" s="1"/>
  <c r="F2013" i="1"/>
  <c r="M2013" i="1"/>
  <c r="O2013" i="1"/>
  <c r="T2013" i="1"/>
  <c r="U2013" i="1"/>
  <c r="Y2013" i="1" s="1"/>
  <c r="V2013" i="1"/>
  <c r="W2013" i="1" s="1"/>
  <c r="Z2013" i="1"/>
  <c r="A1988" i="1"/>
  <c r="C1988" i="1"/>
  <c r="B1988" i="1" s="1"/>
  <c r="F1988" i="1"/>
  <c r="M1988" i="1"/>
  <c r="O1988" i="1"/>
  <c r="U1988" i="1"/>
  <c r="Y1988" i="1" s="1"/>
  <c r="V1988" i="1"/>
  <c r="W1988" i="1" s="1"/>
  <c r="Z1988" i="1"/>
  <c r="A2166" i="1"/>
  <c r="C2166" i="1"/>
  <c r="B2166" i="1" s="1"/>
  <c r="F2166" i="1"/>
  <c r="M2166" i="1"/>
  <c r="O2166" i="1"/>
  <c r="U2166" i="1"/>
  <c r="Y2166" i="1" s="1"/>
  <c r="V2166" i="1"/>
  <c r="W2166" i="1" s="1"/>
  <c r="Z2166" i="1"/>
  <c r="A2191" i="1"/>
  <c r="C2191" i="1"/>
  <c r="B2191" i="1" s="1"/>
  <c r="F2191" i="1"/>
  <c r="M2191" i="1"/>
  <c r="O2191" i="1"/>
  <c r="U2191" i="1"/>
  <c r="Y2191" i="1" s="1"/>
  <c r="V2191" i="1"/>
  <c r="W2191" i="1" s="1"/>
  <c r="Z2191" i="1"/>
  <c r="A1993" i="1"/>
  <c r="C1993" i="1"/>
  <c r="B1993" i="1" s="1"/>
  <c r="F1993" i="1"/>
  <c r="M1993" i="1"/>
  <c r="O1993" i="1"/>
  <c r="S1993" i="1"/>
  <c r="T1993" i="1"/>
  <c r="U1993" i="1"/>
  <c r="Y1993" i="1" s="1"/>
  <c r="V1993" i="1"/>
  <c r="W1993" i="1" s="1"/>
  <c r="Z1993" i="1"/>
  <c r="A2165" i="1"/>
  <c r="C2165" i="1"/>
  <c r="B2165" i="1" s="1"/>
  <c r="F2165" i="1"/>
  <c r="M2165" i="1"/>
  <c r="O2165" i="1"/>
  <c r="U2165" i="1"/>
  <c r="Y2165" i="1" s="1"/>
  <c r="V2165" i="1"/>
  <c r="W2165" i="1" s="1"/>
  <c r="Z2165" i="1"/>
  <c r="A1996" i="1"/>
  <c r="C1996" i="1"/>
  <c r="B1996" i="1" s="1"/>
  <c r="F1996" i="1"/>
  <c r="M1996" i="1"/>
  <c r="O1996" i="1"/>
  <c r="T1996" i="1"/>
  <c r="U1996" i="1"/>
  <c r="Y1996" i="1" s="1"/>
  <c r="V1996" i="1"/>
  <c r="W1996" i="1" s="1"/>
  <c r="Z1996" i="1"/>
  <c r="A1998" i="1"/>
  <c r="C1998" i="1"/>
  <c r="B1998" i="1" s="1"/>
  <c r="F1998" i="1"/>
  <c r="M1998" i="1"/>
  <c r="O1998" i="1"/>
  <c r="U1998" i="1"/>
  <c r="Y1998" i="1" s="1"/>
  <c r="V1998" i="1"/>
  <c r="W1998" i="1" s="1"/>
  <c r="Z1998" i="1"/>
  <c r="A2126" i="1"/>
  <c r="C2126" i="1"/>
  <c r="B2126" i="1" s="1"/>
  <c r="F2126" i="1"/>
  <c r="M2126" i="1"/>
  <c r="O2126" i="1"/>
  <c r="U2126" i="1"/>
  <c r="Y2126" i="1" s="1"/>
  <c r="V2126" i="1"/>
  <c r="W2126" i="1" s="1"/>
  <c r="Z2126" i="1"/>
  <c r="A2029" i="1"/>
  <c r="C2029" i="1"/>
  <c r="B2029" i="1" s="1"/>
  <c r="F2029" i="1"/>
  <c r="M2029" i="1"/>
  <c r="O2029" i="1"/>
  <c r="T2029" i="1"/>
  <c r="U2029" i="1"/>
  <c r="V2029" i="1"/>
  <c r="W2029" i="1" s="1"/>
  <c r="Z2029" i="1"/>
  <c r="Q2043" i="1" l="1"/>
  <c r="Q1979" i="1"/>
  <c r="Q2125" i="1"/>
  <c r="Q2140" i="1"/>
  <c r="T2207" i="1"/>
  <c r="T2159" i="1"/>
  <c r="T2124" i="1"/>
  <c r="X2232" i="1"/>
  <c r="X2207" i="1"/>
  <c r="X2206" i="1"/>
  <c r="X2159" i="1"/>
  <c r="T2204" i="1"/>
  <c r="T2232" i="1"/>
  <c r="T2106" i="1"/>
  <c r="T2196" i="1"/>
  <c r="T2205" i="1"/>
  <c r="X2205" i="1"/>
  <c r="T2206" i="1"/>
  <c r="X2164" i="1"/>
  <c r="T2171" i="1"/>
  <c r="T2164" i="1"/>
  <c r="X2204" i="1"/>
  <c r="X2202" i="1"/>
  <c r="X2124" i="1"/>
  <c r="X2167" i="1"/>
  <c r="T2199" i="1"/>
  <c r="T2202" i="1"/>
  <c r="X2170" i="1"/>
  <c r="X2171" i="1"/>
  <c r="X2169" i="1"/>
  <c r="Y2170" i="1"/>
  <c r="T2170" i="1"/>
  <c r="T2169" i="1"/>
  <c r="X2199" i="1"/>
  <c r="T2096" i="1"/>
  <c r="T2076" i="1"/>
  <c r="T2167" i="1"/>
  <c r="T2121" i="1"/>
  <c r="X2198" i="1"/>
  <c r="T2198" i="1"/>
  <c r="X2106" i="1"/>
  <c r="X2035" i="1"/>
  <c r="T2035" i="1"/>
  <c r="X2076" i="1"/>
  <c r="X2195" i="1"/>
  <c r="X2196" i="1"/>
  <c r="T2195" i="1"/>
  <c r="X2194" i="1"/>
  <c r="T2139" i="1"/>
  <c r="X2193" i="1"/>
  <c r="T2194" i="1"/>
  <c r="X2096" i="1"/>
  <c r="T2193" i="1"/>
  <c r="T2165" i="1"/>
  <c r="T2138" i="1"/>
  <c r="T2094" i="1"/>
  <c r="T2236" i="1"/>
  <c r="X2236" i="1"/>
  <c r="X2139" i="1"/>
  <c r="T2166" i="1"/>
  <c r="X2138" i="1"/>
  <c r="X1993" i="1"/>
  <c r="Y2167" i="1"/>
  <c r="X2121" i="1"/>
  <c r="T2191" i="1"/>
  <c r="X1945" i="1"/>
  <c r="X2094" i="1"/>
  <c r="X2013" i="1"/>
  <c r="X2166" i="1"/>
  <c r="X1988" i="1"/>
  <c r="T1988" i="1"/>
  <c r="X2126" i="1"/>
  <c r="X1996" i="1"/>
  <c r="X2191" i="1"/>
  <c r="X2165" i="1"/>
  <c r="X1998" i="1"/>
  <c r="T1998" i="1"/>
  <c r="T2126" i="1"/>
  <c r="X2029" i="1"/>
  <c r="Y2029" i="1"/>
  <c r="E1619" i="6"/>
  <c r="I1619" i="6"/>
  <c r="J1619" i="6"/>
  <c r="E1620" i="6"/>
  <c r="F1620" i="6"/>
  <c r="I1620" i="6"/>
  <c r="J1620" i="6"/>
  <c r="A2019" i="1"/>
  <c r="C2019" i="1"/>
  <c r="B2019" i="1" s="1"/>
  <c r="F2019" i="1"/>
  <c r="M2019" i="1"/>
  <c r="O2019" i="1"/>
  <c r="S2019" i="1"/>
  <c r="T2019" i="1"/>
  <c r="U2019" i="1"/>
  <c r="Y2019" i="1" s="1"/>
  <c r="V2019" i="1"/>
  <c r="W2019" i="1" s="1"/>
  <c r="Z2019" i="1"/>
  <c r="A2018" i="1"/>
  <c r="C2018" i="1"/>
  <c r="B2018" i="1" s="1"/>
  <c r="F2018" i="1"/>
  <c r="M2018" i="1"/>
  <c r="O2018" i="1"/>
  <c r="S2018" i="1"/>
  <c r="T2018" i="1"/>
  <c r="U2018" i="1"/>
  <c r="V2018" i="1"/>
  <c r="W2018" i="1" s="1"/>
  <c r="Z2018" i="1"/>
  <c r="A2017" i="1"/>
  <c r="C2017" i="1"/>
  <c r="B2017" i="1" s="1"/>
  <c r="F2017" i="1"/>
  <c r="M2017" i="1"/>
  <c r="O2017" i="1"/>
  <c r="S2017" i="1"/>
  <c r="T2017" i="1"/>
  <c r="U2017" i="1"/>
  <c r="V2017" i="1"/>
  <c r="W2017" i="1" s="1"/>
  <c r="Z2017" i="1"/>
  <c r="A2033" i="1"/>
  <c r="C2033" i="1"/>
  <c r="B2033" i="1" s="1"/>
  <c r="F2033" i="1"/>
  <c r="M2033" i="1"/>
  <c r="O2033" i="1"/>
  <c r="S2033" i="1"/>
  <c r="T2033" i="1"/>
  <c r="U2033" i="1"/>
  <c r="V2033" i="1"/>
  <c r="W2033" i="1" s="1"/>
  <c r="Z2033" i="1"/>
  <c r="P1996" i="1" l="1"/>
  <c r="P2166" i="1"/>
  <c r="P2138" i="1"/>
  <c r="P2195" i="1"/>
  <c r="P2106" i="1"/>
  <c r="P2171" i="1"/>
  <c r="P2205" i="1"/>
  <c r="P2207" i="1"/>
  <c r="R2125" i="1"/>
  <c r="D2125" i="1" s="1"/>
  <c r="R2043" i="1"/>
  <c r="P1998" i="1"/>
  <c r="P2126" i="1"/>
  <c r="P2013" i="1"/>
  <c r="P2121" i="1"/>
  <c r="P2096" i="1"/>
  <c r="P2194" i="1"/>
  <c r="P2076" i="1"/>
  <c r="P2170" i="1"/>
  <c r="P2124" i="1"/>
  <c r="P2232" i="1"/>
  <c r="R2140" i="1"/>
  <c r="P2029" i="1"/>
  <c r="P2165" i="1"/>
  <c r="P2094" i="1"/>
  <c r="P2139" i="1"/>
  <c r="P2198" i="1"/>
  <c r="P2202" i="1"/>
  <c r="P2164" i="1"/>
  <c r="P2159" i="1"/>
  <c r="R1979" i="1"/>
  <c r="D1979" i="1" s="1"/>
  <c r="P2191" i="1"/>
  <c r="P1988" i="1"/>
  <c r="P1945" i="1"/>
  <c r="P1993" i="1"/>
  <c r="P2236" i="1"/>
  <c r="P2193" i="1"/>
  <c r="P2196" i="1"/>
  <c r="P2035" i="1"/>
  <c r="P2199" i="1"/>
  <c r="P2169" i="1"/>
  <c r="P2204" i="1"/>
  <c r="P2206" i="1"/>
  <c r="D2287" i="1"/>
  <c r="D2252" i="1"/>
  <c r="D2205" i="1"/>
  <c r="D2266" i="1"/>
  <c r="D2234" i="1"/>
  <c r="D2291" i="1"/>
  <c r="D2118" i="1"/>
  <c r="D2214" i="1"/>
  <c r="D2248" i="1"/>
  <c r="D2246" i="1"/>
  <c r="D2200" i="1"/>
  <c r="D2196" i="1"/>
  <c r="D2272" i="1"/>
  <c r="D2044" i="1"/>
  <c r="D2045" i="1"/>
  <c r="D2121" i="1"/>
  <c r="D2211" i="1"/>
  <c r="D2142" i="1"/>
  <c r="D2221" i="1"/>
  <c r="D2220" i="1"/>
  <c r="D2141" i="1"/>
  <c r="D2041" i="1"/>
  <c r="D2040" i="1"/>
  <c r="D2039" i="1"/>
  <c r="D2038" i="1"/>
  <c r="D2037" i="1"/>
  <c r="D2036" i="1"/>
  <c r="D2219" i="1"/>
  <c r="D2140" i="1"/>
  <c r="P2167" i="1"/>
  <c r="D2171" i="1"/>
  <c r="D2202" i="1"/>
  <c r="D2124" i="1"/>
  <c r="D2169" i="1"/>
  <c r="D2170" i="1"/>
  <c r="D2029" i="1"/>
  <c r="D2035" i="1"/>
  <c r="D2106" i="1"/>
  <c r="D2195" i="1"/>
  <c r="D2193" i="1"/>
  <c r="D2194" i="1"/>
  <c r="D2138" i="1"/>
  <c r="D2139" i="1"/>
  <c r="D2166" i="1"/>
  <c r="D2017" i="1"/>
  <c r="D2018" i="1"/>
  <c r="D2019" i="1"/>
  <c r="D2033" i="1"/>
  <c r="D1993" i="1"/>
  <c r="D1988" i="1"/>
  <c r="D2013" i="1"/>
  <c r="D1998" i="1"/>
  <c r="D1996" i="1"/>
  <c r="X2019" i="1"/>
  <c r="X2018" i="1"/>
  <c r="Y2018" i="1"/>
  <c r="X2017" i="1"/>
  <c r="Y2017" i="1"/>
  <c r="X2033" i="1"/>
  <c r="Y2033" i="1"/>
  <c r="A2012" i="1"/>
  <c r="C2012" i="1"/>
  <c r="B2012" i="1" s="1"/>
  <c r="F2012" i="1"/>
  <c r="M2012" i="1"/>
  <c r="O2012" i="1"/>
  <c r="S2012" i="1"/>
  <c r="T2012" i="1"/>
  <c r="U2012" i="1"/>
  <c r="Y2012" i="1" s="1"/>
  <c r="V2012" i="1"/>
  <c r="W2012" i="1" s="1"/>
  <c r="Z2012" i="1"/>
  <c r="Q2206" i="1" l="1"/>
  <c r="Q2169" i="1"/>
  <c r="Q2035" i="1"/>
  <c r="Q2193" i="1"/>
  <c r="Q1993" i="1"/>
  <c r="Q1988" i="1"/>
  <c r="Q2164" i="1"/>
  <c r="Q2198" i="1"/>
  <c r="Q2094" i="1"/>
  <c r="Q2029" i="1"/>
  <c r="Q2124" i="1"/>
  <c r="Q2076" i="1"/>
  <c r="Q2096" i="1"/>
  <c r="Q2013" i="1"/>
  <c r="Q1998" i="1"/>
  <c r="Q2205" i="1"/>
  <c r="P2019" i="1"/>
  <c r="Q2167" i="1"/>
  <c r="Q2106" i="1"/>
  <c r="Q2138" i="1"/>
  <c r="Q1996" i="1"/>
  <c r="Q2204" i="1"/>
  <c r="Q2199" i="1"/>
  <c r="Q2196" i="1"/>
  <c r="Q2236" i="1"/>
  <c r="Q1945" i="1"/>
  <c r="Q2191" i="1"/>
  <c r="Q2159" i="1"/>
  <c r="Q2202" i="1"/>
  <c r="Q2139" i="1"/>
  <c r="Q2165" i="1"/>
  <c r="Q2232" i="1"/>
  <c r="Q2170" i="1"/>
  <c r="Q2194" i="1"/>
  <c r="Q2121" i="1"/>
  <c r="Q2126" i="1"/>
  <c r="Q2207" i="1"/>
  <c r="Q2171" i="1"/>
  <c r="Q2195" i="1"/>
  <c r="Q2166" i="1"/>
  <c r="P2018" i="1"/>
  <c r="P2017" i="1"/>
  <c r="P2033" i="1"/>
  <c r="X2012" i="1"/>
  <c r="R2166" i="1" l="1"/>
  <c r="R2126" i="1"/>
  <c r="D2126" i="1" s="1"/>
  <c r="R2194" i="1"/>
  <c r="R2232" i="1"/>
  <c r="R2139" i="1"/>
  <c r="R2159" i="1"/>
  <c r="D2159" i="1" s="1"/>
  <c r="R1945" i="1"/>
  <c r="D1945" i="1" s="1"/>
  <c r="R2196" i="1"/>
  <c r="R2204" i="1"/>
  <c r="D2288" i="1" s="1"/>
  <c r="R2138" i="1"/>
  <c r="R2167" i="1"/>
  <c r="D2167" i="1" s="1"/>
  <c r="R2205" i="1"/>
  <c r="R2013" i="1"/>
  <c r="R2076" i="1"/>
  <c r="D2076" i="1" s="1"/>
  <c r="R2029" i="1"/>
  <c r="R2198" i="1"/>
  <c r="D2296" i="1" s="1"/>
  <c r="R1988" i="1"/>
  <c r="R2193" i="1"/>
  <c r="R2169" i="1"/>
  <c r="R2171" i="1"/>
  <c r="Q2017" i="1"/>
  <c r="Q2018" i="1"/>
  <c r="R2195" i="1"/>
  <c r="Q2033" i="1"/>
  <c r="P2012" i="1"/>
  <c r="R2207" i="1"/>
  <c r="R2121" i="1"/>
  <c r="D2282" i="1" s="1"/>
  <c r="R2170" i="1"/>
  <c r="R2165" i="1"/>
  <c r="R2202" i="1"/>
  <c r="D2297" i="1" s="1"/>
  <c r="R2191" i="1"/>
  <c r="R2236" i="1"/>
  <c r="R2199" i="1"/>
  <c r="R1996" i="1"/>
  <c r="R2106" i="1"/>
  <c r="Q2019" i="1"/>
  <c r="R1998" i="1"/>
  <c r="R2096" i="1"/>
  <c r="R2124" i="1"/>
  <c r="R2094" i="1"/>
  <c r="D2094" i="1" s="1"/>
  <c r="R2164" i="1"/>
  <c r="R1993" i="1"/>
  <c r="R2035" i="1"/>
  <c r="R2206" i="1"/>
  <c r="A2026" i="1"/>
  <c r="C2026" i="1"/>
  <c r="B2026" i="1" s="1"/>
  <c r="D2026" i="1"/>
  <c r="F2026" i="1"/>
  <c r="M2026" i="1"/>
  <c r="O2026" i="1"/>
  <c r="S2026" i="1"/>
  <c r="T2026" i="1"/>
  <c r="U2026" i="1"/>
  <c r="Y2026" i="1" s="1"/>
  <c r="V2026" i="1"/>
  <c r="W2026" i="1" s="1"/>
  <c r="Z2026" i="1"/>
  <c r="F1633" i="6"/>
  <c r="D1633" i="6"/>
  <c r="I1633" i="6"/>
  <c r="A1995" i="1"/>
  <c r="C1995" i="1"/>
  <c r="B1995" i="1" s="1"/>
  <c r="F1995" i="1"/>
  <c r="M1995" i="1"/>
  <c r="O1995" i="1"/>
  <c r="T1995" i="1"/>
  <c r="U1995" i="1"/>
  <c r="Y1995" i="1" s="1"/>
  <c r="V1995" i="1"/>
  <c r="W1995" i="1" s="1"/>
  <c r="Z1995" i="1"/>
  <c r="A1842" i="1"/>
  <c r="C1842" i="1"/>
  <c r="B1842" i="1" s="1"/>
  <c r="F1842" i="1"/>
  <c r="M1842" i="1"/>
  <c r="O1842" i="1"/>
  <c r="S1842" i="1"/>
  <c r="T1842" i="1"/>
  <c r="U1842" i="1"/>
  <c r="Y1842" i="1" s="1"/>
  <c r="V1842" i="1"/>
  <c r="W1842" i="1" s="1"/>
  <c r="Z1842" i="1"/>
  <c r="D2191" i="1" l="1"/>
  <c r="E1633" i="6"/>
  <c r="X19" i="16"/>
  <c r="R2019" i="1"/>
  <c r="D2236" i="1"/>
  <c r="D2237" i="1"/>
  <c r="R2033" i="1"/>
  <c r="R2018" i="1"/>
  <c r="D2276" i="1"/>
  <c r="D2277" i="1"/>
  <c r="Q2012" i="1"/>
  <c r="R2017" i="1"/>
  <c r="J1633" i="6"/>
  <c r="X2026" i="1"/>
  <c r="X1995" i="1"/>
  <c r="P1995" i="1" s="1"/>
  <c r="X1842" i="1"/>
  <c r="A2016" i="1"/>
  <c r="C2016" i="1"/>
  <c r="B2016" i="1" s="1"/>
  <c r="F2016" i="1"/>
  <c r="M2016" i="1"/>
  <c r="O2016" i="1"/>
  <c r="T2016" i="1"/>
  <c r="U2016" i="1"/>
  <c r="Y2016" i="1" s="1"/>
  <c r="V2016" i="1"/>
  <c r="W2016" i="1" s="1"/>
  <c r="Z2016" i="1"/>
  <c r="A2015" i="1"/>
  <c r="C2015" i="1"/>
  <c r="B2015" i="1" s="1"/>
  <c r="F2015" i="1"/>
  <c r="M2015" i="1"/>
  <c r="O2015" i="1"/>
  <c r="S2015" i="1"/>
  <c r="T2015" i="1"/>
  <c r="U2015" i="1"/>
  <c r="Y2015" i="1" s="1"/>
  <c r="V2015" i="1"/>
  <c r="W2015" i="1" s="1"/>
  <c r="Z2015" i="1"/>
  <c r="A2014" i="1"/>
  <c r="C2014" i="1"/>
  <c r="B2014" i="1" s="1"/>
  <c r="F2014" i="1"/>
  <c r="M2014" i="1"/>
  <c r="O2014" i="1"/>
  <c r="T2014" i="1"/>
  <c r="U2014" i="1"/>
  <c r="Y2014" i="1" s="1"/>
  <c r="V2014" i="1"/>
  <c r="W2014" i="1" s="1"/>
  <c r="Z2014" i="1"/>
  <c r="A2020" i="1"/>
  <c r="C2020" i="1"/>
  <c r="B2020" i="1" s="1"/>
  <c r="F2020" i="1"/>
  <c r="M2020" i="1"/>
  <c r="O2020" i="1"/>
  <c r="S2020" i="1"/>
  <c r="T2020" i="1"/>
  <c r="U2020" i="1"/>
  <c r="Y2020" i="1" s="1"/>
  <c r="V2020" i="1"/>
  <c r="W2020" i="1" s="1"/>
  <c r="Z2020" i="1"/>
  <c r="A2025" i="1"/>
  <c r="C2025" i="1"/>
  <c r="B2025" i="1" s="1"/>
  <c r="D2025" i="1"/>
  <c r="F2025" i="1"/>
  <c r="M2025" i="1"/>
  <c r="O2025" i="1"/>
  <c r="S2025" i="1"/>
  <c r="T2025" i="1"/>
  <c r="U2025" i="1"/>
  <c r="Y2025" i="1" s="1"/>
  <c r="V2025" i="1"/>
  <c r="W2025" i="1" s="1"/>
  <c r="Z2025" i="1"/>
  <c r="A2024" i="1"/>
  <c r="C2024" i="1"/>
  <c r="B2024" i="1" s="1"/>
  <c r="F2024" i="1"/>
  <c r="M2024" i="1"/>
  <c r="O2024" i="1"/>
  <c r="S2024" i="1"/>
  <c r="U2024" i="1"/>
  <c r="Y2024" i="1" s="1"/>
  <c r="V2024" i="1"/>
  <c r="W2024" i="1" s="1"/>
  <c r="Z2024" i="1"/>
  <c r="A2022" i="1"/>
  <c r="C2022" i="1"/>
  <c r="B2022" i="1" s="1"/>
  <c r="F2022" i="1"/>
  <c r="M2022" i="1"/>
  <c r="O2022" i="1"/>
  <c r="T2022" i="1"/>
  <c r="U2022" i="1"/>
  <c r="Y2022" i="1" s="1"/>
  <c r="V2022" i="1"/>
  <c r="W2022" i="1" s="1"/>
  <c r="Z2022" i="1"/>
  <c r="A2021" i="1"/>
  <c r="C2021" i="1"/>
  <c r="B2021" i="1" s="1"/>
  <c r="F2021" i="1"/>
  <c r="O2021" i="1"/>
  <c r="T2021" i="1"/>
  <c r="U2021" i="1"/>
  <c r="V2021" i="1"/>
  <c r="W2021" i="1" s="1"/>
  <c r="Z2021" i="1"/>
  <c r="A2009" i="1"/>
  <c r="C2009" i="1"/>
  <c r="B2009" i="1" s="1"/>
  <c r="F2009" i="1"/>
  <c r="M2009" i="1"/>
  <c r="O2009" i="1"/>
  <c r="T2009" i="1"/>
  <c r="U2009" i="1"/>
  <c r="Y2009" i="1" s="1"/>
  <c r="V2009" i="1"/>
  <c r="W2009" i="1" s="1"/>
  <c r="Z2009" i="1"/>
  <c r="Q1995" i="1" l="1"/>
  <c r="P2026" i="1"/>
  <c r="R2012" i="1"/>
  <c r="D2012" i="1" s="1"/>
  <c r="P1842" i="1"/>
  <c r="X2016" i="1"/>
  <c r="X2015" i="1"/>
  <c r="X2014" i="1"/>
  <c r="X2020" i="1"/>
  <c r="X2024" i="1"/>
  <c r="X2025" i="1"/>
  <c r="T2024" i="1"/>
  <c r="X2022" i="1"/>
  <c r="X2021" i="1"/>
  <c r="Y2021" i="1"/>
  <c r="X2009" i="1"/>
  <c r="P2024" i="1" l="1"/>
  <c r="P2016" i="1"/>
  <c r="P2014" i="1"/>
  <c r="Q1842" i="1"/>
  <c r="R1995" i="1"/>
  <c r="D1995" i="1" s="1"/>
  <c r="P2021" i="1"/>
  <c r="P2009" i="1"/>
  <c r="Q2009" i="1" s="1"/>
  <c r="P2025" i="1"/>
  <c r="P2015" i="1"/>
  <c r="Q2026" i="1"/>
  <c r="P2022" i="1"/>
  <c r="P2020" i="1"/>
  <c r="A2005" i="1"/>
  <c r="C2005" i="1"/>
  <c r="B2005" i="1" s="1"/>
  <c r="F2005" i="1"/>
  <c r="O2005" i="1"/>
  <c r="T2005" i="1"/>
  <c r="U2005" i="1"/>
  <c r="Y2005" i="1" s="1"/>
  <c r="V2005" i="1"/>
  <c r="W2005" i="1" s="1"/>
  <c r="Z2005" i="1"/>
  <c r="A1994" i="1"/>
  <c r="C1994" i="1"/>
  <c r="B1994" i="1" s="1"/>
  <c r="F1994" i="1"/>
  <c r="M1994" i="1"/>
  <c r="O1994" i="1"/>
  <c r="T1994" i="1"/>
  <c r="U1994" i="1"/>
  <c r="Y1994" i="1" s="1"/>
  <c r="V1994" i="1"/>
  <c r="W1994" i="1" s="1"/>
  <c r="Z1994" i="1"/>
  <c r="A2130" i="1"/>
  <c r="C2130" i="1"/>
  <c r="B2130" i="1" s="1"/>
  <c r="F2130" i="1"/>
  <c r="O2130" i="1"/>
  <c r="T2130" i="1"/>
  <c r="U2130" i="1"/>
  <c r="Y2130" i="1" s="1"/>
  <c r="V2130" i="1"/>
  <c r="W2130" i="1" s="1"/>
  <c r="Z2130" i="1"/>
  <c r="A2129" i="1"/>
  <c r="C2129" i="1"/>
  <c r="B2129" i="1" s="1"/>
  <c r="F2129" i="1"/>
  <c r="O2129" i="1"/>
  <c r="U2129" i="1"/>
  <c r="Y2129" i="1" s="1"/>
  <c r="V2129" i="1"/>
  <c r="W2129" i="1" s="1"/>
  <c r="Z2129" i="1"/>
  <c r="A1946" i="1"/>
  <c r="C1946" i="1"/>
  <c r="B1946" i="1" s="1"/>
  <c r="F1946" i="1"/>
  <c r="M1946" i="1"/>
  <c r="O1946" i="1"/>
  <c r="S1946" i="1"/>
  <c r="T1946" i="1"/>
  <c r="U1946" i="1"/>
  <c r="Y1946" i="1" s="1"/>
  <c r="V1946" i="1"/>
  <c r="W1946" i="1" s="1"/>
  <c r="Z1946" i="1"/>
  <c r="A1943" i="1"/>
  <c r="C1943" i="1"/>
  <c r="B1943" i="1" s="1"/>
  <c r="F1943" i="1"/>
  <c r="M1943" i="1"/>
  <c r="O1943" i="1"/>
  <c r="S1943" i="1"/>
  <c r="T1943" i="1"/>
  <c r="U1943" i="1"/>
  <c r="Y1943" i="1" s="1"/>
  <c r="V1943" i="1"/>
  <c r="W1943" i="1" s="1"/>
  <c r="Z1943" i="1"/>
  <c r="Q2022" i="1" l="1"/>
  <c r="Q2015" i="1"/>
  <c r="R2009" i="1"/>
  <c r="D2009" i="1" s="1"/>
  <c r="Q2020" i="1"/>
  <c r="R2026" i="1"/>
  <c r="Q2025" i="1"/>
  <c r="Q2021" i="1"/>
  <c r="R1842" i="1"/>
  <c r="D1842" i="1" s="1"/>
  <c r="Q2016" i="1"/>
  <c r="Q2014" i="1"/>
  <c r="Q2024" i="1"/>
  <c r="X1994" i="1"/>
  <c r="X2005" i="1"/>
  <c r="R2005" i="1"/>
  <c r="D2005" i="1" s="1"/>
  <c r="X2129" i="1"/>
  <c r="X2130" i="1"/>
  <c r="T2129" i="1"/>
  <c r="X1943" i="1"/>
  <c r="X1946" i="1"/>
  <c r="P1946" i="1" l="1"/>
  <c r="Q2129" i="1"/>
  <c r="P1943" i="1"/>
  <c r="P2005" i="1"/>
  <c r="R2016" i="1"/>
  <c r="D2016" i="1" s="1"/>
  <c r="R2021" i="1"/>
  <c r="D2021" i="1" s="1"/>
  <c r="Q2130" i="1"/>
  <c r="P1994" i="1"/>
  <c r="R2014" i="1"/>
  <c r="D2014" i="1" s="1"/>
  <c r="R2025" i="1"/>
  <c r="R2020" i="1"/>
  <c r="D2020" i="1" s="1"/>
  <c r="R2015" i="1"/>
  <c r="D2015" i="1" s="1"/>
  <c r="R2024" i="1"/>
  <c r="D2024" i="1" s="1"/>
  <c r="R2022" i="1"/>
  <c r="D2022" i="1" s="1"/>
  <c r="D2129" i="1"/>
  <c r="D2130" i="1"/>
  <c r="R2130" i="1" l="1"/>
  <c r="Q1994" i="1"/>
  <c r="R2129" i="1"/>
  <c r="Q1943" i="1"/>
  <c r="Q1946" i="1"/>
  <c r="A2008" i="1"/>
  <c r="C2008" i="1"/>
  <c r="B2008" i="1" s="1"/>
  <c r="F2008" i="1"/>
  <c r="M2008" i="1"/>
  <c r="O2008" i="1"/>
  <c r="T2008" i="1"/>
  <c r="U2008" i="1"/>
  <c r="Y2008" i="1" s="1"/>
  <c r="V2008" i="1"/>
  <c r="W2008" i="1" s="1"/>
  <c r="Z2008" i="1"/>
  <c r="A1944" i="1"/>
  <c r="C1944" i="1"/>
  <c r="B1944" i="1" s="1"/>
  <c r="F1944" i="1"/>
  <c r="M1944" i="1"/>
  <c r="O1944" i="1"/>
  <c r="S1944" i="1"/>
  <c r="U1944" i="1"/>
  <c r="Y1944" i="1" s="1"/>
  <c r="V1944" i="1"/>
  <c r="W1944" i="1" s="1"/>
  <c r="Z1944" i="1"/>
  <c r="A1859" i="1"/>
  <c r="C1859" i="1"/>
  <c r="B1859" i="1" s="1"/>
  <c r="F1859" i="1"/>
  <c r="M1859" i="1"/>
  <c r="O1859" i="1"/>
  <c r="S1859" i="1"/>
  <c r="U1859" i="1"/>
  <c r="Y1859" i="1" s="1"/>
  <c r="V1859" i="1"/>
  <c r="W1859" i="1" s="1"/>
  <c r="Z1859" i="1"/>
  <c r="A1828" i="1"/>
  <c r="C1828" i="1"/>
  <c r="B1828" i="1" s="1"/>
  <c r="F1828" i="1"/>
  <c r="M1828" i="1"/>
  <c r="O1828" i="1"/>
  <c r="S1828" i="1"/>
  <c r="U1828" i="1"/>
  <c r="Y1828" i="1" s="1"/>
  <c r="V1828" i="1"/>
  <c r="W1828" i="1" s="1"/>
  <c r="Z1828" i="1"/>
  <c r="A1931" i="1"/>
  <c r="C1931" i="1"/>
  <c r="B1931" i="1" s="1"/>
  <c r="F1931" i="1"/>
  <c r="M1931" i="1"/>
  <c r="O1931" i="1"/>
  <c r="S1931" i="1"/>
  <c r="T1931" i="1"/>
  <c r="U1931" i="1"/>
  <c r="Y1931" i="1" s="1"/>
  <c r="V1931" i="1"/>
  <c r="W1931" i="1" s="1"/>
  <c r="Z1931" i="1"/>
  <c r="A1930" i="1"/>
  <c r="C1930" i="1"/>
  <c r="B1930" i="1" s="1"/>
  <c r="F1930" i="1"/>
  <c r="M1930" i="1"/>
  <c r="O1930" i="1"/>
  <c r="S1930" i="1"/>
  <c r="U1930" i="1"/>
  <c r="Y1930" i="1" s="1"/>
  <c r="V1930" i="1"/>
  <c r="W1930" i="1" s="1"/>
  <c r="Z1930" i="1"/>
  <c r="A1999" i="1"/>
  <c r="C1999" i="1"/>
  <c r="B1999" i="1" s="1"/>
  <c r="F1999" i="1"/>
  <c r="M1999" i="1"/>
  <c r="O1999" i="1"/>
  <c r="S1999" i="1"/>
  <c r="U1999" i="1"/>
  <c r="Y1999" i="1" s="1"/>
  <c r="V1999" i="1"/>
  <c r="W1999" i="1" s="1"/>
  <c r="Z1999" i="1"/>
  <c r="A1968" i="1"/>
  <c r="C1968" i="1"/>
  <c r="B1968" i="1" s="1"/>
  <c r="F1968" i="1"/>
  <c r="M1968" i="1"/>
  <c r="O1968" i="1"/>
  <c r="S1968" i="1"/>
  <c r="T1968" i="1"/>
  <c r="U1968" i="1"/>
  <c r="Y1968" i="1" s="1"/>
  <c r="V1968" i="1"/>
  <c r="W1968" i="1" s="1"/>
  <c r="Z1968" i="1"/>
  <c r="A1933" i="1"/>
  <c r="C1933" i="1"/>
  <c r="B1933" i="1" s="1"/>
  <c r="F1933" i="1"/>
  <c r="M1933" i="1"/>
  <c r="O1933" i="1"/>
  <c r="S1933" i="1"/>
  <c r="U1933" i="1"/>
  <c r="Y1933" i="1" s="1"/>
  <c r="V1933" i="1"/>
  <c r="W1933" i="1" s="1"/>
  <c r="Z1933" i="1"/>
  <c r="R1943" i="1" l="1"/>
  <c r="D1943" i="1" s="1"/>
  <c r="R1994" i="1"/>
  <c r="D1994" i="1" s="1"/>
  <c r="R1946" i="1"/>
  <c r="D1946" i="1" s="1"/>
  <c r="X1944" i="1"/>
  <c r="X2008" i="1"/>
  <c r="T1944" i="1"/>
  <c r="X1859" i="1"/>
  <c r="T1859" i="1"/>
  <c r="T1828" i="1"/>
  <c r="X1828" i="1"/>
  <c r="X1931" i="1"/>
  <c r="T1930" i="1"/>
  <c r="X1930" i="1"/>
  <c r="T1999" i="1"/>
  <c r="X1999" i="1"/>
  <c r="X1968" i="1"/>
  <c r="T1933" i="1"/>
  <c r="X1933" i="1"/>
  <c r="P1933" i="1" l="1"/>
  <c r="P1828" i="1"/>
  <c r="P1968" i="1"/>
  <c r="P1944" i="1"/>
  <c r="P1999" i="1"/>
  <c r="P1931" i="1"/>
  <c r="P1859" i="1"/>
  <c r="P1930" i="1"/>
  <c r="P2008" i="1"/>
  <c r="D1944" i="1"/>
  <c r="D2008" i="1"/>
  <c r="D1828" i="1"/>
  <c r="D1859" i="1"/>
  <c r="D1999" i="1"/>
  <c r="D1930" i="1"/>
  <c r="D1933" i="1"/>
  <c r="D1968" i="1"/>
  <c r="Q1930" i="1" l="1"/>
  <c r="Q1931" i="1"/>
  <c r="Q1944" i="1"/>
  <c r="Q1828" i="1"/>
  <c r="Q2008" i="1"/>
  <c r="Q1859" i="1"/>
  <c r="Q1999" i="1"/>
  <c r="Q1968" i="1"/>
  <c r="Q1933" i="1"/>
  <c r="A2006" i="1"/>
  <c r="C2006" i="1"/>
  <c r="B2006" i="1" s="1"/>
  <c r="D2006" i="1"/>
  <c r="F2006" i="1"/>
  <c r="M2006" i="1"/>
  <c r="O2006" i="1"/>
  <c r="S2006" i="1"/>
  <c r="T2006" i="1"/>
  <c r="U2006" i="1"/>
  <c r="V2006" i="1"/>
  <c r="W2006" i="1" s="1"/>
  <c r="Z2006" i="1"/>
  <c r="A2002" i="1"/>
  <c r="C2002" i="1"/>
  <c r="B2002" i="1" s="1"/>
  <c r="D2002" i="1"/>
  <c r="F2002" i="1"/>
  <c r="M2002" i="1"/>
  <c r="S2002" i="1"/>
  <c r="T2002" i="1"/>
  <c r="U2002" i="1"/>
  <c r="Y2002" i="1" s="1"/>
  <c r="V2002" i="1"/>
  <c r="W2002" i="1" s="1"/>
  <c r="Z2002" i="1"/>
  <c r="A2003" i="1"/>
  <c r="C2003" i="1"/>
  <c r="B2003" i="1" s="1"/>
  <c r="D2003" i="1"/>
  <c r="F2003" i="1"/>
  <c r="M2003" i="1"/>
  <c r="O2003" i="1"/>
  <c r="S2003" i="1"/>
  <c r="T2003" i="1"/>
  <c r="U2003" i="1"/>
  <c r="V2003" i="1"/>
  <c r="W2003" i="1" s="1"/>
  <c r="Z2003" i="1"/>
  <c r="A2007" i="1"/>
  <c r="C2007" i="1"/>
  <c r="B2007" i="1" s="1"/>
  <c r="D2007" i="1"/>
  <c r="F2007" i="1"/>
  <c r="O2007" i="1"/>
  <c r="S2007" i="1"/>
  <c r="T2007" i="1"/>
  <c r="U2007" i="1"/>
  <c r="Y2007" i="1" s="1"/>
  <c r="V2007" i="1"/>
  <c r="W2007" i="1" s="1"/>
  <c r="Z2007" i="1"/>
  <c r="V28" i="16"/>
  <c r="V22" i="16"/>
  <c r="V20" i="16"/>
  <c r="V54" i="15"/>
  <c r="V53" i="15"/>
  <c r="V52" i="15"/>
  <c r="V51" i="15"/>
  <c r="V50" i="15"/>
  <c r="V49" i="15"/>
  <c r="V48" i="15"/>
  <c r="V47" i="15"/>
  <c r="V46" i="15"/>
  <c r="V45" i="15"/>
  <c r="V43" i="15"/>
  <c r="V42" i="15"/>
  <c r="V41" i="15"/>
  <c r="V40" i="15"/>
  <c r="V39" i="15"/>
  <c r="V38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1" i="15"/>
  <c r="V10" i="15"/>
  <c r="V9" i="15"/>
  <c r="V7" i="15"/>
  <c r="V6" i="15"/>
  <c r="V5" i="15"/>
  <c r="V4" i="15"/>
  <c r="V3" i="15"/>
  <c r="V2" i="15"/>
  <c r="D1586" i="6"/>
  <c r="D1573" i="6"/>
  <c r="E1601" i="6"/>
  <c r="I1601" i="6"/>
  <c r="J1601" i="6"/>
  <c r="R1968" i="1" l="1"/>
  <c r="R1859" i="1"/>
  <c r="R1828" i="1"/>
  <c r="R1931" i="1"/>
  <c r="D1931" i="1" s="1"/>
  <c r="R1933" i="1"/>
  <c r="R1999" i="1"/>
  <c r="R2008" i="1"/>
  <c r="R1944" i="1"/>
  <c r="R1930" i="1"/>
  <c r="V13" i="16"/>
  <c r="X2006" i="1"/>
  <c r="Y2006" i="1"/>
  <c r="X2003" i="1"/>
  <c r="Y2003" i="1"/>
  <c r="X2002" i="1"/>
  <c r="X2007" i="1"/>
  <c r="V19" i="16"/>
  <c r="V12" i="16"/>
  <c r="A1928" i="1"/>
  <c r="C1928" i="1"/>
  <c r="T1928" i="1" s="1"/>
  <c r="D1928" i="1"/>
  <c r="F1928" i="1"/>
  <c r="M1928" i="1"/>
  <c r="O1928" i="1"/>
  <c r="S1928" i="1"/>
  <c r="U1928" i="1"/>
  <c r="Y1928" i="1" s="1"/>
  <c r="V1928" i="1"/>
  <c r="W1928" i="1" s="1"/>
  <c r="Z1928" i="1"/>
  <c r="A1927" i="1"/>
  <c r="C1927" i="1"/>
  <c r="B1927" i="1" s="1"/>
  <c r="D1927" i="1"/>
  <c r="F1927" i="1"/>
  <c r="M1927" i="1"/>
  <c r="O1927" i="1"/>
  <c r="S1927" i="1"/>
  <c r="U1927" i="1"/>
  <c r="Y1927" i="1" s="1"/>
  <c r="V1927" i="1"/>
  <c r="W1927" i="1" s="1"/>
  <c r="Z1927" i="1"/>
  <c r="A1926" i="1"/>
  <c r="C1926" i="1"/>
  <c r="B1926" i="1" s="1"/>
  <c r="D1926" i="1"/>
  <c r="F1926" i="1"/>
  <c r="M1926" i="1"/>
  <c r="O1926" i="1"/>
  <c r="S1926" i="1"/>
  <c r="U1926" i="1"/>
  <c r="Y1926" i="1" s="1"/>
  <c r="V1926" i="1"/>
  <c r="W1926" i="1" s="1"/>
  <c r="Z1926" i="1"/>
  <c r="A1925" i="1"/>
  <c r="C1925" i="1"/>
  <c r="B1925" i="1" s="1"/>
  <c r="D1925" i="1"/>
  <c r="F1925" i="1"/>
  <c r="M1925" i="1"/>
  <c r="O1925" i="1"/>
  <c r="S1925" i="1"/>
  <c r="U1925" i="1"/>
  <c r="Y1925" i="1" s="1"/>
  <c r="V1925" i="1"/>
  <c r="W1925" i="1" s="1"/>
  <c r="Z1925" i="1"/>
  <c r="A1924" i="1"/>
  <c r="C1924" i="1"/>
  <c r="B1924" i="1" s="1"/>
  <c r="D1924" i="1"/>
  <c r="F1924" i="1"/>
  <c r="M1924" i="1"/>
  <c r="O1924" i="1"/>
  <c r="S1924" i="1"/>
  <c r="U1924" i="1"/>
  <c r="Y1924" i="1" s="1"/>
  <c r="V1924" i="1"/>
  <c r="W1924" i="1" s="1"/>
  <c r="Z1924" i="1"/>
  <c r="A1923" i="1"/>
  <c r="C1923" i="1"/>
  <c r="B1923" i="1" s="1"/>
  <c r="F1923" i="1"/>
  <c r="M1923" i="1"/>
  <c r="O1923" i="1"/>
  <c r="S1923" i="1"/>
  <c r="U1923" i="1"/>
  <c r="Y1923" i="1" s="1"/>
  <c r="V1923" i="1"/>
  <c r="W1923" i="1" s="1"/>
  <c r="Z1923" i="1"/>
  <c r="E1608" i="6"/>
  <c r="F1608" i="6"/>
  <c r="I1608" i="6"/>
  <c r="J1608" i="6"/>
  <c r="E1607" i="6"/>
  <c r="F1607" i="6"/>
  <c r="I1607" i="6"/>
  <c r="J1607" i="6"/>
  <c r="E1598" i="6"/>
  <c r="I1598" i="6"/>
  <c r="J1598" i="6"/>
  <c r="E1594" i="6"/>
  <c r="F1594" i="6"/>
  <c r="I1594" i="6"/>
  <c r="J1594" i="6"/>
  <c r="A1841" i="1"/>
  <c r="C1841" i="1"/>
  <c r="B1841" i="1" s="1"/>
  <c r="F1841" i="1"/>
  <c r="M1841" i="1"/>
  <c r="O1841" i="1"/>
  <c r="T1841" i="1"/>
  <c r="U1841" i="1"/>
  <c r="Y1841" i="1" s="1"/>
  <c r="V1841" i="1"/>
  <c r="W1841" i="1" s="1"/>
  <c r="Z1841" i="1"/>
  <c r="A1870" i="1"/>
  <c r="C1870" i="1"/>
  <c r="B1870" i="1" s="1"/>
  <c r="F1870" i="1"/>
  <c r="M1870" i="1"/>
  <c r="O1870" i="1"/>
  <c r="S1870" i="1"/>
  <c r="U1870" i="1"/>
  <c r="Y1870" i="1" s="1"/>
  <c r="V1870" i="1"/>
  <c r="W1870" i="1" s="1"/>
  <c r="Z1870" i="1"/>
  <c r="A1860" i="1"/>
  <c r="C1860" i="1"/>
  <c r="B1860" i="1" s="1"/>
  <c r="F1860" i="1"/>
  <c r="M1860" i="1"/>
  <c r="O1860" i="1"/>
  <c r="S1860" i="1"/>
  <c r="U1860" i="1"/>
  <c r="V1860" i="1"/>
  <c r="W1860" i="1" s="1"/>
  <c r="Z1860" i="1"/>
  <c r="A1857" i="1"/>
  <c r="C1857" i="1"/>
  <c r="B1857" i="1" s="1"/>
  <c r="F1857" i="1"/>
  <c r="M1857" i="1"/>
  <c r="O1857" i="1"/>
  <c r="U1857" i="1"/>
  <c r="Y1857" i="1" s="1"/>
  <c r="V1857" i="1"/>
  <c r="W1857" i="1" s="1"/>
  <c r="Z1857" i="1"/>
  <c r="A1965" i="1"/>
  <c r="C1965" i="1"/>
  <c r="B1965" i="1" s="1"/>
  <c r="F1965" i="1"/>
  <c r="M1965" i="1"/>
  <c r="O1965" i="1"/>
  <c r="T1965" i="1"/>
  <c r="U1965" i="1"/>
  <c r="Y1965" i="1" s="1"/>
  <c r="V1965" i="1"/>
  <c r="W1965" i="1" s="1"/>
  <c r="Z1965" i="1"/>
  <c r="A2083" i="1"/>
  <c r="C2083" i="1"/>
  <c r="B2083" i="1" s="1"/>
  <c r="F2083" i="1"/>
  <c r="M2083" i="1"/>
  <c r="O2083" i="1"/>
  <c r="U2083" i="1"/>
  <c r="Y2083" i="1" s="1"/>
  <c r="V2083" i="1"/>
  <c r="W2083" i="1" s="1"/>
  <c r="Z2083" i="1"/>
  <c r="A1852" i="1"/>
  <c r="C1852" i="1"/>
  <c r="B1852" i="1" s="1"/>
  <c r="F1852" i="1"/>
  <c r="M1852" i="1"/>
  <c r="O1852" i="1"/>
  <c r="T1852" i="1"/>
  <c r="U1852" i="1"/>
  <c r="Y1852" i="1" s="1"/>
  <c r="V1852" i="1"/>
  <c r="W1852" i="1" s="1"/>
  <c r="Z1852" i="1"/>
  <c r="A1869" i="1"/>
  <c r="C1869" i="1"/>
  <c r="B1869" i="1" s="1"/>
  <c r="F1869" i="1"/>
  <c r="M1869" i="1"/>
  <c r="O1869" i="1"/>
  <c r="T1869" i="1"/>
  <c r="U1869" i="1"/>
  <c r="Y1869" i="1" s="1"/>
  <c r="V1869" i="1"/>
  <c r="W1869" i="1" s="1"/>
  <c r="Z1869" i="1"/>
  <c r="A1989" i="1"/>
  <c r="C1989" i="1"/>
  <c r="B1989" i="1" s="1"/>
  <c r="F1989" i="1"/>
  <c r="M1989" i="1"/>
  <c r="O1989" i="1"/>
  <c r="U1989" i="1"/>
  <c r="Y1989" i="1" s="1"/>
  <c r="V1989" i="1"/>
  <c r="W1989" i="1" s="1"/>
  <c r="Z1989" i="1"/>
  <c r="A2074" i="1"/>
  <c r="C2074" i="1"/>
  <c r="B2074" i="1" s="1"/>
  <c r="F2074" i="1"/>
  <c r="M2074" i="1"/>
  <c r="O2074" i="1"/>
  <c r="U2074" i="1"/>
  <c r="Y2074" i="1" s="1"/>
  <c r="V2074" i="1"/>
  <c r="W2074" i="1" s="1"/>
  <c r="Z2074" i="1"/>
  <c r="A2073" i="1"/>
  <c r="C2073" i="1"/>
  <c r="B2073" i="1" s="1"/>
  <c r="F2073" i="1"/>
  <c r="M2073" i="1"/>
  <c r="O2073" i="1"/>
  <c r="U2073" i="1"/>
  <c r="Y2073" i="1" s="1"/>
  <c r="V2073" i="1"/>
  <c r="W2073" i="1" s="1"/>
  <c r="Z2073" i="1"/>
  <c r="A2137" i="1"/>
  <c r="C2137" i="1"/>
  <c r="B2137" i="1" s="1"/>
  <c r="F2137" i="1"/>
  <c r="M2137" i="1"/>
  <c r="O2137" i="1"/>
  <c r="T2137" i="1"/>
  <c r="U2137" i="1"/>
  <c r="Y2137" i="1" s="1"/>
  <c r="V2137" i="1"/>
  <c r="W2137" i="1" s="1"/>
  <c r="Z2137" i="1"/>
  <c r="A1883" i="1"/>
  <c r="C1883" i="1"/>
  <c r="B1883" i="1" s="1"/>
  <c r="F1883" i="1"/>
  <c r="M1883" i="1"/>
  <c r="O1883" i="1"/>
  <c r="T1883" i="1"/>
  <c r="U1883" i="1"/>
  <c r="Y1883" i="1" s="1"/>
  <c r="V1883" i="1"/>
  <c r="W1883" i="1" s="1"/>
  <c r="Z1883" i="1"/>
  <c r="A1917" i="1"/>
  <c r="C1917" i="1"/>
  <c r="B1917" i="1" s="1"/>
  <c r="F1917" i="1"/>
  <c r="M1917" i="1"/>
  <c r="O1917" i="1"/>
  <c r="T1917" i="1"/>
  <c r="U1917" i="1"/>
  <c r="Y1917" i="1" s="1"/>
  <c r="V1917" i="1"/>
  <c r="W1917" i="1" s="1"/>
  <c r="Z1917" i="1"/>
  <c r="A1916" i="1"/>
  <c r="C1916" i="1"/>
  <c r="B1916" i="1" s="1"/>
  <c r="F1916" i="1"/>
  <c r="M1916" i="1"/>
  <c r="O1916" i="1"/>
  <c r="S1916" i="1"/>
  <c r="T1916" i="1"/>
  <c r="U1916" i="1"/>
  <c r="Y1916" i="1" s="1"/>
  <c r="V1916" i="1"/>
  <c r="W1916" i="1" s="1"/>
  <c r="Z1916" i="1"/>
  <c r="A1942" i="1"/>
  <c r="C1942" i="1"/>
  <c r="B1942" i="1" s="1"/>
  <c r="F1942" i="1"/>
  <c r="M1942" i="1"/>
  <c r="O1942" i="1"/>
  <c r="T1942" i="1"/>
  <c r="U1942" i="1"/>
  <c r="Y1942" i="1" s="1"/>
  <c r="V1942" i="1"/>
  <c r="W1942" i="1" s="1"/>
  <c r="Z1942" i="1"/>
  <c r="A2071" i="1"/>
  <c r="C2071" i="1"/>
  <c r="B2071" i="1" s="1"/>
  <c r="F2071" i="1"/>
  <c r="M2071" i="1"/>
  <c r="O2071" i="1"/>
  <c r="U2071" i="1"/>
  <c r="Y2071" i="1" s="1"/>
  <c r="V2071" i="1"/>
  <c r="W2071" i="1" s="1"/>
  <c r="Z2071" i="1"/>
  <c r="A2117" i="1"/>
  <c r="C2117" i="1"/>
  <c r="B2117" i="1" s="1"/>
  <c r="F2117" i="1"/>
  <c r="M2117" i="1"/>
  <c r="O2117" i="1"/>
  <c r="U2117" i="1"/>
  <c r="Y2117" i="1" s="1"/>
  <c r="V2117" i="1"/>
  <c r="W2117" i="1" s="1"/>
  <c r="Z2117" i="1"/>
  <c r="A2069" i="1"/>
  <c r="C2069" i="1"/>
  <c r="B2069" i="1" s="1"/>
  <c r="F2069" i="1"/>
  <c r="M2069" i="1"/>
  <c r="O2069" i="1"/>
  <c r="U2069" i="1"/>
  <c r="Y2069" i="1" s="1"/>
  <c r="V2069" i="1"/>
  <c r="W2069" i="1" s="1"/>
  <c r="Z2069" i="1"/>
  <c r="A1858" i="1"/>
  <c r="C1858" i="1"/>
  <c r="B1858" i="1" s="1"/>
  <c r="F1858" i="1"/>
  <c r="M1858" i="1"/>
  <c r="O1858" i="1"/>
  <c r="T1858" i="1"/>
  <c r="U1858" i="1"/>
  <c r="Y1858" i="1" s="1"/>
  <c r="V1858" i="1"/>
  <c r="W1858" i="1" s="1"/>
  <c r="Z1858" i="1"/>
  <c r="A2230" i="1"/>
  <c r="C2230" i="1"/>
  <c r="B2230" i="1" s="1"/>
  <c r="F2230" i="1"/>
  <c r="M2230" i="1"/>
  <c r="O2230" i="1"/>
  <c r="Y15" i="16" s="1"/>
  <c r="U2230" i="1"/>
  <c r="Y2230" i="1" s="1"/>
  <c r="V2230" i="1"/>
  <c r="W2230" i="1" s="1"/>
  <c r="Z2230" i="1"/>
  <c r="A2095" i="1"/>
  <c r="C2095" i="1"/>
  <c r="B2095" i="1" s="1"/>
  <c r="F2095" i="1"/>
  <c r="M2095" i="1"/>
  <c r="O2095" i="1"/>
  <c r="U2095" i="1"/>
  <c r="Y2095" i="1" s="1"/>
  <c r="V2095" i="1"/>
  <c r="W2095" i="1" s="1"/>
  <c r="Z2095" i="1"/>
  <c r="A2056" i="1"/>
  <c r="C2056" i="1"/>
  <c r="B2056" i="1" s="1"/>
  <c r="F2056" i="1"/>
  <c r="M2056" i="1"/>
  <c r="O2056" i="1"/>
  <c r="U2056" i="1"/>
  <c r="Y2056" i="1" s="1"/>
  <c r="V2056" i="1"/>
  <c r="W2056" i="1" s="1"/>
  <c r="Z2056" i="1"/>
  <c r="A2085" i="1"/>
  <c r="C2085" i="1"/>
  <c r="B2085" i="1" s="1"/>
  <c r="F2085" i="1"/>
  <c r="M2085" i="1"/>
  <c r="O2085" i="1"/>
  <c r="U2085" i="1"/>
  <c r="Y2085" i="1" s="1"/>
  <c r="V2085" i="1"/>
  <c r="W2085" i="1" s="1"/>
  <c r="Z2085" i="1"/>
  <c r="A2086" i="1"/>
  <c r="C2086" i="1"/>
  <c r="B2086" i="1" s="1"/>
  <c r="F2086" i="1"/>
  <c r="M2086" i="1"/>
  <c r="O2086" i="1"/>
  <c r="U2086" i="1"/>
  <c r="Y2086" i="1" s="1"/>
  <c r="V2086" i="1"/>
  <c r="W2086" i="1" s="1"/>
  <c r="Z2086" i="1"/>
  <c r="A2148" i="1"/>
  <c r="C2148" i="1"/>
  <c r="B2148" i="1" s="1"/>
  <c r="F2148" i="1"/>
  <c r="M2148" i="1"/>
  <c r="O2148" i="1"/>
  <c r="U2148" i="1"/>
  <c r="Y2148" i="1" s="1"/>
  <c r="V2148" i="1"/>
  <c r="W2148" i="1" s="1"/>
  <c r="Z2148" i="1"/>
  <c r="A2147" i="1"/>
  <c r="C2147" i="1"/>
  <c r="B2147" i="1" s="1"/>
  <c r="F2147" i="1"/>
  <c r="M2147" i="1"/>
  <c r="O2147" i="1"/>
  <c r="U2147" i="1"/>
  <c r="Y2147" i="1" s="1"/>
  <c r="V2147" i="1"/>
  <c r="W2147" i="1" s="1"/>
  <c r="Z2147" i="1"/>
  <c r="A2149" i="1"/>
  <c r="C2149" i="1"/>
  <c r="B2149" i="1" s="1"/>
  <c r="F2149" i="1"/>
  <c r="M2149" i="1"/>
  <c r="O2149" i="1"/>
  <c r="U2149" i="1"/>
  <c r="Y2149" i="1" s="1"/>
  <c r="V2149" i="1"/>
  <c r="W2149" i="1" s="1"/>
  <c r="Z2149" i="1"/>
  <c r="A2173" i="1"/>
  <c r="C2173" i="1"/>
  <c r="B2173" i="1" s="1"/>
  <c r="F2173" i="1"/>
  <c r="M2173" i="1"/>
  <c r="O2173" i="1"/>
  <c r="U2173" i="1"/>
  <c r="Y2173" i="1" s="1"/>
  <c r="V2173" i="1"/>
  <c r="W2173" i="1" s="1"/>
  <c r="Z2173" i="1"/>
  <c r="A2063" i="1"/>
  <c r="C2063" i="1"/>
  <c r="B2063" i="1" s="1"/>
  <c r="F2063" i="1"/>
  <c r="M2063" i="1"/>
  <c r="O2063" i="1"/>
  <c r="U2063" i="1"/>
  <c r="Y2063" i="1" s="1"/>
  <c r="V2063" i="1"/>
  <c r="W2063" i="1" s="1"/>
  <c r="Z2063" i="1"/>
  <c r="A2080" i="1"/>
  <c r="C2080" i="1"/>
  <c r="B2080" i="1" s="1"/>
  <c r="F2080" i="1"/>
  <c r="M2080" i="1"/>
  <c r="O2080" i="1"/>
  <c r="U2080" i="1"/>
  <c r="V2080" i="1"/>
  <c r="W2080" i="1" s="1"/>
  <c r="Z2080" i="1"/>
  <c r="A2032" i="1"/>
  <c r="C2032" i="1"/>
  <c r="B2032" i="1" s="1"/>
  <c r="F2032" i="1"/>
  <c r="M2032" i="1"/>
  <c r="O2032" i="1"/>
  <c r="U2032" i="1"/>
  <c r="Y2032" i="1" s="1"/>
  <c r="V2032" i="1"/>
  <c r="W2032" i="1" s="1"/>
  <c r="Z2032" i="1"/>
  <c r="P2002" i="1" l="1"/>
  <c r="P2007" i="1"/>
  <c r="P2003" i="1"/>
  <c r="P2006" i="1"/>
  <c r="X1925" i="1"/>
  <c r="X1927" i="1"/>
  <c r="X1926" i="1"/>
  <c r="X1928" i="1"/>
  <c r="B1928" i="1"/>
  <c r="T1989" i="1"/>
  <c r="T1927" i="1"/>
  <c r="T1926" i="1"/>
  <c r="T1925" i="1"/>
  <c r="T1923" i="1"/>
  <c r="X1924" i="1"/>
  <c r="T1924" i="1"/>
  <c r="X1923" i="1"/>
  <c r="T2073" i="1"/>
  <c r="X1841" i="1"/>
  <c r="X1860" i="1"/>
  <c r="Y1860" i="1"/>
  <c r="X1870" i="1"/>
  <c r="P1870" i="1" s="1"/>
  <c r="T1870" i="1"/>
  <c r="T2074" i="1"/>
  <c r="T2083" i="1"/>
  <c r="T1860" i="1"/>
  <c r="X2083" i="1"/>
  <c r="X1965" i="1"/>
  <c r="T1857" i="1"/>
  <c r="X1857" i="1"/>
  <c r="T2117" i="1"/>
  <c r="X1852" i="1"/>
  <c r="T2230" i="1"/>
  <c r="X1869" i="1"/>
  <c r="X1989" i="1"/>
  <c r="X2074" i="1"/>
  <c r="X1883" i="1"/>
  <c r="X2073" i="1"/>
  <c r="X2137" i="1"/>
  <c r="X1917" i="1"/>
  <c r="T2069" i="1"/>
  <c r="X1916" i="1"/>
  <c r="X1942" i="1"/>
  <c r="T2056" i="1"/>
  <c r="T2071" i="1"/>
  <c r="X2071" i="1"/>
  <c r="X2069" i="1"/>
  <c r="X2117" i="1"/>
  <c r="X1858" i="1"/>
  <c r="T2173" i="1"/>
  <c r="X2230" i="1"/>
  <c r="T2095" i="1"/>
  <c r="T2148" i="1"/>
  <c r="X2095" i="1"/>
  <c r="X2056" i="1"/>
  <c r="T2086" i="1"/>
  <c r="X2147" i="1"/>
  <c r="T2063" i="1"/>
  <c r="T2147" i="1"/>
  <c r="T2085" i="1"/>
  <c r="T2080" i="1"/>
  <c r="X2085" i="1"/>
  <c r="X2086" i="1"/>
  <c r="X2148" i="1"/>
  <c r="T2149" i="1"/>
  <c r="X2149" i="1"/>
  <c r="X2173" i="1"/>
  <c r="X2063" i="1"/>
  <c r="X2080" i="1"/>
  <c r="Y2080" i="1"/>
  <c r="X2032" i="1"/>
  <c r="T2032" i="1"/>
  <c r="A1992" i="1"/>
  <c r="C1992" i="1"/>
  <c r="B1992" i="1" s="1"/>
  <c r="F1992" i="1"/>
  <c r="M1992" i="1"/>
  <c r="O1992" i="1"/>
  <c r="T1992" i="1"/>
  <c r="U1992" i="1"/>
  <c r="Y1992" i="1" s="1"/>
  <c r="V1992" i="1"/>
  <c r="W1992" i="1" s="1"/>
  <c r="Z1992" i="1"/>
  <c r="A1991" i="1"/>
  <c r="C1991" i="1"/>
  <c r="B1991" i="1" s="1"/>
  <c r="F1991" i="1"/>
  <c r="M1991" i="1"/>
  <c r="O1991" i="1"/>
  <c r="T1991" i="1"/>
  <c r="U1991" i="1"/>
  <c r="V1991" i="1"/>
  <c r="W1991" i="1" s="1"/>
  <c r="Z1991" i="1"/>
  <c r="A1990" i="1"/>
  <c r="C1990" i="1"/>
  <c r="B1990" i="1" s="1"/>
  <c r="F1990" i="1"/>
  <c r="M1990" i="1"/>
  <c r="O1990" i="1"/>
  <c r="T1990" i="1"/>
  <c r="U1990" i="1"/>
  <c r="Y1990" i="1" s="1"/>
  <c r="V1990" i="1"/>
  <c r="W1990" i="1" s="1"/>
  <c r="Z1990" i="1"/>
  <c r="P2063" i="1" l="1"/>
  <c r="P2148" i="1"/>
  <c r="P2117" i="1"/>
  <c r="P1917" i="1"/>
  <c r="P2074" i="1"/>
  <c r="P1852" i="1"/>
  <c r="P1965" i="1"/>
  <c r="P1928" i="1"/>
  <c r="Q2006" i="1"/>
  <c r="P2032" i="1"/>
  <c r="P2173" i="1"/>
  <c r="P2086" i="1"/>
  <c r="P2056" i="1"/>
  <c r="P2230" i="1"/>
  <c r="P2069" i="1"/>
  <c r="P1942" i="1"/>
  <c r="P2137" i="1"/>
  <c r="P1989" i="1"/>
  <c r="P2083" i="1"/>
  <c r="P1841" i="1"/>
  <c r="P1924" i="1"/>
  <c r="P1926" i="1"/>
  <c r="Q2003" i="1"/>
  <c r="P2149" i="1"/>
  <c r="Q2149" i="1" s="1"/>
  <c r="P2085" i="1"/>
  <c r="P2095" i="1"/>
  <c r="P2071" i="1"/>
  <c r="P1916" i="1"/>
  <c r="P2073" i="1"/>
  <c r="P1869" i="1"/>
  <c r="P1857" i="1"/>
  <c r="Q1870" i="1"/>
  <c r="P1927" i="1"/>
  <c r="Q2002" i="1"/>
  <c r="P2147" i="1"/>
  <c r="P1858" i="1"/>
  <c r="P1883" i="1"/>
  <c r="P1923" i="1"/>
  <c r="P1925" i="1"/>
  <c r="Q2007" i="1"/>
  <c r="D2095" i="1"/>
  <c r="D2096" i="1"/>
  <c r="D2165" i="1"/>
  <c r="D1942" i="1"/>
  <c r="D1858" i="1"/>
  <c r="P1860" i="1"/>
  <c r="D1857" i="1"/>
  <c r="D1860" i="1"/>
  <c r="D1869" i="1"/>
  <c r="D2147" i="1"/>
  <c r="D2148" i="1"/>
  <c r="P2080" i="1"/>
  <c r="X1992" i="1"/>
  <c r="X1991" i="1"/>
  <c r="Y1991" i="1"/>
  <c r="X1990" i="1"/>
  <c r="A2154" i="1"/>
  <c r="C2154" i="1"/>
  <c r="B2154" i="1" s="1"/>
  <c r="F2154" i="1"/>
  <c r="M2154" i="1"/>
  <c r="O2154" i="1"/>
  <c r="U2154" i="1"/>
  <c r="Y2154" i="1" s="1"/>
  <c r="V2154" i="1"/>
  <c r="W2154" i="1" s="1"/>
  <c r="Z2154" i="1"/>
  <c r="A2153" i="1"/>
  <c r="C2153" i="1"/>
  <c r="B2153" i="1" s="1"/>
  <c r="F2153" i="1"/>
  <c r="M2153" i="1"/>
  <c r="O2153" i="1"/>
  <c r="U2153" i="1"/>
  <c r="Y2153" i="1" s="1"/>
  <c r="V2153" i="1"/>
  <c r="W2153" i="1" s="1"/>
  <c r="Z2153" i="1"/>
  <c r="Q1860" i="1" l="1"/>
  <c r="R2007" i="1"/>
  <c r="Q1923" i="1"/>
  <c r="Q1858" i="1"/>
  <c r="Q1927" i="1"/>
  <c r="Q1857" i="1"/>
  <c r="Q2073" i="1"/>
  <c r="Q2071" i="1"/>
  <c r="Q2085" i="1"/>
  <c r="Q1852" i="1"/>
  <c r="Q1917" i="1"/>
  <c r="Q2148" i="1"/>
  <c r="R2003" i="1"/>
  <c r="Q1924" i="1"/>
  <c r="Q2083" i="1"/>
  <c r="Q2137" i="1"/>
  <c r="Q2069" i="1"/>
  <c r="Q2056" i="1"/>
  <c r="Q2173" i="1"/>
  <c r="R2006" i="1"/>
  <c r="Q1992" i="1"/>
  <c r="Q1990" i="1"/>
  <c r="Q2080" i="1"/>
  <c r="R2149" i="1"/>
  <c r="D2149" i="1" s="1"/>
  <c r="Q1925" i="1"/>
  <c r="Q1883" i="1"/>
  <c r="Q2147" i="1"/>
  <c r="R2002" i="1"/>
  <c r="R1870" i="1"/>
  <c r="Q1869" i="1"/>
  <c r="Q1916" i="1"/>
  <c r="Q2095" i="1"/>
  <c r="Q1965" i="1"/>
  <c r="Q2074" i="1"/>
  <c r="Q2117" i="1"/>
  <c r="Q2063" i="1"/>
  <c r="Q1926" i="1"/>
  <c r="Q1841" i="1"/>
  <c r="Q1989" i="1"/>
  <c r="Q1942" i="1"/>
  <c r="Q2230" i="1"/>
  <c r="Q2086" i="1"/>
  <c r="Q2032" i="1"/>
  <c r="Q1928" i="1"/>
  <c r="T2154" i="1"/>
  <c r="P1991" i="1"/>
  <c r="D1990" i="1"/>
  <c r="D1992" i="1"/>
  <c r="D1991" i="1"/>
  <c r="T2153" i="1"/>
  <c r="X2154" i="1"/>
  <c r="X2153" i="1"/>
  <c r="E1583" i="6"/>
  <c r="E1584" i="6"/>
  <c r="E1579" i="6"/>
  <c r="E1589" i="6"/>
  <c r="E1578" i="6"/>
  <c r="E1587" i="6"/>
  <c r="E1582" i="6"/>
  <c r="E1585" i="6"/>
  <c r="E1596" i="6"/>
  <c r="E1597" i="6"/>
  <c r="E1576" i="6"/>
  <c r="E1574" i="6"/>
  <c r="E1580" i="6"/>
  <c r="E1577" i="6"/>
  <c r="E1595" i="6"/>
  <c r="E1599" i="6"/>
  <c r="E1600" i="6"/>
  <c r="E1581" i="6"/>
  <c r="E1588" i="6"/>
  <c r="E1591" i="6"/>
  <c r="E1573" i="6"/>
  <c r="E1586" i="6"/>
  <c r="E1602" i="6"/>
  <c r="E1603" i="6"/>
  <c r="E1604" i="6"/>
  <c r="F1583" i="6"/>
  <c r="F1584" i="6"/>
  <c r="F1579" i="6"/>
  <c r="F1587" i="6"/>
  <c r="F1582" i="6"/>
  <c r="F1585" i="6"/>
  <c r="F1596" i="6"/>
  <c r="F1597" i="6"/>
  <c r="F1576" i="6"/>
  <c r="F1574" i="6"/>
  <c r="F1580" i="6"/>
  <c r="F1577" i="6"/>
  <c r="F1599" i="6"/>
  <c r="F1600" i="6"/>
  <c r="F1581" i="6"/>
  <c r="F1591" i="6"/>
  <c r="F1573" i="6"/>
  <c r="F1586" i="6"/>
  <c r="I1583" i="6"/>
  <c r="I1584" i="6"/>
  <c r="I1579" i="6"/>
  <c r="I1589" i="6"/>
  <c r="I1578" i="6"/>
  <c r="I1587" i="6"/>
  <c r="I1582" i="6"/>
  <c r="I1585" i="6"/>
  <c r="I1596" i="6"/>
  <c r="I1597" i="6"/>
  <c r="I1576" i="6"/>
  <c r="I1574" i="6"/>
  <c r="I1580" i="6"/>
  <c r="I1577" i="6"/>
  <c r="I1595" i="6"/>
  <c r="I1599" i="6"/>
  <c r="I1600" i="6"/>
  <c r="I1581" i="6"/>
  <c r="I1588" i="6"/>
  <c r="I1591" i="6"/>
  <c r="I1573" i="6"/>
  <c r="I1586" i="6"/>
  <c r="I1602" i="6"/>
  <c r="I1603" i="6"/>
  <c r="I1604" i="6"/>
  <c r="J1583" i="6"/>
  <c r="J1584" i="6"/>
  <c r="J1579" i="6"/>
  <c r="J1589" i="6"/>
  <c r="J1578" i="6"/>
  <c r="J1587" i="6"/>
  <c r="J1582" i="6"/>
  <c r="J1585" i="6"/>
  <c r="J1596" i="6"/>
  <c r="J1597" i="6"/>
  <c r="J1576" i="6"/>
  <c r="J1574" i="6"/>
  <c r="J1580" i="6"/>
  <c r="J1577" i="6"/>
  <c r="J1595" i="6"/>
  <c r="J1599" i="6"/>
  <c r="J1600" i="6"/>
  <c r="J1581" i="6"/>
  <c r="J1588" i="6"/>
  <c r="J1591" i="6"/>
  <c r="J1573" i="6"/>
  <c r="J1586" i="6"/>
  <c r="J1602" i="6"/>
  <c r="J1603" i="6"/>
  <c r="J1604" i="6"/>
  <c r="E1590" i="6"/>
  <c r="F1590" i="6"/>
  <c r="I1590" i="6"/>
  <c r="J1590" i="6"/>
  <c r="A2111" i="1"/>
  <c r="C2111" i="1"/>
  <c r="B2111" i="1" s="1"/>
  <c r="F2111" i="1"/>
  <c r="M2111" i="1"/>
  <c r="O2111" i="1"/>
  <c r="U2111" i="1"/>
  <c r="V2111" i="1"/>
  <c r="W2111" i="1" s="1"/>
  <c r="Z2111" i="1"/>
  <c r="A2157" i="1"/>
  <c r="C2157" i="1"/>
  <c r="B2157" i="1" s="1"/>
  <c r="F2157" i="1"/>
  <c r="M2157" i="1"/>
  <c r="O2157" i="1"/>
  <c r="U2157" i="1"/>
  <c r="V2157" i="1"/>
  <c r="W2157" i="1" s="1"/>
  <c r="Z2157" i="1"/>
  <c r="A2078" i="1"/>
  <c r="C2078" i="1"/>
  <c r="B2078" i="1" s="1"/>
  <c r="F2078" i="1"/>
  <c r="M2078" i="1"/>
  <c r="O2078" i="1"/>
  <c r="U2078" i="1"/>
  <c r="Y2078" i="1" s="1"/>
  <c r="V2078" i="1"/>
  <c r="W2078" i="1" s="1"/>
  <c r="Z2078" i="1"/>
  <c r="A2158" i="1"/>
  <c r="C2158" i="1"/>
  <c r="B2158" i="1" s="1"/>
  <c r="F2158" i="1"/>
  <c r="M2158" i="1"/>
  <c r="O2158" i="1"/>
  <c r="U2158" i="1"/>
  <c r="V2158" i="1"/>
  <c r="W2158" i="1" s="1"/>
  <c r="Z2158" i="1"/>
  <c r="A2172" i="1"/>
  <c r="C2172" i="1"/>
  <c r="B2172" i="1" s="1"/>
  <c r="F2172" i="1"/>
  <c r="M2172" i="1"/>
  <c r="O2172" i="1"/>
  <c r="U2172" i="1"/>
  <c r="Y2172" i="1" s="1"/>
  <c r="V2172" i="1"/>
  <c r="W2172" i="1" s="1"/>
  <c r="Z2172" i="1"/>
  <c r="A156" i="104"/>
  <c r="B156" i="104"/>
  <c r="C156" i="104"/>
  <c r="R2032" i="1" l="1"/>
  <c r="R2230" i="1"/>
  <c r="R1989" i="1"/>
  <c r="D1989" i="1" s="1"/>
  <c r="R1926" i="1"/>
  <c r="R2056" i="1"/>
  <c r="R2137" i="1"/>
  <c r="D2137" i="1" s="1"/>
  <c r="R1924" i="1"/>
  <c r="R2148" i="1"/>
  <c r="R1852" i="1"/>
  <c r="D1852" i="1" s="1"/>
  <c r="R2071" i="1"/>
  <c r="D2071" i="1" s="1"/>
  <c r="R1857" i="1"/>
  <c r="D1870" i="1" s="1"/>
  <c r="R1858" i="1"/>
  <c r="P2153" i="1"/>
  <c r="R2117" i="1"/>
  <c r="R1965" i="1"/>
  <c r="D1965" i="1" s="1"/>
  <c r="R1916" i="1"/>
  <c r="D1916" i="1" s="1"/>
  <c r="R2147" i="1"/>
  <c r="R1925" i="1"/>
  <c r="R2080" i="1"/>
  <c r="R1928" i="1"/>
  <c r="R2086" i="1"/>
  <c r="R1942" i="1"/>
  <c r="R1841" i="1"/>
  <c r="D1841" i="1" s="1"/>
  <c r="R1992" i="1"/>
  <c r="R2173" i="1"/>
  <c r="R2069" i="1"/>
  <c r="R2083" i="1"/>
  <c r="R1917" i="1"/>
  <c r="D1917" i="1" s="1"/>
  <c r="R2085" i="1"/>
  <c r="R2073" i="1"/>
  <c r="R1927" i="1"/>
  <c r="R1923" i="1"/>
  <c r="D1923" i="1" s="1"/>
  <c r="R1860" i="1"/>
  <c r="P2154" i="1"/>
  <c r="Q1991" i="1"/>
  <c r="R2063" i="1"/>
  <c r="R2074" i="1"/>
  <c r="R2095" i="1"/>
  <c r="R1869" i="1"/>
  <c r="R1883" i="1"/>
  <c r="D1883" i="1" s="1"/>
  <c r="R1990" i="1"/>
  <c r="T2111" i="1"/>
  <c r="T2158" i="1"/>
  <c r="X2111" i="1"/>
  <c r="X2157" i="1"/>
  <c r="Y2111" i="1"/>
  <c r="Y2157" i="1"/>
  <c r="T2078" i="1"/>
  <c r="T2157" i="1"/>
  <c r="X2078" i="1"/>
  <c r="X2158" i="1"/>
  <c r="Y2158" i="1"/>
  <c r="X2172" i="1"/>
  <c r="T2172" i="1"/>
  <c r="A2084" i="1"/>
  <c r="C2084" i="1"/>
  <c r="B2084" i="1" s="1"/>
  <c r="F2084" i="1"/>
  <c r="M2084" i="1"/>
  <c r="O2084" i="1"/>
  <c r="U2084" i="1"/>
  <c r="V2084" i="1"/>
  <c r="W2084" i="1" s="1"/>
  <c r="Z2084" i="1"/>
  <c r="A1974" i="1"/>
  <c r="C1974" i="1"/>
  <c r="B1974" i="1" s="1"/>
  <c r="F1974" i="1"/>
  <c r="M1974" i="1"/>
  <c r="O1974" i="1"/>
  <c r="U1974" i="1"/>
  <c r="Y1974" i="1" s="1"/>
  <c r="V1974" i="1"/>
  <c r="W1974" i="1" s="1"/>
  <c r="Z1974" i="1"/>
  <c r="A2108" i="1"/>
  <c r="C2108" i="1"/>
  <c r="B2108" i="1" s="1"/>
  <c r="F2108" i="1"/>
  <c r="M2108" i="1"/>
  <c r="O2108" i="1"/>
  <c r="U2108" i="1"/>
  <c r="Y2108" i="1" s="1"/>
  <c r="V2108" i="1"/>
  <c r="W2108" i="1" s="1"/>
  <c r="Z2108" i="1"/>
  <c r="A1935" i="1"/>
  <c r="C1935" i="1"/>
  <c r="B1935" i="1" s="1"/>
  <c r="F1935" i="1"/>
  <c r="M1935" i="1"/>
  <c r="O1935" i="1"/>
  <c r="U1935" i="1"/>
  <c r="Y1935" i="1" s="1"/>
  <c r="V1935" i="1"/>
  <c r="W1935" i="1" s="1"/>
  <c r="Z1935" i="1"/>
  <c r="A2079" i="1"/>
  <c r="C2079" i="1"/>
  <c r="B2079" i="1" s="1"/>
  <c r="F2079" i="1"/>
  <c r="M2079" i="1"/>
  <c r="O2079" i="1"/>
  <c r="U2079" i="1"/>
  <c r="Y2079" i="1" s="1"/>
  <c r="V2079" i="1"/>
  <c r="W2079" i="1" s="1"/>
  <c r="Z2079" i="1"/>
  <c r="A1853" i="1"/>
  <c r="C1853" i="1"/>
  <c r="B1853" i="1" s="1"/>
  <c r="F1853" i="1"/>
  <c r="M1853" i="1"/>
  <c r="O1853" i="1"/>
  <c r="U1853" i="1"/>
  <c r="Y1853" i="1" s="1"/>
  <c r="V1853" i="1"/>
  <c r="W1853" i="1" s="1"/>
  <c r="Z1853" i="1"/>
  <c r="A2023" i="1"/>
  <c r="C2023" i="1"/>
  <c r="B2023" i="1" s="1"/>
  <c r="F2023" i="1"/>
  <c r="M2023" i="1"/>
  <c r="O2023" i="1"/>
  <c r="U2023" i="1"/>
  <c r="Y2023" i="1" s="1"/>
  <c r="V2023" i="1"/>
  <c r="W2023" i="1" s="1"/>
  <c r="Z2023" i="1"/>
  <c r="A1984" i="1"/>
  <c r="C1984" i="1"/>
  <c r="B1984" i="1" s="1"/>
  <c r="F1984" i="1"/>
  <c r="M1984" i="1"/>
  <c r="O1984" i="1"/>
  <c r="U1984" i="1"/>
  <c r="V1984" i="1"/>
  <c r="W1984" i="1" s="1"/>
  <c r="Z1984" i="1"/>
  <c r="A2089" i="1"/>
  <c r="C2089" i="1"/>
  <c r="B2089" i="1" s="1"/>
  <c r="F2089" i="1"/>
  <c r="M2089" i="1"/>
  <c r="O2089" i="1"/>
  <c r="U2089" i="1"/>
  <c r="Y2089" i="1" s="1"/>
  <c r="V2089" i="1"/>
  <c r="W2089" i="1" s="1"/>
  <c r="Z2089" i="1"/>
  <c r="A2116" i="1"/>
  <c r="C2116" i="1"/>
  <c r="B2116" i="1" s="1"/>
  <c r="F2116" i="1"/>
  <c r="M2116" i="1"/>
  <c r="O2116" i="1"/>
  <c r="U2116" i="1"/>
  <c r="Y2116" i="1" s="1"/>
  <c r="V2116" i="1"/>
  <c r="W2116" i="1" s="1"/>
  <c r="Z2116" i="1"/>
  <c r="A2115" i="1"/>
  <c r="C2115" i="1"/>
  <c r="B2115" i="1" s="1"/>
  <c r="F2115" i="1"/>
  <c r="M2115" i="1"/>
  <c r="O2115" i="1"/>
  <c r="U2115" i="1"/>
  <c r="Y2115" i="1" s="1"/>
  <c r="V2115" i="1"/>
  <c r="W2115" i="1" s="1"/>
  <c r="Z2115" i="1"/>
  <c r="A2114" i="1"/>
  <c r="C2114" i="1"/>
  <c r="B2114" i="1" s="1"/>
  <c r="F2114" i="1"/>
  <c r="M2114" i="1"/>
  <c r="O2114" i="1"/>
  <c r="U2114" i="1"/>
  <c r="Y2114" i="1" s="1"/>
  <c r="V2114" i="1"/>
  <c r="W2114" i="1" s="1"/>
  <c r="Z2114" i="1"/>
  <c r="A2062" i="1"/>
  <c r="C2062" i="1"/>
  <c r="B2062" i="1" s="1"/>
  <c r="F2062" i="1"/>
  <c r="M2062" i="1"/>
  <c r="O2062" i="1"/>
  <c r="U2062" i="1"/>
  <c r="Y2062" i="1" s="1"/>
  <c r="V2062" i="1"/>
  <c r="W2062" i="1" s="1"/>
  <c r="Z2062" i="1"/>
  <c r="A2077" i="1"/>
  <c r="C2077" i="1"/>
  <c r="B2077" i="1" s="1"/>
  <c r="F2077" i="1"/>
  <c r="M2077" i="1"/>
  <c r="O2077" i="1"/>
  <c r="U2077" i="1"/>
  <c r="Y2077" i="1" s="1"/>
  <c r="V2077" i="1"/>
  <c r="W2077" i="1" s="1"/>
  <c r="Z2077" i="1"/>
  <c r="A1978" i="1"/>
  <c r="C1978" i="1"/>
  <c r="B1978" i="1" s="1"/>
  <c r="F1978" i="1"/>
  <c r="M1978" i="1"/>
  <c r="O1978" i="1"/>
  <c r="U1978" i="1"/>
  <c r="Y1978" i="1" s="1"/>
  <c r="V1978" i="1"/>
  <c r="W1978" i="1" s="1"/>
  <c r="Z1978" i="1"/>
  <c r="A2057" i="1"/>
  <c r="C2057" i="1"/>
  <c r="B2057" i="1" s="1"/>
  <c r="F2057" i="1"/>
  <c r="M2057" i="1"/>
  <c r="O2057" i="1"/>
  <c r="U2057" i="1"/>
  <c r="Y2057" i="1" s="1"/>
  <c r="V2057" i="1"/>
  <c r="W2057" i="1" s="1"/>
  <c r="Z2057" i="1"/>
  <c r="A2054" i="1"/>
  <c r="C2054" i="1"/>
  <c r="B2054" i="1" s="1"/>
  <c r="F2054" i="1"/>
  <c r="M2054" i="1"/>
  <c r="O2054" i="1"/>
  <c r="U2054" i="1"/>
  <c r="Y2054" i="1" s="1"/>
  <c r="V2054" i="1"/>
  <c r="W2054" i="1" s="1"/>
  <c r="Z2054" i="1"/>
  <c r="A2055" i="1"/>
  <c r="C2055" i="1"/>
  <c r="B2055" i="1" s="1"/>
  <c r="F2055" i="1"/>
  <c r="M2055" i="1"/>
  <c r="O2055" i="1"/>
  <c r="U2055" i="1"/>
  <c r="Y2055" i="1" s="1"/>
  <c r="V2055" i="1"/>
  <c r="W2055" i="1" s="1"/>
  <c r="Z2055" i="1"/>
  <c r="A1961" i="1"/>
  <c r="C1961" i="1"/>
  <c r="B1961" i="1" s="1"/>
  <c r="F1961" i="1"/>
  <c r="M1961" i="1"/>
  <c r="O1961" i="1"/>
  <c r="U1961" i="1"/>
  <c r="Y1961" i="1" s="1"/>
  <c r="V1961" i="1"/>
  <c r="W1961" i="1" s="1"/>
  <c r="Z1961" i="1"/>
  <c r="A1956" i="1"/>
  <c r="C1956" i="1"/>
  <c r="B1956" i="1" s="1"/>
  <c r="F1956" i="1"/>
  <c r="M1956" i="1"/>
  <c r="O1956" i="1"/>
  <c r="U1956" i="1"/>
  <c r="V1956" i="1"/>
  <c r="W1956" i="1" s="1"/>
  <c r="Z1956" i="1"/>
  <c r="I154" i="104"/>
  <c r="I155" i="104"/>
  <c r="A155" i="104"/>
  <c r="B155" i="104"/>
  <c r="C155" i="104"/>
  <c r="A154" i="104"/>
  <c r="B154" i="104"/>
  <c r="C154" i="104"/>
  <c r="Y5" i="16" l="1"/>
  <c r="P2172" i="1"/>
  <c r="Q2153" i="1"/>
  <c r="P2078" i="1"/>
  <c r="Q2154" i="1"/>
  <c r="D2230" i="1"/>
  <c r="R1991" i="1"/>
  <c r="D2172" i="1"/>
  <c r="D2173" i="1"/>
  <c r="T2084" i="1"/>
  <c r="P2111" i="1"/>
  <c r="T2108" i="1"/>
  <c r="P2157" i="1"/>
  <c r="P2158" i="1"/>
  <c r="Q2158" i="1" s="1"/>
  <c r="T1853" i="1"/>
  <c r="T2116" i="1"/>
  <c r="T2079" i="1"/>
  <c r="X2084" i="1"/>
  <c r="Y2084" i="1"/>
  <c r="X1974" i="1"/>
  <c r="T1974" i="1"/>
  <c r="X2108" i="1"/>
  <c r="T1935" i="1"/>
  <c r="X1935" i="1"/>
  <c r="T2089" i="1"/>
  <c r="X2079" i="1"/>
  <c r="X1853" i="1"/>
  <c r="T2023" i="1"/>
  <c r="X2023" i="1"/>
  <c r="T2115" i="1"/>
  <c r="X1984" i="1"/>
  <c r="Y1984" i="1"/>
  <c r="T1984" i="1"/>
  <c r="X2089" i="1"/>
  <c r="X2116" i="1"/>
  <c r="X2115" i="1"/>
  <c r="T2062" i="1"/>
  <c r="T1978" i="1"/>
  <c r="T2077" i="1"/>
  <c r="T2114" i="1"/>
  <c r="X2114" i="1"/>
  <c r="X2062" i="1"/>
  <c r="X2077" i="1"/>
  <c r="T2054" i="1"/>
  <c r="X1978" i="1"/>
  <c r="X2057" i="1"/>
  <c r="T2057" i="1"/>
  <c r="X2054" i="1"/>
  <c r="X2055" i="1"/>
  <c r="T2055" i="1"/>
  <c r="T1961" i="1"/>
  <c r="X1961" i="1"/>
  <c r="X1956" i="1"/>
  <c r="Y1956" i="1"/>
  <c r="T1956" i="1"/>
  <c r="E1592" i="6"/>
  <c r="F1592" i="6"/>
  <c r="I1592" i="6"/>
  <c r="J1592" i="6"/>
  <c r="E1556" i="6"/>
  <c r="F1556" i="6"/>
  <c r="I1556" i="6"/>
  <c r="J1556" i="6"/>
  <c r="E1593" i="6"/>
  <c r="F1593" i="6"/>
  <c r="I1593" i="6"/>
  <c r="J1593" i="6"/>
  <c r="A2011" i="1"/>
  <c r="C2011" i="1"/>
  <c r="B2011" i="1" s="1"/>
  <c r="F2011" i="1"/>
  <c r="M2011" i="1"/>
  <c r="O2011" i="1"/>
  <c r="U2011" i="1"/>
  <c r="V2011" i="1"/>
  <c r="W2011" i="1" s="1"/>
  <c r="Z2011" i="1"/>
  <c r="A1906" i="1"/>
  <c r="C1906" i="1"/>
  <c r="B1906" i="1" s="1"/>
  <c r="F1906" i="1"/>
  <c r="M1906" i="1"/>
  <c r="O1906" i="1"/>
  <c r="T1906" i="1"/>
  <c r="U1906" i="1"/>
  <c r="Y1906" i="1" s="1"/>
  <c r="V1906" i="1"/>
  <c r="W1906" i="1" s="1"/>
  <c r="Z1906" i="1"/>
  <c r="P2077" i="1" l="1"/>
  <c r="P2116" i="1"/>
  <c r="P1853" i="1"/>
  <c r="Q2111" i="1"/>
  <c r="P2055" i="1"/>
  <c r="P1978" i="1"/>
  <c r="P2114" i="1"/>
  <c r="P2023" i="1"/>
  <c r="Q2157" i="1"/>
  <c r="P1961" i="1"/>
  <c r="P2054" i="1"/>
  <c r="P2115" i="1"/>
  <c r="P1935" i="1"/>
  <c r="P1974" i="1"/>
  <c r="P2057" i="1"/>
  <c r="P2062" i="1"/>
  <c r="P2089" i="1"/>
  <c r="P2079" i="1"/>
  <c r="P2108" i="1"/>
  <c r="P2084" i="1"/>
  <c r="R2158" i="1"/>
  <c r="R2154" i="1"/>
  <c r="R2153" i="1"/>
  <c r="Q2078" i="1"/>
  <c r="Q2172" i="1"/>
  <c r="D2080" i="1"/>
  <c r="D2207" i="1"/>
  <c r="D2206" i="1"/>
  <c r="D2232" i="1"/>
  <c r="D2063" i="1"/>
  <c r="D2164" i="1"/>
  <c r="D2198" i="1"/>
  <c r="D2199" i="1"/>
  <c r="D2086" i="1"/>
  <c r="D2085" i="1"/>
  <c r="T2011" i="1"/>
  <c r="P1984" i="1"/>
  <c r="P1956" i="1"/>
  <c r="X2011" i="1"/>
  <c r="Y2011" i="1"/>
  <c r="X1906" i="1"/>
  <c r="Q1956" i="1" l="1"/>
  <c r="R2172" i="1"/>
  <c r="Q2108" i="1"/>
  <c r="Q2089" i="1"/>
  <c r="Q2057" i="1"/>
  <c r="Q1935" i="1"/>
  <c r="Q2054" i="1"/>
  <c r="R2157" i="1"/>
  <c r="Q2114" i="1"/>
  <c r="Q2055" i="1"/>
  <c r="Q1853" i="1"/>
  <c r="Q2077" i="1"/>
  <c r="R2078" i="1"/>
  <c r="Q2084" i="1"/>
  <c r="Q2079" i="1"/>
  <c r="Q2062" i="1"/>
  <c r="Q1974" i="1"/>
  <c r="Q2115" i="1"/>
  <c r="Q1961" i="1"/>
  <c r="Q2023" i="1"/>
  <c r="Q1978" i="1"/>
  <c r="R2111" i="1"/>
  <c r="P1906" i="1"/>
  <c r="Q1984" i="1"/>
  <c r="Q2116" i="1"/>
  <c r="P2011" i="1"/>
  <c r="A1913" i="1"/>
  <c r="C1913" i="1"/>
  <c r="B1913" i="1" s="1"/>
  <c r="F1913" i="1"/>
  <c r="M1913" i="1"/>
  <c r="O1913" i="1"/>
  <c r="T1913" i="1"/>
  <c r="U1913" i="1"/>
  <c r="Y1913" i="1" s="1"/>
  <c r="V1913" i="1"/>
  <c r="W1913" i="1" s="1"/>
  <c r="Z1913" i="1"/>
  <c r="A1912" i="1"/>
  <c r="C1912" i="1"/>
  <c r="B1912" i="1" s="1"/>
  <c r="F1912" i="1"/>
  <c r="M1912" i="1"/>
  <c r="O1912" i="1"/>
  <c r="T1912" i="1"/>
  <c r="U1912" i="1"/>
  <c r="Y1912" i="1" s="1"/>
  <c r="V1912" i="1"/>
  <c r="W1912" i="1" s="1"/>
  <c r="Z1912" i="1"/>
  <c r="A1915" i="1"/>
  <c r="C1915" i="1"/>
  <c r="B1915" i="1" s="1"/>
  <c r="F1915" i="1"/>
  <c r="O1915" i="1"/>
  <c r="T1915" i="1"/>
  <c r="U1915" i="1"/>
  <c r="Y1915" i="1" s="1"/>
  <c r="V1915" i="1"/>
  <c r="W1915" i="1" s="1"/>
  <c r="Z1915" i="1"/>
  <c r="A1911" i="1"/>
  <c r="C1911" i="1"/>
  <c r="B1911" i="1" s="1"/>
  <c r="F1911" i="1"/>
  <c r="M1911" i="1"/>
  <c r="O1911" i="1"/>
  <c r="U1911" i="1"/>
  <c r="V1911" i="1"/>
  <c r="W1911" i="1" s="1"/>
  <c r="Z1911" i="1"/>
  <c r="A1901" i="1"/>
  <c r="C1901" i="1"/>
  <c r="B1901" i="1" s="1"/>
  <c r="F1901" i="1"/>
  <c r="M1901" i="1"/>
  <c r="O1901" i="1"/>
  <c r="T1901" i="1"/>
  <c r="U1901" i="1"/>
  <c r="V1901" i="1"/>
  <c r="W1901" i="1" s="1"/>
  <c r="Z1901" i="1"/>
  <c r="A1904" i="1"/>
  <c r="C1904" i="1"/>
  <c r="B1904" i="1" s="1"/>
  <c r="F1904" i="1"/>
  <c r="M1904" i="1"/>
  <c r="O1904" i="1"/>
  <c r="U1904" i="1"/>
  <c r="V1904" i="1"/>
  <c r="W1904" i="1" s="1"/>
  <c r="Z1904" i="1"/>
  <c r="A1899" i="1"/>
  <c r="C1899" i="1"/>
  <c r="B1899" i="1" s="1"/>
  <c r="F1899" i="1"/>
  <c r="M1899" i="1"/>
  <c r="O1899" i="1"/>
  <c r="T1899" i="1"/>
  <c r="U1899" i="1"/>
  <c r="V1899" i="1"/>
  <c r="W1899" i="1" s="1"/>
  <c r="Z1899" i="1"/>
  <c r="A1897" i="1"/>
  <c r="C1897" i="1"/>
  <c r="B1897" i="1" s="1"/>
  <c r="F1897" i="1"/>
  <c r="M1897" i="1"/>
  <c r="O1897" i="1"/>
  <c r="U1897" i="1"/>
  <c r="Y1897" i="1" s="1"/>
  <c r="V1897" i="1"/>
  <c r="W1897" i="1" s="1"/>
  <c r="Z1897" i="1"/>
  <c r="A1898" i="1"/>
  <c r="C1898" i="1"/>
  <c r="B1898" i="1" s="1"/>
  <c r="F1898" i="1"/>
  <c r="M1898" i="1"/>
  <c r="O1898" i="1"/>
  <c r="U1898" i="1"/>
  <c r="Y1898" i="1" s="1"/>
  <c r="V1898" i="1"/>
  <c r="W1898" i="1" s="1"/>
  <c r="Z1898" i="1"/>
  <c r="A1893" i="1"/>
  <c r="A1894" i="1"/>
  <c r="A1896" i="1"/>
  <c r="C1893" i="1"/>
  <c r="B1893" i="1" s="1"/>
  <c r="C1894" i="1"/>
  <c r="B1894" i="1" s="1"/>
  <c r="C1896" i="1"/>
  <c r="B1896" i="1" s="1"/>
  <c r="F1893" i="1"/>
  <c r="F1894" i="1"/>
  <c r="F1896" i="1"/>
  <c r="M1893" i="1"/>
  <c r="M1894" i="1"/>
  <c r="M1896" i="1"/>
  <c r="O1893" i="1"/>
  <c r="O1894" i="1"/>
  <c r="O1896" i="1"/>
  <c r="T1893" i="1"/>
  <c r="T1896" i="1"/>
  <c r="U1893" i="1"/>
  <c r="Y1893" i="1" s="1"/>
  <c r="U1894" i="1"/>
  <c r="Y1894" i="1" s="1"/>
  <c r="U1896" i="1"/>
  <c r="Y1896" i="1" s="1"/>
  <c r="V1893" i="1"/>
  <c r="W1893" i="1" s="1"/>
  <c r="V1894" i="1"/>
  <c r="W1894" i="1" s="1"/>
  <c r="V1896" i="1"/>
  <c r="W1896" i="1" s="1"/>
  <c r="Z1893" i="1"/>
  <c r="Z1894" i="1"/>
  <c r="Z1896" i="1"/>
  <c r="A1895" i="1"/>
  <c r="C1895" i="1"/>
  <c r="B1895" i="1" s="1"/>
  <c r="F1895" i="1"/>
  <c r="M1895" i="1"/>
  <c r="O1895" i="1"/>
  <c r="U1895" i="1"/>
  <c r="V1895" i="1"/>
  <c r="W1895" i="1" s="1"/>
  <c r="Z1895" i="1"/>
  <c r="A1888" i="1"/>
  <c r="C1888" i="1"/>
  <c r="B1888" i="1" s="1"/>
  <c r="F1888" i="1"/>
  <c r="M1888" i="1"/>
  <c r="O1888" i="1"/>
  <c r="U1888" i="1"/>
  <c r="Y1888" i="1" s="1"/>
  <c r="V1888" i="1"/>
  <c r="W1888" i="1" s="1"/>
  <c r="Z1888" i="1"/>
  <c r="A1887" i="1"/>
  <c r="C1887" i="1"/>
  <c r="B1887" i="1" s="1"/>
  <c r="F1887" i="1"/>
  <c r="M1887" i="1"/>
  <c r="O1887" i="1"/>
  <c r="U1887" i="1"/>
  <c r="Y1887" i="1" s="1"/>
  <c r="V1887" i="1"/>
  <c r="W1887" i="1" s="1"/>
  <c r="Z1887" i="1"/>
  <c r="A1882" i="1"/>
  <c r="C1882" i="1"/>
  <c r="B1882" i="1" s="1"/>
  <c r="F1882" i="1"/>
  <c r="M1882" i="1"/>
  <c r="O1882" i="1"/>
  <c r="T1882" i="1"/>
  <c r="U1882" i="1"/>
  <c r="V1882" i="1"/>
  <c r="W1882" i="1" s="1"/>
  <c r="Z1882" i="1"/>
  <c r="Q2011" i="1" l="1"/>
  <c r="R1984" i="1"/>
  <c r="R2023" i="1"/>
  <c r="R2115" i="1"/>
  <c r="R2062" i="1"/>
  <c r="R2084" i="1"/>
  <c r="R2077" i="1"/>
  <c r="D2204" i="1" s="1"/>
  <c r="R2055" i="1"/>
  <c r="R1935" i="1"/>
  <c r="D1935" i="1" s="1"/>
  <c r="R2089" i="1"/>
  <c r="R2116" i="1"/>
  <c r="Q1906" i="1"/>
  <c r="R1978" i="1"/>
  <c r="R1961" i="1"/>
  <c r="R1974" i="1"/>
  <c r="R2079" i="1"/>
  <c r="R1853" i="1"/>
  <c r="D1853" i="1" s="1"/>
  <c r="R2114" i="1"/>
  <c r="R2054" i="1"/>
  <c r="R2057" i="1"/>
  <c r="R2108" i="1"/>
  <c r="D2108" i="1" s="1"/>
  <c r="R1956" i="1"/>
  <c r="X1911" i="1"/>
  <c r="X1913" i="1"/>
  <c r="X1912" i="1"/>
  <c r="Y1911" i="1"/>
  <c r="X1915" i="1"/>
  <c r="T1911" i="1"/>
  <c r="X1893" i="1"/>
  <c r="X1904" i="1"/>
  <c r="X1901" i="1"/>
  <c r="X1897" i="1"/>
  <c r="Y1901" i="1"/>
  <c r="T1904" i="1"/>
  <c r="Y1904" i="1"/>
  <c r="X1899" i="1"/>
  <c r="Y1899" i="1"/>
  <c r="T1897" i="1"/>
  <c r="X1898" i="1"/>
  <c r="T1898" i="1"/>
  <c r="X1896" i="1"/>
  <c r="X1894" i="1"/>
  <c r="T1894" i="1"/>
  <c r="X1895" i="1"/>
  <c r="Y1895" i="1"/>
  <c r="T1895" i="1"/>
  <c r="T1888" i="1"/>
  <c r="X1888" i="1"/>
  <c r="X1887" i="1"/>
  <c r="T1887" i="1"/>
  <c r="X1882" i="1"/>
  <c r="Y1882" i="1"/>
  <c r="R2011" i="1" l="1"/>
  <c r="P1898" i="1"/>
  <c r="P1915" i="1"/>
  <c r="P1887" i="1"/>
  <c r="P1896" i="1"/>
  <c r="P1893" i="1"/>
  <c r="P1912" i="1"/>
  <c r="R1906" i="1"/>
  <c r="P1894" i="1"/>
  <c r="P1888" i="1"/>
  <c r="P1897" i="1"/>
  <c r="P1913" i="1"/>
  <c r="P1911" i="1"/>
  <c r="P1904" i="1"/>
  <c r="P1901" i="1"/>
  <c r="P1899" i="1"/>
  <c r="P1895" i="1"/>
  <c r="P1882" i="1"/>
  <c r="A2152" i="1"/>
  <c r="C2152" i="1"/>
  <c r="B2152" i="1" s="1"/>
  <c r="F2152" i="1"/>
  <c r="M2152" i="1"/>
  <c r="O2152" i="1"/>
  <c r="U2152" i="1"/>
  <c r="Y2152" i="1" s="1"/>
  <c r="V2152" i="1"/>
  <c r="W2152" i="1" s="1"/>
  <c r="Z2152" i="1"/>
  <c r="A2151" i="1"/>
  <c r="C2151" i="1"/>
  <c r="B2151" i="1" s="1"/>
  <c r="F2151" i="1"/>
  <c r="M2151" i="1"/>
  <c r="O2151" i="1"/>
  <c r="U2151" i="1"/>
  <c r="Y2151" i="1" s="1"/>
  <c r="V2151" i="1"/>
  <c r="W2151" i="1" s="1"/>
  <c r="Z2151" i="1"/>
  <c r="A1878" i="1"/>
  <c r="C1878" i="1"/>
  <c r="B1878" i="1" s="1"/>
  <c r="F1878" i="1"/>
  <c r="M1878" i="1"/>
  <c r="O1878" i="1"/>
  <c r="T1878" i="1"/>
  <c r="U1878" i="1"/>
  <c r="Y1878" i="1" s="1"/>
  <c r="V1878" i="1"/>
  <c r="W1878" i="1" s="1"/>
  <c r="Z1878" i="1"/>
  <c r="A2150" i="1"/>
  <c r="C2150" i="1"/>
  <c r="B2150" i="1" s="1"/>
  <c r="F2150" i="1"/>
  <c r="M2150" i="1"/>
  <c r="O2150" i="1"/>
  <c r="U2150" i="1"/>
  <c r="Y2150" i="1" s="1"/>
  <c r="V2150" i="1"/>
  <c r="W2150" i="1" s="1"/>
  <c r="Z2150" i="1"/>
  <c r="A1962" i="1"/>
  <c r="C1962" i="1"/>
  <c r="B1962" i="1" s="1"/>
  <c r="F1962" i="1"/>
  <c r="M1962" i="1"/>
  <c r="O1962" i="1"/>
  <c r="U1962" i="1"/>
  <c r="Y1962" i="1" s="1"/>
  <c r="V1962" i="1"/>
  <c r="W1962" i="1" s="1"/>
  <c r="Z1962" i="1"/>
  <c r="I153" i="104"/>
  <c r="A153" i="104"/>
  <c r="B153" i="104"/>
  <c r="C153" i="104"/>
  <c r="A1960" i="1"/>
  <c r="C1960" i="1"/>
  <c r="B1960" i="1" s="1"/>
  <c r="F1960" i="1"/>
  <c r="M1960" i="1"/>
  <c r="O1960" i="1"/>
  <c r="U1960" i="1"/>
  <c r="V1960" i="1"/>
  <c r="W1960" i="1" s="1"/>
  <c r="Z1960" i="1"/>
  <c r="I152" i="104"/>
  <c r="A152" i="104"/>
  <c r="B152" i="104"/>
  <c r="C152" i="104"/>
  <c r="A1871" i="1"/>
  <c r="C1871" i="1"/>
  <c r="B1871" i="1" s="1"/>
  <c r="F1871" i="1"/>
  <c r="O1871" i="1"/>
  <c r="T1871" i="1"/>
  <c r="U1871" i="1"/>
  <c r="Y1871" i="1" s="1"/>
  <c r="V1871" i="1"/>
  <c r="W1871" i="1" s="1"/>
  <c r="Z1871" i="1"/>
  <c r="E1553" i="6"/>
  <c r="F1553" i="6"/>
  <c r="I1553" i="6"/>
  <c r="J1553" i="6"/>
  <c r="Q1895" i="1" l="1"/>
  <c r="Q1911" i="1"/>
  <c r="Q1897" i="1"/>
  <c r="Q1888" i="1"/>
  <c r="Q1899" i="1"/>
  <c r="Q1893" i="1"/>
  <c r="Q1887" i="1"/>
  <c r="Q1898" i="1"/>
  <c r="Q1901" i="1"/>
  <c r="Q1913" i="1"/>
  <c r="Q1882" i="1"/>
  <c r="Q1904" i="1"/>
  <c r="Q1894" i="1"/>
  <c r="Q1912" i="1"/>
  <c r="Q1896" i="1"/>
  <c r="Q1915" i="1"/>
  <c r="X2152" i="1"/>
  <c r="T2152" i="1"/>
  <c r="T2151" i="1"/>
  <c r="X2151" i="1"/>
  <c r="T2150" i="1"/>
  <c r="X1878" i="1"/>
  <c r="X2150" i="1"/>
  <c r="T1962" i="1"/>
  <c r="X1962" i="1"/>
  <c r="T1960" i="1"/>
  <c r="X1960" i="1"/>
  <c r="Y1960" i="1"/>
  <c r="X1871" i="1"/>
  <c r="R1871" i="1"/>
  <c r="D1871" i="1" s="1"/>
  <c r="A1815" i="1"/>
  <c r="C1815" i="1"/>
  <c r="B1815" i="1" s="1"/>
  <c r="F1815" i="1"/>
  <c r="M1815" i="1"/>
  <c r="O1815" i="1"/>
  <c r="T1815" i="1"/>
  <c r="U1815" i="1"/>
  <c r="Y1815" i="1" s="1"/>
  <c r="V1815" i="1"/>
  <c r="W1815" i="1" s="1"/>
  <c r="Z1815" i="1"/>
  <c r="A1814" i="1"/>
  <c r="C1814" i="1"/>
  <c r="B1814" i="1" s="1"/>
  <c r="F1814" i="1"/>
  <c r="M1814" i="1"/>
  <c r="O1814" i="1"/>
  <c r="U1814" i="1"/>
  <c r="Y1814" i="1" s="1"/>
  <c r="V1814" i="1"/>
  <c r="W1814" i="1" s="1"/>
  <c r="Z1814" i="1"/>
  <c r="A1863" i="1"/>
  <c r="C1863" i="1"/>
  <c r="B1863" i="1" s="1"/>
  <c r="F1863" i="1"/>
  <c r="M1863" i="1"/>
  <c r="O1863" i="1"/>
  <c r="T1863" i="1"/>
  <c r="U1863" i="1"/>
  <c r="Y1863" i="1" s="1"/>
  <c r="V1863" i="1"/>
  <c r="W1863" i="1" s="1"/>
  <c r="Z1863" i="1"/>
  <c r="A1862" i="1"/>
  <c r="C1862" i="1"/>
  <c r="B1862" i="1" s="1"/>
  <c r="F1862" i="1"/>
  <c r="M1862" i="1"/>
  <c r="O1862" i="1"/>
  <c r="U1862" i="1"/>
  <c r="Y1862" i="1" s="1"/>
  <c r="V1862" i="1"/>
  <c r="W1862" i="1" s="1"/>
  <c r="Z1862" i="1"/>
  <c r="A1865" i="1"/>
  <c r="C1865" i="1"/>
  <c r="B1865" i="1" s="1"/>
  <c r="F1865" i="1"/>
  <c r="M1865" i="1"/>
  <c r="O1865" i="1"/>
  <c r="S1865" i="1"/>
  <c r="T1865" i="1"/>
  <c r="U1865" i="1"/>
  <c r="Y1865" i="1" s="1"/>
  <c r="V1865" i="1"/>
  <c r="W1865" i="1" s="1"/>
  <c r="Z1865" i="1"/>
  <c r="A1864" i="1"/>
  <c r="C1864" i="1"/>
  <c r="B1864" i="1" s="1"/>
  <c r="F1864" i="1"/>
  <c r="M1864" i="1"/>
  <c r="T1864" i="1"/>
  <c r="U1864" i="1"/>
  <c r="Y1864" i="1" s="1"/>
  <c r="V1864" i="1"/>
  <c r="W1864" i="1" s="1"/>
  <c r="Z1864" i="1"/>
  <c r="A1868" i="1"/>
  <c r="C1868" i="1"/>
  <c r="B1868" i="1" s="1"/>
  <c r="F1868" i="1"/>
  <c r="M1868" i="1"/>
  <c r="O1868" i="1"/>
  <c r="U1868" i="1"/>
  <c r="V1868" i="1"/>
  <c r="W1868" i="1" s="1"/>
  <c r="Z1868" i="1"/>
  <c r="A1794" i="1"/>
  <c r="C1794" i="1"/>
  <c r="B1794" i="1" s="1"/>
  <c r="F1794" i="1"/>
  <c r="M1794" i="1"/>
  <c r="O1794" i="1"/>
  <c r="T1794" i="1"/>
  <c r="U1794" i="1"/>
  <c r="Y1794" i="1" s="1"/>
  <c r="V1794" i="1"/>
  <c r="W1794" i="1" s="1"/>
  <c r="Z1794" i="1"/>
  <c r="A1861" i="1"/>
  <c r="C1861" i="1"/>
  <c r="B1861" i="1" s="1"/>
  <c r="F1861" i="1"/>
  <c r="O1861" i="1"/>
  <c r="T1861" i="1"/>
  <c r="U1861" i="1"/>
  <c r="Y1861" i="1" s="1"/>
  <c r="V1861" i="1"/>
  <c r="W1861" i="1" s="1"/>
  <c r="Z1861" i="1"/>
  <c r="A1851" i="1"/>
  <c r="C1851" i="1"/>
  <c r="B1851" i="1" s="1"/>
  <c r="F1851" i="1"/>
  <c r="M1851" i="1"/>
  <c r="O1851" i="1"/>
  <c r="T1851" i="1"/>
  <c r="U1851" i="1"/>
  <c r="Y1851" i="1" s="1"/>
  <c r="V1851" i="1"/>
  <c r="W1851" i="1" s="1"/>
  <c r="Z1851" i="1"/>
  <c r="A1837" i="1"/>
  <c r="C1837" i="1"/>
  <c r="B1837" i="1" s="1"/>
  <c r="F1837" i="1"/>
  <c r="M1837" i="1"/>
  <c r="O1837" i="1"/>
  <c r="T1837" i="1"/>
  <c r="U1837" i="1"/>
  <c r="Y1837" i="1" s="1"/>
  <c r="V1837" i="1"/>
  <c r="W1837" i="1" s="1"/>
  <c r="Z1837" i="1"/>
  <c r="U5" i="15"/>
  <c r="U54" i="15"/>
  <c r="U53" i="15"/>
  <c r="U52" i="15"/>
  <c r="U51" i="15"/>
  <c r="U50" i="15"/>
  <c r="U49" i="15"/>
  <c r="U48" i="15"/>
  <c r="U47" i="15"/>
  <c r="U46" i="15"/>
  <c r="U45" i="15"/>
  <c r="U43" i="15"/>
  <c r="U42" i="15"/>
  <c r="U41" i="15"/>
  <c r="U40" i="15"/>
  <c r="U39" i="15"/>
  <c r="U38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1" i="15"/>
  <c r="U10" i="15"/>
  <c r="U9" i="15"/>
  <c r="U7" i="15"/>
  <c r="U6" i="15"/>
  <c r="U4" i="15"/>
  <c r="U3" i="15"/>
  <c r="U2" i="15"/>
  <c r="P1878" i="1" l="1"/>
  <c r="R1901" i="1"/>
  <c r="P1871" i="1"/>
  <c r="P1962" i="1"/>
  <c r="P2152" i="1"/>
  <c r="R1896" i="1"/>
  <c r="R1894" i="1"/>
  <c r="R1882" i="1"/>
  <c r="D1882" i="1" s="1"/>
  <c r="R1898" i="1"/>
  <c r="R1893" i="1"/>
  <c r="R1888" i="1"/>
  <c r="R1911" i="1"/>
  <c r="D1911" i="1" s="1"/>
  <c r="P2151" i="1"/>
  <c r="R1913" i="1"/>
  <c r="D1913" i="1" s="1"/>
  <c r="P2150" i="1"/>
  <c r="R1915" i="1"/>
  <c r="D1915" i="1" s="1"/>
  <c r="R1912" i="1"/>
  <c r="D1912" i="1" s="1"/>
  <c r="R1904" i="1"/>
  <c r="R1887" i="1"/>
  <c r="R1899" i="1"/>
  <c r="R1897" i="1"/>
  <c r="R1895" i="1"/>
  <c r="D2156" i="1"/>
  <c r="D2099" i="1"/>
  <c r="D2155" i="1"/>
  <c r="D2043" i="1"/>
  <c r="D2154" i="1"/>
  <c r="D2153" i="1"/>
  <c r="D1906" i="1"/>
  <c r="D2152" i="1"/>
  <c r="D2150" i="1"/>
  <c r="D2151" i="1"/>
  <c r="P1960" i="1"/>
  <c r="X1815" i="1"/>
  <c r="X1814" i="1"/>
  <c r="T1814" i="1"/>
  <c r="X1863" i="1"/>
  <c r="X1862" i="1"/>
  <c r="T1862" i="1"/>
  <c r="X1868" i="1"/>
  <c r="X1865" i="1"/>
  <c r="X1864" i="1"/>
  <c r="Y1868" i="1"/>
  <c r="T1868" i="1"/>
  <c r="X1794" i="1"/>
  <c r="X1861" i="1"/>
  <c r="X1851" i="1"/>
  <c r="X1837" i="1"/>
  <c r="U22" i="16"/>
  <c r="U20" i="16"/>
  <c r="U28" i="16"/>
  <c r="D1561" i="6"/>
  <c r="U19" i="16" s="1"/>
  <c r="A1823" i="1"/>
  <c r="C1823" i="1"/>
  <c r="B1823" i="1" s="1"/>
  <c r="F1823" i="1"/>
  <c r="M1823" i="1"/>
  <c r="O1823" i="1"/>
  <c r="S1823" i="1"/>
  <c r="T1823" i="1"/>
  <c r="U1823" i="1"/>
  <c r="V1823" i="1"/>
  <c r="W1823" i="1" s="1"/>
  <c r="Z1823" i="1"/>
  <c r="A1819" i="1"/>
  <c r="A1820" i="1"/>
  <c r="A1821" i="1"/>
  <c r="A1822" i="1"/>
  <c r="C1819" i="1"/>
  <c r="B1819" i="1" s="1"/>
  <c r="C1820" i="1"/>
  <c r="B1820" i="1" s="1"/>
  <c r="C1821" i="1"/>
  <c r="B1821" i="1" s="1"/>
  <c r="C1822" i="1"/>
  <c r="B1822" i="1" s="1"/>
  <c r="F1819" i="1"/>
  <c r="F1820" i="1"/>
  <c r="F1821" i="1"/>
  <c r="F1822" i="1"/>
  <c r="M1819" i="1"/>
  <c r="M1820" i="1"/>
  <c r="M1821" i="1"/>
  <c r="M1822" i="1"/>
  <c r="O1819" i="1"/>
  <c r="O1820" i="1"/>
  <c r="O1821" i="1"/>
  <c r="O1822" i="1"/>
  <c r="S1819" i="1"/>
  <c r="S1820" i="1"/>
  <c r="S1821" i="1"/>
  <c r="S1822" i="1"/>
  <c r="T1819" i="1"/>
  <c r="T1820" i="1"/>
  <c r="T1821" i="1"/>
  <c r="T1822" i="1"/>
  <c r="U1819" i="1"/>
  <c r="Y1819" i="1" s="1"/>
  <c r="U1820" i="1"/>
  <c r="Y1820" i="1" s="1"/>
  <c r="U1821" i="1"/>
  <c r="U1822" i="1"/>
  <c r="Y1822" i="1" s="1"/>
  <c r="V1819" i="1"/>
  <c r="W1819" i="1" s="1"/>
  <c r="V1820" i="1"/>
  <c r="W1820" i="1" s="1"/>
  <c r="V1821" i="1"/>
  <c r="W1821" i="1" s="1"/>
  <c r="V1822" i="1"/>
  <c r="W1822" i="1" s="1"/>
  <c r="Z1819" i="1"/>
  <c r="Z1820" i="1"/>
  <c r="Z1821" i="1"/>
  <c r="Z1822" i="1"/>
  <c r="A1818" i="1"/>
  <c r="C1818" i="1"/>
  <c r="B1818" i="1" s="1"/>
  <c r="F1818" i="1"/>
  <c r="M1818" i="1"/>
  <c r="O1818" i="1"/>
  <c r="S1818" i="1"/>
  <c r="T1818" i="1"/>
  <c r="U1818" i="1"/>
  <c r="V1818" i="1"/>
  <c r="W1818" i="1" s="1"/>
  <c r="Z1818" i="1"/>
  <c r="A1838" i="1"/>
  <c r="C1838" i="1"/>
  <c r="B1838" i="1" s="1"/>
  <c r="F1838" i="1"/>
  <c r="M1838" i="1"/>
  <c r="O1838" i="1"/>
  <c r="T1838" i="1"/>
  <c r="U1838" i="1"/>
  <c r="Y1838" i="1" s="1"/>
  <c r="V1838" i="1"/>
  <c r="W1838" i="1" s="1"/>
  <c r="Z1838" i="1"/>
  <c r="A1792" i="1"/>
  <c r="C1792" i="1"/>
  <c r="B1792" i="1" s="1"/>
  <c r="F1792" i="1"/>
  <c r="M1792" i="1"/>
  <c r="O1792" i="1"/>
  <c r="T1792" i="1"/>
  <c r="U1792" i="1"/>
  <c r="Y1792" i="1" s="1"/>
  <c r="V1792" i="1"/>
  <c r="W1792" i="1" s="1"/>
  <c r="Z1792" i="1"/>
  <c r="A1817" i="1"/>
  <c r="C1817" i="1"/>
  <c r="B1817" i="1" s="1"/>
  <c r="F1817" i="1"/>
  <c r="M1817" i="1"/>
  <c r="O1817" i="1"/>
  <c r="T1817" i="1"/>
  <c r="U1817" i="1"/>
  <c r="Y1817" i="1" s="1"/>
  <c r="V1817" i="1"/>
  <c r="W1817" i="1" s="1"/>
  <c r="Z1817" i="1"/>
  <c r="A1827" i="1"/>
  <c r="C1827" i="1"/>
  <c r="B1827" i="1" s="1"/>
  <c r="F1827" i="1"/>
  <c r="M1827" i="1"/>
  <c r="O1827" i="1"/>
  <c r="T1827" i="1"/>
  <c r="U1827" i="1"/>
  <c r="Y1827" i="1" s="1"/>
  <c r="V1827" i="1"/>
  <c r="W1827" i="1" s="1"/>
  <c r="Z1827" i="1"/>
  <c r="A2072" i="1"/>
  <c r="C2072" i="1"/>
  <c r="B2072" i="1" s="1"/>
  <c r="F2072" i="1"/>
  <c r="M2072" i="1"/>
  <c r="O2072" i="1"/>
  <c r="U2072" i="1"/>
  <c r="V2072" i="1"/>
  <c r="W2072" i="1" s="1"/>
  <c r="Z2072" i="1"/>
  <c r="A1824" i="1"/>
  <c r="C1824" i="1"/>
  <c r="B1824" i="1" s="1"/>
  <c r="F1824" i="1"/>
  <c r="M1824" i="1"/>
  <c r="O1824" i="1"/>
  <c r="T1824" i="1"/>
  <c r="U1824" i="1"/>
  <c r="Y1824" i="1" s="1"/>
  <c r="V1824" i="1"/>
  <c r="W1824" i="1" s="1"/>
  <c r="Z1824" i="1"/>
  <c r="A1953" i="1"/>
  <c r="C1953" i="1"/>
  <c r="B1953" i="1" s="1"/>
  <c r="F1953" i="1"/>
  <c r="M1953" i="1"/>
  <c r="O1953" i="1"/>
  <c r="U1953" i="1"/>
  <c r="Y1953" i="1" s="1"/>
  <c r="V1953" i="1"/>
  <c r="W1953" i="1" s="1"/>
  <c r="Z1953" i="1"/>
  <c r="A1954" i="1"/>
  <c r="C1954" i="1"/>
  <c r="B1954" i="1" s="1"/>
  <c r="F1954" i="1"/>
  <c r="M1954" i="1"/>
  <c r="O1954" i="1"/>
  <c r="U1954" i="1"/>
  <c r="Y1954" i="1" s="1"/>
  <c r="V1954" i="1"/>
  <c r="W1954" i="1" s="1"/>
  <c r="Z1954" i="1"/>
  <c r="A1903" i="1"/>
  <c r="C1903" i="1"/>
  <c r="B1903" i="1" s="1"/>
  <c r="F1903" i="1"/>
  <c r="M1903" i="1"/>
  <c r="O1903" i="1"/>
  <c r="U1903" i="1"/>
  <c r="Y1903" i="1" s="1"/>
  <c r="V1903" i="1"/>
  <c r="W1903" i="1" s="1"/>
  <c r="Z1903" i="1"/>
  <c r="A1902" i="1"/>
  <c r="C1902" i="1"/>
  <c r="B1902" i="1" s="1"/>
  <c r="F1902" i="1"/>
  <c r="M1902" i="1"/>
  <c r="O1902" i="1"/>
  <c r="U1902" i="1"/>
  <c r="Y1902" i="1" s="1"/>
  <c r="V1902" i="1"/>
  <c r="W1902" i="1" s="1"/>
  <c r="Z1902" i="1"/>
  <c r="A1900" i="1"/>
  <c r="C1900" i="1"/>
  <c r="B1900" i="1" s="1"/>
  <c r="F1900" i="1"/>
  <c r="M1900" i="1"/>
  <c r="O1900" i="1"/>
  <c r="U1900" i="1"/>
  <c r="V1900" i="1"/>
  <c r="W1900" i="1" s="1"/>
  <c r="Z1900" i="1"/>
  <c r="A1816" i="1"/>
  <c r="C1816" i="1"/>
  <c r="B1816" i="1" s="1"/>
  <c r="F1816" i="1"/>
  <c r="M1816" i="1"/>
  <c r="O1816" i="1"/>
  <c r="S1816" i="1"/>
  <c r="T1816" i="1"/>
  <c r="U1816" i="1"/>
  <c r="Y1816" i="1" s="1"/>
  <c r="V1816" i="1"/>
  <c r="W1816" i="1" s="1"/>
  <c r="Z1816" i="1"/>
  <c r="A2001" i="1"/>
  <c r="C2001" i="1"/>
  <c r="B2001" i="1" s="1"/>
  <c r="F2001" i="1"/>
  <c r="M2001" i="1"/>
  <c r="O2001" i="1"/>
  <c r="U2001" i="1"/>
  <c r="V2001" i="1"/>
  <c r="W2001" i="1" s="1"/>
  <c r="Z2001" i="1"/>
  <c r="A1972" i="1"/>
  <c r="C1972" i="1"/>
  <c r="B1972" i="1" s="1"/>
  <c r="F1972" i="1"/>
  <c r="M1972" i="1"/>
  <c r="O1972" i="1"/>
  <c r="U1972" i="1"/>
  <c r="Y1972" i="1" s="1"/>
  <c r="V1972" i="1"/>
  <c r="W1972" i="1" s="1"/>
  <c r="Z1972" i="1"/>
  <c r="A1973" i="1"/>
  <c r="C1973" i="1"/>
  <c r="B1973" i="1" s="1"/>
  <c r="F1973" i="1"/>
  <c r="M1973" i="1"/>
  <c r="O1973" i="1"/>
  <c r="U1973" i="1"/>
  <c r="Y1973" i="1" s="1"/>
  <c r="V1973" i="1"/>
  <c r="W1973" i="1" s="1"/>
  <c r="Z1973" i="1"/>
  <c r="A2027" i="1"/>
  <c r="C2027" i="1"/>
  <c r="B2027" i="1" s="1"/>
  <c r="F2027" i="1"/>
  <c r="M2027" i="1"/>
  <c r="O2027" i="1"/>
  <c r="U2027" i="1"/>
  <c r="Y2027" i="1" s="1"/>
  <c r="V2027" i="1"/>
  <c r="W2027" i="1" s="1"/>
  <c r="Z2027" i="1"/>
  <c r="A2061" i="1"/>
  <c r="C2061" i="1"/>
  <c r="B2061" i="1" s="1"/>
  <c r="F2061" i="1"/>
  <c r="M2061" i="1"/>
  <c r="O2061" i="1"/>
  <c r="U2061" i="1"/>
  <c r="Y2061" i="1" s="1"/>
  <c r="V2061" i="1"/>
  <c r="W2061" i="1" s="1"/>
  <c r="Z2061" i="1"/>
  <c r="A1966" i="1"/>
  <c r="C1966" i="1"/>
  <c r="B1966" i="1" s="1"/>
  <c r="F1966" i="1"/>
  <c r="O1966" i="1"/>
  <c r="U1966" i="1"/>
  <c r="V1966" i="1"/>
  <c r="W1966" i="1" s="1"/>
  <c r="Z1966" i="1"/>
  <c r="A2010" i="1"/>
  <c r="C2010" i="1"/>
  <c r="B2010" i="1" s="1"/>
  <c r="F2010" i="1"/>
  <c r="M2010" i="1"/>
  <c r="O2010" i="1"/>
  <c r="U2010" i="1"/>
  <c r="Y2010" i="1" s="1"/>
  <c r="V2010" i="1"/>
  <c r="W2010" i="1" s="1"/>
  <c r="Z2010" i="1"/>
  <c r="A2123" i="1"/>
  <c r="C2123" i="1"/>
  <c r="B2123" i="1" s="1"/>
  <c r="F2123" i="1"/>
  <c r="M2123" i="1"/>
  <c r="O2123" i="1"/>
  <c r="U2123" i="1"/>
  <c r="Y2123" i="1" s="1"/>
  <c r="V2123" i="1"/>
  <c r="W2123" i="1" s="1"/>
  <c r="Z2123" i="1"/>
  <c r="A2146" i="1"/>
  <c r="C2146" i="1"/>
  <c r="B2146" i="1" s="1"/>
  <c r="F2146" i="1"/>
  <c r="M2146" i="1"/>
  <c r="O2146" i="1"/>
  <c r="U2146" i="1"/>
  <c r="V2146" i="1"/>
  <c r="W2146" i="1" s="1"/>
  <c r="Z2146" i="1"/>
  <c r="A2031" i="1"/>
  <c r="C2031" i="1"/>
  <c r="B2031" i="1" s="1"/>
  <c r="F2031" i="1"/>
  <c r="M2031" i="1"/>
  <c r="O2031" i="1"/>
  <c r="U2031" i="1"/>
  <c r="Y2031" i="1" s="1"/>
  <c r="V2031" i="1"/>
  <c r="W2031" i="1" s="1"/>
  <c r="Z2031" i="1"/>
  <c r="A1980" i="1"/>
  <c r="C1980" i="1"/>
  <c r="B1980" i="1" s="1"/>
  <c r="F1980" i="1"/>
  <c r="M1980" i="1"/>
  <c r="O1980" i="1"/>
  <c r="U1980" i="1"/>
  <c r="Y1980" i="1" s="1"/>
  <c r="V1980" i="1"/>
  <c r="W1980" i="1" s="1"/>
  <c r="Z1980" i="1"/>
  <c r="P1851" i="1" l="1"/>
  <c r="P1814" i="1"/>
  <c r="Q2150" i="1"/>
  <c r="P1861" i="1"/>
  <c r="P1864" i="1"/>
  <c r="Q1862" i="1"/>
  <c r="P1815" i="1"/>
  <c r="Q2152" i="1"/>
  <c r="P1837" i="1"/>
  <c r="P1794" i="1"/>
  <c r="P1865" i="1"/>
  <c r="P1863" i="1"/>
  <c r="Q1960" i="1"/>
  <c r="Q2151" i="1"/>
  <c r="Q1962" i="1"/>
  <c r="Q1878" i="1"/>
  <c r="U13" i="16"/>
  <c r="D1837" i="1"/>
  <c r="D1851" i="1"/>
  <c r="D1814" i="1"/>
  <c r="D1815" i="1"/>
  <c r="P1868" i="1"/>
  <c r="D1862" i="1"/>
  <c r="D1863" i="1"/>
  <c r="D1794" i="1"/>
  <c r="U12" i="16"/>
  <c r="T2123" i="1"/>
  <c r="X1822" i="1"/>
  <c r="X1823" i="1"/>
  <c r="X1820" i="1"/>
  <c r="X1819" i="1"/>
  <c r="X1838" i="1"/>
  <c r="Y1823" i="1"/>
  <c r="X1818" i="1"/>
  <c r="X1821" i="1"/>
  <c r="Y1821" i="1"/>
  <c r="T1972" i="1"/>
  <c r="T1900" i="1"/>
  <c r="T2001" i="1"/>
  <c r="Y1818" i="1"/>
  <c r="X1792" i="1"/>
  <c r="X1817" i="1"/>
  <c r="X1827" i="1"/>
  <c r="T2072" i="1"/>
  <c r="X2072" i="1"/>
  <c r="Y2072" i="1"/>
  <c r="T2027" i="1"/>
  <c r="X2027" i="1"/>
  <c r="X1903" i="1"/>
  <c r="T2010" i="1"/>
  <c r="X1824" i="1"/>
  <c r="T1973" i="1"/>
  <c r="T1902" i="1"/>
  <c r="T1953" i="1"/>
  <c r="X1953" i="1"/>
  <c r="T1954" i="1"/>
  <c r="X1954" i="1"/>
  <c r="T1903" i="1"/>
  <c r="X1902" i="1"/>
  <c r="X1973" i="1"/>
  <c r="X1900" i="1"/>
  <c r="Y1900" i="1"/>
  <c r="X1816" i="1"/>
  <c r="X2001" i="1"/>
  <c r="Y2001" i="1"/>
  <c r="X1972" i="1"/>
  <c r="X2061" i="1"/>
  <c r="T2061" i="1"/>
  <c r="X1966" i="1"/>
  <c r="X2123" i="1"/>
  <c r="Y1966" i="1"/>
  <c r="T1966" i="1"/>
  <c r="X2010" i="1"/>
  <c r="X2146" i="1"/>
  <c r="T2031" i="1"/>
  <c r="X2031" i="1"/>
  <c r="Y2146" i="1"/>
  <c r="T2146" i="1"/>
  <c r="X1980" i="1"/>
  <c r="T1980" i="1"/>
  <c r="E1564" i="6"/>
  <c r="F1564" i="6"/>
  <c r="I1564" i="6"/>
  <c r="J1564" i="6"/>
  <c r="E1563" i="6"/>
  <c r="I1563" i="6"/>
  <c r="J1563" i="6"/>
  <c r="E1561" i="6"/>
  <c r="F1561" i="6"/>
  <c r="I1561" i="6"/>
  <c r="J1561" i="6"/>
  <c r="E1545" i="6"/>
  <c r="F1545" i="6"/>
  <c r="I1545" i="6"/>
  <c r="J1545" i="6"/>
  <c r="E1559" i="6"/>
  <c r="E1549" i="6"/>
  <c r="E1550" i="6"/>
  <c r="E1558" i="6"/>
  <c r="E1551" i="6"/>
  <c r="E1560" i="6"/>
  <c r="E1552" i="6"/>
  <c r="E1554" i="6"/>
  <c r="E1548" i="6"/>
  <c r="E1565" i="6"/>
  <c r="E1566" i="6"/>
  <c r="E1547" i="6"/>
  <c r="E1546" i="6"/>
  <c r="E1555" i="6"/>
  <c r="E1557" i="6"/>
  <c r="E1567" i="6"/>
  <c r="E1568" i="6"/>
  <c r="E1569" i="6"/>
  <c r="E1570" i="6"/>
  <c r="E1571" i="6"/>
  <c r="E1572" i="6"/>
  <c r="E1562" i="6"/>
  <c r="F1559" i="6"/>
  <c r="F1549" i="6"/>
  <c r="F1550" i="6"/>
  <c r="F1560" i="6"/>
  <c r="F1552" i="6"/>
  <c r="F1554" i="6"/>
  <c r="F1548" i="6"/>
  <c r="F1565" i="6"/>
  <c r="F1566" i="6"/>
  <c r="F1547" i="6"/>
  <c r="F1546" i="6"/>
  <c r="F1555" i="6"/>
  <c r="F1557" i="6"/>
  <c r="F1568" i="6"/>
  <c r="F1569" i="6"/>
  <c r="F1562" i="6"/>
  <c r="I1559" i="6"/>
  <c r="I1549" i="6"/>
  <c r="I1550" i="6"/>
  <c r="I1558" i="6"/>
  <c r="I1551" i="6"/>
  <c r="I1560" i="6"/>
  <c r="I1552" i="6"/>
  <c r="I1554" i="6"/>
  <c r="I1548" i="6"/>
  <c r="I1565" i="6"/>
  <c r="I1566" i="6"/>
  <c r="I1547" i="6"/>
  <c r="I1546" i="6"/>
  <c r="I1555" i="6"/>
  <c r="I1557" i="6"/>
  <c r="I1567" i="6"/>
  <c r="I1568" i="6"/>
  <c r="I1569" i="6"/>
  <c r="I1570" i="6"/>
  <c r="I1571" i="6"/>
  <c r="I1572" i="6"/>
  <c r="I1562" i="6"/>
  <c r="J1559" i="6"/>
  <c r="J1549" i="6"/>
  <c r="J1550" i="6"/>
  <c r="J1558" i="6"/>
  <c r="J1551" i="6"/>
  <c r="J1560" i="6"/>
  <c r="J1552" i="6"/>
  <c r="J1554" i="6"/>
  <c r="J1548" i="6"/>
  <c r="J1565" i="6"/>
  <c r="J1566" i="6"/>
  <c r="J1547" i="6"/>
  <c r="J1546" i="6"/>
  <c r="J1555" i="6"/>
  <c r="J1557" i="6"/>
  <c r="J1567" i="6"/>
  <c r="J1568" i="6"/>
  <c r="J1569" i="6"/>
  <c r="J1570" i="6"/>
  <c r="J1571" i="6"/>
  <c r="J1572" i="6"/>
  <c r="J1562" i="6"/>
  <c r="R1878" i="1" l="1"/>
  <c r="D1878" i="1" s="1"/>
  <c r="R2151" i="1"/>
  <c r="Q1837" i="1"/>
  <c r="R2152" i="1"/>
  <c r="R1862" i="1"/>
  <c r="Q1861" i="1"/>
  <c r="Q1814" i="1"/>
  <c r="P2010" i="1"/>
  <c r="P1954" i="1"/>
  <c r="P1903" i="1"/>
  <c r="P1792" i="1"/>
  <c r="P2031" i="1"/>
  <c r="P1973" i="1"/>
  <c r="P2027" i="1"/>
  <c r="P1838" i="1"/>
  <c r="P1822" i="1"/>
  <c r="P1980" i="1"/>
  <c r="P2061" i="1"/>
  <c r="P1816" i="1"/>
  <c r="P1902" i="1"/>
  <c r="P1953" i="1"/>
  <c r="P1824" i="1"/>
  <c r="P1827" i="1"/>
  <c r="P1819" i="1"/>
  <c r="P2123" i="1"/>
  <c r="P1972" i="1"/>
  <c r="P1817" i="1"/>
  <c r="P1820" i="1"/>
  <c r="Q1868" i="1"/>
  <c r="Q1863" i="1"/>
  <c r="Q1794" i="1"/>
  <c r="R1962" i="1"/>
  <c r="Q1815" i="1"/>
  <c r="Q1864" i="1"/>
  <c r="R2150" i="1"/>
  <c r="Q1851" i="1"/>
  <c r="R1960" i="1"/>
  <c r="Q1865" i="1"/>
  <c r="D2157" i="1"/>
  <c r="D2111" i="1"/>
  <c r="D2158" i="1"/>
  <c r="D2078" i="1"/>
  <c r="D1984" i="1"/>
  <c r="D2023" i="1"/>
  <c r="D2011" i="1"/>
  <c r="D2077" i="1"/>
  <c r="P1823" i="1"/>
  <c r="P1821" i="1"/>
  <c r="P1818" i="1"/>
  <c r="P2072" i="1"/>
  <c r="P1900" i="1"/>
  <c r="P2001" i="1"/>
  <c r="P1966" i="1"/>
  <c r="P2146" i="1"/>
  <c r="A1848" i="1"/>
  <c r="C1848" i="1"/>
  <c r="B1848" i="1" s="1"/>
  <c r="F1848" i="1"/>
  <c r="M1848" i="1"/>
  <c r="O1848" i="1"/>
  <c r="T1848" i="1"/>
  <c r="U1848" i="1"/>
  <c r="V1848" i="1"/>
  <c r="W1848" i="1" s="1"/>
  <c r="Z1848" i="1"/>
  <c r="E1575" i="6"/>
  <c r="F1575" i="6"/>
  <c r="I1575" i="6"/>
  <c r="J1575" i="6"/>
  <c r="I151" i="104"/>
  <c r="A151" i="104"/>
  <c r="B151" i="104"/>
  <c r="C151" i="104"/>
  <c r="A1957" i="1"/>
  <c r="C1957" i="1"/>
  <c r="B1957" i="1" s="1"/>
  <c r="F1957" i="1"/>
  <c r="M1957" i="1"/>
  <c r="O1957" i="1"/>
  <c r="U1957" i="1"/>
  <c r="Y1957" i="1" s="1"/>
  <c r="V1957" i="1"/>
  <c r="W1957" i="1" s="1"/>
  <c r="Z1957" i="1"/>
  <c r="A1958" i="1"/>
  <c r="A1959" i="1"/>
  <c r="C1958" i="1"/>
  <c r="B1958" i="1" s="1"/>
  <c r="C1959" i="1"/>
  <c r="B1959" i="1" s="1"/>
  <c r="F1958" i="1"/>
  <c r="F1959" i="1"/>
  <c r="M1958" i="1"/>
  <c r="M1959" i="1"/>
  <c r="O1958" i="1"/>
  <c r="O1959" i="1"/>
  <c r="U1958" i="1"/>
  <c r="Y1958" i="1" s="1"/>
  <c r="U1959" i="1"/>
  <c r="Y1959" i="1" s="1"/>
  <c r="V1958" i="1"/>
  <c r="W1958" i="1" s="1"/>
  <c r="V1959" i="1"/>
  <c r="W1959" i="1" s="1"/>
  <c r="Z1958" i="1"/>
  <c r="Z1959" i="1"/>
  <c r="I149" i="104"/>
  <c r="I150" i="104"/>
  <c r="A150" i="104"/>
  <c r="B150" i="104"/>
  <c r="C150" i="104"/>
  <c r="A149" i="104"/>
  <c r="B149" i="104"/>
  <c r="C149" i="104"/>
  <c r="I145" i="104"/>
  <c r="I146" i="104"/>
  <c r="I147" i="104"/>
  <c r="A147" i="104"/>
  <c r="B147" i="104"/>
  <c r="C147" i="104"/>
  <c r="A146" i="104"/>
  <c r="B146" i="104"/>
  <c r="C146" i="104"/>
  <c r="A145" i="104"/>
  <c r="B145" i="104"/>
  <c r="C145" i="104"/>
  <c r="I142" i="104"/>
  <c r="A142" i="104"/>
  <c r="B142" i="104"/>
  <c r="C142" i="104"/>
  <c r="A1795" i="1"/>
  <c r="C1795" i="1"/>
  <c r="B1795" i="1" s="1"/>
  <c r="F1795" i="1"/>
  <c r="M1795" i="1"/>
  <c r="O1795" i="1"/>
  <c r="T1795" i="1"/>
  <c r="U1795" i="1"/>
  <c r="Y1795" i="1" s="1"/>
  <c r="V1795" i="1"/>
  <c r="W1795" i="1" s="1"/>
  <c r="Z1795" i="1"/>
  <c r="A1951" i="1"/>
  <c r="C1951" i="1"/>
  <c r="B1951" i="1" s="1"/>
  <c r="F1951" i="1"/>
  <c r="M1951" i="1"/>
  <c r="O1951" i="1"/>
  <c r="U1951" i="1"/>
  <c r="V1951" i="1"/>
  <c r="W1951" i="1" s="1"/>
  <c r="Z1951" i="1"/>
  <c r="A1950" i="1"/>
  <c r="C1950" i="1"/>
  <c r="B1950" i="1" s="1"/>
  <c r="F1950" i="1"/>
  <c r="M1950" i="1"/>
  <c r="O1950" i="1"/>
  <c r="U1950" i="1"/>
  <c r="Y1950" i="1" s="1"/>
  <c r="V1950" i="1"/>
  <c r="W1950" i="1" s="1"/>
  <c r="Z1950" i="1"/>
  <c r="A1949" i="1"/>
  <c r="C1949" i="1"/>
  <c r="B1949" i="1" s="1"/>
  <c r="F1949" i="1"/>
  <c r="M1949" i="1"/>
  <c r="O1949" i="1"/>
  <c r="U1949" i="1"/>
  <c r="Y1949" i="1" s="1"/>
  <c r="V1949" i="1"/>
  <c r="W1949" i="1" s="1"/>
  <c r="Z1949" i="1"/>
  <c r="A1955" i="1"/>
  <c r="C1955" i="1"/>
  <c r="B1955" i="1" s="1"/>
  <c r="F1955" i="1"/>
  <c r="M1955" i="1"/>
  <c r="O1955" i="1"/>
  <c r="U1955" i="1"/>
  <c r="Y1955" i="1" s="1"/>
  <c r="V1955" i="1"/>
  <c r="W1955" i="1" s="1"/>
  <c r="Z1955" i="1"/>
  <c r="I148" i="104"/>
  <c r="A148" i="104"/>
  <c r="B148" i="104"/>
  <c r="C148" i="104"/>
  <c r="M964" i="1"/>
  <c r="M1550" i="1"/>
  <c r="Q1900" i="1" l="1"/>
  <c r="Q1823" i="1"/>
  <c r="Q2146" i="1"/>
  <c r="Q2072" i="1"/>
  <c r="Q1817" i="1"/>
  <c r="Q2123" i="1"/>
  <c r="Q2031" i="1"/>
  <c r="Q1966" i="1"/>
  <c r="Q1818" i="1"/>
  <c r="R1865" i="1"/>
  <c r="D1865" i="1" s="1"/>
  <c r="R1851" i="1"/>
  <c r="R1864" i="1"/>
  <c r="D1864" i="1" s="1"/>
  <c r="R1863" i="1"/>
  <c r="Q1820" i="1"/>
  <c r="Q1827" i="1"/>
  <c r="Q1953" i="1"/>
  <c r="Q1816" i="1"/>
  <c r="Q1980" i="1"/>
  <c r="Q1838" i="1"/>
  <c r="Q1973" i="1"/>
  <c r="Q1903" i="1"/>
  <c r="Q2010" i="1"/>
  <c r="R1861" i="1"/>
  <c r="D1861" i="1" s="1"/>
  <c r="Q2001" i="1"/>
  <c r="Q1821" i="1"/>
  <c r="Q1972" i="1"/>
  <c r="Q1819" i="1"/>
  <c r="R1815" i="1"/>
  <c r="R1794" i="1"/>
  <c r="R1868" i="1"/>
  <c r="D1868" i="1" s="1"/>
  <c r="Q1824" i="1"/>
  <c r="Q1902" i="1"/>
  <c r="Q2061" i="1"/>
  <c r="Q1822" i="1"/>
  <c r="Q2027" i="1"/>
  <c r="Q1792" i="1"/>
  <c r="Q1954" i="1"/>
  <c r="R1814" i="1"/>
  <c r="R1837" i="1"/>
  <c r="D2073" i="1"/>
  <c r="D2074" i="1"/>
  <c r="T1957" i="1"/>
  <c r="T1959" i="1"/>
  <c r="X1957" i="1"/>
  <c r="X1848" i="1"/>
  <c r="Y1848" i="1"/>
  <c r="T1958" i="1"/>
  <c r="X1959" i="1"/>
  <c r="X1958" i="1"/>
  <c r="X1795" i="1"/>
  <c r="X1951" i="1"/>
  <c r="T1951" i="1"/>
  <c r="Y1951" i="1"/>
  <c r="T1949" i="1"/>
  <c r="T1950" i="1"/>
  <c r="X1950" i="1"/>
  <c r="X1949" i="1"/>
  <c r="X1955" i="1"/>
  <c r="T1955" i="1"/>
  <c r="R1966" i="1" l="1"/>
  <c r="D1978" i="1" s="1"/>
  <c r="R1823" i="1"/>
  <c r="R2123" i="1"/>
  <c r="R2072" i="1"/>
  <c r="R1792" i="1"/>
  <c r="D1792" i="1" s="1"/>
  <c r="R1822" i="1"/>
  <c r="R1902" i="1"/>
  <c r="R1903" i="1"/>
  <c r="R1838" i="1"/>
  <c r="D1838" i="1" s="1"/>
  <c r="R1816" i="1"/>
  <c r="D1816" i="1" s="1"/>
  <c r="R1827" i="1"/>
  <c r="D1827" i="1" s="1"/>
  <c r="R1818" i="1"/>
  <c r="R1900" i="1"/>
  <c r="P1955" i="1"/>
  <c r="P1795" i="1"/>
  <c r="R1954" i="1"/>
  <c r="R2027" i="1"/>
  <c r="R2061" i="1"/>
  <c r="R1824" i="1"/>
  <c r="D1824" i="1" s="1"/>
  <c r="R1819" i="1"/>
  <c r="R1821" i="1"/>
  <c r="R2010" i="1"/>
  <c r="R1973" i="1"/>
  <c r="R1980" i="1"/>
  <c r="R1953" i="1"/>
  <c r="R1820" i="1"/>
  <c r="P1949" i="1"/>
  <c r="P1958" i="1"/>
  <c r="P1950" i="1"/>
  <c r="P1959" i="1"/>
  <c r="P1957" i="1"/>
  <c r="R1972" i="1"/>
  <c r="R2001" i="1"/>
  <c r="R2031" i="1"/>
  <c r="R1817" i="1"/>
  <c r="R2146" i="1"/>
  <c r="D2123" i="1" s="1"/>
  <c r="D1961" i="1"/>
  <c r="D1955" i="1"/>
  <c r="D1956" i="1"/>
  <c r="D1960" i="1"/>
  <c r="D1962" i="1"/>
  <c r="P1848" i="1"/>
  <c r="D1958" i="1"/>
  <c r="D1959" i="1"/>
  <c r="P1951" i="1"/>
  <c r="Q1949" i="1" l="1"/>
  <c r="Q1848" i="1"/>
  <c r="Q1959" i="1"/>
  <c r="Q1795" i="1"/>
  <c r="Q1951" i="1"/>
  <c r="Q1958" i="1"/>
  <c r="Q1955" i="1"/>
  <c r="Q1957" i="1"/>
  <c r="Q1950" i="1"/>
  <c r="D1950" i="1"/>
  <c r="D1949" i="1"/>
  <c r="A2113" i="1"/>
  <c r="C2113" i="1"/>
  <c r="B2113" i="1" s="1"/>
  <c r="F2113" i="1"/>
  <c r="M2113" i="1"/>
  <c r="O2113" i="1"/>
  <c r="U2113" i="1"/>
  <c r="Y2113" i="1" s="1"/>
  <c r="V2113" i="1"/>
  <c r="W2113" i="1" s="1"/>
  <c r="Z2113" i="1"/>
  <c r="M1811" i="1"/>
  <c r="A1811" i="1"/>
  <c r="C1811" i="1"/>
  <c r="B1811" i="1" s="1"/>
  <c r="F1811" i="1"/>
  <c r="O1811" i="1"/>
  <c r="U1811" i="1"/>
  <c r="Y1811" i="1" s="1"/>
  <c r="V1811" i="1"/>
  <c r="W1811" i="1" s="1"/>
  <c r="Z1811" i="1"/>
  <c r="A1986" i="1"/>
  <c r="C1986" i="1"/>
  <c r="B1986" i="1" s="1"/>
  <c r="F1986" i="1"/>
  <c r="M1986" i="1"/>
  <c r="O1986" i="1"/>
  <c r="U1986" i="1"/>
  <c r="Y1986" i="1" s="1"/>
  <c r="V1986" i="1"/>
  <c r="W1986" i="1" s="1"/>
  <c r="Z1986" i="1"/>
  <c r="A1987" i="1"/>
  <c r="C1987" i="1"/>
  <c r="B1987" i="1" s="1"/>
  <c r="F1987" i="1"/>
  <c r="M1987" i="1"/>
  <c r="O1987" i="1"/>
  <c r="U1987" i="1"/>
  <c r="Y1987" i="1" s="1"/>
  <c r="V1987" i="1"/>
  <c r="W1987" i="1" s="1"/>
  <c r="Z1987" i="1"/>
  <c r="A1982" i="1"/>
  <c r="C1982" i="1"/>
  <c r="B1982" i="1" s="1"/>
  <c r="F1982" i="1"/>
  <c r="M1982" i="1"/>
  <c r="O1982" i="1"/>
  <c r="U1982" i="1"/>
  <c r="Y1982" i="1" s="1"/>
  <c r="V1982" i="1"/>
  <c r="W1982" i="1" s="1"/>
  <c r="Z1982" i="1"/>
  <c r="A1983" i="1"/>
  <c r="C1983" i="1"/>
  <c r="B1983" i="1" s="1"/>
  <c r="F1983" i="1"/>
  <c r="M1983" i="1"/>
  <c r="O1983" i="1"/>
  <c r="U1983" i="1"/>
  <c r="Y1983" i="1" s="1"/>
  <c r="V1983" i="1"/>
  <c r="W1983" i="1" s="1"/>
  <c r="Z1983" i="1"/>
  <c r="A1939" i="1"/>
  <c r="C1939" i="1"/>
  <c r="B1939" i="1" s="1"/>
  <c r="F1939" i="1"/>
  <c r="M1939" i="1"/>
  <c r="O1939" i="1"/>
  <c r="U1939" i="1"/>
  <c r="Y1939" i="1" s="1"/>
  <c r="V1939" i="1"/>
  <c r="W1939" i="1" s="1"/>
  <c r="Z1939" i="1"/>
  <c r="A1940" i="1"/>
  <c r="C1940" i="1"/>
  <c r="B1940" i="1" s="1"/>
  <c r="F1940" i="1"/>
  <c r="M1940" i="1"/>
  <c r="O1940" i="1"/>
  <c r="U1940" i="1"/>
  <c r="Y1940" i="1" s="1"/>
  <c r="V1940" i="1"/>
  <c r="W1940" i="1" s="1"/>
  <c r="Z1940" i="1"/>
  <c r="A1880" i="1"/>
  <c r="C1880" i="1"/>
  <c r="B1880" i="1" s="1"/>
  <c r="F1880" i="1"/>
  <c r="M1880" i="1"/>
  <c r="O1880" i="1"/>
  <c r="U1880" i="1"/>
  <c r="Y1880" i="1" s="1"/>
  <c r="V1880" i="1"/>
  <c r="W1880" i="1" s="1"/>
  <c r="Z1880" i="1"/>
  <c r="A2004" i="1"/>
  <c r="C2004" i="1"/>
  <c r="B2004" i="1" s="1"/>
  <c r="F2004" i="1"/>
  <c r="M2004" i="1"/>
  <c r="O2004" i="1"/>
  <c r="U2004" i="1"/>
  <c r="Y2004" i="1" s="1"/>
  <c r="V2004" i="1"/>
  <c r="W2004" i="1" s="1"/>
  <c r="Z2004" i="1"/>
  <c r="A1938" i="1"/>
  <c r="C1938" i="1"/>
  <c r="B1938" i="1" s="1"/>
  <c r="F1938" i="1"/>
  <c r="M1938" i="1"/>
  <c r="O1938" i="1"/>
  <c r="U1938" i="1"/>
  <c r="Y1938" i="1" s="1"/>
  <c r="V1938" i="1"/>
  <c r="W1938" i="1" s="1"/>
  <c r="Z1938" i="1"/>
  <c r="A1937" i="1"/>
  <c r="C1937" i="1"/>
  <c r="B1937" i="1" s="1"/>
  <c r="F1937" i="1"/>
  <c r="M1937" i="1"/>
  <c r="O1937" i="1"/>
  <c r="U1937" i="1"/>
  <c r="Y1937" i="1" s="1"/>
  <c r="V1937" i="1"/>
  <c r="W1937" i="1" s="1"/>
  <c r="Z1937" i="1"/>
  <c r="A1971" i="1"/>
  <c r="C1971" i="1"/>
  <c r="B1971" i="1" s="1"/>
  <c r="F1971" i="1"/>
  <c r="M1971" i="1"/>
  <c r="O1971" i="1"/>
  <c r="U1971" i="1"/>
  <c r="Y1971" i="1" s="1"/>
  <c r="V1971" i="1"/>
  <c r="W1971" i="1" s="1"/>
  <c r="Z1971" i="1"/>
  <c r="A1970" i="1"/>
  <c r="C1970" i="1"/>
  <c r="B1970" i="1" s="1"/>
  <c r="F1970" i="1"/>
  <c r="M1970" i="1"/>
  <c r="O1970" i="1"/>
  <c r="U1970" i="1"/>
  <c r="Y1970" i="1" s="1"/>
  <c r="V1970" i="1"/>
  <c r="W1970" i="1" s="1"/>
  <c r="Z1970" i="1"/>
  <c r="A1976" i="1"/>
  <c r="C1976" i="1"/>
  <c r="B1976" i="1" s="1"/>
  <c r="F1976" i="1"/>
  <c r="M1976" i="1"/>
  <c r="O1976" i="1"/>
  <c r="U1976" i="1"/>
  <c r="Y1976" i="1" s="1"/>
  <c r="V1976" i="1"/>
  <c r="W1976" i="1" s="1"/>
  <c r="Z1976" i="1"/>
  <c r="A2059" i="1"/>
  <c r="C2059" i="1"/>
  <c r="B2059" i="1" s="1"/>
  <c r="F2059" i="1"/>
  <c r="M2059" i="1"/>
  <c r="O2059" i="1"/>
  <c r="U2059" i="1"/>
  <c r="Y2059" i="1" s="1"/>
  <c r="V2059" i="1"/>
  <c r="W2059" i="1" s="1"/>
  <c r="Z2059" i="1"/>
  <c r="A2053" i="1"/>
  <c r="C2053" i="1"/>
  <c r="B2053" i="1" s="1"/>
  <c r="F2053" i="1"/>
  <c r="M2053" i="1"/>
  <c r="O2053" i="1"/>
  <c r="U2053" i="1"/>
  <c r="V2053" i="1"/>
  <c r="W2053" i="1" s="1"/>
  <c r="Z2053" i="1"/>
  <c r="A2028" i="1"/>
  <c r="C2028" i="1"/>
  <c r="B2028" i="1" s="1"/>
  <c r="F2028" i="1"/>
  <c r="M2028" i="1"/>
  <c r="O2028" i="1"/>
  <c r="U2028" i="1"/>
  <c r="V2028" i="1"/>
  <c r="W2028" i="1" s="1"/>
  <c r="Z2028" i="1"/>
  <c r="A1796" i="1"/>
  <c r="C1796" i="1"/>
  <c r="B1796" i="1" s="1"/>
  <c r="F1796" i="1"/>
  <c r="M1796" i="1"/>
  <c r="O1796" i="1"/>
  <c r="S1796" i="1"/>
  <c r="T1796" i="1"/>
  <c r="U1796" i="1"/>
  <c r="Y1796" i="1" s="1"/>
  <c r="V1796" i="1"/>
  <c r="W1796" i="1" s="1"/>
  <c r="Z1796" i="1"/>
  <c r="A1876" i="1"/>
  <c r="C1876" i="1"/>
  <c r="B1876" i="1" s="1"/>
  <c r="F1876" i="1"/>
  <c r="M1876" i="1"/>
  <c r="O1876" i="1"/>
  <c r="U1876" i="1"/>
  <c r="Y1876" i="1" s="1"/>
  <c r="V1876" i="1"/>
  <c r="W1876" i="1" s="1"/>
  <c r="Z1876" i="1"/>
  <c r="A1905" i="1"/>
  <c r="C1905" i="1"/>
  <c r="B1905" i="1" s="1"/>
  <c r="F1905" i="1"/>
  <c r="M1905" i="1"/>
  <c r="O1905" i="1"/>
  <c r="U1905" i="1"/>
  <c r="Y1905" i="1" s="1"/>
  <c r="V1905" i="1"/>
  <c r="W1905" i="1" s="1"/>
  <c r="Z1905" i="1"/>
  <c r="R1957" i="1" l="1"/>
  <c r="D1957" i="1" s="1"/>
  <c r="R1958" i="1"/>
  <c r="R1795" i="1"/>
  <c r="D1795" i="1" s="1"/>
  <c r="R1848" i="1"/>
  <c r="R1950" i="1"/>
  <c r="R1955" i="1"/>
  <c r="R1951" i="1"/>
  <c r="D1951" i="1" s="1"/>
  <c r="R1959" i="1"/>
  <c r="R1949" i="1"/>
  <c r="T1987" i="1"/>
  <c r="X2113" i="1"/>
  <c r="T2113" i="1"/>
  <c r="T2059" i="1"/>
  <c r="X1811" i="1"/>
  <c r="T1976" i="1"/>
  <c r="X1987" i="1"/>
  <c r="T1971" i="1"/>
  <c r="X2004" i="1"/>
  <c r="T1982" i="1"/>
  <c r="T1937" i="1"/>
  <c r="T1880" i="1"/>
  <c r="T1970" i="1"/>
  <c r="T1811" i="1"/>
  <c r="T1986" i="1"/>
  <c r="X1986" i="1"/>
  <c r="X1982" i="1"/>
  <c r="T1983" i="1"/>
  <c r="X1983" i="1"/>
  <c r="T1939" i="1"/>
  <c r="X1939" i="1"/>
  <c r="T1940" i="1"/>
  <c r="X1940" i="1"/>
  <c r="X1880" i="1"/>
  <c r="T2004" i="1"/>
  <c r="X1970" i="1"/>
  <c r="X1938" i="1"/>
  <c r="T1938" i="1"/>
  <c r="X2059" i="1"/>
  <c r="X1937" i="1"/>
  <c r="X1971" i="1"/>
  <c r="X1976" i="1"/>
  <c r="T2053" i="1"/>
  <c r="T1876" i="1"/>
  <c r="X1876" i="1"/>
  <c r="X2053" i="1"/>
  <c r="Y2053" i="1"/>
  <c r="T2028" i="1"/>
  <c r="X2028" i="1"/>
  <c r="Y2028" i="1"/>
  <c r="X1796" i="1"/>
  <c r="X1905" i="1"/>
  <c r="T1905" i="1"/>
  <c r="P1796" i="1" l="1"/>
  <c r="P2059" i="1"/>
  <c r="P1939" i="1"/>
  <c r="P1982" i="1"/>
  <c r="P2004" i="1"/>
  <c r="P1811" i="1"/>
  <c r="P2053" i="1"/>
  <c r="P1976" i="1"/>
  <c r="P1880" i="1"/>
  <c r="P1986" i="1"/>
  <c r="P1876" i="1"/>
  <c r="Q1876" i="1" s="1"/>
  <c r="P1971" i="1"/>
  <c r="P1938" i="1"/>
  <c r="P1940" i="1"/>
  <c r="P1983" i="1"/>
  <c r="P1987" i="1"/>
  <c r="P1905" i="1"/>
  <c r="P1937" i="1"/>
  <c r="P1970" i="1"/>
  <c r="P2113" i="1"/>
  <c r="D2113" i="1"/>
  <c r="D2115" i="1"/>
  <c r="D2062" i="1"/>
  <c r="D2114" i="1"/>
  <c r="D1940" i="1"/>
  <c r="D1939" i="1"/>
  <c r="D1937" i="1"/>
  <c r="D1938" i="1"/>
  <c r="P2028" i="1"/>
  <c r="D1905" i="1"/>
  <c r="D1876" i="1"/>
  <c r="Q2028" i="1" l="1"/>
  <c r="Q2113" i="1"/>
  <c r="Q1937" i="1"/>
  <c r="Q1987" i="1"/>
  <c r="Q1940" i="1"/>
  <c r="Q1971" i="1"/>
  <c r="Q1986" i="1"/>
  <c r="Q1976" i="1"/>
  <c r="Q1811" i="1"/>
  <c r="Q1982" i="1"/>
  <c r="Q2059" i="1"/>
  <c r="Q1970" i="1"/>
  <c r="Q1905" i="1"/>
  <c r="Q1983" i="1"/>
  <c r="Q1938" i="1"/>
  <c r="R1876" i="1"/>
  <c r="Q1880" i="1"/>
  <c r="Q2053" i="1"/>
  <c r="Q2004" i="1"/>
  <c r="Q1939" i="1"/>
  <c r="Q1796" i="1"/>
  <c r="A1804" i="1"/>
  <c r="C1804" i="1"/>
  <c r="B1804" i="1" s="1"/>
  <c r="F1804" i="1"/>
  <c r="M1804" i="1"/>
  <c r="O1804" i="1"/>
  <c r="T1804" i="1"/>
  <c r="U1804" i="1"/>
  <c r="Y1804" i="1" s="1"/>
  <c r="V1804" i="1"/>
  <c r="W1804" i="1" s="1"/>
  <c r="Z1804" i="1"/>
  <c r="A1886" i="1"/>
  <c r="C1886" i="1"/>
  <c r="B1886" i="1" s="1"/>
  <c r="F1886" i="1"/>
  <c r="M1886" i="1"/>
  <c r="O1886" i="1"/>
  <c r="T1886" i="1"/>
  <c r="U1886" i="1"/>
  <c r="Y1886" i="1" s="1"/>
  <c r="V1886" i="1"/>
  <c r="W1886" i="1" s="1"/>
  <c r="Z1886" i="1"/>
  <c r="A1964" i="1"/>
  <c r="C1964" i="1"/>
  <c r="B1964" i="1" s="1"/>
  <c r="F1964" i="1"/>
  <c r="M1964" i="1"/>
  <c r="O1964" i="1"/>
  <c r="U1964" i="1"/>
  <c r="Y1964" i="1" s="1"/>
  <c r="V1964" i="1"/>
  <c r="W1964" i="1" s="1"/>
  <c r="Z1964" i="1"/>
  <c r="A2000" i="1"/>
  <c r="C2000" i="1"/>
  <c r="B2000" i="1" s="1"/>
  <c r="F2000" i="1"/>
  <c r="M2000" i="1"/>
  <c r="O2000" i="1"/>
  <c r="U2000" i="1"/>
  <c r="Y2000" i="1" s="1"/>
  <c r="V2000" i="1"/>
  <c r="W2000" i="1" s="1"/>
  <c r="Z2000" i="1"/>
  <c r="A1826" i="1"/>
  <c r="C1826" i="1"/>
  <c r="B1826" i="1" s="1"/>
  <c r="F1826" i="1"/>
  <c r="M1826" i="1"/>
  <c r="O1826" i="1"/>
  <c r="U1826" i="1"/>
  <c r="Y1826" i="1" s="1"/>
  <c r="V1826" i="1"/>
  <c r="W1826" i="1" s="1"/>
  <c r="Z1826" i="1"/>
  <c r="A1849" i="1"/>
  <c r="C1849" i="1"/>
  <c r="B1849" i="1" s="1"/>
  <c r="F1849" i="1"/>
  <c r="M1849" i="1"/>
  <c r="O1849" i="1"/>
  <c r="U1849" i="1"/>
  <c r="Y1849" i="1" s="1"/>
  <c r="V1849" i="1"/>
  <c r="W1849" i="1" s="1"/>
  <c r="Z1849" i="1"/>
  <c r="A1892" i="1"/>
  <c r="C1892" i="1"/>
  <c r="B1892" i="1" s="1"/>
  <c r="F1892" i="1"/>
  <c r="M1892" i="1"/>
  <c r="O1892" i="1"/>
  <c r="U1892" i="1"/>
  <c r="Y1892" i="1" s="1"/>
  <c r="V1892" i="1"/>
  <c r="W1892" i="1" s="1"/>
  <c r="Z1892" i="1"/>
  <c r="A1798" i="1"/>
  <c r="C1798" i="1"/>
  <c r="B1798" i="1" s="1"/>
  <c r="F1798" i="1"/>
  <c r="M1798" i="1"/>
  <c r="O1798" i="1"/>
  <c r="T1798" i="1"/>
  <c r="U1798" i="1"/>
  <c r="Y1798" i="1" s="1"/>
  <c r="V1798" i="1"/>
  <c r="W1798" i="1" s="1"/>
  <c r="Z1798" i="1"/>
  <c r="A1799" i="1"/>
  <c r="C1799" i="1"/>
  <c r="B1799" i="1" s="1"/>
  <c r="F1799" i="1"/>
  <c r="M1799" i="1"/>
  <c r="O1799" i="1"/>
  <c r="S1799" i="1"/>
  <c r="T1799" i="1"/>
  <c r="U1799" i="1"/>
  <c r="Y1799" i="1" s="1"/>
  <c r="V1799" i="1"/>
  <c r="W1799" i="1" s="1"/>
  <c r="Z1799" i="1"/>
  <c r="A1805" i="1"/>
  <c r="C1805" i="1"/>
  <c r="B1805" i="1" s="1"/>
  <c r="F1805" i="1"/>
  <c r="M1805" i="1"/>
  <c r="O1805" i="1"/>
  <c r="T1805" i="1"/>
  <c r="U1805" i="1"/>
  <c r="Y1805" i="1" s="1"/>
  <c r="V1805" i="1"/>
  <c r="W1805" i="1" s="1"/>
  <c r="Z1805" i="1"/>
  <c r="A1809" i="1"/>
  <c r="C1809" i="1"/>
  <c r="B1809" i="1" s="1"/>
  <c r="F1809" i="1"/>
  <c r="O1809" i="1"/>
  <c r="T1809" i="1"/>
  <c r="U1809" i="1"/>
  <c r="Y1809" i="1" s="1"/>
  <c r="V1809" i="1"/>
  <c r="W1809" i="1" s="1"/>
  <c r="Z1809" i="1"/>
  <c r="A1875" i="1"/>
  <c r="C1875" i="1"/>
  <c r="B1875" i="1" s="1"/>
  <c r="F1875" i="1"/>
  <c r="M1875" i="1"/>
  <c r="O1875" i="1"/>
  <c r="U1875" i="1"/>
  <c r="Y1875" i="1" s="1"/>
  <c r="V1875" i="1"/>
  <c r="W1875" i="1" s="1"/>
  <c r="Z1875" i="1"/>
  <c r="A1803" i="1"/>
  <c r="C1803" i="1"/>
  <c r="B1803" i="1" s="1"/>
  <c r="D1803" i="1"/>
  <c r="F1803" i="1"/>
  <c r="M1803" i="1"/>
  <c r="O1803" i="1"/>
  <c r="S1803" i="1"/>
  <c r="T1803" i="1"/>
  <c r="U1803" i="1"/>
  <c r="Y1803" i="1" s="1"/>
  <c r="V1803" i="1"/>
  <c r="W1803" i="1" s="1"/>
  <c r="Z1803" i="1"/>
  <c r="A1802" i="1"/>
  <c r="C1802" i="1"/>
  <c r="B1802" i="1" s="1"/>
  <c r="D1802" i="1"/>
  <c r="F1802" i="1"/>
  <c r="M1802" i="1"/>
  <c r="O1802" i="1"/>
  <c r="S1802" i="1"/>
  <c r="T1802" i="1"/>
  <c r="U1802" i="1"/>
  <c r="Y1802" i="1" s="1"/>
  <c r="V1802" i="1"/>
  <c r="W1802" i="1" s="1"/>
  <c r="Z1802" i="1"/>
  <c r="A2030" i="1"/>
  <c r="C2030" i="1"/>
  <c r="B2030" i="1" s="1"/>
  <c r="F2030" i="1"/>
  <c r="M2030" i="1"/>
  <c r="O2030" i="1"/>
  <c r="U2030" i="1"/>
  <c r="Y2030" i="1" s="1"/>
  <c r="V2030" i="1"/>
  <c r="W2030" i="1" s="1"/>
  <c r="Z2030" i="1"/>
  <c r="A1801" i="1"/>
  <c r="C1801" i="1"/>
  <c r="B1801" i="1" s="1"/>
  <c r="D1801" i="1"/>
  <c r="F1801" i="1"/>
  <c r="M1801" i="1"/>
  <c r="O1801" i="1"/>
  <c r="S1801" i="1"/>
  <c r="T1801" i="1"/>
  <c r="U1801" i="1"/>
  <c r="Y1801" i="1" s="1"/>
  <c r="V1801" i="1"/>
  <c r="W1801" i="1" s="1"/>
  <c r="Z1801" i="1"/>
  <c r="A1769" i="1"/>
  <c r="C1769" i="1"/>
  <c r="B1769" i="1" s="1"/>
  <c r="F1769" i="1"/>
  <c r="M1769" i="1"/>
  <c r="O1769" i="1"/>
  <c r="T1769" i="1"/>
  <c r="U1769" i="1"/>
  <c r="V1769" i="1"/>
  <c r="W1769" i="1" s="1"/>
  <c r="Z1769" i="1"/>
  <c r="R1939" i="1" l="1"/>
  <c r="R2053" i="1"/>
  <c r="R1983" i="1"/>
  <c r="R1970" i="1"/>
  <c r="R1982" i="1"/>
  <c r="R1976" i="1"/>
  <c r="R1971" i="1"/>
  <c r="R1987" i="1"/>
  <c r="R2113" i="1"/>
  <c r="D2116" i="1" s="1"/>
  <c r="R1796" i="1"/>
  <c r="D1796" i="1" s="1"/>
  <c r="R2004" i="1"/>
  <c r="D2004" i="1" s="1"/>
  <c r="R1880" i="1"/>
  <c r="R1938" i="1"/>
  <c r="R1905" i="1"/>
  <c r="R2059" i="1"/>
  <c r="R1811" i="1"/>
  <c r="D1811" i="1" s="1"/>
  <c r="R1986" i="1"/>
  <c r="R1940" i="1"/>
  <c r="R1937" i="1"/>
  <c r="R2028" i="1"/>
  <c r="T2030" i="1"/>
  <c r="T2000" i="1"/>
  <c r="T1892" i="1"/>
  <c r="X1804" i="1"/>
  <c r="T1849" i="1"/>
  <c r="X1886" i="1"/>
  <c r="T1964" i="1"/>
  <c r="X1964" i="1"/>
  <c r="X2000" i="1"/>
  <c r="T1826" i="1"/>
  <c r="X1826" i="1"/>
  <c r="X1849" i="1"/>
  <c r="X1892" i="1"/>
  <c r="X1798" i="1"/>
  <c r="X1799" i="1"/>
  <c r="X1805" i="1"/>
  <c r="X1809" i="1"/>
  <c r="T1875" i="1"/>
  <c r="X1802" i="1"/>
  <c r="X1875" i="1"/>
  <c r="X1803" i="1"/>
  <c r="X2030" i="1"/>
  <c r="R2030" i="1"/>
  <c r="D2032" i="1" s="1"/>
  <c r="X1801" i="1"/>
  <c r="X1769" i="1"/>
  <c r="Y1769" i="1"/>
  <c r="A1767" i="1"/>
  <c r="C1767" i="1"/>
  <c r="B1767" i="1" s="1"/>
  <c r="D1767" i="1"/>
  <c r="F1767" i="1"/>
  <c r="O1767" i="1"/>
  <c r="S1767" i="1"/>
  <c r="T1767" i="1"/>
  <c r="U1767" i="1"/>
  <c r="Y1767" i="1" s="1"/>
  <c r="V1767" i="1"/>
  <c r="W1767" i="1" s="1"/>
  <c r="Z1767" i="1"/>
  <c r="A1766" i="1"/>
  <c r="C1766" i="1"/>
  <c r="B1766" i="1" s="1"/>
  <c r="F1766" i="1"/>
  <c r="O1766" i="1"/>
  <c r="T1766" i="1"/>
  <c r="U1766" i="1"/>
  <c r="Y1766" i="1" s="1"/>
  <c r="V1766" i="1"/>
  <c r="W1766" i="1" s="1"/>
  <c r="Z1766" i="1"/>
  <c r="A1656" i="1"/>
  <c r="C1656" i="1"/>
  <c r="B1656" i="1" s="1"/>
  <c r="F1656" i="1"/>
  <c r="O1656" i="1"/>
  <c r="T1656" i="1"/>
  <c r="U1656" i="1"/>
  <c r="Y1656" i="1" s="1"/>
  <c r="V1656" i="1"/>
  <c r="W1656" i="1" s="1"/>
  <c r="Z1656" i="1"/>
  <c r="A1850" i="1"/>
  <c r="C1850" i="1"/>
  <c r="B1850" i="1" s="1"/>
  <c r="F1850" i="1"/>
  <c r="M1850" i="1"/>
  <c r="O1850" i="1"/>
  <c r="S1850" i="1"/>
  <c r="T1850" i="1"/>
  <c r="U1850" i="1"/>
  <c r="Y1850" i="1" s="1"/>
  <c r="V1850" i="1"/>
  <c r="W1850" i="1" s="1"/>
  <c r="Z1850" i="1"/>
  <c r="P1799" i="1" l="1"/>
  <c r="P2030" i="1"/>
  <c r="P1802" i="1"/>
  <c r="P1826" i="1"/>
  <c r="P1798" i="1"/>
  <c r="P1886" i="1"/>
  <c r="P1769" i="1"/>
  <c r="P1803" i="1"/>
  <c r="P1809" i="1"/>
  <c r="P1892" i="1"/>
  <c r="P2000" i="1"/>
  <c r="P1801" i="1"/>
  <c r="P1875" i="1"/>
  <c r="P1805" i="1"/>
  <c r="P1849" i="1"/>
  <c r="P1964" i="1"/>
  <c r="P1804" i="1"/>
  <c r="D1848" i="1"/>
  <c r="D1966" i="1"/>
  <c r="D1849" i="1"/>
  <c r="D1826" i="1"/>
  <c r="X1767" i="1"/>
  <c r="X1656" i="1"/>
  <c r="X1766" i="1"/>
  <c r="R1766" i="1"/>
  <c r="D1766" i="1" s="1"/>
  <c r="X1850" i="1"/>
  <c r="Q1892" i="1" l="1"/>
  <c r="Q1803" i="1"/>
  <c r="Q1886" i="1"/>
  <c r="Q1826" i="1"/>
  <c r="Q1804" i="1"/>
  <c r="Q1849" i="1"/>
  <c r="Q1875" i="1"/>
  <c r="P1766" i="1"/>
  <c r="P1656" i="1"/>
  <c r="Q2000" i="1"/>
  <c r="Q1809" i="1"/>
  <c r="Q1769" i="1"/>
  <c r="Q1798" i="1"/>
  <c r="Q1802" i="1"/>
  <c r="P1850" i="1"/>
  <c r="P1767" i="1"/>
  <c r="Q1964" i="1"/>
  <c r="Q1805" i="1"/>
  <c r="Q1801" i="1"/>
  <c r="Q1799" i="1"/>
  <c r="D1850" i="1"/>
  <c r="A1797" i="1"/>
  <c r="C1797" i="1"/>
  <c r="B1797" i="1" s="1"/>
  <c r="D1797" i="1"/>
  <c r="F1797" i="1"/>
  <c r="M1797" i="1"/>
  <c r="O1797" i="1"/>
  <c r="S1797" i="1"/>
  <c r="T1797" i="1"/>
  <c r="U1797" i="1"/>
  <c r="Y1797" i="1" s="1"/>
  <c r="V1797" i="1"/>
  <c r="W1797" i="1" s="1"/>
  <c r="Z1797" i="1"/>
  <c r="A141" i="104"/>
  <c r="B141" i="104"/>
  <c r="C141" i="104"/>
  <c r="I141" i="104"/>
  <c r="A1747" i="1"/>
  <c r="C1747" i="1"/>
  <c r="B1747" i="1" s="1"/>
  <c r="D1747" i="1"/>
  <c r="F1747" i="1"/>
  <c r="M1747" i="1"/>
  <c r="O1747" i="1"/>
  <c r="S1747" i="1"/>
  <c r="T1747" i="1"/>
  <c r="U1747" i="1"/>
  <c r="Y1747" i="1" s="1"/>
  <c r="V1747" i="1"/>
  <c r="W1747" i="1" s="1"/>
  <c r="Z1747" i="1"/>
  <c r="A1675" i="1"/>
  <c r="C1675" i="1"/>
  <c r="B1675" i="1" s="1"/>
  <c r="F1675" i="1"/>
  <c r="M1675" i="1"/>
  <c r="O1675" i="1"/>
  <c r="T1675" i="1"/>
  <c r="U1675" i="1"/>
  <c r="V1675" i="1"/>
  <c r="W1675" i="1" s="1"/>
  <c r="Z1675" i="1"/>
  <c r="A1793" i="1"/>
  <c r="C1793" i="1"/>
  <c r="B1793" i="1" s="1"/>
  <c r="F1793" i="1"/>
  <c r="M1793" i="1"/>
  <c r="T1793" i="1"/>
  <c r="U1793" i="1"/>
  <c r="Y1793" i="1" s="1"/>
  <c r="V1793" i="1"/>
  <c r="W1793" i="1" s="1"/>
  <c r="Z1793" i="1"/>
  <c r="I144" i="104"/>
  <c r="A1791" i="1"/>
  <c r="C1791" i="1"/>
  <c r="B1791" i="1" s="1"/>
  <c r="F1791" i="1"/>
  <c r="M1791" i="1"/>
  <c r="O1791" i="1"/>
  <c r="S1791" i="1"/>
  <c r="T1791" i="1"/>
  <c r="U1791" i="1"/>
  <c r="Y1791" i="1" s="1"/>
  <c r="V1791" i="1"/>
  <c r="W1791" i="1" s="1"/>
  <c r="Z1791" i="1"/>
  <c r="R1799" i="1" l="1"/>
  <c r="R1805" i="1"/>
  <c r="D1805" i="1" s="1"/>
  <c r="Q1767" i="1"/>
  <c r="R1802" i="1"/>
  <c r="R1769" i="1"/>
  <c r="D1769" i="1" s="1"/>
  <c r="R2000" i="1"/>
  <c r="D2000" i="1" s="1"/>
  <c r="R1849" i="1"/>
  <c r="R1826" i="1"/>
  <c r="R1803" i="1"/>
  <c r="R1801" i="1"/>
  <c r="R1964" i="1"/>
  <c r="D1964" i="1" s="1"/>
  <c r="Q1850" i="1"/>
  <c r="R1798" i="1"/>
  <c r="R1809" i="1"/>
  <c r="D1809" i="1" s="1"/>
  <c r="R1656" i="1"/>
  <c r="D1656" i="1" s="1"/>
  <c r="R1875" i="1"/>
  <c r="R1804" i="1"/>
  <c r="D1804" i="1" s="1"/>
  <c r="R1886" i="1"/>
  <c r="R1892" i="1"/>
  <c r="X1797" i="1"/>
  <c r="X1747" i="1"/>
  <c r="X1675" i="1"/>
  <c r="Y1675" i="1"/>
  <c r="X1793" i="1"/>
  <c r="X1791" i="1"/>
  <c r="A2058" i="1"/>
  <c r="C2058" i="1"/>
  <c r="B2058" i="1" s="1"/>
  <c r="F2058" i="1"/>
  <c r="M2058" i="1"/>
  <c r="O2058" i="1"/>
  <c r="U2058" i="1"/>
  <c r="V2058" i="1"/>
  <c r="W2058" i="1" s="1"/>
  <c r="Z2058" i="1"/>
  <c r="A144" i="104"/>
  <c r="B144" i="104"/>
  <c r="C144" i="104"/>
  <c r="P1791" i="1" l="1"/>
  <c r="P1747" i="1"/>
  <c r="P1793" i="1"/>
  <c r="P1797" i="1"/>
  <c r="R1850" i="1"/>
  <c r="R1767" i="1"/>
  <c r="P1675" i="1"/>
  <c r="T2058" i="1"/>
  <c r="X2058" i="1"/>
  <c r="Y2058" i="1"/>
  <c r="A1844" i="1"/>
  <c r="C1844" i="1"/>
  <c r="B1844" i="1" s="1"/>
  <c r="F1844" i="1"/>
  <c r="M1844" i="1"/>
  <c r="U1844" i="1"/>
  <c r="Y1844" i="1" s="1"/>
  <c r="V1844" i="1"/>
  <c r="W1844" i="1" s="1"/>
  <c r="Z1844" i="1"/>
  <c r="A2060" i="1"/>
  <c r="C2060" i="1"/>
  <c r="B2060" i="1" s="1"/>
  <c r="F2060" i="1"/>
  <c r="M2060" i="1"/>
  <c r="O2060" i="1"/>
  <c r="U2060" i="1"/>
  <c r="Y2060" i="1" s="1"/>
  <c r="V2060" i="1"/>
  <c r="W2060" i="1" s="1"/>
  <c r="Z2060" i="1"/>
  <c r="A1920" i="1"/>
  <c r="C1920" i="1"/>
  <c r="B1920" i="1" s="1"/>
  <c r="F1920" i="1"/>
  <c r="M1920" i="1"/>
  <c r="O1920" i="1"/>
  <c r="U1920" i="1"/>
  <c r="Y1920" i="1" s="1"/>
  <c r="V1920" i="1"/>
  <c r="W1920" i="1" s="1"/>
  <c r="Z1920" i="1"/>
  <c r="A1921" i="1"/>
  <c r="C1921" i="1"/>
  <c r="B1921" i="1" s="1"/>
  <c r="F1921" i="1"/>
  <c r="M1921" i="1"/>
  <c r="O1921" i="1"/>
  <c r="U1921" i="1"/>
  <c r="Y1921" i="1" s="1"/>
  <c r="V1921" i="1"/>
  <c r="W1921" i="1" s="1"/>
  <c r="Z1921" i="1"/>
  <c r="A1969" i="1"/>
  <c r="C1969" i="1"/>
  <c r="B1969" i="1" s="1"/>
  <c r="F1969" i="1"/>
  <c r="M1969" i="1"/>
  <c r="O1969" i="1"/>
  <c r="U1969" i="1"/>
  <c r="Y1969" i="1" s="1"/>
  <c r="V1969" i="1"/>
  <c r="W1969" i="1" s="1"/>
  <c r="Z1969" i="1"/>
  <c r="A1934" i="1"/>
  <c r="C1934" i="1"/>
  <c r="B1934" i="1" s="1"/>
  <c r="F1934" i="1"/>
  <c r="M1934" i="1"/>
  <c r="O1934" i="1"/>
  <c r="U1934" i="1"/>
  <c r="Y1934" i="1" s="1"/>
  <c r="V1934" i="1"/>
  <c r="W1934" i="1" s="1"/>
  <c r="Z1934" i="1"/>
  <c r="A1768" i="1"/>
  <c r="C1768" i="1"/>
  <c r="B1768" i="1" s="1"/>
  <c r="F1768" i="1"/>
  <c r="M1768" i="1"/>
  <c r="O1768" i="1"/>
  <c r="S1768" i="1"/>
  <c r="T1768" i="1"/>
  <c r="U1768" i="1"/>
  <c r="Y1768" i="1" s="1"/>
  <c r="V1768" i="1"/>
  <c r="W1768" i="1" s="1"/>
  <c r="Z1768" i="1"/>
  <c r="Q1797" i="1" l="1"/>
  <c r="Q1747" i="1"/>
  <c r="Q1675" i="1"/>
  <c r="Q1793" i="1"/>
  <c r="Q1791" i="1"/>
  <c r="P2058" i="1"/>
  <c r="D2058" i="1"/>
  <c r="D2059" i="1"/>
  <c r="T1969" i="1"/>
  <c r="T2060" i="1"/>
  <c r="T1844" i="1"/>
  <c r="T1921" i="1"/>
  <c r="X1844" i="1"/>
  <c r="X2060" i="1"/>
  <c r="T1920" i="1"/>
  <c r="X1920" i="1"/>
  <c r="X1921" i="1"/>
  <c r="X1969" i="1"/>
  <c r="T1934" i="1"/>
  <c r="X1934" i="1"/>
  <c r="X1768" i="1"/>
  <c r="R1747" i="1" l="1"/>
  <c r="P1920" i="1"/>
  <c r="P1969" i="1"/>
  <c r="P2060" i="1"/>
  <c r="R1791" i="1"/>
  <c r="D1791" i="1" s="1"/>
  <c r="P1934" i="1"/>
  <c r="P1768" i="1"/>
  <c r="P1921" i="1"/>
  <c r="P1844" i="1"/>
  <c r="Q2058" i="1"/>
  <c r="R1675" i="1"/>
  <c r="D1675" i="1" s="1"/>
  <c r="R1797" i="1"/>
  <c r="R1793" i="1"/>
  <c r="D1793" i="1" s="1"/>
  <c r="D1974" i="1"/>
  <c r="D2084" i="1"/>
  <c r="D2060" i="1"/>
  <c r="D2061" i="1"/>
  <c r="A1782" i="1"/>
  <c r="A1783" i="1"/>
  <c r="A1784" i="1"/>
  <c r="A1785" i="1"/>
  <c r="A1786" i="1"/>
  <c r="A1787" i="1"/>
  <c r="C1782" i="1"/>
  <c r="B1782" i="1" s="1"/>
  <c r="C1783" i="1"/>
  <c r="B1783" i="1" s="1"/>
  <c r="C1784" i="1"/>
  <c r="B1784" i="1" s="1"/>
  <c r="C1785" i="1"/>
  <c r="B1785" i="1" s="1"/>
  <c r="C1786" i="1"/>
  <c r="B1786" i="1" s="1"/>
  <c r="C1787" i="1"/>
  <c r="B1787" i="1" s="1"/>
  <c r="F1782" i="1"/>
  <c r="F1783" i="1"/>
  <c r="F1784" i="1"/>
  <c r="F1785" i="1"/>
  <c r="F1786" i="1"/>
  <c r="F1787" i="1"/>
  <c r="M1782" i="1"/>
  <c r="M1783" i="1"/>
  <c r="M1784" i="1"/>
  <c r="M1785" i="1"/>
  <c r="M1786" i="1"/>
  <c r="M1787" i="1"/>
  <c r="O1782" i="1"/>
  <c r="O1783" i="1"/>
  <c r="O1784" i="1"/>
  <c r="O1785" i="1"/>
  <c r="O1786" i="1"/>
  <c r="O1787" i="1"/>
  <c r="T1782" i="1"/>
  <c r="T1786" i="1"/>
  <c r="U1782" i="1"/>
  <c r="Y1782" i="1" s="1"/>
  <c r="U1783" i="1"/>
  <c r="Y1783" i="1" s="1"/>
  <c r="U1784" i="1"/>
  <c r="U1785" i="1"/>
  <c r="U1786" i="1"/>
  <c r="Y1786" i="1" s="1"/>
  <c r="U1787" i="1"/>
  <c r="Y1787" i="1" s="1"/>
  <c r="V1782" i="1"/>
  <c r="W1782" i="1" s="1"/>
  <c r="V1783" i="1"/>
  <c r="W1783" i="1" s="1"/>
  <c r="V1784" i="1"/>
  <c r="W1784" i="1" s="1"/>
  <c r="V1785" i="1"/>
  <c r="W1785" i="1" s="1"/>
  <c r="V1786" i="1"/>
  <c r="W1786" i="1" s="1"/>
  <c r="V1787" i="1"/>
  <c r="W1787" i="1" s="1"/>
  <c r="Z1782" i="1"/>
  <c r="Z1783" i="1"/>
  <c r="Z1784" i="1"/>
  <c r="Z1785" i="1"/>
  <c r="Z1786" i="1"/>
  <c r="Z1787" i="1"/>
  <c r="I136" i="104"/>
  <c r="I137" i="104"/>
  <c r="I138" i="104"/>
  <c r="I139" i="104"/>
  <c r="I140" i="104"/>
  <c r="I135" i="104"/>
  <c r="A135" i="104"/>
  <c r="A136" i="104"/>
  <c r="A137" i="104"/>
  <c r="A138" i="104"/>
  <c r="A139" i="104"/>
  <c r="A140" i="104"/>
  <c r="B135" i="104"/>
  <c r="B136" i="104"/>
  <c r="B137" i="104"/>
  <c r="B138" i="104"/>
  <c r="B139" i="104"/>
  <c r="B140" i="104"/>
  <c r="C135" i="104"/>
  <c r="C136" i="104"/>
  <c r="C137" i="104"/>
  <c r="C138" i="104"/>
  <c r="C139" i="104"/>
  <c r="C140" i="104"/>
  <c r="A1922" i="1"/>
  <c r="C1922" i="1"/>
  <c r="B1922" i="1" s="1"/>
  <c r="F1922" i="1"/>
  <c r="M1922" i="1"/>
  <c r="O1922" i="1"/>
  <c r="U1922" i="1"/>
  <c r="Y1922" i="1" s="1"/>
  <c r="V1922" i="1"/>
  <c r="W1922" i="1" s="1"/>
  <c r="Z1922" i="1"/>
  <c r="A1891" i="1"/>
  <c r="C1891" i="1"/>
  <c r="B1891" i="1" s="1"/>
  <c r="F1891" i="1"/>
  <c r="M1891" i="1"/>
  <c r="O1891" i="1"/>
  <c r="U1891" i="1"/>
  <c r="Y1891" i="1" s="1"/>
  <c r="V1891" i="1"/>
  <c r="W1891" i="1" s="1"/>
  <c r="Z1891" i="1"/>
  <c r="A1825" i="1"/>
  <c r="C1825" i="1"/>
  <c r="B1825" i="1" s="1"/>
  <c r="F1825" i="1"/>
  <c r="M1825" i="1"/>
  <c r="O1825" i="1"/>
  <c r="U1825" i="1"/>
  <c r="Y1825" i="1" s="1"/>
  <c r="V1825" i="1"/>
  <c r="W1825" i="1" s="1"/>
  <c r="Z1825" i="1"/>
  <c r="A1751" i="1"/>
  <c r="C1751" i="1"/>
  <c r="B1751" i="1" s="1"/>
  <c r="F1751" i="1"/>
  <c r="M1751" i="1"/>
  <c r="O1751" i="1"/>
  <c r="T1751" i="1"/>
  <c r="U1751" i="1"/>
  <c r="Y1751" i="1" s="1"/>
  <c r="V1751" i="1"/>
  <c r="W1751" i="1" s="1"/>
  <c r="Z1751" i="1"/>
  <c r="A1757" i="1"/>
  <c r="C1757" i="1"/>
  <c r="B1757" i="1" s="1"/>
  <c r="F1757" i="1"/>
  <c r="M1757" i="1"/>
  <c r="O1757" i="1"/>
  <c r="T1757" i="1"/>
  <c r="U1757" i="1"/>
  <c r="Y1757" i="1" s="1"/>
  <c r="V1757" i="1"/>
  <c r="W1757" i="1" s="1"/>
  <c r="Z1757" i="1"/>
  <c r="A1756" i="1"/>
  <c r="C1756" i="1"/>
  <c r="B1756" i="1" s="1"/>
  <c r="F1756" i="1"/>
  <c r="M1756" i="1"/>
  <c r="O1756" i="1"/>
  <c r="T1756" i="1"/>
  <c r="U1756" i="1"/>
  <c r="Y1756" i="1" s="1"/>
  <c r="V1756" i="1"/>
  <c r="W1756" i="1" s="1"/>
  <c r="Z1756" i="1"/>
  <c r="A1753" i="1"/>
  <c r="C1753" i="1"/>
  <c r="B1753" i="1" s="1"/>
  <c r="F1753" i="1"/>
  <c r="M1753" i="1"/>
  <c r="O1753" i="1"/>
  <c r="T1753" i="1"/>
  <c r="U1753" i="1"/>
  <c r="Y1753" i="1" s="1"/>
  <c r="V1753" i="1"/>
  <c r="W1753" i="1" s="1"/>
  <c r="Z1753" i="1"/>
  <c r="A1746" i="1"/>
  <c r="C1746" i="1"/>
  <c r="B1746" i="1" s="1"/>
  <c r="F1746" i="1"/>
  <c r="M1746" i="1"/>
  <c r="O1746" i="1"/>
  <c r="T1746" i="1"/>
  <c r="U1746" i="1"/>
  <c r="Y1746" i="1" s="1"/>
  <c r="V1746" i="1"/>
  <c r="W1746" i="1" s="1"/>
  <c r="Z1746" i="1"/>
  <c r="A1765" i="1"/>
  <c r="C1765" i="1"/>
  <c r="B1765" i="1" s="1"/>
  <c r="F1765" i="1"/>
  <c r="M1765" i="1"/>
  <c r="O1765" i="1"/>
  <c r="T1765" i="1"/>
  <c r="U1765" i="1"/>
  <c r="Y1765" i="1" s="1"/>
  <c r="V1765" i="1"/>
  <c r="W1765" i="1" s="1"/>
  <c r="Z1765" i="1"/>
  <c r="A1764" i="1"/>
  <c r="C1764" i="1"/>
  <c r="B1764" i="1" s="1"/>
  <c r="F1764" i="1"/>
  <c r="M1764" i="1"/>
  <c r="O1764" i="1"/>
  <c r="U1764" i="1"/>
  <c r="V1764" i="1"/>
  <c r="W1764" i="1" s="1"/>
  <c r="Z1764" i="1"/>
  <c r="R2058" i="1" l="1"/>
  <c r="Q1921" i="1"/>
  <c r="Q1934" i="1"/>
  <c r="Q2060" i="1"/>
  <c r="Q1920" i="1"/>
  <c r="Q1844" i="1"/>
  <c r="Q1768" i="1"/>
  <c r="Q1969" i="1"/>
  <c r="T1783" i="1"/>
  <c r="T1922" i="1"/>
  <c r="X1787" i="1"/>
  <c r="X1783" i="1"/>
  <c r="X1785" i="1"/>
  <c r="T1787" i="1"/>
  <c r="X1786" i="1"/>
  <c r="X1782" i="1"/>
  <c r="X1784" i="1"/>
  <c r="Y1785" i="1"/>
  <c r="T1785" i="1"/>
  <c r="Y1784" i="1"/>
  <c r="T1784" i="1"/>
  <c r="X1922" i="1"/>
  <c r="X1825" i="1"/>
  <c r="X1891" i="1"/>
  <c r="T1891" i="1"/>
  <c r="T1825" i="1"/>
  <c r="X1751" i="1"/>
  <c r="X1757" i="1"/>
  <c r="X1765" i="1"/>
  <c r="X1756" i="1"/>
  <c r="X1753" i="1"/>
  <c r="X1746" i="1"/>
  <c r="X1764" i="1"/>
  <c r="Y1764" i="1"/>
  <c r="T1764" i="1"/>
  <c r="R1764" i="1"/>
  <c r="T54" i="15"/>
  <c r="T53" i="15"/>
  <c r="T52" i="15"/>
  <c r="T51" i="15"/>
  <c r="T50" i="15"/>
  <c r="T49" i="15"/>
  <c r="T48" i="15"/>
  <c r="T47" i="15"/>
  <c r="T46" i="15"/>
  <c r="T45" i="15"/>
  <c r="T43" i="15"/>
  <c r="T42" i="15"/>
  <c r="T41" i="15"/>
  <c r="T40" i="15"/>
  <c r="T39" i="15"/>
  <c r="T38" i="15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1" i="15"/>
  <c r="T10" i="15"/>
  <c r="T9" i="15"/>
  <c r="T7" i="15"/>
  <c r="T6" i="15"/>
  <c r="T5" i="15"/>
  <c r="T4" i="15"/>
  <c r="T3" i="15"/>
  <c r="T2" i="15"/>
  <c r="D1529" i="6"/>
  <c r="E1529" i="6" s="1"/>
  <c r="E1544" i="6"/>
  <c r="F1544" i="6"/>
  <c r="I1544" i="6"/>
  <c r="J1544" i="6"/>
  <c r="E1543" i="6"/>
  <c r="F1543" i="6"/>
  <c r="I1543" i="6"/>
  <c r="J1543" i="6"/>
  <c r="F1529" i="6"/>
  <c r="I1529" i="6"/>
  <c r="E1514" i="6"/>
  <c r="F1514" i="6"/>
  <c r="I1514" i="6"/>
  <c r="J1514" i="6"/>
  <c r="E1513" i="6"/>
  <c r="F1513" i="6"/>
  <c r="I1513" i="6"/>
  <c r="J1513" i="6"/>
  <c r="E1533" i="6"/>
  <c r="F1533" i="6"/>
  <c r="I1533" i="6"/>
  <c r="J1533" i="6"/>
  <c r="E1512" i="6"/>
  <c r="F1512" i="6"/>
  <c r="I1512" i="6"/>
  <c r="J1512" i="6"/>
  <c r="E1532" i="6"/>
  <c r="I1532" i="6"/>
  <c r="J1532" i="6"/>
  <c r="E1526" i="6"/>
  <c r="F1526" i="6"/>
  <c r="I1526" i="6"/>
  <c r="J1526" i="6"/>
  <c r="E1540" i="6"/>
  <c r="E1541" i="6"/>
  <c r="E1542" i="6"/>
  <c r="I1540" i="6"/>
  <c r="I1541" i="6"/>
  <c r="I1542" i="6"/>
  <c r="J1540" i="6"/>
  <c r="J1541" i="6"/>
  <c r="J1542" i="6"/>
  <c r="E1537" i="6"/>
  <c r="E1538" i="6"/>
  <c r="E1539" i="6"/>
  <c r="F1538" i="6"/>
  <c r="F1539" i="6"/>
  <c r="I1537" i="6"/>
  <c r="I1538" i="6"/>
  <c r="I1539" i="6"/>
  <c r="J1537" i="6"/>
  <c r="J1538" i="6"/>
  <c r="J1539" i="6"/>
  <c r="E1527" i="6"/>
  <c r="F1527" i="6"/>
  <c r="I1527" i="6"/>
  <c r="J1527" i="6"/>
  <c r="E1522" i="6"/>
  <c r="F1522" i="6"/>
  <c r="I1522" i="6"/>
  <c r="J1522" i="6"/>
  <c r="E1515" i="6"/>
  <c r="F1515" i="6"/>
  <c r="I1515" i="6"/>
  <c r="J1515" i="6"/>
  <c r="E1516" i="6"/>
  <c r="F1516" i="6"/>
  <c r="I1516" i="6"/>
  <c r="J1516" i="6"/>
  <c r="E1536" i="6"/>
  <c r="F1536" i="6"/>
  <c r="I1536" i="6"/>
  <c r="J1536" i="6"/>
  <c r="E1535" i="6"/>
  <c r="F1535" i="6"/>
  <c r="I1535" i="6"/>
  <c r="J1535" i="6"/>
  <c r="E1521" i="6"/>
  <c r="F1521" i="6"/>
  <c r="I1521" i="6"/>
  <c r="J1521" i="6"/>
  <c r="E1534" i="6"/>
  <c r="E1520" i="6"/>
  <c r="F1534" i="6"/>
  <c r="F1520" i="6"/>
  <c r="I1534" i="6"/>
  <c r="I1520" i="6"/>
  <c r="J1534" i="6"/>
  <c r="J1520" i="6"/>
  <c r="E1517" i="6"/>
  <c r="E1518" i="6"/>
  <c r="E1531" i="6"/>
  <c r="E1519" i="6"/>
  <c r="E1528" i="6"/>
  <c r="F1517" i="6"/>
  <c r="F1518" i="6"/>
  <c r="F1528" i="6"/>
  <c r="I1517" i="6"/>
  <c r="I1518" i="6"/>
  <c r="I1531" i="6"/>
  <c r="I1519" i="6"/>
  <c r="I1528" i="6"/>
  <c r="J1517" i="6"/>
  <c r="J1518" i="6"/>
  <c r="J1531" i="6"/>
  <c r="J1519" i="6"/>
  <c r="J1528" i="6"/>
  <c r="T28" i="16"/>
  <c r="T22" i="16"/>
  <c r="T20" i="16"/>
  <c r="A1981" i="1"/>
  <c r="C1981" i="1"/>
  <c r="B1981" i="1" s="1"/>
  <c r="F1981" i="1"/>
  <c r="M1981" i="1"/>
  <c r="O1981" i="1"/>
  <c r="U1981" i="1"/>
  <c r="Y1981" i="1" s="1"/>
  <c r="V1981" i="1"/>
  <c r="W1981" i="1" s="1"/>
  <c r="Z1981" i="1"/>
  <c r="A1985" i="1"/>
  <c r="C1985" i="1"/>
  <c r="B1985" i="1" s="1"/>
  <c r="F1985" i="1"/>
  <c r="M1985" i="1"/>
  <c r="O1985" i="1"/>
  <c r="U1985" i="1"/>
  <c r="Y1985" i="1" s="1"/>
  <c r="V1985" i="1"/>
  <c r="W1985" i="1" s="1"/>
  <c r="Z1985" i="1"/>
  <c r="A1910" i="1"/>
  <c r="C1910" i="1"/>
  <c r="B1910" i="1" s="1"/>
  <c r="F1910" i="1"/>
  <c r="M1910" i="1"/>
  <c r="O1910" i="1"/>
  <c r="U1910" i="1"/>
  <c r="Y1910" i="1" s="1"/>
  <c r="V1910" i="1"/>
  <c r="W1910" i="1" s="1"/>
  <c r="Z1910" i="1"/>
  <c r="A1918" i="1"/>
  <c r="C1918" i="1"/>
  <c r="B1918" i="1" s="1"/>
  <c r="F1918" i="1"/>
  <c r="M1918" i="1"/>
  <c r="O1918" i="1"/>
  <c r="U1918" i="1"/>
  <c r="Y1918" i="1" s="1"/>
  <c r="V1918" i="1"/>
  <c r="W1918" i="1" s="1"/>
  <c r="Z1918" i="1"/>
  <c r="A1948" i="1"/>
  <c r="C1948" i="1"/>
  <c r="B1948" i="1" s="1"/>
  <c r="F1948" i="1"/>
  <c r="M1948" i="1"/>
  <c r="O1948" i="1"/>
  <c r="U1948" i="1"/>
  <c r="Y1948" i="1" s="1"/>
  <c r="V1948" i="1"/>
  <c r="W1948" i="1" s="1"/>
  <c r="Z1948" i="1"/>
  <c r="A1867" i="1"/>
  <c r="C1867" i="1"/>
  <c r="B1867" i="1" s="1"/>
  <c r="F1867" i="1"/>
  <c r="M1867" i="1"/>
  <c r="O1867" i="1"/>
  <c r="U1867" i="1"/>
  <c r="Y1867" i="1" s="1"/>
  <c r="V1867" i="1"/>
  <c r="W1867" i="1" s="1"/>
  <c r="Z1867" i="1"/>
  <c r="A1977" i="1"/>
  <c r="C1977" i="1"/>
  <c r="B1977" i="1" s="1"/>
  <c r="F1977" i="1"/>
  <c r="M1977" i="1"/>
  <c r="O1977" i="1"/>
  <c r="U1977" i="1"/>
  <c r="Y1977" i="1" s="1"/>
  <c r="V1977" i="1"/>
  <c r="W1977" i="1" s="1"/>
  <c r="Z1977" i="1"/>
  <c r="A1975" i="1"/>
  <c r="C1975" i="1"/>
  <c r="B1975" i="1" s="1"/>
  <c r="F1975" i="1"/>
  <c r="M1975" i="1"/>
  <c r="O1975" i="1"/>
  <c r="U1975" i="1"/>
  <c r="Y1975" i="1" s="1"/>
  <c r="V1975" i="1"/>
  <c r="W1975" i="1" s="1"/>
  <c r="Z1975" i="1"/>
  <c r="A1909" i="1"/>
  <c r="C1909" i="1"/>
  <c r="B1909" i="1" s="1"/>
  <c r="F1909" i="1"/>
  <c r="M1909" i="1"/>
  <c r="O1909" i="1"/>
  <c r="U1909" i="1"/>
  <c r="Y1909" i="1" s="1"/>
  <c r="V1909" i="1"/>
  <c r="W1909" i="1" s="1"/>
  <c r="Z1909" i="1"/>
  <c r="A1750" i="1"/>
  <c r="C1750" i="1"/>
  <c r="B1750" i="1" s="1"/>
  <c r="F1750" i="1"/>
  <c r="M1750" i="1"/>
  <c r="O1750" i="1"/>
  <c r="T1750" i="1"/>
  <c r="U1750" i="1"/>
  <c r="Y1750" i="1" s="1"/>
  <c r="V1750" i="1"/>
  <c r="W1750" i="1" s="1"/>
  <c r="Z1750" i="1"/>
  <c r="A1752" i="1"/>
  <c r="C1752" i="1"/>
  <c r="B1752" i="1" s="1"/>
  <c r="F1752" i="1"/>
  <c r="M1752" i="1"/>
  <c r="O1752" i="1"/>
  <c r="T1752" i="1"/>
  <c r="U1752" i="1"/>
  <c r="Y1752" i="1" s="1"/>
  <c r="V1752" i="1"/>
  <c r="W1752" i="1" s="1"/>
  <c r="Z1752" i="1"/>
  <c r="A1997" i="1"/>
  <c r="C1997" i="1"/>
  <c r="B1997" i="1" s="1"/>
  <c r="F1997" i="1"/>
  <c r="M1997" i="1"/>
  <c r="O1997" i="1"/>
  <c r="U1997" i="1"/>
  <c r="Y1997" i="1" s="1"/>
  <c r="V1997" i="1"/>
  <c r="W1997" i="1" s="1"/>
  <c r="Z1997" i="1"/>
  <c r="A1737" i="1"/>
  <c r="C1737" i="1"/>
  <c r="B1737" i="1" s="1"/>
  <c r="F1737" i="1"/>
  <c r="M1737" i="1"/>
  <c r="O1737" i="1"/>
  <c r="T1737" i="1"/>
  <c r="U1737" i="1"/>
  <c r="Y1737" i="1" s="1"/>
  <c r="V1737" i="1"/>
  <c r="W1737" i="1" s="1"/>
  <c r="Z1737" i="1"/>
  <c r="A2082" i="1"/>
  <c r="C2082" i="1"/>
  <c r="B2082" i="1" s="1"/>
  <c r="F2082" i="1"/>
  <c r="M2082" i="1"/>
  <c r="O2082" i="1"/>
  <c r="U2082" i="1"/>
  <c r="Y2082" i="1" s="1"/>
  <c r="V2082" i="1"/>
  <c r="W2082" i="1" s="1"/>
  <c r="Z2082" i="1"/>
  <c r="A1967" i="1"/>
  <c r="C1967" i="1"/>
  <c r="B1967" i="1" s="1"/>
  <c r="F1967" i="1"/>
  <c r="M1967" i="1"/>
  <c r="O1967" i="1"/>
  <c r="U1967" i="1"/>
  <c r="Y1967" i="1" s="1"/>
  <c r="V1967" i="1"/>
  <c r="W1967" i="1" s="1"/>
  <c r="Z1967" i="1"/>
  <c r="A1702" i="1"/>
  <c r="C1702" i="1"/>
  <c r="B1702" i="1" s="1"/>
  <c r="F1702" i="1"/>
  <c r="M1702" i="1"/>
  <c r="O1702" i="1"/>
  <c r="S1702" i="1"/>
  <c r="T1702" i="1"/>
  <c r="U1702" i="1"/>
  <c r="Y1702" i="1" s="1"/>
  <c r="V1702" i="1"/>
  <c r="W1702" i="1" s="1"/>
  <c r="Z1702" i="1"/>
  <c r="A1885" i="1"/>
  <c r="C1885" i="1"/>
  <c r="B1885" i="1" s="1"/>
  <c r="F1885" i="1"/>
  <c r="M1885" i="1"/>
  <c r="O1885" i="1"/>
  <c r="U1885" i="1"/>
  <c r="Y1885" i="1" s="1"/>
  <c r="V1885" i="1"/>
  <c r="W1885" i="1" s="1"/>
  <c r="Z1885" i="1"/>
  <c r="A1941" i="1"/>
  <c r="C1941" i="1"/>
  <c r="T1941" i="1" s="1"/>
  <c r="F1941" i="1"/>
  <c r="M1941" i="1"/>
  <c r="O1941" i="1"/>
  <c r="U1941" i="1"/>
  <c r="Y1941" i="1" s="1"/>
  <c r="V1941" i="1"/>
  <c r="W1941" i="1" s="1"/>
  <c r="Z1941" i="1"/>
  <c r="P1765" i="1" l="1"/>
  <c r="R1768" i="1"/>
  <c r="D1768" i="1" s="1"/>
  <c r="P1746" i="1"/>
  <c r="P1757" i="1"/>
  <c r="P1891" i="1"/>
  <c r="P1782" i="1"/>
  <c r="P1783" i="1"/>
  <c r="R2060" i="1"/>
  <c r="R1921" i="1"/>
  <c r="P1753" i="1"/>
  <c r="P1751" i="1"/>
  <c r="P1825" i="1"/>
  <c r="P1786" i="1"/>
  <c r="P1787" i="1"/>
  <c r="R1969" i="1"/>
  <c r="R1844" i="1"/>
  <c r="D1844" i="1" s="1"/>
  <c r="P1756" i="1"/>
  <c r="P1922" i="1"/>
  <c r="R1920" i="1"/>
  <c r="R1934" i="1"/>
  <c r="D1934" i="1" s="1"/>
  <c r="T19" i="16"/>
  <c r="P1784" i="1"/>
  <c r="P1785" i="1"/>
  <c r="J1529" i="6"/>
  <c r="D1764" i="1"/>
  <c r="D1765" i="1"/>
  <c r="T1910" i="1"/>
  <c r="T13" i="16"/>
  <c r="T1981" i="1"/>
  <c r="X1981" i="1"/>
  <c r="T12" i="16"/>
  <c r="T1985" i="1"/>
  <c r="X1985" i="1"/>
  <c r="T1977" i="1"/>
  <c r="X1910" i="1"/>
  <c r="T1918" i="1"/>
  <c r="X1918" i="1"/>
  <c r="X1948" i="1"/>
  <c r="X1977" i="1"/>
  <c r="T1948" i="1"/>
  <c r="T1867" i="1"/>
  <c r="T1909" i="1"/>
  <c r="X1867" i="1"/>
  <c r="X1975" i="1"/>
  <c r="T1975" i="1"/>
  <c r="X1909" i="1"/>
  <c r="T1997" i="1"/>
  <c r="X1750" i="1"/>
  <c r="T1885" i="1"/>
  <c r="T1967" i="1"/>
  <c r="X1752" i="1"/>
  <c r="T2082" i="1"/>
  <c r="X1997" i="1"/>
  <c r="P1997" i="1" s="1"/>
  <c r="X1737" i="1"/>
  <c r="X2082" i="1"/>
  <c r="X1967" i="1"/>
  <c r="X1702" i="1"/>
  <c r="X1885" i="1"/>
  <c r="X1941" i="1"/>
  <c r="B1941" i="1"/>
  <c r="A2052" i="1"/>
  <c r="C2052" i="1"/>
  <c r="B2052" i="1" s="1"/>
  <c r="F2052" i="1"/>
  <c r="M2052" i="1"/>
  <c r="O2052" i="1"/>
  <c r="X15" i="16" s="1"/>
  <c r="U2052" i="1"/>
  <c r="Y2052" i="1" s="1"/>
  <c r="V2052" i="1"/>
  <c r="W2052" i="1" s="1"/>
  <c r="Z2052" i="1"/>
  <c r="A1735" i="1"/>
  <c r="C1735" i="1"/>
  <c r="B1735" i="1" s="1"/>
  <c r="F1735" i="1"/>
  <c r="M1735" i="1"/>
  <c r="O1735" i="1"/>
  <c r="T1735" i="1"/>
  <c r="U1735" i="1"/>
  <c r="Y1735" i="1" s="1"/>
  <c r="V1735" i="1"/>
  <c r="W1735" i="1" s="1"/>
  <c r="Z1735" i="1"/>
  <c r="A1734" i="1"/>
  <c r="C1734" i="1"/>
  <c r="B1734" i="1" s="1"/>
  <c r="F1734" i="1"/>
  <c r="M1734" i="1"/>
  <c r="O1734" i="1"/>
  <c r="T1734" i="1"/>
  <c r="U1734" i="1"/>
  <c r="Y1734" i="1" s="1"/>
  <c r="V1734" i="1"/>
  <c r="W1734" i="1" s="1"/>
  <c r="Z1734" i="1"/>
  <c r="A1778" i="1"/>
  <c r="A1779" i="1"/>
  <c r="A1780" i="1"/>
  <c r="A1781" i="1"/>
  <c r="C1778" i="1"/>
  <c r="B1778" i="1" s="1"/>
  <c r="C1779" i="1"/>
  <c r="B1779" i="1" s="1"/>
  <c r="C1780" i="1"/>
  <c r="B1780" i="1" s="1"/>
  <c r="C1781" i="1"/>
  <c r="B1781" i="1" s="1"/>
  <c r="F1778" i="1"/>
  <c r="F1779" i="1"/>
  <c r="F1780" i="1"/>
  <c r="F1781" i="1"/>
  <c r="M1778" i="1"/>
  <c r="M1779" i="1"/>
  <c r="M1780" i="1"/>
  <c r="M1781" i="1"/>
  <c r="O1778" i="1"/>
  <c r="O1779" i="1"/>
  <c r="O1780" i="1"/>
  <c r="O1781" i="1"/>
  <c r="T1778" i="1"/>
  <c r="U1778" i="1"/>
  <c r="Y1778" i="1" s="1"/>
  <c r="U1779" i="1"/>
  <c r="Y1779" i="1" s="1"/>
  <c r="U1780" i="1"/>
  <c r="Y1780" i="1" s="1"/>
  <c r="U1781" i="1"/>
  <c r="Y1781" i="1" s="1"/>
  <c r="V1778" i="1"/>
  <c r="W1778" i="1" s="1"/>
  <c r="V1779" i="1"/>
  <c r="W1779" i="1" s="1"/>
  <c r="V1780" i="1"/>
  <c r="W1780" i="1" s="1"/>
  <c r="V1781" i="1"/>
  <c r="W1781" i="1" s="1"/>
  <c r="Z1778" i="1"/>
  <c r="Z1779" i="1"/>
  <c r="Z1780" i="1"/>
  <c r="Z1781" i="1"/>
  <c r="I131" i="104"/>
  <c r="I132" i="104"/>
  <c r="I133" i="104"/>
  <c r="I134" i="104"/>
  <c r="A131" i="104"/>
  <c r="A132" i="104"/>
  <c r="A133" i="104"/>
  <c r="A134" i="104"/>
  <c r="B131" i="104"/>
  <c r="B132" i="104"/>
  <c r="B133" i="104"/>
  <c r="B134" i="104"/>
  <c r="C131" i="104"/>
  <c r="C132" i="104"/>
  <c r="C133" i="104"/>
  <c r="C134" i="104"/>
  <c r="A1874" i="1"/>
  <c r="C1874" i="1"/>
  <c r="B1874" i="1" s="1"/>
  <c r="F1874" i="1"/>
  <c r="M1874" i="1"/>
  <c r="O1874" i="1"/>
  <c r="U1874" i="1"/>
  <c r="Y1874" i="1" s="1"/>
  <c r="V1874" i="1"/>
  <c r="W1874" i="1" s="1"/>
  <c r="Z1874" i="1"/>
  <c r="A1736" i="1"/>
  <c r="C1736" i="1"/>
  <c r="B1736" i="1" s="1"/>
  <c r="F1736" i="1"/>
  <c r="M1736" i="1"/>
  <c r="O1736" i="1"/>
  <c r="U1736" i="1"/>
  <c r="Y1736" i="1" s="1"/>
  <c r="V1736" i="1"/>
  <c r="W1736" i="1" s="1"/>
  <c r="Z1736" i="1"/>
  <c r="A1836" i="1"/>
  <c r="C1836" i="1"/>
  <c r="B1836" i="1" s="1"/>
  <c r="F1836" i="1"/>
  <c r="O1836" i="1"/>
  <c r="U1836" i="1"/>
  <c r="Y1836" i="1" s="1"/>
  <c r="V1836" i="1"/>
  <c r="W1836" i="1" s="1"/>
  <c r="Z1836" i="1"/>
  <c r="A1808" i="1"/>
  <c r="C1808" i="1"/>
  <c r="B1808" i="1" s="1"/>
  <c r="F1808" i="1"/>
  <c r="M1808" i="1"/>
  <c r="O1808" i="1"/>
  <c r="U1808" i="1"/>
  <c r="Y1808" i="1" s="1"/>
  <c r="V1808" i="1"/>
  <c r="W1808" i="1" s="1"/>
  <c r="Z1808" i="1"/>
  <c r="A1919" i="1"/>
  <c r="C1919" i="1"/>
  <c r="B1919" i="1" s="1"/>
  <c r="F1919" i="1"/>
  <c r="M1919" i="1"/>
  <c r="O1919" i="1"/>
  <c r="U1919" i="1"/>
  <c r="Y1919" i="1" s="1"/>
  <c r="V1919" i="1"/>
  <c r="W1919" i="1" s="1"/>
  <c r="Z1919" i="1"/>
  <c r="A1947" i="1"/>
  <c r="C1947" i="1"/>
  <c r="B1947" i="1" s="1"/>
  <c r="F1947" i="1"/>
  <c r="M1947" i="1"/>
  <c r="O1947" i="1"/>
  <c r="U1947" i="1"/>
  <c r="Y1947" i="1" s="1"/>
  <c r="V1947" i="1"/>
  <c r="W1947" i="1" s="1"/>
  <c r="Z1947" i="1"/>
  <c r="A1881" i="1"/>
  <c r="C1881" i="1"/>
  <c r="B1881" i="1" s="1"/>
  <c r="F1881" i="1"/>
  <c r="M1881" i="1"/>
  <c r="O1881" i="1"/>
  <c r="U1881" i="1"/>
  <c r="Y1881" i="1" s="1"/>
  <c r="V1881" i="1"/>
  <c r="W1881" i="1" s="1"/>
  <c r="Z1881" i="1"/>
  <c r="A1712" i="1"/>
  <c r="C1712" i="1"/>
  <c r="B1712" i="1" s="1"/>
  <c r="F1712" i="1"/>
  <c r="M1712" i="1"/>
  <c r="O1712" i="1"/>
  <c r="S1712" i="1"/>
  <c r="T1712" i="1"/>
  <c r="U1712" i="1"/>
  <c r="Y1712" i="1" s="1"/>
  <c r="V1712" i="1"/>
  <c r="W1712" i="1" s="1"/>
  <c r="Z1712" i="1"/>
  <c r="A1674" i="1"/>
  <c r="C1674" i="1"/>
  <c r="B1674" i="1" s="1"/>
  <c r="F1674" i="1"/>
  <c r="M1674" i="1"/>
  <c r="O1674" i="1"/>
  <c r="S1674" i="1"/>
  <c r="T1674" i="1"/>
  <c r="U1674" i="1"/>
  <c r="Y1674" i="1" s="1"/>
  <c r="V1674" i="1"/>
  <c r="W1674" i="1" s="1"/>
  <c r="Z1674" i="1"/>
  <c r="A1671" i="1"/>
  <c r="C1671" i="1"/>
  <c r="B1671" i="1" s="1"/>
  <c r="F1671" i="1"/>
  <c r="M1671" i="1"/>
  <c r="O1671" i="1"/>
  <c r="U1671" i="1"/>
  <c r="Y1671" i="1" s="1"/>
  <c r="V1671" i="1"/>
  <c r="W1671" i="1" s="1"/>
  <c r="Z1671" i="1"/>
  <c r="A1628" i="1"/>
  <c r="C1628" i="1"/>
  <c r="B1628" i="1" s="1"/>
  <c r="F1628" i="1"/>
  <c r="M1628" i="1"/>
  <c r="O1628" i="1"/>
  <c r="S1628" i="1"/>
  <c r="U1628" i="1"/>
  <c r="V1628" i="1"/>
  <c r="W1628" i="1" s="1"/>
  <c r="Z1628" i="1"/>
  <c r="A1890" i="1"/>
  <c r="C1890" i="1"/>
  <c r="B1890" i="1" s="1"/>
  <c r="F1890" i="1"/>
  <c r="M1890" i="1"/>
  <c r="O1890" i="1"/>
  <c r="U1890" i="1"/>
  <c r="Y1890" i="1" s="1"/>
  <c r="V1890" i="1"/>
  <c r="W1890" i="1" s="1"/>
  <c r="Z1890" i="1"/>
  <c r="A1889" i="1"/>
  <c r="C1889" i="1"/>
  <c r="B1889" i="1" s="1"/>
  <c r="F1889" i="1"/>
  <c r="M1889" i="1"/>
  <c r="O1889" i="1"/>
  <c r="U1889" i="1"/>
  <c r="Y1889" i="1" s="1"/>
  <c r="V1889" i="1"/>
  <c r="W1889" i="1" s="1"/>
  <c r="Z1889" i="1"/>
  <c r="A1763" i="1"/>
  <c r="C1763" i="1"/>
  <c r="B1763" i="1" s="1"/>
  <c r="F1763" i="1"/>
  <c r="M1763" i="1"/>
  <c r="O1763" i="1"/>
  <c r="U1763" i="1"/>
  <c r="Y1763" i="1" s="1"/>
  <c r="V1763" i="1"/>
  <c r="W1763" i="1" s="1"/>
  <c r="Z1763" i="1"/>
  <c r="A1932" i="1"/>
  <c r="C1932" i="1"/>
  <c r="B1932" i="1" s="1"/>
  <c r="F1932" i="1"/>
  <c r="M1932" i="1"/>
  <c r="O1932" i="1"/>
  <c r="U1932" i="1"/>
  <c r="Y1932" i="1" s="1"/>
  <c r="V1932" i="1"/>
  <c r="W1932" i="1" s="1"/>
  <c r="Z1932" i="1"/>
  <c r="A1884" i="1"/>
  <c r="C1884" i="1"/>
  <c r="B1884" i="1" s="1"/>
  <c r="F1884" i="1"/>
  <c r="M1884" i="1"/>
  <c r="O1884" i="1"/>
  <c r="U1884" i="1"/>
  <c r="Y1884" i="1" s="1"/>
  <c r="V1884" i="1"/>
  <c r="W1884" i="1" s="1"/>
  <c r="Z1884" i="1"/>
  <c r="A1762" i="1"/>
  <c r="C1762" i="1"/>
  <c r="B1762" i="1" s="1"/>
  <c r="F1762" i="1"/>
  <c r="M1762" i="1"/>
  <c r="O1762" i="1"/>
  <c r="U1762" i="1"/>
  <c r="Y1762" i="1" s="1"/>
  <c r="V1762" i="1"/>
  <c r="W1762" i="1" s="1"/>
  <c r="Z1762" i="1"/>
  <c r="A1740" i="1"/>
  <c r="C1740" i="1"/>
  <c r="B1740" i="1" s="1"/>
  <c r="F1740" i="1"/>
  <c r="M1740" i="1"/>
  <c r="O1740" i="1"/>
  <c r="U1740" i="1"/>
  <c r="Y1740" i="1" s="1"/>
  <c r="V1740" i="1"/>
  <c r="W1740" i="1" s="1"/>
  <c r="Z1740" i="1"/>
  <c r="A1717" i="1"/>
  <c r="C1717" i="1"/>
  <c r="B1717" i="1" s="1"/>
  <c r="F1717" i="1"/>
  <c r="M1717" i="1"/>
  <c r="O1717" i="1"/>
  <c r="S1717" i="1"/>
  <c r="T1717" i="1"/>
  <c r="U1717" i="1"/>
  <c r="V1717" i="1"/>
  <c r="W1717" i="1" s="1"/>
  <c r="Z1717" i="1"/>
  <c r="A1713" i="1"/>
  <c r="C1713" i="1"/>
  <c r="B1713" i="1" s="1"/>
  <c r="F1713" i="1"/>
  <c r="M1713" i="1"/>
  <c r="O1713" i="1"/>
  <c r="T1713" i="1"/>
  <c r="U1713" i="1"/>
  <c r="Y1713" i="1" s="1"/>
  <c r="V1713" i="1"/>
  <c r="W1713" i="1" s="1"/>
  <c r="Z1713" i="1"/>
  <c r="A1877" i="1"/>
  <c r="C1877" i="1"/>
  <c r="B1877" i="1" s="1"/>
  <c r="F1877" i="1"/>
  <c r="M1877" i="1"/>
  <c r="O1877" i="1"/>
  <c r="U1877" i="1"/>
  <c r="V1877" i="1"/>
  <c r="W1877" i="1" s="1"/>
  <c r="Z1877" i="1"/>
  <c r="A1806" i="1"/>
  <c r="C1806" i="1"/>
  <c r="B1806" i="1" s="1"/>
  <c r="F1806" i="1"/>
  <c r="M1806" i="1"/>
  <c r="O1806" i="1"/>
  <c r="U1806" i="1"/>
  <c r="Y1806" i="1" s="1"/>
  <c r="V1806" i="1"/>
  <c r="W1806" i="1" s="1"/>
  <c r="Z1806" i="1"/>
  <c r="A1856" i="1"/>
  <c r="C1856" i="1"/>
  <c r="B1856" i="1" s="1"/>
  <c r="F1856" i="1"/>
  <c r="M1856" i="1"/>
  <c r="O1856" i="1"/>
  <c r="U1856" i="1"/>
  <c r="Y1856" i="1" s="1"/>
  <c r="V1856" i="1"/>
  <c r="W1856" i="1" s="1"/>
  <c r="Z1856" i="1"/>
  <c r="A1855" i="1"/>
  <c r="C1855" i="1"/>
  <c r="B1855" i="1" s="1"/>
  <c r="F1855" i="1"/>
  <c r="M1855" i="1"/>
  <c r="O1855" i="1"/>
  <c r="U1855" i="1"/>
  <c r="Y1855" i="1" s="1"/>
  <c r="V1855" i="1"/>
  <c r="W1855" i="1" s="1"/>
  <c r="Z1855" i="1"/>
  <c r="A1879" i="1"/>
  <c r="C1879" i="1"/>
  <c r="B1879" i="1" s="1"/>
  <c r="F1879" i="1"/>
  <c r="M1879" i="1"/>
  <c r="O1879" i="1"/>
  <c r="U1879" i="1"/>
  <c r="Y1879" i="1" s="1"/>
  <c r="V1879" i="1"/>
  <c r="W1879" i="1" s="1"/>
  <c r="Z1879" i="1"/>
  <c r="A1813" i="1"/>
  <c r="C1813" i="1"/>
  <c r="B1813" i="1" s="1"/>
  <c r="F1813" i="1"/>
  <c r="M1813" i="1"/>
  <c r="O1813" i="1"/>
  <c r="U1813" i="1"/>
  <c r="Y1813" i="1" s="1"/>
  <c r="V1813" i="1"/>
  <c r="W1813" i="1" s="1"/>
  <c r="Z1813" i="1"/>
  <c r="A1866" i="1"/>
  <c r="C1866" i="1"/>
  <c r="B1866" i="1" s="1"/>
  <c r="F1866" i="1"/>
  <c r="M1866" i="1"/>
  <c r="O1866" i="1"/>
  <c r="U1866" i="1"/>
  <c r="Y1866" i="1" s="1"/>
  <c r="V1866" i="1"/>
  <c r="W1866" i="1" s="1"/>
  <c r="Z1866" i="1"/>
  <c r="A1907" i="1"/>
  <c r="C1907" i="1"/>
  <c r="B1907" i="1" s="1"/>
  <c r="F1907" i="1"/>
  <c r="M1907" i="1"/>
  <c r="O1907" i="1"/>
  <c r="U1907" i="1"/>
  <c r="Y1907" i="1" s="1"/>
  <c r="V1907" i="1"/>
  <c r="W1907" i="1" s="1"/>
  <c r="Z1907" i="1"/>
  <c r="A1908" i="1"/>
  <c r="C1908" i="1"/>
  <c r="B1908" i="1" s="1"/>
  <c r="F1908" i="1"/>
  <c r="M1908" i="1"/>
  <c r="O1908" i="1"/>
  <c r="U1908" i="1"/>
  <c r="Y1908" i="1" s="1"/>
  <c r="V1908" i="1"/>
  <c r="W1908" i="1" s="1"/>
  <c r="Z1908" i="1"/>
  <c r="A1834" i="1"/>
  <c r="C1834" i="1"/>
  <c r="B1834" i="1" s="1"/>
  <c r="F1834" i="1"/>
  <c r="M1834" i="1"/>
  <c r="O1834" i="1"/>
  <c r="U1834" i="1"/>
  <c r="V1834" i="1"/>
  <c r="W1834" i="1" s="1"/>
  <c r="Z1834" i="1"/>
  <c r="A1833" i="1"/>
  <c r="C1833" i="1"/>
  <c r="B1833" i="1" s="1"/>
  <c r="F1833" i="1"/>
  <c r="M1833" i="1"/>
  <c r="O1833" i="1"/>
  <c r="U1833" i="1"/>
  <c r="Y1833" i="1" s="1"/>
  <c r="V1833" i="1"/>
  <c r="W1833" i="1" s="1"/>
  <c r="Z1833" i="1"/>
  <c r="A1835" i="1"/>
  <c r="C1835" i="1"/>
  <c r="B1835" i="1" s="1"/>
  <c r="F1835" i="1"/>
  <c r="O1835" i="1"/>
  <c r="U1835" i="1"/>
  <c r="Y1835" i="1" s="1"/>
  <c r="V1835" i="1"/>
  <c r="W1835" i="1" s="1"/>
  <c r="Z1835" i="1"/>
  <c r="A1810" i="1"/>
  <c r="C1810" i="1"/>
  <c r="B1810" i="1" s="1"/>
  <c r="F1810" i="1"/>
  <c r="M1810" i="1"/>
  <c r="O1810" i="1"/>
  <c r="U1810" i="1"/>
  <c r="Y1810" i="1" s="1"/>
  <c r="V1810" i="1"/>
  <c r="W1810" i="1" s="1"/>
  <c r="Z1810" i="1"/>
  <c r="A1872" i="1"/>
  <c r="C1872" i="1"/>
  <c r="B1872" i="1" s="1"/>
  <c r="F1872" i="1"/>
  <c r="M1872" i="1"/>
  <c r="O1872" i="1"/>
  <c r="U1872" i="1"/>
  <c r="Y1872" i="1" s="1"/>
  <c r="V1872" i="1"/>
  <c r="W1872" i="1" s="1"/>
  <c r="Z1872" i="1"/>
  <c r="A1873" i="1"/>
  <c r="C1873" i="1"/>
  <c r="B1873" i="1" s="1"/>
  <c r="F1873" i="1"/>
  <c r="M1873" i="1"/>
  <c r="O1873" i="1"/>
  <c r="U1873" i="1"/>
  <c r="Y1873" i="1" s="1"/>
  <c r="V1873" i="1"/>
  <c r="W1873" i="1" s="1"/>
  <c r="Z1873" i="1"/>
  <c r="A1936" i="1"/>
  <c r="C1936" i="1"/>
  <c r="B1936" i="1" s="1"/>
  <c r="F1936" i="1"/>
  <c r="M1936" i="1"/>
  <c r="O1936" i="1"/>
  <c r="U1936" i="1"/>
  <c r="Y1936" i="1" s="1"/>
  <c r="V1936" i="1"/>
  <c r="W1936" i="1" s="1"/>
  <c r="Z1936" i="1"/>
  <c r="A1832" i="1"/>
  <c r="C1832" i="1"/>
  <c r="B1832" i="1" s="1"/>
  <c r="F1832" i="1"/>
  <c r="M1832" i="1"/>
  <c r="O1832" i="1"/>
  <c r="U1832" i="1"/>
  <c r="Y1832" i="1" s="1"/>
  <c r="V1832" i="1"/>
  <c r="W1832" i="1" s="1"/>
  <c r="Z1832" i="1"/>
  <c r="A1831" i="1"/>
  <c r="C1831" i="1"/>
  <c r="B1831" i="1" s="1"/>
  <c r="F1831" i="1"/>
  <c r="M1831" i="1"/>
  <c r="O1831" i="1"/>
  <c r="U1831" i="1"/>
  <c r="Y1831" i="1" s="1"/>
  <c r="V1831" i="1"/>
  <c r="W1831" i="1" s="1"/>
  <c r="Z1831" i="1"/>
  <c r="A1807" i="1"/>
  <c r="C1807" i="1"/>
  <c r="B1807" i="1" s="1"/>
  <c r="F1807" i="1"/>
  <c r="M1807" i="1"/>
  <c r="O1807" i="1"/>
  <c r="U1807" i="1"/>
  <c r="Y1807" i="1" s="1"/>
  <c r="V1807" i="1"/>
  <c r="W1807" i="1" s="1"/>
  <c r="Z1807" i="1"/>
  <c r="O1774" i="1"/>
  <c r="O1770" i="1"/>
  <c r="A1788" i="1"/>
  <c r="A1770" i="1"/>
  <c r="A1771" i="1"/>
  <c r="A1772" i="1"/>
  <c r="A1773" i="1"/>
  <c r="A1774" i="1"/>
  <c r="A1775" i="1"/>
  <c r="A1776" i="1"/>
  <c r="A1777" i="1"/>
  <c r="C1788" i="1"/>
  <c r="B1788" i="1" s="1"/>
  <c r="C1770" i="1"/>
  <c r="B1770" i="1" s="1"/>
  <c r="C1771" i="1"/>
  <c r="B1771" i="1" s="1"/>
  <c r="C1772" i="1"/>
  <c r="B1772" i="1" s="1"/>
  <c r="C1773" i="1"/>
  <c r="T1773" i="1" s="1"/>
  <c r="C1774" i="1"/>
  <c r="B1774" i="1" s="1"/>
  <c r="C1775" i="1"/>
  <c r="B1775" i="1" s="1"/>
  <c r="C1776" i="1"/>
  <c r="B1776" i="1" s="1"/>
  <c r="C1777" i="1"/>
  <c r="T1777" i="1" s="1"/>
  <c r="F1788" i="1"/>
  <c r="F1770" i="1"/>
  <c r="F1771" i="1"/>
  <c r="F1772" i="1"/>
  <c r="F1773" i="1"/>
  <c r="F1774" i="1"/>
  <c r="F1775" i="1"/>
  <c r="F1776" i="1"/>
  <c r="F1777" i="1"/>
  <c r="M1788" i="1"/>
  <c r="M1771" i="1"/>
  <c r="M1772" i="1"/>
  <c r="M1773" i="1"/>
  <c r="M1774" i="1"/>
  <c r="M1775" i="1"/>
  <c r="M1776" i="1"/>
  <c r="M1777" i="1"/>
  <c r="O1788" i="1"/>
  <c r="O1771" i="1"/>
  <c r="O1772" i="1"/>
  <c r="O1773" i="1"/>
  <c r="O1775" i="1"/>
  <c r="O1776" i="1"/>
  <c r="O1777" i="1"/>
  <c r="T1770" i="1"/>
  <c r="U1788" i="1"/>
  <c r="Y1788" i="1" s="1"/>
  <c r="U1770" i="1"/>
  <c r="Y1770" i="1" s="1"/>
  <c r="U1771" i="1"/>
  <c r="Y1771" i="1" s="1"/>
  <c r="U1772" i="1"/>
  <c r="Y1772" i="1" s="1"/>
  <c r="U1773" i="1"/>
  <c r="U1774" i="1"/>
  <c r="Y1774" i="1" s="1"/>
  <c r="U1775" i="1"/>
  <c r="Y1775" i="1" s="1"/>
  <c r="U1776" i="1"/>
  <c r="Y1776" i="1" s="1"/>
  <c r="U1777" i="1"/>
  <c r="Y1777" i="1" s="1"/>
  <c r="V1788" i="1"/>
  <c r="W1788" i="1" s="1"/>
  <c r="V1770" i="1"/>
  <c r="W1770" i="1" s="1"/>
  <c r="V1771" i="1"/>
  <c r="W1771" i="1" s="1"/>
  <c r="V1772" i="1"/>
  <c r="W1772" i="1" s="1"/>
  <c r="V1773" i="1"/>
  <c r="W1773" i="1" s="1"/>
  <c r="V1774" i="1"/>
  <c r="W1774" i="1" s="1"/>
  <c r="V1775" i="1"/>
  <c r="W1775" i="1" s="1"/>
  <c r="V1776" i="1"/>
  <c r="W1776" i="1" s="1"/>
  <c r="V1777" i="1"/>
  <c r="W1777" i="1" s="1"/>
  <c r="Z1788" i="1"/>
  <c r="Z1770" i="1"/>
  <c r="Z1771" i="1"/>
  <c r="Z1772" i="1"/>
  <c r="Z1773" i="1"/>
  <c r="Z1774" i="1"/>
  <c r="Z1775" i="1"/>
  <c r="Z1776" i="1"/>
  <c r="Z1777" i="1"/>
  <c r="I130" i="104"/>
  <c r="A130" i="104"/>
  <c r="B130" i="104"/>
  <c r="C130" i="104"/>
  <c r="I123" i="104"/>
  <c r="I124" i="104"/>
  <c r="I125" i="104"/>
  <c r="I126" i="104"/>
  <c r="I127" i="104"/>
  <c r="I128" i="104"/>
  <c r="I129" i="104"/>
  <c r="A124" i="104"/>
  <c r="A125" i="104"/>
  <c r="A126" i="104"/>
  <c r="A127" i="104"/>
  <c r="A128" i="104"/>
  <c r="A129" i="104"/>
  <c r="B124" i="104"/>
  <c r="B125" i="104"/>
  <c r="B126" i="104"/>
  <c r="B127" i="104"/>
  <c r="B128" i="104"/>
  <c r="B129" i="104"/>
  <c r="C124" i="104"/>
  <c r="C125" i="104"/>
  <c r="C126" i="104"/>
  <c r="C127" i="104"/>
  <c r="C128" i="104"/>
  <c r="C129" i="104"/>
  <c r="A123" i="104"/>
  <c r="B123" i="104"/>
  <c r="C123" i="104"/>
  <c r="I122" i="104"/>
  <c r="A122" i="104"/>
  <c r="B122" i="104"/>
  <c r="C122" i="104"/>
  <c r="A1716" i="1"/>
  <c r="C1716" i="1"/>
  <c r="B1716" i="1" s="1"/>
  <c r="F1716" i="1"/>
  <c r="M1716" i="1"/>
  <c r="O1716" i="1"/>
  <c r="S1716" i="1"/>
  <c r="T1716" i="1"/>
  <c r="U1716" i="1"/>
  <c r="Y1716" i="1" s="1"/>
  <c r="V1716" i="1"/>
  <c r="W1716" i="1" s="1"/>
  <c r="Z1716" i="1"/>
  <c r="A1715" i="1"/>
  <c r="C1715" i="1"/>
  <c r="B1715" i="1" s="1"/>
  <c r="F1715" i="1"/>
  <c r="M1715" i="1"/>
  <c r="O1715" i="1"/>
  <c r="S1715" i="1"/>
  <c r="U1715" i="1"/>
  <c r="V1715" i="1"/>
  <c r="W1715" i="1" s="1"/>
  <c r="Z1715" i="1"/>
  <c r="P1941" i="1" l="1"/>
  <c r="P2082" i="1"/>
  <c r="P1752" i="1"/>
  <c r="P1867" i="1"/>
  <c r="P1977" i="1"/>
  <c r="P1910" i="1"/>
  <c r="Q1785" i="1"/>
  <c r="Q1922" i="1"/>
  <c r="Q1782" i="1"/>
  <c r="Q1757" i="1"/>
  <c r="P1885" i="1"/>
  <c r="P1737" i="1"/>
  <c r="P1909" i="1"/>
  <c r="P1948" i="1"/>
  <c r="P1981" i="1"/>
  <c r="Q1784" i="1"/>
  <c r="Q1787" i="1"/>
  <c r="Q1825" i="1"/>
  <c r="Q1753" i="1"/>
  <c r="P1702" i="1"/>
  <c r="Q1997" i="1"/>
  <c r="P1918" i="1"/>
  <c r="P1985" i="1"/>
  <c r="Q1756" i="1"/>
  <c r="Q1783" i="1"/>
  <c r="Q1891" i="1"/>
  <c r="Q1746" i="1"/>
  <c r="Q1765" i="1"/>
  <c r="P1967" i="1"/>
  <c r="P1750" i="1"/>
  <c r="P1975" i="1"/>
  <c r="Q1786" i="1"/>
  <c r="Q1751" i="1"/>
  <c r="D2082" i="1"/>
  <c r="D2083" i="1"/>
  <c r="D1997" i="1"/>
  <c r="D2069" i="1"/>
  <c r="D2089" i="1"/>
  <c r="D1904" i="1"/>
  <c r="D1901" i="1"/>
  <c r="D1898" i="1"/>
  <c r="D1899" i="1"/>
  <c r="D1897" i="1"/>
  <c r="D1903" i="1"/>
  <c r="D1893" i="1"/>
  <c r="D1894" i="1"/>
  <c r="D1896" i="1"/>
  <c r="D1895" i="1"/>
  <c r="D1902" i="1"/>
  <c r="D1900" i="1"/>
  <c r="D1975" i="1"/>
  <c r="D1976" i="1"/>
  <c r="T1780" i="1"/>
  <c r="T1808" i="1"/>
  <c r="T1781" i="1"/>
  <c r="T1779" i="1"/>
  <c r="X1781" i="1"/>
  <c r="T2052" i="1"/>
  <c r="T1919" i="1"/>
  <c r="X2052" i="1"/>
  <c r="T1874" i="1"/>
  <c r="X1778" i="1"/>
  <c r="X1735" i="1"/>
  <c r="X1734" i="1"/>
  <c r="T1947" i="1"/>
  <c r="T1762" i="1"/>
  <c r="T1763" i="1"/>
  <c r="T1810" i="1"/>
  <c r="X1779" i="1"/>
  <c r="T1889" i="1"/>
  <c r="X1780" i="1"/>
  <c r="X1874" i="1"/>
  <c r="T1736" i="1"/>
  <c r="X1736" i="1"/>
  <c r="P1736" i="1" s="1"/>
  <c r="Q1736" i="1" s="1"/>
  <c r="R1736" i="1" s="1"/>
  <c r="D1736" i="1" s="1"/>
  <c r="T1836" i="1"/>
  <c r="X1836" i="1"/>
  <c r="T1806" i="1"/>
  <c r="T1740" i="1"/>
  <c r="T1932" i="1"/>
  <c r="T1884" i="1"/>
  <c r="T1890" i="1"/>
  <c r="X1808" i="1"/>
  <c r="X1919" i="1"/>
  <c r="X1947" i="1"/>
  <c r="X1712" i="1"/>
  <c r="X1881" i="1"/>
  <c r="T1881" i="1"/>
  <c r="X1674" i="1"/>
  <c r="X1628" i="1"/>
  <c r="X1890" i="1"/>
  <c r="Y1628" i="1"/>
  <c r="X1671" i="1"/>
  <c r="T1671" i="1"/>
  <c r="T1628" i="1"/>
  <c r="X1889" i="1"/>
  <c r="X1763" i="1"/>
  <c r="X1932" i="1"/>
  <c r="X1884" i="1"/>
  <c r="X1762" i="1"/>
  <c r="T1856" i="1"/>
  <c r="X1713" i="1"/>
  <c r="X1740" i="1"/>
  <c r="X1717" i="1"/>
  <c r="Y1717" i="1"/>
  <c r="T1813" i="1"/>
  <c r="X1856" i="1"/>
  <c r="X1877" i="1"/>
  <c r="Y1877" i="1"/>
  <c r="T1877" i="1"/>
  <c r="X1806" i="1"/>
  <c r="T1866" i="1"/>
  <c r="T1855" i="1"/>
  <c r="X1855" i="1"/>
  <c r="T1879" i="1"/>
  <c r="X1879" i="1"/>
  <c r="T1833" i="1"/>
  <c r="X1813" i="1"/>
  <c r="X1907" i="1"/>
  <c r="X1866" i="1"/>
  <c r="X1908" i="1"/>
  <c r="T1907" i="1"/>
  <c r="T1908" i="1"/>
  <c r="T1834" i="1"/>
  <c r="T1832" i="1"/>
  <c r="X1834" i="1"/>
  <c r="Y1834" i="1"/>
  <c r="X1833" i="1"/>
  <c r="T1835" i="1"/>
  <c r="X1835" i="1"/>
  <c r="X1810" i="1"/>
  <c r="X1872" i="1"/>
  <c r="T1872" i="1"/>
  <c r="T1873" i="1"/>
  <c r="X1936" i="1"/>
  <c r="X1873" i="1"/>
  <c r="T1936" i="1"/>
  <c r="T1807" i="1"/>
  <c r="T1774" i="1"/>
  <c r="X1832" i="1"/>
  <c r="T1772" i="1"/>
  <c r="X1831" i="1"/>
  <c r="T1831" i="1"/>
  <c r="X1773" i="1"/>
  <c r="T1776" i="1"/>
  <c r="X1774" i="1"/>
  <c r="X1770" i="1"/>
  <c r="Y1773" i="1"/>
  <c r="X1807" i="1"/>
  <c r="X1777" i="1"/>
  <c r="X1788" i="1"/>
  <c r="P1788" i="1" s="1"/>
  <c r="Q1788" i="1" s="1"/>
  <c r="R1788" i="1" s="1"/>
  <c r="D1788" i="1" s="1"/>
  <c r="T1775" i="1"/>
  <c r="T1771" i="1"/>
  <c r="B1777" i="1"/>
  <c r="B1773" i="1"/>
  <c r="X1776" i="1"/>
  <c r="X1772" i="1"/>
  <c r="T1788" i="1"/>
  <c r="M1770" i="1"/>
  <c r="X1775" i="1"/>
  <c r="X1771" i="1"/>
  <c r="X1716" i="1"/>
  <c r="T1715" i="1"/>
  <c r="X1715" i="1"/>
  <c r="Y1715" i="1"/>
  <c r="P1775" i="1" l="1"/>
  <c r="P1776" i="1"/>
  <c r="P1832" i="1"/>
  <c r="P1873" i="1"/>
  <c r="P1872" i="1"/>
  <c r="P1833" i="1"/>
  <c r="P1866" i="1"/>
  <c r="P1879" i="1"/>
  <c r="P1762" i="1"/>
  <c r="P1889" i="1"/>
  <c r="P1919" i="1"/>
  <c r="P1780" i="1"/>
  <c r="P1735" i="1"/>
  <c r="R1746" i="1"/>
  <c r="D1746" i="1" s="1"/>
  <c r="R1783" i="1"/>
  <c r="Q1985" i="1"/>
  <c r="R1997" i="1"/>
  <c r="D2117" i="1" s="1"/>
  <c r="R1825" i="1"/>
  <c r="R1784" i="1"/>
  <c r="Q1948" i="1"/>
  <c r="Q1737" i="1"/>
  <c r="R1786" i="1"/>
  <c r="Q1750" i="1"/>
  <c r="R1757" i="1"/>
  <c r="D1757" i="1" s="1"/>
  <c r="R1922" i="1"/>
  <c r="D2072" i="1" s="1"/>
  <c r="Q1910" i="1"/>
  <c r="Q1867" i="1"/>
  <c r="Q2082" i="1"/>
  <c r="P1778" i="1"/>
  <c r="P1716" i="1"/>
  <c r="P1777" i="1"/>
  <c r="P1774" i="1"/>
  <c r="P1831" i="1"/>
  <c r="P1835" i="1"/>
  <c r="P1813" i="1"/>
  <c r="P1855" i="1"/>
  <c r="P1713" i="1"/>
  <c r="P1932" i="1"/>
  <c r="P1712" i="1"/>
  <c r="P1779" i="1"/>
  <c r="P1781" i="1"/>
  <c r="R1765" i="1"/>
  <c r="R1891" i="1"/>
  <c r="R1756" i="1"/>
  <c r="D1756" i="1" s="1"/>
  <c r="Q1918" i="1"/>
  <c r="Q1702" i="1"/>
  <c r="R1753" i="1"/>
  <c r="D1753" i="1" s="1"/>
  <c r="R1787" i="1"/>
  <c r="Q1981" i="1"/>
  <c r="Q1909" i="1"/>
  <c r="Q1885" i="1"/>
  <c r="P1770" i="1"/>
  <c r="P1936" i="1"/>
  <c r="P1810" i="1"/>
  <c r="P1907" i="1"/>
  <c r="P1806" i="1"/>
  <c r="P1856" i="1"/>
  <c r="P1740" i="1"/>
  <c r="P1884" i="1"/>
  <c r="P1890" i="1"/>
  <c r="P1881" i="1"/>
  <c r="P1808" i="1"/>
  <c r="P1771" i="1"/>
  <c r="P1772" i="1"/>
  <c r="P1807" i="1"/>
  <c r="P1908" i="1"/>
  <c r="P1763" i="1"/>
  <c r="P1671" i="1"/>
  <c r="P1674" i="1"/>
  <c r="P1947" i="1"/>
  <c r="P1836" i="1"/>
  <c r="P1874" i="1"/>
  <c r="P1734" i="1"/>
  <c r="P2052" i="1"/>
  <c r="R1751" i="1"/>
  <c r="D1751" i="1" s="1"/>
  <c r="Q1975" i="1"/>
  <c r="Q1967" i="1"/>
  <c r="R1782" i="1"/>
  <c r="R1785" i="1"/>
  <c r="Q1977" i="1"/>
  <c r="Q1752" i="1"/>
  <c r="Q1941" i="1"/>
  <c r="D2057" i="1"/>
  <c r="D2056" i="1"/>
  <c r="D2055" i="1"/>
  <c r="D2054" i="1"/>
  <c r="D1888" i="1"/>
  <c r="D1887" i="1"/>
  <c r="D1954" i="1"/>
  <c r="D1953" i="1"/>
  <c r="D1919" i="1"/>
  <c r="D2001" i="1"/>
  <c r="D1973" i="1"/>
  <c r="D1972" i="1"/>
  <c r="D1872" i="1"/>
  <c r="D2027" i="1"/>
  <c r="D1918" i="1"/>
  <c r="D2146" i="1"/>
  <c r="D1985" i="1"/>
  <c r="D1987" i="1"/>
  <c r="D1879" i="1"/>
  <c r="D1880" i="1"/>
  <c r="D1970" i="1"/>
  <c r="D1971" i="1"/>
  <c r="D2052" i="1"/>
  <c r="D2053" i="1"/>
  <c r="D1936" i="1"/>
  <c r="D2028" i="1"/>
  <c r="D1892" i="1"/>
  <c r="D1825" i="1"/>
  <c r="D1891" i="1"/>
  <c r="D1910" i="1"/>
  <c r="D1734" i="1"/>
  <c r="D1948" i="1"/>
  <c r="D1909" i="1"/>
  <c r="D1763" i="1"/>
  <c r="D1702" i="1"/>
  <c r="D1884" i="1"/>
  <c r="D1885" i="1"/>
  <c r="D1947" i="1"/>
  <c r="D1735" i="1"/>
  <c r="P1628" i="1"/>
  <c r="D1674" i="1"/>
  <c r="D1712" i="1"/>
  <c r="D1628" i="1"/>
  <c r="D1671" i="1"/>
  <c r="D1890" i="1"/>
  <c r="D1889" i="1"/>
  <c r="P1717" i="1"/>
  <c r="P1877" i="1"/>
  <c r="D1908" i="1"/>
  <c r="D1907" i="1"/>
  <c r="P1834" i="1"/>
  <c r="P1773" i="1"/>
  <c r="P1715" i="1"/>
  <c r="D1715" i="1"/>
  <c r="D1716" i="1"/>
  <c r="R1909" i="1" l="1"/>
  <c r="R1702" i="1"/>
  <c r="Q1779" i="1"/>
  <c r="Q1831" i="1"/>
  <c r="Q1777" i="1"/>
  <c r="Q1778" i="1"/>
  <c r="R1867" i="1"/>
  <c r="R1750" i="1"/>
  <c r="D1750" i="1" s="1"/>
  <c r="Q1776" i="1"/>
  <c r="R1752" i="1"/>
  <c r="D1752" i="1" s="1"/>
  <c r="R1967" i="1"/>
  <c r="D1967" i="1" s="1"/>
  <c r="Q1734" i="1"/>
  <c r="Q1836" i="1"/>
  <c r="Q1674" i="1"/>
  <c r="Q1763" i="1"/>
  <c r="Q1807" i="1"/>
  <c r="Q1771" i="1"/>
  <c r="Q1881" i="1"/>
  <c r="Q1884" i="1"/>
  <c r="Q1856" i="1"/>
  <c r="Q1907" i="1"/>
  <c r="Q1936" i="1"/>
  <c r="Q1932" i="1"/>
  <c r="Q1855" i="1"/>
  <c r="R1737" i="1"/>
  <c r="Q1735" i="1"/>
  <c r="Q1919" i="1"/>
  <c r="Q1762" i="1"/>
  <c r="Q1866" i="1"/>
  <c r="Q1872" i="1"/>
  <c r="Q1832" i="1"/>
  <c r="Q1773" i="1"/>
  <c r="Q1877" i="1"/>
  <c r="Q1628" i="1"/>
  <c r="R1885" i="1"/>
  <c r="R1981" i="1"/>
  <c r="R1918" i="1"/>
  <c r="Q1781" i="1"/>
  <c r="Q1712" i="1"/>
  <c r="Q1835" i="1"/>
  <c r="Q1774" i="1"/>
  <c r="Q1716" i="1"/>
  <c r="R2082" i="1"/>
  <c r="R1910" i="1"/>
  <c r="Q1775" i="1"/>
  <c r="Q1715" i="1"/>
  <c r="Q1834" i="1"/>
  <c r="Q1717" i="1"/>
  <c r="R1941" i="1"/>
  <c r="R1977" i="1"/>
  <c r="D1977" i="1" s="1"/>
  <c r="R1975" i="1"/>
  <c r="Q2052" i="1"/>
  <c r="Q1874" i="1"/>
  <c r="Q1947" i="1"/>
  <c r="Q1671" i="1"/>
  <c r="Q1908" i="1"/>
  <c r="Q1772" i="1"/>
  <c r="Q1808" i="1"/>
  <c r="Q1890" i="1"/>
  <c r="Q1740" i="1"/>
  <c r="Q1806" i="1"/>
  <c r="Q1810" i="1"/>
  <c r="Q1770" i="1"/>
  <c r="Q1713" i="1"/>
  <c r="Q1813" i="1"/>
  <c r="R1948" i="1"/>
  <c r="R1985" i="1"/>
  <c r="D2079" i="1" s="1"/>
  <c r="Q1780" i="1"/>
  <c r="Q1889" i="1"/>
  <c r="Q1879" i="1"/>
  <c r="Q1833" i="1"/>
  <c r="Q1873" i="1"/>
  <c r="D1877" i="1"/>
  <c r="D1980" i="1"/>
  <c r="D1875" i="1"/>
  <c r="D1784" i="1"/>
  <c r="D1782" i="1"/>
  <c r="D1787" i="1"/>
  <c r="D1785" i="1"/>
  <c r="D1786" i="1"/>
  <c r="D1783" i="1"/>
  <c r="D1778" i="1"/>
  <c r="D1779" i="1"/>
  <c r="D1780" i="1"/>
  <c r="D1781" i="1"/>
  <c r="D1836" i="1"/>
  <c r="D1834" i="1"/>
  <c r="D1833" i="1"/>
  <c r="D1771" i="1"/>
  <c r="D1777" i="1"/>
  <c r="D1770" i="1"/>
  <c r="D1774" i="1"/>
  <c r="D1773" i="1"/>
  <c r="D1776" i="1"/>
  <c r="D1772" i="1"/>
  <c r="D1775" i="1"/>
  <c r="A121" i="104"/>
  <c r="B121" i="104"/>
  <c r="C121" i="104"/>
  <c r="I121" i="104"/>
  <c r="E1530" i="6"/>
  <c r="F1530" i="6"/>
  <c r="I1530" i="6"/>
  <c r="J1530" i="6"/>
  <c r="E1525" i="6"/>
  <c r="F1525" i="6"/>
  <c r="I1525" i="6"/>
  <c r="J1525" i="6"/>
  <c r="A1729" i="1"/>
  <c r="C1729" i="1"/>
  <c r="B1729" i="1" s="1"/>
  <c r="F1729" i="1"/>
  <c r="M1729" i="1"/>
  <c r="O1729" i="1"/>
  <c r="U1729" i="1"/>
  <c r="V1729" i="1"/>
  <c r="W1729" i="1" s="1"/>
  <c r="Z1729" i="1"/>
  <c r="A1728" i="1"/>
  <c r="C1728" i="1"/>
  <c r="B1728" i="1" s="1"/>
  <c r="F1728" i="1"/>
  <c r="M1728" i="1"/>
  <c r="O1728" i="1"/>
  <c r="U1728" i="1"/>
  <c r="Y1728" i="1" s="1"/>
  <c r="V1728" i="1"/>
  <c r="W1728" i="1" s="1"/>
  <c r="Z1728" i="1"/>
  <c r="A1672" i="1"/>
  <c r="C1672" i="1"/>
  <c r="B1672" i="1" s="1"/>
  <c r="F1672" i="1"/>
  <c r="M1672" i="1"/>
  <c r="O1672" i="1"/>
  <c r="S1672" i="1"/>
  <c r="T1672" i="1"/>
  <c r="U1672" i="1"/>
  <c r="V1672" i="1"/>
  <c r="W1672" i="1" s="1"/>
  <c r="Z1672" i="1"/>
  <c r="R1873" i="1" l="1"/>
  <c r="R1879" i="1"/>
  <c r="R1780" i="1"/>
  <c r="R1713" i="1"/>
  <c r="R1810" i="1"/>
  <c r="R1740" i="1"/>
  <c r="D1740" i="1" s="1"/>
  <c r="R1808" i="1"/>
  <c r="R1908" i="1"/>
  <c r="R1947" i="1"/>
  <c r="R2052" i="1"/>
  <c r="X5" i="16" s="1"/>
  <c r="R1717" i="1"/>
  <c r="R1715" i="1"/>
  <c r="R1716" i="1"/>
  <c r="R1835" i="1"/>
  <c r="R1781" i="1"/>
  <c r="R1628" i="1"/>
  <c r="R1773" i="1"/>
  <c r="R1872" i="1"/>
  <c r="R1762" i="1"/>
  <c r="D1762" i="1" s="1"/>
  <c r="R1735" i="1"/>
  <c r="R1855" i="1"/>
  <c r="R1936" i="1"/>
  <c r="R1856" i="1"/>
  <c r="R1881" i="1"/>
  <c r="D1986" i="1" s="1"/>
  <c r="R1807" i="1"/>
  <c r="R1674" i="1"/>
  <c r="R1734" i="1"/>
  <c r="R1778" i="1"/>
  <c r="R1831" i="1"/>
  <c r="R1833" i="1"/>
  <c r="R1889" i="1"/>
  <c r="R1813" i="1"/>
  <c r="R1770" i="1"/>
  <c r="R1806" i="1"/>
  <c r="D1806" i="1" s="1"/>
  <c r="R1890" i="1"/>
  <c r="R1772" i="1"/>
  <c r="R1671" i="1"/>
  <c r="R1874" i="1"/>
  <c r="R1834" i="1"/>
  <c r="D1835" i="1" s="1"/>
  <c r="R1775" i="1"/>
  <c r="R1774" i="1"/>
  <c r="R1712" i="1"/>
  <c r="R1877" i="1"/>
  <c r="R1832" i="1"/>
  <c r="R1866" i="1"/>
  <c r="D2010" i="1" s="1"/>
  <c r="R1919" i="1"/>
  <c r="R1932" i="1"/>
  <c r="R1907" i="1"/>
  <c r="R1884" i="1"/>
  <c r="D1886" i="1" s="1"/>
  <c r="R1771" i="1"/>
  <c r="R1763" i="1"/>
  <c r="R1836" i="1"/>
  <c r="R1776" i="1"/>
  <c r="R1777" i="1"/>
  <c r="R1779" i="1"/>
  <c r="T1729" i="1"/>
  <c r="X1729" i="1"/>
  <c r="Y1729" i="1"/>
  <c r="X1728" i="1"/>
  <c r="T1728" i="1"/>
  <c r="X1672" i="1"/>
  <c r="Y1672" i="1"/>
  <c r="P1728" i="1" l="1"/>
  <c r="P1729" i="1"/>
  <c r="P1672" i="1"/>
  <c r="Q1728" i="1" l="1"/>
  <c r="Q1672" i="1"/>
  <c r="Q1729" i="1"/>
  <c r="A1714" i="1"/>
  <c r="C1714" i="1"/>
  <c r="B1714" i="1" s="1"/>
  <c r="F1714" i="1"/>
  <c r="M1714" i="1"/>
  <c r="O1714" i="1"/>
  <c r="T1714" i="1"/>
  <c r="U1714" i="1"/>
  <c r="Y1714" i="1" s="1"/>
  <c r="V1714" i="1"/>
  <c r="W1714" i="1" s="1"/>
  <c r="Z1714" i="1"/>
  <c r="E1524" i="6"/>
  <c r="F1524" i="6"/>
  <c r="I1524" i="6"/>
  <c r="J1524" i="6"/>
  <c r="A1652" i="1"/>
  <c r="C1652" i="1"/>
  <c r="B1652" i="1" s="1"/>
  <c r="F1652" i="1"/>
  <c r="M1652" i="1"/>
  <c r="O1652" i="1"/>
  <c r="T1652" i="1"/>
  <c r="U1652" i="1"/>
  <c r="Y1652" i="1" s="1"/>
  <c r="V1652" i="1"/>
  <c r="W1652" i="1" s="1"/>
  <c r="Z1652" i="1"/>
  <c r="A1653" i="1"/>
  <c r="C1653" i="1"/>
  <c r="B1653" i="1" s="1"/>
  <c r="F1653" i="1"/>
  <c r="M1653" i="1"/>
  <c r="O1653" i="1"/>
  <c r="T1653" i="1"/>
  <c r="U1653" i="1"/>
  <c r="V1653" i="1"/>
  <c r="W1653" i="1" s="1"/>
  <c r="Z1653" i="1"/>
  <c r="A1654" i="1"/>
  <c r="C1654" i="1"/>
  <c r="B1654" i="1" s="1"/>
  <c r="F1654" i="1"/>
  <c r="M1654" i="1"/>
  <c r="O1654" i="1"/>
  <c r="T1654" i="1"/>
  <c r="U1654" i="1"/>
  <c r="Y1654" i="1" s="1"/>
  <c r="V1654" i="1"/>
  <c r="W1654" i="1" s="1"/>
  <c r="Z1654" i="1"/>
  <c r="R1672" i="1" l="1"/>
  <c r="R1729" i="1"/>
  <c r="R1728" i="1"/>
  <c r="X1714" i="1"/>
  <c r="X1652" i="1"/>
  <c r="X1653" i="1"/>
  <c r="Y1653" i="1"/>
  <c r="X1654" i="1"/>
  <c r="P1652" i="1" l="1"/>
  <c r="P1714" i="1"/>
  <c r="P1654" i="1"/>
  <c r="P1653" i="1"/>
  <c r="Q1714" i="1" l="1"/>
  <c r="Q1653" i="1"/>
  <c r="Q1654" i="1"/>
  <c r="Q1652" i="1"/>
  <c r="A1703" i="1"/>
  <c r="C1703" i="1"/>
  <c r="B1703" i="1" s="1"/>
  <c r="F1703" i="1"/>
  <c r="M1703" i="1"/>
  <c r="O1703" i="1"/>
  <c r="S1703" i="1"/>
  <c r="T1703" i="1"/>
  <c r="U1703" i="1"/>
  <c r="Y1703" i="1" s="1"/>
  <c r="V1703" i="1"/>
  <c r="W1703" i="1" s="1"/>
  <c r="Z1703" i="1"/>
  <c r="A1701" i="1"/>
  <c r="C1701" i="1"/>
  <c r="B1701" i="1" s="1"/>
  <c r="D1701" i="1"/>
  <c r="F1701" i="1"/>
  <c r="M1701" i="1"/>
  <c r="O1701" i="1"/>
  <c r="S1701" i="1"/>
  <c r="T1701" i="1"/>
  <c r="U1701" i="1"/>
  <c r="Y1701" i="1" s="1"/>
  <c r="V1701" i="1"/>
  <c r="W1701" i="1" s="1"/>
  <c r="Z1701" i="1"/>
  <c r="A1699" i="1"/>
  <c r="C1699" i="1"/>
  <c r="B1699" i="1" s="1"/>
  <c r="F1699" i="1"/>
  <c r="M1699" i="1"/>
  <c r="O1699" i="1"/>
  <c r="T1699" i="1"/>
  <c r="U1699" i="1"/>
  <c r="V1699" i="1"/>
  <c r="W1699" i="1" s="1"/>
  <c r="Z1699" i="1"/>
  <c r="R1652" i="1" l="1"/>
  <c r="D1652" i="1" s="1"/>
  <c r="R1653" i="1"/>
  <c r="R1654" i="1"/>
  <c r="D1654" i="1" s="1"/>
  <c r="R1714" i="1"/>
  <c r="D1714" i="1" s="1"/>
  <c r="X1703" i="1"/>
  <c r="X1701" i="1"/>
  <c r="X1699" i="1"/>
  <c r="Y1699" i="1"/>
  <c r="P1703" i="1" l="1"/>
  <c r="P1701" i="1"/>
  <c r="P1699" i="1"/>
  <c r="M1698" i="1"/>
  <c r="A1698" i="1"/>
  <c r="C1698" i="1"/>
  <c r="B1698" i="1" s="1"/>
  <c r="F1698" i="1"/>
  <c r="O1698" i="1"/>
  <c r="U1698" i="1"/>
  <c r="V1698" i="1"/>
  <c r="W1698" i="1" s="1"/>
  <c r="Z1698" i="1"/>
  <c r="A1696" i="1"/>
  <c r="C1696" i="1"/>
  <c r="B1696" i="1" s="1"/>
  <c r="D1696" i="1"/>
  <c r="F1696" i="1"/>
  <c r="M1696" i="1"/>
  <c r="S1696" i="1"/>
  <c r="T1696" i="1"/>
  <c r="U1696" i="1"/>
  <c r="Y1696" i="1" s="1"/>
  <c r="V1696" i="1"/>
  <c r="W1696" i="1" s="1"/>
  <c r="Z1696" i="1"/>
  <c r="A1673" i="1"/>
  <c r="C1673" i="1"/>
  <c r="B1673" i="1" s="1"/>
  <c r="D1673" i="1"/>
  <c r="F1673" i="1"/>
  <c r="O1673" i="1"/>
  <c r="S1673" i="1"/>
  <c r="T1673" i="1"/>
  <c r="U1673" i="1"/>
  <c r="V1673" i="1"/>
  <c r="W1673" i="1" s="1"/>
  <c r="Z1673" i="1"/>
  <c r="Q1701" i="1" l="1"/>
  <c r="Q1699" i="1"/>
  <c r="Q1703" i="1"/>
  <c r="X1698" i="1"/>
  <c r="T1698" i="1"/>
  <c r="Y1698" i="1"/>
  <c r="X1696" i="1"/>
  <c r="X1673" i="1"/>
  <c r="Y1673" i="1"/>
  <c r="R1703" i="1" l="1"/>
  <c r="D1703" i="1" s="1"/>
  <c r="R1699" i="1"/>
  <c r="D1699" i="1" s="1"/>
  <c r="P1696" i="1"/>
  <c r="R1701" i="1"/>
  <c r="P1698" i="1"/>
  <c r="P1673" i="1"/>
  <c r="E1523" i="6"/>
  <c r="F1523" i="6"/>
  <c r="I1523" i="6"/>
  <c r="J1523" i="6"/>
  <c r="S54" i="15"/>
  <c r="S53" i="15"/>
  <c r="S52" i="15"/>
  <c r="S51" i="15"/>
  <c r="S50" i="15"/>
  <c r="S49" i="15"/>
  <c r="S48" i="15"/>
  <c r="S47" i="15"/>
  <c r="S46" i="15"/>
  <c r="S45" i="15"/>
  <c r="S43" i="15"/>
  <c r="S42" i="15"/>
  <c r="S41" i="15"/>
  <c r="S40" i="15"/>
  <c r="S39" i="15"/>
  <c r="S38" i="15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1" i="15"/>
  <c r="S10" i="15"/>
  <c r="S9" i="15"/>
  <c r="S7" i="15"/>
  <c r="S6" i="15"/>
  <c r="S5" i="15"/>
  <c r="S4" i="15"/>
  <c r="S3" i="15"/>
  <c r="S2" i="15"/>
  <c r="A1634" i="1"/>
  <c r="C1634" i="1"/>
  <c r="B1634" i="1" s="1"/>
  <c r="F1634" i="1"/>
  <c r="M1634" i="1"/>
  <c r="O1634" i="1"/>
  <c r="S1634" i="1"/>
  <c r="T1634" i="1"/>
  <c r="U1634" i="1"/>
  <c r="Y1634" i="1" s="1"/>
  <c r="V1634" i="1"/>
  <c r="W1634" i="1" s="1"/>
  <c r="Z1634" i="1"/>
  <c r="A1633" i="1"/>
  <c r="C1633" i="1"/>
  <c r="B1633" i="1" s="1"/>
  <c r="F1633" i="1"/>
  <c r="M1633" i="1"/>
  <c r="O1633" i="1"/>
  <c r="S1633" i="1"/>
  <c r="U1633" i="1"/>
  <c r="V1633" i="1"/>
  <c r="W1633" i="1" s="1"/>
  <c r="Z1633" i="1"/>
  <c r="A1630" i="1"/>
  <c r="A1631" i="1"/>
  <c r="A1632" i="1"/>
  <c r="C1630" i="1"/>
  <c r="B1630" i="1" s="1"/>
  <c r="C1631" i="1"/>
  <c r="B1631" i="1" s="1"/>
  <c r="C1632" i="1"/>
  <c r="B1632" i="1" s="1"/>
  <c r="F1630" i="1"/>
  <c r="F1631" i="1"/>
  <c r="F1632" i="1"/>
  <c r="M1630" i="1"/>
  <c r="M1631" i="1"/>
  <c r="M1632" i="1"/>
  <c r="O1630" i="1"/>
  <c r="O1631" i="1"/>
  <c r="O1632" i="1"/>
  <c r="S1630" i="1"/>
  <c r="S1631" i="1"/>
  <c r="S1632" i="1"/>
  <c r="T1630" i="1"/>
  <c r="T1631" i="1"/>
  <c r="T1632" i="1"/>
  <c r="U1630" i="1"/>
  <c r="U1631" i="1"/>
  <c r="Y1631" i="1" s="1"/>
  <c r="U1632" i="1"/>
  <c r="Y1632" i="1" s="1"/>
  <c r="V1630" i="1"/>
  <c r="W1630" i="1" s="1"/>
  <c r="V1631" i="1"/>
  <c r="W1631" i="1" s="1"/>
  <c r="V1632" i="1"/>
  <c r="W1632" i="1" s="1"/>
  <c r="Z1630" i="1"/>
  <c r="Z1631" i="1"/>
  <c r="Z1632" i="1"/>
  <c r="A1629" i="1"/>
  <c r="C1629" i="1"/>
  <c r="B1629" i="1" s="1"/>
  <c r="F1629" i="1"/>
  <c r="M1629" i="1"/>
  <c r="O1629" i="1"/>
  <c r="S1629" i="1"/>
  <c r="T1629" i="1"/>
  <c r="U1629" i="1"/>
  <c r="V1629" i="1"/>
  <c r="W1629" i="1" s="1"/>
  <c r="Z1629" i="1"/>
  <c r="O1668" i="1"/>
  <c r="Q1698" i="1" l="1"/>
  <c r="Q1696" i="1"/>
  <c r="Q1673" i="1"/>
  <c r="X1633" i="1"/>
  <c r="X1632" i="1"/>
  <c r="Y1633" i="1"/>
  <c r="X1631" i="1"/>
  <c r="X1634" i="1"/>
  <c r="T1633" i="1"/>
  <c r="X1630" i="1"/>
  <c r="Y1630" i="1"/>
  <c r="X1629" i="1"/>
  <c r="Y1629" i="1"/>
  <c r="S28" i="16"/>
  <c r="S22" i="16"/>
  <c r="S20" i="16"/>
  <c r="S19" i="16"/>
  <c r="E1505" i="6"/>
  <c r="F1505" i="6"/>
  <c r="I1505" i="6"/>
  <c r="J1505" i="6"/>
  <c r="E1508" i="6"/>
  <c r="F1508" i="6"/>
  <c r="I1508" i="6"/>
  <c r="J1508" i="6"/>
  <c r="E1502" i="6"/>
  <c r="I1502" i="6"/>
  <c r="J1502" i="6"/>
  <c r="E1501" i="6"/>
  <c r="F1501" i="6"/>
  <c r="I1501" i="6"/>
  <c r="J1501" i="6"/>
  <c r="E1496" i="6"/>
  <c r="F1496" i="6"/>
  <c r="I1496" i="6"/>
  <c r="J1496" i="6"/>
  <c r="A1929" i="1"/>
  <c r="C1929" i="1"/>
  <c r="B1929" i="1" s="1"/>
  <c r="F1929" i="1"/>
  <c r="M1929" i="1"/>
  <c r="O1929" i="1"/>
  <c r="W15" i="16" s="1"/>
  <c r="U1929" i="1"/>
  <c r="Y1929" i="1" s="1"/>
  <c r="V1929" i="1"/>
  <c r="W1929" i="1" s="1"/>
  <c r="Z1929" i="1"/>
  <c r="P1631" i="1" l="1"/>
  <c r="R1673" i="1"/>
  <c r="R1698" i="1"/>
  <c r="D1698" i="1" s="1"/>
  <c r="P1632" i="1"/>
  <c r="P1634" i="1"/>
  <c r="R1696" i="1"/>
  <c r="P1633" i="1"/>
  <c r="P1629" i="1"/>
  <c r="P1630" i="1"/>
  <c r="S13" i="16"/>
  <c r="S12" i="16"/>
  <c r="T1929" i="1"/>
  <c r="X1929" i="1"/>
  <c r="P1929" i="1" l="1"/>
  <c r="Q1630" i="1"/>
  <c r="Q1629" i="1"/>
  <c r="Q1633" i="1"/>
  <c r="Q1632" i="1"/>
  <c r="Q1634" i="1"/>
  <c r="Q1631" i="1"/>
  <c r="D1823" i="1"/>
  <c r="D1821" i="1"/>
  <c r="D1822" i="1"/>
  <c r="D1819" i="1"/>
  <c r="D1820" i="1"/>
  <c r="D1817" i="1"/>
  <c r="D1818" i="1"/>
  <c r="D1799" i="1"/>
  <c r="D1798" i="1"/>
  <c r="D1713" i="1"/>
  <c r="D1717" i="1"/>
  <c r="D1633" i="1"/>
  <c r="D1634" i="1"/>
  <c r="D1630" i="1"/>
  <c r="D1631" i="1"/>
  <c r="D1632" i="1"/>
  <c r="D1929" i="1"/>
  <c r="D1629" i="1"/>
  <c r="E1504" i="6"/>
  <c r="F1504" i="6"/>
  <c r="I1504" i="6"/>
  <c r="J1504" i="6"/>
  <c r="E1503" i="6"/>
  <c r="F1503" i="6"/>
  <c r="I1503" i="6"/>
  <c r="J1503" i="6"/>
  <c r="E1507" i="6"/>
  <c r="F1507" i="6"/>
  <c r="I1507" i="6"/>
  <c r="J1507" i="6"/>
  <c r="E1506" i="6"/>
  <c r="F1506" i="6"/>
  <c r="I1506" i="6"/>
  <c r="J1506" i="6"/>
  <c r="R1634" i="1" l="1"/>
  <c r="R1633" i="1"/>
  <c r="R1630" i="1"/>
  <c r="R1631" i="1"/>
  <c r="R1632" i="1"/>
  <c r="R1629" i="1"/>
  <c r="Q1929" i="1"/>
  <c r="E1494" i="6"/>
  <c r="F1494" i="6"/>
  <c r="I1494" i="6"/>
  <c r="J1494" i="6"/>
  <c r="E1497" i="6"/>
  <c r="E1476" i="6"/>
  <c r="E1472" i="6"/>
  <c r="E1480" i="6"/>
  <c r="E1484" i="6"/>
  <c r="E1498" i="6"/>
  <c r="E1499" i="6"/>
  <c r="E1500" i="6"/>
  <c r="E1485" i="6"/>
  <c r="E1486" i="6"/>
  <c r="E1473" i="6"/>
  <c r="E1491" i="6"/>
  <c r="E1474" i="6"/>
  <c r="E1475" i="6"/>
  <c r="E1492" i="6"/>
  <c r="E1493" i="6"/>
  <c r="E1487" i="6"/>
  <c r="E1509" i="6"/>
  <c r="E1510" i="6"/>
  <c r="E1511" i="6"/>
  <c r="F1497" i="6"/>
  <c r="F1476" i="6"/>
  <c r="F1472" i="6"/>
  <c r="F1480" i="6"/>
  <c r="F1484" i="6"/>
  <c r="F1499" i="6"/>
  <c r="F1500" i="6"/>
  <c r="F1485" i="6"/>
  <c r="F1473" i="6"/>
  <c r="F1491" i="6"/>
  <c r="F1474" i="6"/>
  <c r="F1475" i="6"/>
  <c r="F1492" i="6"/>
  <c r="F1493" i="6"/>
  <c r="F1487" i="6"/>
  <c r="I1497" i="6"/>
  <c r="I1476" i="6"/>
  <c r="I1472" i="6"/>
  <c r="I1480" i="6"/>
  <c r="I1484" i="6"/>
  <c r="I1498" i="6"/>
  <c r="I1499" i="6"/>
  <c r="I1500" i="6"/>
  <c r="I1485" i="6"/>
  <c r="I1486" i="6"/>
  <c r="I1473" i="6"/>
  <c r="I1491" i="6"/>
  <c r="I1474" i="6"/>
  <c r="I1475" i="6"/>
  <c r="I1492" i="6"/>
  <c r="I1493" i="6"/>
  <c r="I1487" i="6"/>
  <c r="I1509" i="6"/>
  <c r="I1510" i="6"/>
  <c r="I1511" i="6"/>
  <c r="J1497" i="6"/>
  <c r="J1476" i="6"/>
  <c r="J1472" i="6"/>
  <c r="J1480" i="6"/>
  <c r="J1484" i="6"/>
  <c r="J1498" i="6"/>
  <c r="J1499" i="6"/>
  <c r="J1500" i="6"/>
  <c r="J1485" i="6"/>
  <c r="J1486" i="6"/>
  <c r="J1473" i="6"/>
  <c r="J1491" i="6"/>
  <c r="J1474" i="6"/>
  <c r="J1475" i="6"/>
  <c r="J1492" i="6"/>
  <c r="J1493" i="6"/>
  <c r="J1487" i="6"/>
  <c r="J1509" i="6"/>
  <c r="J1510" i="6"/>
  <c r="J1511" i="6"/>
  <c r="E1481" i="6"/>
  <c r="E1482" i="6"/>
  <c r="E1477" i="6"/>
  <c r="E1488" i="6"/>
  <c r="E1478" i="6"/>
  <c r="E1489" i="6"/>
  <c r="E1490" i="6"/>
  <c r="E1479" i="6"/>
  <c r="E1483" i="6"/>
  <c r="E1495" i="6"/>
  <c r="F1481" i="6"/>
  <c r="F1482" i="6"/>
  <c r="F1477" i="6"/>
  <c r="F1489" i="6"/>
  <c r="F1490" i="6"/>
  <c r="F1479" i="6"/>
  <c r="F1483" i="6"/>
  <c r="F1495" i="6"/>
  <c r="I1481" i="6"/>
  <c r="I1482" i="6"/>
  <c r="I1477" i="6"/>
  <c r="I1488" i="6"/>
  <c r="I1478" i="6"/>
  <c r="I1489" i="6"/>
  <c r="I1490" i="6"/>
  <c r="I1479" i="6"/>
  <c r="I1483" i="6"/>
  <c r="I1495" i="6"/>
  <c r="J1481" i="6"/>
  <c r="J1482" i="6"/>
  <c r="J1477" i="6"/>
  <c r="J1488" i="6"/>
  <c r="J1478" i="6"/>
  <c r="J1489" i="6"/>
  <c r="J1490" i="6"/>
  <c r="J1479" i="6"/>
  <c r="J1483" i="6"/>
  <c r="J1495" i="6"/>
  <c r="R1929" i="1" l="1"/>
  <c r="W5" i="16" s="1"/>
  <c r="Q1505" i="1"/>
  <c r="Q1503" i="1"/>
  <c r="Q1401" i="1"/>
  <c r="Q1400" i="1"/>
  <c r="Q1399" i="1"/>
  <c r="Q1397" i="1"/>
  <c r="Q1355" i="1"/>
  <c r="Q1349" i="1"/>
  <c r="Q1348" i="1"/>
  <c r="Q1347" i="1"/>
  <c r="Q1318" i="1"/>
  <c r="Q1228" i="1"/>
  <c r="Q1227" i="1"/>
  <c r="Q1226" i="1"/>
  <c r="Q1660" i="1"/>
  <c r="A1661" i="1"/>
  <c r="C1661" i="1"/>
  <c r="B1661" i="1" s="1"/>
  <c r="D1661" i="1"/>
  <c r="F1661" i="1"/>
  <c r="M1661" i="1"/>
  <c r="O1661" i="1"/>
  <c r="S1661" i="1"/>
  <c r="T1661" i="1"/>
  <c r="U1661" i="1"/>
  <c r="Y1661" i="1" s="1"/>
  <c r="V1661" i="1"/>
  <c r="W1661" i="1" s="1"/>
  <c r="Z1661" i="1"/>
  <c r="A1660" i="1"/>
  <c r="C1660" i="1"/>
  <c r="B1660" i="1" s="1"/>
  <c r="D1660" i="1"/>
  <c r="F1660" i="1"/>
  <c r="M1660" i="1"/>
  <c r="O1660" i="1"/>
  <c r="S1660" i="1"/>
  <c r="T1660" i="1"/>
  <c r="U1660" i="1"/>
  <c r="Y1660" i="1" s="1"/>
  <c r="V1660" i="1"/>
  <c r="W1660" i="1" s="1"/>
  <c r="Z1660" i="1"/>
  <c r="A1664" i="1"/>
  <c r="C1664" i="1"/>
  <c r="B1664" i="1" s="1"/>
  <c r="D1664" i="1"/>
  <c r="F1664" i="1"/>
  <c r="M1664" i="1"/>
  <c r="O1664" i="1"/>
  <c r="S1664" i="1"/>
  <c r="T1664" i="1"/>
  <c r="U1664" i="1"/>
  <c r="V1664" i="1"/>
  <c r="W1664" i="1" s="1"/>
  <c r="Z1664" i="1"/>
  <c r="X1660" i="1" l="1"/>
  <c r="X1661" i="1"/>
  <c r="X1664" i="1"/>
  <c r="Y1664" i="1"/>
  <c r="A1655" i="1"/>
  <c r="C1655" i="1"/>
  <c r="B1655" i="1" s="1"/>
  <c r="D1655" i="1"/>
  <c r="F1655" i="1"/>
  <c r="M1655" i="1"/>
  <c r="O1655" i="1"/>
  <c r="S1655" i="1"/>
  <c r="T1655" i="1"/>
  <c r="U1655" i="1"/>
  <c r="Y1655" i="1" s="1"/>
  <c r="V1655" i="1"/>
  <c r="W1655" i="1" s="1"/>
  <c r="Z1655" i="1"/>
  <c r="A1743" i="1"/>
  <c r="C1743" i="1"/>
  <c r="B1743" i="1" s="1"/>
  <c r="F1743" i="1"/>
  <c r="M1743" i="1"/>
  <c r="O1743" i="1"/>
  <c r="T1743" i="1"/>
  <c r="U1743" i="1"/>
  <c r="Y1743" i="1" s="1"/>
  <c r="V1743" i="1"/>
  <c r="W1743" i="1" s="1"/>
  <c r="Z1743" i="1"/>
  <c r="A1744" i="1"/>
  <c r="C1744" i="1"/>
  <c r="B1744" i="1" s="1"/>
  <c r="F1744" i="1"/>
  <c r="M1744" i="1"/>
  <c r="O1744" i="1"/>
  <c r="T1744" i="1"/>
  <c r="U1744" i="1"/>
  <c r="Y1744" i="1" s="1"/>
  <c r="V1744" i="1"/>
  <c r="W1744" i="1" s="1"/>
  <c r="Z1744" i="1"/>
  <c r="A1854" i="1"/>
  <c r="C1854" i="1"/>
  <c r="B1854" i="1" s="1"/>
  <c r="F1854" i="1"/>
  <c r="M1854" i="1"/>
  <c r="O1854" i="1"/>
  <c r="U1854" i="1"/>
  <c r="Y1854" i="1" s="1"/>
  <c r="V1854" i="1"/>
  <c r="W1854" i="1" s="1"/>
  <c r="Z1854" i="1"/>
  <c r="A1847" i="1"/>
  <c r="C1847" i="1"/>
  <c r="B1847" i="1" s="1"/>
  <c r="F1847" i="1"/>
  <c r="M1847" i="1"/>
  <c r="O1847" i="1"/>
  <c r="U1847" i="1"/>
  <c r="Y1847" i="1" s="1"/>
  <c r="V1847" i="1"/>
  <c r="W1847" i="1" s="1"/>
  <c r="Z1847" i="1"/>
  <c r="A1914" i="1"/>
  <c r="C1914" i="1"/>
  <c r="B1914" i="1" s="1"/>
  <c r="F1914" i="1"/>
  <c r="M1914" i="1"/>
  <c r="O1914" i="1"/>
  <c r="U1914" i="1"/>
  <c r="Y1914" i="1" s="1"/>
  <c r="V1914" i="1"/>
  <c r="W1914" i="1" s="1"/>
  <c r="Z1914" i="1"/>
  <c r="A1812" i="1"/>
  <c r="C1812" i="1"/>
  <c r="B1812" i="1" s="1"/>
  <c r="F1812" i="1"/>
  <c r="M1812" i="1"/>
  <c r="O1812" i="1"/>
  <c r="U1812" i="1"/>
  <c r="Y1812" i="1" s="1"/>
  <c r="V1812" i="1"/>
  <c r="W1812" i="1" s="1"/>
  <c r="Z1812" i="1"/>
  <c r="A1711" i="1"/>
  <c r="C1711" i="1"/>
  <c r="B1711" i="1" s="1"/>
  <c r="F1711" i="1"/>
  <c r="M1711" i="1"/>
  <c r="O1711" i="1"/>
  <c r="U1711" i="1"/>
  <c r="Y1711" i="1" s="1"/>
  <c r="V1711" i="1"/>
  <c r="W1711" i="1" s="1"/>
  <c r="Z1711" i="1"/>
  <c r="A1800" i="1"/>
  <c r="C1800" i="1"/>
  <c r="B1800" i="1" s="1"/>
  <c r="F1800" i="1"/>
  <c r="M1800" i="1"/>
  <c r="O1800" i="1"/>
  <c r="U1800" i="1"/>
  <c r="Y1800" i="1" s="1"/>
  <c r="V1800" i="1"/>
  <c r="W1800" i="1" s="1"/>
  <c r="Z1800" i="1"/>
  <c r="A1754" i="1"/>
  <c r="C1754" i="1"/>
  <c r="B1754" i="1" s="1"/>
  <c r="F1754" i="1"/>
  <c r="M1754" i="1"/>
  <c r="O1754" i="1"/>
  <c r="U1754" i="1"/>
  <c r="Y1754" i="1" s="1"/>
  <c r="V1754" i="1"/>
  <c r="W1754" i="1" s="1"/>
  <c r="Z1754" i="1"/>
  <c r="A1755" i="1"/>
  <c r="C1755" i="1"/>
  <c r="B1755" i="1" s="1"/>
  <c r="F1755" i="1"/>
  <c r="M1755" i="1"/>
  <c r="O1755" i="1"/>
  <c r="U1755" i="1"/>
  <c r="Y1755" i="1" s="1"/>
  <c r="V1755" i="1"/>
  <c r="W1755" i="1" s="1"/>
  <c r="Z1755" i="1"/>
  <c r="A1695" i="1"/>
  <c r="C1695" i="1"/>
  <c r="B1695" i="1" s="1"/>
  <c r="F1695" i="1"/>
  <c r="M1695" i="1"/>
  <c r="O1695" i="1"/>
  <c r="U1695" i="1"/>
  <c r="Y1695" i="1" s="1"/>
  <c r="V1695" i="1"/>
  <c r="W1695" i="1" s="1"/>
  <c r="Z1695" i="1"/>
  <c r="A1694" i="1"/>
  <c r="C1694" i="1"/>
  <c r="B1694" i="1" s="1"/>
  <c r="F1694" i="1"/>
  <c r="M1694" i="1"/>
  <c r="O1694" i="1"/>
  <c r="U1694" i="1"/>
  <c r="Y1694" i="1" s="1"/>
  <c r="V1694" i="1"/>
  <c r="W1694" i="1" s="1"/>
  <c r="Z1694" i="1"/>
  <c r="A1790" i="1"/>
  <c r="C1790" i="1"/>
  <c r="B1790" i="1" s="1"/>
  <c r="F1790" i="1"/>
  <c r="M1790" i="1"/>
  <c r="O1790" i="1"/>
  <c r="U1790" i="1"/>
  <c r="Y1790" i="1" s="1"/>
  <c r="V1790" i="1"/>
  <c r="W1790" i="1" s="1"/>
  <c r="Z1790" i="1"/>
  <c r="A1843" i="1"/>
  <c r="C1843" i="1"/>
  <c r="B1843" i="1" s="1"/>
  <c r="F1843" i="1"/>
  <c r="M1843" i="1"/>
  <c r="O1843" i="1"/>
  <c r="U1843" i="1"/>
  <c r="Y1843" i="1" s="1"/>
  <c r="V1843" i="1"/>
  <c r="W1843" i="1" s="1"/>
  <c r="Z1843" i="1"/>
  <c r="A1830" i="1"/>
  <c r="C1830" i="1"/>
  <c r="B1830" i="1" s="1"/>
  <c r="F1830" i="1"/>
  <c r="M1830" i="1"/>
  <c r="O1830" i="1"/>
  <c r="U1830" i="1"/>
  <c r="Y1830" i="1" s="1"/>
  <c r="V1830" i="1"/>
  <c r="W1830" i="1" s="1"/>
  <c r="Z1830" i="1"/>
  <c r="A1789" i="1"/>
  <c r="C1789" i="1"/>
  <c r="B1789" i="1" s="1"/>
  <c r="F1789" i="1"/>
  <c r="M1789" i="1"/>
  <c r="O1789" i="1"/>
  <c r="U1789" i="1"/>
  <c r="Y1789" i="1" s="1"/>
  <c r="V1789" i="1"/>
  <c r="W1789" i="1" s="1"/>
  <c r="Z1789" i="1"/>
  <c r="A1605" i="1"/>
  <c r="C1605" i="1"/>
  <c r="B1605" i="1" s="1"/>
  <c r="F1605" i="1"/>
  <c r="M1605" i="1"/>
  <c r="O1605" i="1"/>
  <c r="S1605" i="1"/>
  <c r="T1605" i="1"/>
  <c r="U1605" i="1"/>
  <c r="Y1605" i="1" s="1"/>
  <c r="V1605" i="1"/>
  <c r="W1605" i="1" s="1"/>
  <c r="Z1605" i="1"/>
  <c r="A1733" i="1"/>
  <c r="C1733" i="1"/>
  <c r="B1733" i="1" s="1"/>
  <c r="F1733" i="1"/>
  <c r="M1733" i="1"/>
  <c r="O1733" i="1"/>
  <c r="U1733" i="1"/>
  <c r="Y1733" i="1" s="1"/>
  <c r="V1733" i="1"/>
  <c r="W1733" i="1" s="1"/>
  <c r="Z1733" i="1"/>
  <c r="A1732" i="1"/>
  <c r="C1732" i="1"/>
  <c r="B1732" i="1" s="1"/>
  <c r="F1732" i="1"/>
  <c r="M1732" i="1"/>
  <c r="O1732" i="1"/>
  <c r="U1732" i="1"/>
  <c r="Y1732" i="1" s="1"/>
  <c r="V1732" i="1"/>
  <c r="W1732" i="1" s="1"/>
  <c r="Z1732" i="1"/>
  <c r="A1646" i="1"/>
  <c r="C1646" i="1"/>
  <c r="B1646" i="1" s="1"/>
  <c r="F1646" i="1"/>
  <c r="M1646" i="1"/>
  <c r="O1646" i="1"/>
  <c r="T1646" i="1"/>
  <c r="U1646" i="1"/>
  <c r="V1646" i="1"/>
  <c r="W1646" i="1" s="1"/>
  <c r="Z1646" i="1"/>
  <c r="A1645" i="1"/>
  <c r="C1645" i="1"/>
  <c r="B1645" i="1" s="1"/>
  <c r="F1645" i="1"/>
  <c r="M1645" i="1"/>
  <c r="O1645" i="1"/>
  <c r="T1645" i="1"/>
  <c r="U1645" i="1"/>
  <c r="Y1645" i="1" s="1"/>
  <c r="V1645" i="1"/>
  <c r="W1645" i="1" s="1"/>
  <c r="Z1645" i="1"/>
  <c r="A1584" i="1"/>
  <c r="C1584" i="1"/>
  <c r="B1584" i="1" s="1"/>
  <c r="D1584" i="1"/>
  <c r="F1584" i="1"/>
  <c r="M1584" i="1"/>
  <c r="O1584" i="1"/>
  <c r="S1584" i="1"/>
  <c r="T1584" i="1"/>
  <c r="U1584" i="1"/>
  <c r="V1584" i="1"/>
  <c r="W1584" i="1" s="1"/>
  <c r="Z1584" i="1"/>
  <c r="A1582" i="1"/>
  <c r="C1582" i="1"/>
  <c r="B1582" i="1" s="1"/>
  <c r="D1582" i="1"/>
  <c r="F1582" i="1"/>
  <c r="M1582" i="1"/>
  <c r="O1582" i="1"/>
  <c r="S1582" i="1"/>
  <c r="T1582" i="1"/>
  <c r="U1582" i="1"/>
  <c r="Y1582" i="1" s="1"/>
  <c r="V1582" i="1"/>
  <c r="W1582" i="1" s="1"/>
  <c r="Z1582" i="1"/>
  <c r="A1588" i="1"/>
  <c r="C1588" i="1"/>
  <c r="B1588" i="1" s="1"/>
  <c r="D1588" i="1"/>
  <c r="F1588" i="1"/>
  <c r="M1588" i="1"/>
  <c r="O1588" i="1"/>
  <c r="S1588" i="1"/>
  <c r="T1588" i="1"/>
  <c r="U1588" i="1"/>
  <c r="Y1588" i="1" s="1"/>
  <c r="V1588" i="1"/>
  <c r="W1588" i="1" s="1"/>
  <c r="Z1588" i="1"/>
  <c r="A1643" i="1"/>
  <c r="C1643" i="1"/>
  <c r="B1643" i="1" s="1"/>
  <c r="F1643" i="1"/>
  <c r="M1643" i="1"/>
  <c r="O1643" i="1"/>
  <c r="T1643" i="1"/>
  <c r="U1643" i="1"/>
  <c r="Y1643" i="1" s="1"/>
  <c r="V1643" i="1"/>
  <c r="W1643" i="1" s="1"/>
  <c r="Z1643" i="1"/>
  <c r="A1840" i="1"/>
  <c r="C1840" i="1"/>
  <c r="B1840" i="1" s="1"/>
  <c r="F1840" i="1"/>
  <c r="M1840" i="1"/>
  <c r="O1840" i="1"/>
  <c r="U1840" i="1"/>
  <c r="Y1840" i="1" s="1"/>
  <c r="V1840" i="1"/>
  <c r="W1840" i="1" s="1"/>
  <c r="Z1840" i="1"/>
  <c r="A1839" i="1"/>
  <c r="C1839" i="1"/>
  <c r="B1839" i="1" s="1"/>
  <c r="F1839" i="1"/>
  <c r="M1839" i="1"/>
  <c r="O1839" i="1"/>
  <c r="U1839" i="1"/>
  <c r="Y1839" i="1" s="1"/>
  <c r="V1839" i="1"/>
  <c r="W1839" i="1" s="1"/>
  <c r="Z1839" i="1"/>
  <c r="A1738" i="1"/>
  <c r="C1738" i="1"/>
  <c r="B1738" i="1" s="1"/>
  <c r="F1738" i="1"/>
  <c r="M1738" i="1"/>
  <c r="O1738" i="1"/>
  <c r="U1738" i="1"/>
  <c r="Y1738" i="1" s="1"/>
  <c r="V1738" i="1"/>
  <c r="W1738" i="1" s="1"/>
  <c r="Z1738" i="1"/>
  <c r="A1576" i="1"/>
  <c r="C1576" i="1"/>
  <c r="B1576" i="1" s="1"/>
  <c r="D1576" i="1"/>
  <c r="F1576" i="1"/>
  <c r="M1576" i="1"/>
  <c r="O1576" i="1"/>
  <c r="S1576" i="1"/>
  <c r="T1576" i="1"/>
  <c r="U1576" i="1"/>
  <c r="Y1576" i="1" s="1"/>
  <c r="V1576" i="1"/>
  <c r="W1576" i="1" s="1"/>
  <c r="Z1576" i="1"/>
  <c r="A1636" i="1"/>
  <c r="C1636" i="1"/>
  <c r="B1636" i="1" s="1"/>
  <c r="F1636" i="1"/>
  <c r="O1636" i="1"/>
  <c r="U1636" i="1"/>
  <c r="Y1636" i="1" s="1"/>
  <c r="V1636" i="1"/>
  <c r="W1636" i="1" s="1"/>
  <c r="Z1636" i="1"/>
  <c r="A1620" i="1"/>
  <c r="C1620" i="1"/>
  <c r="B1620" i="1" s="1"/>
  <c r="D1620" i="1"/>
  <c r="F1620" i="1"/>
  <c r="M1620" i="1"/>
  <c r="O1620" i="1"/>
  <c r="S1620" i="1"/>
  <c r="T1620" i="1"/>
  <c r="U1620" i="1"/>
  <c r="Y1620" i="1" s="1"/>
  <c r="V1620" i="1"/>
  <c r="W1620" i="1" s="1"/>
  <c r="Z1620" i="1"/>
  <c r="A1571" i="1"/>
  <c r="C1571" i="1"/>
  <c r="B1571" i="1" s="1"/>
  <c r="D1571" i="1"/>
  <c r="F1571" i="1"/>
  <c r="M1571" i="1"/>
  <c r="O1571" i="1"/>
  <c r="S1571" i="1"/>
  <c r="T1571" i="1"/>
  <c r="U1571" i="1"/>
  <c r="V1571" i="1"/>
  <c r="W1571" i="1" s="1"/>
  <c r="Z1571" i="1"/>
  <c r="A1761" i="1"/>
  <c r="C1761" i="1"/>
  <c r="B1761" i="1" s="1"/>
  <c r="F1761" i="1"/>
  <c r="M1761" i="1"/>
  <c r="O1761" i="1"/>
  <c r="U1761" i="1"/>
  <c r="Y1761" i="1" s="1"/>
  <c r="V1761" i="1"/>
  <c r="W1761" i="1" s="1"/>
  <c r="Z1761" i="1"/>
  <c r="A1760" i="1"/>
  <c r="C1760" i="1"/>
  <c r="B1760" i="1" s="1"/>
  <c r="F1760" i="1"/>
  <c r="M1760" i="1"/>
  <c r="O1760" i="1"/>
  <c r="U1760" i="1"/>
  <c r="Y1760" i="1" s="1"/>
  <c r="V1760" i="1"/>
  <c r="W1760" i="1" s="1"/>
  <c r="Z1760" i="1"/>
  <c r="A1627" i="1"/>
  <c r="C1627" i="1"/>
  <c r="B1627" i="1" s="1"/>
  <c r="D1627" i="1"/>
  <c r="F1627" i="1"/>
  <c r="M1627" i="1"/>
  <c r="O1627" i="1"/>
  <c r="S1627" i="1"/>
  <c r="T1627" i="1"/>
  <c r="U1627" i="1"/>
  <c r="Y1627" i="1" s="1"/>
  <c r="V1627" i="1"/>
  <c r="W1627" i="1" s="1"/>
  <c r="Z1627" i="1"/>
  <c r="A1759" i="1"/>
  <c r="C1759" i="1"/>
  <c r="B1759" i="1" s="1"/>
  <c r="F1759" i="1"/>
  <c r="M1759" i="1"/>
  <c r="O1759" i="1"/>
  <c r="U1759" i="1"/>
  <c r="V1759" i="1"/>
  <c r="W1759" i="1" s="1"/>
  <c r="Z1759" i="1"/>
  <c r="A1648" i="1"/>
  <c r="C1648" i="1"/>
  <c r="B1648" i="1" s="1"/>
  <c r="F1648" i="1"/>
  <c r="M1648" i="1"/>
  <c r="O1648" i="1"/>
  <c r="U1648" i="1"/>
  <c r="V1648" i="1"/>
  <c r="W1648" i="1" s="1"/>
  <c r="Z1648" i="1"/>
  <c r="A1647" i="1"/>
  <c r="C1647" i="1"/>
  <c r="B1647" i="1" s="1"/>
  <c r="F1647" i="1"/>
  <c r="M1647" i="1"/>
  <c r="O1647" i="1"/>
  <c r="U1647" i="1"/>
  <c r="Y1647" i="1" s="1"/>
  <c r="V1647" i="1"/>
  <c r="W1647" i="1" s="1"/>
  <c r="Z1647" i="1"/>
  <c r="A1644" i="1"/>
  <c r="C1644" i="1"/>
  <c r="B1644" i="1" s="1"/>
  <c r="F1644" i="1"/>
  <c r="M1644" i="1"/>
  <c r="O1644" i="1"/>
  <c r="U1644" i="1"/>
  <c r="Y1644" i="1" s="1"/>
  <c r="V1644" i="1"/>
  <c r="W1644" i="1" s="1"/>
  <c r="Z1644" i="1"/>
  <c r="A1642" i="1"/>
  <c r="C1642" i="1"/>
  <c r="B1642" i="1" s="1"/>
  <c r="F1642" i="1"/>
  <c r="M1642" i="1"/>
  <c r="O1642" i="1"/>
  <c r="T1642" i="1"/>
  <c r="U1642" i="1"/>
  <c r="Y1642" i="1" s="1"/>
  <c r="V1642" i="1"/>
  <c r="W1642" i="1" s="1"/>
  <c r="Z1642" i="1"/>
  <c r="K1527" i="1"/>
  <c r="A1670" i="1"/>
  <c r="C1670" i="1"/>
  <c r="B1670" i="1" s="1"/>
  <c r="F1670" i="1"/>
  <c r="M1670" i="1"/>
  <c r="O1670" i="1"/>
  <c r="U1670" i="1"/>
  <c r="Y1670" i="1" s="1"/>
  <c r="V1670" i="1"/>
  <c r="W1670" i="1" s="1"/>
  <c r="Z1670" i="1"/>
  <c r="A1669" i="1"/>
  <c r="C1669" i="1"/>
  <c r="B1669" i="1" s="1"/>
  <c r="F1669" i="1"/>
  <c r="M1669" i="1"/>
  <c r="O1669" i="1"/>
  <c r="U1669" i="1"/>
  <c r="Y1669" i="1" s="1"/>
  <c r="V1669" i="1"/>
  <c r="W1669" i="1" s="1"/>
  <c r="Z1669" i="1"/>
  <c r="A1592" i="1"/>
  <c r="C1592" i="1"/>
  <c r="B1592" i="1" s="1"/>
  <c r="F1592" i="1"/>
  <c r="M1592" i="1"/>
  <c r="O1592" i="1"/>
  <c r="U1592" i="1"/>
  <c r="Y1592" i="1" s="1"/>
  <c r="V1592" i="1"/>
  <c r="W1592" i="1" s="1"/>
  <c r="Z1592" i="1"/>
  <c r="A1705" i="1"/>
  <c r="C1705" i="1"/>
  <c r="B1705" i="1" s="1"/>
  <c r="F1705" i="1"/>
  <c r="M1705" i="1"/>
  <c r="O1705" i="1"/>
  <c r="U1705" i="1"/>
  <c r="Y1705" i="1" s="1"/>
  <c r="V1705" i="1"/>
  <c r="W1705" i="1" s="1"/>
  <c r="Z1705" i="1"/>
  <c r="A1706" i="1"/>
  <c r="C1706" i="1"/>
  <c r="B1706" i="1" s="1"/>
  <c r="F1706" i="1"/>
  <c r="M1706" i="1"/>
  <c r="O1706" i="1"/>
  <c r="U1706" i="1"/>
  <c r="Y1706" i="1" s="1"/>
  <c r="V1706" i="1"/>
  <c r="W1706" i="1" s="1"/>
  <c r="Z1706" i="1"/>
  <c r="A1693" i="1"/>
  <c r="C1693" i="1"/>
  <c r="B1693" i="1" s="1"/>
  <c r="F1693" i="1"/>
  <c r="M1693" i="1"/>
  <c r="O1693" i="1"/>
  <c r="U1693" i="1"/>
  <c r="Y1693" i="1" s="1"/>
  <c r="V1693" i="1"/>
  <c r="W1693" i="1" s="1"/>
  <c r="Z1693" i="1"/>
  <c r="A1710" i="1"/>
  <c r="C1710" i="1"/>
  <c r="B1710" i="1" s="1"/>
  <c r="F1710" i="1"/>
  <c r="M1710" i="1"/>
  <c r="O1710" i="1"/>
  <c r="U1710" i="1"/>
  <c r="Y1710" i="1" s="1"/>
  <c r="V1710" i="1"/>
  <c r="W1710" i="1" s="1"/>
  <c r="Z1710" i="1"/>
  <c r="A1709" i="1"/>
  <c r="C1709" i="1"/>
  <c r="B1709" i="1" s="1"/>
  <c r="F1709" i="1"/>
  <c r="M1709" i="1"/>
  <c r="O1709" i="1"/>
  <c r="U1709" i="1"/>
  <c r="Y1709" i="1" s="1"/>
  <c r="V1709" i="1"/>
  <c r="W1709" i="1" s="1"/>
  <c r="Z1709" i="1"/>
  <c r="A1708" i="1"/>
  <c r="C1708" i="1"/>
  <c r="B1708" i="1" s="1"/>
  <c r="F1708" i="1"/>
  <c r="M1708" i="1"/>
  <c r="O1708" i="1"/>
  <c r="U1708" i="1"/>
  <c r="Y1708" i="1" s="1"/>
  <c r="V1708" i="1"/>
  <c r="W1708" i="1" s="1"/>
  <c r="Z1708" i="1"/>
  <c r="A1697" i="1"/>
  <c r="C1697" i="1"/>
  <c r="B1697" i="1" s="1"/>
  <c r="F1697" i="1"/>
  <c r="M1697" i="1"/>
  <c r="O1697" i="1"/>
  <c r="U1697" i="1"/>
  <c r="Y1697" i="1" s="1"/>
  <c r="V1697" i="1"/>
  <c r="W1697" i="1" s="1"/>
  <c r="Z1697" i="1"/>
  <c r="A1742" i="1"/>
  <c r="C1742" i="1"/>
  <c r="B1742" i="1" s="1"/>
  <c r="F1742" i="1"/>
  <c r="M1742" i="1"/>
  <c r="O1742" i="1"/>
  <c r="U1742" i="1"/>
  <c r="Y1742" i="1" s="1"/>
  <c r="V1742" i="1"/>
  <c r="W1742" i="1" s="1"/>
  <c r="Z1742" i="1"/>
  <c r="A1846" i="1"/>
  <c r="C1846" i="1"/>
  <c r="B1846" i="1" s="1"/>
  <c r="F1846" i="1"/>
  <c r="M1846" i="1"/>
  <c r="O1846" i="1"/>
  <c r="U1846" i="1"/>
  <c r="Y1846" i="1" s="1"/>
  <c r="V1846" i="1"/>
  <c r="W1846" i="1" s="1"/>
  <c r="Z1846" i="1"/>
  <c r="A1683" i="1"/>
  <c r="A1684" i="1"/>
  <c r="A1685" i="1"/>
  <c r="A1686" i="1"/>
  <c r="A1689" i="1"/>
  <c r="A1687" i="1"/>
  <c r="A1688" i="1"/>
  <c r="C1683" i="1"/>
  <c r="B1683" i="1" s="1"/>
  <c r="C1684" i="1"/>
  <c r="B1684" i="1" s="1"/>
  <c r="C1685" i="1"/>
  <c r="B1685" i="1" s="1"/>
  <c r="C1686" i="1"/>
  <c r="B1686" i="1" s="1"/>
  <c r="C1689" i="1"/>
  <c r="B1689" i="1" s="1"/>
  <c r="C1687" i="1"/>
  <c r="B1687" i="1" s="1"/>
  <c r="C1688" i="1"/>
  <c r="B1688" i="1" s="1"/>
  <c r="F1683" i="1"/>
  <c r="F1684" i="1"/>
  <c r="F1685" i="1"/>
  <c r="F1686" i="1"/>
  <c r="F1689" i="1"/>
  <c r="F1687" i="1"/>
  <c r="F1688" i="1"/>
  <c r="M1683" i="1"/>
  <c r="M1684" i="1"/>
  <c r="M1685" i="1"/>
  <c r="M1686" i="1"/>
  <c r="M1689" i="1"/>
  <c r="M1687" i="1"/>
  <c r="M1688" i="1"/>
  <c r="O1683" i="1"/>
  <c r="O1684" i="1"/>
  <c r="O1685" i="1"/>
  <c r="O1686" i="1"/>
  <c r="O1689" i="1"/>
  <c r="O1687" i="1"/>
  <c r="O1688" i="1"/>
  <c r="T1683" i="1"/>
  <c r="T1684" i="1"/>
  <c r="T1685" i="1"/>
  <c r="U1683" i="1"/>
  <c r="Y1683" i="1" s="1"/>
  <c r="U1684" i="1"/>
  <c r="Y1684" i="1" s="1"/>
  <c r="U1685" i="1"/>
  <c r="Y1685" i="1" s="1"/>
  <c r="U1686" i="1"/>
  <c r="Y1686" i="1" s="1"/>
  <c r="U1689" i="1"/>
  <c r="Y1689" i="1" s="1"/>
  <c r="U1687" i="1"/>
  <c r="Y1687" i="1" s="1"/>
  <c r="U1688" i="1"/>
  <c r="V1683" i="1"/>
  <c r="W1683" i="1" s="1"/>
  <c r="V1684" i="1"/>
  <c r="W1684" i="1" s="1"/>
  <c r="V1685" i="1"/>
  <c r="W1685" i="1" s="1"/>
  <c r="V1686" i="1"/>
  <c r="W1686" i="1" s="1"/>
  <c r="V1689" i="1"/>
  <c r="W1689" i="1" s="1"/>
  <c r="V1687" i="1"/>
  <c r="W1687" i="1" s="1"/>
  <c r="V1688" i="1"/>
  <c r="W1688" i="1" s="1"/>
  <c r="Z1683" i="1"/>
  <c r="Z1684" i="1"/>
  <c r="Z1685" i="1"/>
  <c r="Z1686" i="1"/>
  <c r="Z1689" i="1"/>
  <c r="Z1687" i="1"/>
  <c r="Z1688" i="1"/>
  <c r="I120" i="104"/>
  <c r="A120" i="104"/>
  <c r="B120" i="104"/>
  <c r="C120" i="104"/>
  <c r="I119" i="104"/>
  <c r="A119" i="104"/>
  <c r="B119" i="104"/>
  <c r="C119" i="104"/>
  <c r="I118" i="104"/>
  <c r="A118" i="104"/>
  <c r="B118" i="104"/>
  <c r="C118" i="104"/>
  <c r="I117" i="104"/>
  <c r="I116" i="104"/>
  <c r="A117" i="104"/>
  <c r="B117" i="104"/>
  <c r="C117" i="104"/>
  <c r="A116" i="104"/>
  <c r="B116" i="104"/>
  <c r="C116" i="104"/>
  <c r="I115" i="104"/>
  <c r="A115" i="104"/>
  <c r="B115" i="104"/>
  <c r="C115" i="104"/>
  <c r="I114" i="104"/>
  <c r="A114" i="104"/>
  <c r="B114" i="104"/>
  <c r="C114" i="104"/>
  <c r="R1660" i="1" l="1"/>
  <c r="T1755" i="1"/>
  <c r="T1830" i="1"/>
  <c r="T1711" i="1"/>
  <c r="T1686" i="1"/>
  <c r="T1789" i="1"/>
  <c r="T1812" i="1"/>
  <c r="P1664" i="1"/>
  <c r="Q1664" i="1" s="1"/>
  <c r="P1661" i="1"/>
  <c r="T1687" i="1"/>
  <c r="X1655" i="1"/>
  <c r="T1689" i="1"/>
  <c r="X1743" i="1"/>
  <c r="T1754" i="1"/>
  <c r="X1847" i="1"/>
  <c r="X1854" i="1"/>
  <c r="T1694" i="1"/>
  <c r="X1812" i="1"/>
  <c r="X1744" i="1"/>
  <c r="T1790" i="1"/>
  <c r="T1800" i="1"/>
  <c r="T1847" i="1"/>
  <c r="T1914" i="1"/>
  <c r="T1854" i="1"/>
  <c r="X1800" i="1"/>
  <c r="T1695" i="1"/>
  <c r="X1914" i="1"/>
  <c r="T1733" i="1"/>
  <c r="X1755" i="1"/>
  <c r="X1711" i="1"/>
  <c r="X1754" i="1"/>
  <c r="X1695" i="1"/>
  <c r="X1694" i="1"/>
  <c r="T1732" i="1"/>
  <c r="X1733" i="1"/>
  <c r="X1789" i="1"/>
  <c r="X1790" i="1"/>
  <c r="X1843" i="1"/>
  <c r="X1605" i="1"/>
  <c r="T1738" i="1"/>
  <c r="T1759" i="1"/>
  <c r="T1761" i="1"/>
  <c r="T1843" i="1"/>
  <c r="X1830" i="1"/>
  <c r="X1576" i="1"/>
  <c r="T1839" i="1"/>
  <c r="X1738" i="1"/>
  <c r="T1840" i="1"/>
  <c r="X1732" i="1"/>
  <c r="X1646" i="1"/>
  <c r="X1588" i="1"/>
  <c r="Y1646" i="1"/>
  <c r="X1840" i="1"/>
  <c r="X1584" i="1"/>
  <c r="Y1584" i="1"/>
  <c r="T1670" i="1"/>
  <c r="T1760" i="1"/>
  <c r="X1645" i="1"/>
  <c r="X1627" i="1"/>
  <c r="X1571" i="1"/>
  <c r="T1647" i="1"/>
  <c r="X1839" i="1"/>
  <c r="X1760" i="1"/>
  <c r="X1761" i="1"/>
  <c r="Y1571" i="1"/>
  <c r="X1620" i="1"/>
  <c r="X1643" i="1"/>
  <c r="X1582" i="1"/>
  <c r="X1636" i="1"/>
  <c r="T1636" i="1"/>
  <c r="P1760" i="1"/>
  <c r="X1647" i="1"/>
  <c r="X1759" i="1"/>
  <c r="T1648" i="1"/>
  <c r="T1592" i="1"/>
  <c r="X1648" i="1"/>
  <c r="Y1759" i="1"/>
  <c r="Y1648" i="1"/>
  <c r="T1644" i="1"/>
  <c r="T1669" i="1"/>
  <c r="T1688" i="1"/>
  <c r="X1644" i="1"/>
  <c r="X1642" i="1"/>
  <c r="T1709" i="1"/>
  <c r="X1670" i="1"/>
  <c r="X1708" i="1"/>
  <c r="P1708" i="1" s="1"/>
  <c r="X1592" i="1"/>
  <c r="X1689" i="1"/>
  <c r="X1669" i="1"/>
  <c r="P1669" i="1" s="1"/>
  <c r="X1705" i="1"/>
  <c r="X1742" i="1"/>
  <c r="T1708" i="1"/>
  <c r="T1706" i="1"/>
  <c r="X1706" i="1"/>
  <c r="T1705" i="1"/>
  <c r="X1684" i="1"/>
  <c r="X1710" i="1"/>
  <c r="X1693" i="1"/>
  <c r="T1693" i="1"/>
  <c r="X1697" i="1"/>
  <c r="X1709" i="1"/>
  <c r="T1710" i="1"/>
  <c r="T1697" i="1"/>
  <c r="X1687" i="1"/>
  <c r="T1742" i="1"/>
  <c r="X1683" i="1"/>
  <c r="X1846" i="1"/>
  <c r="X1688" i="1"/>
  <c r="X1685" i="1"/>
  <c r="T1846" i="1"/>
  <c r="X1686" i="1"/>
  <c r="Y1688" i="1"/>
  <c r="P1789" i="1" l="1"/>
  <c r="Q1789" i="1" s="1"/>
  <c r="P1582" i="1"/>
  <c r="P1830" i="1"/>
  <c r="P1683" i="1"/>
  <c r="P1693" i="1"/>
  <c r="P1706" i="1"/>
  <c r="P1742" i="1"/>
  <c r="P1592" i="1"/>
  <c r="P1642" i="1"/>
  <c r="Q1760" i="1"/>
  <c r="P1643" i="1"/>
  <c r="P1627" i="1"/>
  <c r="P1588" i="1"/>
  <c r="P1738" i="1"/>
  <c r="P1605" i="1"/>
  <c r="P1733" i="1"/>
  <c r="P1754" i="1"/>
  <c r="P1914" i="1"/>
  <c r="P1744" i="1"/>
  <c r="P1847" i="1"/>
  <c r="P1655" i="1"/>
  <c r="P1846" i="1"/>
  <c r="P1689" i="1"/>
  <c r="P1647" i="1"/>
  <c r="P1761" i="1"/>
  <c r="P1695" i="1"/>
  <c r="P1854" i="1"/>
  <c r="P1685" i="1"/>
  <c r="P1709" i="1"/>
  <c r="P1710" i="1"/>
  <c r="Q1708" i="1"/>
  <c r="P1705" i="1"/>
  <c r="P1644" i="1"/>
  <c r="P1620" i="1"/>
  <c r="P1839" i="1"/>
  <c r="P1645" i="1"/>
  <c r="P1843" i="1"/>
  <c r="P1711" i="1"/>
  <c r="P1812" i="1"/>
  <c r="P1686" i="1"/>
  <c r="R1664" i="1"/>
  <c r="P1687" i="1"/>
  <c r="P1697" i="1"/>
  <c r="P1684" i="1"/>
  <c r="Q1669" i="1"/>
  <c r="P1670" i="1"/>
  <c r="P1636" i="1"/>
  <c r="P1840" i="1"/>
  <c r="R1732" i="1"/>
  <c r="P1576" i="1"/>
  <c r="P1790" i="1"/>
  <c r="P1694" i="1"/>
  <c r="P1755" i="1"/>
  <c r="P1800" i="1"/>
  <c r="P1743" i="1"/>
  <c r="Q1661" i="1"/>
  <c r="D1881" i="1"/>
  <c r="D1983" i="1"/>
  <c r="D1982" i="1"/>
  <c r="D1921" i="1"/>
  <c r="D1920" i="1"/>
  <c r="D1922" i="1"/>
  <c r="D1941" i="1"/>
  <c r="D1981" i="1"/>
  <c r="D1813" i="1"/>
  <c r="D1867" i="1"/>
  <c r="D1873" i="1"/>
  <c r="D1874" i="1"/>
  <c r="D1807" i="1"/>
  <c r="D1808" i="1"/>
  <c r="D1761" i="1"/>
  <c r="D1932" i="1"/>
  <c r="D1855" i="1"/>
  <c r="D1856" i="1"/>
  <c r="D1812" i="1"/>
  <c r="D1866" i="1"/>
  <c r="D1810" i="1"/>
  <c r="D1760" i="1"/>
  <c r="D1653" i="1"/>
  <c r="D1744" i="1"/>
  <c r="D1743" i="1"/>
  <c r="P1646" i="1"/>
  <c r="D1733" i="1"/>
  <c r="D1605" i="1"/>
  <c r="P1571" i="1"/>
  <c r="P1584" i="1"/>
  <c r="P1648" i="1"/>
  <c r="P1759" i="1"/>
  <c r="P1688" i="1"/>
  <c r="R1669" i="1" l="1"/>
  <c r="Q1697" i="1"/>
  <c r="Q1688" i="1"/>
  <c r="Q1571" i="1"/>
  <c r="Q1759" i="1"/>
  <c r="Q1648" i="1"/>
  <c r="R1661" i="1"/>
  <c r="Q1800" i="1"/>
  <c r="Q1694" i="1"/>
  <c r="Q1576" i="1"/>
  <c r="Q1840" i="1"/>
  <c r="Q1812" i="1"/>
  <c r="Q1843" i="1"/>
  <c r="Q1645" i="1"/>
  <c r="Q1620" i="1"/>
  <c r="Q1705" i="1"/>
  <c r="Q1710" i="1"/>
  <c r="Q1685" i="1"/>
  <c r="Q1695" i="1"/>
  <c r="Q1647" i="1"/>
  <c r="Q1846" i="1"/>
  <c r="Q1847" i="1"/>
  <c r="Q1914" i="1"/>
  <c r="Q1733" i="1"/>
  <c r="Q1738" i="1"/>
  <c r="Q1627" i="1"/>
  <c r="R1760" i="1"/>
  <c r="D1737" i="1" s="1"/>
  <c r="Q1592" i="1"/>
  <c r="Q1706" i="1"/>
  <c r="Q1683" i="1"/>
  <c r="Q1582" i="1"/>
  <c r="Q1584" i="1"/>
  <c r="Q1646" i="1"/>
  <c r="Q1670" i="1"/>
  <c r="Q1684" i="1"/>
  <c r="Q1687" i="1"/>
  <c r="Q1743" i="1"/>
  <c r="Q1755" i="1"/>
  <c r="Q1790" i="1"/>
  <c r="Q1636" i="1"/>
  <c r="Q1686" i="1"/>
  <c r="Q1711" i="1"/>
  <c r="Q1839" i="1"/>
  <c r="Q1644" i="1"/>
  <c r="R1708" i="1"/>
  <c r="Q1709" i="1"/>
  <c r="Q1854" i="1"/>
  <c r="Q1761" i="1"/>
  <c r="Q1689" i="1"/>
  <c r="Q1655" i="1"/>
  <c r="Q1744" i="1"/>
  <c r="Q1754" i="1"/>
  <c r="Q1605" i="1"/>
  <c r="Q1588" i="1"/>
  <c r="Q1643" i="1"/>
  <c r="Q1642" i="1"/>
  <c r="Q1742" i="1"/>
  <c r="Q1693" i="1"/>
  <c r="Q1830" i="1"/>
  <c r="R1789" i="1"/>
  <c r="I143" i="104"/>
  <c r="A1845" i="1"/>
  <c r="C1845" i="1"/>
  <c r="B1845" i="1" s="1"/>
  <c r="F1845" i="1"/>
  <c r="M1845" i="1"/>
  <c r="O1845" i="1"/>
  <c r="U1845" i="1"/>
  <c r="Y1845" i="1" s="1"/>
  <c r="V1845" i="1"/>
  <c r="W1845" i="1" s="1"/>
  <c r="Z1845" i="1"/>
  <c r="A143" i="104"/>
  <c r="B143" i="104"/>
  <c r="C143" i="104"/>
  <c r="R1830" i="1" l="1"/>
  <c r="R1742" i="1"/>
  <c r="R1643" i="1"/>
  <c r="R1605" i="1"/>
  <c r="R1744" i="1"/>
  <c r="R1689" i="1"/>
  <c r="D1689" i="1" s="1"/>
  <c r="R1854" i="1"/>
  <c r="R1839" i="1"/>
  <c r="R1686" i="1"/>
  <c r="R1790" i="1"/>
  <c r="D1969" i="1" s="1"/>
  <c r="R1743" i="1"/>
  <c r="R1684" i="1"/>
  <c r="R1646" i="1"/>
  <c r="R1582" i="1"/>
  <c r="R1706" i="1"/>
  <c r="R1693" i="1"/>
  <c r="R1642" i="1"/>
  <c r="R1588" i="1"/>
  <c r="R1754" i="1"/>
  <c r="R1655" i="1"/>
  <c r="R1761" i="1"/>
  <c r="R1709" i="1"/>
  <c r="R1644" i="1"/>
  <c r="R1711" i="1"/>
  <c r="R1636" i="1"/>
  <c r="D1636" i="1" s="1"/>
  <c r="R1755" i="1"/>
  <c r="R1687" i="1"/>
  <c r="R1670" i="1"/>
  <c r="R1584" i="1"/>
  <c r="R1683" i="1"/>
  <c r="R1592" i="1"/>
  <c r="D1592" i="1" s="1"/>
  <c r="R1627" i="1"/>
  <c r="R1733" i="1"/>
  <c r="R1847" i="1"/>
  <c r="R1647" i="1"/>
  <c r="R1685" i="1"/>
  <c r="R1705" i="1"/>
  <c r="R1645" i="1"/>
  <c r="R1812" i="1"/>
  <c r="R1576" i="1"/>
  <c r="R1800" i="1"/>
  <c r="D1800" i="1" s="1"/>
  <c r="R1648" i="1"/>
  <c r="R1571" i="1"/>
  <c r="R1697" i="1"/>
  <c r="D1697" i="1" s="1"/>
  <c r="R1738" i="1"/>
  <c r="R1914" i="1"/>
  <c r="D2031" i="1" s="1"/>
  <c r="R1846" i="1"/>
  <c r="D2030" i="1" s="1"/>
  <c r="R1695" i="1"/>
  <c r="R1710" i="1"/>
  <c r="R1620" i="1"/>
  <c r="R1843" i="1"/>
  <c r="D1843" i="1" s="1"/>
  <c r="R1840" i="1"/>
  <c r="R1694" i="1"/>
  <c r="R1759" i="1"/>
  <c r="R1688" i="1"/>
  <c r="X1845" i="1"/>
  <c r="T1845" i="1"/>
  <c r="P1845" i="1" l="1"/>
  <c r="A1720" i="1"/>
  <c r="C1720" i="1"/>
  <c r="B1720" i="1" s="1"/>
  <c r="F1720" i="1"/>
  <c r="M1720" i="1"/>
  <c r="O1720" i="1"/>
  <c r="T1720" i="1"/>
  <c r="U1720" i="1"/>
  <c r="Y1720" i="1" s="1"/>
  <c r="V1720" i="1"/>
  <c r="W1720" i="1" s="1"/>
  <c r="Z1720" i="1"/>
  <c r="A1719" i="1"/>
  <c r="C1719" i="1"/>
  <c r="B1719" i="1" s="1"/>
  <c r="F1719" i="1"/>
  <c r="M1719" i="1"/>
  <c r="O1719" i="1"/>
  <c r="U1719" i="1"/>
  <c r="Y1719" i="1" s="1"/>
  <c r="V1719" i="1"/>
  <c r="W1719" i="1" s="1"/>
  <c r="Z1719" i="1"/>
  <c r="A1614" i="1"/>
  <c r="C1614" i="1"/>
  <c r="B1614" i="1" s="1"/>
  <c r="F1614" i="1"/>
  <c r="M1614" i="1"/>
  <c r="O1614" i="1"/>
  <c r="T1614" i="1"/>
  <c r="U1614" i="1"/>
  <c r="Y1614" i="1" s="1"/>
  <c r="V1614" i="1"/>
  <c r="W1614" i="1" s="1"/>
  <c r="Z1614" i="1"/>
  <c r="A1618" i="1"/>
  <c r="C1618" i="1"/>
  <c r="B1618" i="1" s="1"/>
  <c r="F1618" i="1"/>
  <c r="O1618" i="1"/>
  <c r="T1618" i="1"/>
  <c r="U1618" i="1"/>
  <c r="Y1618" i="1" s="1"/>
  <c r="V1618" i="1"/>
  <c r="W1618" i="1" s="1"/>
  <c r="Z1618" i="1"/>
  <c r="A1619" i="1"/>
  <c r="C1619" i="1"/>
  <c r="B1619" i="1" s="1"/>
  <c r="F1619" i="1"/>
  <c r="M1619" i="1"/>
  <c r="O1619" i="1"/>
  <c r="T1619" i="1"/>
  <c r="U1619" i="1"/>
  <c r="Y1619" i="1" s="1"/>
  <c r="V1619" i="1"/>
  <c r="W1619" i="1" s="1"/>
  <c r="Z1619" i="1"/>
  <c r="A1615" i="1"/>
  <c r="C1615" i="1"/>
  <c r="B1615" i="1" s="1"/>
  <c r="F1615" i="1"/>
  <c r="M1615" i="1"/>
  <c r="O1615" i="1"/>
  <c r="T1615" i="1"/>
  <c r="U1615" i="1"/>
  <c r="Y1615" i="1" s="1"/>
  <c r="V1615" i="1"/>
  <c r="W1615" i="1" s="1"/>
  <c r="Z1615" i="1"/>
  <c r="A1617" i="1"/>
  <c r="C1617" i="1"/>
  <c r="B1617" i="1" s="1"/>
  <c r="F1617" i="1"/>
  <c r="M1617" i="1"/>
  <c r="O1617" i="1"/>
  <c r="U1617" i="1"/>
  <c r="V1617" i="1"/>
  <c r="W1617" i="1" s="1"/>
  <c r="Z1617" i="1"/>
  <c r="A1616" i="1"/>
  <c r="C1616" i="1"/>
  <c r="B1616" i="1" s="1"/>
  <c r="F1616" i="1"/>
  <c r="M1616" i="1"/>
  <c r="O1616" i="1"/>
  <c r="U1616" i="1"/>
  <c r="Y1616" i="1" s="1"/>
  <c r="V1616" i="1"/>
  <c r="W1616" i="1" s="1"/>
  <c r="Z1616" i="1"/>
  <c r="A1613" i="1"/>
  <c r="C1613" i="1"/>
  <c r="B1613" i="1" s="1"/>
  <c r="F1613" i="1"/>
  <c r="M1613" i="1"/>
  <c r="O1613" i="1"/>
  <c r="T1613" i="1"/>
  <c r="U1613" i="1"/>
  <c r="V1613" i="1"/>
  <c r="W1613" i="1" s="1"/>
  <c r="Z1613" i="1"/>
  <c r="Q1845" i="1" l="1"/>
  <c r="X1720" i="1"/>
  <c r="X1719" i="1"/>
  <c r="T1719" i="1"/>
  <c r="X1614" i="1"/>
  <c r="X1615" i="1"/>
  <c r="X1618" i="1"/>
  <c r="X1619" i="1"/>
  <c r="T1616" i="1"/>
  <c r="T1617" i="1"/>
  <c r="X1616" i="1"/>
  <c r="X1617" i="1"/>
  <c r="Y1617" i="1"/>
  <c r="X1613" i="1"/>
  <c r="Y1613" i="1"/>
  <c r="A1727" i="1"/>
  <c r="C1727" i="1"/>
  <c r="B1727" i="1" s="1"/>
  <c r="F1727" i="1"/>
  <c r="M1727" i="1"/>
  <c r="O1727" i="1"/>
  <c r="U1727" i="1"/>
  <c r="Y1727" i="1" s="1"/>
  <c r="V1727" i="1"/>
  <c r="W1727" i="1" s="1"/>
  <c r="Z1727" i="1"/>
  <c r="A1726" i="1"/>
  <c r="C1726" i="1"/>
  <c r="B1726" i="1" s="1"/>
  <c r="F1726" i="1"/>
  <c r="M1726" i="1"/>
  <c r="O1726" i="1"/>
  <c r="U1726" i="1"/>
  <c r="Y1726" i="1" s="1"/>
  <c r="V1726" i="1"/>
  <c r="W1726" i="1" s="1"/>
  <c r="Z1726" i="1"/>
  <c r="P1615" i="1" l="1"/>
  <c r="P1720" i="1"/>
  <c r="P1614" i="1"/>
  <c r="P1619" i="1"/>
  <c r="R1845" i="1"/>
  <c r="D1845" i="1" s="1"/>
  <c r="P1616" i="1"/>
  <c r="P1618" i="1"/>
  <c r="P1719" i="1"/>
  <c r="D1719" i="1"/>
  <c r="D1720" i="1"/>
  <c r="P1617" i="1"/>
  <c r="D1616" i="1"/>
  <c r="D1617" i="1"/>
  <c r="P1613" i="1"/>
  <c r="T1727" i="1"/>
  <c r="X1727" i="1"/>
  <c r="T1726" i="1"/>
  <c r="X1726" i="1"/>
  <c r="P1726" i="1" s="1"/>
  <c r="Q1726" i="1" l="1"/>
  <c r="Q1613" i="1"/>
  <c r="Q1618" i="1"/>
  <c r="Q1619" i="1"/>
  <c r="Q1720" i="1"/>
  <c r="P1727" i="1"/>
  <c r="Q1617" i="1"/>
  <c r="Q1719" i="1"/>
  <c r="Q1616" i="1"/>
  <c r="Q1614" i="1"/>
  <c r="Q1615" i="1"/>
  <c r="A1586" i="1"/>
  <c r="C1586" i="1"/>
  <c r="B1586" i="1" s="1"/>
  <c r="F1586" i="1"/>
  <c r="M1586" i="1"/>
  <c r="O1586" i="1"/>
  <c r="S1586" i="1"/>
  <c r="T1586" i="1"/>
  <c r="U1586" i="1"/>
  <c r="Y1586" i="1" s="1"/>
  <c r="V1586" i="1"/>
  <c r="W1586" i="1" s="1"/>
  <c r="Z1586" i="1"/>
  <c r="A1587" i="1"/>
  <c r="C1587" i="1"/>
  <c r="B1587" i="1" s="1"/>
  <c r="F1587" i="1"/>
  <c r="M1587" i="1"/>
  <c r="O1587" i="1"/>
  <c r="S1587" i="1"/>
  <c r="T1587" i="1"/>
  <c r="U1587" i="1"/>
  <c r="V1587" i="1"/>
  <c r="W1587" i="1" s="1"/>
  <c r="Z1587" i="1"/>
  <c r="A1585" i="1"/>
  <c r="C1585" i="1"/>
  <c r="B1585" i="1" s="1"/>
  <c r="F1585" i="1"/>
  <c r="M1585" i="1"/>
  <c r="O1585" i="1"/>
  <c r="S1585" i="1"/>
  <c r="T1585" i="1"/>
  <c r="U1585" i="1"/>
  <c r="Y1585" i="1" s="1"/>
  <c r="V1585" i="1"/>
  <c r="W1585" i="1" s="1"/>
  <c r="Z1585" i="1"/>
  <c r="A1608" i="1"/>
  <c r="C1608" i="1"/>
  <c r="B1608" i="1" s="1"/>
  <c r="F1608" i="1"/>
  <c r="M1608" i="1"/>
  <c r="O1608" i="1"/>
  <c r="S1608" i="1"/>
  <c r="T1608" i="1"/>
  <c r="U1608" i="1"/>
  <c r="V1608" i="1"/>
  <c r="W1608" i="1" s="1"/>
  <c r="Z1608" i="1"/>
  <c r="R1614" i="1" l="1"/>
  <c r="D1614" i="1" s="1"/>
  <c r="R1719" i="1"/>
  <c r="Q1727" i="1"/>
  <c r="R1619" i="1"/>
  <c r="D1619" i="1" s="1"/>
  <c r="R1613" i="1"/>
  <c r="D1613" i="1" s="1"/>
  <c r="R1615" i="1"/>
  <c r="D1615" i="1" s="1"/>
  <c r="R1616" i="1"/>
  <c r="R1617" i="1"/>
  <c r="R1720" i="1"/>
  <c r="R1618" i="1"/>
  <c r="D1618" i="1" s="1"/>
  <c r="R1726" i="1"/>
  <c r="X1586" i="1"/>
  <c r="X1587" i="1"/>
  <c r="Y1587" i="1"/>
  <c r="X1585" i="1"/>
  <c r="X1608" i="1"/>
  <c r="Y1608" i="1"/>
  <c r="P1586" i="1" l="1"/>
  <c r="R1727" i="1"/>
  <c r="P1585" i="1"/>
  <c r="P1587" i="1"/>
  <c r="P1608" i="1"/>
  <c r="A1594" i="1"/>
  <c r="C1594" i="1"/>
  <c r="B1594" i="1" s="1"/>
  <c r="F1594" i="1"/>
  <c r="M1594" i="1"/>
  <c r="O1594" i="1"/>
  <c r="T1594" i="1"/>
  <c r="U1594" i="1"/>
  <c r="Y1594" i="1" s="1"/>
  <c r="V1594" i="1"/>
  <c r="W1594" i="1" s="1"/>
  <c r="Z1594" i="1"/>
  <c r="A1599" i="1"/>
  <c r="C1599" i="1"/>
  <c r="B1599" i="1" s="1"/>
  <c r="F1599" i="1"/>
  <c r="M1599" i="1"/>
  <c r="O1599" i="1"/>
  <c r="T1599" i="1"/>
  <c r="U1599" i="1"/>
  <c r="V1599" i="1"/>
  <c r="W1599" i="1" s="1"/>
  <c r="Z1599" i="1"/>
  <c r="Q1587" i="1" l="1"/>
  <c r="Q1585" i="1"/>
  <c r="Q1586" i="1"/>
  <c r="Q1608" i="1"/>
  <c r="X1594" i="1"/>
  <c r="X1599" i="1"/>
  <c r="Y1599" i="1"/>
  <c r="A1573" i="1"/>
  <c r="C1573" i="1"/>
  <c r="B1573" i="1" s="1"/>
  <c r="F1573" i="1"/>
  <c r="M1573" i="1"/>
  <c r="O1573" i="1"/>
  <c r="T1573" i="1"/>
  <c r="U1573" i="1"/>
  <c r="Y1573" i="1" s="1"/>
  <c r="V1573" i="1"/>
  <c r="W1573" i="1" s="1"/>
  <c r="Z1573" i="1"/>
  <c r="A1583" i="1"/>
  <c r="C1583" i="1"/>
  <c r="B1583" i="1" s="1"/>
  <c r="F1583" i="1"/>
  <c r="M1583" i="1"/>
  <c r="S1583" i="1"/>
  <c r="T1583" i="1"/>
  <c r="U1583" i="1"/>
  <c r="Y1583" i="1" s="1"/>
  <c r="V1583" i="1"/>
  <c r="W1583" i="1" s="1"/>
  <c r="Z1583" i="1"/>
  <c r="A1668" i="1"/>
  <c r="C1668" i="1"/>
  <c r="B1668" i="1" s="1"/>
  <c r="F1668" i="1"/>
  <c r="M1668" i="1"/>
  <c r="U1668" i="1"/>
  <c r="Y1668" i="1" s="1"/>
  <c r="V1668" i="1"/>
  <c r="W1668" i="1" s="1"/>
  <c r="Z1668" i="1"/>
  <c r="A1692" i="1"/>
  <c r="C1692" i="1"/>
  <c r="B1692" i="1" s="1"/>
  <c r="F1692" i="1"/>
  <c r="M1692" i="1"/>
  <c r="O1692" i="1"/>
  <c r="U1692" i="1"/>
  <c r="Y1692" i="1" s="1"/>
  <c r="V1692" i="1"/>
  <c r="W1692" i="1" s="1"/>
  <c r="Z1692" i="1"/>
  <c r="A1718" i="1"/>
  <c r="C1718" i="1"/>
  <c r="B1718" i="1" s="1"/>
  <c r="F1718" i="1"/>
  <c r="M1718" i="1"/>
  <c r="O1718" i="1"/>
  <c r="U1718" i="1"/>
  <c r="Y1718" i="1" s="1"/>
  <c r="V1718" i="1"/>
  <c r="W1718" i="1" s="1"/>
  <c r="Z1718" i="1"/>
  <c r="A1704" i="1"/>
  <c r="C1704" i="1"/>
  <c r="B1704" i="1" s="1"/>
  <c r="F1704" i="1"/>
  <c r="M1704" i="1"/>
  <c r="O1704" i="1"/>
  <c r="U1704" i="1"/>
  <c r="Y1704" i="1" s="1"/>
  <c r="V1704" i="1"/>
  <c r="W1704" i="1" s="1"/>
  <c r="Z1704" i="1"/>
  <c r="A1657" i="1"/>
  <c r="C1657" i="1"/>
  <c r="B1657" i="1" s="1"/>
  <c r="F1657" i="1"/>
  <c r="M1657" i="1"/>
  <c r="O1657" i="1"/>
  <c r="T1657" i="1"/>
  <c r="U1657" i="1"/>
  <c r="Y1657" i="1" s="1"/>
  <c r="V1657" i="1"/>
  <c r="W1657" i="1" s="1"/>
  <c r="Z1657" i="1"/>
  <c r="A1565" i="1"/>
  <c r="C1565" i="1"/>
  <c r="B1565" i="1" s="1"/>
  <c r="F1565" i="1"/>
  <c r="M1565" i="1"/>
  <c r="O1565" i="1"/>
  <c r="U1565" i="1"/>
  <c r="Y1565" i="1" s="1"/>
  <c r="V1565" i="1"/>
  <c r="W1565" i="1" s="1"/>
  <c r="Z1565" i="1"/>
  <c r="R1585" i="1" l="1"/>
  <c r="D1585" i="1" s="1"/>
  <c r="P1594" i="1"/>
  <c r="R1586" i="1"/>
  <c r="D1586" i="1" s="1"/>
  <c r="R1608" i="1"/>
  <c r="R1587" i="1"/>
  <c r="D1587" i="1" s="1"/>
  <c r="P1599" i="1"/>
  <c r="T1668" i="1"/>
  <c r="X1573" i="1"/>
  <c r="T1692" i="1"/>
  <c r="X1668" i="1"/>
  <c r="T1718" i="1"/>
  <c r="X1583" i="1"/>
  <c r="X1692" i="1"/>
  <c r="T1704" i="1"/>
  <c r="X1718" i="1"/>
  <c r="X1704" i="1"/>
  <c r="X1657" i="1"/>
  <c r="T1565" i="1"/>
  <c r="X1565" i="1"/>
  <c r="P1565" i="1" l="1"/>
  <c r="P1668" i="1"/>
  <c r="Q1599" i="1"/>
  <c r="P1704" i="1"/>
  <c r="P1583" i="1"/>
  <c r="P1573" i="1"/>
  <c r="Q1594" i="1"/>
  <c r="P1718" i="1"/>
  <c r="P1657" i="1"/>
  <c r="P1692" i="1"/>
  <c r="D1847" i="1"/>
  <c r="D1854" i="1"/>
  <c r="D1755" i="1"/>
  <c r="D1754" i="1"/>
  <c r="D1693" i="1"/>
  <c r="D1694" i="1"/>
  <c r="D1695" i="1"/>
  <c r="D1704" i="1"/>
  <c r="D1705" i="1"/>
  <c r="R28" i="16"/>
  <c r="R22" i="16"/>
  <c r="R20" i="16"/>
  <c r="Q1692" i="1" l="1"/>
  <c r="Q1718" i="1"/>
  <c r="Q1573" i="1"/>
  <c r="Q1704" i="1"/>
  <c r="Q1668" i="1"/>
  <c r="Q1657" i="1"/>
  <c r="R1594" i="1"/>
  <c r="D1594" i="1" s="1"/>
  <c r="Q1583" i="1"/>
  <c r="R1599" i="1"/>
  <c r="D1599" i="1" s="1"/>
  <c r="Q1565" i="1"/>
  <c r="A106" i="104"/>
  <c r="B106" i="104"/>
  <c r="C106" i="104"/>
  <c r="I106" i="104"/>
  <c r="S2329" i="157"/>
  <c r="T2329" i="157"/>
  <c r="U2329" i="157" s="1"/>
  <c r="V2329" i="157"/>
  <c r="A1574" i="1"/>
  <c r="C1574" i="1"/>
  <c r="B1574" i="1" s="1"/>
  <c r="F1574" i="1"/>
  <c r="O1574" i="1"/>
  <c r="S1574" i="1"/>
  <c r="U1574" i="1"/>
  <c r="Y1574" i="1" s="1"/>
  <c r="V1574" i="1"/>
  <c r="W1574" i="1" s="1"/>
  <c r="Z1574" i="1"/>
  <c r="A1535" i="1"/>
  <c r="A1536" i="1"/>
  <c r="A1537" i="1"/>
  <c r="A1538" i="1"/>
  <c r="A1539" i="1"/>
  <c r="C1535" i="1"/>
  <c r="B1535" i="1" s="1"/>
  <c r="C1536" i="1"/>
  <c r="T1536" i="1" s="1"/>
  <c r="C1537" i="1"/>
  <c r="B1537" i="1" s="1"/>
  <c r="C1538" i="1"/>
  <c r="B1538" i="1" s="1"/>
  <c r="C1539" i="1"/>
  <c r="B1539" i="1" s="1"/>
  <c r="F1535" i="1"/>
  <c r="F1536" i="1"/>
  <c r="F1537" i="1"/>
  <c r="F1538" i="1"/>
  <c r="F1539" i="1"/>
  <c r="M1535" i="1"/>
  <c r="M1536" i="1"/>
  <c r="M1537" i="1"/>
  <c r="M1538" i="1"/>
  <c r="M1539" i="1"/>
  <c r="O1535" i="1"/>
  <c r="O1536" i="1"/>
  <c r="O1537" i="1"/>
  <c r="O1538" i="1"/>
  <c r="O1539" i="1"/>
  <c r="S1535" i="1"/>
  <c r="T1535" i="1"/>
  <c r="T1537" i="1"/>
  <c r="T1538" i="1"/>
  <c r="T1539" i="1"/>
  <c r="U1535" i="1"/>
  <c r="Y1535" i="1" s="1"/>
  <c r="U1536" i="1"/>
  <c r="Y1536" i="1" s="1"/>
  <c r="U1537" i="1"/>
  <c r="Y1537" i="1" s="1"/>
  <c r="U1538" i="1"/>
  <c r="U1539" i="1"/>
  <c r="Y1539" i="1" s="1"/>
  <c r="V1535" i="1"/>
  <c r="W1535" i="1" s="1"/>
  <c r="V1536" i="1"/>
  <c r="W1536" i="1" s="1"/>
  <c r="V1537" i="1"/>
  <c r="W1537" i="1" s="1"/>
  <c r="V1538" i="1"/>
  <c r="W1538" i="1" s="1"/>
  <c r="V1539" i="1"/>
  <c r="W1539" i="1" s="1"/>
  <c r="Z1535" i="1"/>
  <c r="Z1536" i="1"/>
  <c r="Z1537" i="1"/>
  <c r="Z1538" i="1"/>
  <c r="Z1539" i="1"/>
  <c r="A1569" i="1"/>
  <c r="C1569" i="1"/>
  <c r="B1569" i="1" s="1"/>
  <c r="D1569" i="1"/>
  <c r="F1569" i="1"/>
  <c r="M1569" i="1"/>
  <c r="O1569" i="1"/>
  <c r="S1569" i="1"/>
  <c r="T1569" i="1"/>
  <c r="U1569" i="1"/>
  <c r="Y1569" i="1" s="1"/>
  <c r="V1569" i="1"/>
  <c r="W1569" i="1" s="1"/>
  <c r="Z1569" i="1"/>
  <c r="A1568" i="1"/>
  <c r="C1568" i="1"/>
  <c r="T1568" i="1" s="1"/>
  <c r="F1568" i="1"/>
  <c r="M1568" i="1"/>
  <c r="O1568" i="1"/>
  <c r="S1568" i="1"/>
  <c r="U1568" i="1"/>
  <c r="Y1568" i="1" s="1"/>
  <c r="V1568" i="1"/>
  <c r="W1568" i="1" s="1"/>
  <c r="Z1568" i="1"/>
  <c r="A1566" i="1"/>
  <c r="C1566" i="1"/>
  <c r="B1566" i="1" s="1"/>
  <c r="F1566" i="1"/>
  <c r="O1566" i="1"/>
  <c r="T1566" i="1"/>
  <c r="U1566" i="1"/>
  <c r="Y1566" i="1" s="1"/>
  <c r="V1566" i="1"/>
  <c r="W1566" i="1" s="1"/>
  <c r="Z1566" i="1"/>
  <c r="A1570" i="1"/>
  <c r="C1570" i="1"/>
  <c r="B1570" i="1" s="1"/>
  <c r="F1570" i="1"/>
  <c r="O1570" i="1"/>
  <c r="S1570" i="1"/>
  <c r="T1570" i="1"/>
  <c r="U1570" i="1"/>
  <c r="Y1570" i="1" s="1"/>
  <c r="V1570" i="1"/>
  <c r="W1570" i="1" s="1"/>
  <c r="Z1570" i="1"/>
  <c r="R54" i="15"/>
  <c r="R53" i="15"/>
  <c r="R52" i="15"/>
  <c r="R51" i="15"/>
  <c r="R50" i="15"/>
  <c r="R49" i="15"/>
  <c r="R48" i="15"/>
  <c r="R47" i="15"/>
  <c r="R46" i="15"/>
  <c r="R45" i="15"/>
  <c r="R43" i="15"/>
  <c r="R42" i="15"/>
  <c r="R41" i="15"/>
  <c r="R40" i="15"/>
  <c r="R39" i="15"/>
  <c r="R38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1" i="15"/>
  <c r="R10" i="15"/>
  <c r="R9" i="15"/>
  <c r="R7" i="15"/>
  <c r="R6" i="15"/>
  <c r="R5" i="15"/>
  <c r="R4" i="15"/>
  <c r="R3" i="15"/>
  <c r="R2" i="15"/>
  <c r="R13" i="16"/>
  <c r="R12" i="16"/>
  <c r="A1604" i="1"/>
  <c r="C1604" i="1"/>
  <c r="B1604" i="1" s="1"/>
  <c r="F1604" i="1"/>
  <c r="M1604" i="1"/>
  <c r="U1604" i="1"/>
  <c r="Y1604" i="1" s="1"/>
  <c r="V1604" i="1"/>
  <c r="W1604" i="1" s="1"/>
  <c r="Z1604" i="1"/>
  <c r="A1607" i="1"/>
  <c r="C1607" i="1"/>
  <c r="B1607" i="1" s="1"/>
  <c r="F1607" i="1"/>
  <c r="M1607" i="1"/>
  <c r="O1607" i="1"/>
  <c r="U1607" i="1"/>
  <c r="Y1607" i="1" s="1"/>
  <c r="V1607" i="1"/>
  <c r="W1607" i="1" s="1"/>
  <c r="Z1607" i="1"/>
  <c r="A1665" i="1"/>
  <c r="C1665" i="1"/>
  <c r="B1665" i="1" s="1"/>
  <c r="F1665" i="1"/>
  <c r="M1665" i="1"/>
  <c r="O1665" i="1"/>
  <c r="U1665" i="1"/>
  <c r="Y1665" i="1" s="1"/>
  <c r="V1665" i="1"/>
  <c r="W1665" i="1" s="1"/>
  <c r="Z1665" i="1"/>
  <c r="A1641" i="1"/>
  <c r="C1641" i="1"/>
  <c r="B1641" i="1" s="1"/>
  <c r="F1641" i="1"/>
  <c r="M1641" i="1"/>
  <c r="O1641" i="1"/>
  <c r="U1641" i="1"/>
  <c r="Y1641" i="1" s="1"/>
  <c r="V1641" i="1"/>
  <c r="W1641" i="1" s="1"/>
  <c r="Z1641" i="1"/>
  <c r="A1640" i="1"/>
  <c r="C1640" i="1"/>
  <c r="B1640" i="1" s="1"/>
  <c r="F1640" i="1"/>
  <c r="M1640" i="1"/>
  <c r="O1640" i="1"/>
  <c r="U1640" i="1"/>
  <c r="Y1640" i="1" s="1"/>
  <c r="V1640" i="1"/>
  <c r="W1640" i="1" s="1"/>
  <c r="Z1640" i="1"/>
  <c r="A1639" i="1"/>
  <c r="C1639" i="1"/>
  <c r="B1639" i="1" s="1"/>
  <c r="F1639" i="1"/>
  <c r="M1639" i="1"/>
  <c r="O1639" i="1"/>
  <c r="U1639" i="1"/>
  <c r="Y1639" i="1" s="1"/>
  <c r="V1639" i="1"/>
  <c r="W1639" i="1" s="1"/>
  <c r="Z1639" i="1"/>
  <c r="A1638" i="1"/>
  <c r="C1638" i="1"/>
  <c r="B1638" i="1" s="1"/>
  <c r="F1638" i="1"/>
  <c r="M1638" i="1"/>
  <c r="O1638" i="1"/>
  <c r="U1638" i="1"/>
  <c r="Y1638" i="1" s="1"/>
  <c r="V1638" i="1"/>
  <c r="W1638" i="1" s="1"/>
  <c r="Z1638" i="1"/>
  <c r="A1544" i="1"/>
  <c r="C1544" i="1"/>
  <c r="B1544" i="1" s="1"/>
  <c r="F1544" i="1"/>
  <c r="M1544" i="1"/>
  <c r="O1544" i="1"/>
  <c r="T1544" i="1"/>
  <c r="U1544" i="1"/>
  <c r="Y1544" i="1" s="1"/>
  <c r="V1544" i="1"/>
  <c r="W1544" i="1" s="1"/>
  <c r="Z1544" i="1"/>
  <c r="A1541" i="1"/>
  <c r="C1541" i="1"/>
  <c r="B1541" i="1" s="1"/>
  <c r="F1541" i="1"/>
  <c r="M1541" i="1"/>
  <c r="O1541" i="1"/>
  <c r="T1541" i="1"/>
  <c r="U1541" i="1"/>
  <c r="V1541" i="1"/>
  <c r="W1541" i="1" s="1"/>
  <c r="Z1541" i="1"/>
  <c r="A1543" i="1"/>
  <c r="C1543" i="1"/>
  <c r="B1543" i="1" s="1"/>
  <c r="F1543" i="1"/>
  <c r="M1543" i="1"/>
  <c r="O1543" i="1"/>
  <c r="T1543" i="1"/>
  <c r="U1543" i="1"/>
  <c r="Y1543" i="1" s="1"/>
  <c r="V1543" i="1"/>
  <c r="W1543" i="1" s="1"/>
  <c r="Z1543" i="1"/>
  <c r="A1542" i="1"/>
  <c r="C1542" i="1"/>
  <c r="B1542" i="1" s="1"/>
  <c r="F1542" i="1"/>
  <c r="M1542" i="1"/>
  <c r="O1542" i="1"/>
  <c r="T1542" i="1"/>
  <c r="U1542" i="1"/>
  <c r="Y1542" i="1" s="1"/>
  <c r="V1542" i="1"/>
  <c r="W1542" i="1" s="1"/>
  <c r="Z1542" i="1"/>
  <c r="W2329" i="157" l="1"/>
  <c r="R1565" i="1"/>
  <c r="D1565" i="1" s="1"/>
  <c r="R1583" i="1"/>
  <c r="D1583" i="1" s="1"/>
  <c r="R1657" i="1"/>
  <c r="D1657" i="1" s="1"/>
  <c r="R1704" i="1"/>
  <c r="R1718" i="1"/>
  <c r="R1668" i="1"/>
  <c r="R1573" i="1"/>
  <c r="D1573" i="1" s="1"/>
  <c r="R1692" i="1"/>
  <c r="T1665" i="1"/>
  <c r="X1574" i="1"/>
  <c r="T1574" i="1"/>
  <c r="X1535" i="1"/>
  <c r="X1539" i="1"/>
  <c r="X1538" i="1"/>
  <c r="X1536" i="1"/>
  <c r="X1537" i="1"/>
  <c r="Y1538" i="1"/>
  <c r="B1536" i="1"/>
  <c r="X1568" i="1"/>
  <c r="X1569" i="1"/>
  <c r="B1568" i="1"/>
  <c r="X1566" i="1"/>
  <c r="X1570" i="1"/>
  <c r="R1570" i="1"/>
  <c r="D1570" i="1" s="1"/>
  <c r="T1607" i="1"/>
  <c r="T1604" i="1"/>
  <c r="X1604" i="1"/>
  <c r="T1641" i="1"/>
  <c r="X1607" i="1"/>
  <c r="X1641" i="1"/>
  <c r="T1640" i="1"/>
  <c r="X1665" i="1"/>
  <c r="X1640" i="1"/>
  <c r="T1639" i="1"/>
  <c r="X1639" i="1"/>
  <c r="T1638" i="1"/>
  <c r="X1638" i="1"/>
  <c r="X1542" i="1"/>
  <c r="X1544" i="1"/>
  <c r="X1543" i="1"/>
  <c r="X1541" i="1"/>
  <c r="Y1541" i="1"/>
  <c r="P1544" i="1" l="1"/>
  <c r="P1639" i="1"/>
  <c r="P1604" i="1"/>
  <c r="P1570" i="1"/>
  <c r="P1568" i="1"/>
  <c r="P1536" i="1"/>
  <c r="P1543" i="1"/>
  <c r="P1537" i="1"/>
  <c r="P1665" i="1"/>
  <c r="P1535" i="1"/>
  <c r="P1542" i="1"/>
  <c r="P1641" i="1"/>
  <c r="P1566" i="1"/>
  <c r="P1574" i="1"/>
  <c r="P1638" i="1"/>
  <c r="P1640" i="1"/>
  <c r="P1607" i="1"/>
  <c r="P1539" i="1"/>
  <c r="Q1569" i="1"/>
  <c r="P1538" i="1"/>
  <c r="D1543" i="1"/>
  <c r="D1542" i="1"/>
  <c r="D1536" i="1"/>
  <c r="D1535" i="1"/>
  <c r="D1537" i="1"/>
  <c r="D1539" i="1"/>
  <c r="D1538" i="1"/>
  <c r="P1541" i="1"/>
  <c r="Q1574" i="1" l="1"/>
  <c r="Q1541" i="1"/>
  <c r="Q1538" i="1"/>
  <c r="Q1539" i="1"/>
  <c r="Q1640" i="1"/>
  <c r="Q1641" i="1"/>
  <c r="Q1535" i="1"/>
  <c r="Q1537" i="1"/>
  <c r="Q1536" i="1"/>
  <c r="Q1639" i="1"/>
  <c r="R1569" i="1"/>
  <c r="Q1607" i="1"/>
  <c r="Q1638" i="1"/>
  <c r="Q1566" i="1"/>
  <c r="Q1542" i="1"/>
  <c r="Q1665" i="1"/>
  <c r="Q1543" i="1"/>
  <c r="Q1568" i="1"/>
  <c r="Q1604" i="1"/>
  <c r="Q1544" i="1"/>
  <c r="E1468" i="6"/>
  <c r="F1468" i="6"/>
  <c r="I1468" i="6"/>
  <c r="J1468" i="6"/>
  <c r="E1467" i="6"/>
  <c r="F1467" i="6"/>
  <c r="I1467" i="6"/>
  <c r="J1467" i="6"/>
  <c r="R19" i="16"/>
  <c r="R1574" i="1" l="1"/>
  <c r="D1574" i="1" s="1"/>
  <c r="R1543" i="1"/>
  <c r="R1638" i="1"/>
  <c r="R1536" i="1"/>
  <c r="R1535" i="1"/>
  <c r="R1604" i="1"/>
  <c r="R1544" i="1"/>
  <c r="D1544" i="1" s="1"/>
  <c r="R1665" i="1"/>
  <c r="D1665" i="1" s="1"/>
  <c r="R1537" i="1"/>
  <c r="R1641" i="1"/>
  <c r="R1640" i="1"/>
  <c r="R1538" i="1"/>
  <c r="R1542" i="1"/>
  <c r="R1568" i="1"/>
  <c r="D1568" i="1" s="1"/>
  <c r="R1566" i="1"/>
  <c r="D1566" i="1" s="1"/>
  <c r="R1607" i="1"/>
  <c r="D1607" i="1" s="1"/>
  <c r="R1639" i="1"/>
  <c r="R1539" i="1"/>
  <c r="R1541" i="1"/>
  <c r="D1541" i="1" s="1"/>
  <c r="A1663" i="1"/>
  <c r="C1663" i="1"/>
  <c r="B1663" i="1" s="1"/>
  <c r="F1663" i="1"/>
  <c r="M1663" i="1"/>
  <c r="O1663" i="1"/>
  <c r="U1663" i="1"/>
  <c r="Y1663" i="1" s="1"/>
  <c r="V1663" i="1"/>
  <c r="W1663" i="1" s="1"/>
  <c r="Z1663" i="1"/>
  <c r="A1681" i="1"/>
  <c r="A1682" i="1"/>
  <c r="C1681" i="1"/>
  <c r="B1681" i="1" s="1"/>
  <c r="C1682" i="1"/>
  <c r="B1682" i="1" s="1"/>
  <c r="F1681" i="1"/>
  <c r="F1682" i="1"/>
  <c r="M1681" i="1"/>
  <c r="M1682" i="1"/>
  <c r="O1681" i="1"/>
  <c r="O1682" i="1"/>
  <c r="U1681" i="1"/>
  <c r="Y1681" i="1" s="1"/>
  <c r="U1682" i="1"/>
  <c r="Y1682" i="1" s="1"/>
  <c r="V1681" i="1"/>
  <c r="W1681" i="1" s="1"/>
  <c r="V1682" i="1"/>
  <c r="W1682" i="1" s="1"/>
  <c r="Z1681" i="1"/>
  <c r="Z1682" i="1"/>
  <c r="A1707" i="1"/>
  <c r="C1707" i="1"/>
  <c r="B1707" i="1" s="1"/>
  <c r="F1707" i="1"/>
  <c r="M1707" i="1"/>
  <c r="O1707" i="1"/>
  <c r="U1707" i="1"/>
  <c r="Y1707" i="1" s="1"/>
  <c r="V1707" i="1"/>
  <c r="W1707" i="1" s="1"/>
  <c r="Z1707" i="1"/>
  <c r="T1681" i="1" l="1"/>
  <c r="T1682" i="1"/>
  <c r="X1707" i="1"/>
  <c r="X1681" i="1"/>
  <c r="X1663" i="1"/>
  <c r="T1707" i="1"/>
  <c r="T1663" i="1"/>
  <c r="X1682" i="1"/>
  <c r="A1691" i="1"/>
  <c r="C1691" i="1"/>
  <c r="B1691" i="1" s="1"/>
  <c r="F1691" i="1"/>
  <c r="M1691" i="1"/>
  <c r="O1691" i="1"/>
  <c r="U1691" i="1"/>
  <c r="Y1691" i="1" s="1"/>
  <c r="V1691" i="1"/>
  <c r="W1691" i="1" s="1"/>
  <c r="Z1691" i="1"/>
  <c r="A1690" i="1"/>
  <c r="C1690" i="1"/>
  <c r="B1690" i="1" s="1"/>
  <c r="F1690" i="1"/>
  <c r="M1690" i="1"/>
  <c r="O1690" i="1"/>
  <c r="U1690" i="1"/>
  <c r="Y1690" i="1" s="1"/>
  <c r="V1690" i="1"/>
  <c r="W1690" i="1" s="1"/>
  <c r="Z1690" i="1"/>
  <c r="A1667" i="1"/>
  <c r="C1667" i="1"/>
  <c r="B1667" i="1" s="1"/>
  <c r="F1667" i="1"/>
  <c r="M1667" i="1"/>
  <c r="O1667" i="1"/>
  <c r="U1667" i="1"/>
  <c r="Y1667" i="1" s="1"/>
  <c r="V1667" i="1"/>
  <c r="W1667" i="1" s="1"/>
  <c r="Z1667" i="1"/>
  <c r="A1524" i="1"/>
  <c r="C1524" i="1"/>
  <c r="B1524" i="1" s="1"/>
  <c r="F1524" i="1"/>
  <c r="M1524" i="1"/>
  <c r="O1524" i="1"/>
  <c r="S1524" i="1"/>
  <c r="T1524" i="1"/>
  <c r="U1524" i="1"/>
  <c r="Y1524" i="1" s="1"/>
  <c r="V1524" i="1"/>
  <c r="W1524" i="1" s="1"/>
  <c r="Z1524" i="1"/>
  <c r="A1635" i="1"/>
  <c r="C1635" i="1"/>
  <c r="B1635" i="1" s="1"/>
  <c r="F1635" i="1"/>
  <c r="M1635" i="1"/>
  <c r="O1635" i="1"/>
  <c r="U1635" i="1"/>
  <c r="Y1635" i="1" s="1"/>
  <c r="V1635" i="1"/>
  <c r="W1635" i="1" s="1"/>
  <c r="Z1635" i="1"/>
  <c r="A1666" i="1"/>
  <c r="C1666" i="1"/>
  <c r="B1666" i="1" s="1"/>
  <c r="F1666" i="1"/>
  <c r="M1666" i="1"/>
  <c r="O1666" i="1"/>
  <c r="U1666" i="1"/>
  <c r="V1666" i="1"/>
  <c r="W1666" i="1" s="1"/>
  <c r="Z1666" i="1"/>
  <c r="A1575" i="1"/>
  <c r="C1575" i="1"/>
  <c r="B1575" i="1" s="1"/>
  <c r="F1575" i="1"/>
  <c r="M1575" i="1"/>
  <c r="O1575" i="1"/>
  <c r="U1575" i="1"/>
  <c r="Y1575" i="1" s="1"/>
  <c r="V1575" i="1"/>
  <c r="W1575" i="1" s="1"/>
  <c r="Z1575" i="1"/>
  <c r="A1525" i="1"/>
  <c r="C1525" i="1"/>
  <c r="B1525" i="1" s="1"/>
  <c r="F1525" i="1"/>
  <c r="M1525" i="1"/>
  <c r="O1525" i="1"/>
  <c r="S1525" i="1"/>
  <c r="T1525" i="1"/>
  <c r="U1525" i="1"/>
  <c r="Y1525" i="1" s="1"/>
  <c r="V1525" i="1"/>
  <c r="W1525" i="1" s="1"/>
  <c r="Z1525" i="1"/>
  <c r="A1758" i="1"/>
  <c r="C1758" i="1"/>
  <c r="B1758" i="1" s="1"/>
  <c r="F1758" i="1"/>
  <c r="M1758" i="1"/>
  <c r="O1758" i="1"/>
  <c r="U1758" i="1"/>
  <c r="Y1758" i="1" s="1"/>
  <c r="V1758" i="1"/>
  <c r="W1758" i="1" s="1"/>
  <c r="Z1758" i="1"/>
  <c r="I113" i="104"/>
  <c r="I112" i="104"/>
  <c r="A113" i="104"/>
  <c r="B113" i="104"/>
  <c r="C113" i="104"/>
  <c r="A112" i="104"/>
  <c r="B112" i="104"/>
  <c r="C112" i="104"/>
  <c r="P1682" i="1" l="1"/>
  <c r="P1681" i="1"/>
  <c r="P1707" i="1"/>
  <c r="P1663" i="1"/>
  <c r="D1709" i="1"/>
  <c r="D1708" i="1"/>
  <c r="D1710" i="1"/>
  <c r="T1691" i="1"/>
  <c r="T1667" i="1"/>
  <c r="X1666" i="1"/>
  <c r="T1690" i="1"/>
  <c r="X1691" i="1"/>
  <c r="T1635" i="1"/>
  <c r="X1690" i="1"/>
  <c r="X1667" i="1"/>
  <c r="X1524" i="1"/>
  <c r="X1635" i="1"/>
  <c r="T1575" i="1"/>
  <c r="T1666" i="1"/>
  <c r="Y1666" i="1"/>
  <c r="T1758" i="1"/>
  <c r="X1575" i="1"/>
  <c r="X1758" i="1"/>
  <c r="X1525" i="1"/>
  <c r="A1532" i="1"/>
  <c r="C1532" i="1"/>
  <c r="B1532" i="1" s="1"/>
  <c r="F1532" i="1"/>
  <c r="M1532" i="1"/>
  <c r="O1532" i="1"/>
  <c r="S1532" i="1"/>
  <c r="T1532" i="1"/>
  <c r="U1532" i="1"/>
  <c r="Y1532" i="1" s="1"/>
  <c r="V1532" i="1"/>
  <c r="W1532" i="1" s="1"/>
  <c r="Z1532" i="1"/>
  <c r="A1531" i="1"/>
  <c r="C1531" i="1"/>
  <c r="B1531" i="1" s="1"/>
  <c r="F1531" i="1"/>
  <c r="M1531" i="1"/>
  <c r="O1531" i="1"/>
  <c r="T1531" i="1"/>
  <c r="U1531" i="1"/>
  <c r="V1531" i="1"/>
  <c r="W1531" i="1" s="1"/>
  <c r="Z1531" i="1"/>
  <c r="A1526" i="1"/>
  <c r="C1526" i="1"/>
  <c r="B1526" i="1" s="1"/>
  <c r="F1526" i="1"/>
  <c r="M1526" i="1"/>
  <c r="O1526" i="1"/>
  <c r="T1526" i="1"/>
  <c r="U1526" i="1"/>
  <c r="Y1526" i="1" s="1"/>
  <c r="V1526" i="1"/>
  <c r="W1526" i="1" s="1"/>
  <c r="Z1526" i="1"/>
  <c r="A1731" i="1"/>
  <c r="C1731" i="1"/>
  <c r="B1731" i="1" s="1"/>
  <c r="F1731" i="1"/>
  <c r="M1731" i="1"/>
  <c r="O1731" i="1"/>
  <c r="U1731" i="1"/>
  <c r="Y1731" i="1" s="1"/>
  <c r="V1731" i="1"/>
  <c r="W1731" i="1" s="1"/>
  <c r="Z1731" i="1"/>
  <c r="A1598" i="1"/>
  <c r="C1598" i="1"/>
  <c r="B1598" i="1" s="1"/>
  <c r="F1598" i="1"/>
  <c r="M1598" i="1"/>
  <c r="O1598" i="1"/>
  <c r="U1598" i="1"/>
  <c r="Y1598" i="1" s="1"/>
  <c r="V1598" i="1"/>
  <c r="W1598" i="1" s="1"/>
  <c r="Z1598" i="1"/>
  <c r="A1741" i="1"/>
  <c r="C1741" i="1"/>
  <c r="B1741" i="1" s="1"/>
  <c r="F1741" i="1"/>
  <c r="M1741" i="1"/>
  <c r="O1741" i="1"/>
  <c r="U1741" i="1"/>
  <c r="Y1741" i="1" s="1"/>
  <c r="V1741" i="1"/>
  <c r="W1741" i="1" s="1"/>
  <c r="Z1741" i="1"/>
  <c r="A1651" i="1"/>
  <c r="C1651" i="1"/>
  <c r="B1651" i="1" s="1"/>
  <c r="F1651" i="1"/>
  <c r="M1651" i="1"/>
  <c r="O1651" i="1"/>
  <c r="U1651" i="1"/>
  <c r="Y1651" i="1" s="1"/>
  <c r="V1651" i="1"/>
  <c r="W1651" i="1" s="1"/>
  <c r="Z1651" i="1"/>
  <c r="A1650" i="1"/>
  <c r="C1650" i="1"/>
  <c r="B1650" i="1" s="1"/>
  <c r="F1650" i="1"/>
  <c r="M1650" i="1"/>
  <c r="U1650" i="1"/>
  <c r="Y1650" i="1" s="1"/>
  <c r="V1650" i="1"/>
  <c r="W1650" i="1" s="1"/>
  <c r="Z1650" i="1"/>
  <c r="A1649" i="1"/>
  <c r="C1649" i="1"/>
  <c r="B1649" i="1" s="1"/>
  <c r="F1649" i="1"/>
  <c r="M1649" i="1"/>
  <c r="O1649" i="1"/>
  <c r="U1649" i="1"/>
  <c r="Y1649" i="1" s="1"/>
  <c r="V1649" i="1"/>
  <c r="W1649" i="1" s="1"/>
  <c r="Z1649" i="1"/>
  <c r="A1600" i="1"/>
  <c r="C1600" i="1"/>
  <c r="B1600" i="1" s="1"/>
  <c r="F1600" i="1"/>
  <c r="M1600" i="1"/>
  <c r="O1600" i="1"/>
  <c r="U1600" i="1"/>
  <c r="Y1600" i="1" s="1"/>
  <c r="V1600" i="1"/>
  <c r="W1600" i="1" s="1"/>
  <c r="Z1600" i="1"/>
  <c r="A1593" i="1"/>
  <c r="C1593" i="1"/>
  <c r="B1593" i="1" s="1"/>
  <c r="F1593" i="1"/>
  <c r="M1593" i="1"/>
  <c r="O1593" i="1"/>
  <c r="U1593" i="1"/>
  <c r="Y1593" i="1" s="1"/>
  <c r="V1593" i="1"/>
  <c r="W1593" i="1" s="1"/>
  <c r="Z1593" i="1"/>
  <c r="A1700" i="1"/>
  <c r="C1700" i="1"/>
  <c r="B1700" i="1" s="1"/>
  <c r="F1700" i="1"/>
  <c r="M1700" i="1"/>
  <c r="O1700" i="1"/>
  <c r="U1700" i="1"/>
  <c r="Y1700" i="1" s="1"/>
  <c r="V1700" i="1"/>
  <c r="W1700" i="1" s="1"/>
  <c r="Z1700" i="1"/>
  <c r="A1680" i="1"/>
  <c r="C1680" i="1"/>
  <c r="B1680" i="1" s="1"/>
  <c r="F1680" i="1"/>
  <c r="M1680" i="1"/>
  <c r="O1680" i="1"/>
  <c r="U1680" i="1"/>
  <c r="Y1680" i="1" s="1"/>
  <c r="V1680" i="1"/>
  <c r="W1680" i="1" s="1"/>
  <c r="Z1680" i="1"/>
  <c r="A1679" i="1"/>
  <c r="C1679" i="1"/>
  <c r="B1679" i="1" s="1"/>
  <c r="F1679" i="1"/>
  <c r="M1679" i="1"/>
  <c r="O1679" i="1"/>
  <c r="U1679" i="1"/>
  <c r="Y1679" i="1" s="1"/>
  <c r="V1679" i="1"/>
  <c r="W1679" i="1" s="1"/>
  <c r="Z1679" i="1"/>
  <c r="A1678" i="1"/>
  <c r="C1678" i="1"/>
  <c r="B1678" i="1" s="1"/>
  <c r="F1678" i="1"/>
  <c r="M1678" i="1"/>
  <c r="O1678" i="1"/>
  <c r="U1678" i="1"/>
  <c r="Y1678" i="1" s="1"/>
  <c r="V1678" i="1"/>
  <c r="W1678" i="1" s="1"/>
  <c r="Z1678" i="1"/>
  <c r="I109" i="104"/>
  <c r="I110" i="104"/>
  <c r="I111" i="104"/>
  <c r="A111" i="104"/>
  <c r="B111" i="104"/>
  <c r="C111" i="104"/>
  <c r="A110" i="104"/>
  <c r="B110" i="104"/>
  <c r="C110" i="104"/>
  <c r="A109" i="104"/>
  <c r="B109" i="104"/>
  <c r="C109" i="104"/>
  <c r="A1725" i="1"/>
  <c r="C1725" i="1"/>
  <c r="B1725" i="1" s="1"/>
  <c r="F1725" i="1"/>
  <c r="M1725" i="1"/>
  <c r="O1725" i="1"/>
  <c r="U1725" i="1"/>
  <c r="Y1725" i="1" s="1"/>
  <c r="V1725" i="1"/>
  <c r="W1725" i="1" s="1"/>
  <c r="Z1725" i="1"/>
  <c r="A1724" i="1"/>
  <c r="C1724" i="1"/>
  <c r="B1724" i="1" s="1"/>
  <c r="F1724" i="1"/>
  <c r="M1724" i="1"/>
  <c r="O1724" i="1"/>
  <c r="U1724" i="1"/>
  <c r="Y1724" i="1" s="1"/>
  <c r="V1724" i="1"/>
  <c r="W1724" i="1" s="1"/>
  <c r="Z1724" i="1"/>
  <c r="A1723" i="1"/>
  <c r="C1723" i="1"/>
  <c r="B1723" i="1" s="1"/>
  <c r="F1723" i="1"/>
  <c r="M1723" i="1"/>
  <c r="O1723" i="1"/>
  <c r="U1723" i="1"/>
  <c r="Y1723" i="1" s="1"/>
  <c r="V1723" i="1"/>
  <c r="W1723" i="1" s="1"/>
  <c r="Z1723" i="1"/>
  <c r="A1611" i="1"/>
  <c r="C1611" i="1"/>
  <c r="B1611" i="1" s="1"/>
  <c r="F1611" i="1"/>
  <c r="M1611" i="1"/>
  <c r="O1611" i="1"/>
  <c r="U1611" i="1"/>
  <c r="V1611" i="1"/>
  <c r="W1611" i="1" s="1"/>
  <c r="Z1611" i="1"/>
  <c r="A1662" i="1"/>
  <c r="C1662" i="1"/>
  <c r="B1662" i="1" s="1"/>
  <c r="F1662" i="1"/>
  <c r="M1662" i="1"/>
  <c r="O1662" i="1"/>
  <c r="U1662" i="1"/>
  <c r="Y1662" i="1" s="1"/>
  <c r="V1662" i="1"/>
  <c r="W1662" i="1" s="1"/>
  <c r="Z1662" i="1"/>
  <c r="A1625" i="1"/>
  <c r="C1625" i="1"/>
  <c r="B1625" i="1" s="1"/>
  <c r="F1625" i="1"/>
  <c r="M1625" i="1"/>
  <c r="O1625" i="1"/>
  <c r="U1625" i="1"/>
  <c r="Y1625" i="1" s="1"/>
  <c r="V1625" i="1"/>
  <c r="W1625" i="1" s="1"/>
  <c r="Z1625" i="1"/>
  <c r="A1624" i="1"/>
  <c r="C1624" i="1"/>
  <c r="B1624" i="1" s="1"/>
  <c r="F1624" i="1"/>
  <c r="M1624" i="1"/>
  <c r="O1624" i="1"/>
  <c r="U1624" i="1"/>
  <c r="Y1624" i="1" s="1"/>
  <c r="V1624" i="1"/>
  <c r="W1624" i="1" s="1"/>
  <c r="Z1624" i="1"/>
  <c r="A1612" i="1"/>
  <c r="C1612" i="1"/>
  <c r="B1612" i="1" s="1"/>
  <c r="F1612" i="1"/>
  <c r="M1612" i="1"/>
  <c r="O1612" i="1"/>
  <c r="U1612" i="1"/>
  <c r="Y1612" i="1" s="1"/>
  <c r="V1612" i="1"/>
  <c r="W1612" i="1" s="1"/>
  <c r="Z1612" i="1"/>
  <c r="A1519" i="1"/>
  <c r="C1519" i="1"/>
  <c r="B1519" i="1" s="1"/>
  <c r="F1519" i="1"/>
  <c r="M1519" i="1"/>
  <c r="O1519" i="1"/>
  <c r="S1519" i="1"/>
  <c r="T1519" i="1"/>
  <c r="U1519" i="1"/>
  <c r="Y1519" i="1" s="1"/>
  <c r="V1519" i="1"/>
  <c r="W1519" i="1" s="1"/>
  <c r="Z1519" i="1"/>
  <c r="A1606" i="1"/>
  <c r="C1606" i="1"/>
  <c r="B1606" i="1" s="1"/>
  <c r="F1606" i="1"/>
  <c r="M1606" i="1"/>
  <c r="O1606" i="1"/>
  <c r="U1606" i="1"/>
  <c r="Y1606" i="1" s="1"/>
  <c r="V1606" i="1"/>
  <c r="W1606" i="1" s="1"/>
  <c r="Z1606" i="1"/>
  <c r="A1739" i="1"/>
  <c r="C1739" i="1"/>
  <c r="B1739" i="1" s="1"/>
  <c r="F1739" i="1"/>
  <c r="M1739" i="1"/>
  <c r="O1739" i="1"/>
  <c r="U1739" i="1"/>
  <c r="Y1739" i="1" s="1"/>
  <c r="V1739" i="1"/>
  <c r="W1739" i="1" s="1"/>
  <c r="Z1739" i="1"/>
  <c r="A1659" i="1"/>
  <c r="C1659" i="1"/>
  <c r="B1659" i="1" s="1"/>
  <c r="F1659" i="1"/>
  <c r="M1659" i="1"/>
  <c r="O1659" i="1"/>
  <c r="U1659" i="1"/>
  <c r="Y1659" i="1" s="1"/>
  <c r="V1659" i="1"/>
  <c r="W1659" i="1" s="1"/>
  <c r="Z1659" i="1"/>
  <c r="A1637" i="1"/>
  <c r="C1637" i="1"/>
  <c r="B1637" i="1" s="1"/>
  <c r="F1637" i="1"/>
  <c r="M1637" i="1"/>
  <c r="O1637" i="1"/>
  <c r="U1637" i="1"/>
  <c r="Y1637" i="1" s="1"/>
  <c r="V1637" i="1"/>
  <c r="W1637" i="1" s="1"/>
  <c r="Z1637" i="1"/>
  <c r="A1515" i="1"/>
  <c r="C1515" i="1"/>
  <c r="B1515" i="1" s="1"/>
  <c r="D1515" i="1"/>
  <c r="F1515" i="1"/>
  <c r="M1515" i="1"/>
  <c r="O1515" i="1"/>
  <c r="S1515" i="1"/>
  <c r="T1515" i="1"/>
  <c r="U1515" i="1"/>
  <c r="Y1515" i="1" s="1"/>
  <c r="V1515" i="1"/>
  <c r="W1515" i="1" s="1"/>
  <c r="Z1515" i="1"/>
  <c r="A1514" i="1"/>
  <c r="C1514" i="1"/>
  <c r="B1514" i="1" s="1"/>
  <c r="F1514" i="1"/>
  <c r="M1514" i="1"/>
  <c r="O1514" i="1"/>
  <c r="T1514" i="1"/>
  <c r="U1514" i="1"/>
  <c r="Y1514" i="1" s="1"/>
  <c r="V1514" i="1"/>
  <c r="W1514" i="1" s="1"/>
  <c r="Z1514" i="1"/>
  <c r="A1745" i="1"/>
  <c r="C1745" i="1"/>
  <c r="B1745" i="1" s="1"/>
  <c r="F1745" i="1"/>
  <c r="M1745" i="1"/>
  <c r="O1745" i="1"/>
  <c r="U1745" i="1"/>
  <c r="Y1745" i="1" s="1"/>
  <c r="V1745" i="1"/>
  <c r="W1745" i="1" s="1"/>
  <c r="Z1745" i="1"/>
  <c r="A1603" i="1"/>
  <c r="C1603" i="1"/>
  <c r="B1603" i="1" s="1"/>
  <c r="F1603" i="1"/>
  <c r="M1603" i="1"/>
  <c r="O1603" i="1"/>
  <c r="U1603" i="1"/>
  <c r="Y1603" i="1" s="1"/>
  <c r="V1603" i="1"/>
  <c r="W1603" i="1" s="1"/>
  <c r="Z1603" i="1"/>
  <c r="A1829" i="1"/>
  <c r="C1829" i="1"/>
  <c r="B1829" i="1" s="1"/>
  <c r="F1829" i="1"/>
  <c r="M1829" i="1"/>
  <c r="O1829" i="1"/>
  <c r="V15" i="16" s="1"/>
  <c r="U1829" i="1"/>
  <c r="V1829" i="1"/>
  <c r="W1829" i="1" s="1"/>
  <c r="Z1829" i="1"/>
  <c r="P1758" i="1" l="1"/>
  <c r="P1667" i="1"/>
  <c r="Q1663" i="1"/>
  <c r="P1575" i="1"/>
  <c r="P1690" i="1"/>
  <c r="Q1681" i="1"/>
  <c r="P1635" i="1"/>
  <c r="Q1707" i="1"/>
  <c r="P1525" i="1"/>
  <c r="P1524" i="1"/>
  <c r="P1691" i="1"/>
  <c r="Q1682" i="1"/>
  <c r="D1668" i="1"/>
  <c r="D1670" i="1"/>
  <c r="D1669" i="1"/>
  <c r="P1666" i="1"/>
  <c r="X1532" i="1"/>
  <c r="T1731" i="1"/>
  <c r="X1531" i="1"/>
  <c r="Y1531" i="1"/>
  <c r="T1651" i="1"/>
  <c r="T1741" i="1"/>
  <c r="T1700" i="1"/>
  <c r="T1598" i="1"/>
  <c r="X1526" i="1"/>
  <c r="X1731" i="1"/>
  <c r="T1600" i="1"/>
  <c r="X1598" i="1"/>
  <c r="T1611" i="1"/>
  <c r="T1649" i="1"/>
  <c r="T1650" i="1"/>
  <c r="T1680" i="1"/>
  <c r="X1741" i="1"/>
  <c r="X1651" i="1"/>
  <c r="X1650" i="1"/>
  <c r="X1649" i="1"/>
  <c r="X1600" i="1"/>
  <c r="T1593" i="1"/>
  <c r="X1593" i="1"/>
  <c r="X1700" i="1"/>
  <c r="T1625" i="1"/>
  <c r="X1680" i="1"/>
  <c r="X1679" i="1"/>
  <c r="T1679" i="1"/>
  <c r="T1745" i="1"/>
  <c r="T1662" i="1"/>
  <c r="X1678" i="1"/>
  <c r="T1678" i="1"/>
  <c r="X1725" i="1"/>
  <c r="T1725" i="1"/>
  <c r="T1637" i="1"/>
  <c r="T1612" i="1"/>
  <c r="T1723" i="1"/>
  <c r="T1659" i="1"/>
  <c r="X1515" i="1"/>
  <c r="X1723" i="1"/>
  <c r="T1606" i="1"/>
  <c r="T1829" i="1"/>
  <c r="T1739" i="1"/>
  <c r="T1724" i="1"/>
  <c r="X1724" i="1"/>
  <c r="X1603" i="1"/>
  <c r="X1745" i="1"/>
  <c r="X1514" i="1"/>
  <c r="P1514" i="1" s="1"/>
  <c r="X1611" i="1"/>
  <c r="X1612" i="1"/>
  <c r="Y1611" i="1"/>
  <c r="X1662" i="1"/>
  <c r="X1625" i="1"/>
  <c r="T1624" i="1"/>
  <c r="X1624" i="1"/>
  <c r="X1519" i="1"/>
  <c r="X1606" i="1"/>
  <c r="X1739" i="1"/>
  <c r="X1659" i="1"/>
  <c r="X1637" i="1"/>
  <c r="T1603" i="1"/>
  <c r="X1829" i="1"/>
  <c r="Y1829" i="1"/>
  <c r="R1682" i="1" l="1"/>
  <c r="Q1524" i="1"/>
  <c r="Q1667" i="1"/>
  <c r="Q1635" i="1"/>
  <c r="Q1690" i="1"/>
  <c r="Q1691" i="1"/>
  <c r="Q1525" i="1"/>
  <c r="R1663" i="1"/>
  <c r="Q1758" i="1"/>
  <c r="P1659" i="1"/>
  <c r="P1624" i="1"/>
  <c r="P1745" i="1"/>
  <c r="P1515" i="1"/>
  <c r="P1678" i="1"/>
  <c r="P1679" i="1"/>
  <c r="P1593" i="1"/>
  <c r="P1650" i="1"/>
  <c r="P1829" i="1"/>
  <c r="P1739" i="1"/>
  <c r="P1612" i="1"/>
  <c r="P1603" i="1"/>
  <c r="P1680" i="1"/>
  <c r="P1651" i="1"/>
  <c r="Q1731" i="1"/>
  <c r="P1606" i="1"/>
  <c r="P1625" i="1"/>
  <c r="P1724" i="1"/>
  <c r="P1725" i="1"/>
  <c r="P1600" i="1"/>
  <c r="P1741" i="1"/>
  <c r="P1526" i="1"/>
  <c r="P1532" i="1"/>
  <c r="P1637" i="1"/>
  <c r="P1519" i="1"/>
  <c r="P1662" i="1"/>
  <c r="Q1514" i="1"/>
  <c r="P1723" i="1"/>
  <c r="P1700" i="1"/>
  <c r="P1649" i="1"/>
  <c r="P1598" i="1"/>
  <c r="Q1666" i="1"/>
  <c r="R1707" i="1"/>
  <c r="D1711" i="1" s="1"/>
  <c r="R1681" i="1"/>
  <c r="Q1575" i="1"/>
  <c r="D1831" i="1"/>
  <c r="D1832" i="1"/>
  <c r="D1706" i="1"/>
  <c r="D1790" i="1"/>
  <c r="D1829" i="1"/>
  <c r="D1830" i="1"/>
  <c r="D1645" i="1"/>
  <c r="D1646" i="1"/>
  <c r="D1643" i="1"/>
  <c r="D1659" i="1"/>
  <c r="D1839" i="1"/>
  <c r="D1840" i="1"/>
  <c r="D1738" i="1"/>
  <c r="D1641" i="1"/>
  <c r="D1642" i="1"/>
  <c r="D1647" i="1"/>
  <c r="D1644" i="1"/>
  <c r="D1648" i="1"/>
  <c r="D1741" i="1"/>
  <c r="D1742" i="1"/>
  <c r="D1639" i="1"/>
  <c r="D1640" i="1"/>
  <c r="D1637" i="1"/>
  <c r="D1638" i="1"/>
  <c r="D1758" i="1"/>
  <c r="P1531" i="1"/>
  <c r="D1519" i="1"/>
  <c r="D1650" i="1"/>
  <c r="D1651" i="1"/>
  <c r="P1611" i="1"/>
  <c r="D1603" i="1"/>
  <c r="D1745" i="1"/>
  <c r="A1602" i="1"/>
  <c r="C1602" i="1"/>
  <c r="B1602" i="1" s="1"/>
  <c r="F1602" i="1"/>
  <c r="M1602" i="1"/>
  <c r="O1602" i="1"/>
  <c r="U1602" i="1"/>
  <c r="Y1602" i="1" s="1"/>
  <c r="V1602" i="1"/>
  <c r="W1602" i="1" s="1"/>
  <c r="Z1602" i="1"/>
  <c r="A1677" i="1"/>
  <c r="C1677" i="1"/>
  <c r="B1677" i="1" s="1"/>
  <c r="F1677" i="1"/>
  <c r="M1677" i="1"/>
  <c r="O1677" i="1"/>
  <c r="U1677" i="1"/>
  <c r="Y1677" i="1" s="1"/>
  <c r="V1677" i="1"/>
  <c r="W1677" i="1" s="1"/>
  <c r="Z1677" i="1"/>
  <c r="A1676" i="1"/>
  <c r="C1676" i="1"/>
  <c r="B1676" i="1" s="1"/>
  <c r="F1676" i="1"/>
  <c r="M1676" i="1"/>
  <c r="O1676" i="1"/>
  <c r="U1676" i="1"/>
  <c r="Y1676" i="1" s="1"/>
  <c r="V1676" i="1"/>
  <c r="W1676" i="1" s="1"/>
  <c r="Z1676" i="1"/>
  <c r="I108" i="104"/>
  <c r="I107" i="104"/>
  <c r="A108" i="104"/>
  <c r="B108" i="104"/>
  <c r="C108" i="104"/>
  <c r="A107" i="104"/>
  <c r="B107" i="104"/>
  <c r="C107" i="104"/>
  <c r="A1722" i="1"/>
  <c r="C1722" i="1"/>
  <c r="B1722" i="1" s="1"/>
  <c r="F1722" i="1"/>
  <c r="M1722" i="1"/>
  <c r="O1722" i="1"/>
  <c r="U1722" i="1"/>
  <c r="Y1722" i="1" s="1"/>
  <c r="V1722" i="1"/>
  <c r="W1722" i="1" s="1"/>
  <c r="Z1722" i="1"/>
  <c r="A1721" i="1"/>
  <c r="C1721" i="1"/>
  <c r="B1721" i="1" s="1"/>
  <c r="F1721" i="1"/>
  <c r="M1721" i="1"/>
  <c r="O1721" i="1"/>
  <c r="U1721" i="1"/>
  <c r="Y1721" i="1" s="1"/>
  <c r="V1721" i="1"/>
  <c r="W1721" i="1" s="1"/>
  <c r="Z1721" i="1"/>
  <c r="A1567" i="1"/>
  <c r="C1567" i="1"/>
  <c r="B1567" i="1" s="1"/>
  <c r="F1567" i="1"/>
  <c r="M1567" i="1"/>
  <c r="O1567" i="1"/>
  <c r="U1567" i="1"/>
  <c r="Y1567" i="1" s="1"/>
  <c r="V1567" i="1"/>
  <c r="W1567" i="1" s="1"/>
  <c r="Z1567" i="1"/>
  <c r="A1502" i="1"/>
  <c r="C1502" i="1"/>
  <c r="B1502" i="1" s="1"/>
  <c r="D1502" i="1"/>
  <c r="F1502" i="1"/>
  <c r="M1502" i="1"/>
  <c r="O1502" i="1"/>
  <c r="S1502" i="1"/>
  <c r="T1502" i="1"/>
  <c r="U1502" i="1"/>
  <c r="V1502" i="1"/>
  <c r="W1502" i="1" s="1"/>
  <c r="Z1502" i="1"/>
  <c r="A1506" i="1"/>
  <c r="C1506" i="1"/>
  <c r="B1506" i="1" s="1"/>
  <c r="F1506" i="1"/>
  <c r="M1506" i="1"/>
  <c r="O1506" i="1"/>
  <c r="T1506" i="1"/>
  <c r="U1506" i="1"/>
  <c r="Y1506" i="1" s="1"/>
  <c r="V1506" i="1"/>
  <c r="W1506" i="1" s="1"/>
  <c r="Z1506" i="1"/>
  <c r="A1462" i="1"/>
  <c r="A1463" i="1"/>
  <c r="A1464" i="1"/>
  <c r="A1465" i="1"/>
  <c r="A1466" i="1"/>
  <c r="C1462" i="1"/>
  <c r="B1462" i="1" s="1"/>
  <c r="C1463" i="1"/>
  <c r="B1463" i="1" s="1"/>
  <c r="C1464" i="1"/>
  <c r="B1464" i="1" s="1"/>
  <c r="C1465" i="1"/>
  <c r="B1465" i="1" s="1"/>
  <c r="C1466" i="1"/>
  <c r="B1466" i="1" s="1"/>
  <c r="F1462" i="1"/>
  <c r="F1463" i="1"/>
  <c r="F1464" i="1"/>
  <c r="F1465" i="1"/>
  <c r="F1466" i="1"/>
  <c r="M1462" i="1"/>
  <c r="M1463" i="1"/>
  <c r="M1464" i="1"/>
  <c r="M1465" i="1"/>
  <c r="M1466" i="1"/>
  <c r="O1462" i="1"/>
  <c r="O1463" i="1"/>
  <c r="O1464" i="1"/>
  <c r="O1465" i="1"/>
  <c r="O1466" i="1"/>
  <c r="S1462" i="1"/>
  <c r="S1463" i="1"/>
  <c r="S1464" i="1"/>
  <c r="S1465" i="1"/>
  <c r="S1466" i="1"/>
  <c r="T1462" i="1"/>
  <c r="T1463" i="1"/>
  <c r="T1464" i="1"/>
  <c r="T1465" i="1"/>
  <c r="T1466" i="1"/>
  <c r="U1462" i="1"/>
  <c r="Y1462" i="1" s="1"/>
  <c r="U1463" i="1"/>
  <c r="Y1463" i="1" s="1"/>
  <c r="U1464" i="1"/>
  <c r="Y1464" i="1" s="1"/>
  <c r="U1465" i="1"/>
  <c r="Y1465" i="1" s="1"/>
  <c r="U1466" i="1"/>
  <c r="Y1466" i="1" s="1"/>
  <c r="V1462" i="1"/>
  <c r="W1462" i="1" s="1"/>
  <c r="V1463" i="1"/>
  <c r="W1463" i="1" s="1"/>
  <c r="V1464" i="1"/>
  <c r="W1464" i="1" s="1"/>
  <c r="V1465" i="1"/>
  <c r="W1465" i="1" s="1"/>
  <c r="V1466" i="1"/>
  <c r="W1466" i="1" s="1"/>
  <c r="Z1462" i="1"/>
  <c r="Z1463" i="1"/>
  <c r="Z1464" i="1"/>
  <c r="Z1465" i="1"/>
  <c r="Z1466" i="1"/>
  <c r="E1462" i="6"/>
  <c r="E1463" i="6"/>
  <c r="F1462" i="6"/>
  <c r="F1463" i="6"/>
  <c r="I1462" i="6"/>
  <c r="I1463" i="6"/>
  <c r="J1462" i="6"/>
  <c r="J1463" i="6"/>
  <c r="E1459" i="6"/>
  <c r="E1460" i="6"/>
  <c r="E1461" i="6"/>
  <c r="E1436" i="6"/>
  <c r="E1437" i="6"/>
  <c r="E1464" i="6"/>
  <c r="E1465" i="6"/>
  <c r="E1466" i="6"/>
  <c r="E1469" i="6"/>
  <c r="E1470" i="6"/>
  <c r="E1471" i="6"/>
  <c r="F1459" i="6"/>
  <c r="F1460" i="6"/>
  <c r="F1461" i="6"/>
  <c r="F1436" i="6"/>
  <c r="F1437" i="6"/>
  <c r="F1465" i="6"/>
  <c r="F1466" i="6"/>
  <c r="I1459" i="6"/>
  <c r="I1460" i="6"/>
  <c r="I1461" i="6"/>
  <c r="I1436" i="6"/>
  <c r="I1437" i="6"/>
  <c r="I1464" i="6"/>
  <c r="I1465" i="6"/>
  <c r="I1466" i="6"/>
  <c r="I1469" i="6"/>
  <c r="I1470" i="6"/>
  <c r="I1471" i="6"/>
  <c r="J1459" i="6"/>
  <c r="J1460" i="6"/>
  <c r="J1461" i="6"/>
  <c r="J1436" i="6"/>
  <c r="J1437" i="6"/>
  <c r="J1464" i="6"/>
  <c r="J1465" i="6"/>
  <c r="J1466" i="6"/>
  <c r="J1469" i="6"/>
  <c r="J1470" i="6"/>
  <c r="J1471" i="6"/>
  <c r="E1449" i="6"/>
  <c r="E1451" i="6"/>
  <c r="E1452" i="6"/>
  <c r="E1454" i="6"/>
  <c r="E1453" i="6"/>
  <c r="E1455" i="6"/>
  <c r="E1444" i="6"/>
  <c r="E1456" i="6"/>
  <c r="E1457" i="6"/>
  <c r="E1458" i="6"/>
  <c r="F1449" i="6"/>
  <c r="F1451" i="6"/>
  <c r="F1452" i="6"/>
  <c r="F1454" i="6"/>
  <c r="F1453" i="6"/>
  <c r="F1455" i="6"/>
  <c r="F1444" i="6"/>
  <c r="F1457" i="6"/>
  <c r="F1458" i="6"/>
  <c r="I1449" i="6"/>
  <c r="I1451" i="6"/>
  <c r="I1452" i="6"/>
  <c r="I1454" i="6"/>
  <c r="I1453" i="6"/>
  <c r="I1455" i="6"/>
  <c r="I1444" i="6"/>
  <c r="I1456" i="6"/>
  <c r="I1457" i="6"/>
  <c r="I1458" i="6"/>
  <c r="J1449" i="6"/>
  <c r="J1451" i="6"/>
  <c r="J1452" i="6"/>
  <c r="J1454" i="6"/>
  <c r="J1453" i="6"/>
  <c r="J1455" i="6"/>
  <c r="J1444" i="6"/>
  <c r="J1456" i="6"/>
  <c r="J1457" i="6"/>
  <c r="J1458" i="6"/>
  <c r="E1438" i="6"/>
  <c r="E1439" i="6"/>
  <c r="E1448" i="6"/>
  <c r="E1440" i="6"/>
  <c r="E1441" i="6"/>
  <c r="E1442" i="6"/>
  <c r="E1443" i="6"/>
  <c r="E1445" i="6"/>
  <c r="E1446" i="6"/>
  <c r="E1447" i="6"/>
  <c r="E1450" i="6"/>
  <c r="F1438" i="6"/>
  <c r="F1439" i="6"/>
  <c r="F1448" i="6"/>
  <c r="F1440" i="6"/>
  <c r="F1441" i="6"/>
  <c r="F1442" i="6"/>
  <c r="F1443" i="6"/>
  <c r="F1445" i="6"/>
  <c r="F1450" i="6"/>
  <c r="I1438" i="6"/>
  <c r="I1439" i="6"/>
  <c r="I1448" i="6"/>
  <c r="I1440" i="6"/>
  <c r="I1441" i="6"/>
  <c r="I1442" i="6"/>
  <c r="I1443" i="6"/>
  <c r="I1445" i="6"/>
  <c r="I1446" i="6"/>
  <c r="I1447" i="6"/>
  <c r="I1450" i="6"/>
  <c r="J1438" i="6"/>
  <c r="J1439" i="6"/>
  <c r="J1448" i="6"/>
  <c r="J1440" i="6"/>
  <c r="J1441" i="6"/>
  <c r="J1442" i="6"/>
  <c r="J1443" i="6"/>
  <c r="J1445" i="6"/>
  <c r="J1446" i="6"/>
  <c r="J1447" i="6"/>
  <c r="J1450" i="6"/>
  <c r="Q54" i="15"/>
  <c r="Q53" i="15"/>
  <c r="Q52" i="15"/>
  <c r="Q51" i="15"/>
  <c r="Q50" i="15"/>
  <c r="Q49" i="15"/>
  <c r="Q48" i="15"/>
  <c r="Q47" i="15"/>
  <c r="Q46" i="15"/>
  <c r="Q45" i="15"/>
  <c r="Q43" i="15"/>
  <c r="Q42" i="15"/>
  <c r="Q41" i="15"/>
  <c r="Q40" i="15"/>
  <c r="Q39" i="15"/>
  <c r="Q38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1" i="15"/>
  <c r="Q10" i="15"/>
  <c r="Q9" i="15"/>
  <c r="Q7" i="15"/>
  <c r="Q6" i="15"/>
  <c r="Q5" i="15"/>
  <c r="Q4" i="15"/>
  <c r="Q3" i="15"/>
  <c r="Q2" i="15"/>
  <c r="E1432" i="6"/>
  <c r="F1432" i="6"/>
  <c r="I1432" i="6"/>
  <c r="J1432" i="6"/>
  <c r="A1509" i="1"/>
  <c r="C1509" i="1"/>
  <c r="B1509" i="1" s="1"/>
  <c r="F1509" i="1"/>
  <c r="O1509" i="1"/>
  <c r="S1509" i="1"/>
  <c r="T1509" i="1"/>
  <c r="U1509" i="1"/>
  <c r="Y1509" i="1" s="1"/>
  <c r="V1509" i="1"/>
  <c r="W1509" i="1" s="1"/>
  <c r="Z1509" i="1"/>
  <c r="A1508" i="1"/>
  <c r="C1508" i="1"/>
  <c r="B1508" i="1" s="1"/>
  <c r="F1508" i="1"/>
  <c r="M1508" i="1"/>
  <c r="O1508" i="1"/>
  <c r="S1508" i="1"/>
  <c r="T1508" i="1"/>
  <c r="U1508" i="1"/>
  <c r="Y1508" i="1" s="1"/>
  <c r="V1508" i="1"/>
  <c r="W1508" i="1" s="1"/>
  <c r="Z1508" i="1"/>
  <c r="A1510" i="1"/>
  <c r="C1510" i="1"/>
  <c r="B1510" i="1" s="1"/>
  <c r="F1510" i="1"/>
  <c r="M1510" i="1"/>
  <c r="O1510" i="1"/>
  <c r="S1510" i="1"/>
  <c r="T1510" i="1"/>
  <c r="U1510" i="1"/>
  <c r="Y1510" i="1" s="1"/>
  <c r="V1510" i="1"/>
  <c r="W1510" i="1" s="1"/>
  <c r="Z1510" i="1"/>
  <c r="A1517" i="1"/>
  <c r="C1517" i="1"/>
  <c r="B1517" i="1" s="1"/>
  <c r="F1517" i="1"/>
  <c r="M1517" i="1"/>
  <c r="U1517" i="1"/>
  <c r="Y1517" i="1" s="1"/>
  <c r="V1517" i="1"/>
  <c r="W1517" i="1" s="1"/>
  <c r="Z1517" i="1"/>
  <c r="A1534" i="1"/>
  <c r="C1534" i="1"/>
  <c r="B1534" i="1" s="1"/>
  <c r="F1534" i="1"/>
  <c r="M1534" i="1"/>
  <c r="O1534" i="1"/>
  <c r="U1534" i="1"/>
  <c r="Y1534" i="1" s="1"/>
  <c r="V1534" i="1"/>
  <c r="W1534" i="1" s="1"/>
  <c r="Z1534" i="1"/>
  <c r="A1533" i="1"/>
  <c r="C1533" i="1"/>
  <c r="B1533" i="1" s="1"/>
  <c r="F1533" i="1"/>
  <c r="M1533" i="1"/>
  <c r="O1533" i="1"/>
  <c r="U1533" i="1"/>
  <c r="Y1533" i="1" s="1"/>
  <c r="V1533" i="1"/>
  <c r="W1533" i="1" s="1"/>
  <c r="Z1533" i="1"/>
  <c r="A1507" i="1"/>
  <c r="C1507" i="1"/>
  <c r="B1507" i="1" s="1"/>
  <c r="F1507" i="1"/>
  <c r="M1507" i="1"/>
  <c r="O1507" i="1"/>
  <c r="T1507" i="1"/>
  <c r="U1507" i="1"/>
  <c r="V1507" i="1"/>
  <c r="W1507" i="1" s="1"/>
  <c r="Z1507" i="1"/>
  <c r="A1511" i="1"/>
  <c r="C1511" i="1"/>
  <c r="B1511" i="1" s="1"/>
  <c r="F1511" i="1"/>
  <c r="O1511" i="1"/>
  <c r="T1511" i="1"/>
  <c r="U1511" i="1"/>
  <c r="Y1511" i="1" s="1"/>
  <c r="V1511" i="1"/>
  <c r="W1511" i="1" s="1"/>
  <c r="Z1511" i="1"/>
  <c r="A1505" i="1"/>
  <c r="C1505" i="1"/>
  <c r="B1505" i="1" s="1"/>
  <c r="F1505" i="1"/>
  <c r="M1505" i="1"/>
  <c r="O1505" i="1"/>
  <c r="U1505" i="1"/>
  <c r="Y1505" i="1" s="1"/>
  <c r="V1505" i="1"/>
  <c r="W1505" i="1" s="1"/>
  <c r="Z1505" i="1"/>
  <c r="A1504" i="1"/>
  <c r="C1504" i="1"/>
  <c r="B1504" i="1" s="1"/>
  <c r="F1504" i="1"/>
  <c r="M1504" i="1"/>
  <c r="O1504" i="1"/>
  <c r="T1504" i="1"/>
  <c r="U1504" i="1"/>
  <c r="Y1504" i="1" s="1"/>
  <c r="V1504" i="1"/>
  <c r="W1504" i="1" s="1"/>
  <c r="Z1504" i="1"/>
  <c r="Q22" i="16"/>
  <c r="Q20" i="16"/>
  <c r="Q19" i="16"/>
  <c r="E1435" i="6"/>
  <c r="I1435" i="6"/>
  <c r="J1435" i="6"/>
  <c r="E1434" i="6"/>
  <c r="I1434" i="6"/>
  <c r="J1434" i="6"/>
  <c r="E1433" i="6"/>
  <c r="I1433" i="6"/>
  <c r="J1433" i="6"/>
  <c r="E1430" i="6"/>
  <c r="F1430" i="6"/>
  <c r="I1430" i="6"/>
  <c r="J1430" i="6"/>
  <c r="E1429" i="6"/>
  <c r="I1429" i="6"/>
  <c r="J1429" i="6"/>
  <c r="E1428" i="6"/>
  <c r="F1428" i="6"/>
  <c r="I1428" i="6"/>
  <c r="J1428" i="6"/>
  <c r="E1427" i="6"/>
  <c r="F1427" i="6"/>
  <c r="I1427" i="6"/>
  <c r="J1427" i="6"/>
  <c r="E1431" i="6"/>
  <c r="F1431" i="6"/>
  <c r="I1431" i="6"/>
  <c r="J1431" i="6"/>
  <c r="E1424" i="6"/>
  <c r="F1424" i="6"/>
  <c r="I1424" i="6"/>
  <c r="J1424" i="6"/>
  <c r="E1425" i="6"/>
  <c r="F1425" i="6"/>
  <c r="I1425" i="6"/>
  <c r="J1425" i="6"/>
  <c r="E1419" i="6"/>
  <c r="F1419" i="6"/>
  <c r="I1419" i="6"/>
  <c r="J1419" i="6"/>
  <c r="E1426" i="6"/>
  <c r="F1426" i="6"/>
  <c r="I1426" i="6"/>
  <c r="J1426" i="6"/>
  <c r="E1418" i="6"/>
  <c r="E1420" i="6"/>
  <c r="E1423" i="6"/>
  <c r="E1421" i="6"/>
  <c r="E1422" i="6"/>
  <c r="F1418" i="6"/>
  <c r="F1423" i="6"/>
  <c r="F1421" i="6"/>
  <c r="F1422" i="6"/>
  <c r="I1418" i="6"/>
  <c r="I1420" i="6"/>
  <c r="I1423" i="6"/>
  <c r="I1421" i="6"/>
  <c r="I1422" i="6"/>
  <c r="J1418" i="6"/>
  <c r="J1420" i="6"/>
  <c r="J1423" i="6"/>
  <c r="J1421" i="6"/>
  <c r="J1422" i="6"/>
  <c r="E1415" i="6"/>
  <c r="F1415" i="6"/>
  <c r="I1415" i="6"/>
  <c r="J1415" i="6"/>
  <c r="E1414" i="6"/>
  <c r="F1414" i="6"/>
  <c r="I1414" i="6"/>
  <c r="J1414" i="6"/>
  <c r="E1417" i="6"/>
  <c r="F1417" i="6"/>
  <c r="I1417" i="6"/>
  <c r="J1417" i="6"/>
  <c r="E1402" i="6"/>
  <c r="E1401" i="6"/>
  <c r="E1404" i="6"/>
  <c r="E1405" i="6"/>
  <c r="E1406" i="6"/>
  <c r="E1413" i="6"/>
  <c r="F1402" i="6"/>
  <c r="F1401" i="6"/>
  <c r="F1404" i="6"/>
  <c r="F1405" i="6"/>
  <c r="F1406" i="6"/>
  <c r="F1413" i="6"/>
  <c r="I1402" i="6"/>
  <c r="I1401" i="6"/>
  <c r="I1404" i="6"/>
  <c r="I1405" i="6"/>
  <c r="I1406" i="6"/>
  <c r="I1413" i="6"/>
  <c r="J1402" i="6"/>
  <c r="J1401" i="6"/>
  <c r="J1404" i="6"/>
  <c r="J1405" i="6"/>
  <c r="J1406" i="6"/>
  <c r="J1413" i="6"/>
  <c r="E1409" i="6"/>
  <c r="I1409" i="6"/>
  <c r="J1409" i="6"/>
  <c r="R1575" i="1" l="1"/>
  <c r="D1575" i="1" s="1"/>
  <c r="Q1598" i="1"/>
  <c r="Q1700" i="1"/>
  <c r="R1514" i="1"/>
  <c r="D1514" i="1" s="1"/>
  <c r="Q1519" i="1"/>
  <c r="Q1532" i="1"/>
  <c r="Q1741" i="1"/>
  <c r="Q1725" i="1"/>
  <c r="Q1611" i="1"/>
  <c r="Q1531" i="1"/>
  <c r="Q1625" i="1"/>
  <c r="R1731" i="1"/>
  <c r="Q1680" i="1"/>
  <c r="Q1612" i="1"/>
  <c r="Q1829" i="1"/>
  <c r="Q1593" i="1"/>
  <c r="Q1678" i="1"/>
  <c r="Q1745" i="1"/>
  <c r="Q1659" i="1"/>
  <c r="R1691" i="1"/>
  <c r="R1635" i="1"/>
  <c r="D1635" i="1" s="1"/>
  <c r="R1524" i="1"/>
  <c r="D1524" i="1" s="1"/>
  <c r="R1666" i="1"/>
  <c r="Q1649" i="1"/>
  <c r="Q1723" i="1"/>
  <c r="Q1662" i="1"/>
  <c r="Q1637" i="1"/>
  <c r="Q1526" i="1"/>
  <c r="Q1600" i="1"/>
  <c r="Q1724" i="1"/>
  <c r="Q1606" i="1"/>
  <c r="Q1651" i="1"/>
  <c r="Q1603" i="1"/>
  <c r="Q1739" i="1"/>
  <c r="Q1650" i="1"/>
  <c r="Q1679" i="1"/>
  <c r="Q1515" i="1"/>
  <c r="Q1624" i="1"/>
  <c r="R1758" i="1"/>
  <c r="R1525" i="1"/>
  <c r="D1525" i="1" s="1"/>
  <c r="R1690" i="1"/>
  <c r="R1667" i="1"/>
  <c r="D1789" i="1" s="1"/>
  <c r="T1722" i="1"/>
  <c r="T1677" i="1"/>
  <c r="T1602" i="1"/>
  <c r="X1602" i="1"/>
  <c r="X1677" i="1"/>
  <c r="T1567" i="1"/>
  <c r="Q12" i="16"/>
  <c r="T1676" i="1"/>
  <c r="X1676" i="1"/>
  <c r="T1721" i="1"/>
  <c r="X1722" i="1"/>
  <c r="X1721" i="1"/>
  <c r="X1567" i="1"/>
  <c r="X1502" i="1"/>
  <c r="Y1502" i="1"/>
  <c r="X1506" i="1"/>
  <c r="X1464" i="1"/>
  <c r="X1466" i="1"/>
  <c r="X1462" i="1"/>
  <c r="Q13" i="16"/>
  <c r="X1465" i="1"/>
  <c r="X1463" i="1"/>
  <c r="D1463" i="1"/>
  <c r="D1464" i="1"/>
  <c r="D1465" i="1"/>
  <c r="D1462" i="1"/>
  <c r="D1466" i="1"/>
  <c r="X1509" i="1"/>
  <c r="T1534" i="1"/>
  <c r="X1508" i="1"/>
  <c r="R1509" i="1"/>
  <c r="D1508" i="1"/>
  <c r="D1509" i="1"/>
  <c r="R1508" i="1"/>
  <c r="T1533" i="1"/>
  <c r="T1517" i="1"/>
  <c r="X1510" i="1"/>
  <c r="X1517" i="1"/>
  <c r="X1534" i="1"/>
  <c r="X1533" i="1"/>
  <c r="X1507" i="1"/>
  <c r="Y1507" i="1"/>
  <c r="X1511" i="1"/>
  <c r="T1505" i="1"/>
  <c r="X1505" i="1"/>
  <c r="R1505" i="1" s="1"/>
  <c r="X1504" i="1"/>
  <c r="I104" i="104"/>
  <c r="A1483" i="1"/>
  <c r="C1483" i="1"/>
  <c r="B1483" i="1" s="1"/>
  <c r="F1483" i="1"/>
  <c r="M1483" i="1"/>
  <c r="O1483" i="1"/>
  <c r="T1483" i="1"/>
  <c r="U1483" i="1"/>
  <c r="Y1483" i="1" s="1"/>
  <c r="V1483" i="1"/>
  <c r="W1483" i="1" s="1"/>
  <c r="Z1483" i="1"/>
  <c r="A1482" i="1"/>
  <c r="C1482" i="1"/>
  <c r="B1482" i="1" s="1"/>
  <c r="F1482" i="1"/>
  <c r="M1482" i="1"/>
  <c r="O1482" i="1"/>
  <c r="U1482" i="1"/>
  <c r="Y1482" i="1" s="1"/>
  <c r="V1482" i="1"/>
  <c r="W1482" i="1" s="1"/>
  <c r="Z1482" i="1"/>
  <c r="A1481" i="1"/>
  <c r="C1481" i="1"/>
  <c r="B1481" i="1" s="1"/>
  <c r="F1481" i="1"/>
  <c r="M1481" i="1"/>
  <c r="O1481" i="1"/>
  <c r="U1481" i="1"/>
  <c r="Y1481" i="1" s="1"/>
  <c r="V1481" i="1"/>
  <c r="W1481" i="1" s="1"/>
  <c r="Z1481" i="1"/>
  <c r="P1462" i="1" l="1"/>
  <c r="P1722" i="1"/>
  <c r="P1504" i="1"/>
  <c r="P1517" i="1"/>
  <c r="P1508" i="1"/>
  <c r="P1463" i="1"/>
  <c r="P1466" i="1"/>
  <c r="R1741" i="1"/>
  <c r="R1519" i="1"/>
  <c r="R1700" i="1"/>
  <c r="D1700" i="1" s="1"/>
  <c r="P1511" i="1"/>
  <c r="P1534" i="1"/>
  <c r="P1510" i="1"/>
  <c r="P1465" i="1"/>
  <c r="P1464" i="1"/>
  <c r="P1567" i="1"/>
  <c r="P1676" i="1"/>
  <c r="P1677" i="1"/>
  <c r="R1515" i="1"/>
  <c r="R1650" i="1"/>
  <c r="R1603" i="1"/>
  <c r="R1606" i="1"/>
  <c r="R1600" i="1"/>
  <c r="D1604" i="1" s="1"/>
  <c r="R1637" i="1"/>
  <c r="R1723" i="1"/>
  <c r="R1745" i="1"/>
  <c r="D1759" i="1" s="1"/>
  <c r="R1593" i="1"/>
  <c r="D1593" i="1" s="1"/>
  <c r="R1612" i="1"/>
  <c r="D1612" i="1" s="1"/>
  <c r="R1531" i="1"/>
  <c r="D1531" i="1" s="1"/>
  <c r="P1533" i="1"/>
  <c r="P1509" i="1"/>
  <c r="P1506" i="1"/>
  <c r="Q1506" i="1" s="1"/>
  <c r="P1721" i="1"/>
  <c r="P1602" i="1"/>
  <c r="R1725" i="1"/>
  <c r="R1532" i="1"/>
  <c r="D1532" i="1" s="1"/>
  <c r="R1598" i="1"/>
  <c r="R1624" i="1"/>
  <c r="R1679" i="1"/>
  <c r="R1739" i="1"/>
  <c r="D1739" i="1" s="1"/>
  <c r="R1651" i="1"/>
  <c r="R1724" i="1"/>
  <c r="R1526" i="1"/>
  <c r="D1526" i="1" s="1"/>
  <c r="R1662" i="1"/>
  <c r="R1649" i="1"/>
  <c r="D1649" i="1" s="1"/>
  <c r="R1659" i="1"/>
  <c r="R1678" i="1"/>
  <c r="R1829" i="1"/>
  <c r="V5" i="16" s="1"/>
  <c r="R1680" i="1"/>
  <c r="R1625" i="1"/>
  <c r="R1611" i="1"/>
  <c r="D1692" i="1" s="1"/>
  <c r="D1672" i="1"/>
  <c r="D1728" i="1"/>
  <c r="D1729" i="1"/>
  <c r="Q1504" i="1"/>
  <c r="Q1567" i="1"/>
  <c r="D1686" i="1"/>
  <c r="D1687" i="1"/>
  <c r="D1683" i="1"/>
  <c r="D1684" i="1"/>
  <c r="D1685" i="1"/>
  <c r="D1688" i="1"/>
  <c r="D1608" i="1"/>
  <c r="D1727" i="1"/>
  <c r="D1726" i="1"/>
  <c r="D1680" i="1"/>
  <c r="D1681" i="1"/>
  <c r="D1682" i="1"/>
  <c r="D1678" i="1"/>
  <c r="D1679" i="1"/>
  <c r="D1725" i="1"/>
  <c r="D1723" i="1"/>
  <c r="D1724" i="1"/>
  <c r="D1676" i="1"/>
  <c r="D1677" i="1"/>
  <c r="D1721" i="1"/>
  <c r="D1722" i="1"/>
  <c r="P1502" i="1"/>
  <c r="Q1502" i="1" s="1"/>
  <c r="D1533" i="1"/>
  <c r="D1534" i="1"/>
  <c r="P1507" i="1"/>
  <c r="X1481" i="1"/>
  <c r="X1483" i="1"/>
  <c r="X1482" i="1"/>
  <c r="T1482" i="1"/>
  <c r="T1481" i="1"/>
  <c r="Q1507" i="1" l="1"/>
  <c r="Q1602" i="1"/>
  <c r="R1506" i="1"/>
  <c r="D1506" i="1" s="1"/>
  <c r="Q1533" i="1"/>
  <c r="Q1676" i="1"/>
  <c r="Q1464" i="1"/>
  <c r="Q1510" i="1"/>
  <c r="Q1511" i="1"/>
  <c r="Q1463" i="1"/>
  <c r="Q1517" i="1"/>
  <c r="Q1722" i="1"/>
  <c r="P1481" i="1"/>
  <c r="R1502" i="1"/>
  <c r="P1482" i="1"/>
  <c r="R1567" i="1"/>
  <c r="D1567" i="1" s="1"/>
  <c r="P1483" i="1"/>
  <c r="R1504" i="1"/>
  <c r="Q1721" i="1"/>
  <c r="Q1677" i="1"/>
  <c r="Q1465" i="1"/>
  <c r="Q1534" i="1"/>
  <c r="Q1466" i="1"/>
  <c r="Q1462" i="1"/>
  <c r="A1479" i="1"/>
  <c r="C1479" i="1"/>
  <c r="B1479" i="1" s="1"/>
  <c r="F1479" i="1"/>
  <c r="M1479" i="1"/>
  <c r="O1479" i="1"/>
  <c r="S1479" i="1"/>
  <c r="T1479" i="1"/>
  <c r="U1479" i="1"/>
  <c r="Y1479" i="1" s="1"/>
  <c r="V1479" i="1"/>
  <c r="W1479" i="1" s="1"/>
  <c r="Z1479" i="1"/>
  <c r="A1489" i="1"/>
  <c r="C1489" i="1"/>
  <c r="B1489" i="1" s="1"/>
  <c r="F1489" i="1"/>
  <c r="M1489" i="1"/>
  <c r="O1489" i="1"/>
  <c r="U1489" i="1"/>
  <c r="Y1489" i="1" s="1"/>
  <c r="V1489" i="1"/>
  <c r="W1489" i="1" s="1"/>
  <c r="Z1489" i="1"/>
  <c r="A1513" i="1"/>
  <c r="C1513" i="1"/>
  <c r="B1513" i="1" s="1"/>
  <c r="F1513" i="1"/>
  <c r="M1513" i="1"/>
  <c r="O1513" i="1"/>
  <c r="U1513" i="1"/>
  <c r="Y1513" i="1" s="1"/>
  <c r="V1513" i="1"/>
  <c r="W1513" i="1" s="1"/>
  <c r="Z1513" i="1"/>
  <c r="A1581" i="1"/>
  <c r="C1581" i="1"/>
  <c r="B1581" i="1" s="1"/>
  <c r="F1581" i="1"/>
  <c r="M1581" i="1"/>
  <c r="O1581" i="1"/>
  <c r="U1581" i="1"/>
  <c r="Y1581" i="1" s="1"/>
  <c r="V1581" i="1"/>
  <c r="W1581" i="1" s="1"/>
  <c r="Z1581" i="1"/>
  <c r="A1621" i="1"/>
  <c r="C1621" i="1"/>
  <c r="B1621" i="1" s="1"/>
  <c r="F1621" i="1"/>
  <c r="M1621" i="1"/>
  <c r="O1621" i="1"/>
  <c r="U1621" i="1"/>
  <c r="Y1621" i="1" s="1"/>
  <c r="V1621" i="1"/>
  <c r="W1621" i="1" s="1"/>
  <c r="Z1621" i="1"/>
  <c r="A1601" i="1"/>
  <c r="C1601" i="1"/>
  <c r="B1601" i="1" s="1"/>
  <c r="F1601" i="1"/>
  <c r="M1601" i="1"/>
  <c r="O1601" i="1"/>
  <c r="U1601" i="1"/>
  <c r="Y1601" i="1" s="1"/>
  <c r="V1601" i="1"/>
  <c r="W1601" i="1" s="1"/>
  <c r="Z1601" i="1"/>
  <c r="A1591" i="1"/>
  <c r="C1591" i="1"/>
  <c r="B1591" i="1" s="1"/>
  <c r="F1591" i="1"/>
  <c r="M1591" i="1"/>
  <c r="O1591" i="1"/>
  <c r="U1591" i="1"/>
  <c r="Y1591" i="1" s="1"/>
  <c r="V1591" i="1"/>
  <c r="W1591" i="1" s="1"/>
  <c r="Z1591" i="1"/>
  <c r="A1580" i="1"/>
  <c r="C1580" i="1"/>
  <c r="B1580" i="1" s="1"/>
  <c r="F1580" i="1"/>
  <c r="M1580" i="1"/>
  <c r="O1580" i="1"/>
  <c r="U1580" i="1"/>
  <c r="Y1580" i="1" s="1"/>
  <c r="V1580" i="1"/>
  <c r="W1580" i="1" s="1"/>
  <c r="Z1580" i="1"/>
  <c r="A1626" i="1"/>
  <c r="C1626" i="1"/>
  <c r="B1626" i="1" s="1"/>
  <c r="F1626" i="1"/>
  <c r="M1626" i="1"/>
  <c r="O1626" i="1"/>
  <c r="U1626" i="1"/>
  <c r="V1626" i="1"/>
  <c r="W1626" i="1" s="1"/>
  <c r="Z1626" i="1"/>
  <c r="A1557" i="1"/>
  <c r="C1557" i="1"/>
  <c r="B1557" i="1" s="1"/>
  <c r="F1557" i="1"/>
  <c r="M1557" i="1"/>
  <c r="O1557" i="1"/>
  <c r="U1557" i="1"/>
  <c r="Y1557" i="1" s="1"/>
  <c r="V1557" i="1"/>
  <c r="W1557" i="1" s="1"/>
  <c r="Z1557" i="1"/>
  <c r="A1579" i="1"/>
  <c r="C1579" i="1"/>
  <c r="B1579" i="1" s="1"/>
  <c r="F1579" i="1"/>
  <c r="M1579" i="1"/>
  <c r="O1579" i="1"/>
  <c r="U1579" i="1"/>
  <c r="Y1579" i="1" s="1"/>
  <c r="V1579" i="1"/>
  <c r="W1579" i="1" s="1"/>
  <c r="Z1579" i="1"/>
  <c r="A1578" i="1"/>
  <c r="C1578" i="1"/>
  <c r="B1578" i="1" s="1"/>
  <c r="F1578" i="1"/>
  <c r="M1578" i="1"/>
  <c r="O1578" i="1"/>
  <c r="U1578" i="1"/>
  <c r="Y1578" i="1" s="1"/>
  <c r="V1578" i="1"/>
  <c r="W1578" i="1" s="1"/>
  <c r="Z1578" i="1"/>
  <c r="A1488" i="1"/>
  <c r="C1488" i="1"/>
  <c r="B1488" i="1" s="1"/>
  <c r="F1488" i="1"/>
  <c r="M1488" i="1"/>
  <c r="O1488" i="1"/>
  <c r="U1488" i="1"/>
  <c r="V1488" i="1"/>
  <c r="W1488" i="1" s="1"/>
  <c r="Z1488" i="1"/>
  <c r="A1487" i="1"/>
  <c r="C1487" i="1"/>
  <c r="B1487" i="1" s="1"/>
  <c r="F1487" i="1"/>
  <c r="M1487" i="1"/>
  <c r="O1487" i="1"/>
  <c r="U1487" i="1"/>
  <c r="Y1487" i="1" s="1"/>
  <c r="V1487" i="1"/>
  <c r="W1487" i="1" s="1"/>
  <c r="Z1487" i="1"/>
  <c r="A104" i="104"/>
  <c r="B104" i="104"/>
  <c r="C104" i="104"/>
  <c r="I103" i="104"/>
  <c r="A103" i="104"/>
  <c r="B103" i="104"/>
  <c r="C103" i="104"/>
  <c r="A1597" i="1"/>
  <c r="C1597" i="1"/>
  <c r="B1597" i="1" s="1"/>
  <c r="F1597" i="1"/>
  <c r="M1597" i="1"/>
  <c r="U1597" i="1"/>
  <c r="V1597" i="1"/>
  <c r="W1597" i="1" s="1"/>
  <c r="Z1597" i="1"/>
  <c r="A1563" i="1"/>
  <c r="C1563" i="1"/>
  <c r="B1563" i="1" s="1"/>
  <c r="F1563" i="1"/>
  <c r="M1563" i="1"/>
  <c r="O1563" i="1"/>
  <c r="U1563" i="1"/>
  <c r="Y1563" i="1" s="1"/>
  <c r="V1563" i="1"/>
  <c r="W1563" i="1" s="1"/>
  <c r="Z1563" i="1"/>
  <c r="A1622" i="1"/>
  <c r="C1622" i="1"/>
  <c r="B1622" i="1" s="1"/>
  <c r="F1622" i="1"/>
  <c r="M1622" i="1"/>
  <c r="O1622" i="1"/>
  <c r="U1622" i="1"/>
  <c r="Y1622" i="1" s="1"/>
  <c r="V1622" i="1"/>
  <c r="W1622" i="1" s="1"/>
  <c r="Z1622" i="1"/>
  <c r="A1562" i="1"/>
  <c r="C1562" i="1"/>
  <c r="B1562" i="1" s="1"/>
  <c r="F1562" i="1"/>
  <c r="M1562" i="1"/>
  <c r="O1562" i="1"/>
  <c r="U1562" i="1"/>
  <c r="Y1562" i="1" s="1"/>
  <c r="V1562" i="1"/>
  <c r="W1562" i="1" s="1"/>
  <c r="Z1562" i="1"/>
  <c r="A1730" i="1"/>
  <c r="C1730" i="1"/>
  <c r="B1730" i="1" s="1"/>
  <c r="F1730" i="1"/>
  <c r="M1730" i="1"/>
  <c r="O1730" i="1"/>
  <c r="U1730" i="1"/>
  <c r="Y1730" i="1" s="1"/>
  <c r="V1730" i="1"/>
  <c r="W1730" i="1" s="1"/>
  <c r="Z1730" i="1"/>
  <c r="A1555" i="1"/>
  <c r="C1555" i="1"/>
  <c r="B1555" i="1" s="1"/>
  <c r="F1555" i="1"/>
  <c r="M1555" i="1"/>
  <c r="O1555" i="1"/>
  <c r="U1555" i="1"/>
  <c r="Y1555" i="1" s="1"/>
  <c r="V1555" i="1"/>
  <c r="W1555" i="1" s="1"/>
  <c r="Z1555" i="1"/>
  <c r="A1554" i="1"/>
  <c r="C1554" i="1"/>
  <c r="T1554" i="1" s="1"/>
  <c r="F1554" i="1"/>
  <c r="M1554" i="1"/>
  <c r="O1554" i="1"/>
  <c r="U1554" i="1"/>
  <c r="Y1554" i="1" s="1"/>
  <c r="V1554" i="1"/>
  <c r="W1554" i="1" s="1"/>
  <c r="Z1554" i="1"/>
  <c r="A1553" i="1"/>
  <c r="C1553" i="1"/>
  <c r="B1553" i="1" s="1"/>
  <c r="F1553" i="1"/>
  <c r="M1553" i="1"/>
  <c r="O1553" i="1"/>
  <c r="U1553" i="1"/>
  <c r="Y1553" i="1" s="1"/>
  <c r="V1553" i="1"/>
  <c r="W1553" i="1" s="1"/>
  <c r="Z1553" i="1"/>
  <c r="A1556" i="1"/>
  <c r="C1556" i="1"/>
  <c r="B1556" i="1" s="1"/>
  <c r="F1556" i="1"/>
  <c r="O1556" i="1"/>
  <c r="U1556" i="1"/>
  <c r="V1556" i="1"/>
  <c r="W1556" i="1" s="1"/>
  <c r="Z1556" i="1"/>
  <c r="R1462" i="1" l="1"/>
  <c r="R1534" i="1"/>
  <c r="R1677" i="1"/>
  <c r="R1466" i="1"/>
  <c r="R1465" i="1"/>
  <c r="R1721" i="1"/>
  <c r="Q1483" i="1"/>
  <c r="Q1482" i="1"/>
  <c r="Q1481" i="1"/>
  <c r="R1517" i="1"/>
  <c r="D1517" i="1" s="1"/>
  <c r="R1511" i="1"/>
  <c r="D1511" i="1" s="1"/>
  <c r="R1464" i="1"/>
  <c r="R1533" i="1"/>
  <c r="R1602" i="1"/>
  <c r="R1722" i="1"/>
  <c r="R1463" i="1"/>
  <c r="R1510" i="1"/>
  <c r="D1510" i="1" s="1"/>
  <c r="R1676" i="1"/>
  <c r="R1507" i="1"/>
  <c r="D1507" i="1" s="1"/>
  <c r="T1513" i="1"/>
  <c r="T1489" i="1"/>
  <c r="X1479" i="1"/>
  <c r="X1489" i="1"/>
  <c r="T1597" i="1"/>
  <c r="T1578" i="1"/>
  <c r="X1580" i="1"/>
  <c r="X1513" i="1"/>
  <c r="T1581" i="1"/>
  <c r="X1581" i="1"/>
  <c r="X1621" i="1"/>
  <c r="T1621" i="1"/>
  <c r="T1601" i="1"/>
  <c r="X1601" i="1"/>
  <c r="X1591" i="1"/>
  <c r="T1591" i="1"/>
  <c r="T1580" i="1"/>
  <c r="T1626" i="1"/>
  <c r="X1626" i="1"/>
  <c r="Y1626" i="1"/>
  <c r="X1557" i="1"/>
  <c r="T1488" i="1"/>
  <c r="T1557" i="1"/>
  <c r="T1579" i="1"/>
  <c r="X1579" i="1"/>
  <c r="X1578" i="1"/>
  <c r="T1487" i="1"/>
  <c r="X1487" i="1"/>
  <c r="X1488" i="1"/>
  <c r="Y1488" i="1"/>
  <c r="X1597" i="1"/>
  <c r="Y1597" i="1"/>
  <c r="X1563" i="1"/>
  <c r="T1563" i="1"/>
  <c r="B1554" i="1"/>
  <c r="X1562" i="1"/>
  <c r="X1622" i="1"/>
  <c r="T1622" i="1"/>
  <c r="T1562" i="1"/>
  <c r="X1730" i="1"/>
  <c r="T1555" i="1"/>
  <c r="X1553" i="1"/>
  <c r="X1555" i="1"/>
  <c r="T1730" i="1"/>
  <c r="X1554" i="1"/>
  <c r="T1556" i="1"/>
  <c r="T1553" i="1"/>
  <c r="X1556" i="1"/>
  <c r="Y1556" i="1"/>
  <c r="A1530" i="1"/>
  <c r="C1530" i="1"/>
  <c r="B1530" i="1" s="1"/>
  <c r="F1530" i="1"/>
  <c r="M1530" i="1"/>
  <c r="O1530" i="1"/>
  <c r="U1530" i="1"/>
  <c r="Y1530" i="1" s="1"/>
  <c r="V1530" i="1"/>
  <c r="W1530" i="1" s="1"/>
  <c r="Z1530" i="1"/>
  <c r="A1529" i="1"/>
  <c r="C1529" i="1"/>
  <c r="B1529" i="1" s="1"/>
  <c r="F1529" i="1"/>
  <c r="M1529" i="1"/>
  <c r="O1529" i="1"/>
  <c r="U1529" i="1"/>
  <c r="Y1529" i="1" s="1"/>
  <c r="V1529" i="1"/>
  <c r="W1529" i="1" s="1"/>
  <c r="Z1529" i="1"/>
  <c r="A1577" i="1"/>
  <c r="C1577" i="1"/>
  <c r="B1577" i="1" s="1"/>
  <c r="F1577" i="1"/>
  <c r="M1577" i="1"/>
  <c r="O1577" i="1"/>
  <c r="U1577" i="1"/>
  <c r="Y1577" i="1" s="1"/>
  <c r="V1577" i="1"/>
  <c r="W1577" i="1" s="1"/>
  <c r="Z1577" i="1"/>
  <c r="A1495" i="1"/>
  <c r="C1495" i="1"/>
  <c r="B1495" i="1" s="1"/>
  <c r="F1495" i="1"/>
  <c r="O1495" i="1"/>
  <c r="U1495" i="1"/>
  <c r="Y1495" i="1" s="1"/>
  <c r="V1495" i="1"/>
  <c r="W1495" i="1" s="1"/>
  <c r="Z1495" i="1"/>
  <c r="A1547" i="1"/>
  <c r="C1547" i="1"/>
  <c r="B1547" i="1" s="1"/>
  <c r="F1547" i="1"/>
  <c r="M1547" i="1"/>
  <c r="O1547" i="1"/>
  <c r="U1547" i="1"/>
  <c r="Y1547" i="1" s="1"/>
  <c r="V1547" i="1"/>
  <c r="W1547" i="1" s="1"/>
  <c r="Z1547" i="1"/>
  <c r="A1549" i="1"/>
  <c r="C1549" i="1"/>
  <c r="B1549" i="1" s="1"/>
  <c r="F1549" i="1"/>
  <c r="M1549" i="1"/>
  <c r="O1549" i="1"/>
  <c r="U1549" i="1"/>
  <c r="Y1549" i="1" s="1"/>
  <c r="V1549" i="1"/>
  <c r="W1549" i="1" s="1"/>
  <c r="Z1549" i="1"/>
  <c r="A1548" i="1"/>
  <c r="C1548" i="1"/>
  <c r="B1548" i="1" s="1"/>
  <c r="F1548" i="1"/>
  <c r="M1548" i="1"/>
  <c r="O1548" i="1"/>
  <c r="U1548" i="1"/>
  <c r="Y1548" i="1" s="1"/>
  <c r="V1548" i="1"/>
  <c r="W1548" i="1" s="1"/>
  <c r="Z1548" i="1"/>
  <c r="A1748" i="1"/>
  <c r="C1748" i="1"/>
  <c r="B1748" i="1" s="1"/>
  <c r="F1748" i="1"/>
  <c r="M1748" i="1"/>
  <c r="O1748" i="1"/>
  <c r="U1748" i="1"/>
  <c r="V1748" i="1"/>
  <c r="W1748" i="1" s="1"/>
  <c r="Z1748" i="1"/>
  <c r="A1485" i="1"/>
  <c r="C1485" i="1"/>
  <c r="B1485" i="1" s="1"/>
  <c r="F1485" i="1"/>
  <c r="M1485" i="1"/>
  <c r="O1485" i="1"/>
  <c r="U1485" i="1"/>
  <c r="Y1485" i="1" s="1"/>
  <c r="V1485" i="1"/>
  <c r="W1485" i="1" s="1"/>
  <c r="Z1485" i="1"/>
  <c r="A1484" i="1"/>
  <c r="C1484" i="1"/>
  <c r="B1484" i="1" s="1"/>
  <c r="F1484" i="1"/>
  <c r="M1484" i="1"/>
  <c r="O1484" i="1"/>
  <c r="U1484" i="1"/>
  <c r="Y1484" i="1" s="1"/>
  <c r="V1484" i="1"/>
  <c r="W1484" i="1" s="1"/>
  <c r="Z1484" i="1"/>
  <c r="A102" i="104"/>
  <c r="B102" i="104"/>
  <c r="C102" i="104"/>
  <c r="I102" i="104"/>
  <c r="I101" i="104"/>
  <c r="A101" i="104"/>
  <c r="B101" i="104"/>
  <c r="C101" i="104"/>
  <c r="A1423" i="1"/>
  <c r="C1423" i="1"/>
  <c r="B1423" i="1" s="1"/>
  <c r="F1423" i="1"/>
  <c r="M1423" i="1"/>
  <c r="O1423" i="1"/>
  <c r="U1423" i="1"/>
  <c r="Y1423" i="1" s="1"/>
  <c r="V1423" i="1"/>
  <c r="W1423" i="1" s="1"/>
  <c r="Z1423" i="1"/>
  <c r="A1454" i="1"/>
  <c r="C1454" i="1"/>
  <c r="B1454" i="1" s="1"/>
  <c r="F1454" i="1"/>
  <c r="M1454" i="1"/>
  <c r="O1454" i="1"/>
  <c r="T1454" i="1"/>
  <c r="U1454" i="1"/>
  <c r="Y1454" i="1" s="1"/>
  <c r="V1454" i="1"/>
  <c r="W1454" i="1" s="1"/>
  <c r="Z1454" i="1"/>
  <c r="A1430" i="1"/>
  <c r="C1430" i="1"/>
  <c r="B1430" i="1" s="1"/>
  <c r="F1430" i="1"/>
  <c r="M1430" i="1"/>
  <c r="O1430" i="1"/>
  <c r="S1430" i="1"/>
  <c r="T1430" i="1"/>
  <c r="U1430" i="1"/>
  <c r="Y1430" i="1" s="1"/>
  <c r="V1430" i="1"/>
  <c r="W1430" i="1" s="1"/>
  <c r="Z1430" i="1"/>
  <c r="A1512" i="1"/>
  <c r="C1512" i="1"/>
  <c r="B1512" i="1" s="1"/>
  <c r="F1512" i="1"/>
  <c r="M1512" i="1"/>
  <c r="O1512" i="1"/>
  <c r="U1512" i="1"/>
  <c r="V1512" i="1"/>
  <c r="W1512" i="1" s="1"/>
  <c r="Z1512" i="1"/>
  <c r="A1589" i="1"/>
  <c r="C1589" i="1"/>
  <c r="B1589" i="1" s="1"/>
  <c r="F1589" i="1"/>
  <c r="M1589" i="1"/>
  <c r="O1589" i="1"/>
  <c r="U1589" i="1"/>
  <c r="Y1589" i="1" s="1"/>
  <c r="V1589" i="1"/>
  <c r="W1589" i="1" s="1"/>
  <c r="Z1589" i="1"/>
  <c r="A1427" i="1"/>
  <c r="C1427" i="1"/>
  <c r="B1427" i="1" s="1"/>
  <c r="F1427" i="1"/>
  <c r="M1427" i="1"/>
  <c r="O1427" i="1"/>
  <c r="T1427" i="1"/>
  <c r="U1427" i="1"/>
  <c r="Y1427" i="1" s="1"/>
  <c r="V1427" i="1"/>
  <c r="W1427" i="1" s="1"/>
  <c r="Z1427" i="1"/>
  <c r="A1425" i="1"/>
  <c r="C1425" i="1"/>
  <c r="B1425" i="1" s="1"/>
  <c r="F1425" i="1"/>
  <c r="M1425" i="1"/>
  <c r="O1425" i="1"/>
  <c r="T1425" i="1"/>
  <c r="U1425" i="1"/>
  <c r="Y1425" i="1" s="1"/>
  <c r="V1425" i="1"/>
  <c r="W1425" i="1" s="1"/>
  <c r="Z1425" i="1"/>
  <c r="A1458" i="1"/>
  <c r="C1458" i="1"/>
  <c r="B1458" i="1" s="1"/>
  <c r="F1458" i="1"/>
  <c r="M1458" i="1"/>
  <c r="O1458" i="1"/>
  <c r="S1458" i="1"/>
  <c r="T1458" i="1"/>
  <c r="U1458" i="1"/>
  <c r="Y1458" i="1" s="1"/>
  <c r="V1458" i="1"/>
  <c r="W1458" i="1" s="1"/>
  <c r="Z1458" i="1"/>
  <c r="A1431" i="1"/>
  <c r="C1431" i="1"/>
  <c r="B1431" i="1" s="1"/>
  <c r="F1431" i="1"/>
  <c r="M1431" i="1"/>
  <c r="O1431" i="1"/>
  <c r="S1431" i="1"/>
  <c r="T1431" i="1"/>
  <c r="U1431" i="1"/>
  <c r="Y1431" i="1" s="1"/>
  <c r="V1431" i="1"/>
  <c r="W1431" i="1" s="1"/>
  <c r="Z1431" i="1"/>
  <c r="A1518" i="1"/>
  <c r="C1518" i="1"/>
  <c r="B1518" i="1" s="1"/>
  <c r="F1518" i="1"/>
  <c r="M1518" i="1"/>
  <c r="O1518" i="1"/>
  <c r="U1518" i="1"/>
  <c r="Y1518" i="1" s="1"/>
  <c r="V1518" i="1"/>
  <c r="W1518" i="1" s="1"/>
  <c r="Z1518" i="1"/>
  <c r="A1545" i="1"/>
  <c r="C1545" i="1"/>
  <c r="B1545" i="1" s="1"/>
  <c r="F1545" i="1"/>
  <c r="M1545" i="1"/>
  <c r="O1545" i="1"/>
  <c r="U1545" i="1"/>
  <c r="Y1545" i="1" s="1"/>
  <c r="V1545" i="1"/>
  <c r="W1545" i="1" s="1"/>
  <c r="Z1545" i="1"/>
  <c r="A1546" i="1"/>
  <c r="C1546" i="1"/>
  <c r="B1546" i="1" s="1"/>
  <c r="F1546" i="1"/>
  <c r="M1546" i="1"/>
  <c r="O1546" i="1"/>
  <c r="U1546" i="1"/>
  <c r="Y1546" i="1" s="1"/>
  <c r="V1546" i="1"/>
  <c r="W1546" i="1" s="1"/>
  <c r="Z1546" i="1"/>
  <c r="A1461" i="1"/>
  <c r="C1461" i="1"/>
  <c r="B1461" i="1" s="1"/>
  <c r="F1461" i="1"/>
  <c r="M1461" i="1"/>
  <c r="O1461" i="1"/>
  <c r="U1461" i="1"/>
  <c r="V1461" i="1"/>
  <c r="W1461" i="1" s="1"/>
  <c r="Z1461" i="1"/>
  <c r="A1503" i="1"/>
  <c r="C1503" i="1"/>
  <c r="B1503" i="1" s="1"/>
  <c r="F1503" i="1"/>
  <c r="M1503" i="1"/>
  <c r="O1503" i="1"/>
  <c r="U1503" i="1"/>
  <c r="Y1503" i="1" s="1"/>
  <c r="V1503" i="1"/>
  <c r="W1503" i="1" s="1"/>
  <c r="Z1503" i="1"/>
  <c r="A1457" i="1"/>
  <c r="C1457" i="1"/>
  <c r="B1457" i="1" s="1"/>
  <c r="D1457" i="1"/>
  <c r="F1457" i="1"/>
  <c r="M1457" i="1"/>
  <c r="O1457" i="1"/>
  <c r="S1457" i="1"/>
  <c r="T1457" i="1"/>
  <c r="U1457" i="1"/>
  <c r="Y1457" i="1" s="1"/>
  <c r="V1457" i="1"/>
  <c r="W1457" i="1" s="1"/>
  <c r="Z1457" i="1"/>
  <c r="A1528" i="1"/>
  <c r="C1528" i="1"/>
  <c r="B1528" i="1" s="1"/>
  <c r="F1528" i="1"/>
  <c r="M1528" i="1"/>
  <c r="O1528" i="1"/>
  <c r="U1528" i="1"/>
  <c r="V1528" i="1"/>
  <c r="W1528" i="1" s="1"/>
  <c r="Z1528" i="1"/>
  <c r="A1426" i="1"/>
  <c r="C1426" i="1"/>
  <c r="B1426" i="1" s="1"/>
  <c r="F1426" i="1"/>
  <c r="M1426" i="1"/>
  <c r="O1426" i="1"/>
  <c r="S1426" i="1"/>
  <c r="T1426" i="1"/>
  <c r="U1426" i="1"/>
  <c r="V1426" i="1"/>
  <c r="W1426" i="1" s="1"/>
  <c r="Z1426" i="1"/>
  <c r="R1482" i="1" l="1"/>
  <c r="P1553" i="1"/>
  <c r="P1578" i="1"/>
  <c r="P1601" i="1"/>
  <c r="P1581" i="1"/>
  <c r="P1555" i="1"/>
  <c r="P1591" i="1"/>
  <c r="P1621" i="1"/>
  <c r="P1580" i="1"/>
  <c r="P1479" i="1"/>
  <c r="P1554" i="1"/>
  <c r="P1622" i="1"/>
  <c r="P1563" i="1"/>
  <c r="P1579" i="1"/>
  <c r="P1557" i="1"/>
  <c r="R1481" i="1"/>
  <c r="R1483" i="1"/>
  <c r="P1556" i="1"/>
  <c r="P1730" i="1"/>
  <c r="P1562" i="1"/>
  <c r="P1487" i="1"/>
  <c r="P1513" i="1"/>
  <c r="P1489" i="1"/>
  <c r="D1846" i="1"/>
  <c r="D1732" i="1"/>
  <c r="D1730" i="1"/>
  <c r="D1731" i="1"/>
  <c r="D1563" i="1"/>
  <c r="D1600" i="1"/>
  <c r="P1626" i="1"/>
  <c r="P1488" i="1"/>
  <c r="P1597" i="1"/>
  <c r="T1530" i="1"/>
  <c r="T1549" i="1"/>
  <c r="X1530" i="1"/>
  <c r="T1548" i="1"/>
  <c r="T1495" i="1"/>
  <c r="T1529" i="1"/>
  <c r="X1529" i="1"/>
  <c r="T1577" i="1"/>
  <c r="X1577" i="1"/>
  <c r="P1577" i="1" s="1"/>
  <c r="T1423" i="1"/>
  <c r="X1495" i="1"/>
  <c r="X1548" i="1"/>
  <c r="T1547" i="1"/>
  <c r="X1547" i="1"/>
  <c r="X1549" i="1"/>
  <c r="X1748" i="1"/>
  <c r="T1748" i="1"/>
  <c r="Y1748" i="1"/>
  <c r="T1485" i="1"/>
  <c r="X1484" i="1"/>
  <c r="X1485" i="1"/>
  <c r="T1589" i="1"/>
  <c r="T1484" i="1"/>
  <c r="X1423" i="1"/>
  <c r="X1454" i="1"/>
  <c r="X1430" i="1"/>
  <c r="T1518" i="1"/>
  <c r="X1512" i="1"/>
  <c r="T1512" i="1"/>
  <c r="T1528" i="1"/>
  <c r="X1589" i="1"/>
  <c r="X1545" i="1"/>
  <c r="Y1512" i="1"/>
  <c r="X1518" i="1"/>
  <c r="X1425" i="1"/>
  <c r="X1427" i="1"/>
  <c r="X1458" i="1"/>
  <c r="X1431" i="1"/>
  <c r="T1545" i="1"/>
  <c r="X1546" i="1"/>
  <c r="T1546" i="1"/>
  <c r="X1461" i="1"/>
  <c r="Y1461" i="1"/>
  <c r="T1461" i="1"/>
  <c r="X1503" i="1"/>
  <c r="T1503" i="1"/>
  <c r="X1457" i="1"/>
  <c r="X1528" i="1"/>
  <c r="Y1528" i="1"/>
  <c r="X1426" i="1"/>
  <c r="Y1426" i="1"/>
  <c r="A1478" i="1"/>
  <c r="C1478" i="1"/>
  <c r="B1478" i="1" s="1"/>
  <c r="F1478" i="1"/>
  <c r="M1478" i="1"/>
  <c r="O1478" i="1"/>
  <c r="U1478" i="1"/>
  <c r="Y1478" i="1" s="1"/>
  <c r="V1478" i="1"/>
  <c r="W1478" i="1" s="1"/>
  <c r="Z1478" i="1"/>
  <c r="A1477" i="1"/>
  <c r="C1477" i="1"/>
  <c r="B1477" i="1" s="1"/>
  <c r="F1477" i="1"/>
  <c r="M1477" i="1"/>
  <c r="O1477" i="1"/>
  <c r="U1477" i="1"/>
  <c r="V1477" i="1"/>
  <c r="W1477" i="1" s="1"/>
  <c r="Z1477" i="1"/>
  <c r="A1476" i="1"/>
  <c r="C1476" i="1"/>
  <c r="B1476" i="1" s="1"/>
  <c r="F1476" i="1"/>
  <c r="M1476" i="1"/>
  <c r="O1476" i="1"/>
  <c r="U1476" i="1"/>
  <c r="Y1476" i="1" s="1"/>
  <c r="V1476" i="1"/>
  <c r="W1476" i="1" s="1"/>
  <c r="Z1476" i="1"/>
  <c r="A1390" i="1"/>
  <c r="C1390" i="1"/>
  <c r="B1390" i="1" s="1"/>
  <c r="D1390" i="1"/>
  <c r="F1390" i="1"/>
  <c r="M1390" i="1"/>
  <c r="O1390" i="1"/>
  <c r="S1390" i="1"/>
  <c r="T1390" i="1"/>
  <c r="U1390" i="1"/>
  <c r="Y1390" i="1" s="1"/>
  <c r="V1390" i="1"/>
  <c r="W1390" i="1" s="1"/>
  <c r="Z1390" i="1"/>
  <c r="A1378" i="1"/>
  <c r="C1378" i="1"/>
  <c r="B1378" i="1" s="1"/>
  <c r="F1378" i="1"/>
  <c r="M1378" i="1"/>
  <c r="O1378" i="1"/>
  <c r="S1378" i="1"/>
  <c r="T1378" i="1"/>
  <c r="U1378" i="1"/>
  <c r="Y1378" i="1" s="1"/>
  <c r="V1378" i="1"/>
  <c r="W1378" i="1" s="1"/>
  <c r="Z1378" i="1"/>
  <c r="A1408" i="1"/>
  <c r="C1408" i="1"/>
  <c r="B1408" i="1" s="1"/>
  <c r="F1408" i="1"/>
  <c r="M1408" i="1"/>
  <c r="O1408" i="1"/>
  <c r="U1408" i="1"/>
  <c r="Y1408" i="1" s="1"/>
  <c r="V1408" i="1"/>
  <c r="W1408" i="1" s="1"/>
  <c r="Z1408" i="1"/>
  <c r="A1590" i="1"/>
  <c r="C1590" i="1"/>
  <c r="B1590" i="1" s="1"/>
  <c r="F1590" i="1"/>
  <c r="M1590" i="1"/>
  <c r="O1590" i="1"/>
  <c r="U1590" i="1"/>
  <c r="Y1590" i="1" s="1"/>
  <c r="V1590" i="1"/>
  <c r="W1590" i="1" s="1"/>
  <c r="Z1590" i="1"/>
  <c r="A1516" i="1"/>
  <c r="C1516" i="1"/>
  <c r="B1516" i="1" s="1"/>
  <c r="F1516" i="1"/>
  <c r="M1516" i="1"/>
  <c r="O1516" i="1"/>
  <c r="U1516" i="1"/>
  <c r="Y1516" i="1" s="1"/>
  <c r="V1516" i="1"/>
  <c r="W1516" i="1" s="1"/>
  <c r="Z1516" i="1"/>
  <c r="A1658" i="1"/>
  <c r="C1658" i="1"/>
  <c r="B1658" i="1" s="1"/>
  <c r="F1658" i="1"/>
  <c r="M1658" i="1"/>
  <c r="O1658" i="1"/>
  <c r="T15" i="16" s="1"/>
  <c r="U1658" i="1"/>
  <c r="Y1658" i="1" s="1"/>
  <c r="V1658" i="1"/>
  <c r="W1658" i="1" s="1"/>
  <c r="Z1658" i="1"/>
  <c r="A1522" i="1"/>
  <c r="C1522" i="1"/>
  <c r="B1522" i="1" s="1"/>
  <c r="F1522" i="1"/>
  <c r="M1522" i="1"/>
  <c r="O1522" i="1"/>
  <c r="U1522" i="1"/>
  <c r="Y1522" i="1" s="1"/>
  <c r="V1522" i="1"/>
  <c r="W1522" i="1" s="1"/>
  <c r="Z1522" i="1"/>
  <c r="A1523" i="1"/>
  <c r="C1523" i="1"/>
  <c r="T1523" i="1" s="1"/>
  <c r="F1523" i="1"/>
  <c r="M1523" i="1"/>
  <c r="O1523" i="1"/>
  <c r="U1523" i="1"/>
  <c r="Y1523" i="1" s="1"/>
  <c r="V1523" i="1"/>
  <c r="W1523" i="1" s="1"/>
  <c r="Z1523" i="1"/>
  <c r="A1561" i="1"/>
  <c r="C1561" i="1"/>
  <c r="B1561" i="1" s="1"/>
  <c r="F1561" i="1"/>
  <c r="M1561" i="1"/>
  <c r="O1561" i="1"/>
  <c r="U1561" i="1"/>
  <c r="Y1561" i="1" s="1"/>
  <c r="V1561" i="1"/>
  <c r="W1561" i="1" s="1"/>
  <c r="Z1561" i="1"/>
  <c r="A1558" i="1"/>
  <c r="C1558" i="1"/>
  <c r="T1558" i="1" s="1"/>
  <c r="F1558" i="1"/>
  <c r="M1558" i="1"/>
  <c r="O1558" i="1"/>
  <c r="U1558" i="1"/>
  <c r="Y1558" i="1" s="1"/>
  <c r="V1558" i="1"/>
  <c r="W1558" i="1" s="1"/>
  <c r="Z1558" i="1"/>
  <c r="A1551" i="1"/>
  <c r="C1551" i="1"/>
  <c r="B1551" i="1" s="1"/>
  <c r="F1551" i="1"/>
  <c r="M1551" i="1"/>
  <c r="O1551" i="1"/>
  <c r="U1551" i="1"/>
  <c r="Y1551" i="1" s="1"/>
  <c r="V1551" i="1"/>
  <c r="W1551" i="1" s="1"/>
  <c r="Z1551" i="1"/>
  <c r="A1610" i="1"/>
  <c r="C1610" i="1"/>
  <c r="B1610" i="1" s="1"/>
  <c r="F1610" i="1"/>
  <c r="M1610" i="1"/>
  <c r="O1610" i="1"/>
  <c r="U1610" i="1"/>
  <c r="Y1610" i="1" s="1"/>
  <c r="V1610" i="1"/>
  <c r="W1610" i="1" s="1"/>
  <c r="Z1610" i="1"/>
  <c r="A1749" i="1"/>
  <c r="C1749" i="1"/>
  <c r="B1749" i="1" s="1"/>
  <c r="F1749" i="1"/>
  <c r="M1749" i="1"/>
  <c r="O1749" i="1"/>
  <c r="U15" i="16" s="1"/>
  <c r="U1749" i="1"/>
  <c r="Y1749" i="1" s="1"/>
  <c r="V1749" i="1"/>
  <c r="W1749" i="1" s="1"/>
  <c r="Z1749" i="1"/>
  <c r="A1452" i="1"/>
  <c r="C1452" i="1"/>
  <c r="B1452" i="1" s="1"/>
  <c r="F1452" i="1"/>
  <c r="M1452" i="1"/>
  <c r="O1452" i="1"/>
  <c r="U1452" i="1"/>
  <c r="Y1452" i="1" s="1"/>
  <c r="V1452" i="1"/>
  <c r="W1452" i="1" s="1"/>
  <c r="Z1452" i="1"/>
  <c r="A1450" i="1"/>
  <c r="C1450" i="1"/>
  <c r="B1450" i="1" s="1"/>
  <c r="F1450" i="1"/>
  <c r="M1450" i="1"/>
  <c r="S1450" i="1"/>
  <c r="T1450" i="1"/>
  <c r="U1450" i="1"/>
  <c r="Y1450" i="1" s="1"/>
  <c r="V1450" i="1"/>
  <c r="W1450" i="1" s="1"/>
  <c r="Z1450" i="1"/>
  <c r="E1411" i="6"/>
  <c r="F1411" i="6"/>
  <c r="I1411" i="6"/>
  <c r="J1411" i="6"/>
  <c r="E1408" i="6"/>
  <c r="F1408" i="6"/>
  <c r="I1408" i="6"/>
  <c r="J1408" i="6"/>
  <c r="E1407" i="6"/>
  <c r="E1412" i="6"/>
  <c r="F1407" i="6"/>
  <c r="F1412" i="6"/>
  <c r="I1407" i="6"/>
  <c r="I1412" i="6"/>
  <c r="J1407" i="6"/>
  <c r="J1412" i="6"/>
  <c r="E1416" i="6"/>
  <c r="F1416" i="6"/>
  <c r="I1416" i="6"/>
  <c r="J1416" i="6"/>
  <c r="A1409" i="1"/>
  <c r="C1409" i="1"/>
  <c r="B1409" i="1" s="1"/>
  <c r="D1409" i="1"/>
  <c r="F1409" i="1"/>
  <c r="M1409" i="1"/>
  <c r="O1409" i="1"/>
  <c r="S1409" i="1"/>
  <c r="T1409" i="1"/>
  <c r="U1409" i="1"/>
  <c r="Y1409" i="1" s="1"/>
  <c r="V1409" i="1"/>
  <c r="W1409" i="1" s="1"/>
  <c r="Z1409" i="1"/>
  <c r="A1414" i="1"/>
  <c r="C1414" i="1"/>
  <c r="B1414" i="1" s="1"/>
  <c r="D1414" i="1"/>
  <c r="F1414" i="1"/>
  <c r="M1414" i="1"/>
  <c r="O1414" i="1"/>
  <c r="S1414" i="1"/>
  <c r="T1414" i="1"/>
  <c r="U1414" i="1"/>
  <c r="Y1414" i="1" s="1"/>
  <c r="V1414" i="1"/>
  <c r="W1414" i="1" s="1"/>
  <c r="Z1414" i="1"/>
  <c r="M1415" i="1"/>
  <c r="A1415" i="1"/>
  <c r="C1415" i="1"/>
  <c r="B1415" i="1" s="1"/>
  <c r="D1415" i="1"/>
  <c r="F1415" i="1"/>
  <c r="O1415" i="1"/>
  <c r="S1415" i="1"/>
  <c r="T1415" i="1"/>
  <c r="U1415" i="1"/>
  <c r="V1415" i="1"/>
  <c r="W1415" i="1" s="1"/>
  <c r="Z1415" i="1"/>
  <c r="P1457" i="1" l="1"/>
  <c r="P1425" i="1"/>
  <c r="P1589" i="1"/>
  <c r="P1549" i="1"/>
  <c r="P1495" i="1"/>
  <c r="P1529" i="1"/>
  <c r="P1530" i="1"/>
  <c r="Q1488" i="1"/>
  <c r="Q1581" i="1"/>
  <c r="Q1578" i="1"/>
  <c r="P1431" i="1"/>
  <c r="P1518" i="1"/>
  <c r="P1430" i="1"/>
  <c r="P1547" i="1"/>
  <c r="Q1626" i="1"/>
  <c r="Q1489" i="1"/>
  <c r="Q1487" i="1"/>
  <c r="Q1730" i="1"/>
  <c r="Q1557" i="1"/>
  <c r="Q1563" i="1"/>
  <c r="Q1554" i="1"/>
  <c r="Q1479" i="1"/>
  <c r="Q1621" i="1"/>
  <c r="Q1555" i="1"/>
  <c r="R1503" i="1"/>
  <c r="D1505" i="1" s="1"/>
  <c r="P1458" i="1"/>
  <c r="P1454" i="1"/>
  <c r="P1485" i="1"/>
  <c r="Q1577" i="1"/>
  <c r="Q1601" i="1"/>
  <c r="Q1553" i="1"/>
  <c r="P1546" i="1"/>
  <c r="P1427" i="1"/>
  <c r="P1545" i="1"/>
  <c r="P1423" i="1"/>
  <c r="P1484" i="1"/>
  <c r="P1548" i="1"/>
  <c r="Q1597" i="1"/>
  <c r="Q1513" i="1"/>
  <c r="Q1562" i="1"/>
  <c r="Q1556" i="1"/>
  <c r="Q1579" i="1"/>
  <c r="Q1622" i="1"/>
  <c r="Q1580" i="1"/>
  <c r="Q1591" i="1"/>
  <c r="D1545" i="1"/>
  <c r="D1662" i="1"/>
  <c r="D1663" i="1"/>
  <c r="D1690" i="1"/>
  <c r="D1691" i="1"/>
  <c r="D1667" i="1"/>
  <c r="D1597" i="1"/>
  <c r="D1598" i="1"/>
  <c r="D1529" i="1"/>
  <c r="D1611" i="1"/>
  <c r="D1624" i="1"/>
  <c r="D1625" i="1"/>
  <c r="T1658" i="1"/>
  <c r="D1503" i="1"/>
  <c r="D1504" i="1"/>
  <c r="P1748" i="1"/>
  <c r="D1547" i="1"/>
  <c r="D1548" i="1"/>
  <c r="D1549" i="1"/>
  <c r="P1512" i="1"/>
  <c r="D1430" i="1"/>
  <c r="T1478" i="1"/>
  <c r="D1427" i="1"/>
  <c r="P1461" i="1"/>
  <c r="T1477" i="1"/>
  <c r="T1476" i="1"/>
  <c r="T1516" i="1"/>
  <c r="P1528" i="1"/>
  <c r="T1590" i="1"/>
  <c r="P1426" i="1"/>
  <c r="T1522" i="1"/>
  <c r="X1477" i="1"/>
  <c r="X1478" i="1"/>
  <c r="X1390" i="1"/>
  <c r="Y1477" i="1"/>
  <c r="X1476" i="1"/>
  <c r="T1561" i="1"/>
  <c r="X1378" i="1"/>
  <c r="B1558" i="1"/>
  <c r="B1523" i="1"/>
  <c r="T1408" i="1"/>
  <c r="X1408" i="1"/>
  <c r="X1590" i="1"/>
  <c r="X1516" i="1"/>
  <c r="T1749" i="1"/>
  <c r="X1561" i="1"/>
  <c r="X1658" i="1"/>
  <c r="X1522" i="1"/>
  <c r="X1523" i="1"/>
  <c r="X1558" i="1"/>
  <c r="T1551" i="1"/>
  <c r="T1452" i="1"/>
  <c r="X1551" i="1"/>
  <c r="T1610" i="1"/>
  <c r="X1610" i="1"/>
  <c r="X1749" i="1"/>
  <c r="X1452" i="1"/>
  <c r="X1450" i="1"/>
  <c r="X1414" i="1"/>
  <c r="X1415" i="1"/>
  <c r="X1409" i="1"/>
  <c r="R1414" i="1"/>
  <c r="Y1415" i="1"/>
  <c r="P1450" i="1" l="1"/>
  <c r="P1558" i="1"/>
  <c r="P1561" i="1"/>
  <c r="P1408" i="1"/>
  <c r="P1378" i="1"/>
  <c r="P1390" i="1"/>
  <c r="Q1426" i="1"/>
  <c r="P1409" i="1"/>
  <c r="P1452" i="1"/>
  <c r="P1551" i="1"/>
  <c r="P1523" i="1"/>
  <c r="P1478" i="1"/>
  <c r="R1580" i="1"/>
  <c r="R1579" i="1"/>
  <c r="R1562" i="1"/>
  <c r="R1597" i="1"/>
  <c r="D1666" i="1" s="1"/>
  <c r="Q1484" i="1"/>
  <c r="Q1545" i="1"/>
  <c r="Q1546" i="1"/>
  <c r="R1553" i="1"/>
  <c r="R1577" i="1"/>
  <c r="Q1454" i="1"/>
  <c r="R1555" i="1"/>
  <c r="R1479" i="1"/>
  <c r="D1479" i="1" s="1"/>
  <c r="R1563" i="1"/>
  <c r="R1730" i="1"/>
  <c r="D1914" i="1" s="1"/>
  <c r="R1489" i="1"/>
  <c r="D1489" i="1" s="1"/>
  <c r="Q1547" i="1"/>
  <c r="Q1518" i="1"/>
  <c r="R1581" i="1"/>
  <c r="Q1530" i="1"/>
  <c r="Q1495" i="1"/>
  <c r="Q1589" i="1"/>
  <c r="Q1457" i="1"/>
  <c r="P1749" i="1"/>
  <c r="P1522" i="1"/>
  <c r="P1516" i="1"/>
  <c r="P1476" i="1"/>
  <c r="Q1528" i="1"/>
  <c r="Q1461" i="1"/>
  <c r="Q1512" i="1"/>
  <c r="Q1748" i="1"/>
  <c r="P1610" i="1"/>
  <c r="P1658" i="1"/>
  <c r="P1590" i="1"/>
  <c r="R1591" i="1"/>
  <c r="R1622" i="1"/>
  <c r="D1718" i="1" s="1"/>
  <c r="R1556" i="1"/>
  <c r="R1513" i="1"/>
  <c r="D1513" i="1" s="1"/>
  <c r="Q1548" i="1"/>
  <c r="Q1423" i="1"/>
  <c r="Q1427" i="1"/>
  <c r="R1601" i="1"/>
  <c r="Q1485" i="1"/>
  <c r="Q1458" i="1"/>
  <c r="R1621" i="1"/>
  <c r="R1554" i="1"/>
  <c r="R1557" i="1"/>
  <c r="R1487" i="1"/>
  <c r="R1626" i="1"/>
  <c r="Q1430" i="1"/>
  <c r="Q1431" i="1"/>
  <c r="R1578" i="1"/>
  <c r="R1488" i="1"/>
  <c r="Q1529" i="1"/>
  <c r="Q1549" i="1"/>
  <c r="Q1425" i="1"/>
  <c r="D1658" i="1"/>
  <c r="D1590" i="1"/>
  <c r="D1606" i="1"/>
  <c r="D1452" i="1"/>
  <c r="D1591" i="1"/>
  <c r="D1558" i="1"/>
  <c r="D1546" i="1"/>
  <c r="P1477" i="1"/>
  <c r="D1408" i="1"/>
  <c r="D1378" i="1"/>
  <c r="P1415" i="1"/>
  <c r="Q1477" i="1" l="1"/>
  <c r="Q1415" i="1"/>
  <c r="R1549" i="1"/>
  <c r="R1431" i="1"/>
  <c r="D1431" i="1" s="1"/>
  <c r="R1485" i="1"/>
  <c r="R1427" i="1"/>
  <c r="R1548" i="1"/>
  <c r="Q1658" i="1"/>
  <c r="R1748" i="1"/>
  <c r="D1748" i="1" s="1"/>
  <c r="R1461" i="1"/>
  <c r="D1461" i="1" s="1"/>
  <c r="Q1476" i="1"/>
  <c r="Q1522" i="1"/>
  <c r="R1457" i="1"/>
  <c r="R1495" i="1"/>
  <c r="R1547" i="1"/>
  <c r="R1454" i="1"/>
  <c r="D1454" i="1" s="1"/>
  <c r="R1545" i="1"/>
  <c r="Q1478" i="1"/>
  <c r="Q1551" i="1"/>
  <c r="Q1409" i="1"/>
  <c r="Q1390" i="1"/>
  <c r="Q1408" i="1"/>
  <c r="Q1558" i="1"/>
  <c r="R1425" i="1"/>
  <c r="D1425" i="1" s="1"/>
  <c r="R1529" i="1"/>
  <c r="R1430" i="1"/>
  <c r="R1458" i="1"/>
  <c r="D1458" i="1" s="1"/>
  <c r="R1423" i="1"/>
  <c r="D1423" i="1" s="1"/>
  <c r="Q1590" i="1"/>
  <c r="Q1610" i="1"/>
  <c r="R1512" i="1"/>
  <c r="D1512" i="1" s="1"/>
  <c r="R1528" i="1"/>
  <c r="D1528" i="1" s="1"/>
  <c r="Q1516" i="1"/>
  <c r="Q1749" i="1"/>
  <c r="R1589" i="1"/>
  <c r="D1589" i="1" s="1"/>
  <c r="R1530" i="1"/>
  <c r="D1530" i="1" s="1"/>
  <c r="R1518" i="1"/>
  <c r="D1518" i="1" s="1"/>
  <c r="R1546" i="1"/>
  <c r="R1484" i="1"/>
  <c r="Q1523" i="1"/>
  <c r="Q1452" i="1"/>
  <c r="R1426" i="1"/>
  <c r="D1426" i="1" s="1"/>
  <c r="Q1378" i="1"/>
  <c r="Q1561" i="1"/>
  <c r="Q1450" i="1"/>
  <c r="A1437" i="1"/>
  <c r="C1437" i="1"/>
  <c r="B1437" i="1" s="1"/>
  <c r="F1437" i="1"/>
  <c r="M1437" i="1"/>
  <c r="O1437" i="1"/>
  <c r="T1437" i="1"/>
  <c r="U1437" i="1"/>
  <c r="Y1437" i="1" s="1"/>
  <c r="V1437" i="1"/>
  <c r="W1437" i="1" s="1"/>
  <c r="Z1437" i="1"/>
  <c r="A1436" i="1"/>
  <c r="C1436" i="1"/>
  <c r="B1436" i="1" s="1"/>
  <c r="F1436" i="1"/>
  <c r="M1436" i="1"/>
  <c r="O1436" i="1"/>
  <c r="U1436" i="1"/>
  <c r="Y1436" i="1" s="1"/>
  <c r="V1436" i="1"/>
  <c r="W1436" i="1" s="1"/>
  <c r="Z1436" i="1"/>
  <c r="A1293" i="1"/>
  <c r="C1293" i="1"/>
  <c r="B1293" i="1" s="1"/>
  <c r="F1293" i="1"/>
  <c r="M1293" i="1"/>
  <c r="O1293" i="1"/>
  <c r="S1293" i="1"/>
  <c r="T1293" i="1"/>
  <c r="U1293" i="1"/>
  <c r="Y1293" i="1" s="1"/>
  <c r="V1293" i="1"/>
  <c r="W1293" i="1" s="1"/>
  <c r="Z1293" i="1"/>
  <c r="A1429" i="1"/>
  <c r="C1429" i="1"/>
  <c r="B1429" i="1" s="1"/>
  <c r="F1429" i="1"/>
  <c r="M1429" i="1"/>
  <c r="T1429" i="1"/>
  <c r="U1429" i="1"/>
  <c r="Y1429" i="1" s="1"/>
  <c r="V1429" i="1"/>
  <c r="W1429" i="1" s="1"/>
  <c r="Z1429" i="1"/>
  <c r="A60" i="104"/>
  <c r="B60" i="104"/>
  <c r="C60" i="104"/>
  <c r="I60" i="104"/>
  <c r="P5" i="15"/>
  <c r="P54" i="15"/>
  <c r="P53" i="15"/>
  <c r="P52" i="15"/>
  <c r="P51" i="15"/>
  <c r="P50" i="15"/>
  <c r="P49" i="15"/>
  <c r="P48" i="15"/>
  <c r="P47" i="15"/>
  <c r="P46" i="15"/>
  <c r="P45" i="15"/>
  <c r="P43" i="15"/>
  <c r="P42" i="15"/>
  <c r="P41" i="15"/>
  <c r="P40" i="15"/>
  <c r="P39" i="15"/>
  <c r="P38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17" i="15"/>
  <c r="P16" i="15"/>
  <c r="P15" i="15"/>
  <c r="P14" i="15"/>
  <c r="P13" i="15"/>
  <c r="P11" i="15"/>
  <c r="P10" i="15"/>
  <c r="P9" i="15"/>
  <c r="P7" i="15"/>
  <c r="P6" i="15"/>
  <c r="P4" i="15"/>
  <c r="P3" i="15"/>
  <c r="P2" i="15"/>
  <c r="E1403" i="6"/>
  <c r="F1403" i="6"/>
  <c r="I1403" i="6"/>
  <c r="J1403" i="6"/>
  <c r="P28" i="16"/>
  <c r="P22" i="16"/>
  <c r="P20" i="16"/>
  <c r="P19" i="16"/>
  <c r="E1369" i="6"/>
  <c r="F1369" i="6"/>
  <c r="I1369" i="6"/>
  <c r="J1369" i="6"/>
  <c r="E1379" i="6"/>
  <c r="F1379" i="6"/>
  <c r="I1379" i="6"/>
  <c r="J1379" i="6"/>
  <c r="E1372" i="6"/>
  <c r="F1372" i="6"/>
  <c r="I1372" i="6"/>
  <c r="J1372" i="6"/>
  <c r="E1376" i="6"/>
  <c r="F1376" i="6"/>
  <c r="I1376" i="6"/>
  <c r="J1376" i="6"/>
  <c r="E1395" i="6"/>
  <c r="E1396" i="6"/>
  <c r="E1398" i="6"/>
  <c r="E1399" i="6"/>
  <c r="E1400" i="6"/>
  <c r="F1396" i="6"/>
  <c r="I1395" i="6"/>
  <c r="I1396" i="6"/>
  <c r="I1398" i="6"/>
  <c r="I1399" i="6"/>
  <c r="I1400" i="6"/>
  <c r="J1395" i="6"/>
  <c r="J1396" i="6"/>
  <c r="J1398" i="6"/>
  <c r="J1399" i="6"/>
  <c r="J1400" i="6"/>
  <c r="E1370" i="6"/>
  <c r="E1367" i="6"/>
  <c r="E1371" i="6"/>
  <c r="E1397" i="6"/>
  <c r="E1374" i="6"/>
  <c r="E1373" i="6"/>
  <c r="E1391" i="6"/>
  <c r="E1410" i="6"/>
  <c r="E1392" i="6"/>
  <c r="E1388" i="6"/>
  <c r="E1375" i="6"/>
  <c r="E1380" i="6"/>
  <c r="E1382" i="6"/>
  <c r="E1381" i="6"/>
  <c r="E1383" i="6"/>
  <c r="E1389" i="6"/>
  <c r="E1390" i="6"/>
  <c r="E1384" i="6"/>
  <c r="E1385" i="6"/>
  <c r="E1393" i="6"/>
  <c r="E1394" i="6"/>
  <c r="F1370" i="6"/>
  <c r="F1367" i="6"/>
  <c r="F1371" i="6"/>
  <c r="F1397" i="6"/>
  <c r="F1374" i="6"/>
  <c r="F1373" i="6"/>
  <c r="F1392" i="6"/>
  <c r="F1388" i="6"/>
  <c r="F1375" i="6"/>
  <c r="F1380" i="6"/>
  <c r="F1382" i="6"/>
  <c r="F1383" i="6"/>
  <c r="F1389" i="6"/>
  <c r="F1390" i="6"/>
  <c r="F1384" i="6"/>
  <c r="F1385" i="6"/>
  <c r="F1393" i="6"/>
  <c r="F1394" i="6"/>
  <c r="I1370" i="6"/>
  <c r="I1367" i="6"/>
  <c r="I1371" i="6"/>
  <c r="I1397" i="6"/>
  <c r="I1374" i="6"/>
  <c r="I1373" i="6"/>
  <c r="I1391" i="6"/>
  <c r="I1410" i="6"/>
  <c r="I1392" i="6"/>
  <c r="I1388" i="6"/>
  <c r="I1375" i="6"/>
  <c r="I1380" i="6"/>
  <c r="I1382" i="6"/>
  <c r="I1381" i="6"/>
  <c r="I1383" i="6"/>
  <c r="I1389" i="6"/>
  <c r="I1390" i="6"/>
  <c r="I1384" i="6"/>
  <c r="I1385" i="6"/>
  <c r="I1393" i="6"/>
  <c r="I1394" i="6"/>
  <c r="J1370" i="6"/>
  <c r="J1367" i="6"/>
  <c r="J1371" i="6"/>
  <c r="J1397" i="6"/>
  <c r="J1374" i="6"/>
  <c r="J1373" i="6"/>
  <c r="J1391" i="6"/>
  <c r="J1410" i="6"/>
  <c r="J1392" i="6"/>
  <c r="J1388" i="6"/>
  <c r="J1375" i="6"/>
  <c r="J1380" i="6"/>
  <c r="J1382" i="6"/>
  <c r="J1381" i="6"/>
  <c r="J1383" i="6"/>
  <c r="J1389" i="6"/>
  <c r="J1390" i="6"/>
  <c r="J1384" i="6"/>
  <c r="J1385" i="6"/>
  <c r="J1393" i="6"/>
  <c r="J1394" i="6"/>
  <c r="A1443" i="1"/>
  <c r="C1443" i="1"/>
  <c r="B1443" i="1" s="1"/>
  <c r="F1443" i="1"/>
  <c r="M1443" i="1"/>
  <c r="O1443" i="1"/>
  <c r="U1443" i="1"/>
  <c r="Y1443" i="1" s="1"/>
  <c r="V1443" i="1"/>
  <c r="W1443" i="1" s="1"/>
  <c r="Z1443" i="1"/>
  <c r="A95" i="104"/>
  <c r="B95" i="104"/>
  <c r="C95" i="104"/>
  <c r="I95" i="104"/>
  <c r="I98" i="104"/>
  <c r="I99" i="104"/>
  <c r="I100" i="104"/>
  <c r="A99" i="104"/>
  <c r="A100" i="104"/>
  <c r="B99" i="104"/>
  <c r="B100" i="104"/>
  <c r="C99" i="104"/>
  <c r="C100" i="104"/>
  <c r="A98" i="104"/>
  <c r="B98" i="104"/>
  <c r="C98" i="104"/>
  <c r="A1442" i="1"/>
  <c r="C1442" i="1"/>
  <c r="B1442" i="1" s="1"/>
  <c r="F1442" i="1"/>
  <c r="M1442" i="1"/>
  <c r="O1442" i="1"/>
  <c r="U1442" i="1"/>
  <c r="Y1442" i="1" s="1"/>
  <c r="V1442" i="1"/>
  <c r="W1442" i="1" s="1"/>
  <c r="Z1442" i="1"/>
  <c r="A1413" i="1"/>
  <c r="C1413" i="1"/>
  <c r="B1413" i="1" s="1"/>
  <c r="F1413" i="1"/>
  <c r="M1413" i="1"/>
  <c r="O1413" i="1"/>
  <c r="S1413" i="1"/>
  <c r="T1413" i="1"/>
  <c r="U1413" i="1"/>
  <c r="Y1413" i="1" s="1"/>
  <c r="V1413" i="1"/>
  <c r="W1413" i="1" s="1"/>
  <c r="Z1413" i="1"/>
  <c r="A1486" i="1"/>
  <c r="C1486" i="1"/>
  <c r="T1486" i="1" s="1"/>
  <c r="F1486" i="1"/>
  <c r="M1486" i="1"/>
  <c r="O1486" i="1"/>
  <c r="U1486" i="1"/>
  <c r="Y1486" i="1" s="1"/>
  <c r="V1486" i="1"/>
  <c r="W1486" i="1" s="1"/>
  <c r="Z1486" i="1"/>
  <c r="I97" i="104"/>
  <c r="A97" i="104"/>
  <c r="B97" i="104"/>
  <c r="C97" i="104"/>
  <c r="A1480" i="1"/>
  <c r="C1480" i="1"/>
  <c r="B1480" i="1" s="1"/>
  <c r="F1480" i="1"/>
  <c r="M1480" i="1"/>
  <c r="O1480" i="1"/>
  <c r="U1480" i="1"/>
  <c r="Y1480" i="1" s="1"/>
  <c r="V1480" i="1"/>
  <c r="W1480" i="1" s="1"/>
  <c r="Z1480" i="1"/>
  <c r="I96" i="104"/>
  <c r="A96" i="104"/>
  <c r="B96" i="104"/>
  <c r="C96" i="104"/>
  <c r="A1401" i="1"/>
  <c r="C1401" i="1"/>
  <c r="B1401" i="1" s="1"/>
  <c r="F1401" i="1"/>
  <c r="M1401" i="1"/>
  <c r="O1401" i="1"/>
  <c r="S1401" i="1"/>
  <c r="T1401" i="1"/>
  <c r="U1401" i="1"/>
  <c r="Y1401" i="1" s="1"/>
  <c r="V1401" i="1"/>
  <c r="W1401" i="1" s="1"/>
  <c r="Z1401" i="1"/>
  <c r="A1400" i="1"/>
  <c r="C1400" i="1"/>
  <c r="B1400" i="1" s="1"/>
  <c r="F1400" i="1"/>
  <c r="M1400" i="1"/>
  <c r="O1400" i="1"/>
  <c r="S1400" i="1"/>
  <c r="U1400" i="1"/>
  <c r="Y1400" i="1" s="1"/>
  <c r="V1400" i="1"/>
  <c r="W1400" i="1" s="1"/>
  <c r="Z1400" i="1"/>
  <c r="A1399" i="1"/>
  <c r="C1399" i="1"/>
  <c r="B1399" i="1" s="1"/>
  <c r="F1399" i="1"/>
  <c r="M1399" i="1"/>
  <c r="O1399" i="1"/>
  <c r="S1399" i="1"/>
  <c r="U1399" i="1"/>
  <c r="Y1399" i="1" s="1"/>
  <c r="V1399" i="1"/>
  <c r="W1399" i="1" s="1"/>
  <c r="Z1399" i="1"/>
  <c r="A1398" i="1"/>
  <c r="C1398" i="1"/>
  <c r="B1398" i="1" s="1"/>
  <c r="F1398" i="1"/>
  <c r="M1398" i="1"/>
  <c r="O1398" i="1"/>
  <c r="S1398" i="1"/>
  <c r="U1398" i="1"/>
  <c r="Y1398" i="1" s="1"/>
  <c r="V1398" i="1"/>
  <c r="W1398" i="1" s="1"/>
  <c r="Z1398" i="1"/>
  <c r="A1397" i="1"/>
  <c r="C1397" i="1"/>
  <c r="B1397" i="1" s="1"/>
  <c r="F1397" i="1"/>
  <c r="M1397" i="1"/>
  <c r="O1397" i="1"/>
  <c r="S1397" i="1"/>
  <c r="U1397" i="1"/>
  <c r="V1397" i="1"/>
  <c r="W1397" i="1" s="1"/>
  <c r="Z1397" i="1"/>
  <c r="A1404" i="1"/>
  <c r="C1404" i="1"/>
  <c r="B1404" i="1" s="1"/>
  <c r="F1404" i="1"/>
  <c r="O1404" i="1"/>
  <c r="T1404" i="1"/>
  <c r="U1404" i="1"/>
  <c r="Y1404" i="1" s="1"/>
  <c r="V1404" i="1"/>
  <c r="W1404" i="1" s="1"/>
  <c r="Z1404" i="1"/>
  <c r="A1405" i="1"/>
  <c r="C1405" i="1"/>
  <c r="B1405" i="1" s="1"/>
  <c r="F1405" i="1"/>
  <c r="O1405" i="1"/>
  <c r="T1405" i="1"/>
  <c r="U1405" i="1"/>
  <c r="Y1405" i="1" s="1"/>
  <c r="V1405" i="1"/>
  <c r="W1405" i="1" s="1"/>
  <c r="Z1405" i="1"/>
  <c r="A1403" i="1"/>
  <c r="C1403" i="1"/>
  <c r="B1403" i="1" s="1"/>
  <c r="F1403" i="1"/>
  <c r="M1403" i="1"/>
  <c r="O1403" i="1"/>
  <c r="S1403" i="1"/>
  <c r="T1403" i="1"/>
  <c r="U1403" i="1"/>
  <c r="Y1403" i="1" s="1"/>
  <c r="V1403" i="1"/>
  <c r="W1403" i="1" s="1"/>
  <c r="Z1403" i="1"/>
  <c r="A1402" i="1"/>
  <c r="C1402" i="1"/>
  <c r="B1402" i="1" s="1"/>
  <c r="F1402" i="1"/>
  <c r="M1402" i="1"/>
  <c r="O1402" i="1"/>
  <c r="S1402" i="1"/>
  <c r="T1402" i="1"/>
  <c r="U1402" i="1"/>
  <c r="V1402" i="1"/>
  <c r="W1402" i="1" s="1"/>
  <c r="Z1402" i="1"/>
  <c r="R1561" i="1" l="1"/>
  <c r="R1450" i="1"/>
  <c r="D1450" i="1" s="1"/>
  <c r="R1378" i="1"/>
  <c r="R1452" i="1"/>
  <c r="R1516" i="1"/>
  <c r="R1558" i="1"/>
  <c r="R1390" i="1"/>
  <c r="R1551" i="1"/>
  <c r="D1551" i="1" s="1"/>
  <c r="R1476" i="1"/>
  <c r="R1749" i="1"/>
  <c r="U5" i="16" s="1"/>
  <c r="R1522" i="1"/>
  <c r="R1415" i="1"/>
  <c r="R1610" i="1"/>
  <c r="R1408" i="1"/>
  <c r="R1409" i="1"/>
  <c r="R1478" i="1"/>
  <c r="R1658" i="1"/>
  <c r="T5" i="16" s="1"/>
  <c r="R1523" i="1"/>
  <c r="R1590" i="1"/>
  <c r="R1477" i="1"/>
  <c r="X1436" i="1"/>
  <c r="X1437" i="1"/>
  <c r="T1436" i="1"/>
  <c r="X1293" i="1"/>
  <c r="X1429" i="1"/>
  <c r="P12" i="16"/>
  <c r="P13" i="16"/>
  <c r="X1443" i="1"/>
  <c r="T1442" i="1"/>
  <c r="T1443" i="1"/>
  <c r="X1442" i="1"/>
  <c r="X1413" i="1"/>
  <c r="T1480" i="1"/>
  <c r="B1486" i="1"/>
  <c r="X1486" i="1"/>
  <c r="X1480" i="1"/>
  <c r="X1401" i="1"/>
  <c r="X1400" i="1"/>
  <c r="T1400" i="1"/>
  <c r="X1399" i="1"/>
  <c r="T1399" i="1"/>
  <c r="X1397" i="1"/>
  <c r="Y1397" i="1"/>
  <c r="X1398" i="1"/>
  <c r="T1398" i="1"/>
  <c r="T1397" i="1"/>
  <c r="X1404" i="1"/>
  <c r="R1404" i="1"/>
  <c r="D1404" i="1" s="1"/>
  <c r="X1405" i="1"/>
  <c r="X1403" i="1"/>
  <c r="X1402" i="1"/>
  <c r="Y1402" i="1"/>
  <c r="A1441" i="1"/>
  <c r="C1441" i="1"/>
  <c r="B1441" i="1" s="1"/>
  <c r="F1441" i="1"/>
  <c r="M1441" i="1"/>
  <c r="O1441" i="1"/>
  <c r="T1441" i="1"/>
  <c r="U1441" i="1"/>
  <c r="Y1441" i="1" s="1"/>
  <c r="V1441" i="1"/>
  <c r="W1441" i="1" s="1"/>
  <c r="Z1441" i="1"/>
  <c r="E1378" i="6"/>
  <c r="I1378" i="6"/>
  <c r="J1378" i="6"/>
  <c r="E1386" i="6"/>
  <c r="F1386" i="6"/>
  <c r="I1386" i="6"/>
  <c r="J1386" i="6"/>
  <c r="B5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E1377" i="6"/>
  <c r="I1377" i="6"/>
  <c r="J1377" i="6"/>
  <c r="E1387" i="6"/>
  <c r="F1387" i="6"/>
  <c r="I1387" i="6"/>
  <c r="J1387" i="6"/>
  <c r="A1369" i="1"/>
  <c r="C1369" i="1"/>
  <c r="B1369" i="1" s="1"/>
  <c r="F1369" i="1"/>
  <c r="M1369" i="1"/>
  <c r="O1369" i="1"/>
  <c r="S1369" i="1"/>
  <c r="T1369" i="1"/>
  <c r="U1369" i="1"/>
  <c r="V1369" i="1"/>
  <c r="W1369" i="1" s="1"/>
  <c r="Z1369" i="1"/>
  <c r="A1368" i="1"/>
  <c r="C1368" i="1"/>
  <c r="B1368" i="1" s="1"/>
  <c r="F1368" i="1"/>
  <c r="M1368" i="1"/>
  <c r="O1368" i="1"/>
  <c r="T1368" i="1"/>
  <c r="U1368" i="1"/>
  <c r="V1368" i="1"/>
  <c r="W1368" i="1" s="1"/>
  <c r="Z1368" i="1"/>
  <c r="A1367" i="1"/>
  <c r="C1367" i="1"/>
  <c r="B1367" i="1" s="1"/>
  <c r="F1367" i="1"/>
  <c r="M1367" i="1"/>
  <c r="O1367" i="1"/>
  <c r="S1367" i="1"/>
  <c r="T1367" i="1"/>
  <c r="U1367" i="1"/>
  <c r="V1367" i="1"/>
  <c r="W1367" i="1" s="1"/>
  <c r="Z1367" i="1"/>
  <c r="A1366" i="1"/>
  <c r="C1366" i="1"/>
  <c r="B1366" i="1" s="1"/>
  <c r="F1366" i="1"/>
  <c r="M1366" i="1"/>
  <c r="O1366" i="1"/>
  <c r="T1366" i="1"/>
  <c r="U1366" i="1"/>
  <c r="V1366" i="1"/>
  <c r="W1366" i="1" s="1"/>
  <c r="Z1366" i="1"/>
  <c r="A1365" i="1"/>
  <c r="C1365" i="1"/>
  <c r="B1365" i="1" s="1"/>
  <c r="F1365" i="1"/>
  <c r="M1365" i="1"/>
  <c r="O1365" i="1"/>
  <c r="S1365" i="1"/>
  <c r="T1365" i="1"/>
  <c r="U1365" i="1"/>
  <c r="Y1365" i="1" s="1"/>
  <c r="V1365" i="1"/>
  <c r="W1365" i="1" s="1"/>
  <c r="Z1365" i="1"/>
  <c r="A1371" i="1"/>
  <c r="C1371" i="1"/>
  <c r="B1371" i="1" s="1"/>
  <c r="F1371" i="1"/>
  <c r="M1371" i="1"/>
  <c r="O1371" i="1"/>
  <c r="T1371" i="1"/>
  <c r="U1371" i="1"/>
  <c r="V1371" i="1"/>
  <c r="W1371" i="1" s="1"/>
  <c r="Z1371" i="1"/>
  <c r="A1376" i="1"/>
  <c r="C1376" i="1"/>
  <c r="B1376" i="1" s="1"/>
  <c r="F1376" i="1"/>
  <c r="M1376" i="1"/>
  <c r="O1376" i="1"/>
  <c r="T1376" i="1"/>
  <c r="U1376" i="1"/>
  <c r="Y1376" i="1" s="1"/>
  <c r="V1376" i="1"/>
  <c r="W1376" i="1" s="1"/>
  <c r="Z1376" i="1"/>
  <c r="A1375" i="1"/>
  <c r="C1375" i="1"/>
  <c r="B1375" i="1" s="1"/>
  <c r="F1375" i="1"/>
  <c r="M1375" i="1"/>
  <c r="O1375" i="1"/>
  <c r="T1375" i="1"/>
  <c r="U1375" i="1"/>
  <c r="Y1375" i="1" s="1"/>
  <c r="V1375" i="1"/>
  <c r="W1375" i="1" s="1"/>
  <c r="Z1375" i="1"/>
  <c r="A1520" i="1"/>
  <c r="C1520" i="1"/>
  <c r="B1520" i="1" s="1"/>
  <c r="F1520" i="1"/>
  <c r="M1520" i="1"/>
  <c r="O1520" i="1"/>
  <c r="U1520" i="1"/>
  <c r="Y1520" i="1" s="1"/>
  <c r="V1520" i="1"/>
  <c r="W1520" i="1" s="1"/>
  <c r="Z1520" i="1"/>
  <c r="A1540" i="1"/>
  <c r="C1540" i="1"/>
  <c r="B1540" i="1" s="1"/>
  <c r="F1540" i="1"/>
  <c r="M1540" i="1"/>
  <c r="O1540" i="1"/>
  <c r="U1540" i="1"/>
  <c r="Y1540" i="1" s="1"/>
  <c r="V1540" i="1"/>
  <c r="W1540" i="1" s="1"/>
  <c r="Z1540" i="1"/>
  <c r="A1572" i="1"/>
  <c r="C1572" i="1"/>
  <c r="B1572" i="1" s="1"/>
  <c r="F1572" i="1"/>
  <c r="M1572" i="1"/>
  <c r="O1572" i="1"/>
  <c r="U1572" i="1"/>
  <c r="Y1572" i="1" s="1"/>
  <c r="V1572" i="1"/>
  <c r="W1572" i="1" s="1"/>
  <c r="Z1572" i="1"/>
  <c r="A1609" i="1"/>
  <c r="C1609" i="1"/>
  <c r="B1609" i="1" s="1"/>
  <c r="F1609" i="1"/>
  <c r="M1609" i="1"/>
  <c r="O1609" i="1"/>
  <c r="U1609" i="1"/>
  <c r="Y1609" i="1" s="1"/>
  <c r="V1609" i="1"/>
  <c r="W1609" i="1" s="1"/>
  <c r="Z1609" i="1"/>
  <c r="A1491" i="1"/>
  <c r="C1491" i="1"/>
  <c r="B1491" i="1" s="1"/>
  <c r="F1491" i="1"/>
  <c r="M1491" i="1"/>
  <c r="O1491" i="1"/>
  <c r="U1491" i="1"/>
  <c r="Y1491" i="1" s="1"/>
  <c r="V1491" i="1"/>
  <c r="W1491" i="1" s="1"/>
  <c r="Z1491" i="1"/>
  <c r="A1596" i="1"/>
  <c r="C1596" i="1"/>
  <c r="B1596" i="1" s="1"/>
  <c r="F1596" i="1"/>
  <c r="M1596" i="1"/>
  <c r="O1596" i="1"/>
  <c r="U1596" i="1"/>
  <c r="Y1596" i="1" s="1"/>
  <c r="V1596" i="1"/>
  <c r="W1596" i="1" s="1"/>
  <c r="Z1596" i="1"/>
  <c r="A1595" i="1"/>
  <c r="C1595" i="1"/>
  <c r="B1595" i="1" s="1"/>
  <c r="F1595" i="1"/>
  <c r="M1595" i="1"/>
  <c r="O1595" i="1"/>
  <c r="U1595" i="1"/>
  <c r="Y1595" i="1" s="1"/>
  <c r="V1595" i="1"/>
  <c r="W1595" i="1" s="1"/>
  <c r="Z1595" i="1"/>
  <c r="A1560" i="1"/>
  <c r="C1560" i="1"/>
  <c r="B1560" i="1" s="1"/>
  <c r="F1560" i="1"/>
  <c r="M1560" i="1"/>
  <c r="O1560" i="1"/>
  <c r="U1560" i="1"/>
  <c r="Y1560" i="1" s="1"/>
  <c r="V1560" i="1"/>
  <c r="W1560" i="1" s="1"/>
  <c r="Z1560" i="1"/>
  <c r="A1559" i="1"/>
  <c r="C1559" i="1"/>
  <c r="B1559" i="1" s="1"/>
  <c r="F1559" i="1"/>
  <c r="M1559" i="1"/>
  <c r="O1559" i="1"/>
  <c r="U1559" i="1"/>
  <c r="Y1559" i="1" s="1"/>
  <c r="V1559" i="1"/>
  <c r="W1559" i="1" s="1"/>
  <c r="Z1559" i="1"/>
  <c r="A1470" i="1"/>
  <c r="C1470" i="1"/>
  <c r="B1470" i="1" s="1"/>
  <c r="F1470" i="1"/>
  <c r="M1470" i="1"/>
  <c r="O1470" i="1"/>
  <c r="U1470" i="1"/>
  <c r="Y1470" i="1" s="1"/>
  <c r="V1470" i="1"/>
  <c r="W1470" i="1" s="1"/>
  <c r="Z1470" i="1"/>
  <c r="A1412" i="1"/>
  <c r="C1412" i="1"/>
  <c r="B1412" i="1" s="1"/>
  <c r="F1412" i="1"/>
  <c r="M1412" i="1"/>
  <c r="O1412" i="1"/>
  <c r="U1412" i="1"/>
  <c r="Y1412" i="1" s="1"/>
  <c r="V1412" i="1"/>
  <c r="W1412" i="1" s="1"/>
  <c r="Z1412" i="1"/>
  <c r="A1411" i="1"/>
  <c r="C1411" i="1"/>
  <c r="B1411" i="1" s="1"/>
  <c r="F1411" i="1"/>
  <c r="M1411" i="1"/>
  <c r="O1411" i="1"/>
  <c r="U1411" i="1"/>
  <c r="Y1411" i="1" s="1"/>
  <c r="V1411" i="1"/>
  <c r="W1411" i="1" s="1"/>
  <c r="Z1411" i="1"/>
  <c r="A1407" i="1"/>
  <c r="C1407" i="1"/>
  <c r="B1407" i="1" s="1"/>
  <c r="F1407" i="1"/>
  <c r="M1407" i="1"/>
  <c r="O1407" i="1"/>
  <c r="U1407" i="1"/>
  <c r="Y1407" i="1" s="1"/>
  <c r="V1407" i="1"/>
  <c r="W1407" i="1" s="1"/>
  <c r="Z1407" i="1"/>
  <c r="A1406" i="1"/>
  <c r="C1406" i="1"/>
  <c r="B1406" i="1" s="1"/>
  <c r="F1406" i="1"/>
  <c r="M1406" i="1"/>
  <c r="O1406" i="1"/>
  <c r="U1406" i="1"/>
  <c r="Y1406" i="1" s="1"/>
  <c r="V1406" i="1"/>
  <c r="W1406" i="1" s="1"/>
  <c r="Z1406" i="1"/>
  <c r="A1317" i="1"/>
  <c r="C1317" i="1"/>
  <c r="B1317" i="1" s="1"/>
  <c r="F1317" i="1"/>
  <c r="M1317" i="1"/>
  <c r="O1317" i="1"/>
  <c r="S1317" i="1"/>
  <c r="T1317" i="1"/>
  <c r="U1317" i="1"/>
  <c r="V1317" i="1"/>
  <c r="W1317" i="1" s="1"/>
  <c r="Z1317" i="1"/>
  <c r="A1291" i="1"/>
  <c r="C1291" i="1"/>
  <c r="B1291" i="1" s="1"/>
  <c r="F1291" i="1"/>
  <c r="M1291" i="1"/>
  <c r="O1291" i="1"/>
  <c r="S1291" i="1"/>
  <c r="T1291" i="1"/>
  <c r="U1291" i="1"/>
  <c r="Y1291" i="1" s="1"/>
  <c r="V1291" i="1"/>
  <c r="W1291" i="1" s="1"/>
  <c r="Z1291" i="1"/>
  <c r="A1469" i="1"/>
  <c r="C1469" i="1"/>
  <c r="B1469" i="1" s="1"/>
  <c r="F1469" i="1"/>
  <c r="M1469" i="1"/>
  <c r="O1469" i="1"/>
  <c r="U1469" i="1"/>
  <c r="Y1469" i="1" s="1"/>
  <c r="V1469" i="1"/>
  <c r="W1469" i="1" s="1"/>
  <c r="Z1469" i="1"/>
  <c r="A1564" i="1"/>
  <c r="C1564" i="1"/>
  <c r="B1564" i="1" s="1"/>
  <c r="F1564" i="1"/>
  <c r="M1564" i="1"/>
  <c r="O1564" i="1"/>
  <c r="U1564" i="1"/>
  <c r="Y1564" i="1" s="1"/>
  <c r="V1564" i="1"/>
  <c r="W1564" i="1" s="1"/>
  <c r="Z1564" i="1"/>
  <c r="A1344" i="1"/>
  <c r="C1344" i="1"/>
  <c r="B1344" i="1" s="1"/>
  <c r="F1344" i="1"/>
  <c r="M1344" i="1"/>
  <c r="O1344" i="1"/>
  <c r="T1344" i="1"/>
  <c r="U1344" i="1"/>
  <c r="Y1344" i="1" s="1"/>
  <c r="V1344" i="1"/>
  <c r="W1344" i="1" s="1"/>
  <c r="Z1344" i="1"/>
  <c r="A1623" i="1"/>
  <c r="C1623" i="1"/>
  <c r="B1623" i="1" s="1"/>
  <c r="F1623" i="1"/>
  <c r="M1623" i="1"/>
  <c r="O1623" i="1"/>
  <c r="U1623" i="1"/>
  <c r="Y1623" i="1" s="1"/>
  <c r="V1623" i="1"/>
  <c r="W1623" i="1" s="1"/>
  <c r="Z1623" i="1"/>
  <c r="A1421" i="1"/>
  <c r="C1421" i="1"/>
  <c r="B1421" i="1" s="1"/>
  <c r="F1421" i="1"/>
  <c r="M1421" i="1"/>
  <c r="O1421" i="1"/>
  <c r="U1421" i="1"/>
  <c r="Y1421" i="1" s="1"/>
  <c r="V1421" i="1"/>
  <c r="W1421" i="1" s="1"/>
  <c r="Z1421" i="1"/>
  <c r="A1475" i="1"/>
  <c r="C1475" i="1"/>
  <c r="B1475" i="1" s="1"/>
  <c r="F1475" i="1"/>
  <c r="M1475" i="1"/>
  <c r="O1475" i="1"/>
  <c r="U1475" i="1"/>
  <c r="Y1475" i="1" s="1"/>
  <c r="V1475" i="1"/>
  <c r="W1475" i="1" s="1"/>
  <c r="Z1475" i="1"/>
  <c r="A1474" i="1"/>
  <c r="C1474" i="1"/>
  <c r="B1474" i="1" s="1"/>
  <c r="F1474" i="1"/>
  <c r="M1474" i="1"/>
  <c r="O1474" i="1"/>
  <c r="U1474" i="1"/>
  <c r="Y1474" i="1" s="1"/>
  <c r="V1474" i="1"/>
  <c r="W1474" i="1" s="1"/>
  <c r="Z1474" i="1"/>
  <c r="A1343" i="1"/>
  <c r="C1343" i="1"/>
  <c r="B1343" i="1" s="1"/>
  <c r="F1343" i="1"/>
  <c r="M1343" i="1"/>
  <c r="O1343" i="1"/>
  <c r="T1343" i="1"/>
  <c r="U1343" i="1"/>
  <c r="Y1343" i="1" s="1"/>
  <c r="V1343" i="1"/>
  <c r="W1343" i="1" s="1"/>
  <c r="Z1343" i="1"/>
  <c r="A1455" i="1"/>
  <c r="C1455" i="1"/>
  <c r="B1455" i="1" s="1"/>
  <c r="F1455" i="1"/>
  <c r="M1455" i="1"/>
  <c r="O1455" i="1"/>
  <c r="U1455" i="1"/>
  <c r="Y1455" i="1" s="1"/>
  <c r="V1455" i="1"/>
  <c r="W1455" i="1" s="1"/>
  <c r="Z1455" i="1"/>
  <c r="A1379" i="1"/>
  <c r="C1379" i="1"/>
  <c r="B1379" i="1" s="1"/>
  <c r="F1379" i="1"/>
  <c r="M1379" i="1"/>
  <c r="O1379" i="1"/>
  <c r="U1379" i="1"/>
  <c r="Y1379" i="1" s="1"/>
  <c r="V1379" i="1"/>
  <c r="W1379" i="1" s="1"/>
  <c r="Z1379" i="1"/>
  <c r="A1456" i="1"/>
  <c r="C1456" i="1"/>
  <c r="B1456" i="1" s="1"/>
  <c r="F1456" i="1"/>
  <c r="M1456" i="1"/>
  <c r="O1456" i="1"/>
  <c r="U1456" i="1"/>
  <c r="Y1456" i="1" s="1"/>
  <c r="V1456" i="1"/>
  <c r="W1456" i="1" s="1"/>
  <c r="Z1456" i="1"/>
  <c r="A1493" i="1"/>
  <c r="C1493" i="1"/>
  <c r="B1493" i="1" s="1"/>
  <c r="F1493" i="1"/>
  <c r="O1493" i="1"/>
  <c r="U1493" i="1"/>
  <c r="Y1493" i="1" s="1"/>
  <c r="V1493" i="1"/>
  <c r="W1493" i="1" s="1"/>
  <c r="Z1493" i="1"/>
  <c r="A1494" i="1"/>
  <c r="C1494" i="1"/>
  <c r="B1494" i="1" s="1"/>
  <c r="F1494" i="1"/>
  <c r="O1494" i="1"/>
  <c r="U1494" i="1"/>
  <c r="Y1494" i="1" s="1"/>
  <c r="V1494" i="1"/>
  <c r="W1494" i="1" s="1"/>
  <c r="Z1494" i="1"/>
  <c r="A1460" i="1"/>
  <c r="C1460" i="1"/>
  <c r="B1460" i="1" s="1"/>
  <c r="F1460" i="1"/>
  <c r="M1460" i="1"/>
  <c r="O1460" i="1"/>
  <c r="U1460" i="1"/>
  <c r="Y1460" i="1" s="1"/>
  <c r="V1460" i="1"/>
  <c r="W1460" i="1" s="1"/>
  <c r="Z1460" i="1"/>
  <c r="A1336" i="1"/>
  <c r="C1336" i="1"/>
  <c r="B1336" i="1" s="1"/>
  <c r="F1336" i="1"/>
  <c r="O1336" i="1"/>
  <c r="T1336" i="1"/>
  <c r="U1336" i="1"/>
  <c r="Y1336" i="1" s="1"/>
  <c r="V1336" i="1"/>
  <c r="W1336" i="1" s="1"/>
  <c r="Z1336" i="1"/>
  <c r="A1501" i="1"/>
  <c r="C1501" i="1"/>
  <c r="B1501" i="1" s="1"/>
  <c r="F1501" i="1"/>
  <c r="M1501" i="1"/>
  <c r="O1501" i="1"/>
  <c r="U1501" i="1"/>
  <c r="Y1501" i="1" s="1"/>
  <c r="V1501" i="1"/>
  <c r="W1501" i="1" s="1"/>
  <c r="Z1501" i="1"/>
  <c r="A1496" i="1"/>
  <c r="C1496" i="1"/>
  <c r="B1496" i="1" s="1"/>
  <c r="F1496" i="1"/>
  <c r="M1496" i="1"/>
  <c r="O1496" i="1"/>
  <c r="U1496" i="1"/>
  <c r="V1496" i="1"/>
  <c r="W1496" i="1" s="1"/>
  <c r="Z1496" i="1"/>
  <c r="A1490" i="1"/>
  <c r="C1490" i="1"/>
  <c r="B1490" i="1" s="1"/>
  <c r="F1490" i="1"/>
  <c r="M1490" i="1"/>
  <c r="O1490" i="1"/>
  <c r="U1490" i="1"/>
  <c r="Y1490" i="1" s="1"/>
  <c r="V1490" i="1"/>
  <c r="W1490" i="1" s="1"/>
  <c r="Z1490" i="1"/>
  <c r="A1339" i="1"/>
  <c r="C1339" i="1"/>
  <c r="B1339" i="1" s="1"/>
  <c r="F1339" i="1"/>
  <c r="M1339" i="1"/>
  <c r="O1339" i="1"/>
  <c r="T1339" i="1"/>
  <c r="U1339" i="1"/>
  <c r="Y1339" i="1" s="1"/>
  <c r="V1339" i="1"/>
  <c r="W1339" i="1" s="1"/>
  <c r="Z1339" i="1"/>
  <c r="A1552" i="1"/>
  <c r="C1552" i="1"/>
  <c r="B1552" i="1" s="1"/>
  <c r="F1552" i="1"/>
  <c r="M1552" i="1"/>
  <c r="O1552" i="1"/>
  <c r="U1552" i="1"/>
  <c r="Y1552" i="1" s="1"/>
  <c r="V1552" i="1"/>
  <c r="W1552" i="1" s="1"/>
  <c r="Z1552" i="1"/>
  <c r="A1498" i="1"/>
  <c r="C1498" i="1"/>
  <c r="B1498" i="1" s="1"/>
  <c r="F1498" i="1"/>
  <c r="M1498" i="1"/>
  <c r="O1498" i="1"/>
  <c r="U1498" i="1"/>
  <c r="Y1498" i="1" s="1"/>
  <c r="V1498" i="1"/>
  <c r="W1498" i="1" s="1"/>
  <c r="Z1498" i="1"/>
  <c r="A1521" i="1"/>
  <c r="C1521" i="1"/>
  <c r="B1521" i="1" s="1"/>
  <c r="F1521" i="1"/>
  <c r="M1521" i="1"/>
  <c r="O1521" i="1"/>
  <c r="U1521" i="1"/>
  <c r="Y1521" i="1" s="1"/>
  <c r="V1521" i="1"/>
  <c r="W1521" i="1" s="1"/>
  <c r="Z1521" i="1"/>
  <c r="A1389" i="1"/>
  <c r="C1389" i="1"/>
  <c r="B1389" i="1" s="1"/>
  <c r="F1389" i="1"/>
  <c r="M1389" i="1"/>
  <c r="O1389" i="1"/>
  <c r="U1389" i="1"/>
  <c r="Y1389" i="1" s="1"/>
  <c r="V1389" i="1"/>
  <c r="W1389" i="1" s="1"/>
  <c r="Z1389" i="1"/>
  <c r="A1440" i="1"/>
  <c r="C1440" i="1"/>
  <c r="B1440" i="1" s="1"/>
  <c r="F1440" i="1"/>
  <c r="M1440" i="1"/>
  <c r="O1440" i="1"/>
  <c r="U1440" i="1"/>
  <c r="Y1440" i="1" s="1"/>
  <c r="V1440" i="1"/>
  <c r="W1440" i="1" s="1"/>
  <c r="Z1440" i="1"/>
  <c r="A1439" i="1"/>
  <c r="C1439" i="1"/>
  <c r="B1439" i="1" s="1"/>
  <c r="F1439" i="1"/>
  <c r="M1439" i="1"/>
  <c r="O1439" i="1"/>
  <c r="U1439" i="1"/>
  <c r="Y1439" i="1" s="1"/>
  <c r="V1439" i="1"/>
  <c r="W1439" i="1" s="1"/>
  <c r="Z1439" i="1"/>
  <c r="A1342" i="1"/>
  <c r="C1342" i="1"/>
  <c r="B1342" i="1" s="1"/>
  <c r="F1342" i="1"/>
  <c r="M1342" i="1"/>
  <c r="O1342" i="1"/>
  <c r="U1342" i="1"/>
  <c r="V1342" i="1"/>
  <c r="W1342" i="1" s="1"/>
  <c r="Z1342" i="1"/>
  <c r="A1393" i="1"/>
  <c r="C1393" i="1"/>
  <c r="B1393" i="1" s="1"/>
  <c r="F1393" i="1"/>
  <c r="M1393" i="1"/>
  <c r="O1393" i="1"/>
  <c r="U1393" i="1"/>
  <c r="Y1393" i="1" s="1"/>
  <c r="V1393" i="1"/>
  <c r="W1393" i="1" s="1"/>
  <c r="Z1393" i="1"/>
  <c r="A1394" i="1"/>
  <c r="C1394" i="1"/>
  <c r="B1394" i="1" s="1"/>
  <c r="F1394" i="1"/>
  <c r="M1394" i="1"/>
  <c r="O1394" i="1"/>
  <c r="U1394" i="1"/>
  <c r="Y1394" i="1" s="1"/>
  <c r="V1394" i="1"/>
  <c r="W1394" i="1" s="1"/>
  <c r="Z1394" i="1"/>
  <c r="I92" i="104"/>
  <c r="I93" i="104"/>
  <c r="A92" i="104"/>
  <c r="B92" i="104"/>
  <c r="C92" i="104"/>
  <c r="A93" i="104"/>
  <c r="B93" i="104"/>
  <c r="C93" i="104"/>
  <c r="A1395" i="1"/>
  <c r="C1395" i="1"/>
  <c r="B1395" i="1" s="1"/>
  <c r="F1395" i="1"/>
  <c r="M1395" i="1"/>
  <c r="O1395" i="1"/>
  <c r="U1395" i="1"/>
  <c r="Y1395" i="1" s="1"/>
  <c r="V1395" i="1"/>
  <c r="W1395" i="1" s="1"/>
  <c r="Z1395" i="1"/>
  <c r="I94" i="104"/>
  <c r="A94" i="104"/>
  <c r="B94" i="104"/>
  <c r="C94" i="104"/>
  <c r="A1445" i="1"/>
  <c r="C1445" i="1"/>
  <c r="B1445" i="1" s="1"/>
  <c r="F1445" i="1"/>
  <c r="M1445" i="1"/>
  <c r="O1445" i="1"/>
  <c r="U1445" i="1"/>
  <c r="Y1445" i="1" s="1"/>
  <c r="V1445" i="1"/>
  <c r="W1445" i="1" s="1"/>
  <c r="Z1445" i="1"/>
  <c r="P1405" i="1" l="1"/>
  <c r="R1401" i="1"/>
  <c r="P1429" i="1"/>
  <c r="P1436" i="1"/>
  <c r="P1398" i="1"/>
  <c r="R1399" i="1"/>
  <c r="P1480" i="1"/>
  <c r="P1413" i="1"/>
  <c r="P1443" i="1"/>
  <c r="P1293" i="1"/>
  <c r="P1404" i="1"/>
  <c r="P1486" i="1"/>
  <c r="P1442" i="1"/>
  <c r="P1403" i="1"/>
  <c r="R1400" i="1"/>
  <c r="P1437" i="1"/>
  <c r="D1482" i="1"/>
  <c r="D1483" i="1"/>
  <c r="D1485" i="1"/>
  <c r="D1481" i="1"/>
  <c r="D1486" i="1"/>
  <c r="D1487" i="1"/>
  <c r="D1480" i="1"/>
  <c r="D1484" i="1"/>
  <c r="D1293" i="1"/>
  <c r="D1436" i="1"/>
  <c r="D1437" i="1"/>
  <c r="R1397" i="1"/>
  <c r="D1401" i="1" s="1"/>
  <c r="T1469" i="1"/>
  <c r="D1399" i="1"/>
  <c r="D1400" i="1"/>
  <c r="D1397" i="1"/>
  <c r="D1398" i="1"/>
  <c r="P1402" i="1"/>
  <c r="D1402" i="1"/>
  <c r="D1403" i="1"/>
  <c r="X1441" i="1"/>
  <c r="T1609" i="1"/>
  <c r="X1369" i="1"/>
  <c r="T1572" i="1"/>
  <c r="X1368" i="1"/>
  <c r="Y1369" i="1"/>
  <c r="X1366" i="1"/>
  <c r="Y1368" i="1"/>
  <c r="T1411" i="1"/>
  <c r="X1367" i="1"/>
  <c r="Y1367" i="1"/>
  <c r="Y1366" i="1"/>
  <c r="T1595" i="1"/>
  <c r="X1365" i="1"/>
  <c r="X1376" i="1"/>
  <c r="X1371" i="1"/>
  <c r="Y1371" i="1"/>
  <c r="T1540" i="1"/>
  <c r="T1560" i="1"/>
  <c r="T1520" i="1"/>
  <c r="T1596" i="1"/>
  <c r="T1407" i="1"/>
  <c r="T1491" i="1"/>
  <c r="T1412" i="1"/>
  <c r="T1470" i="1"/>
  <c r="T1406" i="1"/>
  <c r="X1375" i="1"/>
  <c r="X1520" i="1"/>
  <c r="T1559" i="1"/>
  <c r="T1623" i="1"/>
  <c r="X1540" i="1"/>
  <c r="X1572" i="1"/>
  <c r="X1609" i="1"/>
  <c r="X1491" i="1"/>
  <c r="X1596" i="1"/>
  <c r="X1560" i="1"/>
  <c r="X1595" i="1"/>
  <c r="X1559" i="1"/>
  <c r="X1470" i="1"/>
  <c r="X1411" i="1"/>
  <c r="P1411" i="1" s="1"/>
  <c r="X1412" i="1"/>
  <c r="P1412" i="1" s="1"/>
  <c r="X1407" i="1"/>
  <c r="P1407" i="1" s="1"/>
  <c r="X1406" i="1"/>
  <c r="X1317" i="1"/>
  <c r="Y1317" i="1"/>
  <c r="X1291" i="1"/>
  <c r="X1344" i="1"/>
  <c r="X1564" i="1"/>
  <c r="X1469" i="1"/>
  <c r="T1564" i="1"/>
  <c r="X1343" i="1"/>
  <c r="X1623" i="1"/>
  <c r="T1421" i="1"/>
  <c r="X1421" i="1"/>
  <c r="T1455" i="1"/>
  <c r="T1475" i="1"/>
  <c r="T1456" i="1"/>
  <c r="X1475" i="1"/>
  <c r="T1379" i="1"/>
  <c r="T1460" i="1"/>
  <c r="T1474" i="1"/>
  <c r="X1474" i="1"/>
  <c r="X1455" i="1"/>
  <c r="X1379" i="1"/>
  <c r="X1456" i="1"/>
  <c r="X1493" i="1"/>
  <c r="T1493" i="1"/>
  <c r="T1494" i="1"/>
  <c r="X1494" i="1"/>
  <c r="X1460" i="1"/>
  <c r="X1501" i="1"/>
  <c r="X1336" i="1"/>
  <c r="T1501" i="1"/>
  <c r="T1496" i="1"/>
  <c r="X1490" i="1"/>
  <c r="X1496" i="1"/>
  <c r="T1490" i="1"/>
  <c r="Y1496" i="1"/>
  <c r="X1339" i="1"/>
  <c r="T1552" i="1"/>
  <c r="X1552" i="1"/>
  <c r="T1498" i="1"/>
  <c r="X1498" i="1"/>
  <c r="T1389" i="1"/>
  <c r="T1521" i="1"/>
  <c r="X1521" i="1"/>
  <c r="X1389" i="1"/>
  <c r="T1440" i="1"/>
  <c r="X1440" i="1"/>
  <c r="T1439" i="1"/>
  <c r="X1342" i="1"/>
  <c r="T1395" i="1"/>
  <c r="Y1342" i="1"/>
  <c r="X1439" i="1"/>
  <c r="T1342" i="1"/>
  <c r="X1393" i="1"/>
  <c r="T1393" i="1"/>
  <c r="X1394" i="1"/>
  <c r="T1394" i="1"/>
  <c r="X1395" i="1"/>
  <c r="X1445" i="1"/>
  <c r="T1445" i="1"/>
  <c r="A1386" i="1"/>
  <c r="C1386" i="1"/>
  <c r="B1386" i="1" s="1"/>
  <c r="F1386" i="1"/>
  <c r="M1386" i="1"/>
  <c r="O1386" i="1"/>
  <c r="T1386" i="1"/>
  <c r="U1386" i="1"/>
  <c r="Y1386" i="1" s="1"/>
  <c r="V1386" i="1"/>
  <c r="W1386" i="1" s="1"/>
  <c r="Z1386" i="1"/>
  <c r="A1383" i="1"/>
  <c r="C1383" i="1"/>
  <c r="B1383" i="1" s="1"/>
  <c r="D1383" i="1"/>
  <c r="F1383" i="1"/>
  <c r="M1383" i="1"/>
  <c r="O1383" i="1"/>
  <c r="S1383" i="1"/>
  <c r="T1383" i="1"/>
  <c r="U1383" i="1"/>
  <c r="Y1383" i="1" s="1"/>
  <c r="V1383" i="1"/>
  <c r="W1383" i="1" s="1"/>
  <c r="Z1383" i="1"/>
  <c r="A1363" i="1"/>
  <c r="C1363" i="1"/>
  <c r="B1363" i="1" s="1"/>
  <c r="F1363" i="1"/>
  <c r="M1363" i="1"/>
  <c r="O1363" i="1"/>
  <c r="T1363" i="1"/>
  <c r="U1363" i="1"/>
  <c r="Y1363" i="1" s="1"/>
  <c r="V1363" i="1"/>
  <c r="W1363" i="1" s="1"/>
  <c r="Z1363" i="1"/>
  <c r="A1362" i="1"/>
  <c r="C1362" i="1"/>
  <c r="B1362" i="1" s="1"/>
  <c r="F1362" i="1"/>
  <c r="M1362" i="1"/>
  <c r="O1362" i="1"/>
  <c r="T1362" i="1"/>
  <c r="U1362" i="1"/>
  <c r="Y1362" i="1" s="1"/>
  <c r="V1362" i="1"/>
  <c r="W1362" i="1" s="1"/>
  <c r="Z1362" i="1"/>
  <c r="Q1361" i="1"/>
  <c r="M1355" i="1"/>
  <c r="A1361" i="1"/>
  <c r="C1361" i="1"/>
  <c r="B1361" i="1" s="1"/>
  <c r="F1361" i="1"/>
  <c r="O1361" i="1"/>
  <c r="U1361" i="1"/>
  <c r="Y1361" i="1" s="1"/>
  <c r="V1361" i="1"/>
  <c r="W1361" i="1" s="1"/>
  <c r="Z1361" i="1"/>
  <c r="A1364" i="1"/>
  <c r="C1364" i="1"/>
  <c r="B1364" i="1" s="1"/>
  <c r="F1364" i="1"/>
  <c r="O1364" i="1"/>
  <c r="U1364" i="1"/>
  <c r="Y1364" i="1" s="1"/>
  <c r="V1364" i="1"/>
  <c r="W1364" i="1" s="1"/>
  <c r="Z1364" i="1"/>
  <c r="A1355" i="1"/>
  <c r="C1355" i="1"/>
  <c r="B1355" i="1" s="1"/>
  <c r="F1355" i="1"/>
  <c r="O1355" i="1"/>
  <c r="U1355" i="1"/>
  <c r="Y1355" i="1" s="1"/>
  <c r="V1355" i="1"/>
  <c r="W1355" i="1" s="1"/>
  <c r="Z1355" i="1"/>
  <c r="O1350" i="1"/>
  <c r="A1346" i="1"/>
  <c r="C1346" i="1"/>
  <c r="B1346" i="1" s="1"/>
  <c r="F1346" i="1"/>
  <c r="M1346" i="1"/>
  <c r="O1346" i="1"/>
  <c r="T1346" i="1"/>
  <c r="U1346" i="1"/>
  <c r="Y1346" i="1" s="1"/>
  <c r="V1346" i="1"/>
  <c r="W1346" i="1" s="1"/>
  <c r="Z1346" i="1"/>
  <c r="A1356" i="1"/>
  <c r="C1356" i="1"/>
  <c r="B1356" i="1" s="1"/>
  <c r="F1356" i="1"/>
  <c r="M1356" i="1"/>
  <c r="O1356" i="1"/>
  <c r="U1356" i="1"/>
  <c r="Y1356" i="1" s="1"/>
  <c r="V1356" i="1"/>
  <c r="W1356" i="1" s="1"/>
  <c r="Z1356" i="1"/>
  <c r="A1354" i="1"/>
  <c r="C1354" i="1"/>
  <c r="B1354" i="1" s="1"/>
  <c r="F1354" i="1"/>
  <c r="M1354" i="1"/>
  <c r="O1354" i="1"/>
  <c r="S1354" i="1"/>
  <c r="T1354" i="1"/>
  <c r="U1354" i="1"/>
  <c r="Y1354" i="1" s="1"/>
  <c r="V1354" i="1"/>
  <c r="W1354" i="1" s="1"/>
  <c r="Z1354" i="1"/>
  <c r="A1351" i="1"/>
  <c r="C1351" i="1"/>
  <c r="B1351" i="1" s="1"/>
  <c r="F1351" i="1"/>
  <c r="M1351" i="1"/>
  <c r="O1351" i="1"/>
  <c r="T1351" i="1"/>
  <c r="U1351" i="1"/>
  <c r="Y1351" i="1" s="1"/>
  <c r="V1351" i="1"/>
  <c r="W1351" i="1" s="1"/>
  <c r="Z1351" i="1"/>
  <c r="M1350" i="1"/>
  <c r="A1350" i="1"/>
  <c r="C1350" i="1"/>
  <c r="B1350" i="1" s="1"/>
  <c r="F1350" i="1"/>
  <c r="U1350" i="1"/>
  <c r="Y1350" i="1" s="1"/>
  <c r="V1350" i="1"/>
  <c r="W1350" i="1" s="1"/>
  <c r="Z1350" i="1"/>
  <c r="A1349" i="1"/>
  <c r="C1349" i="1"/>
  <c r="B1349" i="1" s="1"/>
  <c r="F1349" i="1"/>
  <c r="M1349" i="1"/>
  <c r="O1349" i="1"/>
  <c r="T1349" i="1"/>
  <c r="U1349" i="1"/>
  <c r="Y1349" i="1" s="1"/>
  <c r="V1349" i="1"/>
  <c r="W1349" i="1" s="1"/>
  <c r="Z1349" i="1"/>
  <c r="A1348" i="1"/>
  <c r="C1348" i="1"/>
  <c r="B1348" i="1" s="1"/>
  <c r="F1348" i="1"/>
  <c r="M1348" i="1"/>
  <c r="O1348" i="1"/>
  <c r="T1348" i="1"/>
  <c r="U1348" i="1"/>
  <c r="Y1348" i="1" s="1"/>
  <c r="V1348" i="1"/>
  <c r="W1348" i="1" s="1"/>
  <c r="Z1348" i="1"/>
  <c r="A1347" i="1"/>
  <c r="C1347" i="1"/>
  <c r="B1347" i="1" s="1"/>
  <c r="F1347" i="1"/>
  <c r="M1347" i="1"/>
  <c r="O1347" i="1"/>
  <c r="U1347" i="1"/>
  <c r="Y1347" i="1" s="1"/>
  <c r="V1347" i="1"/>
  <c r="W1347" i="1" s="1"/>
  <c r="Z1347" i="1"/>
  <c r="A1352" i="1"/>
  <c r="C1352" i="1"/>
  <c r="B1352" i="1" s="1"/>
  <c r="F1352" i="1"/>
  <c r="M1352" i="1"/>
  <c r="O1352" i="1"/>
  <c r="T1352" i="1"/>
  <c r="U1352" i="1"/>
  <c r="Y1352" i="1" s="1"/>
  <c r="V1352" i="1"/>
  <c r="W1352" i="1" s="1"/>
  <c r="Z1352" i="1"/>
  <c r="A1360" i="1"/>
  <c r="C1360" i="1"/>
  <c r="B1360" i="1" s="1"/>
  <c r="F1360" i="1"/>
  <c r="M1360" i="1"/>
  <c r="O1360" i="1"/>
  <c r="U1360" i="1"/>
  <c r="Y1360" i="1" s="1"/>
  <c r="V1360" i="1"/>
  <c r="W1360" i="1" s="1"/>
  <c r="Z1360" i="1"/>
  <c r="A1359" i="1"/>
  <c r="C1359" i="1"/>
  <c r="B1359" i="1" s="1"/>
  <c r="F1359" i="1"/>
  <c r="M1359" i="1"/>
  <c r="O1359" i="1"/>
  <c r="U1359" i="1"/>
  <c r="V1359" i="1"/>
  <c r="W1359" i="1" s="1"/>
  <c r="Z1359" i="1"/>
  <c r="A1358" i="1"/>
  <c r="C1358" i="1"/>
  <c r="B1358" i="1" s="1"/>
  <c r="F1358" i="1"/>
  <c r="M1358" i="1"/>
  <c r="O1358" i="1"/>
  <c r="U1358" i="1"/>
  <c r="Y1358" i="1" s="1"/>
  <c r="V1358" i="1"/>
  <c r="W1358" i="1" s="1"/>
  <c r="Z1358" i="1"/>
  <c r="A1357" i="1"/>
  <c r="C1357" i="1"/>
  <c r="B1357" i="1" s="1"/>
  <c r="F1357" i="1"/>
  <c r="M1357" i="1"/>
  <c r="O1357" i="1"/>
  <c r="U1357" i="1"/>
  <c r="Y1357" i="1" s="1"/>
  <c r="V1357" i="1"/>
  <c r="W1357" i="1" s="1"/>
  <c r="Z1357" i="1"/>
  <c r="A1353" i="1"/>
  <c r="C1353" i="1"/>
  <c r="B1353" i="1" s="1"/>
  <c r="F1353" i="1"/>
  <c r="M1353" i="1"/>
  <c r="O1353" i="1"/>
  <c r="U1353" i="1"/>
  <c r="Y1353" i="1" s="1"/>
  <c r="V1353" i="1"/>
  <c r="W1353" i="1" s="1"/>
  <c r="Z1353" i="1"/>
  <c r="Q1398" i="1" l="1"/>
  <c r="R1398" i="1" s="1"/>
  <c r="P1389" i="1"/>
  <c r="P1498" i="1"/>
  <c r="P1339" i="1"/>
  <c r="P1490" i="1"/>
  <c r="P1501" i="1"/>
  <c r="P1455" i="1"/>
  <c r="P1343" i="1"/>
  <c r="P1344" i="1"/>
  <c r="P1406" i="1"/>
  <c r="P1470" i="1"/>
  <c r="P1596" i="1"/>
  <c r="P1540" i="1"/>
  <c r="P1375" i="1"/>
  <c r="P1376" i="1"/>
  <c r="Q1486" i="1"/>
  <c r="Q1429" i="1"/>
  <c r="Q1405" i="1"/>
  <c r="P1394" i="1"/>
  <c r="P1439" i="1"/>
  <c r="P1521" i="1"/>
  <c r="P1460" i="1"/>
  <c r="P1493" i="1"/>
  <c r="P1474" i="1"/>
  <c r="P1475" i="1"/>
  <c r="P1421" i="1"/>
  <c r="P1291" i="1"/>
  <c r="Q1407" i="1"/>
  <c r="P1559" i="1"/>
  <c r="P1491" i="1"/>
  <c r="P1365" i="1"/>
  <c r="Q1402" i="1"/>
  <c r="Q1437" i="1"/>
  <c r="Q1403" i="1"/>
  <c r="Q1293" i="1"/>
  <c r="Q1413" i="1"/>
  <c r="P1445" i="1"/>
  <c r="P1440" i="1"/>
  <c r="P1552" i="1"/>
  <c r="P1494" i="1"/>
  <c r="P1456" i="1"/>
  <c r="P1469" i="1"/>
  <c r="Q1412" i="1"/>
  <c r="P1595" i="1"/>
  <c r="P1609" i="1"/>
  <c r="P1441" i="1"/>
  <c r="Q1442" i="1"/>
  <c r="Q1436" i="1"/>
  <c r="P1395" i="1"/>
  <c r="P1393" i="1"/>
  <c r="P1336" i="1"/>
  <c r="P1379" i="1"/>
  <c r="P1623" i="1"/>
  <c r="P1564" i="1"/>
  <c r="Q1411" i="1"/>
  <c r="P1560" i="1"/>
  <c r="P1572" i="1"/>
  <c r="P1520" i="1"/>
  <c r="P1371" i="1"/>
  <c r="Q1443" i="1"/>
  <c r="Q1480" i="1"/>
  <c r="D1564" i="1"/>
  <c r="D1601" i="1"/>
  <c r="D1602" i="1"/>
  <c r="D1621" i="1"/>
  <c r="D1520" i="1"/>
  <c r="D1626" i="1"/>
  <c r="D1555" i="1"/>
  <c r="D1557" i="1"/>
  <c r="D1622" i="1"/>
  <c r="D1562" i="1"/>
  <c r="D1556" i="1"/>
  <c r="D1554" i="1"/>
  <c r="D1553" i="1"/>
  <c r="D1561" i="1"/>
  <c r="D1609" i="1"/>
  <c r="D1749" i="1"/>
  <c r="D1442" i="1"/>
  <c r="D1443" i="1"/>
  <c r="P1368" i="1"/>
  <c r="P1366" i="1"/>
  <c r="P1369" i="1"/>
  <c r="P1367" i="1"/>
  <c r="D1595" i="1"/>
  <c r="D1596" i="1"/>
  <c r="D1559" i="1"/>
  <c r="D1560" i="1"/>
  <c r="D1412" i="1"/>
  <c r="D1470" i="1"/>
  <c r="D1407" i="1"/>
  <c r="D1406" i="1"/>
  <c r="P1317" i="1"/>
  <c r="D1455" i="1"/>
  <c r="D1456" i="1"/>
  <c r="D1379" i="1"/>
  <c r="P1496" i="1"/>
  <c r="D1552" i="1"/>
  <c r="D1339" i="1"/>
  <c r="P1342" i="1"/>
  <c r="X1386" i="1"/>
  <c r="X1383" i="1"/>
  <c r="X1363" i="1"/>
  <c r="X1362" i="1"/>
  <c r="X1364" i="1"/>
  <c r="X1361" i="1"/>
  <c r="T1361" i="1"/>
  <c r="R1361" i="1"/>
  <c r="X1355" i="1"/>
  <c r="T1364" i="1"/>
  <c r="T1355" i="1"/>
  <c r="X1356" i="1"/>
  <c r="X1346" i="1"/>
  <c r="X1354" i="1"/>
  <c r="P1354" i="1" s="1"/>
  <c r="T1356" i="1"/>
  <c r="X1351" i="1"/>
  <c r="X1347" i="1"/>
  <c r="X1348" i="1"/>
  <c r="X1349" i="1"/>
  <c r="T1358" i="1"/>
  <c r="X1350" i="1"/>
  <c r="X1352" i="1"/>
  <c r="T1347" i="1"/>
  <c r="T1350" i="1"/>
  <c r="X1360" i="1"/>
  <c r="P1360" i="1" s="1"/>
  <c r="T1357" i="1"/>
  <c r="T1360" i="1"/>
  <c r="X1357" i="1"/>
  <c r="X1359" i="1"/>
  <c r="T1353" i="1"/>
  <c r="Y1359" i="1"/>
  <c r="T1359" i="1"/>
  <c r="X1358" i="1"/>
  <c r="X1353" i="1"/>
  <c r="P1364" i="1" l="1"/>
  <c r="P1357" i="1"/>
  <c r="P1351" i="1"/>
  <c r="P1356" i="1"/>
  <c r="P1362" i="1"/>
  <c r="Q1342" i="1"/>
  <c r="R1349" i="1"/>
  <c r="P1363" i="1"/>
  <c r="Q1366" i="1"/>
  <c r="Q1595" i="1"/>
  <c r="Q1469" i="1"/>
  <c r="Q1494" i="1"/>
  <c r="Q1440" i="1"/>
  <c r="Q1491" i="1"/>
  <c r="R1407" i="1"/>
  <c r="Q1421" i="1"/>
  <c r="Q1474" i="1"/>
  <c r="Q1460" i="1"/>
  <c r="Q1439" i="1"/>
  <c r="Q1375" i="1"/>
  <c r="Q1596" i="1"/>
  <c r="Q1406" i="1"/>
  <c r="Q1343" i="1"/>
  <c r="Q1501" i="1"/>
  <c r="Q1339" i="1"/>
  <c r="Q1389" i="1"/>
  <c r="P1353" i="1"/>
  <c r="P1352" i="1"/>
  <c r="R1348" i="1"/>
  <c r="Q1354" i="1"/>
  <c r="P1383" i="1"/>
  <c r="P1358" i="1"/>
  <c r="Q1360" i="1"/>
  <c r="P1350" i="1"/>
  <c r="Q1350" i="1" s="1"/>
  <c r="R1347" i="1"/>
  <c r="R1355" i="1"/>
  <c r="D1355" i="1" s="1"/>
  <c r="P1386" i="1"/>
  <c r="Q1496" i="1"/>
  <c r="Q1317" i="1"/>
  <c r="Q1368" i="1"/>
  <c r="R1480" i="1"/>
  <c r="Q1520" i="1"/>
  <c r="Q1560" i="1"/>
  <c r="Q1564" i="1"/>
  <c r="Q1379" i="1"/>
  <c r="Q1393" i="1"/>
  <c r="R1442" i="1"/>
  <c r="R1293" i="1"/>
  <c r="R1437" i="1"/>
  <c r="R1429" i="1"/>
  <c r="D1429" i="1" s="1"/>
  <c r="Q1367" i="1"/>
  <c r="Q1609" i="1"/>
  <c r="R1412" i="1"/>
  <c r="Q1456" i="1"/>
  <c r="Q1552" i="1"/>
  <c r="Q1445" i="1"/>
  <c r="Q1365" i="1"/>
  <c r="Q1559" i="1"/>
  <c r="Q1291" i="1"/>
  <c r="Q1475" i="1"/>
  <c r="Q1493" i="1"/>
  <c r="Q1521" i="1"/>
  <c r="Q1394" i="1"/>
  <c r="Q1376" i="1"/>
  <c r="Q1540" i="1"/>
  <c r="Q1470" i="1"/>
  <c r="Q1344" i="1"/>
  <c r="Q1455" i="1"/>
  <c r="Q1490" i="1"/>
  <c r="Q1498" i="1"/>
  <c r="Q1369" i="1"/>
  <c r="R1443" i="1"/>
  <c r="Q1371" i="1"/>
  <c r="Q1572" i="1"/>
  <c r="R1411" i="1"/>
  <c r="D1411" i="1" s="1"/>
  <c r="Q1623" i="1"/>
  <c r="Q1336" i="1"/>
  <c r="Q1395" i="1"/>
  <c r="R1436" i="1"/>
  <c r="Q1441" i="1"/>
  <c r="R1413" i="1"/>
  <c r="D1413" i="1" s="1"/>
  <c r="R1403" i="1"/>
  <c r="R1402" i="1"/>
  <c r="R1405" i="1"/>
  <c r="D1405" i="1" s="1"/>
  <c r="R1486" i="1"/>
  <c r="D1488" i="1" s="1"/>
  <c r="D1579" i="1"/>
  <c r="D1580" i="1"/>
  <c r="D1577" i="1"/>
  <c r="D1578" i="1"/>
  <c r="P1346" i="1"/>
  <c r="D1350" i="1"/>
  <c r="D1363" i="1"/>
  <c r="D1361" i="1"/>
  <c r="D1362" i="1"/>
  <c r="P1359" i="1"/>
  <c r="D1347" i="1"/>
  <c r="D1348" i="1"/>
  <c r="D1349" i="1"/>
  <c r="D1360" i="1"/>
  <c r="D1358" i="1"/>
  <c r="D1359" i="1"/>
  <c r="D1357" i="1"/>
  <c r="Q1364" i="1" l="1"/>
  <c r="Q1359" i="1"/>
  <c r="R1350" i="1"/>
  <c r="R1441" i="1"/>
  <c r="R1395" i="1"/>
  <c r="R1623" i="1"/>
  <c r="D1623" i="1" s="1"/>
  <c r="R1572" i="1"/>
  <c r="D1572" i="1" s="1"/>
  <c r="R1498" i="1"/>
  <c r="R1455" i="1"/>
  <c r="R1470" i="1"/>
  <c r="D1516" i="1" s="1"/>
  <c r="R1376" i="1"/>
  <c r="R1521" i="1"/>
  <c r="R1475" i="1"/>
  <c r="R1559" i="1"/>
  <c r="R1445" i="1"/>
  <c r="R1456" i="1"/>
  <c r="R1609" i="1"/>
  <c r="D1610" i="1" s="1"/>
  <c r="R1393" i="1"/>
  <c r="R1564" i="1"/>
  <c r="R1520" i="1"/>
  <c r="R1368" i="1"/>
  <c r="R1496" i="1"/>
  <c r="D1581" i="1" s="1"/>
  <c r="R1360" i="1"/>
  <c r="Q1383" i="1"/>
  <c r="Q1353" i="1"/>
  <c r="R1339" i="1"/>
  <c r="R1343" i="1"/>
  <c r="D1343" i="1" s="1"/>
  <c r="R1596" i="1"/>
  <c r="R1439" i="1"/>
  <c r="R1474" i="1"/>
  <c r="R1440" i="1"/>
  <c r="R1469" i="1"/>
  <c r="R1366" i="1"/>
  <c r="Q1362" i="1"/>
  <c r="Q1351" i="1"/>
  <c r="R1336" i="1"/>
  <c r="R1371" i="1"/>
  <c r="D1371" i="1" s="1"/>
  <c r="R1369" i="1"/>
  <c r="R1490" i="1"/>
  <c r="R1344" i="1"/>
  <c r="D1344" i="1" s="1"/>
  <c r="R1540" i="1"/>
  <c r="R1394" i="1"/>
  <c r="R1493" i="1"/>
  <c r="R1291" i="1"/>
  <c r="D1291" i="1" s="1"/>
  <c r="R1365" i="1"/>
  <c r="R1552" i="1"/>
  <c r="D1707" i="1" s="1"/>
  <c r="R1367" i="1"/>
  <c r="R1379" i="1"/>
  <c r="R1560" i="1"/>
  <c r="R1317" i="1"/>
  <c r="D1317" i="1" s="1"/>
  <c r="Q1386" i="1"/>
  <c r="Q1346" i="1"/>
  <c r="Q1358" i="1"/>
  <c r="R1354" i="1"/>
  <c r="Q1352" i="1"/>
  <c r="R1389" i="1"/>
  <c r="R1501" i="1"/>
  <c r="D1501" i="1" s="1"/>
  <c r="R1406" i="1"/>
  <c r="R1375" i="1"/>
  <c r="R1460" i="1"/>
  <c r="D1460" i="1" s="1"/>
  <c r="R1421" i="1"/>
  <c r="D1421" i="1" s="1"/>
  <c r="R1491" i="1"/>
  <c r="R1494" i="1"/>
  <c r="R1595" i="1"/>
  <c r="Q1363" i="1"/>
  <c r="R1342" i="1"/>
  <c r="Q1356" i="1"/>
  <c r="Q1357" i="1"/>
  <c r="A1334" i="1"/>
  <c r="C1334" i="1"/>
  <c r="B1334" i="1" s="1"/>
  <c r="F1334" i="1"/>
  <c r="M1334" i="1"/>
  <c r="O1334" i="1"/>
  <c r="T1334" i="1"/>
  <c r="U1334" i="1"/>
  <c r="Y1334" i="1" s="1"/>
  <c r="V1334" i="1"/>
  <c r="W1334" i="1" s="1"/>
  <c r="Z1334" i="1"/>
  <c r="A1527" i="1"/>
  <c r="C1527" i="1"/>
  <c r="B1527" i="1" s="1"/>
  <c r="F1527" i="1"/>
  <c r="M1527" i="1"/>
  <c r="O1527" i="1"/>
  <c r="U1527" i="1"/>
  <c r="Y1527" i="1" s="1"/>
  <c r="V1527" i="1"/>
  <c r="W1527" i="1" s="1"/>
  <c r="Z1527" i="1"/>
  <c r="I105" i="104"/>
  <c r="A105" i="104"/>
  <c r="B105" i="104"/>
  <c r="C105" i="104"/>
  <c r="E423" i="6"/>
  <c r="F423" i="6"/>
  <c r="I423" i="6"/>
  <c r="J423" i="6"/>
  <c r="E504" i="6"/>
  <c r="F504" i="6"/>
  <c r="I504" i="6"/>
  <c r="J504" i="6"/>
  <c r="E567" i="6"/>
  <c r="F567" i="6"/>
  <c r="I567" i="6"/>
  <c r="J567" i="6"/>
  <c r="E682" i="6"/>
  <c r="F682" i="6"/>
  <c r="I682" i="6"/>
  <c r="J682" i="6"/>
  <c r="E742" i="6"/>
  <c r="F742" i="6"/>
  <c r="I742" i="6"/>
  <c r="J742" i="6"/>
  <c r="E745" i="6"/>
  <c r="F745" i="6"/>
  <c r="I745" i="6"/>
  <c r="J745" i="6"/>
  <c r="E751" i="6"/>
  <c r="F751" i="6"/>
  <c r="I751" i="6"/>
  <c r="J751" i="6"/>
  <c r="E780" i="6"/>
  <c r="F780" i="6"/>
  <c r="I780" i="6"/>
  <c r="J780" i="6"/>
  <c r="E812" i="6"/>
  <c r="F812" i="6"/>
  <c r="I812" i="6"/>
  <c r="J812" i="6"/>
  <c r="E822" i="6"/>
  <c r="F822" i="6"/>
  <c r="I822" i="6"/>
  <c r="J822" i="6"/>
  <c r="E823" i="6"/>
  <c r="F823" i="6"/>
  <c r="I823" i="6"/>
  <c r="J823" i="6"/>
  <c r="E824" i="6"/>
  <c r="F824" i="6"/>
  <c r="I824" i="6"/>
  <c r="J824" i="6"/>
  <c r="E849" i="6"/>
  <c r="F849" i="6"/>
  <c r="I849" i="6"/>
  <c r="J849" i="6"/>
  <c r="F236" i="6"/>
  <c r="A1492" i="1"/>
  <c r="C1492" i="1"/>
  <c r="B1492" i="1" s="1"/>
  <c r="F1492" i="1"/>
  <c r="M1492" i="1"/>
  <c r="O1492" i="1"/>
  <c r="U1492" i="1"/>
  <c r="Y1492" i="1" s="1"/>
  <c r="V1492" i="1"/>
  <c r="W1492" i="1" s="1"/>
  <c r="Z1492" i="1"/>
  <c r="R1364" i="1" l="1"/>
  <c r="D1364" i="1" s="1"/>
  <c r="R1357" i="1"/>
  <c r="R1356" i="1"/>
  <c r="D1356" i="1" s="1"/>
  <c r="R1363" i="1"/>
  <c r="R1352" i="1"/>
  <c r="D1352" i="1" s="1"/>
  <c r="R1358" i="1"/>
  <c r="R1386" i="1"/>
  <c r="R1353" i="1"/>
  <c r="D1353" i="1" s="1"/>
  <c r="R1346" i="1"/>
  <c r="D1346" i="1" s="1"/>
  <c r="R1362" i="1"/>
  <c r="R1383" i="1"/>
  <c r="R1351" i="1"/>
  <c r="D1351" i="1" s="1"/>
  <c r="R1359" i="1"/>
  <c r="T1527" i="1"/>
  <c r="X1527" i="1"/>
  <c r="X1334" i="1"/>
  <c r="T1492" i="1"/>
  <c r="X1492" i="1"/>
  <c r="P1492" i="1" l="1"/>
  <c r="P1527" i="1"/>
  <c r="P1334" i="1"/>
  <c r="D1493" i="1"/>
  <c r="D1540" i="1"/>
  <c r="D1492" i="1"/>
  <c r="D1494" i="1"/>
  <c r="A1321" i="1"/>
  <c r="C1321" i="1"/>
  <c r="B1321" i="1" s="1"/>
  <c r="F1321" i="1"/>
  <c r="M1321" i="1"/>
  <c r="O1321" i="1"/>
  <c r="S1321" i="1"/>
  <c r="T1321" i="1"/>
  <c r="U1321" i="1"/>
  <c r="Y1321" i="1" s="1"/>
  <c r="V1321" i="1"/>
  <c r="W1321" i="1" s="1"/>
  <c r="Z1321" i="1"/>
  <c r="A1316" i="1"/>
  <c r="C1316" i="1"/>
  <c r="B1316" i="1" s="1"/>
  <c r="F1316" i="1"/>
  <c r="M1316" i="1"/>
  <c r="O1316" i="1"/>
  <c r="U1316" i="1"/>
  <c r="Y1316" i="1" s="1"/>
  <c r="V1316" i="1"/>
  <c r="W1316" i="1" s="1"/>
  <c r="Z1316" i="1"/>
  <c r="Q1527" i="1" l="1"/>
  <c r="Q1334" i="1"/>
  <c r="Q1492" i="1"/>
  <c r="X1321" i="1"/>
  <c r="X1316" i="1"/>
  <c r="T1316" i="1"/>
  <c r="A1249" i="1"/>
  <c r="C1249" i="1"/>
  <c r="B1249" i="1" s="1"/>
  <c r="F1249" i="1"/>
  <c r="M1249" i="1"/>
  <c r="O1249" i="1"/>
  <c r="S1249" i="1"/>
  <c r="T1249" i="1"/>
  <c r="U1249" i="1"/>
  <c r="Y1249" i="1" s="1"/>
  <c r="V1249" i="1"/>
  <c r="W1249" i="1" s="1"/>
  <c r="Z1249" i="1"/>
  <c r="A1446" i="1"/>
  <c r="C1446" i="1"/>
  <c r="B1446" i="1" s="1"/>
  <c r="F1446" i="1"/>
  <c r="M1446" i="1"/>
  <c r="O1446" i="1"/>
  <c r="U1446" i="1"/>
  <c r="Y1446" i="1" s="1"/>
  <c r="V1446" i="1"/>
  <c r="W1446" i="1" s="1"/>
  <c r="Z1446" i="1"/>
  <c r="A1448" i="1"/>
  <c r="C1448" i="1"/>
  <c r="B1448" i="1" s="1"/>
  <c r="F1448" i="1"/>
  <c r="M1448" i="1"/>
  <c r="O1448" i="1"/>
  <c r="U1448" i="1"/>
  <c r="Y1448" i="1" s="1"/>
  <c r="V1448" i="1"/>
  <c r="W1448" i="1" s="1"/>
  <c r="Z1448" i="1"/>
  <c r="A1447" i="1"/>
  <c r="C1447" i="1"/>
  <c r="B1447" i="1" s="1"/>
  <c r="F1447" i="1"/>
  <c r="M1447" i="1"/>
  <c r="O1447" i="1"/>
  <c r="U1447" i="1"/>
  <c r="Y1447" i="1" s="1"/>
  <c r="V1447" i="1"/>
  <c r="W1447" i="1" s="1"/>
  <c r="Z1447" i="1"/>
  <c r="A1550" i="1"/>
  <c r="C1550" i="1"/>
  <c r="B1550" i="1" s="1"/>
  <c r="F1550" i="1"/>
  <c r="O1550" i="1"/>
  <c r="U1550" i="1"/>
  <c r="Y1550" i="1" s="1"/>
  <c r="V1550" i="1"/>
  <c r="W1550" i="1" s="1"/>
  <c r="Z1550" i="1"/>
  <c r="A1499" i="1"/>
  <c r="C1499" i="1"/>
  <c r="B1499" i="1" s="1"/>
  <c r="F1499" i="1"/>
  <c r="M1499" i="1"/>
  <c r="O1499" i="1"/>
  <c r="U1499" i="1"/>
  <c r="Y1499" i="1" s="1"/>
  <c r="V1499" i="1"/>
  <c r="W1499" i="1" s="1"/>
  <c r="Z1499" i="1"/>
  <c r="A1467" i="1"/>
  <c r="C1467" i="1"/>
  <c r="B1467" i="1" s="1"/>
  <c r="F1467" i="1"/>
  <c r="M1467" i="1"/>
  <c r="O1467" i="1"/>
  <c r="U1467" i="1"/>
  <c r="Y1467" i="1" s="1"/>
  <c r="V1467" i="1"/>
  <c r="W1467" i="1" s="1"/>
  <c r="Z1467" i="1"/>
  <c r="A1449" i="1"/>
  <c r="C1449" i="1"/>
  <c r="B1449" i="1" s="1"/>
  <c r="F1449" i="1"/>
  <c r="M1449" i="1"/>
  <c r="O1449" i="1"/>
  <c r="U1449" i="1"/>
  <c r="Y1449" i="1" s="1"/>
  <c r="V1449" i="1"/>
  <c r="W1449" i="1" s="1"/>
  <c r="Z1449" i="1"/>
  <c r="A1497" i="1"/>
  <c r="C1497" i="1"/>
  <c r="B1497" i="1" s="1"/>
  <c r="F1497" i="1"/>
  <c r="M1497" i="1"/>
  <c r="O1497" i="1"/>
  <c r="U1497" i="1"/>
  <c r="Y1497" i="1" s="1"/>
  <c r="V1497" i="1"/>
  <c r="W1497" i="1" s="1"/>
  <c r="Z1497" i="1"/>
  <c r="A1298" i="1"/>
  <c r="C1298" i="1"/>
  <c r="B1298" i="1" s="1"/>
  <c r="F1298" i="1"/>
  <c r="M1298" i="1"/>
  <c r="O1298" i="1"/>
  <c r="U1298" i="1"/>
  <c r="Y1298" i="1" s="1"/>
  <c r="V1298" i="1"/>
  <c r="W1298" i="1" s="1"/>
  <c r="Z1298" i="1"/>
  <c r="A1468" i="1"/>
  <c r="C1468" i="1"/>
  <c r="B1468" i="1" s="1"/>
  <c r="F1468" i="1"/>
  <c r="M1468" i="1"/>
  <c r="O1468" i="1"/>
  <c r="U1468" i="1"/>
  <c r="Y1468" i="1" s="1"/>
  <c r="V1468" i="1"/>
  <c r="W1468" i="1" s="1"/>
  <c r="Z1468" i="1"/>
  <c r="A1453" i="1"/>
  <c r="C1453" i="1"/>
  <c r="B1453" i="1" s="1"/>
  <c r="F1453" i="1"/>
  <c r="M1453" i="1"/>
  <c r="O1453" i="1"/>
  <c r="U1453" i="1"/>
  <c r="Y1453" i="1" s="1"/>
  <c r="V1453" i="1"/>
  <c r="W1453" i="1" s="1"/>
  <c r="Z1453" i="1"/>
  <c r="A1459" i="1"/>
  <c r="C1459" i="1"/>
  <c r="B1459" i="1" s="1"/>
  <c r="F1459" i="1"/>
  <c r="M1459" i="1"/>
  <c r="O1459" i="1"/>
  <c r="U1459" i="1"/>
  <c r="Y1459" i="1" s="1"/>
  <c r="V1459" i="1"/>
  <c r="W1459" i="1" s="1"/>
  <c r="Z1459" i="1"/>
  <c r="A1500" i="1"/>
  <c r="C1500" i="1"/>
  <c r="B1500" i="1" s="1"/>
  <c r="F1500" i="1"/>
  <c r="M1500" i="1"/>
  <c r="O1500" i="1"/>
  <c r="U1500" i="1"/>
  <c r="Y1500" i="1" s="1"/>
  <c r="V1500" i="1"/>
  <c r="W1500" i="1" s="1"/>
  <c r="Z1500" i="1"/>
  <c r="A1396" i="1"/>
  <c r="C1396" i="1"/>
  <c r="B1396" i="1" s="1"/>
  <c r="F1396" i="1"/>
  <c r="M1396" i="1"/>
  <c r="O1396" i="1"/>
  <c r="U1396" i="1"/>
  <c r="Y1396" i="1" s="1"/>
  <c r="V1396" i="1"/>
  <c r="W1396" i="1" s="1"/>
  <c r="Z1396" i="1"/>
  <c r="A1392" i="1"/>
  <c r="C1392" i="1"/>
  <c r="B1392" i="1" s="1"/>
  <c r="F1392" i="1"/>
  <c r="M1392" i="1"/>
  <c r="O1392" i="1"/>
  <c r="U1392" i="1"/>
  <c r="V1392" i="1"/>
  <c r="W1392" i="1" s="1"/>
  <c r="Z1392" i="1"/>
  <c r="A1391" i="1"/>
  <c r="C1391" i="1"/>
  <c r="B1391" i="1" s="1"/>
  <c r="F1391" i="1"/>
  <c r="M1391" i="1"/>
  <c r="O1391" i="1"/>
  <c r="U1391" i="1"/>
  <c r="Y1391" i="1" s="1"/>
  <c r="V1391" i="1"/>
  <c r="W1391" i="1" s="1"/>
  <c r="Z1391" i="1"/>
  <c r="I91" i="104"/>
  <c r="I90" i="104"/>
  <c r="I89" i="104"/>
  <c r="A91" i="104"/>
  <c r="B91" i="104"/>
  <c r="C91" i="104"/>
  <c r="A90" i="104"/>
  <c r="B90" i="104"/>
  <c r="C90" i="104"/>
  <c r="A89" i="104"/>
  <c r="B89" i="104"/>
  <c r="C89" i="104"/>
  <c r="R1492" i="1" l="1"/>
  <c r="D1495" i="1" s="1"/>
  <c r="P1316" i="1"/>
  <c r="R1527" i="1"/>
  <c r="D1527" i="1" s="1"/>
  <c r="S15" i="16"/>
  <c r="P1321" i="1"/>
  <c r="R1334" i="1"/>
  <c r="D1334" i="1" s="1"/>
  <c r="T1499" i="1"/>
  <c r="T1550" i="1"/>
  <c r="T1467" i="1"/>
  <c r="X1249" i="1"/>
  <c r="T1446" i="1"/>
  <c r="X1446" i="1"/>
  <c r="T1447" i="1"/>
  <c r="X1447" i="1"/>
  <c r="T1448" i="1"/>
  <c r="X1448" i="1"/>
  <c r="X1550" i="1"/>
  <c r="X1499" i="1"/>
  <c r="X1467" i="1"/>
  <c r="T1449" i="1"/>
  <c r="X1449" i="1"/>
  <c r="T1459" i="1"/>
  <c r="T1453" i="1"/>
  <c r="X1298" i="1"/>
  <c r="T1497" i="1"/>
  <c r="X1497" i="1"/>
  <c r="T1298" i="1"/>
  <c r="T1468" i="1"/>
  <c r="X1468" i="1"/>
  <c r="X1453" i="1"/>
  <c r="X1459" i="1"/>
  <c r="T1500" i="1"/>
  <c r="X1500" i="1"/>
  <c r="T1396" i="1"/>
  <c r="T1391" i="1"/>
  <c r="T1392" i="1"/>
  <c r="X1396" i="1"/>
  <c r="X1392" i="1"/>
  <c r="Y1392" i="1"/>
  <c r="X1391" i="1"/>
  <c r="P1396" i="1" l="1"/>
  <c r="P1500" i="1"/>
  <c r="P1468" i="1"/>
  <c r="P1449" i="1"/>
  <c r="P1550" i="1"/>
  <c r="P1391" i="1"/>
  <c r="P1298" i="1"/>
  <c r="P1446" i="1"/>
  <c r="P1453" i="1"/>
  <c r="P1497" i="1"/>
  <c r="P1499" i="1"/>
  <c r="P1447" i="1"/>
  <c r="P1249" i="1"/>
  <c r="Q1316" i="1"/>
  <c r="P1459" i="1"/>
  <c r="P1467" i="1"/>
  <c r="Q1321" i="1"/>
  <c r="D1550" i="1"/>
  <c r="D1523" i="1"/>
  <c r="D1522" i="1"/>
  <c r="D1459" i="1"/>
  <c r="D1490" i="1"/>
  <c r="D1497" i="1"/>
  <c r="D1498" i="1"/>
  <c r="D1521" i="1"/>
  <c r="D1453" i="1"/>
  <c r="D1354" i="1"/>
  <c r="P1448" i="1"/>
  <c r="D1500" i="1"/>
  <c r="D1499" i="1"/>
  <c r="D1468" i="1"/>
  <c r="D1298" i="1"/>
  <c r="P1392" i="1"/>
  <c r="Q1467" i="1" l="1"/>
  <c r="R1316" i="1"/>
  <c r="D1316" i="1" s="1"/>
  <c r="Q1447" i="1"/>
  <c r="Q1497" i="1"/>
  <c r="Q1446" i="1"/>
  <c r="Q1391" i="1"/>
  <c r="Q1449" i="1"/>
  <c r="Q1500" i="1"/>
  <c r="Q1392" i="1"/>
  <c r="Q1448" i="1"/>
  <c r="R1321" i="1"/>
  <c r="D1321" i="1" s="1"/>
  <c r="Q1459" i="1"/>
  <c r="Q1249" i="1"/>
  <c r="Q1499" i="1"/>
  <c r="Q1453" i="1"/>
  <c r="Q1298" i="1"/>
  <c r="Q1550" i="1"/>
  <c r="Q1468" i="1"/>
  <c r="Q1396" i="1"/>
  <c r="D1496" i="1"/>
  <c r="D1393" i="1"/>
  <c r="D1394" i="1"/>
  <c r="D1395" i="1"/>
  <c r="D1445" i="1"/>
  <c r="D1391" i="1"/>
  <c r="D1448" i="1"/>
  <c r="D1447" i="1"/>
  <c r="R1468" i="1" l="1"/>
  <c r="R1298" i="1"/>
  <c r="R1499" i="1"/>
  <c r="R1459" i="1"/>
  <c r="D1491" i="1" s="1"/>
  <c r="R1448" i="1"/>
  <c r="D1446" i="1" s="1"/>
  <c r="R1500" i="1"/>
  <c r="R1391" i="1"/>
  <c r="R1497" i="1"/>
  <c r="R1396" i="1"/>
  <c r="D1396" i="1" s="1"/>
  <c r="R1453" i="1"/>
  <c r="R1249" i="1"/>
  <c r="D1249" i="1" s="1"/>
  <c r="R1392" i="1"/>
  <c r="D1392" i="1" s="1"/>
  <c r="R1449" i="1"/>
  <c r="D1449" i="1" s="1"/>
  <c r="R1446" i="1"/>
  <c r="R1447" i="1"/>
  <c r="R1467" i="1"/>
  <c r="D1467" i="1" s="1"/>
  <c r="O1333" i="1"/>
  <c r="A1331" i="1"/>
  <c r="C1331" i="1"/>
  <c r="B1331" i="1" s="1"/>
  <c r="D1331" i="1"/>
  <c r="F1331" i="1"/>
  <c r="M1331" i="1"/>
  <c r="O1331" i="1"/>
  <c r="S1331" i="1"/>
  <c r="T1331" i="1"/>
  <c r="U1331" i="1"/>
  <c r="Y1331" i="1" s="1"/>
  <c r="V1331" i="1"/>
  <c r="W1331" i="1" s="1"/>
  <c r="Z1331" i="1"/>
  <c r="X1331" i="1" l="1"/>
  <c r="A1329" i="1"/>
  <c r="C1329" i="1"/>
  <c r="B1329" i="1" s="1"/>
  <c r="F1329" i="1"/>
  <c r="M1329" i="1"/>
  <c r="O1329" i="1"/>
  <c r="T1329" i="1"/>
  <c r="U1329" i="1"/>
  <c r="Y1329" i="1" s="1"/>
  <c r="V1329" i="1"/>
  <c r="W1329" i="1" s="1"/>
  <c r="Z1329" i="1"/>
  <c r="A1324" i="1"/>
  <c r="C1324" i="1"/>
  <c r="B1324" i="1" s="1"/>
  <c r="F1324" i="1"/>
  <c r="M1324" i="1"/>
  <c r="O1324" i="1"/>
  <c r="T1324" i="1"/>
  <c r="U1324" i="1"/>
  <c r="Y1324" i="1" s="1"/>
  <c r="V1324" i="1"/>
  <c r="W1324" i="1" s="1"/>
  <c r="Z1324" i="1"/>
  <c r="A1320" i="1"/>
  <c r="C1320" i="1"/>
  <c r="B1320" i="1" s="1"/>
  <c r="F1320" i="1"/>
  <c r="O1320" i="1"/>
  <c r="T1320" i="1"/>
  <c r="U1320" i="1"/>
  <c r="Y1320" i="1" s="1"/>
  <c r="V1320" i="1"/>
  <c r="W1320" i="1" s="1"/>
  <c r="Z1320" i="1"/>
  <c r="A1319" i="1"/>
  <c r="C1319" i="1"/>
  <c r="B1319" i="1" s="1"/>
  <c r="F1319" i="1"/>
  <c r="M1319" i="1"/>
  <c r="O1319" i="1"/>
  <c r="T1319" i="1"/>
  <c r="U1319" i="1"/>
  <c r="Y1319" i="1" s="1"/>
  <c r="V1319" i="1"/>
  <c r="W1319" i="1" s="1"/>
  <c r="Z1319" i="1"/>
  <c r="A1318" i="1"/>
  <c r="C1318" i="1"/>
  <c r="B1318" i="1" s="1"/>
  <c r="F1318" i="1"/>
  <c r="M1318" i="1"/>
  <c r="O1318" i="1"/>
  <c r="T1318" i="1"/>
  <c r="U1318" i="1"/>
  <c r="Y1318" i="1" s="1"/>
  <c r="V1318" i="1"/>
  <c r="W1318" i="1" s="1"/>
  <c r="Z1318" i="1"/>
  <c r="A1246" i="1"/>
  <c r="C1246" i="1"/>
  <c r="B1246" i="1" s="1"/>
  <c r="F1246" i="1"/>
  <c r="M1246" i="1"/>
  <c r="O1246" i="1"/>
  <c r="S1246" i="1"/>
  <c r="T1246" i="1"/>
  <c r="U1246" i="1"/>
  <c r="Y1246" i="1" s="1"/>
  <c r="V1246" i="1"/>
  <c r="W1246" i="1" s="1"/>
  <c r="Z1246" i="1"/>
  <c r="A1245" i="1"/>
  <c r="C1245" i="1"/>
  <c r="B1245" i="1" s="1"/>
  <c r="F1245" i="1"/>
  <c r="M1245" i="1"/>
  <c r="O1245" i="1"/>
  <c r="S1245" i="1"/>
  <c r="T1245" i="1"/>
  <c r="U1245" i="1"/>
  <c r="Y1245" i="1" s="1"/>
  <c r="V1245" i="1"/>
  <c r="W1245" i="1" s="1"/>
  <c r="Z1245" i="1"/>
  <c r="A1244" i="1"/>
  <c r="C1244" i="1"/>
  <c r="B1244" i="1" s="1"/>
  <c r="F1244" i="1"/>
  <c r="M1244" i="1"/>
  <c r="O1244" i="1"/>
  <c r="T1244" i="1"/>
  <c r="U1244" i="1"/>
  <c r="V1244" i="1"/>
  <c r="W1244" i="1" s="1"/>
  <c r="Z1244" i="1"/>
  <c r="A1243" i="1"/>
  <c r="C1243" i="1"/>
  <c r="B1243" i="1" s="1"/>
  <c r="F1243" i="1"/>
  <c r="M1243" i="1"/>
  <c r="O1243" i="1"/>
  <c r="T1243" i="1"/>
  <c r="U1243" i="1"/>
  <c r="Y1243" i="1" s="1"/>
  <c r="V1243" i="1"/>
  <c r="W1243" i="1" s="1"/>
  <c r="Z1243" i="1"/>
  <c r="A1242" i="1"/>
  <c r="C1242" i="1"/>
  <c r="B1242" i="1" s="1"/>
  <c r="F1242" i="1"/>
  <c r="M1242" i="1"/>
  <c r="O1242" i="1"/>
  <c r="U1242" i="1"/>
  <c r="Y1242" i="1" s="1"/>
  <c r="V1242" i="1"/>
  <c r="W1242" i="1" s="1"/>
  <c r="Z1242" i="1"/>
  <c r="A1241" i="1"/>
  <c r="C1241" i="1"/>
  <c r="B1241" i="1" s="1"/>
  <c r="F1241" i="1"/>
  <c r="M1241" i="1"/>
  <c r="O1241" i="1"/>
  <c r="T1241" i="1"/>
  <c r="U1241" i="1"/>
  <c r="Y1241" i="1" s="1"/>
  <c r="V1241" i="1"/>
  <c r="W1241" i="1" s="1"/>
  <c r="Z1241" i="1"/>
  <c r="O28" i="16"/>
  <c r="O20" i="16"/>
  <c r="O22" i="16"/>
  <c r="O2" i="15"/>
  <c r="O3" i="15"/>
  <c r="O4" i="15"/>
  <c r="O6" i="15"/>
  <c r="O7" i="15"/>
  <c r="O9" i="15"/>
  <c r="O10" i="15"/>
  <c r="O11" i="15"/>
  <c r="O13" i="15"/>
  <c r="O14" i="15"/>
  <c r="O15" i="15"/>
  <c r="O16" i="15"/>
  <c r="O17" i="15"/>
  <c r="O18" i="15"/>
  <c r="O19" i="15"/>
  <c r="O20" i="15"/>
  <c r="O21" i="15"/>
  <c r="O22" i="15"/>
  <c r="O23" i="15"/>
  <c r="O25" i="15"/>
  <c r="O26" i="15"/>
  <c r="O27" i="15"/>
  <c r="O28" i="15"/>
  <c r="O29" i="15"/>
  <c r="O30" i="15"/>
  <c r="O31" i="15"/>
  <c r="O32" i="15"/>
  <c r="O24" i="15"/>
  <c r="O41" i="15"/>
  <c r="O42" i="15"/>
  <c r="O38" i="15"/>
  <c r="O39" i="15"/>
  <c r="O40" i="15"/>
  <c r="O43" i="15"/>
  <c r="O45" i="15"/>
  <c r="O46" i="15"/>
  <c r="O47" i="15"/>
  <c r="O49" i="15"/>
  <c r="O50" i="15"/>
  <c r="O54" i="15"/>
  <c r="O51" i="15"/>
  <c r="O52" i="15"/>
  <c r="O53" i="15"/>
  <c r="O48" i="15"/>
  <c r="E1368" i="6"/>
  <c r="F1368" i="6"/>
  <c r="I1368" i="6"/>
  <c r="J1368" i="6"/>
  <c r="B48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E1361" i="6"/>
  <c r="I1361" i="6"/>
  <c r="J1361" i="6"/>
  <c r="E1337" i="6"/>
  <c r="F1337" i="6"/>
  <c r="I1337" i="6"/>
  <c r="J1337" i="6"/>
  <c r="B24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E1341" i="6"/>
  <c r="F1341" i="6"/>
  <c r="I1341" i="6"/>
  <c r="J1341" i="6"/>
  <c r="B39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E1350" i="6"/>
  <c r="F1350" i="6"/>
  <c r="I1350" i="6"/>
  <c r="J1350" i="6"/>
  <c r="E1360" i="6"/>
  <c r="F1360" i="6"/>
  <c r="I1360" i="6"/>
  <c r="J1360" i="6"/>
  <c r="E1336" i="6"/>
  <c r="F1336" i="6"/>
  <c r="I1336" i="6"/>
  <c r="J1336" i="6"/>
  <c r="E1349" i="6"/>
  <c r="F1349" i="6"/>
  <c r="I1349" i="6"/>
  <c r="J1349" i="6"/>
  <c r="E1334" i="6"/>
  <c r="F1334" i="6"/>
  <c r="I1334" i="6"/>
  <c r="J1334" i="6"/>
  <c r="E1338" i="6"/>
  <c r="F1338" i="6"/>
  <c r="I1338" i="6"/>
  <c r="J1338" i="6"/>
  <c r="E1363" i="6"/>
  <c r="F1363" i="6"/>
  <c r="I1363" i="6"/>
  <c r="J1363" i="6"/>
  <c r="E1335" i="6"/>
  <c r="F1335" i="6"/>
  <c r="I1335" i="6"/>
  <c r="J1335" i="6"/>
  <c r="E1362" i="6"/>
  <c r="I1362" i="6"/>
  <c r="J1362" i="6"/>
  <c r="E1352" i="6"/>
  <c r="E1353" i="6"/>
  <c r="E1355" i="6"/>
  <c r="E1354" i="6"/>
  <c r="E1356" i="6"/>
  <c r="E1357" i="6"/>
  <c r="E1358" i="6"/>
  <c r="E1359" i="6"/>
  <c r="F1353" i="6"/>
  <c r="F1355" i="6"/>
  <c r="F1354" i="6"/>
  <c r="F1356" i="6"/>
  <c r="F1357" i="6"/>
  <c r="F1358" i="6"/>
  <c r="F1359" i="6"/>
  <c r="I1352" i="6"/>
  <c r="I1353" i="6"/>
  <c r="I1355" i="6"/>
  <c r="I1354" i="6"/>
  <c r="I1356" i="6"/>
  <c r="I1357" i="6"/>
  <c r="I1358" i="6"/>
  <c r="I1359" i="6"/>
  <c r="J1352" i="6"/>
  <c r="J1353" i="6"/>
  <c r="J1355" i="6"/>
  <c r="J1354" i="6"/>
  <c r="J1356" i="6"/>
  <c r="J1357" i="6"/>
  <c r="J1358" i="6"/>
  <c r="J1359" i="6"/>
  <c r="E1351" i="6"/>
  <c r="F1351" i="6"/>
  <c r="I1351" i="6"/>
  <c r="J1351" i="6"/>
  <c r="E1331" i="6"/>
  <c r="E1332" i="6"/>
  <c r="E1333" i="6"/>
  <c r="F1331" i="6"/>
  <c r="F1332" i="6"/>
  <c r="F1333" i="6"/>
  <c r="I1331" i="6"/>
  <c r="I1332" i="6"/>
  <c r="I1333" i="6"/>
  <c r="J1331" i="6"/>
  <c r="J1332" i="6"/>
  <c r="J1333" i="6"/>
  <c r="A1313" i="1"/>
  <c r="A1314" i="1"/>
  <c r="C1313" i="1"/>
  <c r="B1313" i="1" s="1"/>
  <c r="C1314" i="1"/>
  <c r="B1314" i="1" s="1"/>
  <c r="F1313" i="1"/>
  <c r="F1314" i="1"/>
  <c r="M1313" i="1"/>
  <c r="M1314" i="1"/>
  <c r="O1313" i="1"/>
  <c r="O1314" i="1"/>
  <c r="T1313" i="1"/>
  <c r="T1314" i="1"/>
  <c r="U1313" i="1"/>
  <c r="Y1313" i="1" s="1"/>
  <c r="U1314" i="1"/>
  <c r="Y1314" i="1" s="1"/>
  <c r="V1313" i="1"/>
  <c r="W1313" i="1" s="1"/>
  <c r="V1314" i="1"/>
  <c r="W1314" i="1" s="1"/>
  <c r="Z1313" i="1"/>
  <c r="Z1314" i="1"/>
  <c r="I87" i="104"/>
  <c r="A87" i="104"/>
  <c r="B87" i="104"/>
  <c r="C87" i="104"/>
  <c r="I86" i="104"/>
  <c r="A86" i="104"/>
  <c r="B86" i="104"/>
  <c r="C86" i="104"/>
  <c r="A1295" i="1"/>
  <c r="C1295" i="1"/>
  <c r="B1295" i="1" s="1"/>
  <c r="F1295" i="1"/>
  <c r="M1295" i="1"/>
  <c r="O1295" i="1"/>
  <c r="T1295" i="1"/>
  <c r="U1295" i="1"/>
  <c r="Y1295" i="1" s="1"/>
  <c r="V1295" i="1"/>
  <c r="W1295" i="1" s="1"/>
  <c r="Z1295" i="1"/>
  <c r="A1297" i="1"/>
  <c r="C1297" i="1"/>
  <c r="B1297" i="1" s="1"/>
  <c r="F1297" i="1"/>
  <c r="M1297" i="1"/>
  <c r="O1297" i="1"/>
  <c r="U1297" i="1"/>
  <c r="V1297" i="1"/>
  <c r="W1297" i="1" s="1"/>
  <c r="Z1297" i="1"/>
  <c r="A1201" i="1"/>
  <c r="C1201" i="1"/>
  <c r="B1201" i="1" s="1"/>
  <c r="F1201" i="1"/>
  <c r="M1201" i="1"/>
  <c r="O1201" i="1"/>
  <c r="T1201" i="1"/>
  <c r="U1201" i="1"/>
  <c r="Y1201" i="1" s="1"/>
  <c r="V1201" i="1"/>
  <c r="W1201" i="1" s="1"/>
  <c r="Z1201" i="1"/>
  <c r="A1210" i="1"/>
  <c r="C1210" i="1"/>
  <c r="B1210" i="1" s="1"/>
  <c r="F1210" i="1"/>
  <c r="M1210" i="1"/>
  <c r="O1210" i="1"/>
  <c r="T1210" i="1"/>
  <c r="U1210" i="1"/>
  <c r="Y1210" i="1" s="1"/>
  <c r="V1210" i="1"/>
  <c r="W1210" i="1" s="1"/>
  <c r="Z1210" i="1"/>
  <c r="P1331" i="1" l="1"/>
  <c r="O12" i="16"/>
  <c r="X1329" i="1"/>
  <c r="X1324" i="1"/>
  <c r="X1320" i="1"/>
  <c r="X1318" i="1"/>
  <c r="X1319" i="1"/>
  <c r="X1245" i="1"/>
  <c r="X1246" i="1"/>
  <c r="X1243" i="1"/>
  <c r="X1244" i="1"/>
  <c r="Y1244" i="1"/>
  <c r="X1242" i="1"/>
  <c r="X1241" i="1"/>
  <c r="T1242" i="1"/>
  <c r="O13" i="16"/>
  <c r="X1314" i="1"/>
  <c r="X1313" i="1"/>
  <c r="X1295" i="1"/>
  <c r="T1297" i="1"/>
  <c r="X1297" i="1"/>
  <c r="Y1297" i="1"/>
  <c r="X1201" i="1"/>
  <c r="X1210" i="1"/>
  <c r="P1201" i="1" l="1"/>
  <c r="P1313" i="1"/>
  <c r="P1243" i="1"/>
  <c r="R1318" i="1"/>
  <c r="D1318" i="1" s="1"/>
  <c r="P1314" i="1"/>
  <c r="P1242" i="1"/>
  <c r="P1246" i="1"/>
  <c r="P1320" i="1"/>
  <c r="P1241" i="1"/>
  <c r="P1210" i="1"/>
  <c r="P1245" i="1"/>
  <c r="P1324" i="1"/>
  <c r="Q1331" i="1"/>
  <c r="P1295" i="1"/>
  <c r="P1319" i="1"/>
  <c r="P1329" i="1"/>
  <c r="P1244" i="1"/>
  <c r="P1297" i="1"/>
  <c r="A1473" i="1"/>
  <c r="C1473" i="1"/>
  <c r="T1473" i="1" s="1"/>
  <c r="F1473" i="1"/>
  <c r="M1473" i="1"/>
  <c r="O1473" i="1"/>
  <c r="U1473" i="1"/>
  <c r="Y1473" i="1" s="1"/>
  <c r="V1473" i="1"/>
  <c r="W1473" i="1" s="1"/>
  <c r="Z1473" i="1"/>
  <c r="A1472" i="1"/>
  <c r="C1472" i="1"/>
  <c r="B1472" i="1" s="1"/>
  <c r="F1472" i="1"/>
  <c r="M1472" i="1"/>
  <c r="O1472" i="1"/>
  <c r="U1472" i="1"/>
  <c r="Y1472" i="1" s="1"/>
  <c r="V1472" i="1"/>
  <c r="W1472" i="1" s="1"/>
  <c r="Z1472" i="1"/>
  <c r="A1471" i="1"/>
  <c r="C1471" i="1"/>
  <c r="B1471" i="1" s="1"/>
  <c r="F1471" i="1"/>
  <c r="M1471" i="1"/>
  <c r="O1471" i="1"/>
  <c r="R15" i="16" s="1"/>
  <c r="U1471" i="1"/>
  <c r="V1471" i="1"/>
  <c r="W1471" i="1" s="1"/>
  <c r="Z1471" i="1"/>
  <c r="Q1313" i="1" l="1"/>
  <c r="Q1329" i="1"/>
  <c r="Q1324" i="1"/>
  <c r="Q1297" i="1"/>
  <c r="Q1295" i="1"/>
  <c r="Q1210" i="1"/>
  <c r="Q1320" i="1"/>
  <c r="Q1242" i="1"/>
  <c r="Q1244" i="1"/>
  <c r="Q1319" i="1"/>
  <c r="R1331" i="1"/>
  <c r="Q1245" i="1"/>
  <c r="Q1241" i="1"/>
  <c r="Q1246" i="1"/>
  <c r="Q1314" i="1"/>
  <c r="Q1243" i="1"/>
  <c r="Q1201" i="1"/>
  <c r="X1473" i="1"/>
  <c r="X1472" i="1"/>
  <c r="B1473" i="1"/>
  <c r="T1472" i="1"/>
  <c r="X1471" i="1"/>
  <c r="T1471" i="1"/>
  <c r="Y1471" i="1"/>
  <c r="A1384" i="1"/>
  <c r="C1384" i="1"/>
  <c r="B1384" i="1" s="1"/>
  <c r="F1384" i="1"/>
  <c r="O1384" i="1"/>
  <c r="U1384" i="1"/>
  <c r="Y1384" i="1" s="1"/>
  <c r="V1384" i="1"/>
  <c r="W1384" i="1" s="1"/>
  <c r="Z1384" i="1"/>
  <c r="A1387" i="1"/>
  <c r="C1387" i="1"/>
  <c r="B1387" i="1" s="1"/>
  <c r="F1387" i="1"/>
  <c r="M1387" i="1"/>
  <c r="O1387" i="1"/>
  <c r="U1387" i="1"/>
  <c r="V1387" i="1"/>
  <c r="W1387" i="1" s="1"/>
  <c r="Z1387" i="1"/>
  <c r="R1201" i="1" l="1"/>
  <c r="R1314" i="1"/>
  <c r="R1241" i="1"/>
  <c r="R1244" i="1"/>
  <c r="R1320" i="1"/>
  <c r="D1320" i="1" s="1"/>
  <c r="R1295" i="1"/>
  <c r="D1295" i="1" s="1"/>
  <c r="P1472" i="1"/>
  <c r="R1329" i="1"/>
  <c r="P1473" i="1"/>
  <c r="R1243" i="1"/>
  <c r="R1246" i="1"/>
  <c r="R1245" i="1"/>
  <c r="R1319" i="1"/>
  <c r="D1319" i="1" s="1"/>
  <c r="R1242" i="1"/>
  <c r="R1210" i="1"/>
  <c r="D1210" i="1" s="1"/>
  <c r="R1297" i="1"/>
  <c r="D1297" i="1" s="1"/>
  <c r="R1324" i="1"/>
  <c r="D1324" i="1" s="1"/>
  <c r="R1313" i="1"/>
  <c r="P1471" i="1"/>
  <c r="D1471" i="1"/>
  <c r="T1384" i="1"/>
  <c r="T1387" i="1"/>
  <c r="X1384" i="1"/>
  <c r="X1387" i="1"/>
  <c r="Y1387" i="1"/>
  <c r="A1374" i="1"/>
  <c r="C1374" i="1"/>
  <c r="B1374" i="1" s="1"/>
  <c r="F1374" i="1"/>
  <c r="M1374" i="1"/>
  <c r="O1374" i="1"/>
  <c r="T1374" i="1"/>
  <c r="U1374" i="1"/>
  <c r="Y1374" i="1" s="1"/>
  <c r="V1374" i="1"/>
  <c r="W1374" i="1" s="1"/>
  <c r="Z1374" i="1"/>
  <c r="A1373" i="1"/>
  <c r="C1373" i="1"/>
  <c r="B1373" i="1" s="1"/>
  <c r="F1373" i="1"/>
  <c r="M1373" i="1"/>
  <c r="O1373" i="1"/>
  <c r="U1373" i="1"/>
  <c r="Y1373" i="1" s="1"/>
  <c r="V1373" i="1"/>
  <c r="W1373" i="1" s="1"/>
  <c r="Z1373" i="1"/>
  <c r="A1372" i="1"/>
  <c r="C1372" i="1"/>
  <c r="B1372" i="1" s="1"/>
  <c r="F1372" i="1"/>
  <c r="M1372" i="1"/>
  <c r="O1372" i="1"/>
  <c r="U1372" i="1"/>
  <c r="Y1372" i="1" s="1"/>
  <c r="V1372" i="1"/>
  <c r="W1372" i="1" s="1"/>
  <c r="Z1372" i="1"/>
  <c r="A1323" i="1"/>
  <c r="C1323" i="1"/>
  <c r="B1323" i="1" s="1"/>
  <c r="F1323" i="1"/>
  <c r="M1323" i="1"/>
  <c r="O1323" i="1"/>
  <c r="U1323" i="1"/>
  <c r="Y1323" i="1" s="1"/>
  <c r="V1323" i="1"/>
  <c r="W1323" i="1" s="1"/>
  <c r="Z1323" i="1"/>
  <c r="A1424" i="1"/>
  <c r="C1424" i="1"/>
  <c r="B1424" i="1" s="1"/>
  <c r="F1424" i="1"/>
  <c r="M1424" i="1"/>
  <c r="O1424" i="1"/>
  <c r="U1424" i="1"/>
  <c r="Y1424" i="1" s="1"/>
  <c r="V1424" i="1"/>
  <c r="W1424" i="1" s="1"/>
  <c r="Z1424" i="1"/>
  <c r="A1345" i="1"/>
  <c r="C1345" i="1"/>
  <c r="B1345" i="1" s="1"/>
  <c r="F1345" i="1"/>
  <c r="M1345" i="1"/>
  <c r="O1345" i="1"/>
  <c r="U1345" i="1"/>
  <c r="Y1345" i="1" s="1"/>
  <c r="V1345" i="1"/>
  <c r="W1345" i="1" s="1"/>
  <c r="Z1345" i="1"/>
  <c r="A1199" i="1"/>
  <c r="C1199" i="1"/>
  <c r="B1199" i="1" s="1"/>
  <c r="F1199" i="1"/>
  <c r="M1199" i="1"/>
  <c r="O1199" i="1"/>
  <c r="T1199" i="1"/>
  <c r="U1199" i="1"/>
  <c r="Y1199" i="1" s="1"/>
  <c r="V1199" i="1"/>
  <c r="W1199" i="1" s="1"/>
  <c r="Z1199" i="1"/>
  <c r="A1335" i="1"/>
  <c r="C1335" i="1"/>
  <c r="B1335" i="1" s="1"/>
  <c r="F1335" i="1"/>
  <c r="M1335" i="1"/>
  <c r="O1335" i="1"/>
  <c r="U1335" i="1"/>
  <c r="Y1335" i="1" s="1"/>
  <c r="V1335" i="1"/>
  <c r="W1335" i="1" s="1"/>
  <c r="Z1335" i="1"/>
  <c r="A1416" i="1"/>
  <c r="C1416" i="1"/>
  <c r="B1416" i="1" s="1"/>
  <c r="F1416" i="1"/>
  <c r="M1416" i="1"/>
  <c r="O1416" i="1"/>
  <c r="U1416" i="1"/>
  <c r="Y1416" i="1" s="1"/>
  <c r="V1416" i="1"/>
  <c r="W1416" i="1" s="1"/>
  <c r="Z1416" i="1"/>
  <c r="A1248" i="1"/>
  <c r="C1248" i="1"/>
  <c r="B1248" i="1" s="1"/>
  <c r="F1248" i="1"/>
  <c r="M1248" i="1"/>
  <c r="O1248" i="1"/>
  <c r="U1248" i="1"/>
  <c r="Y1248" i="1" s="1"/>
  <c r="V1248" i="1"/>
  <c r="W1248" i="1" s="1"/>
  <c r="Z1248" i="1"/>
  <c r="A1250" i="1"/>
  <c r="C1250" i="1"/>
  <c r="B1250" i="1" s="1"/>
  <c r="F1250" i="1"/>
  <c r="M1250" i="1"/>
  <c r="O1250" i="1"/>
  <c r="U1250" i="1"/>
  <c r="Y1250" i="1" s="1"/>
  <c r="V1250" i="1"/>
  <c r="W1250" i="1" s="1"/>
  <c r="Z1250" i="1"/>
  <c r="A1338" i="1"/>
  <c r="C1338" i="1"/>
  <c r="B1338" i="1" s="1"/>
  <c r="F1338" i="1"/>
  <c r="M1338" i="1"/>
  <c r="O1338" i="1"/>
  <c r="U1338" i="1"/>
  <c r="Y1338" i="1" s="1"/>
  <c r="V1338" i="1"/>
  <c r="W1338" i="1" s="1"/>
  <c r="Z1338" i="1"/>
  <c r="A1451" i="1"/>
  <c r="C1451" i="1"/>
  <c r="B1451" i="1" s="1"/>
  <c r="F1451" i="1"/>
  <c r="M1451" i="1"/>
  <c r="O1451" i="1"/>
  <c r="U1451" i="1"/>
  <c r="Y1451" i="1" s="1"/>
  <c r="V1451" i="1"/>
  <c r="W1451" i="1" s="1"/>
  <c r="Z1451" i="1"/>
  <c r="A1188" i="1"/>
  <c r="C1188" i="1"/>
  <c r="B1188" i="1" s="1"/>
  <c r="F1188" i="1"/>
  <c r="M1188" i="1"/>
  <c r="O1188" i="1"/>
  <c r="U1188" i="1"/>
  <c r="Y1188" i="1" s="1"/>
  <c r="V1188" i="1"/>
  <c r="W1188" i="1" s="1"/>
  <c r="Z1188" i="1"/>
  <c r="A1164" i="1"/>
  <c r="C1164" i="1"/>
  <c r="B1164" i="1" s="1"/>
  <c r="F1164" i="1"/>
  <c r="M1164" i="1"/>
  <c r="O1164" i="1"/>
  <c r="T1164" i="1"/>
  <c r="U1164" i="1"/>
  <c r="Y1164" i="1" s="1"/>
  <c r="V1164" i="1"/>
  <c r="W1164" i="1" s="1"/>
  <c r="Z1164" i="1"/>
  <c r="A1209" i="1"/>
  <c r="C1209" i="1"/>
  <c r="B1209" i="1" s="1"/>
  <c r="F1209" i="1"/>
  <c r="M1209" i="1"/>
  <c r="O1209" i="1"/>
  <c r="T1209" i="1"/>
  <c r="U1209" i="1"/>
  <c r="Y1209" i="1" s="1"/>
  <c r="V1209" i="1"/>
  <c r="W1209" i="1" s="1"/>
  <c r="Z1209" i="1"/>
  <c r="A1271" i="1"/>
  <c r="C1271" i="1"/>
  <c r="B1271" i="1" s="1"/>
  <c r="F1271" i="1"/>
  <c r="O1271" i="1"/>
  <c r="U1271" i="1"/>
  <c r="Y1271" i="1" s="1"/>
  <c r="V1271" i="1"/>
  <c r="W1271" i="1" s="1"/>
  <c r="Z1271" i="1"/>
  <c r="A1239" i="1"/>
  <c r="C1239" i="1"/>
  <c r="B1239" i="1" s="1"/>
  <c r="F1239" i="1"/>
  <c r="M1239" i="1"/>
  <c r="O1239" i="1"/>
  <c r="T1239" i="1"/>
  <c r="U1239" i="1"/>
  <c r="Y1239" i="1" s="1"/>
  <c r="V1239" i="1"/>
  <c r="W1239" i="1" s="1"/>
  <c r="Z1239" i="1"/>
  <c r="A1166" i="1"/>
  <c r="C1166" i="1"/>
  <c r="B1166" i="1" s="1"/>
  <c r="F1166" i="1"/>
  <c r="M1166" i="1"/>
  <c r="O1166" i="1"/>
  <c r="T1166" i="1"/>
  <c r="U1166" i="1"/>
  <c r="Y1166" i="1" s="1"/>
  <c r="V1166" i="1"/>
  <c r="W1166" i="1" s="1"/>
  <c r="Z1166" i="1"/>
  <c r="E1340" i="6"/>
  <c r="E1339" i="6"/>
  <c r="I1340" i="6"/>
  <c r="I1339" i="6"/>
  <c r="J1340" i="6"/>
  <c r="J1339" i="6"/>
  <c r="E1364" i="6"/>
  <c r="E1365" i="6"/>
  <c r="E1366" i="6"/>
  <c r="E1342" i="6"/>
  <c r="E1343" i="6"/>
  <c r="E1344" i="6"/>
  <c r="E1346" i="6"/>
  <c r="E1347" i="6"/>
  <c r="E1348" i="6"/>
  <c r="F1342" i="6"/>
  <c r="F1343" i="6"/>
  <c r="F1346" i="6"/>
  <c r="F1347" i="6"/>
  <c r="F1348" i="6"/>
  <c r="I1364" i="6"/>
  <c r="I1365" i="6"/>
  <c r="I1366" i="6"/>
  <c r="I1342" i="6"/>
  <c r="I1343" i="6"/>
  <c r="I1344" i="6"/>
  <c r="I1346" i="6"/>
  <c r="I1347" i="6"/>
  <c r="I1348" i="6"/>
  <c r="J1364" i="6"/>
  <c r="J1365" i="6"/>
  <c r="J1366" i="6"/>
  <c r="J1342" i="6"/>
  <c r="J1343" i="6"/>
  <c r="J1344" i="6"/>
  <c r="J1346" i="6"/>
  <c r="J1347" i="6"/>
  <c r="J1348" i="6"/>
  <c r="A1333" i="1"/>
  <c r="C1333" i="1"/>
  <c r="B1333" i="1" s="1"/>
  <c r="F1333" i="1"/>
  <c r="U1333" i="1"/>
  <c r="V1333" i="1"/>
  <c r="W1333" i="1" s="1"/>
  <c r="Z1333" i="1"/>
  <c r="A1208" i="1"/>
  <c r="C1208" i="1"/>
  <c r="B1208" i="1" s="1"/>
  <c r="F1208" i="1"/>
  <c r="M1208" i="1"/>
  <c r="O1208" i="1"/>
  <c r="S1208" i="1"/>
  <c r="T1208" i="1"/>
  <c r="U1208" i="1"/>
  <c r="Y1208" i="1" s="1"/>
  <c r="V1208" i="1"/>
  <c r="W1208" i="1" s="1"/>
  <c r="Z1208" i="1"/>
  <c r="A1322" i="1"/>
  <c r="C1322" i="1"/>
  <c r="B1322" i="1" s="1"/>
  <c r="F1322" i="1"/>
  <c r="M1322" i="1"/>
  <c r="O1322" i="1"/>
  <c r="U1322" i="1"/>
  <c r="Y1322" i="1" s="1"/>
  <c r="V1322" i="1"/>
  <c r="W1322" i="1" s="1"/>
  <c r="Z1322" i="1"/>
  <c r="A1228" i="1"/>
  <c r="C1228" i="1"/>
  <c r="B1228" i="1" s="1"/>
  <c r="F1228" i="1"/>
  <c r="M1228" i="1"/>
  <c r="O1228" i="1"/>
  <c r="S1228" i="1"/>
  <c r="T1228" i="1"/>
  <c r="U1228" i="1"/>
  <c r="Y1228" i="1" s="1"/>
  <c r="V1228" i="1"/>
  <c r="W1228" i="1" s="1"/>
  <c r="Z1228" i="1"/>
  <c r="A1227" i="1"/>
  <c r="C1227" i="1"/>
  <c r="B1227" i="1" s="1"/>
  <c r="F1227" i="1"/>
  <c r="M1227" i="1"/>
  <c r="O1227" i="1"/>
  <c r="S1227" i="1"/>
  <c r="U1227" i="1"/>
  <c r="Y1227" i="1" s="1"/>
  <c r="V1227" i="1"/>
  <c r="W1227" i="1" s="1"/>
  <c r="Z1227" i="1"/>
  <c r="A1226" i="1"/>
  <c r="C1226" i="1"/>
  <c r="B1226" i="1" s="1"/>
  <c r="F1226" i="1"/>
  <c r="M1226" i="1"/>
  <c r="O1226" i="1"/>
  <c r="S1226" i="1"/>
  <c r="U1226" i="1"/>
  <c r="V1226" i="1"/>
  <c r="W1226" i="1" s="1"/>
  <c r="Z1226" i="1"/>
  <c r="A1225" i="1"/>
  <c r="C1225" i="1"/>
  <c r="B1225" i="1" s="1"/>
  <c r="F1225" i="1"/>
  <c r="M1225" i="1"/>
  <c r="O1225" i="1"/>
  <c r="S1225" i="1"/>
  <c r="U1225" i="1"/>
  <c r="Y1225" i="1" s="1"/>
  <c r="V1225" i="1"/>
  <c r="W1225" i="1" s="1"/>
  <c r="Z1225" i="1"/>
  <c r="A1232" i="1"/>
  <c r="A1233" i="1"/>
  <c r="A1234" i="1"/>
  <c r="C1232" i="1"/>
  <c r="B1232" i="1" s="1"/>
  <c r="C1233" i="1"/>
  <c r="B1233" i="1" s="1"/>
  <c r="C1234" i="1"/>
  <c r="B1234" i="1" s="1"/>
  <c r="F1232" i="1"/>
  <c r="F1233" i="1"/>
  <c r="F1234" i="1"/>
  <c r="M1232" i="1"/>
  <c r="M1233" i="1"/>
  <c r="M1234" i="1"/>
  <c r="O1232" i="1"/>
  <c r="O1233" i="1"/>
  <c r="O1234" i="1"/>
  <c r="S1232" i="1"/>
  <c r="S1233" i="1"/>
  <c r="S1234" i="1"/>
  <c r="T1232" i="1"/>
  <c r="T1234" i="1"/>
  <c r="U1232" i="1"/>
  <c r="Y1232" i="1" s="1"/>
  <c r="U1233" i="1"/>
  <c r="Y1233" i="1" s="1"/>
  <c r="U1234" i="1"/>
  <c r="Y1234" i="1" s="1"/>
  <c r="V1232" i="1"/>
  <c r="W1232" i="1" s="1"/>
  <c r="V1233" i="1"/>
  <c r="W1233" i="1" s="1"/>
  <c r="V1234" i="1"/>
  <c r="W1234" i="1" s="1"/>
  <c r="Z1232" i="1"/>
  <c r="Z1233" i="1"/>
  <c r="Z1234" i="1"/>
  <c r="A1231" i="1"/>
  <c r="C1231" i="1"/>
  <c r="B1231" i="1" s="1"/>
  <c r="F1231" i="1"/>
  <c r="M1231" i="1"/>
  <c r="O1231" i="1"/>
  <c r="S1231" i="1"/>
  <c r="U1231" i="1"/>
  <c r="Y1231" i="1" s="1"/>
  <c r="V1231" i="1"/>
  <c r="W1231" i="1" s="1"/>
  <c r="Z1231" i="1"/>
  <c r="A1230" i="1"/>
  <c r="C1230" i="1"/>
  <c r="B1230" i="1" s="1"/>
  <c r="F1230" i="1"/>
  <c r="M1230" i="1"/>
  <c r="S1230" i="1"/>
  <c r="T1230" i="1"/>
  <c r="U1230" i="1"/>
  <c r="Y1230" i="1" s="1"/>
  <c r="V1230" i="1"/>
  <c r="W1230" i="1" s="1"/>
  <c r="Z1230" i="1"/>
  <c r="A1229" i="1"/>
  <c r="C1229" i="1"/>
  <c r="B1229" i="1" s="1"/>
  <c r="F1229" i="1"/>
  <c r="M1229" i="1"/>
  <c r="O1229" i="1"/>
  <c r="T1229" i="1"/>
  <c r="U1229" i="1"/>
  <c r="Y1229" i="1" s="1"/>
  <c r="V1229" i="1"/>
  <c r="W1229" i="1" s="1"/>
  <c r="Z1229" i="1"/>
  <c r="A1388" i="1"/>
  <c r="C1388" i="1"/>
  <c r="B1388" i="1" s="1"/>
  <c r="F1388" i="1"/>
  <c r="M1388" i="1"/>
  <c r="O1388" i="1"/>
  <c r="U1388" i="1"/>
  <c r="Y1388" i="1" s="1"/>
  <c r="V1388" i="1"/>
  <c r="W1388" i="1" s="1"/>
  <c r="Z1388" i="1"/>
  <c r="A1418" i="1"/>
  <c r="C1418" i="1"/>
  <c r="B1418" i="1" s="1"/>
  <c r="F1418" i="1"/>
  <c r="M1418" i="1"/>
  <c r="O1418" i="1"/>
  <c r="U1418" i="1"/>
  <c r="Y1418" i="1" s="1"/>
  <c r="V1418" i="1"/>
  <c r="W1418" i="1" s="1"/>
  <c r="Z1418" i="1"/>
  <c r="A1238" i="1"/>
  <c r="C1238" i="1"/>
  <c r="B1238" i="1" s="1"/>
  <c r="F1238" i="1"/>
  <c r="M1238" i="1"/>
  <c r="O1238" i="1"/>
  <c r="U1238" i="1"/>
  <c r="Y1238" i="1" s="1"/>
  <c r="V1238" i="1"/>
  <c r="W1238" i="1" s="1"/>
  <c r="Z1238" i="1"/>
  <c r="A1237" i="1"/>
  <c r="C1237" i="1"/>
  <c r="B1237" i="1" s="1"/>
  <c r="F1237" i="1"/>
  <c r="M1237" i="1"/>
  <c r="O1237" i="1"/>
  <c r="U1237" i="1"/>
  <c r="Y1237" i="1" s="1"/>
  <c r="V1237" i="1"/>
  <c r="W1237" i="1" s="1"/>
  <c r="Z1237" i="1"/>
  <c r="A1428" i="1"/>
  <c r="C1428" i="1"/>
  <c r="B1428" i="1" s="1"/>
  <c r="F1428" i="1"/>
  <c r="M1428" i="1"/>
  <c r="O1428" i="1"/>
  <c r="U1428" i="1"/>
  <c r="Y1428" i="1" s="1"/>
  <c r="V1428" i="1"/>
  <c r="W1428" i="1" s="1"/>
  <c r="Z1428" i="1"/>
  <c r="A1332" i="1"/>
  <c r="C1332" i="1"/>
  <c r="B1332" i="1" s="1"/>
  <c r="F1332" i="1"/>
  <c r="M1332" i="1"/>
  <c r="O1332" i="1"/>
  <c r="U1332" i="1"/>
  <c r="Y1332" i="1" s="1"/>
  <c r="V1332" i="1"/>
  <c r="W1332" i="1" s="1"/>
  <c r="Z1332" i="1"/>
  <c r="A1337" i="1"/>
  <c r="C1337" i="1"/>
  <c r="B1337" i="1" s="1"/>
  <c r="F1337" i="1"/>
  <c r="M1337" i="1"/>
  <c r="O1337" i="1"/>
  <c r="U1337" i="1"/>
  <c r="V1337" i="1"/>
  <c r="W1337" i="1" s="1"/>
  <c r="Z1337" i="1"/>
  <c r="A1207" i="1"/>
  <c r="C1207" i="1"/>
  <c r="B1207" i="1" s="1"/>
  <c r="F1207" i="1"/>
  <c r="O1207" i="1"/>
  <c r="S1207" i="1"/>
  <c r="T1207" i="1"/>
  <c r="U1207" i="1"/>
  <c r="Y1207" i="1" s="1"/>
  <c r="V1207" i="1"/>
  <c r="W1207" i="1" s="1"/>
  <c r="Z1207" i="1"/>
  <c r="A1224" i="1"/>
  <c r="C1224" i="1"/>
  <c r="B1224" i="1" s="1"/>
  <c r="F1224" i="1"/>
  <c r="M1224" i="1"/>
  <c r="O1224" i="1"/>
  <c r="T1224" i="1"/>
  <c r="U1224" i="1"/>
  <c r="Y1224" i="1" s="1"/>
  <c r="V1224" i="1"/>
  <c r="W1224" i="1" s="1"/>
  <c r="Z1224" i="1"/>
  <c r="A1223" i="1"/>
  <c r="C1223" i="1"/>
  <c r="B1223" i="1" s="1"/>
  <c r="F1223" i="1"/>
  <c r="M1223" i="1"/>
  <c r="O1223" i="1"/>
  <c r="U1223" i="1"/>
  <c r="Y1223" i="1" s="1"/>
  <c r="V1223" i="1"/>
  <c r="W1223" i="1" s="1"/>
  <c r="Z1223" i="1"/>
  <c r="A1222" i="1"/>
  <c r="C1222" i="1"/>
  <c r="B1222" i="1" s="1"/>
  <c r="F1222" i="1"/>
  <c r="M1222" i="1"/>
  <c r="O1222" i="1"/>
  <c r="U1222" i="1"/>
  <c r="Y1222" i="1" s="1"/>
  <c r="V1222" i="1"/>
  <c r="W1222" i="1" s="1"/>
  <c r="Z1222" i="1"/>
  <c r="A1221" i="1"/>
  <c r="C1221" i="1"/>
  <c r="B1221" i="1" s="1"/>
  <c r="F1221" i="1"/>
  <c r="M1221" i="1"/>
  <c r="O1221" i="1"/>
  <c r="U1221" i="1"/>
  <c r="Y1221" i="1" s="1"/>
  <c r="V1221" i="1"/>
  <c r="W1221" i="1" s="1"/>
  <c r="Z1221" i="1"/>
  <c r="A1220" i="1"/>
  <c r="C1220" i="1"/>
  <c r="B1220" i="1" s="1"/>
  <c r="F1220" i="1"/>
  <c r="M1220" i="1"/>
  <c r="O1220" i="1"/>
  <c r="U1220" i="1"/>
  <c r="Y1220" i="1" s="1"/>
  <c r="V1220" i="1"/>
  <c r="W1220" i="1" s="1"/>
  <c r="Z1220" i="1"/>
  <c r="A1219" i="1"/>
  <c r="C1219" i="1"/>
  <c r="B1219" i="1" s="1"/>
  <c r="F1219" i="1"/>
  <c r="M1219" i="1"/>
  <c r="O1219" i="1"/>
  <c r="U1219" i="1"/>
  <c r="Y1219" i="1" s="1"/>
  <c r="V1219" i="1"/>
  <c r="W1219" i="1" s="1"/>
  <c r="Z1219" i="1"/>
  <c r="P1384" i="1" l="1"/>
  <c r="Q1471" i="1"/>
  <c r="Q1473" i="1"/>
  <c r="Q1472" i="1"/>
  <c r="D1472" i="1"/>
  <c r="D1478" i="1"/>
  <c r="D1477" i="1"/>
  <c r="D1475" i="1"/>
  <c r="D1476" i="1"/>
  <c r="D1473" i="1"/>
  <c r="D1474" i="1"/>
  <c r="T1338" i="1"/>
  <c r="T1323" i="1"/>
  <c r="T1424" i="1"/>
  <c r="P1387" i="1"/>
  <c r="T1335" i="1"/>
  <c r="T1372" i="1"/>
  <c r="T1188" i="1"/>
  <c r="X1374" i="1"/>
  <c r="P1374" i="1" s="1"/>
  <c r="X1373" i="1"/>
  <c r="T1250" i="1"/>
  <c r="T1373" i="1"/>
  <c r="X1372" i="1"/>
  <c r="T1248" i="1"/>
  <c r="X1323" i="1"/>
  <c r="X1424" i="1"/>
  <c r="X1345" i="1"/>
  <c r="T1345" i="1"/>
  <c r="X1199" i="1"/>
  <c r="X1335" i="1"/>
  <c r="T1416" i="1"/>
  <c r="T1271" i="1"/>
  <c r="T1451" i="1"/>
  <c r="X1416" i="1"/>
  <c r="P1416" i="1" s="1"/>
  <c r="Q1416" i="1" s="1"/>
  <c r="R1416" i="1" s="1"/>
  <c r="D1416" i="1" s="1"/>
  <c r="X1248" i="1"/>
  <c r="X1250" i="1"/>
  <c r="X1338" i="1"/>
  <c r="X1451" i="1"/>
  <c r="X1188" i="1"/>
  <c r="X1164" i="1"/>
  <c r="X1209" i="1"/>
  <c r="X1239" i="1"/>
  <c r="X1271" i="1"/>
  <c r="X1166" i="1"/>
  <c r="T1322" i="1"/>
  <c r="X1333" i="1"/>
  <c r="T1388" i="1"/>
  <c r="X1208" i="1"/>
  <c r="Y1333" i="1"/>
  <c r="T1333" i="1"/>
  <c r="X1227" i="1"/>
  <c r="X1322" i="1"/>
  <c r="P1322" i="1" s="1"/>
  <c r="X1228" i="1"/>
  <c r="X1226" i="1"/>
  <c r="X1233" i="1"/>
  <c r="Y1226" i="1"/>
  <c r="T1227" i="1"/>
  <c r="T1226" i="1"/>
  <c r="X1234" i="1"/>
  <c r="X1225" i="1"/>
  <c r="T1225" i="1"/>
  <c r="X1232" i="1"/>
  <c r="X1231" i="1"/>
  <c r="T1233" i="1"/>
  <c r="T1231" i="1"/>
  <c r="X1230" i="1"/>
  <c r="X1229" i="1"/>
  <c r="T1428" i="1"/>
  <c r="T1238" i="1"/>
  <c r="T1418" i="1"/>
  <c r="X1388" i="1"/>
  <c r="X1418" i="1"/>
  <c r="X1238" i="1"/>
  <c r="T1337" i="1"/>
  <c r="T1237" i="1"/>
  <c r="X1237" i="1"/>
  <c r="X1332" i="1"/>
  <c r="X1337" i="1"/>
  <c r="T1332" i="1"/>
  <c r="X1428" i="1"/>
  <c r="Y1337" i="1"/>
  <c r="X1207" i="1"/>
  <c r="X1224" i="1"/>
  <c r="X1223" i="1"/>
  <c r="T1223" i="1"/>
  <c r="X1222" i="1"/>
  <c r="T1220" i="1"/>
  <c r="T1222" i="1"/>
  <c r="X1219" i="1"/>
  <c r="P1219" i="1" s="1"/>
  <c r="T1221" i="1"/>
  <c r="X1221" i="1"/>
  <c r="P1221" i="1" s="1"/>
  <c r="X1220" i="1"/>
  <c r="P1220" i="1" s="1"/>
  <c r="T1219" i="1"/>
  <c r="Q1221" i="1" l="1"/>
  <c r="P1232" i="1"/>
  <c r="P1239" i="1"/>
  <c r="P1451" i="1"/>
  <c r="P1335" i="1"/>
  <c r="P1424" i="1"/>
  <c r="Q1219" i="1"/>
  <c r="P1332" i="1"/>
  <c r="P1238" i="1"/>
  <c r="R1228" i="1"/>
  <c r="P1209" i="1"/>
  <c r="P1338" i="1"/>
  <c r="P1199" i="1"/>
  <c r="P1323" i="1"/>
  <c r="R1471" i="1"/>
  <c r="P1222" i="1"/>
  <c r="P1207" i="1"/>
  <c r="P1230" i="1"/>
  <c r="Q1220" i="1"/>
  <c r="P1223" i="1"/>
  <c r="P1428" i="1"/>
  <c r="P1237" i="1"/>
  <c r="P1418" i="1"/>
  <c r="Q1322" i="1"/>
  <c r="P1208" i="1"/>
  <c r="P1166" i="1"/>
  <c r="P1164" i="1"/>
  <c r="P1250" i="1"/>
  <c r="P1373" i="1"/>
  <c r="R1472" i="1"/>
  <c r="P1224" i="1"/>
  <c r="P1388" i="1"/>
  <c r="P1229" i="1"/>
  <c r="P1231" i="1"/>
  <c r="P1234" i="1"/>
  <c r="P1233" i="1"/>
  <c r="R1227" i="1"/>
  <c r="P1271" i="1"/>
  <c r="P1188" i="1"/>
  <c r="P1248" i="1"/>
  <c r="P1345" i="1"/>
  <c r="P1372" i="1"/>
  <c r="Q1374" i="1"/>
  <c r="Q1387" i="1"/>
  <c r="R1473" i="1"/>
  <c r="Q1384" i="1"/>
  <c r="P1225" i="1"/>
  <c r="P1333" i="1"/>
  <c r="D1323" i="1"/>
  <c r="D1345" i="1"/>
  <c r="D1424" i="1"/>
  <c r="D1188" i="1"/>
  <c r="D1451" i="1"/>
  <c r="D1322" i="1"/>
  <c r="D1208" i="1"/>
  <c r="R1226" i="1"/>
  <c r="D1227" i="1"/>
  <c r="D1228" i="1"/>
  <c r="D1225" i="1"/>
  <c r="D1226" i="1"/>
  <c r="D1231" i="1"/>
  <c r="D1232" i="1"/>
  <c r="D1233" i="1"/>
  <c r="D1234" i="1"/>
  <c r="D1237" i="1"/>
  <c r="D1238" i="1"/>
  <c r="P1337" i="1"/>
  <c r="A1200" i="1"/>
  <c r="C1200" i="1"/>
  <c r="B1200" i="1" s="1"/>
  <c r="F1200" i="1"/>
  <c r="O1200" i="1"/>
  <c r="T1200" i="1"/>
  <c r="U1200" i="1"/>
  <c r="Y1200" i="1" s="1"/>
  <c r="V1200" i="1"/>
  <c r="W1200" i="1" s="1"/>
  <c r="Z1200" i="1"/>
  <c r="A1218" i="1"/>
  <c r="C1218" i="1"/>
  <c r="B1218" i="1" s="1"/>
  <c r="F1218" i="1"/>
  <c r="M1218" i="1"/>
  <c r="O1218" i="1"/>
  <c r="U1218" i="1"/>
  <c r="Y1218" i="1" s="1"/>
  <c r="V1218" i="1"/>
  <c r="W1218" i="1" s="1"/>
  <c r="Z1218" i="1"/>
  <c r="A1217" i="1"/>
  <c r="C1217" i="1"/>
  <c r="B1217" i="1" s="1"/>
  <c r="F1217" i="1"/>
  <c r="M1217" i="1"/>
  <c r="O1217" i="1"/>
  <c r="U1217" i="1"/>
  <c r="Y1217" i="1" s="1"/>
  <c r="V1217" i="1"/>
  <c r="W1217" i="1" s="1"/>
  <c r="Z1217" i="1"/>
  <c r="A1216" i="1"/>
  <c r="C1216" i="1"/>
  <c r="B1216" i="1" s="1"/>
  <c r="F1216" i="1"/>
  <c r="M1216" i="1"/>
  <c r="O1216" i="1"/>
  <c r="U1216" i="1"/>
  <c r="Y1216" i="1" s="1"/>
  <c r="V1216" i="1"/>
  <c r="W1216" i="1" s="1"/>
  <c r="Z1216" i="1"/>
  <c r="A1240" i="1"/>
  <c r="C1240" i="1"/>
  <c r="B1240" i="1" s="1"/>
  <c r="F1240" i="1"/>
  <c r="M1240" i="1"/>
  <c r="O1240" i="1"/>
  <c r="U1240" i="1"/>
  <c r="Y1240" i="1" s="1"/>
  <c r="V1240" i="1"/>
  <c r="W1240" i="1" s="1"/>
  <c r="Z1240" i="1"/>
  <c r="A1377" i="1"/>
  <c r="C1377" i="1"/>
  <c r="B1377" i="1" s="1"/>
  <c r="F1377" i="1"/>
  <c r="M1377" i="1"/>
  <c r="O1377" i="1"/>
  <c r="U1377" i="1"/>
  <c r="Y1377" i="1" s="1"/>
  <c r="V1377" i="1"/>
  <c r="W1377" i="1" s="1"/>
  <c r="Z1377" i="1"/>
  <c r="A1247" i="1"/>
  <c r="C1247" i="1"/>
  <c r="B1247" i="1" s="1"/>
  <c r="F1247" i="1"/>
  <c r="M1247" i="1"/>
  <c r="O1247" i="1"/>
  <c r="U1247" i="1"/>
  <c r="Y1247" i="1" s="1"/>
  <c r="V1247" i="1"/>
  <c r="W1247" i="1" s="1"/>
  <c r="Z1247" i="1"/>
  <c r="A1330" i="1"/>
  <c r="C1330" i="1"/>
  <c r="B1330" i="1" s="1"/>
  <c r="F1330" i="1"/>
  <c r="M1330" i="1"/>
  <c r="O1330" i="1"/>
  <c r="U1330" i="1"/>
  <c r="Y1330" i="1" s="1"/>
  <c r="V1330" i="1"/>
  <c r="W1330" i="1" s="1"/>
  <c r="Z1330" i="1"/>
  <c r="A1328" i="1"/>
  <c r="C1328" i="1"/>
  <c r="B1328" i="1" s="1"/>
  <c r="F1328" i="1"/>
  <c r="M1328" i="1"/>
  <c r="O1328" i="1"/>
  <c r="U1328" i="1"/>
  <c r="Y1328" i="1" s="1"/>
  <c r="V1328" i="1"/>
  <c r="W1328" i="1" s="1"/>
  <c r="Z1328" i="1"/>
  <c r="A1327" i="1"/>
  <c r="C1327" i="1"/>
  <c r="B1327" i="1" s="1"/>
  <c r="F1327" i="1"/>
  <c r="M1327" i="1"/>
  <c r="O1327" i="1"/>
  <c r="U1327" i="1"/>
  <c r="Y1327" i="1" s="1"/>
  <c r="V1327" i="1"/>
  <c r="W1327" i="1" s="1"/>
  <c r="Z1327" i="1"/>
  <c r="A1278" i="1"/>
  <c r="C1278" i="1"/>
  <c r="B1278" i="1" s="1"/>
  <c r="F1278" i="1"/>
  <c r="M1278" i="1"/>
  <c r="O1278" i="1"/>
  <c r="U1278" i="1"/>
  <c r="Y1278" i="1" s="1"/>
  <c r="V1278" i="1"/>
  <c r="W1278" i="1" s="1"/>
  <c r="Z1278" i="1"/>
  <c r="A1290" i="1"/>
  <c r="C1290" i="1"/>
  <c r="B1290" i="1" s="1"/>
  <c r="F1290" i="1"/>
  <c r="M1290" i="1"/>
  <c r="O1290" i="1"/>
  <c r="U1290" i="1"/>
  <c r="Y1290" i="1" s="1"/>
  <c r="V1290" i="1"/>
  <c r="W1290" i="1" s="1"/>
  <c r="Z1290" i="1"/>
  <c r="A1340" i="1"/>
  <c r="C1340" i="1"/>
  <c r="B1340" i="1" s="1"/>
  <c r="F1340" i="1"/>
  <c r="M1340" i="1"/>
  <c r="O1340" i="1"/>
  <c r="U1340" i="1"/>
  <c r="V1340" i="1"/>
  <c r="W1340" i="1" s="1"/>
  <c r="Z1340" i="1"/>
  <c r="A1296" i="1"/>
  <c r="C1296" i="1"/>
  <c r="B1296" i="1" s="1"/>
  <c r="F1296" i="1"/>
  <c r="M1296" i="1"/>
  <c r="O1296" i="1"/>
  <c r="U1296" i="1"/>
  <c r="Y1296" i="1" s="1"/>
  <c r="V1296" i="1"/>
  <c r="W1296" i="1" s="1"/>
  <c r="Z1296" i="1"/>
  <c r="A1195" i="1"/>
  <c r="C1195" i="1"/>
  <c r="B1195" i="1" s="1"/>
  <c r="D1195" i="1"/>
  <c r="F1195" i="1"/>
  <c r="M1195" i="1"/>
  <c r="O1195" i="1"/>
  <c r="S1195" i="1"/>
  <c r="T1195" i="1"/>
  <c r="U1195" i="1"/>
  <c r="V1195" i="1"/>
  <c r="W1195" i="1" s="1"/>
  <c r="Z1195" i="1"/>
  <c r="A1198" i="1"/>
  <c r="C1198" i="1"/>
  <c r="B1198" i="1" s="1"/>
  <c r="F1198" i="1"/>
  <c r="M1198" i="1"/>
  <c r="O1198" i="1"/>
  <c r="T1198" i="1"/>
  <c r="U1198" i="1"/>
  <c r="Y1198" i="1" s="1"/>
  <c r="V1198" i="1"/>
  <c r="W1198" i="1" s="1"/>
  <c r="Z1198" i="1"/>
  <c r="A1180" i="1"/>
  <c r="C1180" i="1"/>
  <c r="B1180" i="1" s="1"/>
  <c r="F1180" i="1"/>
  <c r="M1180" i="1"/>
  <c r="O1180" i="1"/>
  <c r="T1180" i="1"/>
  <c r="U1180" i="1"/>
  <c r="Y1180" i="1" s="1"/>
  <c r="V1180" i="1"/>
  <c r="W1180" i="1" s="1"/>
  <c r="Z1180" i="1"/>
  <c r="A1176" i="1"/>
  <c r="A1177" i="1"/>
  <c r="A1178" i="1"/>
  <c r="A1179" i="1"/>
  <c r="C1176" i="1"/>
  <c r="B1176" i="1" s="1"/>
  <c r="C1177" i="1"/>
  <c r="B1177" i="1" s="1"/>
  <c r="C1178" i="1"/>
  <c r="B1178" i="1" s="1"/>
  <c r="C1179" i="1"/>
  <c r="B1179" i="1" s="1"/>
  <c r="F1176" i="1"/>
  <c r="F1177" i="1"/>
  <c r="F1178" i="1"/>
  <c r="F1179" i="1"/>
  <c r="M1176" i="1"/>
  <c r="M1177" i="1"/>
  <c r="M1178" i="1"/>
  <c r="M1179" i="1"/>
  <c r="O1176" i="1"/>
  <c r="O1177" i="1"/>
  <c r="O1178" i="1"/>
  <c r="O1179" i="1"/>
  <c r="T1176" i="1"/>
  <c r="T1177" i="1"/>
  <c r="T1178" i="1"/>
  <c r="T1179" i="1"/>
  <c r="U1176" i="1"/>
  <c r="Y1176" i="1" s="1"/>
  <c r="U1177" i="1"/>
  <c r="Y1177" i="1" s="1"/>
  <c r="U1178" i="1"/>
  <c r="U1179" i="1"/>
  <c r="Y1179" i="1" s="1"/>
  <c r="V1176" i="1"/>
  <c r="W1176" i="1" s="1"/>
  <c r="V1177" i="1"/>
  <c r="W1177" i="1" s="1"/>
  <c r="V1178" i="1"/>
  <c r="W1178" i="1" s="1"/>
  <c r="V1179" i="1"/>
  <c r="W1179" i="1" s="1"/>
  <c r="Z1176" i="1"/>
  <c r="Z1177" i="1"/>
  <c r="Z1178" i="1"/>
  <c r="Z1179" i="1"/>
  <c r="A1175" i="1"/>
  <c r="C1175" i="1"/>
  <c r="B1175" i="1" s="1"/>
  <c r="F1175" i="1"/>
  <c r="M1175" i="1"/>
  <c r="O1175" i="1"/>
  <c r="T1175" i="1"/>
  <c r="U1175" i="1"/>
  <c r="Y1175" i="1" s="1"/>
  <c r="V1175" i="1"/>
  <c r="W1175" i="1" s="1"/>
  <c r="Z1175" i="1"/>
  <c r="N28" i="16"/>
  <c r="N22" i="16"/>
  <c r="N20" i="16"/>
  <c r="N19" i="16"/>
  <c r="E1323" i="6"/>
  <c r="E1324" i="6"/>
  <c r="F1323" i="6"/>
  <c r="F1324" i="6"/>
  <c r="I1323" i="6"/>
  <c r="I1324" i="6"/>
  <c r="J1323" i="6"/>
  <c r="J1324" i="6"/>
  <c r="R5" i="16" l="1"/>
  <c r="R1384" i="1"/>
  <c r="D1329" i="1" s="1"/>
  <c r="R1387" i="1"/>
  <c r="Q1372" i="1"/>
  <c r="Q1248" i="1"/>
  <c r="Q1271" i="1"/>
  <c r="Q1233" i="1"/>
  <c r="Q1231" i="1"/>
  <c r="Q1388" i="1"/>
  <c r="Q1250" i="1"/>
  <c r="Q1166" i="1"/>
  <c r="R1322" i="1"/>
  <c r="Q1237" i="1"/>
  <c r="Q1223" i="1"/>
  <c r="Q1230" i="1"/>
  <c r="Q1222" i="1"/>
  <c r="Q1323" i="1"/>
  <c r="Q1338" i="1"/>
  <c r="Q1332" i="1"/>
  <c r="Q1424" i="1"/>
  <c r="Q1451" i="1"/>
  <c r="Q1232" i="1"/>
  <c r="Q1337" i="1"/>
  <c r="Q1225" i="1"/>
  <c r="R1374" i="1"/>
  <c r="Q1345" i="1"/>
  <c r="Q1188" i="1"/>
  <c r="Q1234" i="1"/>
  <c r="Q1229" i="1"/>
  <c r="Q1224" i="1"/>
  <c r="Q1373" i="1"/>
  <c r="Q1164" i="1"/>
  <c r="Q1208" i="1"/>
  <c r="Q1418" i="1"/>
  <c r="Q1428" i="1"/>
  <c r="R1220" i="1"/>
  <c r="Q1207" i="1"/>
  <c r="Q1199" i="1"/>
  <c r="Q1209" i="1"/>
  <c r="Q1238" i="1"/>
  <c r="R1219" i="1"/>
  <c r="Q1335" i="1"/>
  <c r="Q1239" i="1"/>
  <c r="R1221" i="1"/>
  <c r="D1333" i="1"/>
  <c r="Q1333" i="1"/>
  <c r="D1337" i="1"/>
  <c r="D1338" i="1"/>
  <c r="X1200" i="1"/>
  <c r="T1218" i="1"/>
  <c r="X1218" i="1"/>
  <c r="X1217" i="1"/>
  <c r="T1217" i="1"/>
  <c r="N12" i="16"/>
  <c r="T1216" i="1"/>
  <c r="X1216" i="1"/>
  <c r="T1330" i="1"/>
  <c r="T1240" i="1"/>
  <c r="X1240" i="1"/>
  <c r="X1377" i="1"/>
  <c r="T1377" i="1"/>
  <c r="T1247" i="1"/>
  <c r="T1328" i="1"/>
  <c r="T1278" i="1"/>
  <c r="X1198" i="1"/>
  <c r="T1340" i="1"/>
  <c r="X1247" i="1"/>
  <c r="X1179" i="1"/>
  <c r="X1330" i="1"/>
  <c r="X1328" i="1"/>
  <c r="T1327" i="1"/>
  <c r="X1327" i="1"/>
  <c r="X1278" i="1"/>
  <c r="T1290" i="1"/>
  <c r="X1290" i="1"/>
  <c r="X1340" i="1"/>
  <c r="Y1340" i="1"/>
  <c r="X1177" i="1"/>
  <c r="X1176" i="1"/>
  <c r="X1296" i="1"/>
  <c r="T1296" i="1"/>
  <c r="X1178" i="1"/>
  <c r="X1195" i="1"/>
  <c r="Y1195" i="1"/>
  <c r="Y1178" i="1"/>
  <c r="N13" i="16"/>
  <c r="X1180" i="1"/>
  <c r="X1175" i="1"/>
  <c r="E1327" i="6"/>
  <c r="F1327" i="6"/>
  <c r="I1327" i="6"/>
  <c r="J1327" i="6"/>
  <c r="E1293" i="6"/>
  <c r="E1294" i="6"/>
  <c r="E1325" i="6"/>
  <c r="E1326" i="6"/>
  <c r="E1328" i="6"/>
  <c r="E1329" i="6"/>
  <c r="E1330" i="6"/>
  <c r="F1293" i="6"/>
  <c r="F1294" i="6"/>
  <c r="I1293" i="6"/>
  <c r="I1294" i="6"/>
  <c r="I1325" i="6"/>
  <c r="I1326" i="6"/>
  <c r="I1328" i="6"/>
  <c r="I1329" i="6"/>
  <c r="I1330" i="6"/>
  <c r="J1293" i="6"/>
  <c r="J1294" i="6"/>
  <c r="J1325" i="6"/>
  <c r="J1326" i="6"/>
  <c r="J1328" i="6"/>
  <c r="J1329" i="6"/>
  <c r="J1330" i="6"/>
  <c r="E1317" i="6"/>
  <c r="E1318" i="6"/>
  <c r="E1319" i="6"/>
  <c r="E1316" i="6"/>
  <c r="E1320" i="6"/>
  <c r="E1321" i="6"/>
  <c r="F1318" i="6"/>
  <c r="F1319" i="6"/>
  <c r="F1316" i="6"/>
  <c r="F1320" i="6"/>
  <c r="F1321" i="6"/>
  <c r="I1317" i="6"/>
  <c r="I1318" i="6"/>
  <c r="I1319" i="6"/>
  <c r="I1316" i="6"/>
  <c r="I1320" i="6"/>
  <c r="I1321" i="6"/>
  <c r="J1317" i="6"/>
  <c r="J1318" i="6"/>
  <c r="J1319" i="6"/>
  <c r="J1316" i="6"/>
  <c r="J1320" i="6"/>
  <c r="J1321" i="6"/>
  <c r="E1314" i="6"/>
  <c r="E1313" i="6"/>
  <c r="E1304" i="6"/>
  <c r="F1314" i="6"/>
  <c r="F1313" i="6"/>
  <c r="F1304" i="6"/>
  <c r="I1314" i="6"/>
  <c r="I1313" i="6"/>
  <c r="I1304" i="6"/>
  <c r="J1314" i="6"/>
  <c r="J1313" i="6"/>
  <c r="J1304" i="6"/>
  <c r="E1299" i="6"/>
  <c r="E1303" i="6"/>
  <c r="F1299" i="6"/>
  <c r="F1303" i="6"/>
  <c r="I1299" i="6"/>
  <c r="I1303" i="6"/>
  <c r="J1299" i="6"/>
  <c r="J1303" i="6"/>
  <c r="E1295" i="6"/>
  <c r="E1296" i="6"/>
  <c r="E1297" i="6"/>
  <c r="E1298" i="6"/>
  <c r="F1295" i="6"/>
  <c r="F1296" i="6"/>
  <c r="F1297" i="6"/>
  <c r="F1298" i="6"/>
  <c r="I1295" i="6"/>
  <c r="I1296" i="6"/>
  <c r="I1297" i="6"/>
  <c r="I1298" i="6"/>
  <c r="J1295" i="6"/>
  <c r="J1296" i="6"/>
  <c r="J1297" i="6"/>
  <c r="J1298" i="6"/>
  <c r="E1315" i="6"/>
  <c r="F1315" i="6"/>
  <c r="I1315" i="6"/>
  <c r="J1315" i="6"/>
  <c r="E1322" i="6"/>
  <c r="I1322" i="6"/>
  <c r="J1322" i="6"/>
  <c r="A1312" i="1"/>
  <c r="C1312" i="1"/>
  <c r="B1312" i="1" s="1"/>
  <c r="F1312" i="1"/>
  <c r="M1312" i="1"/>
  <c r="O1312" i="1"/>
  <c r="U1312" i="1"/>
  <c r="Y1312" i="1" s="1"/>
  <c r="V1312" i="1"/>
  <c r="W1312" i="1" s="1"/>
  <c r="Z1312" i="1"/>
  <c r="A1311" i="1"/>
  <c r="C1311" i="1"/>
  <c r="B1311" i="1" s="1"/>
  <c r="F1311" i="1"/>
  <c r="M1311" i="1"/>
  <c r="O1311" i="1"/>
  <c r="U1311" i="1"/>
  <c r="Y1311" i="1" s="1"/>
  <c r="V1311" i="1"/>
  <c r="W1311" i="1" s="1"/>
  <c r="Z1311" i="1"/>
  <c r="I85" i="104"/>
  <c r="I88" i="104"/>
  <c r="A85" i="104"/>
  <c r="B85" i="104"/>
  <c r="C85" i="104"/>
  <c r="A88" i="104"/>
  <c r="B88" i="104"/>
  <c r="C88" i="104"/>
  <c r="A1273" i="1"/>
  <c r="C1273" i="1"/>
  <c r="B1273" i="1" s="1"/>
  <c r="F1273" i="1"/>
  <c r="O1273" i="1"/>
  <c r="U1273" i="1"/>
  <c r="V1273" i="1"/>
  <c r="W1273" i="1" s="1"/>
  <c r="Z1273" i="1"/>
  <c r="A1272" i="1"/>
  <c r="C1272" i="1"/>
  <c r="B1272" i="1" s="1"/>
  <c r="F1272" i="1"/>
  <c r="M1272" i="1"/>
  <c r="O1272" i="1"/>
  <c r="U1272" i="1"/>
  <c r="Y1272" i="1" s="1"/>
  <c r="V1272" i="1"/>
  <c r="W1272" i="1" s="1"/>
  <c r="Z1272" i="1"/>
  <c r="A1294" i="1"/>
  <c r="C1294" i="1"/>
  <c r="B1294" i="1" s="1"/>
  <c r="F1294" i="1"/>
  <c r="M1294" i="1"/>
  <c r="O1294" i="1"/>
  <c r="U1294" i="1"/>
  <c r="Y1294" i="1" s="1"/>
  <c r="V1294" i="1"/>
  <c r="W1294" i="1" s="1"/>
  <c r="Z1294" i="1"/>
  <c r="A1385" i="1"/>
  <c r="C1385" i="1"/>
  <c r="B1385" i="1" s="1"/>
  <c r="F1385" i="1"/>
  <c r="M1385" i="1"/>
  <c r="O1385" i="1"/>
  <c r="U1385" i="1"/>
  <c r="Y1385" i="1" s="1"/>
  <c r="V1385" i="1"/>
  <c r="W1385" i="1" s="1"/>
  <c r="Z1385" i="1"/>
  <c r="A1289" i="1"/>
  <c r="C1289" i="1"/>
  <c r="B1289" i="1" s="1"/>
  <c r="F1289" i="1"/>
  <c r="M1289" i="1"/>
  <c r="O1289" i="1"/>
  <c r="U1289" i="1"/>
  <c r="Y1289" i="1" s="1"/>
  <c r="V1289" i="1"/>
  <c r="W1289" i="1" s="1"/>
  <c r="Z1289" i="1"/>
  <c r="A1283" i="1"/>
  <c r="C1283" i="1"/>
  <c r="B1283" i="1" s="1"/>
  <c r="F1283" i="1"/>
  <c r="M1283" i="1"/>
  <c r="O1283" i="1"/>
  <c r="U1283" i="1"/>
  <c r="Y1283" i="1" s="1"/>
  <c r="V1283" i="1"/>
  <c r="W1283" i="1" s="1"/>
  <c r="Z1283" i="1"/>
  <c r="A1279" i="1"/>
  <c r="C1279" i="1"/>
  <c r="B1279" i="1" s="1"/>
  <c r="F1279" i="1"/>
  <c r="M1279" i="1"/>
  <c r="O1279" i="1"/>
  <c r="U1279" i="1"/>
  <c r="Y1279" i="1" s="1"/>
  <c r="V1279" i="1"/>
  <c r="W1279" i="1" s="1"/>
  <c r="Z1279" i="1"/>
  <c r="A1326" i="1"/>
  <c r="C1326" i="1"/>
  <c r="B1326" i="1" s="1"/>
  <c r="F1326" i="1"/>
  <c r="M1326" i="1"/>
  <c r="O1326" i="1"/>
  <c r="U1326" i="1"/>
  <c r="Y1326" i="1" s="1"/>
  <c r="V1326" i="1"/>
  <c r="W1326" i="1" s="1"/>
  <c r="Z1326" i="1"/>
  <c r="A1286" i="1"/>
  <c r="C1286" i="1"/>
  <c r="B1286" i="1" s="1"/>
  <c r="F1286" i="1"/>
  <c r="M1286" i="1"/>
  <c r="O1286" i="1"/>
  <c r="U1286" i="1"/>
  <c r="Y1286" i="1" s="1"/>
  <c r="V1286" i="1"/>
  <c r="W1286" i="1" s="1"/>
  <c r="Z1286" i="1"/>
  <c r="A1282" i="1"/>
  <c r="C1282" i="1"/>
  <c r="B1282" i="1" s="1"/>
  <c r="F1282" i="1"/>
  <c r="M1282" i="1"/>
  <c r="O1282" i="1"/>
  <c r="U1282" i="1"/>
  <c r="Y1282" i="1" s="1"/>
  <c r="V1282" i="1"/>
  <c r="W1282" i="1" s="1"/>
  <c r="Z1282" i="1"/>
  <c r="A1281" i="1"/>
  <c r="C1281" i="1"/>
  <c r="B1281" i="1" s="1"/>
  <c r="F1281" i="1"/>
  <c r="M1281" i="1"/>
  <c r="O1281" i="1"/>
  <c r="U1281" i="1"/>
  <c r="Y1281" i="1" s="1"/>
  <c r="V1281" i="1"/>
  <c r="W1281" i="1" s="1"/>
  <c r="Z1281" i="1"/>
  <c r="A1269" i="1"/>
  <c r="C1269" i="1"/>
  <c r="B1269" i="1" s="1"/>
  <c r="F1269" i="1"/>
  <c r="M1269" i="1"/>
  <c r="O1269" i="1"/>
  <c r="U1269" i="1"/>
  <c r="Y1269" i="1" s="1"/>
  <c r="V1269" i="1"/>
  <c r="W1269" i="1" s="1"/>
  <c r="Z1269" i="1"/>
  <c r="A1267" i="1"/>
  <c r="C1267" i="1"/>
  <c r="B1267" i="1" s="1"/>
  <c r="F1267" i="1"/>
  <c r="M1267" i="1"/>
  <c r="O1267" i="1"/>
  <c r="U1267" i="1"/>
  <c r="Y1267" i="1" s="1"/>
  <c r="V1267" i="1"/>
  <c r="W1267" i="1" s="1"/>
  <c r="Z1267" i="1"/>
  <c r="A1266" i="1"/>
  <c r="C1266" i="1"/>
  <c r="B1266" i="1" s="1"/>
  <c r="F1266" i="1"/>
  <c r="M1266" i="1"/>
  <c r="O1266" i="1"/>
  <c r="U1266" i="1"/>
  <c r="Y1266" i="1" s="1"/>
  <c r="V1266" i="1"/>
  <c r="W1266" i="1" s="1"/>
  <c r="Z1266" i="1"/>
  <c r="A1268" i="1"/>
  <c r="C1268" i="1"/>
  <c r="B1268" i="1" s="1"/>
  <c r="F1268" i="1"/>
  <c r="M1268" i="1"/>
  <c r="O1268" i="1"/>
  <c r="U1268" i="1"/>
  <c r="Y1268" i="1" s="1"/>
  <c r="V1268" i="1"/>
  <c r="W1268" i="1" s="1"/>
  <c r="Z1268" i="1"/>
  <c r="A1256" i="1"/>
  <c r="C1256" i="1"/>
  <c r="B1256" i="1" s="1"/>
  <c r="F1256" i="1"/>
  <c r="M1256" i="1"/>
  <c r="O1256" i="1"/>
  <c r="U1256" i="1"/>
  <c r="Y1256" i="1" s="1"/>
  <c r="V1256" i="1"/>
  <c r="W1256" i="1" s="1"/>
  <c r="Z1256" i="1"/>
  <c r="A1253" i="1"/>
  <c r="C1253" i="1"/>
  <c r="B1253" i="1" s="1"/>
  <c r="F1253" i="1"/>
  <c r="M1253" i="1"/>
  <c r="O1253" i="1"/>
  <c r="U1253" i="1"/>
  <c r="Y1253" i="1" s="1"/>
  <c r="V1253" i="1"/>
  <c r="W1253" i="1" s="1"/>
  <c r="Z1253" i="1"/>
  <c r="A1212" i="1"/>
  <c r="C1212" i="1"/>
  <c r="B1212" i="1" s="1"/>
  <c r="F1212" i="1"/>
  <c r="M1212" i="1"/>
  <c r="O1212" i="1"/>
  <c r="U1212" i="1"/>
  <c r="Y1212" i="1" s="1"/>
  <c r="V1212" i="1"/>
  <c r="W1212" i="1" s="1"/>
  <c r="Z1212" i="1"/>
  <c r="A1422" i="1"/>
  <c r="C1422" i="1"/>
  <c r="B1422" i="1" s="1"/>
  <c r="F1422" i="1"/>
  <c r="M1422" i="1"/>
  <c r="O1422" i="1"/>
  <c r="U1422" i="1"/>
  <c r="Y1422" i="1" s="1"/>
  <c r="V1422" i="1"/>
  <c r="W1422" i="1" s="1"/>
  <c r="Z1422" i="1"/>
  <c r="A1140" i="1"/>
  <c r="C1140" i="1"/>
  <c r="B1140" i="1" s="1"/>
  <c r="F1140" i="1"/>
  <c r="M1140" i="1"/>
  <c r="O1140" i="1"/>
  <c r="S1140" i="1"/>
  <c r="T1140" i="1"/>
  <c r="U1140" i="1"/>
  <c r="Y1140" i="1" s="1"/>
  <c r="V1140" i="1"/>
  <c r="W1140" i="1" s="1"/>
  <c r="Z1140" i="1"/>
  <c r="A1169" i="1"/>
  <c r="C1169" i="1"/>
  <c r="B1169" i="1" s="1"/>
  <c r="F1169" i="1"/>
  <c r="M1169" i="1"/>
  <c r="O1169" i="1"/>
  <c r="T1169" i="1"/>
  <c r="U1169" i="1"/>
  <c r="Y1169" i="1" s="1"/>
  <c r="V1169" i="1"/>
  <c r="W1169" i="1" s="1"/>
  <c r="Z1169" i="1"/>
  <c r="A1143" i="1"/>
  <c r="C1143" i="1"/>
  <c r="B1143" i="1" s="1"/>
  <c r="F1143" i="1"/>
  <c r="M1143" i="1"/>
  <c r="O1143" i="1"/>
  <c r="S1143" i="1"/>
  <c r="T1143" i="1"/>
  <c r="U1143" i="1"/>
  <c r="Y1143" i="1" s="1"/>
  <c r="V1143" i="1"/>
  <c r="W1143" i="1" s="1"/>
  <c r="Z1143" i="1"/>
  <c r="A1145" i="1"/>
  <c r="C1145" i="1"/>
  <c r="B1145" i="1" s="1"/>
  <c r="F1145" i="1"/>
  <c r="M1145" i="1"/>
  <c r="O1145" i="1"/>
  <c r="S1145" i="1"/>
  <c r="T1145" i="1"/>
  <c r="U1145" i="1"/>
  <c r="Y1145" i="1" s="1"/>
  <c r="V1145" i="1"/>
  <c r="W1145" i="1" s="1"/>
  <c r="Z1145" i="1"/>
  <c r="A1131" i="1"/>
  <c r="C1131" i="1"/>
  <c r="B1131" i="1" s="1"/>
  <c r="F1131" i="1"/>
  <c r="M1131" i="1"/>
  <c r="O1131" i="1"/>
  <c r="U1131" i="1"/>
  <c r="Y1131" i="1" s="1"/>
  <c r="V1131" i="1"/>
  <c r="W1131" i="1" s="1"/>
  <c r="Z1131" i="1"/>
  <c r="A1215" i="1"/>
  <c r="C1215" i="1"/>
  <c r="B1215" i="1" s="1"/>
  <c r="F1215" i="1"/>
  <c r="M1215" i="1"/>
  <c r="O1215" i="1"/>
  <c r="U1215" i="1"/>
  <c r="V1215" i="1"/>
  <c r="W1215" i="1" s="1"/>
  <c r="Z1215" i="1"/>
  <c r="A1214" i="1"/>
  <c r="C1214" i="1"/>
  <c r="B1214" i="1" s="1"/>
  <c r="F1214" i="1"/>
  <c r="M1214" i="1"/>
  <c r="O1214" i="1"/>
  <c r="U1214" i="1"/>
  <c r="Y1214" i="1" s="1"/>
  <c r="V1214" i="1"/>
  <c r="W1214" i="1" s="1"/>
  <c r="Z1214" i="1"/>
  <c r="A1203" i="1"/>
  <c r="C1203" i="1"/>
  <c r="B1203" i="1" s="1"/>
  <c r="F1203" i="1"/>
  <c r="M1203" i="1"/>
  <c r="O1203" i="1"/>
  <c r="U1203" i="1"/>
  <c r="Y1203" i="1" s="1"/>
  <c r="V1203" i="1"/>
  <c r="W1203" i="1" s="1"/>
  <c r="Z1203" i="1"/>
  <c r="A1147" i="1"/>
  <c r="C1147" i="1"/>
  <c r="B1147" i="1" s="1"/>
  <c r="F1147" i="1"/>
  <c r="M1147" i="1"/>
  <c r="O1147" i="1"/>
  <c r="T1147" i="1"/>
  <c r="U1147" i="1"/>
  <c r="Y1147" i="1" s="1"/>
  <c r="V1147" i="1"/>
  <c r="W1147" i="1" s="1"/>
  <c r="Z1147" i="1"/>
  <c r="A1138" i="1"/>
  <c r="C1138" i="1"/>
  <c r="B1138" i="1" s="1"/>
  <c r="F1138" i="1"/>
  <c r="M1138" i="1"/>
  <c r="O1138" i="1"/>
  <c r="U1138" i="1"/>
  <c r="Y1138" i="1" s="1"/>
  <c r="V1138" i="1"/>
  <c r="W1138" i="1" s="1"/>
  <c r="Z1138" i="1"/>
  <c r="A1154" i="1"/>
  <c r="C1154" i="1"/>
  <c r="B1154" i="1" s="1"/>
  <c r="F1154" i="1"/>
  <c r="M1154" i="1"/>
  <c r="O1154" i="1"/>
  <c r="T1154" i="1"/>
  <c r="U1154" i="1"/>
  <c r="V1154" i="1"/>
  <c r="W1154" i="1" s="1"/>
  <c r="Z1154" i="1"/>
  <c r="A1315" i="1"/>
  <c r="C1315" i="1"/>
  <c r="B1315" i="1" s="1"/>
  <c r="F1315" i="1"/>
  <c r="M1315" i="1"/>
  <c r="O1315" i="1"/>
  <c r="U1315" i="1"/>
  <c r="Y1315" i="1" s="1"/>
  <c r="V1315" i="1"/>
  <c r="W1315" i="1" s="1"/>
  <c r="Z1315" i="1"/>
  <c r="I84" i="104"/>
  <c r="A84" i="104"/>
  <c r="B84" i="104"/>
  <c r="C84" i="104"/>
  <c r="A1419" i="1"/>
  <c r="C1419" i="1"/>
  <c r="B1419" i="1" s="1"/>
  <c r="F1419" i="1"/>
  <c r="M1419" i="1"/>
  <c r="O1419" i="1"/>
  <c r="U1419" i="1"/>
  <c r="V1419" i="1"/>
  <c r="W1419" i="1" s="1"/>
  <c r="Z1419" i="1"/>
  <c r="A1310" i="1"/>
  <c r="C1310" i="1"/>
  <c r="B1310" i="1" s="1"/>
  <c r="F1310" i="1"/>
  <c r="M1310" i="1"/>
  <c r="O1310" i="1"/>
  <c r="U1310" i="1"/>
  <c r="Y1310" i="1" s="1"/>
  <c r="V1310" i="1"/>
  <c r="W1310" i="1" s="1"/>
  <c r="Z1310" i="1"/>
  <c r="I83" i="104"/>
  <c r="A83" i="104"/>
  <c r="B83" i="104"/>
  <c r="C83" i="104"/>
  <c r="R1550" i="1" l="1"/>
  <c r="S5" i="16" s="1"/>
  <c r="P1175" i="1"/>
  <c r="Q1296" i="1"/>
  <c r="P1340" i="1"/>
  <c r="P1327" i="1"/>
  <c r="P1179" i="1"/>
  <c r="P1377" i="1"/>
  <c r="P1216" i="1"/>
  <c r="P1217" i="1"/>
  <c r="R1451" i="1"/>
  <c r="R1332" i="1"/>
  <c r="D1332" i="1" s="1"/>
  <c r="R1323" i="1"/>
  <c r="P1180" i="1"/>
  <c r="P1176" i="1"/>
  <c r="P1290" i="1"/>
  <c r="P1247" i="1"/>
  <c r="P1240" i="1"/>
  <c r="P1218" i="1"/>
  <c r="R1335" i="1"/>
  <c r="D1335" i="1" s="1"/>
  <c r="R1238" i="1"/>
  <c r="R1199" i="1"/>
  <c r="D1199" i="1" s="1"/>
  <c r="R1418" i="1"/>
  <c r="R1164" i="1"/>
  <c r="D1164" i="1" s="1"/>
  <c r="R1224" i="1"/>
  <c r="R1234" i="1"/>
  <c r="R1345" i="1"/>
  <c r="R1225" i="1"/>
  <c r="R1222" i="1"/>
  <c r="R1223" i="1"/>
  <c r="R1250" i="1"/>
  <c r="D1250" i="1" s="1"/>
  <c r="R1231" i="1"/>
  <c r="R1271" i="1"/>
  <c r="R1372" i="1"/>
  <c r="P1177" i="1"/>
  <c r="P1328" i="1"/>
  <c r="R1333" i="1"/>
  <c r="R1232" i="1"/>
  <c r="R1424" i="1"/>
  <c r="D1469" i="1" s="1"/>
  <c r="R1338" i="1"/>
  <c r="P1278" i="1"/>
  <c r="P1330" i="1"/>
  <c r="P1198" i="1"/>
  <c r="P1200" i="1"/>
  <c r="R1239" i="1"/>
  <c r="D1239" i="1" s="1"/>
  <c r="R1209" i="1"/>
  <c r="D1209" i="1" s="1"/>
  <c r="R1207" i="1"/>
  <c r="D1207" i="1" s="1"/>
  <c r="R1428" i="1"/>
  <c r="D1428" i="1" s="1"/>
  <c r="R1208" i="1"/>
  <c r="R1373" i="1"/>
  <c r="R1229" i="1"/>
  <c r="D1229" i="1" s="1"/>
  <c r="R1188" i="1"/>
  <c r="R1337" i="1"/>
  <c r="R1230" i="1"/>
  <c r="D1230" i="1" s="1"/>
  <c r="R1237" i="1"/>
  <c r="R1166" i="1"/>
  <c r="D1166" i="1" s="1"/>
  <c r="R1388" i="1"/>
  <c r="R1233" i="1"/>
  <c r="R1248" i="1"/>
  <c r="P1178" i="1"/>
  <c r="Q1178" i="1" s="1"/>
  <c r="P1195" i="1"/>
  <c r="T1312" i="1"/>
  <c r="X1312" i="1"/>
  <c r="X1311" i="1"/>
  <c r="T1283" i="1"/>
  <c r="T1311" i="1"/>
  <c r="X1273" i="1"/>
  <c r="T1273" i="1"/>
  <c r="Y1273" i="1"/>
  <c r="T1272" i="1"/>
  <c r="X1294" i="1"/>
  <c r="T1294" i="1"/>
  <c r="X1272" i="1"/>
  <c r="T1385" i="1"/>
  <c r="T1253" i="1"/>
  <c r="T1268" i="1"/>
  <c r="T1281" i="1"/>
  <c r="T1212" i="1"/>
  <c r="T1282" i="1"/>
  <c r="X1385" i="1"/>
  <c r="X1253" i="1"/>
  <c r="T1289" i="1"/>
  <c r="X1289" i="1"/>
  <c r="X1283" i="1"/>
  <c r="T1269" i="1"/>
  <c r="T1279" i="1"/>
  <c r="X1279" i="1"/>
  <c r="T1326" i="1"/>
  <c r="X1326" i="1"/>
  <c r="T1422" i="1"/>
  <c r="T1286" i="1"/>
  <c r="X1286" i="1"/>
  <c r="X1282" i="1"/>
  <c r="T1256" i="1"/>
  <c r="X1281" i="1"/>
  <c r="X1268" i="1"/>
  <c r="X1269" i="1"/>
  <c r="T1267" i="1"/>
  <c r="X1267" i="1"/>
  <c r="T1266" i="1"/>
  <c r="X1266" i="1"/>
  <c r="T1214" i="1"/>
  <c r="X1256" i="1"/>
  <c r="X1169" i="1"/>
  <c r="X1145" i="1"/>
  <c r="X1212" i="1"/>
  <c r="X1422" i="1"/>
  <c r="X1140" i="1"/>
  <c r="X1143" i="1"/>
  <c r="X1131" i="1"/>
  <c r="T1131" i="1"/>
  <c r="T1203" i="1"/>
  <c r="X1215" i="1"/>
  <c r="X1147" i="1"/>
  <c r="X1203" i="1"/>
  <c r="T1215" i="1"/>
  <c r="Y1215" i="1"/>
  <c r="X1214" i="1"/>
  <c r="T1315" i="1"/>
  <c r="T1138" i="1"/>
  <c r="X1138" i="1"/>
  <c r="X1154" i="1"/>
  <c r="Y1154" i="1"/>
  <c r="T1310" i="1"/>
  <c r="X1315" i="1"/>
  <c r="T1419" i="1"/>
  <c r="X1419" i="1"/>
  <c r="Y1419" i="1"/>
  <c r="X1310" i="1"/>
  <c r="A1149" i="1"/>
  <c r="C1149" i="1"/>
  <c r="B1149" i="1" s="1"/>
  <c r="F1149" i="1"/>
  <c r="M1149" i="1"/>
  <c r="O1149" i="1"/>
  <c r="T1149" i="1"/>
  <c r="U1149" i="1"/>
  <c r="Y1149" i="1" s="1"/>
  <c r="V1149" i="1"/>
  <c r="W1149" i="1" s="1"/>
  <c r="Z1149" i="1"/>
  <c r="A1438" i="1"/>
  <c r="C1438" i="1"/>
  <c r="B1438" i="1" s="1"/>
  <c r="F1438" i="1"/>
  <c r="M1438" i="1"/>
  <c r="O1438" i="1"/>
  <c r="U1438" i="1"/>
  <c r="Y1438" i="1" s="1"/>
  <c r="V1438" i="1"/>
  <c r="W1438" i="1" s="1"/>
  <c r="Z1438" i="1"/>
  <c r="A1168" i="1"/>
  <c r="C1168" i="1"/>
  <c r="B1168" i="1" s="1"/>
  <c r="F1168" i="1"/>
  <c r="O1168" i="1"/>
  <c r="T1168" i="1"/>
  <c r="U1168" i="1"/>
  <c r="V1168" i="1"/>
  <c r="W1168" i="1" s="1"/>
  <c r="Z1168" i="1"/>
  <c r="A1167" i="1"/>
  <c r="C1167" i="1"/>
  <c r="B1167" i="1" s="1"/>
  <c r="F1167" i="1"/>
  <c r="M1167" i="1"/>
  <c r="O1167" i="1"/>
  <c r="U1167" i="1"/>
  <c r="Y1167" i="1" s="1"/>
  <c r="V1167" i="1"/>
  <c r="W1167" i="1" s="1"/>
  <c r="Z1167" i="1"/>
  <c r="A1165" i="1"/>
  <c r="C1165" i="1"/>
  <c r="B1165" i="1" s="1"/>
  <c r="F1165" i="1"/>
  <c r="M1165" i="1"/>
  <c r="O1165" i="1"/>
  <c r="T1165" i="1"/>
  <c r="U1165" i="1"/>
  <c r="Y1165" i="1" s="1"/>
  <c r="V1165" i="1"/>
  <c r="W1165" i="1" s="1"/>
  <c r="Z1165" i="1"/>
  <c r="A1187" i="1"/>
  <c r="C1187" i="1"/>
  <c r="B1187" i="1" s="1"/>
  <c r="F1187" i="1"/>
  <c r="M1187" i="1"/>
  <c r="O1187" i="1"/>
  <c r="U1187" i="1"/>
  <c r="Y1187" i="1" s="1"/>
  <c r="V1187" i="1"/>
  <c r="W1187" i="1" s="1"/>
  <c r="Z1187" i="1"/>
  <c r="A1163" i="1"/>
  <c r="C1163" i="1"/>
  <c r="B1163" i="1" s="1"/>
  <c r="F1163" i="1"/>
  <c r="M1163" i="1"/>
  <c r="O1163" i="1"/>
  <c r="T1163" i="1"/>
  <c r="U1163" i="1"/>
  <c r="Y1163" i="1" s="1"/>
  <c r="V1163" i="1"/>
  <c r="W1163" i="1" s="1"/>
  <c r="Z1163" i="1"/>
  <c r="A1155" i="1"/>
  <c r="C1155" i="1"/>
  <c r="B1155" i="1" s="1"/>
  <c r="F1155" i="1"/>
  <c r="M1155" i="1"/>
  <c r="O1155" i="1"/>
  <c r="T1155" i="1"/>
  <c r="U1155" i="1"/>
  <c r="Y1155" i="1" s="1"/>
  <c r="V1155" i="1"/>
  <c r="W1155" i="1" s="1"/>
  <c r="Z1155" i="1"/>
  <c r="A1157" i="1"/>
  <c r="C1157" i="1"/>
  <c r="B1157" i="1" s="1"/>
  <c r="F1157" i="1"/>
  <c r="M1157" i="1"/>
  <c r="O1157" i="1"/>
  <c r="U1157" i="1"/>
  <c r="Y1157" i="1" s="1"/>
  <c r="V1157" i="1"/>
  <c r="W1157" i="1" s="1"/>
  <c r="Z1157" i="1"/>
  <c r="A1158" i="1"/>
  <c r="C1158" i="1"/>
  <c r="B1158" i="1" s="1"/>
  <c r="F1158" i="1"/>
  <c r="M1158" i="1"/>
  <c r="O1158" i="1"/>
  <c r="T1158" i="1"/>
  <c r="U1158" i="1"/>
  <c r="Y1158" i="1" s="1"/>
  <c r="V1158" i="1"/>
  <c r="W1158" i="1" s="1"/>
  <c r="Z1158" i="1"/>
  <c r="A1156" i="1"/>
  <c r="C1156" i="1"/>
  <c r="B1156" i="1" s="1"/>
  <c r="F1156" i="1"/>
  <c r="M1156" i="1"/>
  <c r="O1156" i="1"/>
  <c r="T1156" i="1"/>
  <c r="U1156" i="1"/>
  <c r="Y1156" i="1" s="1"/>
  <c r="V1156" i="1"/>
  <c r="W1156" i="1" s="1"/>
  <c r="Z1156" i="1"/>
  <c r="A1162" i="1"/>
  <c r="C1162" i="1"/>
  <c r="B1162" i="1" s="1"/>
  <c r="F1162" i="1"/>
  <c r="M1162" i="1"/>
  <c r="O1162" i="1"/>
  <c r="T1162" i="1"/>
  <c r="U1162" i="1"/>
  <c r="Y1162" i="1" s="1"/>
  <c r="V1162" i="1"/>
  <c r="W1162" i="1" s="1"/>
  <c r="Z1162" i="1"/>
  <c r="A1160" i="1"/>
  <c r="C1160" i="1"/>
  <c r="B1160" i="1" s="1"/>
  <c r="F1160" i="1"/>
  <c r="M1160" i="1"/>
  <c r="O1160" i="1"/>
  <c r="U1160" i="1"/>
  <c r="Y1160" i="1" s="1"/>
  <c r="V1160" i="1"/>
  <c r="W1160" i="1" s="1"/>
  <c r="Z1160" i="1"/>
  <c r="A1161" i="1"/>
  <c r="C1161" i="1"/>
  <c r="B1161" i="1" s="1"/>
  <c r="F1161" i="1"/>
  <c r="M1161" i="1"/>
  <c r="O1161" i="1"/>
  <c r="U1161" i="1"/>
  <c r="Y1161" i="1" s="1"/>
  <c r="V1161" i="1"/>
  <c r="W1161" i="1" s="1"/>
  <c r="Z1161" i="1"/>
  <c r="A1159" i="1"/>
  <c r="C1159" i="1"/>
  <c r="B1159" i="1" s="1"/>
  <c r="F1159" i="1"/>
  <c r="M1159" i="1"/>
  <c r="O1159" i="1"/>
  <c r="U1159" i="1"/>
  <c r="V1159" i="1"/>
  <c r="W1159" i="1" s="1"/>
  <c r="Z1159" i="1"/>
  <c r="A1304" i="1"/>
  <c r="C1304" i="1"/>
  <c r="B1304" i="1" s="1"/>
  <c r="F1304" i="1"/>
  <c r="M1304" i="1"/>
  <c r="O1304" i="1"/>
  <c r="U1304" i="1"/>
  <c r="Y1304" i="1" s="1"/>
  <c r="V1304" i="1"/>
  <c r="W1304" i="1" s="1"/>
  <c r="Z1304" i="1"/>
  <c r="A1306" i="1"/>
  <c r="C1306" i="1"/>
  <c r="B1306" i="1" s="1"/>
  <c r="F1306" i="1"/>
  <c r="M1306" i="1"/>
  <c r="O1306" i="1"/>
  <c r="U1306" i="1"/>
  <c r="Y1306" i="1" s="1"/>
  <c r="V1306" i="1"/>
  <c r="W1306" i="1" s="1"/>
  <c r="Z1306" i="1"/>
  <c r="A1305" i="1"/>
  <c r="C1305" i="1"/>
  <c r="B1305" i="1" s="1"/>
  <c r="F1305" i="1"/>
  <c r="M1305" i="1"/>
  <c r="O1305" i="1"/>
  <c r="U1305" i="1"/>
  <c r="Y1305" i="1" s="1"/>
  <c r="V1305" i="1"/>
  <c r="W1305" i="1" s="1"/>
  <c r="Z1305" i="1"/>
  <c r="A1309" i="1"/>
  <c r="C1309" i="1"/>
  <c r="B1309" i="1" s="1"/>
  <c r="F1309" i="1"/>
  <c r="M1309" i="1"/>
  <c r="O1309" i="1"/>
  <c r="U1309" i="1"/>
  <c r="V1309" i="1"/>
  <c r="W1309" i="1" s="1"/>
  <c r="Z1309" i="1"/>
  <c r="I82" i="104"/>
  <c r="A82" i="104"/>
  <c r="B82" i="104"/>
  <c r="C82" i="104"/>
  <c r="P1140" i="1" l="1"/>
  <c r="Q1240" i="1"/>
  <c r="Q1290" i="1"/>
  <c r="Q1180" i="1"/>
  <c r="Q1216" i="1"/>
  <c r="Q1179" i="1"/>
  <c r="Q1340" i="1"/>
  <c r="Q1175" i="1"/>
  <c r="P1169" i="1"/>
  <c r="P1268" i="1"/>
  <c r="P1385" i="1"/>
  <c r="P1311" i="1"/>
  <c r="R1178" i="1"/>
  <c r="Q1200" i="1"/>
  <c r="Q1330" i="1"/>
  <c r="P1203" i="1"/>
  <c r="P1422" i="1"/>
  <c r="P1256" i="1"/>
  <c r="P1279" i="1"/>
  <c r="P1289" i="1"/>
  <c r="P1294" i="1"/>
  <c r="P1312" i="1"/>
  <c r="Q1328" i="1"/>
  <c r="P1214" i="1"/>
  <c r="P1147" i="1"/>
  <c r="P1131" i="1"/>
  <c r="P1212" i="1"/>
  <c r="Q1218" i="1"/>
  <c r="Q1247" i="1"/>
  <c r="Q1176" i="1"/>
  <c r="Q1217" i="1"/>
  <c r="Q1377" i="1"/>
  <c r="Q1327" i="1"/>
  <c r="R1296" i="1"/>
  <c r="D1296" i="1" s="1"/>
  <c r="Q1198" i="1"/>
  <c r="Q1278" i="1"/>
  <c r="P1310" i="1"/>
  <c r="P1315" i="1"/>
  <c r="P1138" i="1"/>
  <c r="P1143" i="1"/>
  <c r="P1145" i="1"/>
  <c r="P1266" i="1"/>
  <c r="P1269" i="1"/>
  <c r="P1282" i="1"/>
  <c r="P1326" i="1"/>
  <c r="P1253" i="1"/>
  <c r="P1272" i="1"/>
  <c r="Q1195" i="1"/>
  <c r="Q1177" i="1"/>
  <c r="P1215" i="1"/>
  <c r="D1385" i="1"/>
  <c r="D1387" i="1"/>
  <c r="P1273" i="1"/>
  <c r="P1286" i="1"/>
  <c r="P1283" i="1"/>
  <c r="P1267" i="1"/>
  <c r="P1281" i="1"/>
  <c r="P1154" i="1"/>
  <c r="D1154" i="1"/>
  <c r="D1138" i="1"/>
  <c r="P1419" i="1"/>
  <c r="X1149" i="1"/>
  <c r="T1438" i="1"/>
  <c r="X1438" i="1"/>
  <c r="X1168" i="1"/>
  <c r="Y1168" i="1"/>
  <c r="T1167" i="1"/>
  <c r="T1304" i="1"/>
  <c r="X1165" i="1"/>
  <c r="X1167" i="1"/>
  <c r="X1157" i="1"/>
  <c r="X1156" i="1"/>
  <c r="T1187" i="1"/>
  <c r="X1187" i="1"/>
  <c r="X1163" i="1"/>
  <c r="X1155" i="1"/>
  <c r="T1157" i="1"/>
  <c r="X1158" i="1"/>
  <c r="X1161" i="1"/>
  <c r="X1162" i="1"/>
  <c r="X1159" i="1"/>
  <c r="T1160" i="1"/>
  <c r="T1161" i="1"/>
  <c r="X1160" i="1"/>
  <c r="T1159" i="1"/>
  <c r="Y1159" i="1"/>
  <c r="X1304" i="1"/>
  <c r="X1305" i="1"/>
  <c r="X1306" i="1"/>
  <c r="T1306" i="1"/>
  <c r="T1305" i="1"/>
  <c r="T1309" i="1"/>
  <c r="X1309" i="1"/>
  <c r="Y1309" i="1"/>
  <c r="R1177" i="1" l="1"/>
  <c r="Q1272" i="1"/>
  <c r="Q1326" i="1"/>
  <c r="Q1269" i="1"/>
  <c r="Q1145" i="1"/>
  <c r="R1198" i="1"/>
  <c r="D1198" i="1" s="1"/>
  <c r="P1304" i="1"/>
  <c r="P1161" i="1"/>
  <c r="P1163" i="1"/>
  <c r="P1157" i="1"/>
  <c r="P1306" i="1"/>
  <c r="Q1165" i="1"/>
  <c r="Q1419" i="1"/>
  <c r="Q1281" i="1"/>
  <c r="Q1273" i="1"/>
  <c r="Q1315" i="1"/>
  <c r="Q1312" i="1"/>
  <c r="R1340" i="1"/>
  <c r="D1340" i="1" s="1"/>
  <c r="R1216" i="1"/>
  <c r="R1290" i="1"/>
  <c r="Q1140" i="1"/>
  <c r="P1305" i="1"/>
  <c r="P1160" i="1"/>
  <c r="P1162" i="1"/>
  <c r="P1155" i="1"/>
  <c r="P1156" i="1"/>
  <c r="P1438" i="1"/>
  <c r="Q1267" i="1"/>
  <c r="R1377" i="1"/>
  <c r="D1377" i="1" s="1"/>
  <c r="R1176" i="1"/>
  <c r="R1218" i="1"/>
  <c r="Q1131" i="1"/>
  <c r="Q1214" i="1"/>
  <c r="Q1289" i="1"/>
  <c r="Q1256" i="1"/>
  <c r="Q1203" i="1"/>
  <c r="R1200" i="1"/>
  <c r="D1200" i="1" s="1"/>
  <c r="Q1311" i="1"/>
  <c r="Q1268" i="1"/>
  <c r="Q1138" i="1"/>
  <c r="Q1310" i="1"/>
  <c r="R1328" i="1"/>
  <c r="R1175" i="1"/>
  <c r="R1179" i="1"/>
  <c r="R1180" i="1"/>
  <c r="R1240" i="1"/>
  <c r="D1240" i="1" s="1"/>
  <c r="Q1283" i="1"/>
  <c r="P1158" i="1"/>
  <c r="P1187" i="1"/>
  <c r="P1167" i="1"/>
  <c r="P1149" i="1"/>
  <c r="Q1154" i="1"/>
  <c r="Q1286" i="1"/>
  <c r="Q1215" i="1"/>
  <c r="R1195" i="1"/>
  <c r="Q1253" i="1"/>
  <c r="Q1282" i="1"/>
  <c r="Q1266" i="1"/>
  <c r="Q1143" i="1"/>
  <c r="R1278" i="1"/>
  <c r="R1327" i="1"/>
  <c r="R1217" i="1"/>
  <c r="R1247" i="1"/>
  <c r="D1247" i="1" s="1"/>
  <c r="Q1212" i="1"/>
  <c r="Q1147" i="1"/>
  <c r="Q1294" i="1"/>
  <c r="Q1279" i="1"/>
  <c r="Q1422" i="1"/>
  <c r="R1330" i="1"/>
  <c r="D1330" i="1" s="1"/>
  <c r="Q1385" i="1"/>
  <c r="Q1169" i="1"/>
  <c r="D1367" i="1"/>
  <c r="D1368" i="1"/>
  <c r="D1365" i="1"/>
  <c r="D1366" i="1"/>
  <c r="D1440" i="1"/>
  <c r="D1389" i="1"/>
  <c r="D1342" i="1"/>
  <c r="D1439" i="1"/>
  <c r="D1245" i="1"/>
  <c r="D1246" i="1"/>
  <c r="D1243" i="1"/>
  <c r="D1244" i="1"/>
  <c r="D1201" i="1"/>
  <c r="D1242" i="1"/>
  <c r="D1241" i="1"/>
  <c r="D1271" i="1"/>
  <c r="D1384" i="1"/>
  <c r="D1290" i="1"/>
  <c r="D1272" i="1"/>
  <c r="D1282" i="1"/>
  <c r="D1283" i="1"/>
  <c r="D1438" i="1"/>
  <c r="D1149" i="1"/>
  <c r="P1168" i="1"/>
  <c r="D1156" i="1"/>
  <c r="P1159" i="1"/>
  <c r="D1160" i="1"/>
  <c r="D1162" i="1"/>
  <c r="D1159" i="1"/>
  <c r="D1161" i="1"/>
  <c r="P1309" i="1"/>
  <c r="R1385" i="1" l="1"/>
  <c r="D1386" i="1" s="1"/>
  <c r="R1422" i="1"/>
  <c r="R1294" i="1"/>
  <c r="D1294" i="1" s="1"/>
  <c r="R1212" i="1"/>
  <c r="D1212" i="1" s="1"/>
  <c r="R1266" i="1"/>
  <c r="R1253" i="1"/>
  <c r="R1215" i="1"/>
  <c r="R1154" i="1"/>
  <c r="D1147" i="1" s="1"/>
  <c r="Q1167" i="1"/>
  <c r="Q1158" i="1"/>
  <c r="R1138" i="1"/>
  <c r="R1311" i="1"/>
  <c r="R1203" i="1"/>
  <c r="R1289" i="1"/>
  <c r="D1289" i="1" s="1"/>
  <c r="R1131" i="1"/>
  <c r="D1131" i="1" s="1"/>
  <c r="R1267" i="1"/>
  <c r="Q1156" i="1"/>
  <c r="Q1162" i="1"/>
  <c r="Q1305" i="1"/>
  <c r="R1315" i="1"/>
  <c r="D1315" i="1" s="1"/>
  <c r="R1281" i="1"/>
  <c r="R1165" i="1"/>
  <c r="D1165" i="1" s="1"/>
  <c r="Q1168" i="1"/>
  <c r="Q1157" i="1"/>
  <c r="Q1161" i="1"/>
  <c r="R1269" i="1"/>
  <c r="D1269" i="1" s="1"/>
  <c r="R1272" i="1"/>
  <c r="Q1309" i="1"/>
  <c r="R1169" i="1"/>
  <c r="R1279" i="1"/>
  <c r="D1279" i="1" s="1"/>
  <c r="R1147" i="1"/>
  <c r="R1143" i="1"/>
  <c r="R1282" i="1"/>
  <c r="R1286" i="1"/>
  <c r="Q1149" i="1"/>
  <c r="Q1187" i="1"/>
  <c r="R1283" i="1"/>
  <c r="R1310" i="1"/>
  <c r="R1268" i="1"/>
  <c r="R1256" i="1"/>
  <c r="R1214" i="1"/>
  <c r="Q1438" i="1"/>
  <c r="Q1155" i="1"/>
  <c r="Q1160" i="1"/>
  <c r="R1140" i="1"/>
  <c r="R1312" i="1"/>
  <c r="R1273" i="1"/>
  <c r="D1273" i="1" s="1"/>
  <c r="R1419" i="1"/>
  <c r="D1369" i="1" s="1"/>
  <c r="Q1159" i="1"/>
  <c r="Q1306" i="1"/>
  <c r="Q1163" i="1"/>
  <c r="Q1304" i="1"/>
  <c r="R1145" i="1"/>
  <c r="D1145" i="1" s="1"/>
  <c r="R1326" i="1"/>
  <c r="A1144" i="1"/>
  <c r="C1144" i="1"/>
  <c r="B1144" i="1" s="1"/>
  <c r="F1144" i="1"/>
  <c r="M1144" i="1"/>
  <c r="O1144" i="1"/>
  <c r="U1144" i="1"/>
  <c r="Y1144" i="1" s="1"/>
  <c r="V1144" i="1"/>
  <c r="W1144" i="1" s="1"/>
  <c r="Z1144" i="1"/>
  <c r="E1302" i="6"/>
  <c r="I1302" i="6"/>
  <c r="J1302" i="6"/>
  <c r="E1301" i="6"/>
  <c r="I1301" i="6"/>
  <c r="J1301" i="6"/>
  <c r="E1300" i="6"/>
  <c r="I1300" i="6"/>
  <c r="J1300" i="6"/>
  <c r="N3" i="15"/>
  <c r="N4" i="15"/>
  <c r="N6" i="15"/>
  <c r="N7" i="15"/>
  <c r="N9" i="15"/>
  <c r="N10" i="15"/>
  <c r="N11" i="15"/>
  <c r="N13" i="15"/>
  <c r="N14" i="15"/>
  <c r="N15" i="15"/>
  <c r="N16" i="15"/>
  <c r="N17" i="15"/>
  <c r="N18" i="15"/>
  <c r="N19" i="15"/>
  <c r="N20" i="15"/>
  <c r="N21" i="15"/>
  <c r="N22" i="15"/>
  <c r="N23" i="15"/>
  <c r="N25" i="15"/>
  <c r="N26" i="15"/>
  <c r="N27" i="15"/>
  <c r="N28" i="15"/>
  <c r="N29" i="15"/>
  <c r="N30" i="15"/>
  <c r="N31" i="15"/>
  <c r="N32" i="15"/>
  <c r="N40" i="15"/>
  <c r="N41" i="15"/>
  <c r="N42" i="15"/>
  <c r="N43" i="15"/>
  <c r="N45" i="15"/>
  <c r="N46" i="15"/>
  <c r="N47" i="15"/>
  <c r="N49" i="15"/>
  <c r="N50" i="15"/>
  <c r="N51" i="15"/>
  <c r="N52" i="15"/>
  <c r="N53" i="15"/>
  <c r="N54" i="15"/>
  <c r="N38" i="15"/>
  <c r="N2" i="15"/>
  <c r="B38" i="15"/>
  <c r="C38" i="15"/>
  <c r="D38" i="15"/>
  <c r="E38" i="15"/>
  <c r="F38" i="15"/>
  <c r="G38" i="15"/>
  <c r="H38" i="15"/>
  <c r="I38" i="15"/>
  <c r="J38" i="15"/>
  <c r="K38" i="15"/>
  <c r="L38" i="15"/>
  <c r="M38" i="15"/>
  <c r="E1312" i="6"/>
  <c r="F1312" i="6"/>
  <c r="I1312" i="6"/>
  <c r="J1312" i="6"/>
  <c r="A1308" i="1"/>
  <c r="C1308" i="1"/>
  <c r="B1308" i="1" s="1"/>
  <c r="F1308" i="1"/>
  <c r="M1308" i="1"/>
  <c r="O1308" i="1"/>
  <c r="U1308" i="1"/>
  <c r="Y1308" i="1" s="1"/>
  <c r="V1308" i="1"/>
  <c r="W1308" i="1" s="1"/>
  <c r="Z1308" i="1"/>
  <c r="I81" i="104"/>
  <c r="A81" i="104"/>
  <c r="B81" i="104"/>
  <c r="C81" i="104"/>
  <c r="A1307" i="1"/>
  <c r="C1307" i="1"/>
  <c r="B1307" i="1" s="1"/>
  <c r="F1307" i="1"/>
  <c r="M1307" i="1"/>
  <c r="O1307" i="1"/>
  <c r="U1307" i="1"/>
  <c r="V1307" i="1"/>
  <c r="W1307" i="1" s="1"/>
  <c r="Z1307" i="1"/>
  <c r="I80" i="104"/>
  <c r="A80" i="104"/>
  <c r="B80" i="104"/>
  <c r="C80" i="104"/>
  <c r="R1304" i="1" l="1"/>
  <c r="R1306" i="1"/>
  <c r="R1157" i="1"/>
  <c r="D1157" i="1" s="1"/>
  <c r="R1155" i="1"/>
  <c r="D1155" i="1" s="1"/>
  <c r="R1149" i="1"/>
  <c r="R1161" i="1"/>
  <c r="R1168" i="1"/>
  <c r="D1168" i="1" s="1"/>
  <c r="R1305" i="1"/>
  <c r="R1156" i="1"/>
  <c r="R1160" i="1"/>
  <c r="R1438" i="1"/>
  <c r="D1441" i="1" s="1"/>
  <c r="R1187" i="1"/>
  <c r="D1187" i="1" s="1"/>
  <c r="R1158" i="1"/>
  <c r="D1158" i="1" s="1"/>
  <c r="R1309" i="1"/>
  <c r="R1162" i="1"/>
  <c r="R1163" i="1"/>
  <c r="D1163" i="1" s="1"/>
  <c r="R1159" i="1"/>
  <c r="R1167" i="1"/>
  <c r="D1167" i="1" s="1"/>
  <c r="T1144" i="1"/>
  <c r="X1144" i="1"/>
  <c r="T1308" i="1"/>
  <c r="X1308" i="1"/>
  <c r="T1307" i="1"/>
  <c r="X1307" i="1"/>
  <c r="Y1307" i="1"/>
  <c r="A1139" i="1"/>
  <c r="C1139" i="1"/>
  <c r="B1139" i="1" s="1"/>
  <c r="F1139" i="1"/>
  <c r="M1139" i="1"/>
  <c r="O1139" i="1"/>
  <c r="T1139" i="1"/>
  <c r="U1139" i="1"/>
  <c r="Y1139" i="1" s="1"/>
  <c r="V1139" i="1"/>
  <c r="W1139" i="1" s="1"/>
  <c r="Z1139" i="1"/>
  <c r="O1325" i="1"/>
  <c r="A1325" i="1"/>
  <c r="C1325" i="1"/>
  <c r="B1325" i="1" s="1"/>
  <c r="F1325" i="1"/>
  <c r="M1325" i="1"/>
  <c r="U1325" i="1"/>
  <c r="Y1325" i="1" s="1"/>
  <c r="V1325" i="1"/>
  <c r="W1325" i="1" s="1"/>
  <c r="Z1325" i="1"/>
  <c r="A1420" i="1"/>
  <c r="C1420" i="1"/>
  <c r="B1420" i="1" s="1"/>
  <c r="F1420" i="1"/>
  <c r="M1420" i="1"/>
  <c r="O1420" i="1"/>
  <c r="U1420" i="1"/>
  <c r="Y1420" i="1" s="1"/>
  <c r="V1420" i="1"/>
  <c r="W1420" i="1" s="1"/>
  <c r="Z1420" i="1"/>
  <c r="A1410" i="1"/>
  <c r="C1410" i="1"/>
  <c r="B1410" i="1" s="1"/>
  <c r="F1410" i="1"/>
  <c r="M1410" i="1"/>
  <c r="O1410" i="1"/>
  <c r="U1410" i="1"/>
  <c r="Y1410" i="1" s="1"/>
  <c r="V1410" i="1"/>
  <c r="W1410" i="1" s="1"/>
  <c r="Z1410" i="1"/>
  <c r="E1307" i="6"/>
  <c r="I1307" i="6"/>
  <c r="J1307" i="6"/>
  <c r="E1306" i="6"/>
  <c r="E1311" i="6"/>
  <c r="E1310" i="6"/>
  <c r="E1309" i="6"/>
  <c r="E1308" i="6"/>
  <c r="F1306" i="6"/>
  <c r="F1311" i="6"/>
  <c r="F1310" i="6"/>
  <c r="F1309" i="6"/>
  <c r="I1306" i="6"/>
  <c r="I1311" i="6"/>
  <c r="I1310" i="6"/>
  <c r="I1309" i="6"/>
  <c r="I1308" i="6"/>
  <c r="J1306" i="6"/>
  <c r="J1311" i="6"/>
  <c r="J1310" i="6"/>
  <c r="J1309" i="6"/>
  <c r="J1308" i="6"/>
  <c r="E1305" i="6"/>
  <c r="F1305" i="6"/>
  <c r="I1305" i="6"/>
  <c r="J1305" i="6"/>
  <c r="M54" i="15"/>
  <c r="M53" i="15"/>
  <c r="M52" i="15"/>
  <c r="M51" i="15"/>
  <c r="M50" i="15"/>
  <c r="M49" i="15"/>
  <c r="M47" i="15"/>
  <c r="M46" i="15"/>
  <c r="M45" i="15"/>
  <c r="M43" i="15"/>
  <c r="M42" i="15"/>
  <c r="M41" i="15"/>
  <c r="M40" i="15"/>
  <c r="M32" i="15"/>
  <c r="M31" i="15"/>
  <c r="M30" i="15"/>
  <c r="M29" i="15"/>
  <c r="M28" i="15"/>
  <c r="M27" i="15"/>
  <c r="M26" i="15"/>
  <c r="M25" i="15"/>
  <c r="M23" i="15"/>
  <c r="M22" i="15"/>
  <c r="M21" i="15"/>
  <c r="M20" i="15"/>
  <c r="M19" i="15"/>
  <c r="M18" i="15"/>
  <c r="M17" i="15"/>
  <c r="M16" i="15"/>
  <c r="M15" i="15"/>
  <c r="M14" i="15"/>
  <c r="M13" i="15"/>
  <c r="M11" i="15"/>
  <c r="M10" i="15"/>
  <c r="M9" i="15"/>
  <c r="M7" i="15"/>
  <c r="M6" i="15"/>
  <c r="M4" i="15"/>
  <c r="M3" i="15"/>
  <c r="M2" i="15"/>
  <c r="M22" i="16"/>
  <c r="M20" i="16"/>
  <c r="M19" i="16"/>
  <c r="A1127" i="1"/>
  <c r="C1127" i="1"/>
  <c r="B1127" i="1" s="1"/>
  <c r="F1127" i="1"/>
  <c r="M1127" i="1"/>
  <c r="O1127" i="1"/>
  <c r="T1127" i="1"/>
  <c r="U1127" i="1"/>
  <c r="V1127" i="1"/>
  <c r="W1127" i="1" s="1"/>
  <c r="Z1127" i="1"/>
  <c r="A1124" i="1"/>
  <c r="A1125" i="1"/>
  <c r="A1126" i="1"/>
  <c r="C1124" i="1"/>
  <c r="B1124" i="1" s="1"/>
  <c r="C1125" i="1"/>
  <c r="B1125" i="1" s="1"/>
  <c r="C1126" i="1"/>
  <c r="B1126" i="1" s="1"/>
  <c r="F1124" i="1"/>
  <c r="F1125" i="1"/>
  <c r="F1126" i="1"/>
  <c r="M1124" i="1"/>
  <c r="M1125" i="1"/>
  <c r="M1126" i="1"/>
  <c r="O1124" i="1"/>
  <c r="O1125" i="1"/>
  <c r="O1126" i="1"/>
  <c r="S1124" i="1"/>
  <c r="S1126" i="1"/>
  <c r="T1124" i="1"/>
  <c r="T1126" i="1"/>
  <c r="U1124" i="1"/>
  <c r="Y1124" i="1" s="1"/>
  <c r="U1125" i="1"/>
  <c r="Y1125" i="1" s="1"/>
  <c r="U1126" i="1"/>
  <c r="Y1126" i="1" s="1"/>
  <c r="V1124" i="1"/>
  <c r="W1124" i="1" s="1"/>
  <c r="V1125" i="1"/>
  <c r="W1125" i="1" s="1"/>
  <c r="V1126" i="1"/>
  <c r="W1126" i="1" s="1"/>
  <c r="Z1124" i="1"/>
  <c r="Z1125" i="1"/>
  <c r="Z1126" i="1"/>
  <c r="A1123" i="1"/>
  <c r="C1123" i="1"/>
  <c r="B1123" i="1" s="1"/>
  <c r="F1123" i="1"/>
  <c r="M1123" i="1"/>
  <c r="O1123" i="1"/>
  <c r="U1123" i="1"/>
  <c r="V1123" i="1"/>
  <c r="W1123" i="1" s="1"/>
  <c r="Z1123" i="1"/>
  <c r="A1122" i="1"/>
  <c r="C1122" i="1"/>
  <c r="B1122" i="1" s="1"/>
  <c r="F1122" i="1"/>
  <c r="M1122" i="1"/>
  <c r="O1122" i="1"/>
  <c r="S1122" i="1"/>
  <c r="T1122" i="1"/>
  <c r="U1122" i="1"/>
  <c r="Y1122" i="1" s="1"/>
  <c r="V1122" i="1"/>
  <c r="W1122" i="1" s="1"/>
  <c r="Z1122" i="1"/>
  <c r="E1279" i="6"/>
  <c r="F1279" i="6"/>
  <c r="I1279" i="6"/>
  <c r="J1279" i="6"/>
  <c r="E1260" i="6"/>
  <c r="F1260" i="6"/>
  <c r="I1260" i="6"/>
  <c r="J1260" i="6"/>
  <c r="E1272" i="6"/>
  <c r="F1272" i="6"/>
  <c r="I1272" i="6"/>
  <c r="J1272" i="6"/>
  <c r="E1281" i="6"/>
  <c r="F1281" i="6"/>
  <c r="I1281" i="6"/>
  <c r="J1281" i="6"/>
  <c r="E1280" i="6"/>
  <c r="F1280" i="6"/>
  <c r="I1280" i="6"/>
  <c r="J1280" i="6"/>
  <c r="E1259" i="6"/>
  <c r="F1259" i="6"/>
  <c r="I1259" i="6"/>
  <c r="J1259" i="6"/>
  <c r="E1278" i="6"/>
  <c r="F1278" i="6"/>
  <c r="I1278" i="6"/>
  <c r="J1278" i="6"/>
  <c r="E1258" i="6"/>
  <c r="E1277" i="6"/>
  <c r="F1258" i="6"/>
  <c r="F1277" i="6"/>
  <c r="I1258" i="6"/>
  <c r="I1277" i="6"/>
  <c r="J1258" i="6"/>
  <c r="J1277" i="6"/>
  <c r="E1276" i="6"/>
  <c r="I1276" i="6"/>
  <c r="J1276" i="6"/>
  <c r="E1274" i="6"/>
  <c r="F1274" i="6"/>
  <c r="I1274" i="6"/>
  <c r="J1274" i="6"/>
  <c r="E1292" i="6"/>
  <c r="I1292" i="6"/>
  <c r="J1292" i="6"/>
  <c r="E1291" i="6"/>
  <c r="I1291" i="6"/>
  <c r="J1291" i="6"/>
  <c r="E1290" i="6"/>
  <c r="I1290" i="6"/>
  <c r="J1290" i="6"/>
  <c r="E1289" i="6"/>
  <c r="I1289" i="6"/>
  <c r="J1289" i="6"/>
  <c r="E1288" i="6"/>
  <c r="I1288" i="6"/>
  <c r="J1288" i="6"/>
  <c r="E1287" i="6"/>
  <c r="I1287" i="6"/>
  <c r="J1287" i="6"/>
  <c r="E1286" i="6"/>
  <c r="I1286" i="6"/>
  <c r="J1286" i="6"/>
  <c r="E1282" i="6"/>
  <c r="F1282" i="6"/>
  <c r="I1282" i="6"/>
  <c r="J1282" i="6"/>
  <c r="E1275" i="6"/>
  <c r="F1275" i="6"/>
  <c r="I1275" i="6"/>
  <c r="J1275" i="6"/>
  <c r="P1144" i="1" l="1"/>
  <c r="P1308" i="1"/>
  <c r="P1307" i="1"/>
  <c r="X1139" i="1"/>
  <c r="T1420" i="1"/>
  <c r="X1325" i="1"/>
  <c r="T1325" i="1"/>
  <c r="X1420" i="1"/>
  <c r="T1410" i="1"/>
  <c r="X1410" i="1"/>
  <c r="M12" i="16"/>
  <c r="M13" i="16"/>
  <c r="X1125" i="1"/>
  <c r="X1127" i="1"/>
  <c r="Y1127" i="1"/>
  <c r="X1124" i="1"/>
  <c r="X1126" i="1"/>
  <c r="T1125" i="1"/>
  <c r="X1123" i="1"/>
  <c r="Y1123" i="1"/>
  <c r="T1123" i="1"/>
  <c r="X1122" i="1"/>
  <c r="E1284" i="6"/>
  <c r="F1284" i="6"/>
  <c r="I1284" i="6"/>
  <c r="J1284" i="6"/>
  <c r="I72" i="104"/>
  <c r="A72" i="104"/>
  <c r="B72" i="104"/>
  <c r="C72" i="104"/>
  <c r="A1170" i="1"/>
  <c r="C1170" i="1"/>
  <c r="B1170" i="1" s="1"/>
  <c r="F1170" i="1"/>
  <c r="M1170" i="1"/>
  <c r="O1170" i="1"/>
  <c r="U1170" i="1"/>
  <c r="Y1170" i="1" s="1"/>
  <c r="V1170" i="1"/>
  <c r="W1170" i="1" s="1"/>
  <c r="Z1170" i="1"/>
  <c r="A1190" i="1"/>
  <c r="C1190" i="1"/>
  <c r="B1190" i="1" s="1"/>
  <c r="F1190" i="1"/>
  <c r="M1190" i="1"/>
  <c r="O1190" i="1"/>
  <c r="U1190" i="1"/>
  <c r="Y1190" i="1" s="1"/>
  <c r="V1190" i="1"/>
  <c r="W1190" i="1" s="1"/>
  <c r="Z1190" i="1"/>
  <c r="A1264" i="1"/>
  <c r="C1264" i="1"/>
  <c r="B1264" i="1" s="1"/>
  <c r="F1264" i="1"/>
  <c r="M1264" i="1"/>
  <c r="O1264" i="1"/>
  <c r="U1264" i="1"/>
  <c r="Y1264" i="1" s="1"/>
  <c r="V1264" i="1"/>
  <c r="W1264" i="1" s="1"/>
  <c r="Z1264" i="1"/>
  <c r="A1265" i="1"/>
  <c r="C1265" i="1"/>
  <c r="B1265" i="1" s="1"/>
  <c r="F1265" i="1"/>
  <c r="M1265" i="1"/>
  <c r="O1265" i="1"/>
  <c r="U1265" i="1"/>
  <c r="Y1265" i="1" s="1"/>
  <c r="V1265" i="1"/>
  <c r="W1265" i="1" s="1"/>
  <c r="Z1265" i="1"/>
  <c r="A1257" i="1"/>
  <c r="C1257" i="1"/>
  <c r="B1257" i="1" s="1"/>
  <c r="F1257" i="1"/>
  <c r="M1257" i="1"/>
  <c r="O1257" i="1"/>
  <c r="U1257" i="1"/>
  <c r="Y1257" i="1" s="1"/>
  <c r="V1257" i="1"/>
  <c r="W1257" i="1" s="1"/>
  <c r="Z1257" i="1"/>
  <c r="A1098" i="1"/>
  <c r="C1098" i="1"/>
  <c r="B1098" i="1" s="1"/>
  <c r="D1098" i="1"/>
  <c r="F1098" i="1"/>
  <c r="M1098" i="1"/>
  <c r="O1098" i="1"/>
  <c r="S1098" i="1"/>
  <c r="T1098" i="1"/>
  <c r="U1098" i="1"/>
  <c r="Y1098" i="1" s="1"/>
  <c r="V1098" i="1"/>
  <c r="W1098" i="1" s="1"/>
  <c r="Z1098" i="1"/>
  <c r="E1283" i="6"/>
  <c r="F1283" i="6"/>
  <c r="I1283" i="6"/>
  <c r="J1283" i="6"/>
  <c r="I78" i="104"/>
  <c r="I79" i="104"/>
  <c r="I77" i="104"/>
  <c r="A77" i="104"/>
  <c r="B77" i="104"/>
  <c r="C77" i="104"/>
  <c r="A79" i="104"/>
  <c r="B79" i="104"/>
  <c r="C79" i="104"/>
  <c r="A78" i="104"/>
  <c r="B78" i="104"/>
  <c r="C78" i="104"/>
  <c r="A1277" i="1"/>
  <c r="C1277" i="1"/>
  <c r="B1277" i="1" s="1"/>
  <c r="F1277" i="1"/>
  <c r="M1277" i="1"/>
  <c r="O1277" i="1"/>
  <c r="U1277" i="1"/>
  <c r="Y1277" i="1" s="1"/>
  <c r="V1277" i="1"/>
  <c r="W1277" i="1" s="1"/>
  <c r="Z1277" i="1"/>
  <c r="O1174" i="1"/>
  <c r="A1174" i="1"/>
  <c r="C1174" i="1"/>
  <c r="B1174" i="1" s="1"/>
  <c r="F1174" i="1"/>
  <c r="U1174" i="1"/>
  <c r="Y1174" i="1" s="1"/>
  <c r="V1174" i="1"/>
  <c r="W1174" i="1" s="1"/>
  <c r="Z1174" i="1"/>
  <c r="A1202" i="1"/>
  <c r="C1202" i="1"/>
  <c r="B1202" i="1" s="1"/>
  <c r="F1202" i="1"/>
  <c r="M1202" i="1"/>
  <c r="O1202" i="1"/>
  <c r="U1202" i="1"/>
  <c r="Y1202" i="1" s="1"/>
  <c r="V1202" i="1"/>
  <c r="W1202" i="1" s="1"/>
  <c r="Z1202" i="1"/>
  <c r="A1026" i="1"/>
  <c r="C1026" i="1"/>
  <c r="B1026" i="1" s="1"/>
  <c r="F1026" i="1"/>
  <c r="M1026" i="1"/>
  <c r="O1026" i="1"/>
  <c r="S1026" i="1"/>
  <c r="U1026" i="1"/>
  <c r="Y1026" i="1" s="1"/>
  <c r="V1026" i="1"/>
  <c r="W1026" i="1" s="1"/>
  <c r="Z1026" i="1"/>
  <c r="A1090" i="1"/>
  <c r="C1090" i="1"/>
  <c r="B1090" i="1" s="1"/>
  <c r="D1090" i="1"/>
  <c r="F1090" i="1"/>
  <c r="M1090" i="1"/>
  <c r="O1090" i="1"/>
  <c r="S1090" i="1"/>
  <c r="T1090" i="1"/>
  <c r="U1090" i="1"/>
  <c r="Y1090" i="1" s="1"/>
  <c r="V1090" i="1"/>
  <c r="W1090" i="1" s="1"/>
  <c r="Z1090" i="1"/>
  <c r="A1092" i="1"/>
  <c r="C1092" i="1"/>
  <c r="B1092" i="1" s="1"/>
  <c r="F1092" i="1"/>
  <c r="M1092" i="1"/>
  <c r="O1092" i="1"/>
  <c r="S1092" i="1"/>
  <c r="U1092" i="1"/>
  <c r="Y1092" i="1" s="1"/>
  <c r="V1092" i="1"/>
  <c r="W1092" i="1" s="1"/>
  <c r="Z1092" i="1"/>
  <c r="A1056" i="1"/>
  <c r="C1056" i="1"/>
  <c r="B1056" i="1" s="1"/>
  <c r="F1056" i="1"/>
  <c r="M1056" i="1"/>
  <c r="O1056" i="1"/>
  <c r="S1056" i="1"/>
  <c r="T1056" i="1"/>
  <c r="U1056" i="1"/>
  <c r="V1056" i="1"/>
  <c r="W1056" i="1" s="1"/>
  <c r="Z1056" i="1"/>
  <c r="A1057" i="1"/>
  <c r="C1057" i="1"/>
  <c r="B1057" i="1" s="1"/>
  <c r="F1057" i="1"/>
  <c r="M1057" i="1"/>
  <c r="O1057" i="1"/>
  <c r="T1057" i="1"/>
  <c r="U1057" i="1"/>
  <c r="V1057" i="1"/>
  <c r="W1057" i="1" s="1"/>
  <c r="Z1057" i="1"/>
  <c r="A1091" i="1"/>
  <c r="C1091" i="1"/>
  <c r="B1091" i="1" s="1"/>
  <c r="F1091" i="1"/>
  <c r="M1091" i="1"/>
  <c r="O1091" i="1"/>
  <c r="T1091" i="1"/>
  <c r="U1091" i="1"/>
  <c r="Y1091" i="1" s="1"/>
  <c r="V1091" i="1"/>
  <c r="W1091" i="1" s="1"/>
  <c r="Z1091" i="1"/>
  <c r="A1055" i="1"/>
  <c r="C1055" i="1"/>
  <c r="B1055" i="1" s="1"/>
  <c r="F1055" i="1"/>
  <c r="M1055" i="1"/>
  <c r="O1055" i="1"/>
  <c r="U1055" i="1"/>
  <c r="Y1055" i="1" s="1"/>
  <c r="V1055" i="1"/>
  <c r="W1055" i="1" s="1"/>
  <c r="Z1055" i="1"/>
  <c r="Q1307" i="1" l="1"/>
  <c r="Q1144" i="1"/>
  <c r="P1122" i="1"/>
  <c r="P1410" i="1"/>
  <c r="P1325" i="1"/>
  <c r="P1126" i="1"/>
  <c r="P1125" i="1"/>
  <c r="P1124" i="1"/>
  <c r="P1420" i="1"/>
  <c r="P1139" i="1"/>
  <c r="Q1308" i="1"/>
  <c r="D1327" i="1"/>
  <c r="D1328" i="1"/>
  <c r="D1325" i="1"/>
  <c r="D1326" i="1"/>
  <c r="T1170" i="1"/>
  <c r="T1190" i="1"/>
  <c r="P1127" i="1"/>
  <c r="P1123" i="1"/>
  <c r="X1170" i="1"/>
  <c r="P1170" i="1" s="1"/>
  <c r="T1265" i="1"/>
  <c r="T1257" i="1"/>
  <c r="X1190" i="1"/>
  <c r="T1264" i="1"/>
  <c r="X1264" i="1"/>
  <c r="X1265" i="1"/>
  <c r="X1257" i="1"/>
  <c r="X1098" i="1"/>
  <c r="X1277" i="1"/>
  <c r="T1277" i="1"/>
  <c r="T1174" i="1"/>
  <c r="X1174" i="1"/>
  <c r="T1202" i="1"/>
  <c r="X1202" i="1"/>
  <c r="X1092" i="1"/>
  <c r="T1026" i="1"/>
  <c r="X1026" i="1"/>
  <c r="X1090" i="1"/>
  <c r="T1092" i="1"/>
  <c r="X1057" i="1"/>
  <c r="X1056" i="1"/>
  <c r="Y1056" i="1"/>
  <c r="Y1057" i="1"/>
  <c r="X1091" i="1"/>
  <c r="T1055" i="1"/>
  <c r="X1055" i="1"/>
  <c r="A1252" i="1"/>
  <c r="C1252" i="1"/>
  <c r="B1252" i="1" s="1"/>
  <c r="F1252" i="1"/>
  <c r="M1252" i="1"/>
  <c r="O1252" i="1"/>
  <c r="U1252" i="1"/>
  <c r="Y1252" i="1" s="1"/>
  <c r="V1252" i="1"/>
  <c r="W1252" i="1" s="1"/>
  <c r="Z1252" i="1"/>
  <c r="A1005" i="1"/>
  <c r="C1005" i="1"/>
  <c r="B1005" i="1" s="1"/>
  <c r="F1005" i="1"/>
  <c r="M1005" i="1"/>
  <c r="O1005" i="1"/>
  <c r="T1005" i="1"/>
  <c r="U1005" i="1"/>
  <c r="Y1005" i="1" s="1"/>
  <c r="V1005" i="1"/>
  <c r="W1005" i="1" s="1"/>
  <c r="Z1005" i="1"/>
  <c r="A1341" i="1"/>
  <c r="C1341" i="1"/>
  <c r="B1341" i="1" s="1"/>
  <c r="F1341" i="1"/>
  <c r="M1341" i="1"/>
  <c r="O1341" i="1"/>
  <c r="U1341" i="1"/>
  <c r="Y1341" i="1" s="1"/>
  <c r="V1341" i="1"/>
  <c r="W1341" i="1" s="1"/>
  <c r="Z1341" i="1"/>
  <c r="A1263" i="1"/>
  <c r="C1263" i="1"/>
  <c r="B1263" i="1" s="1"/>
  <c r="F1263" i="1"/>
  <c r="M1263" i="1"/>
  <c r="U1263" i="1"/>
  <c r="Y1263" i="1" s="1"/>
  <c r="V1263" i="1"/>
  <c r="W1263" i="1" s="1"/>
  <c r="Z1263" i="1"/>
  <c r="A1255" i="1"/>
  <c r="C1255" i="1"/>
  <c r="B1255" i="1" s="1"/>
  <c r="F1255" i="1"/>
  <c r="M1255" i="1"/>
  <c r="O1255" i="1"/>
  <c r="U1255" i="1"/>
  <c r="Y1255" i="1" s="1"/>
  <c r="V1255" i="1"/>
  <c r="W1255" i="1" s="1"/>
  <c r="Z1255" i="1"/>
  <c r="A1276" i="1"/>
  <c r="C1276" i="1"/>
  <c r="B1276" i="1" s="1"/>
  <c r="F1276" i="1"/>
  <c r="M1276" i="1"/>
  <c r="O1276" i="1"/>
  <c r="U1276" i="1"/>
  <c r="Y1276" i="1" s="1"/>
  <c r="V1276" i="1"/>
  <c r="W1276" i="1" s="1"/>
  <c r="Z1276" i="1"/>
  <c r="A1173" i="1"/>
  <c r="C1173" i="1"/>
  <c r="B1173" i="1" s="1"/>
  <c r="F1173" i="1"/>
  <c r="M1173" i="1"/>
  <c r="O1173" i="1"/>
  <c r="U1173" i="1"/>
  <c r="Y1173" i="1" s="1"/>
  <c r="V1173" i="1"/>
  <c r="W1173" i="1" s="1"/>
  <c r="Z1173" i="1"/>
  <c r="A1172" i="1"/>
  <c r="C1172" i="1"/>
  <c r="B1172" i="1" s="1"/>
  <c r="F1172" i="1"/>
  <c r="M1172" i="1"/>
  <c r="O1172" i="1"/>
  <c r="U1172" i="1"/>
  <c r="Y1172" i="1" s="1"/>
  <c r="V1172" i="1"/>
  <c r="W1172" i="1" s="1"/>
  <c r="Z1172" i="1"/>
  <c r="A1301" i="1"/>
  <c r="A1302" i="1"/>
  <c r="A1303" i="1"/>
  <c r="C1301" i="1"/>
  <c r="B1301" i="1" s="1"/>
  <c r="C1302" i="1"/>
  <c r="B1302" i="1" s="1"/>
  <c r="C1303" i="1"/>
  <c r="B1303" i="1" s="1"/>
  <c r="F1301" i="1"/>
  <c r="F1302" i="1"/>
  <c r="F1303" i="1"/>
  <c r="M1301" i="1"/>
  <c r="M1302" i="1"/>
  <c r="M1303" i="1"/>
  <c r="O1301" i="1"/>
  <c r="O1302" i="1"/>
  <c r="O1303" i="1"/>
  <c r="U1301" i="1"/>
  <c r="Y1301" i="1" s="1"/>
  <c r="U1302" i="1"/>
  <c r="Y1302" i="1" s="1"/>
  <c r="U1303" i="1"/>
  <c r="Y1303" i="1" s="1"/>
  <c r="V1301" i="1"/>
  <c r="W1301" i="1" s="1"/>
  <c r="V1302" i="1"/>
  <c r="W1302" i="1" s="1"/>
  <c r="V1303" i="1"/>
  <c r="W1303" i="1" s="1"/>
  <c r="Z1301" i="1"/>
  <c r="Z1302" i="1"/>
  <c r="Z1303" i="1"/>
  <c r="I76" i="104"/>
  <c r="A76" i="104"/>
  <c r="B76" i="104"/>
  <c r="C76" i="104"/>
  <c r="I75" i="104"/>
  <c r="A75" i="104"/>
  <c r="B75" i="104"/>
  <c r="C75" i="104"/>
  <c r="I74" i="104"/>
  <c r="A74" i="104"/>
  <c r="B74" i="104"/>
  <c r="C74" i="104"/>
  <c r="A1213" i="1"/>
  <c r="C1213" i="1"/>
  <c r="B1213" i="1" s="1"/>
  <c r="F1213" i="1"/>
  <c r="M1213" i="1"/>
  <c r="O1213" i="1"/>
  <c r="U1213" i="1"/>
  <c r="Y1213" i="1" s="1"/>
  <c r="V1213" i="1"/>
  <c r="W1213" i="1" s="1"/>
  <c r="Z1213" i="1"/>
  <c r="A1197" i="1"/>
  <c r="C1197" i="1"/>
  <c r="B1197" i="1" s="1"/>
  <c r="F1197" i="1"/>
  <c r="M1197" i="1"/>
  <c r="O1197" i="1"/>
  <c r="U1197" i="1"/>
  <c r="Y1197" i="1" s="1"/>
  <c r="V1197" i="1"/>
  <c r="W1197" i="1" s="1"/>
  <c r="Z1197" i="1"/>
  <c r="A1058" i="1"/>
  <c r="C1058" i="1"/>
  <c r="B1058" i="1" s="1"/>
  <c r="F1058" i="1"/>
  <c r="M1058" i="1"/>
  <c r="O1058" i="1"/>
  <c r="T1058" i="1"/>
  <c r="U1058" i="1"/>
  <c r="Y1058" i="1" s="1"/>
  <c r="V1058" i="1"/>
  <c r="W1058" i="1" s="1"/>
  <c r="Z1058" i="1"/>
  <c r="A1101" i="1"/>
  <c r="C1101" i="1"/>
  <c r="B1101" i="1" s="1"/>
  <c r="F1101" i="1"/>
  <c r="M1101" i="1"/>
  <c r="O1101" i="1"/>
  <c r="U1101" i="1"/>
  <c r="Y1101" i="1" s="1"/>
  <c r="V1101" i="1"/>
  <c r="W1101" i="1" s="1"/>
  <c r="Z1101" i="1"/>
  <c r="A1116" i="1"/>
  <c r="C1116" i="1"/>
  <c r="B1116" i="1" s="1"/>
  <c r="F1116" i="1"/>
  <c r="M1116" i="1"/>
  <c r="O1116" i="1"/>
  <c r="U1116" i="1"/>
  <c r="Y1116" i="1" s="1"/>
  <c r="V1116" i="1"/>
  <c r="W1116" i="1" s="1"/>
  <c r="Z1116" i="1"/>
  <c r="A1049" i="1"/>
  <c r="C1049" i="1"/>
  <c r="B1049" i="1" s="1"/>
  <c r="F1049" i="1"/>
  <c r="M1049" i="1"/>
  <c r="O1049" i="1"/>
  <c r="T1049" i="1"/>
  <c r="U1049" i="1"/>
  <c r="Y1049" i="1" s="1"/>
  <c r="V1049" i="1"/>
  <c r="W1049" i="1" s="1"/>
  <c r="Z1049" i="1"/>
  <c r="A1089" i="1"/>
  <c r="C1089" i="1"/>
  <c r="B1089" i="1" s="1"/>
  <c r="F1089" i="1"/>
  <c r="M1089" i="1"/>
  <c r="O1089" i="1"/>
  <c r="U1089" i="1"/>
  <c r="V1089" i="1"/>
  <c r="W1089" i="1" s="1"/>
  <c r="Z1089" i="1"/>
  <c r="A1093" i="1"/>
  <c r="C1093" i="1"/>
  <c r="B1093" i="1" s="1"/>
  <c r="F1093" i="1"/>
  <c r="M1093" i="1"/>
  <c r="O1093" i="1"/>
  <c r="U1093" i="1"/>
  <c r="Y1093" i="1" s="1"/>
  <c r="V1093" i="1"/>
  <c r="W1093" i="1" s="1"/>
  <c r="Z1093" i="1"/>
  <c r="A1292" i="1"/>
  <c r="C1292" i="1"/>
  <c r="B1292" i="1" s="1"/>
  <c r="F1292" i="1"/>
  <c r="M1292" i="1"/>
  <c r="O1292" i="1"/>
  <c r="U1292" i="1"/>
  <c r="Y1292" i="1" s="1"/>
  <c r="V1292" i="1"/>
  <c r="W1292" i="1" s="1"/>
  <c r="Z1292" i="1"/>
  <c r="A1381" i="1"/>
  <c r="C1381" i="1"/>
  <c r="B1381" i="1" s="1"/>
  <c r="F1381" i="1"/>
  <c r="M1381" i="1"/>
  <c r="O1381" i="1"/>
  <c r="U1381" i="1"/>
  <c r="Y1381" i="1" s="1"/>
  <c r="V1381" i="1"/>
  <c r="W1381" i="1" s="1"/>
  <c r="Z1381" i="1"/>
  <c r="A1380" i="1"/>
  <c r="C1380" i="1"/>
  <c r="B1380" i="1" s="1"/>
  <c r="F1380" i="1"/>
  <c r="M1380" i="1"/>
  <c r="O1380" i="1"/>
  <c r="U1380" i="1"/>
  <c r="Y1380" i="1" s="1"/>
  <c r="V1380" i="1"/>
  <c r="W1380" i="1" s="1"/>
  <c r="Z1380" i="1"/>
  <c r="A1148" i="1"/>
  <c r="C1148" i="1"/>
  <c r="B1148" i="1" s="1"/>
  <c r="F1148" i="1"/>
  <c r="M1148" i="1"/>
  <c r="O1148" i="1"/>
  <c r="U1148" i="1"/>
  <c r="Y1148" i="1" s="1"/>
  <c r="V1148" i="1"/>
  <c r="W1148" i="1" s="1"/>
  <c r="Z1148" i="1"/>
  <c r="A1128" i="1"/>
  <c r="C1128" i="1"/>
  <c r="B1128" i="1" s="1"/>
  <c r="F1128" i="1"/>
  <c r="M1128" i="1"/>
  <c r="O1128" i="1"/>
  <c r="U1128" i="1"/>
  <c r="Y1128" i="1" s="1"/>
  <c r="V1128" i="1"/>
  <c r="W1128" i="1" s="1"/>
  <c r="Z1128" i="1"/>
  <c r="A1196" i="1"/>
  <c r="C1196" i="1"/>
  <c r="B1196" i="1" s="1"/>
  <c r="F1196" i="1"/>
  <c r="M1196" i="1"/>
  <c r="O1196" i="1"/>
  <c r="U1196" i="1"/>
  <c r="Y1196" i="1" s="1"/>
  <c r="V1196" i="1"/>
  <c r="W1196" i="1" s="1"/>
  <c r="Z1196" i="1"/>
  <c r="A1186" i="1"/>
  <c r="C1186" i="1"/>
  <c r="B1186" i="1" s="1"/>
  <c r="F1186" i="1"/>
  <c r="M1186" i="1"/>
  <c r="O1186" i="1"/>
  <c r="U1186" i="1"/>
  <c r="Y1186" i="1" s="1"/>
  <c r="V1186" i="1"/>
  <c r="W1186" i="1" s="1"/>
  <c r="Z1186" i="1"/>
  <c r="A1100" i="1"/>
  <c r="C1100" i="1"/>
  <c r="B1100" i="1" s="1"/>
  <c r="F1100" i="1"/>
  <c r="M1100" i="1"/>
  <c r="O1100" i="1"/>
  <c r="U1100" i="1"/>
  <c r="Y1100" i="1" s="1"/>
  <c r="V1100" i="1"/>
  <c r="W1100" i="1" s="1"/>
  <c r="Z1100" i="1"/>
  <c r="A1189" i="1"/>
  <c r="C1189" i="1"/>
  <c r="B1189" i="1" s="1"/>
  <c r="F1189" i="1"/>
  <c r="M1189" i="1"/>
  <c r="O1189" i="1"/>
  <c r="U1189" i="1"/>
  <c r="Y1189" i="1" s="1"/>
  <c r="V1189" i="1"/>
  <c r="W1189" i="1" s="1"/>
  <c r="Z1189" i="1"/>
  <c r="P1026" i="1" l="1"/>
  <c r="P1277" i="1"/>
  <c r="P1264" i="1"/>
  <c r="R1144" i="1"/>
  <c r="D1144" i="1" s="1"/>
  <c r="P1091" i="1"/>
  <c r="P1174" i="1"/>
  <c r="P1098" i="1"/>
  <c r="Q1170" i="1"/>
  <c r="Q1139" i="1"/>
  <c r="Q1124" i="1"/>
  <c r="Q1126" i="1"/>
  <c r="Q1410" i="1"/>
  <c r="P1092" i="1"/>
  <c r="P1257" i="1"/>
  <c r="P1190" i="1"/>
  <c r="Q1123" i="1"/>
  <c r="R1307" i="1"/>
  <c r="P1055" i="1"/>
  <c r="P1090" i="1"/>
  <c r="P1202" i="1"/>
  <c r="P1265" i="1"/>
  <c r="Q1127" i="1"/>
  <c r="R1308" i="1"/>
  <c r="Q1420" i="1"/>
  <c r="Q1125" i="1"/>
  <c r="Q1325" i="1"/>
  <c r="Q1122" i="1"/>
  <c r="T1301" i="1"/>
  <c r="D1202" i="1"/>
  <c r="D1420" i="1"/>
  <c r="T1341" i="1"/>
  <c r="T1255" i="1"/>
  <c r="P1057" i="1"/>
  <c r="P1056" i="1"/>
  <c r="D1056" i="1"/>
  <c r="D1092" i="1"/>
  <c r="D1055" i="1"/>
  <c r="D1091" i="1"/>
  <c r="T1252" i="1"/>
  <c r="X1252" i="1"/>
  <c r="T1173" i="1"/>
  <c r="X1341" i="1"/>
  <c r="X1005" i="1"/>
  <c r="T1276" i="1"/>
  <c r="X1263" i="1"/>
  <c r="T1116" i="1"/>
  <c r="T1197" i="1"/>
  <c r="T1263" i="1"/>
  <c r="X1255" i="1"/>
  <c r="X1276" i="1"/>
  <c r="X1302" i="1"/>
  <c r="X1173" i="1"/>
  <c r="X1301" i="1"/>
  <c r="T1303" i="1"/>
  <c r="X1172" i="1"/>
  <c r="T1172" i="1"/>
  <c r="X1303" i="1"/>
  <c r="T1302" i="1"/>
  <c r="X1213" i="1"/>
  <c r="T1213" i="1"/>
  <c r="X1197" i="1"/>
  <c r="X1101" i="1"/>
  <c r="X1058" i="1"/>
  <c r="T1101" i="1"/>
  <c r="T1381" i="1"/>
  <c r="X1116" i="1"/>
  <c r="X1049" i="1"/>
  <c r="T1089" i="1"/>
  <c r="X1089" i="1"/>
  <c r="Y1089" i="1"/>
  <c r="T1128" i="1"/>
  <c r="T1093" i="1"/>
  <c r="X1093" i="1"/>
  <c r="T1292" i="1"/>
  <c r="T1186" i="1"/>
  <c r="X1292" i="1"/>
  <c r="X1381" i="1"/>
  <c r="T1380" i="1"/>
  <c r="X1380" i="1"/>
  <c r="T1148" i="1"/>
  <c r="X1148" i="1"/>
  <c r="X1128" i="1"/>
  <c r="T1196" i="1"/>
  <c r="X1196" i="1"/>
  <c r="X1186" i="1"/>
  <c r="T1189" i="1"/>
  <c r="T1100" i="1"/>
  <c r="X1100" i="1"/>
  <c r="X1189" i="1"/>
  <c r="A1096" i="1"/>
  <c r="C1096" i="1"/>
  <c r="B1096" i="1" s="1"/>
  <c r="F1096" i="1"/>
  <c r="O1096" i="1"/>
  <c r="T1096" i="1"/>
  <c r="U1096" i="1"/>
  <c r="Y1096" i="1" s="1"/>
  <c r="V1096" i="1"/>
  <c r="W1096" i="1" s="1"/>
  <c r="Z1096" i="1"/>
  <c r="A28" i="1"/>
  <c r="C28" i="1"/>
  <c r="B28" i="1" s="1"/>
  <c r="F28" i="1"/>
  <c r="M28" i="1"/>
  <c r="O28" i="1"/>
  <c r="U28" i="1"/>
  <c r="Y28" i="1" s="1"/>
  <c r="V28" i="1"/>
  <c r="W28" i="1" s="1"/>
  <c r="Z28" i="1"/>
  <c r="A1150" i="1"/>
  <c r="C1150" i="1"/>
  <c r="B1150" i="1" s="1"/>
  <c r="F1150" i="1"/>
  <c r="M1150" i="1"/>
  <c r="O1150" i="1"/>
  <c r="U1150" i="1"/>
  <c r="Y1150" i="1" s="1"/>
  <c r="V1150" i="1"/>
  <c r="W1150" i="1" s="1"/>
  <c r="Z1150" i="1"/>
  <c r="A1270" i="1"/>
  <c r="C1270" i="1"/>
  <c r="B1270" i="1" s="1"/>
  <c r="F1270" i="1"/>
  <c r="M1270" i="1"/>
  <c r="O1270" i="1"/>
  <c r="U1270" i="1"/>
  <c r="Y1270" i="1" s="1"/>
  <c r="V1270" i="1"/>
  <c r="W1270" i="1" s="1"/>
  <c r="Z1270" i="1"/>
  <c r="A1254" i="1"/>
  <c r="C1254" i="1"/>
  <c r="B1254" i="1" s="1"/>
  <c r="F1254" i="1"/>
  <c r="M1254" i="1"/>
  <c r="O1254" i="1"/>
  <c r="U1254" i="1"/>
  <c r="Y1254" i="1" s="1"/>
  <c r="V1254" i="1"/>
  <c r="W1254" i="1" s="1"/>
  <c r="Z1254" i="1"/>
  <c r="A1191" i="1"/>
  <c r="C1191" i="1"/>
  <c r="B1191" i="1" s="1"/>
  <c r="F1191" i="1"/>
  <c r="M1191" i="1"/>
  <c r="O1191" i="1"/>
  <c r="U1191" i="1"/>
  <c r="Y1191" i="1" s="1"/>
  <c r="V1191" i="1"/>
  <c r="W1191" i="1" s="1"/>
  <c r="Z1191" i="1"/>
  <c r="A1444" i="1"/>
  <c r="C1444" i="1"/>
  <c r="B1444" i="1" s="1"/>
  <c r="F1444" i="1"/>
  <c r="M1444" i="1"/>
  <c r="O1444" i="1"/>
  <c r="U1444" i="1"/>
  <c r="Y1444" i="1" s="1"/>
  <c r="V1444" i="1"/>
  <c r="W1444" i="1" s="1"/>
  <c r="Z1444" i="1"/>
  <c r="A1235" i="1"/>
  <c r="C1235" i="1"/>
  <c r="B1235" i="1" s="1"/>
  <c r="F1235" i="1"/>
  <c r="M1235" i="1"/>
  <c r="O1235" i="1"/>
  <c r="U1235" i="1"/>
  <c r="Y1235" i="1" s="1"/>
  <c r="V1235" i="1"/>
  <c r="W1235" i="1" s="1"/>
  <c r="Z1235" i="1"/>
  <c r="A1204" i="1"/>
  <c r="C1204" i="1"/>
  <c r="B1204" i="1" s="1"/>
  <c r="F1204" i="1"/>
  <c r="M1204" i="1"/>
  <c r="O1204" i="1"/>
  <c r="U1204" i="1"/>
  <c r="Y1204" i="1" s="1"/>
  <c r="V1204" i="1"/>
  <c r="W1204" i="1" s="1"/>
  <c r="Z1204" i="1"/>
  <c r="A1141" i="1"/>
  <c r="C1141" i="1"/>
  <c r="B1141" i="1" s="1"/>
  <c r="F1141" i="1"/>
  <c r="M1141" i="1"/>
  <c r="O1141" i="1"/>
  <c r="U1141" i="1"/>
  <c r="Y1141" i="1" s="1"/>
  <c r="V1141" i="1"/>
  <c r="W1141" i="1" s="1"/>
  <c r="Z1141" i="1"/>
  <c r="A1031" i="1"/>
  <c r="C1031" i="1"/>
  <c r="B1031" i="1" s="1"/>
  <c r="D1031" i="1"/>
  <c r="F1031" i="1"/>
  <c r="M1031" i="1"/>
  <c r="O1031" i="1"/>
  <c r="S1031" i="1"/>
  <c r="T1031" i="1"/>
  <c r="U1031" i="1"/>
  <c r="Y1031" i="1" s="1"/>
  <c r="V1031" i="1"/>
  <c r="W1031" i="1" s="1"/>
  <c r="Z1031" i="1"/>
  <c r="A1054" i="1"/>
  <c r="C1054" i="1"/>
  <c r="B1054" i="1" s="1"/>
  <c r="F1054" i="1"/>
  <c r="M1054" i="1"/>
  <c r="O1054" i="1"/>
  <c r="T1054" i="1"/>
  <c r="U1054" i="1"/>
  <c r="Y1054" i="1" s="1"/>
  <c r="V1054" i="1"/>
  <c r="W1054" i="1" s="1"/>
  <c r="Z1054" i="1"/>
  <c r="A1287" i="1"/>
  <c r="C1287" i="1"/>
  <c r="B1287" i="1" s="1"/>
  <c r="F1287" i="1"/>
  <c r="M1287" i="1"/>
  <c r="O1287" i="1"/>
  <c r="U1287" i="1"/>
  <c r="Y1287" i="1" s="1"/>
  <c r="V1287" i="1"/>
  <c r="W1287" i="1" s="1"/>
  <c r="Z1287" i="1"/>
  <c r="A1181" i="1"/>
  <c r="C1181" i="1"/>
  <c r="B1181" i="1" s="1"/>
  <c r="F1181" i="1"/>
  <c r="M1181" i="1"/>
  <c r="O1181" i="1"/>
  <c r="U1181" i="1"/>
  <c r="Y1181" i="1" s="1"/>
  <c r="V1181" i="1"/>
  <c r="W1181" i="1" s="1"/>
  <c r="Z1181" i="1"/>
  <c r="A1258" i="1"/>
  <c r="C1258" i="1"/>
  <c r="B1258" i="1" s="1"/>
  <c r="F1258" i="1"/>
  <c r="M1258" i="1"/>
  <c r="O1258" i="1"/>
  <c r="U1258" i="1"/>
  <c r="Y1258" i="1" s="1"/>
  <c r="V1258" i="1"/>
  <c r="W1258" i="1" s="1"/>
  <c r="Z1258" i="1"/>
  <c r="A1262" i="1"/>
  <c r="C1262" i="1"/>
  <c r="B1262" i="1" s="1"/>
  <c r="F1262" i="1"/>
  <c r="M1262" i="1"/>
  <c r="O1262" i="1"/>
  <c r="U1262" i="1"/>
  <c r="Y1262" i="1" s="1"/>
  <c r="V1262" i="1"/>
  <c r="W1262" i="1" s="1"/>
  <c r="Z1262" i="1"/>
  <c r="A1133" i="1"/>
  <c r="C1133" i="1"/>
  <c r="B1133" i="1" s="1"/>
  <c r="F1133" i="1"/>
  <c r="M1133" i="1"/>
  <c r="O1133" i="1"/>
  <c r="U1133" i="1"/>
  <c r="Y1133" i="1" s="1"/>
  <c r="V1133" i="1"/>
  <c r="W1133" i="1" s="1"/>
  <c r="Z1133" i="1"/>
  <c r="A1134" i="1"/>
  <c r="C1134" i="1"/>
  <c r="B1134" i="1" s="1"/>
  <c r="F1134" i="1"/>
  <c r="M1134" i="1"/>
  <c r="O1134" i="1"/>
  <c r="U1134" i="1"/>
  <c r="Y1134" i="1" s="1"/>
  <c r="V1134" i="1"/>
  <c r="W1134" i="1" s="1"/>
  <c r="Z1134" i="1"/>
  <c r="A1153" i="1"/>
  <c r="C1153" i="1"/>
  <c r="B1153" i="1" s="1"/>
  <c r="F1153" i="1"/>
  <c r="M1153" i="1"/>
  <c r="O1153" i="1"/>
  <c r="U1153" i="1"/>
  <c r="Y1153" i="1" s="1"/>
  <c r="V1153" i="1"/>
  <c r="W1153" i="1" s="1"/>
  <c r="Z1153" i="1"/>
  <c r="A1280" i="1"/>
  <c r="C1280" i="1"/>
  <c r="B1280" i="1" s="1"/>
  <c r="M1280" i="1"/>
  <c r="O1280" i="1"/>
  <c r="U1280" i="1"/>
  <c r="Y1280" i="1" s="1"/>
  <c r="V1280" i="1"/>
  <c r="W1280" i="1" s="1"/>
  <c r="Z1280" i="1"/>
  <c r="A1185" i="1"/>
  <c r="C1185" i="1"/>
  <c r="B1185" i="1" s="1"/>
  <c r="F1185" i="1"/>
  <c r="M1185" i="1"/>
  <c r="O1185" i="1"/>
  <c r="U1185" i="1"/>
  <c r="Y1185" i="1" s="1"/>
  <c r="V1185" i="1"/>
  <c r="W1185" i="1" s="1"/>
  <c r="Z1185" i="1"/>
  <c r="A1288" i="1"/>
  <c r="C1288" i="1"/>
  <c r="B1288" i="1" s="1"/>
  <c r="F1288" i="1"/>
  <c r="M1288" i="1"/>
  <c r="O1288" i="1"/>
  <c r="U1288" i="1"/>
  <c r="Y1288" i="1" s="1"/>
  <c r="V1288" i="1"/>
  <c r="W1288" i="1" s="1"/>
  <c r="Z1288" i="1"/>
  <c r="A1053" i="1"/>
  <c r="C1053" i="1"/>
  <c r="B1053" i="1" s="1"/>
  <c r="F1053" i="1"/>
  <c r="M1053" i="1"/>
  <c r="O1053" i="1"/>
  <c r="U1053" i="1"/>
  <c r="Y1053" i="1" s="1"/>
  <c r="V1053" i="1"/>
  <c r="W1053" i="1" s="1"/>
  <c r="Z1053" i="1"/>
  <c r="A1251" i="1"/>
  <c r="C1251" i="1"/>
  <c r="B1251" i="1" s="1"/>
  <c r="F1251" i="1"/>
  <c r="O1251" i="1"/>
  <c r="U1251" i="1"/>
  <c r="V1251" i="1"/>
  <c r="W1251" i="1" s="1"/>
  <c r="Z1251" i="1"/>
  <c r="A1236" i="1"/>
  <c r="C1236" i="1"/>
  <c r="B1236" i="1" s="1"/>
  <c r="F1236" i="1"/>
  <c r="M1236" i="1"/>
  <c r="O1236" i="1"/>
  <c r="U1236" i="1"/>
  <c r="Y1236" i="1" s="1"/>
  <c r="V1236" i="1"/>
  <c r="W1236" i="1" s="1"/>
  <c r="Z1236" i="1"/>
  <c r="A1211" i="1"/>
  <c r="C1211" i="1"/>
  <c r="B1211" i="1" s="1"/>
  <c r="F1211" i="1"/>
  <c r="M1211" i="1"/>
  <c r="O1211" i="1"/>
  <c r="U1211" i="1"/>
  <c r="Y1211" i="1" s="1"/>
  <c r="V1211" i="1"/>
  <c r="W1211" i="1" s="1"/>
  <c r="Z1211" i="1"/>
  <c r="A1135" i="1"/>
  <c r="C1135" i="1"/>
  <c r="B1135" i="1" s="1"/>
  <c r="F1135" i="1"/>
  <c r="M1135" i="1"/>
  <c r="O1135" i="1"/>
  <c r="U1135" i="1"/>
  <c r="Y1135" i="1" s="1"/>
  <c r="V1135" i="1"/>
  <c r="W1135" i="1" s="1"/>
  <c r="Z1135" i="1"/>
  <c r="A1171" i="1"/>
  <c r="C1171" i="1"/>
  <c r="B1171" i="1" s="1"/>
  <c r="F1171" i="1"/>
  <c r="M1171" i="1"/>
  <c r="O1171" i="1"/>
  <c r="U1171" i="1"/>
  <c r="Y1171" i="1" s="1"/>
  <c r="V1171" i="1"/>
  <c r="W1171" i="1" s="1"/>
  <c r="Z1171" i="1"/>
  <c r="A966" i="1"/>
  <c r="C966" i="1"/>
  <c r="B966" i="1" s="1"/>
  <c r="F966" i="1"/>
  <c r="M966" i="1"/>
  <c r="O966" i="1"/>
  <c r="T966" i="1"/>
  <c r="U966" i="1"/>
  <c r="Y966" i="1" s="1"/>
  <c r="V966" i="1"/>
  <c r="W966" i="1" s="1"/>
  <c r="Z966" i="1"/>
  <c r="A1048" i="1"/>
  <c r="C1048" i="1"/>
  <c r="B1048" i="1" s="1"/>
  <c r="F1048" i="1"/>
  <c r="M1048" i="1"/>
  <c r="O1048" i="1"/>
  <c r="S1048" i="1"/>
  <c r="T1048" i="1"/>
  <c r="U1048" i="1"/>
  <c r="Y1048" i="1" s="1"/>
  <c r="V1048" i="1"/>
  <c r="W1048" i="1" s="1"/>
  <c r="Z1048" i="1"/>
  <c r="A1434" i="1"/>
  <c r="C1434" i="1"/>
  <c r="B1434" i="1" s="1"/>
  <c r="F1434" i="1"/>
  <c r="M1434" i="1"/>
  <c r="O1434" i="1"/>
  <c r="U1434" i="1"/>
  <c r="Y1434" i="1" s="1"/>
  <c r="V1434" i="1"/>
  <c r="W1434" i="1" s="1"/>
  <c r="Z1434" i="1"/>
  <c r="A1435" i="1"/>
  <c r="C1435" i="1"/>
  <c r="B1435" i="1" s="1"/>
  <c r="F1435" i="1"/>
  <c r="M1435" i="1"/>
  <c r="O1435" i="1"/>
  <c r="U1435" i="1"/>
  <c r="Y1435" i="1" s="1"/>
  <c r="V1435" i="1"/>
  <c r="W1435" i="1" s="1"/>
  <c r="Z1435" i="1"/>
  <c r="I73" i="104"/>
  <c r="A73" i="104"/>
  <c r="B73" i="104"/>
  <c r="C73" i="104"/>
  <c r="I71" i="104"/>
  <c r="A1205" i="1"/>
  <c r="C1205" i="1"/>
  <c r="B1205" i="1" s="1"/>
  <c r="F1205" i="1"/>
  <c r="M1205" i="1"/>
  <c r="O1205" i="1"/>
  <c r="U1205" i="1"/>
  <c r="Y1205" i="1" s="1"/>
  <c r="V1205" i="1"/>
  <c r="W1205" i="1" s="1"/>
  <c r="Z1205" i="1"/>
  <c r="A71" i="104"/>
  <c r="B71" i="104"/>
  <c r="C71" i="104"/>
  <c r="A1084" i="1"/>
  <c r="C1084" i="1"/>
  <c r="B1084" i="1" s="1"/>
  <c r="F1084" i="1"/>
  <c r="M1084" i="1"/>
  <c r="O1084" i="1"/>
  <c r="T1084" i="1"/>
  <c r="U1084" i="1"/>
  <c r="Y1084" i="1" s="1"/>
  <c r="V1084" i="1"/>
  <c r="W1084" i="1" s="1"/>
  <c r="Z1084" i="1"/>
  <c r="F1193" i="1"/>
  <c r="A1194" i="1"/>
  <c r="C1194" i="1"/>
  <c r="B1194" i="1" s="1"/>
  <c r="F1194" i="1"/>
  <c r="M1194" i="1"/>
  <c r="O1194" i="1"/>
  <c r="U1194" i="1"/>
  <c r="Y1194" i="1" s="1"/>
  <c r="V1194" i="1"/>
  <c r="W1194" i="1" s="1"/>
  <c r="Z1194" i="1"/>
  <c r="A1259" i="1"/>
  <c r="C1259" i="1"/>
  <c r="B1259" i="1" s="1"/>
  <c r="F1259" i="1"/>
  <c r="M1259" i="1"/>
  <c r="O1259" i="1"/>
  <c r="U1259" i="1"/>
  <c r="Y1259" i="1" s="1"/>
  <c r="V1259" i="1"/>
  <c r="W1259" i="1" s="1"/>
  <c r="Z1259" i="1"/>
  <c r="A1076" i="1"/>
  <c r="A1077" i="1"/>
  <c r="A1073" i="1"/>
  <c r="A1074" i="1"/>
  <c r="A1075" i="1"/>
  <c r="A1078" i="1"/>
  <c r="C1076" i="1"/>
  <c r="B1076" i="1" s="1"/>
  <c r="C1077" i="1"/>
  <c r="B1077" i="1" s="1"/>
  <c r="C1073" i="1"/>
  <c r="B1073" i="1" s="1"/>
  <c r="C1074" i="1"/>
  <c r="B1074" i="1" s="1"/>
  <c r="C1075" i="1"/>
  <c r="B1075" i="1" s="1"/>
  <c r="C1078" i="1"/>
  <c r="B1078" i="1" s="1"/>
  <c r="F1076" i="1"/>
  <c r="F1077" i="1"/>
  <c r="F1073" i="1"/>
  <c r="F1074" i="1"/>
  <c r="F1075" i="1"/>
  <c r="F1078" i="1"/>
  <c r="M1076" i="1"/>
  <c r="M1077" i="1"/>
  <c r="M1073" i="1"/>
  <c r="M1074" i="1"/>
  <c r="M1075" i="1"/>
  <c r="M1078" i="1"/>
  <c r="O1076" i="1"/>
  <c r="O1077" i="1"/>
  <c r="O1073" i="1"/>
  <c r="O1074" i="1"/>
  <c r="O1075" i="1"/>
  <c r="O1078" i="1"/>
  <c r="U1076" i="1"/>
  <c r="Y1076" i="1" s="1"/>
  <c r="U1077" i="1"/>
  <c r="Y1077" i="1" s="1"/>
  <c r="U1073" i="1"/>
  <c r="Y1073" i="1" s="1"/>
  <c r="U1074" i="1"/>
  <c r="Y1074" i="1" s="1"/>
  <c r="U1075" i="1"/>
  <c r="Y1075" i="1" s="1"/>
  <c r="U1078" i="1"/>
  <c r="Y1078" i="1" s="1"/>
  <c r="V1076" i="1"/>
  <c r="W1076" i="1" s="1"/>
  <c r="V1077" i="1"/>
  <c r="W1077" i="1" s="1"/>
  <c r="V1073" i="1"/>
  <c r="W1073" i="1" s="1"/>
  <c r="V1074" i="1"/>
  <c r="W1074" i="1" s="1"/>
  <c r="V1075" i="1"/>
  <c r="W1075" i="1" s="1"/>
  <c r="V1078" i="1"/>
  <c r="W1078" i="1" s="1"/>
  <c r="Z1076" i="1"/>
  <c r="Z1077" i="1"/>
  <c r="Z1073" i="1"/>
  <c r="Z1074" i="1"/>
  <c r="Z1075" i="1"/>
  <c r="Z1078" i="1"/>
  <c r="I65" i="104"/>
  <c r="A65" i="104"/>
  <c r="B65" i="104"/>
  <c r="C65" i="104"/>
  <c r="I67" i="104"/>
  <c r="I68" i="104"/>
  <c r="A68" i="104"/>
  <c r="B68" i="104"/>
  <c r="C68" i="104"/>
  <c r="A67" i="104"/>
  <c r="B67" i="104"/>
  <c r="C67" i="104"/>
  <c r="I66" i="104"/>
  <c r="A66" i="104"/>
  <c r="B66" i="104"/>
  <c r="C66" i="104"/>
  <c r="I70" i="104"/>
  <c r="A70" i="104"/>
  <c r="B70" i="104"/>
  <c r="C70" i="104"/>
  <c r="I69" i="104"/>
  <c r="A69" i="104"/>
  <c r="B69" i="104"/>
  <c r="C69" i="104"/>
  <c r="A1066" i="1"/>
  <c r="C1066" i="1"/>
  <c r="B1066" i="1" s="1"/>
  <c r="F1066" i="1"/>
  <c r="M1066" i="1"/>
  <c r="O1066" i="1"/>
  <c r="T1066" i="1"/>
  <c r="U1066" i="1"/>
  <c r="Y1066" i="1" s="1"/>
  <c r="V1066" i="1"/>
  <c r="W1066" i="1" s="1"/>
  <c r="Z1066" i="1"/>
  <c r="A1068" i="1"/>
  <c r="C1068" i="1"/>
  <c r="B1068" i="1" s="1"/>
  <c r="F1068" i="1"/>
  <c r="M1068" i="1"/>
  <c r="O1068" i="1"/>
  <c r="T1068" i="1"/>
  <c r="U1068" i="1"/>
  <c r="Y1068" i="1" s="1"/>
  <c r="V1068" i="1"/>
  <c r="W1068" i="1" s="1"/>
  <c r="Z1068" i="1"/>
  <c r="E1262" i="6"/>
  <c r="E1263" i="6"/>
  <c r="E1273" i="6"/>
  <c r="E1285" i="6"/>
  <c r="E1261" i="6"/>
  <c r="E1264" i="6"/>
  <c r="E1265" i="6"/>
  <c r="E1266" i="6"/>
  <c r="E1267" i="6"/>
  <c r="E1268" i="6"/>
  <c r="E1269" i="6"/>
  <c r="E1270" i="6"/>
  <c r="E1271" i="6"/>
  <c r="F1262" i="6"/>
  <c r="F1263" i="6"/>
  <c r="F1273" i="6"/>
  <c r="F1285" i="6"/>
  <c r="F1261" i="6"/>
  <c r="F1264" i="6"/>
  <c r="F1265" i="6"/>
  <c r="F1268" i="6"/>
  <c r="F1269" i="6"/>
  <c r="F1270" i="6"/>
  <c r="F1271" i="6"/>
  <c r="I1262" i="6"/>
  <c r="I1263" i="6"/>
  <c r="I1273" i="6"/>
  <c r="I1285" i="6"/>
  <c r="I1261" i="6"/>
  <c r="I1264" i="6"/>
  <c r="I1265" i="6"/>
  <c r="I1266" i="6"/>
  <c r="I1267" i="6"/>
  <c r="I1268" i="6"/>
  <c r="I1269" i="6"/>
  <c r="I1270" i="6"/>
  <c r="I1271" i="6"/>
  <c r="J1262" i="6"/>
  <c r="J1263" i="6"/>
  <c r="J1273" i="6"/>
  <c r="J1285" i="6"/>
  <c r="J1261" i="6"/>
  <c r="J1264" i="6"/>
  <c r="J1265" i="6"/>
  <c r="J1266" i="6"/>
  <c r="J1267" i="6"/>
  <c r="J1268" i="6"/>
  <c r="J1269" i="6"/>
  <c r="J1270" i="6"/>
  <c r="J1271" i="6"/>
  <c r="L19" i="16"/>
  <c r="A965" i="1"/>
  <c r="C965" i="1"/>
  <c r="B965" i="1" s="1"/>
  <c r="F965" i="1"/>
  <c r="M965" i="1"/>
  <c r="O965" i="1"/>
  <c r="T965" i="1"/>
  <c r="U965" i="1"/>
  <c r="Y965" i="1" s="1"/>
  <c r="V965" i="1"/>
  <c r="W965" i="1" s="1"/>
  <c r="Z965" i="1"/>
  <c r="A1136" i="1"/>
  <c r="C1136" i="1"/>
  <c r="B1136" i="1" s="1"/>
  <c r="F1136" i="1"/>
  <c r="M1136" i="1"/>
  <c r="O1136" i="1"/>
  <c r="U1136" i="1"/>
  <c r="Y1136" i="1" s="1"/>
  <c r="V1136" i="1"/>
  <c r="W1136" i="1" s="1"/>
  <c r="Z1136" i="1"/>
  <c r="A1047" i="1"/>
  <c r="C1047" i="1"/>
  <c r="B1047" i="1" s="1"/>
  <c r="F1047" i="1"/>
  <c r="O1047" i="1"/>
  <c r="S1047" i="1"/>
  <c r="T1047" i="1"/>
  <c r="U1047" i="1"/>
  <c r="Y1047" i="1" s="1"/>
  <c r="V1047" i="1"/>
  <c r="W1047" i="1" s="1"/>
  <c r="Z1047" i="1"/>
  <c r="A1028" i="1"/>
  <c r="C1028" i="1"/>
  <c r="B1028" i="1" s="1"/>
  <c r="F1028" i="1"/>
  <c r="M1028" i="1"/>
  <c r="O1028" i="1"/>
  <c r="T1028" i="1"/>
  <c r="U1028" i="1"/>
  <c r="Y1028" i="1" s="1"/>
  <c r="V1028" i="1"/>
  <c r="W1028" i="1" s="1"/>
  <c r="Z1028" i="1"/>
  <c r="A1035" i="1"/>
  <c r="C1035" i="1"/>
  <c r="B1035" i="1" s="1"/>
  <c r="F1035" i="1"/>
  <c r="M1035" i="1"/>
  <c r="O1035" i="1"/>
  <c r="U1035" i="1"/>
  <c r="Y1035" i="1" s="1"/>
  <c r="V1035" i="1"/>
  <c r="W1035" i="1" s="1"/>
  <c r="Z1035" i="1"/>
  <c r="A1034" i="1"/>
  <c r="C1034" i="1"/>
  <c r="B1034" i="1" s="1"/>
  <c r="F1034" i="1"/>
  <c r="M1034" i="1"/>
  <c r="O1034" i="1"/>
  <c r="T1034" i="1"/>
  <c r="U1034" i="1"/>
  <c r="Y1034" i="1" s="1"/>
  <c r="V1034" i="1"/>
  <c r="W1034" i="1" s="1"/>
  <c r="Z1034" i="1"/>
  <c r="A1040" i="1"/>
  <c r="C1040" i="1"/>
  <c r="B1040" i="1" s="1"/>
  <c r="F1040" i="1"/>
  <c r="M1040" i="1"/>
  <c r="O1040" i="1"/>
  <c r="T1040" i="1"/>
  <c r="U1040" i="1"/>
  <c r="Y1040" i="1" s="1"/>
  <c r="V1040" i="1"/>
  <c r="W1040" i="1" s="1"/>
  <c r="Z1040" i="1"/>
  <c r="A1046" i="1"/>
  <c r="C1046" i="1"/>
  <c r="B1046" i="1" s="1"/>
  <c r="F1046" i="1"/>
  <c r="M1046" i="1"/>
  <c r="O1046" i="1"/>
  <c r="T1046" i="1"/>
  <c r="U1046" i="1"/>
  <c r="Y1046" i="1" s="1"/>
  <c r="V1046" i="1"/>
  <c r="W1046" i="1" s="1"/>
  <c r="Z1046" i="1"/>
  <c r="A1037" i="1"/>
  <c r="C1037" i="1"/>
  <c r="B1037" i="1" s="1"/>
  <c r="F1037" i="1"/>
  <c r="M1037" i="1"/>
  <c r="T1037" i="1"/>
  <c r="U1037" i="1"/>
  <c r="Y1037" i="1" s="1"/>
  <c r="V1037" i="1"/>
  <c r="W1037" i="1" s="1"/>
  <c r="Z1037" i="1"/>
  <c r="A1045" i="1"/>
  <c r="C1045" i="1"/>
  <c r="B1045" i="1" s="1"/>
  <c r="F1045" i="1"/>
  <c r="M1045" i="1"/>
  <c r="O1045" i="1"/>
  <c r="T1045" i="1"/>
  <c r="U1045" i="1"/>
  <c r="Y1045" i="1" s="1"/>
  <c r="V1045" i="1"/>
  <c r="W1045" i="1" s="1"/>
  <c r="Z1045" i="1"/>
  <c r="A1038" i="1"/>
  <c r="C1038" i="1"/>
  <c r="B1038" i="1" s="1"/>
  <c r="F1038" i="1"/>
  <c r="M1038" i="1"/>
  <c r="O1038" i="1"/>
  <c r="T1038" i="1"/>
  <c r="U1038" i="1"/>
  <c r="Y1038" i="1" s="1"/>
  <c r="V1038" i="1"/>
  <c r="W1038" i="1" s="1"/>
  <c r="Z1038" i="1"/>
  <c r="A1044" i="1"/>
  <c r="C1044" i="1"/>
  <c r="B1044" i="1" s="1"/>
  <c r="F1044" i="1"/>
  <c r="M1044" i="1"/>
  <c r="O1044" i="1"/>
  <c r="U1044" i="1"/>
  <c r="Y1044" i="1" s="1"/>
  <c r="V1044" i="1"/>
  <c r="W1044" i="1" s="1"/>
  <c r="Z1044" i="1"/>
  <c r="A1043" i="1"/>
  <c r="C1043" i="1"/>
  <c r="B1043" i="1" s="1"/>
  <c r="F1043" i="1"/>
  <c r="M1043" i="1"/>
  <c r="O1043" i="1"/>
  <c r="T1043" i="1"/>
  <c r="U1043" i="1"/>
  <c r="Y1043" i="1" s="1"/>
  <c r="V1043" i="1"/>
  <c r="W1043" i="1" s="1"/>
  <c r="Z1043" i="1"/>
  <c r="A1042" i="1"/>
  <c r="C1042" i="1"/>
  <c r="B1042" i="1" s="1"/>
  <c r="F1042" i="1"/>
  <c r="M1042" i="1"/>
  <c r="O1042" i="1"/>
  <c r="T1042" i="1"/>
  <c r="U1042" i="1"/>
  <c r="Y1042" i="1" s="1"/>
  <c r="V1042" i="1"/>
  <c r="W1042" i="1" s="1"/>
  <c r="Z1042" i="1"/>
  <c r="A1041" i="1"/>
  <c r="C1041" i="1"/>
  <c r="B1041" i="1" s="1"/>
  <c r="F1041" i="1"/>
  <c r="M1041" i="1"/>
  <c r="O1041" i="1"/>
  <c r="T1041" i="1"/>
  <c r="U1041" i="1"/>
  <c r="Y1041" i="1" s="1"/>
  <c r="V1041" i="1"/>
  <c r="W1041" i="1" s="1"/>
  <c r="Z1041" i="1"/>
  <c r="A1033" i="1"/>
  <c r="C1033" i="1"/>
  <c r="B1033" i="1" s="1"/>
  <c r="F1033" i="1"/>
  <c r="M1033" i="1"/>
  <c r="O1033" i="1"/>
  <c r="T1033" i="1"/>
  <c r="U1033" i="1"/>
  <c r="Y1033" i="1" s="1"/>
  <c r="V1033" i="1"/>
  <c r="W1033" i="1" s="1"/>
  <c r="Z1033" i="1"/>
  <c r="L54" i="15"/>
  <c r="L53" i="15"/>
  <c r="L52" i="15"/>
  <c r="L51" i="15"/>
  <c r="L50" i="15"/>
  <c r="L49" i="15"/>
  <c r="L47" i="15"/>
  <c r="L46" i="15"/>
  <c r="L45" i="15"/>
  <c r="L43" i="15"/>
  <c r="L42" i="15"/>
  <c r="L41" i="15"/>
  <c r="L40" i="15"/>
  <c r="L32" i="15"/>
  <c r="L31" i="15"/>
  <c r="L30" i="15"/>
  <c r="L29" i="15"/>
  <c r="L28" i="15"/>
  <c r="L27" i="15"/>
  <c r="L26" i="15"/>
  <c r="L25" i="15"/>
  <c r="L23" i="15"/>
  <c r="L22" i="15"/>
  <c r="L21" i="15"/>
  <c r="L20" i="15"/>
  <c r="L19" i="15"/>
  <c r="L18" i="15"/>
  <c r="L17" i="15"/>
  <c r="L16" i="15"/>
  <c r="L15" i="15"/>
  <c r="L14" i="15"/>
  <c r="L13" i="15"/>
  <c r="L11" i="15"/>
  <c r="L10" i="15"/>
  <c r="L9" i="15"/>
  <c r="L7" i="15"/>
  <c r="L6" i="15"/>
  <c r="L4" i="15"/>
  <c r="L3" i="15"/>
  <c r="L2" i="15"/>
  <c r="L28" i="16"/>
  <c r="L22" i="16"/>
  <c r="L20" i="16"/>
  <c r="A1000" i="1"/>
  <c r="C1000" i="1"/>
  <c r="B1000" i="1" s="1"/>
  <c r="F1000" i="1"/>
  <c r="M1000" i="1"/>
  <c r="O1000" i="1"/>
  <c r="S1000" i="1"/>
  <c r="T1000" i="1"/>
  <c r="U1000" i="1"/>
  <c r="V1000" i="1"/>
  <c r="W1000" i="1" s="1"/>
  <c r="Z1000" i="1"/>
  <c r="A999" i="1"/>
  <c r="C999" i="1"/>
  <c r="B999" i="1" s="1"/>
  <c r="F999" i="1"/>
  <c r="M999" i="1"/>
  <c r="O999" i="1"/>
  <c r="S999" i="1"/>
  <c r="T999" i="1"/>
  <c r="U999" i="1"/>
  <c r="Y999" i="1" s="1"/>
  <c r="V999" i="1"/>
  <c r="W999" i="1" s="1"/>
  <c r="Z999" i="1"/>
  <c r="A998" i="1"/>
  <c r="C998" i="1"/>
  <c r="B998" i="1" s="1"/>
  <c r="F998" i="1"/>
  <c r="M998" i="1"/>
  <c r="O998" i="1"/>
  <c r="S998" i="1"/>
  <c r="T998" i="1"/>
  <c r="U998" i="1"/>
  <c r="Y998" i="1" s="1"/>
  <c r="V998" i="1"/>
  <c r="W998" i="1" s="1"/>
  <c r="Z998" i="1"/>
  <c r="A997" i="1"/>
  <c r="C997" i="1"/>
  <c r="B997" i="1" s="1"/>
  <c r="F997" i="1"/>
  <c r="M997" i="1"/>
  <c r="O997" i="1"/>
  <c r="S997" i="1"/>
  <c r="U997" i="1"/>
  <c r="Y997" i="1" s="1"/>
  <c r="V997" i="1"/>
  <c r="W997" i="1" s="1"/>
  <c r="Z997" i="1"/>
  <c r="A996" i="1"/>
  <c r="C996" i="1"/>
  <c r="B996" i="1" s="1"/>
  <c r="F996" i="1"/>
  <c r="M996" i="1"/>
  <c r="O996" i="1"/>
  <c r="S996" i="1"/>
  <c r="U996" i="1"/>
  <c r="Y996" i="1" s="1"/>
  <c r="V996" i="1"/>
  <c r="W996" i="1" s="1"/>
  <c r="Z996" i="1"/>
  <c r="E1226" i="6"/>
  <c r="F1226" i="6"/>
  <c r="I1226" i="6"/>
  <c r="J1226" i="6"/>
  <c r="E1231" i="6"/>
  <c r="F1231" i="6"/>
  <c r="I1231" i="6"/>
  <c r="J1231" i="6"/>
  <c r="E1230" i="6"/>
  <c r="F1230" i="6"/>
  <c r="I1230" i="6"/>
  <c r="J1230" i="6"/>
  <c r="E1240" i="6"/>
  <c r="F1240" i="6"/>
  <c r="I1240" i="6"/>
  <c r="J1240" i="6"/>
  <c r="E1242" i="6"/>
  <c r="F1242" i="6"/>
  <c r="I1242" i="6"/>
  <c r="J1242" i="6"/>
  <c r="E1243" i="6"/>
  <c r="E1244" i="6"/>
  <c r="E1241" i="6"/>
  <c r="E1247" i="6"/>
  <c r="E1248" i="6"/>
  <c r="E1246" i="6"/>
  <c r="E1245" i="6"/>
  <c r="E1227" i="6"/>
  <c r="E1228" i="6"/>
  <c r="E1229" i="6"/>
  <c r="E1249" i="6"/>
  <c r="E1250" i="6"/>
  <c r="E1255" i="6"/>
  <c r="E1256" i="6"/>
  <c r="E1257" i="6"/>
  <c r="E1251" i="6"/>
  <c r="E1252" i="6"/>
  <c r="E1253" i="6"/>
  <c r="E1254" i="6"/>
  <c r="F1244" i="6"/>
  <c r="F1241" i="6"/>
  <c r="F1247" i="6"/>
  <c r="F1248" i="6"/>
  <c r="F1246" i="6"/>
  <c r="F1245" i="6"/>
  <c r="F1227" i="6"/>
  <c r="F1228" i="6"/>
  <c r="F1229" i="6"/>
  <c r="F1249" i="6"/>
  <c r="F1250" i="6"/>
  <c r="I1243" i="6"/>
  <c r="I1244" i="6"/>
  <c r="I1241" i="6"/>
  <c r="I1247" i="6"/>
  <c r="I1248" i="6"/>
  <c r="I1246" i="6"/>
  <c r="I1245" i="6"/>
  <c r="I1227" i="6"/>
  <c r="I1228" i="6"/>
  <c r="I1229" i="6"/>
  <c r="I1249" i="6"/>
  <c r="I1250" i="6"/>
  <c r="I1255" i="6"/>
  <c r="I1256" i="6"/>
  <c r="I1257" i="6"/>
  <c r="I1251" i="6"/>
  <c r="I1252" i="6"/>
  <c r="I1253" i="6"/>
  <c r="I1254" i="6"/>
  <c r="J1243" i="6"/>
  <c r="J1244" i="6"/>
  <c r="J1241" i="6"/>
  <c r="J1247" i="6"/>
  <c r="J1248" i="6"/>
  <c r="J1246" i="6"/>
  <c r="J1245" i="6"/>
  <c r="J1227" i="6"/>
  <c r="J1228" i="6"/>
  <c r="J1229" i="6"/>
  <c r="J1249" i="6"/>
  <c r="J1250" i="6"/>
  <c r="J1255" i="6"/>
  <c r="J1256" i="6"/>
  <c r="J1257" i="6"/>
  <c r="J1251" i="6"/>
  <c r="J1252" i="6"/>
  <c r="J1253" i="6"/>
  <c r="J1254" i="6"/>
  <c r="E1239" i="6"/>
  <c r="F1239" i="6"/>
  <c r="I1239" i="6"/>
  <c r="J1239" i="6"/>
  <c r="A1072" i="1"/>
  <c r="C1072" i="1"/>
  <c r="B1072" i="1" s="1"/>
  <c r="F1072" i="1"/>
  <c r="M1072" i="1"/>
  <c r="O1072" i="1"/>
  <c r="U1072" i="1"/>
  <c r="Y1072" i="1" s="1"/>
  <c r="V1072" i="1"/>
  <c r="W1072" i="1" s="1"/>
  <c r="Z1072" i="1"/>
  <c r="A1071" i="1"/>
  <c r="C1071" i="1"/>
  <c r="B1071" i="1" s="1"/>
  <c r="F1071" i="1"/>
  <c r="M1071" i="1"/>
  <c r="O1071" i="1"/>
  <c r="U1071" i="1"/>
  <c r="Y1071" i="1" s="1"/>
  <c r="V1071" i="1"/>
  <c r="W1071" i="1" s="1"/>
  <c r="Z1071" i="1"/>
  <c r="I64" i="104"/>
  <c r="I63" i="104"/>
  <c r="A64" i="104"/>
  <c r="B64" i="104"/>
  <c r="C64" i="104"/>
  <c r="A63" i="104"/>
  <c r="B63" i="104"/>
  <c r="C63" i="104"/>
  <c r="A1274" i="1"/>
  <c r="C1274" i="1"/>
  <c r="B1274" i="1" s="1"/>
  <c r="F1274" i="1"/>
  <c r="M1274" i="1"/>
  <c r="O1274" i="1"/>
  <c r="U1274" i="1"/>
  <c r="Y1274" i="1" s="1"/>
  <c r="V1274" i="1"/>
  <c r="W1274" i="1" s="1"/>
  <c r="Z1274" i="1"/>
  <c r="A1193" i="1"/>
  <c r="C1193" i="1"/>
  <c r="B1193" i="1" s="1"/>
  <c r="M1193" i="1"/>
  <c r="O1193" i="1"/>
  <c r="U1193" i="1"/>
  <c r="Y1193" i="1" s="1"/>
  <c r="V1193" i="1"/>
  <c r="W1193" i="1" s="1"/>
  <c r="Z1193" i="1"/>
  <c r="A1132" i="1"/>
  <c r="C1132" i="1"/>
  <c r="B1132" i="1" s="1"/>
  <c r="F1132" i="1"/>
  <c r="M1132" i="1"/>
  <c r="O1132" i="1"/>
  <c r="U1132" i="1"/>
  <c r="V1132" i="1"/>
  <c r="W1132" i="1" s="1"/>
  <c r="Z1132" i="1"/>
  <c r="A1137" i="1"/>
  <c r="C1137" i="1"/>
  <c r="B1137" i="1" s="1"/>
  <c r="F1137" i="1"/>
  <c r="M1137" i="1"/>
  <c r="O1137" i="1"/>
  <c r="U1137" i="1"/>
  <c r="V1137" i="1"/>
  <c r="W1137" i="1" s="1"/>
  <c r="Z1137" i="1"/>
  <c r="A1275" i="1"/>
  <c r="C1275" i="1"/>
  <c r="B1275" i="1" s="1"/>
  <c r="F1275" i="1"/>
  <c r="M1275" i="1"/>
  <c r="O1275" i="1"/>
  <c r="U1275" i="1"/>
  <c r="Y1275" i="1" s="1"/>
  <c r="V1275" i="1"/>
  <c r="W1275" i="1" s="1"/>
  <c r="Z1275" i="1"/>
  <c r="A1121" i="1"/>
  <c r="C1121" i="1"/>
  <c r="B1121" i="1" s="1"/>
  <c r="F1121" i="1"/>
  <c r="M1121" i="1"/>
  <c r="O1121" i="1"/>
  <c r="U1121" i="1"/>
  <c r="Y1121" i="1" s="1"/>
  <c r="V1121" i="1"/>
  <c r="W1121" i="1" s="1"/>
  <c r="Z1121" i="1"/>
  <c r="A1027" i="1"/>
  <c r="C1027" i="1"/>
  <c r="B1027" i="1" s="1"/>
  <c r="F1027" i="1"/>
  <c r="M1027" i="1"/>
  <c r="O1027" i="1"/>
  <c r="S1027" i="1"/>
  <c r="T1027" i="1"/>
  <c r="U1027" i="1"/>
  <c r="V1027" i="1"/>
  <c r="W1027" i="1" s="1"/>
  <c r="Z1027" i="1"/>
  <c r="A1417" i="1"/>
  <c r="C1417" i="1"/>
  <c r="B1417" i="1" s="1"/>
  <c r="F1417" i="1"/>
  <c r="M1417" i="1"/>
  <c r="O1417" i="1"/>
  <c r="U1417" i="1"/>
  <c r="V1417" i="1"/>
  <c r="W1417" i="1" s="1"/>
  <c r="Z1417" i="1"/>
  <c r="A1152" i="1"/>
  <c r="C1152" i="1"/>
  <c r="B1152" i="1" s="1"/>
  <c r="F1152" i="1"/>
  <c r="M1152" i="1"/>
  <c r="O1152" i="1"/>
  <c r="U1152" i="1"/>
  <c r="Y1152" i="1" s="1"/>
  <c r="V1152" i="1"/>
  <c r="W1152" i="1" s="1"/>
  <c r="Z1152" i="1"/>
  <c r="A1151" i="1"/>
  <c r="C1151" i="1"/>
  <c r="B1151" i="1" s="1"/>
  <c r="F1151" i="1"/>
  <c r="M1151" i="1"/>
  <c r="O1151" i="1"/>
  <c r="U1151" i="1"/>
  <c r="Y1151" i="1" s="1"/>
  <c r="V1151" i="1"/>
  <c r="W1151" i="1" s="1"/>
  <c r="Z1151" i="1"/>
  <c r="A1099" i="1"/>
  <c r="C1099" i="1"/>
  <c r="B1099" i="1" s="1"/>
  <c r="F1099" i="1"/>
  <c r="M1099" i="1"/>
  <c r="O1099" i="1"/>
  <c r="U1099" i="1"/>
  <c r="Y1099" i="1" s="1"/>
  <c r="V1099" i="1"/>
  <c r="W1099" i="1" s="1"/>
  <c r="Z1099" i="1"/>
  <c r="M1433" i="1"/>
  <c r="O1433" i="1"/>
  <c r="A1118" i="1"/>
  <c r="C1118" i="1"/>
  <c r="B1118" i="1" s="1"/>
  <c r="F1118" i="1"/>
  <c r="M1118" i="1"/>
  <c r="O1118" i="1"/>
  <c r="U1118" i="1"/>
  <c r="Y1118" i="1" s="1"/>
  <c r="V1118" i="1"/>
  <c r="W1118" i="1" s="1"/>
  <c r="Z1118" i="1"/>
  <c r="A1117" i="1"/>
  <c r="C1117" i="1"/>
  <c r="B1117" i="1" s="1"/>
  <c r="F1117" i="1"/>
  <c r="M1117" i="1"/>
  <c r="O1117" i="1"/>
  <c r="U1117" i="1"/>
  <c r="Y1117" i="1" s="1"/>
  <c r="V1117" i="1"/>
  <c r="W1117" i="1" s="1"/>
  <c r="Z1117" i="1"/>
  <c r="A1088" i="1"/>
  <c r="C1088" i="1"/>
  <c r="B1088" i="1" s="1"/>
  <c r="F1088" i="1"/>
  <c r="M1088" i="1"/>
  <c r="O1088" i="1"/>
  <c r="U1088" i="1"/>
  <c r="Y1088" i="1" s="1"/>
  <c r="V1088" i="1"/>
  <c r="W1088" i="1" s="1"/>
  <c r="Z1088" i="1"/>
  <c r="A1087" i="1"/>
  <c r="C1087" i="1"/>
  <c r="B1087" i="1" s="1"/>
  <c r="F1087" i="1"/>
  <c r="M1087" i="1"/>
  <c r="O1087" i="1"/>
  <c r="U1087" i="1"/>
  <c r="Y1087" i="1" s="1"/>
  <c r="V1087" i="1"/>
  <c r="W1087" i="1" s="1"/>
  <c r="Z1087" i="1"/>
  <c r="A1192" i="1"/>
  <c r="C1192" i="1"/>
  <c r="B1192" i="1" s="1"/>
  <c r="F1192" i="1"/>
  <c r="M1192" i="1"/>
  <c r="O1192" i="1"/>
  <c r="U1192" i="1"/>
  <c r="Y1192" i="1" s="1"/>
  <c r="V1192" i="1"/>
  <c r="W1192" i="1" s="1"/>
  <c r="Z1192" i="1"/>
  <c r="A1285" i="1"/>
  <c r="C1285" i="1"/>
  <c r="B1285" i="1" s="1"/>
  <c r="F1285" i="1"/>
  <c r="M1285" i="1"/>
  <c r="O1285" i="1"/>
  <c r="U1285" i="1"/>
  <c r="Y1285" i="1" s="1"/>
  <c r="V1285" i="1"/>
  <c r="W1285" i="1" s="1"/>
  <c r="Z1285" i="1"/>
  <c r="A1115" i="1"/>
  <c r="C1115" i="1"/>
  <c r="B1115" i="1" s="1"/>
  <c r="F1115" i="1"/>
  <c r="M1115" i="1"/>
  <c r="O1115" i="1"/>
  <c r="U1115" i="1"/>
  <c r="Y1115" i="1" s="1"/>
  <c r="V1115" i="1"/>
  <c r="W1115" i="1" s="1"/>
  <c r="Z1115" i="1"/>
  <c r="A1113" i="1"/>
  <c r="C1113" i="1"/>
  <c r="B1113" i="1" s="1"/>
  <c r="F1113" i="1"/>
  <c r="M1113" i="1"/>
  <c r="O1113" i="1"/>
  <c r="U1113" i="1"/>
  <c r="Y1113" i="1" s="1"/>
  <c r="V1113" i="1"/>
  <c r="W1113" i="1" s="1"/>
  <c r="Z1113" i="1"/>
  <c r="A1108" i="1"/>
  <c r="C1108" i="1"/>
  <c r="B1108" i="1" s="1"/>
  <c r="F1108" i="1"/>
  <c r="M1108" i="1"/>
  <c r="O1108" i="1"/>
  <c r="U1108" i="1"/>
  <c r="Y1108" i="1" s="1"/>
  <c r="V1108" i="1"/>
  <c r="W1108" i="1" s="1"/>
  <c r="Z1108" i="1"/>
  <c r="A1103" i="1"/>
  <c r="C1103" i="1"/>
  <c r="B1103" i="1" s="1"/>
  <c r="F1103" i="1"/>
  <c r="M1103" i="1"/>
  <c r="O1103" i="1"/>
  <c r="U1103" i="1"/>
  <c r="Y1103" i="1" s="1"/>
  <c r="V1103" i="1"/>
  <c r="W1103" i="1" s="1"/>
  <c r="Z1103" i="1"/>
  <c r="A1433" i="1"/>
  <c r="C1433" i="1"/>
  <c r="B1433" i="1" s="1"/>
  <c r="F1433" i="1"/>
  <c r="U1433" i="1"/>
  <c r="Y1433" i="1" s="1"/>
  <c r="V1433" i="1"/>
  <c r="W1433" i="1" s="1"/>
  <c r="Z1433" i="1"/>
  <c r="A1111" i="1"/>
  <c r="C1111" i="1"/>
  <c r="B1111" i="1" s="1"/>
  <c r="F1111" i="1"/>
  <c r="M1111" i="1"/>
  <c r="O1111" i="1"/>
  <c r="U1111" i="1"/>
  <c r="Y1111" i="1" s="1"/>
  <c r="V1111" i="1"/>
  <c r="W1111" i="1" s="1"/>
  <c r="Z1111" i="1"/>
  <c r="A1261" i="1"/>
  <c r="C1261" i="1"/>
  <c r="B1261" i="1" s="1"/>
  <c r="F1261" i="1"/>
  <c r="M1261" i="1"/>
  <c r="O1261" i="1"/>
  <c r="U1261" i="1"/>
  <c r="Y1261" i="1" s="1"/>
  <c r="V1261" i="1"/>
  <c r="W1261" i="1" s="1"/>
  <c r="Z1261" i="1"/>
  <c r="A1260" i="1"/>
  <c r="C1260" i="1"/>
  <c r="B1260" i="1" s="1"/>
  <c r="F1260" i="1"/>
  <c r="M1260" i="1"/>
  <c r="O1260" i="1"/>
  <c r="U1260" i="1"/>
  <c r="Y1260" i="1" s="1"/>
  <c r="V1260" i="1"/>
  <c r="W1260" i="1" s="1"/>
  <c r="Z1260" i="1"/>
  <c r="A1130" i="1"/>
  <c r="C1130" i="1"/>
  <c r="B1130" i="1" s="1"/>
  <c r="F1130" i="1"/>
  <c r="M1130" i="1"/>
  <c r="O1130" i="1"/>
  <c r="U1130" i="1"/>
  <c r="Y1130" i="1" s="1"/>
  <c r="V1130" i="1"/>
  <c r="W1130" i="1" s="1"/>
  <c r="Z1130" i="1"/>
  <c r="A1184" i="1"/>
  <c r="C1184" i="1"/>
  <c r="B1184" i="1" s="1"/>
  <c r="F1184" i="1"/>
  <c r="M1184" i="1"/>
  <c r="O1184" i="1"/>
  <c r="U1184" i="1"/>
  <c r="Y1184" i="1" s="1"/>
  <c r="V1184" i="1"/>
  <c r="W1184" i="1" s="1"/>
  <c r="Z1184" i="1"/>
  <c r="A1183" i="1"/>
  <c r="C1183" i="1"/>
  <c r="B1183" i="1" s="1"/>
  <c r="F1183" i="1"/>
  <c r="M1183" i="1"/>
  <c r="O1183" i="1"/>
  <c r="U1183" i="1"/>
  <c r="Y1183" i="1" s="1"/>
  <c r="V1183" i="1"/>
  <c r="W1183" i="1" s="1"/>
  <c r="Z1183" i="1"/>
  <c r="A1182" i="1"/>
  <c r="C1182" i="1"/>
  <c r="B1182" i="1" s="1"/>
  <c r="F1182" i="1"/>
  <c r="M1182" i="1"/>
  <c r="O1182" i="1"/>
  <c r="U1182" i="1"/>
  <c r="Y1182" i="1" s="1"/>
  <c r="V1182" i="1"/>
  <c r="W1182" i="1" s="1"/>
  <c r="Z1182" i="1"/>
  <c r="A1146" i="1"/>
  <c r="C1146" i="1"/>
  <c r="B1146" i="1" s="1"/>
  <c r="F1146" i="1"/>
  <c r="M1146" i="1"/>
  <c r="O1146" i="1"/>
  <c r="U1146" i="1"/>
  <c r="Y1146" i="1" s="1"/>
  <c r="V1146" i="1"/>
  <c r="W1146" i="1" s="1"/>
  <c r="Z1146" i="1"/>
  <c r="A1129" i="1"/>
  <c r="C1129" i="1"/>
  <c r="B1129" i="1" s="1"/>
  <c r="F1129" i="1"/>
  <c r="M1129" i="1"/>
  <c r="U1129" i="1"/>
  <c r="Y1129" i="1" s="1"/>
  <c r="V1129" i="1"/>
  <c r="W1129" i="1" s="1"/>
  <c r="Z1129" i="1"/>
  <c r="A1106" i="1"/>
  <c r="C1106" i="1"/>
  <c r="B1106" i="1" s="1"/>
  <c r="F1106" i="1"/>
  <c r="M1106" i="1"/>
  <c r="O1106" i="1"/>
  <c r="U1106" i="1"/>
  <c r="Y1106" i="1" s="1"/>
  <c r="V1106" i="1"/>
  <c r="W1106" i="1" s="1"/>
  <c r="Z1106" i="1"/>
  <c r="A1105" i="1"/>
  <c r="C1105" i="1"/>
  <c r="B1105" i="1" s="1"/>
  <c r="F1105" i="1"/>
  <c r="M1105" i="1"/>
  <c r="O1105" i="1"/>
  <c r="U1105" i="1"/>
  <c r="Y1105" i="1" s="1"/>
  <c r="V1105" i="1"/>
  <c r="W1105" i="1" s="1"/>
  <c r="Z1105" i="1"/>
  <c r="A1102" i="1"/>
  <c r="C1102" i="1"/>
  <c r="B1102" i="1" s="1"/>
  <c r="F1102" i="1"/>
  <c r="M1102" i="1"/>
  <c r="O1102" i="1"/>
  <c r="U1102" i="1"/>
  <c r="Y1102" i="1" s="1"/>
  <c r="V1102" i="1"/>
  <c r="W1102" i="1" s="1"/>
  <c r="Z1102" i="1"/>
  <c r="A1300" i="1"/>
  <c r="C1300" i="1"/>
  <c r="B1300" i="1" s="1"/>
  <c r="F1300" i="1"/>
  <c r="M1300" i="1"/>
  <c r="O1300" i="1"/>
  <c r="U1300" i="1"/>
  <c r="Y1300" i="1" s="1"/>
  <c r="V1300" i="1"/>
  <c r="W1300" i="1" s="1"/>
  <c r="Z1300" i="1"/>
  <c r="A1299" i="1"/>
  <c r="C1299" i="1"/>
  <c r="B1299" i="1" s="1"/>
  <c r="F1299" i="1"/>
  <c r="M1299" i="1"/>
  <c r="O1299" i="1"/>
  <c r="U1299" i="1"/>
  <c r="Y1299" i="1" s="1"/>
  <c r="V1299" i="1"/>
  <c r="W1299" i="1" s="1"/>
  <c r="Z1299" i="1"/>
  <c r="A1009" i="1"/>
  <c r="C1009" i="1"/>
  <c r="B1009" i="1" s="1"/>
  <c r="F1009" i="1"/>
  <c r="M1009" i="1"/>
  <c r="O1009" i="1"/>
  <c r="U1009" i="1"/>
  <c r="Y1009" i="1" s="1"/>
  <c r="V1009" i="1"/>
  <c r="W1009" i="1" s="1"/>
  <c r="Z1009" i="1"/>
  <c r="A95" i="1"/>
  <c r="C95" i="1"/>
  <c r="B95" i="1" s="1"/>
  <c r="F95" i="1"/>
  <c r="M95" i="1"/>
  <c r="O95" i="1"/>
  <c r="U95" i="1"/>
  <c r="Y95" i="1" s="1"/>
  <c r="V95" i="1"/>
  <c r="W95" i="1" s="1"/>
  <c r="Z95" i="1"/>
  <c r="A1206" i="1"/>
  <c r="C1206" i="1"/>
  <c r="B1206" i="1" s="1"/>
  <c r="F1206" i="1"/>
  <c r="M1206" i="1"/>
  <c r="O1206" i="1"/>
  <c r="U1206" i="1"/>
  <c r="V1206" i="1"/>
  <c r="W1206" i="1" s="1"/>
  <c r="Z1206" i="1"/>
  <c r="A976" i="1"/>
  <c r="C976" i="1"/>
  <c r="B976" i="1" s="1"/>
  <c r="F976" i="1"/>
  <c r="M976" i="1"/>
  <c r="O976" i="1"/>
  <c r="T976" i="1"/>
  <c r="U976" i="1"/>
  <c r="Y976" i="1" s="1"/>
  <c r="V976" i="1"/>
  <c r="W976" i="1" s="1"/>
  <c r="Z976" i="1"/>
  <c r="A1097" i="1"/>
  <c r="C1097" i="1"/>
  <c r="B1097" i="1" s="1"/>
  <c r="F1097" i="1"/>
  <c r="M1097" i="1"/>
  <c r="O1097" i="1"/>
  <c r="U1097" i="1"/>
  <c r="Y1097" i="1" s="1"/>
  <c r="V1097" i="1"/>
  <c r="W1097" i="1" s="1"/>
  <c r="Z1097" i="1"/>
  <c r="A1065" i="1"/>
  <c r="C1065" i="1"/>
  <c r="B1065" i="1" s="1"/>
  <c r="F1065" i="1"/>
  <c r="M1065" i="1"/>
  <c r="O1065" i="1"/>
  <c r="U1065" i="1"/>
  <c r="Y1065" i="1" s="1"/>
  <c r="V1065" i="1"/>
  <c r="W1065" i="1" s="1"/>
  <c r="Z1065" i="1"/>
  <c r="A1064" i="1"/>
  <c r="C1064" i="1"/>
  <c r="B1064" i="1" s="1"/>
  <c r="F1064" i="1"/>
  <c r="M1064" i="1"/>
  <c r="O1064" i="1"/>
  <c r="U1064" i="1"/>
  <c r="Y1064" i="1" s="1"/>
  <c r="V1064" i="1"/>
  <c r="W1064" i="1" s="1"/>
  <c r="Z1064" i="1"/>
  <c r="A1104" i="1"/>
  <c r="C1104" i="1"/>
  <c r="B1104" i="1" s="1"/>
  <c r="F1104" i="1"/>
  <c r="M1104" i="1"/>
  <c r="O1104" i="1"/>
  <c r="U1104" i="1"/>
  <c r="V1104" i="1"/>
  <c r="W1104" i="1" s="1"/>
  <c r="Z1104" i="1"/>
  <c r="A1142" i="1"/>
  <c r="C1142" i="1"/>
  <c r="B1142" i="1" s="1"/>
  <c r="F1142" i="1"/>
  <c r="M1142" i="1"/>
  <c r="O1142" i="1"/>
  <c r="U1142" i="1"/>
  <c r="Y1142" i="1" s="1"/>
  <c r="V1142" i="1"/>
  <c r="W1142" i="1" s="1"/>
  <c r="Z1142" i="1"/>
  <c r="P1100" i="1" l="1"/>
  <c r="P1196" i="1"/>
  <c r="P1292" i="1"/>
  <c r="P1173" i="1"/>
  <c r="P1252" i="1"/>
  <c r="R1325" i="1"/>
  <c r="R1420" i="1"/>
  <c r="R1127" i="1"/>
  <c r="Q1202" i="1"/>
  <c r="Q1055" i="1"/>
  <c r="Q1190" i="1"/>
  <c r="Q1092" i="1"/>
  <c r="R1410" i="1"/>
  <c r="D1410" i="1" s="1"/>
  <c r="R1124" i="1"/>
  <c r="R1170" i="1"/>
  <c r="Q1174" i="1"/>
  <c r="P1380" i="1"/>
  <c r="P1049" i="1"/>
  <c r="P1058" i="1"/>
  <c r="P1213" i="1"/>
  <c r="P1172" i="1"/>
  <c r="P1302" i="1"/>
  <c r="P1005" i="1"/>
  <c r="Q1264" i="1"/>
  <c r="Q1026" i="1"/>
  <c r="P1128" i="1"/>
  <c r="P1116" i="1"/>
  <c r="P1101" i="1"/>
  <c r="P1276" i="1"/>
  <c r="P1341" i="1"/>
  <c r="Q1056" i="1"/>
  <c r="R1122" i="1"/>
  <c r="R1125" i="1"/>
  <c r="Q1265" i="1"/>
  <c r="Q1090" i="1"/>
  <c r="R1123" i="1"/>
  <c r="Q1257" i="1"/>
  <c r="R1126" i="1"/>
  <c r="R1139" i="1"/>
  <c r="D1139" i="1" s="1"/>
  <c r="Q1098" i="1"/>
  <c r="Q1091" i="1"/>
  <c r="P1189" i="1"/>
  <c r="P1186" i="1"/>
  <c r="P1148" i="1"/>
  <c r="P1381" i="1"/>
  <c r="P1093" i="1"/>
  <c r="P1197" i="1"/>
  <c r="P1303" i="1"/>
  <c r="P1301" i="1"/>
  <c r="P1255" i="1"/>
  <c r="P1263" i="1"/>
  <c r="Q1057" i="1"/>
  <c r="Q1277" i="1"/>
  <c r="O15" i="16"/>
  <c r="D1186" i="1"/>
  <c r="D1314" i="1"/>
  <c r="D1313" i="1"/>
  <c r="D1248" i="1"/>
  <c r="D1223" i="1"/>
  <c r="D1224" i="1"/>
  <c r="D1221" i="1"/>
  <c r="D1222" i="1"/>
  <c r="D1220" i="1"/>
  <c r="D1219" i="1"/>
  <c r="D1216" i="1"/>
  <c r="D1218" i="1"/>
  <c r="D1217" i="1"/>
  <c r="D1176" i="1"/>
  <c r="D1177" i="1"/>
  <c r="D1178" i="1"/>
  <c r="D1179" i="1"/>
  <c r="D1140" i="1"/>
  <c r="D1175" i="1"/>
  <c r="N15" i="16"/>
  <c r="D1312" i="1"/>
  <c r="D1311" i="1"/>
  <c r="D1143" i="1"/>
  <c r="D1169" i="1"/>
  <c r="D1213" i="1"/>
  <c r="D1215" i="1"/>
  <c r="D1203" i="1"/>
  <c r="D1214" i="1"/>
  <c r="D1127" i="1"/>
  <c r="D1419" i="1"/>
  <c r="D1310" i="1"/>
  <c r="D1304" i="1"/>
  <c r="D1306" i="1"/>
  <c r="D1305" i="1"/>
  <c r="D1309" i="1"/>
  <c r="D1308" i="1"/>
  <c r="D1307" i="1"/>
  <c r="D1122" i="1"/>
  <c r="D1123" i="1"/>
  <c r="D1124" i="1"/>
  <c r="D1126" i="1"/>
  <c r="D1125" i="1"/>
  <c r="D1302" i="1"/>
  <c r="D1301" i="1"/>
  <c r="D1303" i="1"/>
  <c r="D1197" i="1"/>
  <c r="D1000" i="1"/>
  <c r="D999" i="1"/>
  <c r="D1101" i="1"/>
  <c r="T1153" i="1"/>
  <c r="P1089" i="1"/>
  <c r="T1185" i="1"/>
  <c r="D1100" i="1"/>
  <c r="D1093" i="1"/>
  <c r="T28" i="1"/>
  <c r="T1259" i="1"/>
  <c r="T1181" i="1"/>
  <c r="T1444" i="1"/>
  <c r="T1211" i="1"/>
  <c r="T1254" i="1"/>
  <c r="T1204" i="1"/>
  <c r="T1287" i="1"/>
  <c r="T1270" i="1"/>
  <c r="T1280" i="1"/>
  <c r="T1135" i="1"/>
  <c r="T1435" i="1"/>
  <c r="X1096" i="1"/>
  <c r="T1236" i="1"/>
  <c r="T1235" i="1"/>
  <c r="T1053" i="1"/>
  <c r="T1133" i="1"/>
  <c r="T1205" i="1"/>
  <c r="T1150" i="1"/>
  <c r="X28" i="1"/>
  <c r="T1258" i="1"/>
  <c r="X1150" i="1"/>
  <c r="X1270" i="1"/>
  <c r="X1254" i="1"/>
  <c r="T1191" i="1"/>
  <c r="T1262" i="1"/>
  <c r="T1141" i="1"/>
  <c r="X1191" i="1"/>
  <c r="X1444" i="1"/>
  <c r="X1235" i="1"/>
  <c r="X1204" i="1"/>
  <c r="X1141" i="1"/>
  <c r="X1054" i="1"/>
  <c r="X1031" i="1"/>
  <c r="X1287" i="1"/>
  <c r="T1434" i="1"/>
  <c r="T1171" i="1"/>
  <c r="T1134" i="1"/>
  <c r="T1288" i="1"/>
  <c r="X1181" i="1"/>
  <c r="X1258" i="1"/>
  <c r="X1262" i="1"/>
  <c r="X1133" i="1"/>
  <c r="X1134" i="1"/>
  <c r="X1280" i="1"/>
  <c r="X1153" i="1"/>
  <c r="X1185" i="1"/>
  <c r="X1288" i="1"/>
  <c r="X1053" i="1"/>
  <c r="X1251" i="1"/>
  <c r="T1251" i="1"/>
  <c r="Y1251" i="1"/>
  <c r="X1236" i="1"/>
  <c r="X1211" i="1"/>
  <c r="X1135" i="1"/>
  <c r="X1171" i="1"/>
  <c r="X966" i="1"/>
  <c r="X1048" i="1"/>
  <c r="X1434" i="1"/>
  <c r="X1435" i="1"/>
  <c r="X1205" i="1"/>
  <c r="T1194" i="1"/>
  <c r="X1084" i="1"/>
  <c r="X1194" i="1"/>
  <c r="T1073" i="1"/>
  <c r="T1074" i="1"/>
  <c r="X1259" i="1"/>
  <c r="T1136" i="1"/>
  <c r="X1074" i="1"/>
  <c r="T1077" i="1"/>
  <c r="T1078" i="1"/>
  <c r="X1075" i="1"/>
  <c r="X1076" i="1"/>
  <c r="X1073" i="1"/>
  <c r="T1075" i="1"/>
  <c r="T1076" i="1"/>
  <c r="X1078" i="1"/>
  <c r="X1077" i="1"/>
  <c r="X1066" i="1"/>
  <c r="X1068" i="1"/>
  <c r="X965" i="1"/>
  <c r="X1136" i="1"/>
  <c r="X1028" i="1"/>
  <c r="X1047" i="1"/>
  <c r="X1040" i="1"/>
  <c r="T1035" i="1"/>
  <c r="X1035" i="1"/>
  <c r="X1034" i="1"/>
  <c r="X1046" i="1"/>
  <c r="X1037" i="1"/>
  <c r="T1044" i="1"/>
  <c r="X1045" i="1"/>
  <c r="X1038" i="1"/>
  <c r="X1044" i="1"/>
  <c r="X1043" i="1"/>
  <c r="X1042" i="1"/>
  <c r="X1041" i="1"/>
  <c r="X1033" i="1"/>
  <c r="L12" i="16"/>
  <c r="T1274" i="1"/>
  <c r="T1072" i="1"/>
  <c r="T1417" i="1"/>
  <c r="X997" i="1"/>
  <c r="X998" i="1"/>
  <c r="L13" i="16"/>
  <c r="X1000" i="1"/>
  <c r="Y1000" i="1"/>
  <c r="X999" i="1"/>
  <c r="X996" i="1"/>
  <c r="T1152" i="1"/>
  <c r="T997" i="1"/>
  <c r="T996" i="1"/>
  <c r="T1193" i="1"/>
  <c r="X1072" i="1"/>
  <c r="X1071" i="1"/>
  <c r="T1071" i="1"/>
  <c r="T1121" i="1"/>
  <c r="X1274" i="1"/>
  <c r="X1193" i="1"/>
  <c r="T1132" i="1"/>
  <c r="X1132" i="1"/>
  <c r="X1137" i="1"/>
  <c r="Y1137" i="1"/>
  <c r="Y1132" i="1"/>
  <c r="T1137" i="1"/>
  <c r="T1275" i="1"/>
  <c r="X1275" i="1"/>
  <c r="X1121" i="1"/>
  <c r="X1027" i="1"/>
  <c r="Y1027" i="1"/>
  <c r="X1152" i="1"/>
  <c r="X1417" i="1"/>
  <c r="Y1417" i="1"/>
  <c r="T1151" i="1"/>
  <c r="X1151" i="1"/>
  <c r="T1099" i="1"/>
  <c r="X1099" i="1"/>
  <c r="T1118" i="1"/>
  <c r="T1261" i="1"/>
  <c r="T1106" i="1"/>
  <c r="T1103" i="1"/>
  <c r="T1285" i="1"/>
  <c r="T1009" i="1"/>
  <c r="T1088" i="1"/>
  <c r="T1111" i="1"/>
  <c r="T1117" i="1"/>
  <c r="X1118" i="1"/>
  <c r="X1117" i="1"/>
  <c r="T1300" i="1"/>
  <c r="X1088" i="1"/>
  <c r="T1087" i="1"/>
  <c r="X1087" i="1"/>
  <c r="T1192" i="1"/>
  <c r="X1192" i="1"/>
  <c r="X1285" i="1"/>
  <c r="R1285" i="1"/>
  <c r="T1115" i="1"/>
  <c r="X1115" i="1"/>
  <c r="T1113" i="1"/>
  <c r="X1113" i="1"/>
  <c r="T1108" i="1"/>
  <c r="X1108" i="1"/>
  <c r="X1261" i="1"/>
  <c r="X1130" i="1"/>
  <c r="X1103" i="1"/>
  <c r="X1111" i="1"/>
  <c r="T1433" i="1"/>
  <c r="X1433" i="1"/>
  <c r="T1260" i="1"/>
  <c r="X1260" i="1"/>
  <c r="T1130" i="1"/>
  <c r="T1299" i="1"/>
  <c r="T1184" i="1"/>
  <c r="X1184" i="1"/>
  <c r="R1184" i="1"/>
  <c r="T1183" i="1"/>
  <c r="X1183" i="1"/>
  <c r="T1182" i="1"/>
  <c r="X1182" i="1"/>
  <c r="X1146" i="1"/>
  <c r="T1146" i="1"/>
  <c r="T1129" i="1"/>
  <c r="X1129" i="1"/>
  <c r="X1300" i="1"/>
  <c r="X95" i="1"/>
  <c r="X1009" i="1"/>
  <c r="X1105" i="1"/>
  <c r="X1299" i="1"/>
  <c r="P1299" i="1" s="1"/>
  <c r="X1106" i="1"/>
  <c r="T1105" i="1"/>
  <c r="T1102" i="1"/>
  <c r="X1102" i="1"/>
  <c r="T95" i="1"/>
  <c r="X1206" i="1"/>
  <c r="T1206" i="1"/>
  <c r="Y1206" i="1"/>
  <c r="X976" i="1"/>
  <c r="X1065" i="1"/>
  <c r="T1097" i="1"/>
  <c r="X1097" i="1"/>
  <c r="X1104" i="1"/>
  <c r="T1065" i="1"/>
  <c r="T1142" i="1"/>
  <c r="X1064" i="1"/>
  <c r="T1064" i="1"/>
  <c r="Y1104" i="1"/>
  <c r="T1104" i="1"/>
  <c r="X1142" i="1"/>
  <c r="A995" i="1"/>
  <c r="C995" i="1"/>
  <c r="B995" i="1" s="1"/>
  <c r="F995" i="1"/>
  <c r="M995" i="1"/>
  <c r="O995" i="1"/>
  <c r="T995" i="1"/>
  <c r="U995" i="1"/>
  <c r="V995" i="1"/>
  <c r="W995" i="1" s="1"/>
  <c r="Z995" i="1"/>
  <c r="A984" i="1"/>
  <c r="C984" i="1"/>
  <c r="B984" i="1" s="1"/>
  <c r="F984" i="1"/>
  <c r="M984" i="1"/>
  <c r="O984" i="1"/>
  <c r="T984" i="1"/>
  <c r="U984" i="1"/>
  <c r="Y984" i="1" s="1"/>
  <c r="V984" i="1"/>
  <c r="W984" i="1" s="1"/>
  <c r="Z984" i="1"/>
  <c r="A1083" i="1"/>
  <c r="C1083" i="1"/>
  <c r="B1083" i="1" s="1"/>
  <c r="F1083" i="1"/>
  <c r="M1083" i="1"/>
  <c r="O1083" i="1"/>
  <c r="U1083" i="1"/>
  <c r="Y1083" i="1" s="1"/>
  <c r="V1083" i="1"/>
  <c r="W1083" i="1" s="1"/>
  <c r="Z1083" i="1"/>
  <c r="A989" i="1"/>
  <c r="C989" i="1"/>
  <c r="B989" i="1" s="1"/>
  <c r="F989" i="1"/>
  <c r="M989" i="1"/>
  <c r="O989" i="1"/>
  <c r="S989" i="1"/>
  <c r="T989" i="1"/>
  <c r="U989" i="1"/>
  <c r="Y989" i="1" s="1"/>
  <c r="V989" i="1"/>
  <c r="W989" i="1" s="1"/>
  <c r="Z989" i="1"/>
  <c r="A993" i="1"/>
  <c r="C993" i="1"/>
  <c r="B993" i="1" s="1"/>
  <c r="F993" i="1"/>
  <c r="M993" i="1"/>
  <c r="O993" i="1"/>
  <c r="S993" i="1"/>
  <c r="T993" i="1"/>
  <c r="U993" i="1"/>
  <c r="Y993" i="1" s="1"/>
  <c r="V993" i="1"/>
  <c r="W993" i="1" s="1"/>
  <c r="Z993" i="1"/>
  <c r="A992" i="1"/>
  <c r="C992" i="1"/>
  <c r="B992" i="1" s="1"/>
  <c r="F992" i="1"/>
  <c r="M992" i="1"/>
  <c r="O992" i="1"/>
  <c r="S992" i="1"/>
  <c r="T992" i="1"/>
  <c r="U992" i="1"/>
  <c r="Y992" i="1" s="1"/>
  <c r="V992" i="1"/>
  <c r="W992" i="1" s="1"/>
  <c r="Z992" i="1"/>
  <c r="A991" i="1"/>
  <c r="C991" i="1"/>
  <c r="B991" i="1" s="1"/>
  <c r="F991" i="1"/>
  <c r="M991" i="1"/>
  <c r="O991" i="1"/>
  <c r="S991" i="1"/>
  <c r="T991" i="1"/>
  <c r="U991" i="1"/>
  <c r="V991" i="1"/>
  <c r="W991" i="1" s="1"/>
  <c r="Z991" i="1"/>
  <c r="A990" i="1"/>
  <c r="C990" i="1"/>
  <c r="B990" i="1" s="1"/>
  <c r="F990" i="1"/>
  <c r="M990" i="1"/>
  <c r="O990" i="1"/>
  <c r="S990" i="1"/>
  <c r="T990" i="1"/>
  <c r="U990" i="1"/>
  <c r="V990" i="1"/>
  <c r="W990" i="1" s="1"/>
  <c r="Z990" i="1"/>
  <c r="A985" i="1"/>
  <c r="C985" i="1"/>
  <c r="B985" i="1" s="1"/>
  <c r="D985" i="1"/>
  <c r="F985" i="1"/>
  <c r="M985" i="1"/>
  <c r="O985" i="1"/>
  <c r="S985" i="1"/>
  <c r="T985" i="1"/>
  <c r="U985" i="1"/>
  <c r="Y985" i="1" s="1"/>
  <c r="V985" i="1"/>
  <c r="W985" i="1" s="1"/>
  <c r="Z985" i="1"/>
  <c r="A994" i="1"/>
  <c r="C994" i="1"/>
  <c r="B994" i="1" s="1"/>
  <c r="F994" i="1"/>
  <c r="M994" i="1"/>
  <c r="O994" i="1"/>
  <c r="T994" i="1"/>
  <c r="U994" i="1"/>
  <c r="Y994" i="1" s="1"/>
  <c r="V994" i="1"/>
  <c r="W994" i="1" s="1"/>
  <c r="Z994" i="1"/>
  <c r="A972" i="1"/>
  <c r="C972" i="1"/>
  <c r="B972" i="1" s="1"/>
  <c r="F972" i="1"/>
  <c r="M972" i="1"/>
  <c r="O972" i="1"/>
  <c r="T972" i="1"/>
  <c r="U972" i="1"/>
  <c r="Y972" i="1" s="1"/>
  <c r="V972" i="1"/>
  <c r="W972" i="1" s="1"/>
  <c r="Z972" i="1"/>
  <c r="A971" i="1"/>
  <c r="C971" i="1"/>
  <c r="B971" i="1" s="1"/>
  <c r="F971" i="1"/>
  <c r="M971" i="1"/>
  <c r="O971" i="1"/>
  <c r="U971" i="1"/>
  <c r="Y971" i="1" s="1"/>
  <c r="V971" i="1"/>
  <c r="W971" i="1" s="1"/>
  <c r="Z971" i="1"/>
  <c r="P996" i="1" l="1"/>
  <c r="Q996" i="1" s="1"/>
  <c r="P1047" i="1"/>
  <c r="P1048" i="1"/>
  <c r="Q1048" i="1" s="1"/>
  <c r="P1105" i="1"/>
  <c r="P1129" i="1"/>
  <c r="P1285" i="1"/>
  <c r="P1275" i="1"/>
  <c r="P1193" i="1"/>
  <c r="P1035" i="1"/>
  <c r="P1066" i="1"/>
  <c r="P1259" i="1"/>
  <c r="P1084" i="1"/>
  <c r="P1135" i="1"/>
  <c r="P1185" i="1"/>
  <c r="P1133" i="1"/>
  <c r="P1287" i="1"/>
  <c r="P1204" i="1"/>
  <c r="P1270" i="1"/>
  <c r="R1057" i="1"/>
  <c r="D1057" i="1" s="1"/>
  <c r="Q1255" i="1"/>
  <c r="Q1303" i="1"/>
  <c r="Q1093" i="1"/>
  <c r="Q1148" i="1"/>
  <c r="Q1189" i="1"/>
  <c r="R1098" i="1"/>
  <c r="R1265" i="1"/>
  <c r="Q1341" i="1"/>
  <c r="Q1101" i="1"/>
  <c r="Q1128" i="1"/>
  <c r="R1264" i="1"/>
  <c r="Q1302" i="1"/>
  <c r="Q1213" i="1"/>
  <c r="Q1049" i="1"/>
  <c r="R1190" i="1"/>
  <c r="R1202" i="1"/>
  <c r="Q1252" i="1"/>
  <c r="Q1292" i="1"/>
  <c r="Q1100" i="1"/>
  <c r="P1142" i="1"/>
  <c r="P1064" i="1"/>
  <c r="P1097" i="1"/>
  <c r="P1102" i="1"/>
  <c r="Q1299" i="1"/>
  <c r="P1300" i="1"/>
  <c r="P1146" i="1"/>
  <c r="P1433" i="1"/>
  <c r="P1130" i="1"/>
  <c r="P1113" i="1"/>
  <c r="P1087" i="1"/>
  <c r="P1117" i="1"/>
  <c r="P1417" i="1"/>
  <c r="P1121" i="1"/>
  <c r="P999" i="1"/>
  <c r="P998" i="1"/>
  <c r="P1042" i="1"/>
  <c r="P1045" i="1"/>
  <c r="Q1034" i="1"/>
  <c r="P1068" i="1"/>
  <c r="P1075" i="1"/>
  <c r="P1194" i="1"/>
  <c r="P1435" i="1"/>
  <c r="P1171" i="1"/>
  <c r="P1288" i="1"/>
  <c r="P1134" i="1"/>
  <c r="P1181" i="1"/>
  <c r="P1141" i="1"/>
  <c r="P1191" i="1"/>
  <c r="P1254" i="1"/>
  <c r="P28" i="1"/>
  <c r="P1182" i="1"/>
  <c r="P1261" i="1"/>
  <c r="P1118" i="1"/>
  <c r="P1151" i="1"/>
  <c r="P1152" i="1"/>
  <c r="P1071" i="1"/>
  <c r="P997" i="1"/>
  <c r="P1043" i="1"/>
  <c r="P1028" i="1"/>
  <c r="P1434" i="1"/>
  <c r="P1065" i="1"/>
  <c r="P1009" i="1"/>
  <c r="P1184" i="1"/>
  <c r="P1260" i="1"/>
  <c r="P1111" i="1"/>
  <c r="P1108" i="1"/>
  <c r="P1115" i="1"/>
  <c r="P1192" i="1"/>
  <c r="P1088" i="1"/>
  <c r="P1274" i="1"/>
  <c r="P1072" i="1"/>
  <c r="Q1033" i="1"/>
  <c r="P1044" i="1"/>
  <c r="P1037" i="1"/>
  <c r="P1136" i="1"/>
  <c r="P1077" i="1"/>
  <c r="P1073" i="1"/>
  <c r="P1211" i="1"/>
  <c r="P1153" i="1"/>
  <c r="P1262" i="1"/>
  <c r="P1031" i="1"/>
  <c r="P1235" i="1"/>
  <c r="P1150" i="1"/>
  <c r="P1104" i="1"/>
  <c r="P976" i="1"/>
  <c r="P1106" i="1"/>
  <c r="P95" i="1"/>
  <c r="P1183" i="1"/>
  <c r="P1103" i="1"/>
  <c r="P1099" i="1"/>
  <c r="P1041" i="1"/>
  <c r="P1038" i="1"/>
  <c r="P1046" i="1"/>
  <c r="P1040" i="1"/>
  <c r="P965" i="1"/>
  <c r="P1078" i="1"/>
  <c r="P1076" i="1"/>
  <c r="P1074" i="1"/>
  <c r="P1205" i="1"/>
  <c r="P966" i="1"/>
  <c r="P1236" i="1"/>
  <c r="P1053" i="1"/>
  <c r="P1280" i="1"/>
  <c r="P1258" i="1"/>
  <c r="P1054" i="1"/>
  <c r="P1444" i="1"/>
  <c r="P1096" i="1"/>
  <c r="Q1089" i="1"/>
  <c r="R1277" i="1"/>
  <c r="Q1263" i="1"/>
  <c r="Q1301" i="1"/>
  <c r="Q1197" i="1"/>
  <c r="Q1381" i="1"/>
  <c r="Q1186" i="1"/>
  <c r="R1091" i="1"/>
  <c r="R1257" i="1"/>
  <c r="D1257" i="1" s="1"/>
  <c r="R1090" i="1"/>
  <c r="R1056" i="1"/>
  <c r="Q1276" i="1"/>
  <c r="Q1116" i="1"/>
  <c r="R1026" i="1"/>
  <c r="D1026" i="1" s="1"/>
  <c r="Q1005" i="1"/>
  <c r="Q1172" i="1"/>
  <c r="Q1058" i="1"/>
  <c r="Q1380" i="1"/>
  <c r="R1174" i="1"/>
  <c r="D1174" i="1" s="1"/>
  <c r="R1092" i="1"/>
  <c r="R1055" i="1"/>
  <c r="Q1173" i="1"/>
  <c r="Q1196" i="1"/>
  <c r="D1444" i="1"/>
  <c r="D1336" i="1"/>
  <c r="D1190" i="1"/>
  <c r="D1418" i="1"/>
  <c r="D1268" i="1"/>
  <c r="D1267" i="1"/>
  <c r="D1266" i="1"/>
  <c r="D1254" i="1"/>
  <c r="D1256" i="1"/>
  <c r="D1381" i="1"/>
  <c r="D1422" i="1"/>
  <c r="D1173" i="1"/>
  <c r="D1170" i="1"/>
  <c r="D1191" i="1"/>
  <c r="D1276" i="1"/>
  <c r="D1172" i="1"/>
  <c r="D1128" i="1"/>
  <c r="D1049" i="1"/>
  <c r="D95" i="1"/>
  <c r="D1380" i="1"/>
  <c r="D1196" i="1"/>
  <c r="D1417" i="1"/>
  <c r="D1189" i="1"/>
  <c r="D1287" i="1"/>
  <c r="D1235" i="1"/>
  <c r="D1181" i="1"/>
  <c r="D1133" i="1"/>
  <c r="D1153" i="1"/>
  <c r="D1135" i="1"/>
  <c r="D1134" i="1"/>
  <c r="D1288" i="1"/>
  <c r="P1251" i="1"/>
  <c r="Q1251" i="1" s="1"/>
  <c r="D1171" i="1"/>
  <c r="D1136" i="1"/>
  <c r="D1205" i="1"/>
  <c r="D1194" i="1"/>
  <c r="D1033" i="1"/>
  <c r="D1034" i="1"/>
  <c r="D1044" i="1"/>
  <c r="D1043" i="1"/>
  <c r="D1041" i="1"/>
  <c r="D1042" i="1"/>
  <c r="D993" i="1"/>
  <c r="D990" i="1"/>
  <c r="D991" i="1"/>
  <c r="D992" i="1"/>
  <c r="P1000" i="1"/>
  <c r="D996" i="1"/>
  <c r="D997" i="1"/>
  <c r="D1275" i="1"/>
  <c r="D1274" i="1"/>
  <c r="P1132" i="1"/>
  <c r="P1137" i="1"/>
  <c r="P1027" i="1"/>
  <c r="D1103" i="1"/>
  <c r="D1184" i="1"/>
  <c r="D1182" i="1"/>
  <c r="D1183" i="1"/>
  <c r="D1146" i="1"/>
  <c r="D1102" i="1"/>
  <c r="D1104" i="1"/>
  <c r="D1299" i="1"/>
  <c r="D1300" i="1"/>
  <c r="P1206" i="1"/>
  <c r="T1083" i="1"/>
  <c r="X995" i="1"/>
  <c r="Y995" i="1"/>
  <c r="X992" i="1"/>
  <c r="X1083" i="1"/>
  <c r="X984" i="1"/>
  <c r="X989" i="1"/>
  <c r="X990" i="1"/>
  <c r="X993" i="1"/>
  <c r="X991" i="1"/>
  <c r="Y991" i="1"/>
  <c r="Y990" i="1"/>
  <c r="X985" i="1"/>
  <c r="X994" i="1"/>
  <c r="X972" i="1"/>
  <c r="T971" i="1"/>
  <c r="X971" i="1"/>
  <c r="A1012" i="1"/>
  <c r="C1012" i="1"/>
  <c r="B1012" i="1" s="1"/>
  <c r="F1012" i="1"/>
  <c r="M1012" i="1"/>
  <c r="O1012" i="1"/>
  <c r="U1012" i="1"/>
  <c r="Y1012" i="1" s="1"/>
  <c r="V1012" i="1"/>
  <c r="W1012" i="1" s="1"/>
  <c r="Z1012" i="1"/>
  <c r="E1236" i="6"/>
  <c r="F1236" i="6"/>
  <c r="I1236" i="6"/>
  <c r="J1236" i="6"/>
  <c r="E1232" i="6"/>
  <c r="E1233" i="6"/>
  <c r="E1238" i="6"/>
  <c r="E1237" i="6"/>
  <c r="E1234" i="6"/>
  <c r="E1235" i="6"/>
  <c r="F1232" i="6"/>
  <c r="F1233" i="6"/>
  <c r="F1238" i="6"/>
  <c r="F1237" i="6"/>
  <c r="I1232" i="6"/>
  <c r="I1233" i="6"/>
  <c r="I1238" i="6"/>
  <c r="I1237" i="6"/>
  <c r="I1234" i="6"/>
  <c r="I1235" i="6"/>
  <c r="J1232" i="6"/>
  <c r="J1233" i="6"/>
  <c r="J1238" i="6"/>
  <c r="J1237" i="6"/>
  <c r="J1234" i="6"/>
  <c r="J1235" i="6"/>
  <c r="A1284" i="1"/>
  <c r="C1284" i="1"/>
  <c r="B1284" i="1" s="1"/>
  <c r="F1284" i="1"/>
  <c r="M1284" i="1"/>
  <c r="O1284" i="1"/>
  <c r="U1284" i="1"/>
  <c r="Y1284" i="1" s="1"/>
  <c r="V1284" i="1"/>
  <c r="W1284" i="1" s="1"/>
  <c r="Z1284" i="1"/>
  <c r="A1109" i="1"/>
  <c r="C1109" i="1"/>
  <c r="B1109" i="1" s="1"/>
  <c r="F1109" i="1"/>
  <c r="M1109" i="1"/>
  <c r="O1109" i="1"/>
  <c r="U1109" i="1"/>
  <c r="Y1109" i="1" s="1"/>
  <c r="V1109" i="1"/>
  <c r="W1109" i="1" s="1"/>
  <c r="Z1109" i="1"/>
  <c r="A945" i="1"/>
  <c r="C945" i="1"/>
  <c r="B945" i="1" s="1"/>
  <c r="F945" i="1"/>
  <c r="M945" i="1"/>
  <c r="O945" i="1"/>
  <c r="T945" i="1"/>
  <c r="U945" i="1"/>
  <c r="Y945" i="1" s="1"/>
  <c r="V945" i="1"/>
  <c r="W945" i="1" s="1"/>
  <c r="Z945" i="1"/>
  <c r="A923" i="1"/>
  <c r="C923" i="1"/>
  <c r="B923" i="1" s="1"/>
  <c r="F923" i="1"/>
  <c r="M923" i="1"/>
  <c r="O923" i="1"/>
  <c r="S923" i="1"/>
  <c r="T923" i="1"/>
  <c r="U923" i="1"/>
  <c r="Y923" i="1" s="1"/>
  <c r="V923" i="1"/>
  <c r="W923" i="1" s="1"/>
  <c r="Z923" i="1"/>
  <c r="A1051" i="1"/>
  <c r="C1051" i="1"/>
  <c r="B1051" i="1" s="1"/>
  <c r="F1051" i="1"/>
  <c r="M1051" i="1"/>
  <c r="O1051" i="1"/>
  <c r="U1051" i="1"/>
  <c r="Y1051" i="1" s="1"/>
  <c r="V1051" i="1"/>
  <c r="W1051" i="1" s="1"/>
  <c r="Z1051" i="1"/>
  <c r="A922" i="1"/>
  <c r="C922" i="1"/>
  <c r="B922" i="1" s="1"/>
  <c r="F922" i="1"/>
  <c r="M922" i="1"/>
  <c r="O922" i="1"/>
  <c r="T922" i="1"/>
  <c r="U922" i="1"/>
  <c r="Y922" i="1" s="1"/>
  <c r="V922" i="1"/>
  <c r="W922" i="1" s="1"/>
  <c r="Z922" i="1"/>
  <c r="A1021" i="1"/>
  <c r="C1021" i="1"/>
  <c r="B1021" i="1" s="1"/>
  <c r="F1021" i="1"/>
  <c r="M1021" i="1"/>
  <c r="O1021" i="1"/>
  <c r="U1021" i="1"/>
  <c r="Y1021" i="1" s="1"/>
  <c r="V1021" i="1"/>
  <c r="W1021" i="1" s="1"/>
  <c r="Z1021" i="1"/>
  <c r="A1119" i="1"/>
  <c r="C1119" i="1"/>
  <c r="B1119" i="1" s="1"/>
  <c r="F1119" i="1"/>
  <c r="M1119" i="1"/>
  <c r="O1119" i="1"/>
  <c r="U1119" i="1"/>
  <c r="Y1119" i="1" s="1"/>
  <c r="V1119" i="1"/>
  <c r="W1119" i="1" s="1"/>
  <c r="Z1119" i="1"/>
  <c r="A1112" i="1"/>
  <c r="C1112" i="1"/>
  <c r="B1112" i="1" s="1"/>
  <c r="F1112" i="1"/>
  <c r="M1112" i="1"/>
  <c r="O1112" i="1"/>
  <c r="U1112" i="1"/>
  <c r="Y1112" i="1" s="1"/>
  <c r="V1112" i="1"/>
  <c r="W1112" i="1" s="1"/>
  <c r="Z1112" i="1"/>
  <c r="A2271" i="1"/>
  <c r="C2271" i="1"/>
  <c r="B2271" i="1" s="1"/>
  <c r="F2271" i="1"/>
  <c r="M2271" i="1"/>
  <c r="O2271" i="1"/>
  <c r="U2271" i="1"/>
  <c r="Y2271" i="1" s="1"/>
  <c r="V2271" i="1"/>
  <c r="W2271" i="1" s="1"/>
  <c r="Z2271" i="1"/>
  <c r="A1120" i="1"/>
  <c r="C1120" i="1"/>
  <c r="B1120" i="1" s="1"/>
  <c r="F1120" i="1"/>
  <c r="M1120" i="1"/>
  <c r="O1120" i="1"/>
  <c r="U1120" i="1"/>
  <c r="Y1120" i="1" s="1"/>
  <c r="V1120" i="1"/>
  <c r="W1120" i="1" s="1"/>
  <c r="Z1120" i="1"/>
  <c r="A964" i="1"/>
  <c r="C964" i="1"/>
  <c r="B964" i="1" s="1"/>
  <c r="F964" i="1"/>
  <c r="U964" i="1"/>
  <c r="Y964" i="1" s="1"/>
  <c r="V964" i="1"/>
  <c r="W964" i="1" s="1"/>
  <c r="Z964" i="1"/>
  <c r="E1194" i="6"/>
  <c r="F1194" i="6"/>
  <c r="I1194" i="6"/>
  <c r="J1194" i="6"/>
  <c r="A963" i="1"/>
  <c r="C963" i="1"/>
  <c r="B963" i="1" s="1"/>
  <c r="F963" i="1"/>
  <c r="M963" i="1"/>
  <c r="O963" i="1"/>
  <c r="T963" i="1"/>
  <c r="U963" i="1"/>
  <c r="Y963" i="1" s="1"/>
  <c r="V963" i="1"/>
  <c r="W963" i="1" s="1"/>
  <c r="Z963" i="1"/>
  <c r="A962" i="1"/>
  <c r="C962" i="1"/>
  <c r="B962" i="1" s="1"/>
  <c r="F962" i="1"/>
  <c r="M962" i="1"/>
  <c r="O962" i="1"/>
  <c r="U962" i="1"/>
  <c r="Y962" i="1" s="1"/>
  <c r="V962" i="1"/>
  <c r="W962" i="1" s="1"/>
  <c r="Z962" i="1"/>
  <c r="A961" i="1"/>
  <c r="C961" i="1"/>
  <c r="B961" i="1" s="1"/>
  <c r="F961" i="1"/>
  <c r="M961" i="1"/>
  <c r="O961" i="1"/>
  <c r="U961" i="1"/>
  <c r="Y961" i="1" s="1"/>
  <c r="V961" i="1"/>
  <c r="W961" i="1" s="1"/>
  <c r="Z961" i="1"/>
  <c r="K19" i="16"/>
  <c r="J19" i="16"/>
  <c r="I19" i="16"/>
  <c r="D19" i="16"/>
  <c r="C19" i="16"/>
  <c r="B19" i="16"/>
  <c r="E11" i="16"/>
  <c r="D11" i="16"/>
  <c r="C11" i="16"/>
  <c r="B11" i="16"/>
  <c r="I23" i="15"/>
  <c r="I2" i="15"/>
  <c r="I3" i="15"/>
  <c r="I4" i="15"/>
  <c r="I6" i="15"/>
  <c r="I7" i="15"/>
  <c r="I9" i="15"/>
  <c r="I10" i="15"/>
  <c r="I11" i="15"/>
  <c r="I13" i="15"/>
  <c r="I14" i="15"/>
  <c r="I15" i="15"/>
  <c r="I16" i="15"/>
  <c r="I17" i="15"/>
  <c r="I18" i="15"/>
  <c r="I19" i="15"/>
  <c r="I20" i="15"/>
  <c r="I21" i="15"/>
  <c r="I22" i="15"/>
  <c r="I25" i="15"/>
  <c r="I26" i="15"/>
  <c r="I27" i="15"/>
  <c r="I28" i="15"/>
  <c r="I29" i="15"/>
  <c r="I30" i="15"/>
  <c r="I31" i="15"/>
  <c r="I32" i="15"/>
  <c r="I34" i="15"/>
  <c r="I37" i="15"/>
  <c r="I40" i="15"/>
  <c r="I41" i="15"/>
  <c r="I42" i="15"/>
  <c r="I43" i="15"/>
  <c r="I45" i="15"/>
  <c r="I46" i="15"/>
  <c r="I47" i="15"/>
  <c r="I49" i="15"/>
  <c r="I50" i="15"/>
  <c r="I51" i="15"/>
  <c r="I52" i="15"/>
  <c r="I53" i="15"/>
  <c r="I54" i="15"/>
  <c r="I56" i="15"/>
  <c r="I57" i="15"/>
  <c r="I58" i="15"/>
  <c r="H6" i="15"/>
  <c r="K2" i="15"/>
  <c r="K54" i="15"/>
  <c r="K53" i="15"/>
  <c r="K52" i="15"/>
  <c r="K51" i="15"/>
  <c r="K50" i="15"/>
  <c r="K49" i="15"/>
  <c r="K47" i="15"/>
  <c r="K46" i="15"/>
  <c r="K45" i="15"/>
  <c r="K43" i="15"/>
  <c r="K42" i="15"/>
  <c r="K41" i="15"/>
  <c r="K40" i="15"/>
  <c r="K32" i="15"/>
  <c r="K31" i="15"/>
  <c r="K30" i="15"/>
  <c r="K29" i="15"/>
  <c r="K28" i="15"/>
  <c r="K27" i="15"/>
  <c r="K26" i="15"/>
  <c r="K25" i="15"/>
  <c r="K23" i="15"/>
  <c r="K22" i="15"/>
  <c r="K21" i="15"/>
  <c r="K20" i="15"/>
  <c r="K19" i="15"/>
  <c r="K18" i="15"/>
  <c r="K17" i="15"/>
  <c r="K16" i="15"/>
  <c r="K15" i="15"/>
  <c r="K14" i="15"/>
  <c r="K13" i="15"/>
  <c r="K11" i="15"/>
  <c r="K10" i="15"/>
  <c r="K9" i="15"/>
  <c r="K7" i="15"/>
  <c r="K6" i="15"/>
  <c r="K4" i="15"/>
  <c r="K3" i="15"/>
  <c r="C1219" i="6"/>
  <c r="I1219" i="6" s="1"/>
  <c r="C1218" i="6"/>
  <c r="E1218" i="6" s="1"/>
  <c r="C1217" i="6"/>
  <c r="E1217" i="6" s="1"/>
  <c r="C1216" i="6"/>
  <c r="C1223" i="6"/>
  <c r="F1682" i="6" s="1"/>
  <c r="C1224" i="6"/>
  <c r="F1684" i="6" s="1"/>
  <c r="C1225" i="6"/>
  <c r="F1686" i="6" s="1"/>
  <c r="E1215" i="6"/>
  <c r="I1215" i="6"/>
  <c r="J1215" i="6"/>
  <c r="F1681" i="6" l="1"/>
  <c r="X56" i="15"/>
  <c r="W34" i="15"/>
  <c r="X34" i="15"/>
  <c r="F1685" i="6"/>
  <c r="X58" i="15"/>
  <c r="F1683" i="6"/>
  <c r="X57" i="15"/>
  <c r="Q1047" i="1"/>
  <c r="R1047" i="1" s="1"/>
  <c r="D1047" i="1" s="1"/>
  <c r="Q1137" i="1"/>
  <c r="P992" i="1"/>
  <c r="Q1206" i="1"/>
  <c r="Q1132" i="1"/>
  <c r="R1251" i="1"/>
  <c r="D1253" i="1" s="1"/>
  <c r="Q1150" i="1"/>
  <c r="Q1031" i="1"/>
  <c r="Q1153" i="1"/>
  <c r="Q1072" i="1"/>
  <c r="Q28" i="1"/>
  <c r="Q1191" i="1"/>
  <c r="Q1181" i="1"/>
  <c r="Q1288" i="1"/>
  <c r="Q1435" i="1"/>
  <c r="Q1075" i="1"/>
  <c r="Q1045" i="1"/>
  <c r="Q998" i="1"/>
  <c r="Q1121" i="1"/>
  <c r="Q1117" i="1"/>
  <c r="Q1113" i="1"/>
  <c r="Q1433" i="1"/>
  <c r="Q1300" i="1"/>
  <c r="Q1102" i="1"/>
  <c r="Q1064" i="1"/>
  <c r="R1292" i="1"/>
  <c r="D1292" i="1" s="1"/>
  <c r="R1049" i="1"/>
  <c r="R1302" i="1"/>
  <c r="R1128" i="1"/>
  <c r="R1341" i="1"/>
  <c r="D1341" i="1" s="1"/>
  <c r="R1148" i="1"/>
  <c r="D1148" i="1" s="1"/>
  <c r="R1303" i="1"/>
  <c r="Q1000" i="1"/>
  <c r="R1173" i="1"/>
  <c r="R1380" i="1"/>
  <c r="R1172" i="1"/>
  <c r="R1276" i="1"/>
  <c r="D1278" i="1" s="1"/>
  <c r="R1381" i="1"/>
  <c r="R1301" i="1"/>
  <c r="Q1096" i="1"/>
  <c r="Q1054" i="1"/>
  <c r="Q1280" i="1"/>
  <c r="Q1236" i="1"/>
  <c r="Q1205" i="1"/>
  <c r="Q1076" i="1"/>
  <c r="Q965" i="1"/>
  <c r="Q1046" i="1"/>
  <c r="Q1041" i="1"/>
  <c r="Q1103" i="1"/>
  <c r="Q95" i="1"/>
  <c r="Q976" i="1"/>
  <c r="R1048" i="1"/>
  <c r="Q1077" i="1"/>
  <c r="Q1037" i="1"/>
  <c r="R1033" i="1"/>
  <c r="Q1088" i="1"/>
  <c r="Q1115" i="1"/>
  <c r="Q1111" i="1"/>
  <c r="Q1028" i="1"/>
  <c r="Q997" i="1"/>
  <c r="Q1152" i="1"/>
  <c r="Q1118" i="1"/>
  <c r="Q1182" i="1"/>
  <c r="Q1204" i="1"/>
  <c r="Q1133" i="1"/>
  <c r="Q1135" i="1"/>
  <c r="Q1259" i="1"/>
  <c r="Q1035" i="1"/>
  <c r="Q1275" i="1"/>
  <c r="Q1129" i="1"/>
  <c r="Q972" i="1"/>
  <c r="Q989" i="1"/>
  <c r="P994" i="1"/>
  <c r="P984" i="1"/>
  <c r="Q1027" i="1"/>
  <c r="Q1235" i="1"/>
  <c r="Q1262" i="1"/>
  <c r="Q1274" i="1"/>
  <c r="Q1065" i="1"/>
  <c r="Q1254" i="1"/>
  <c r="Q1141" i="1"/>
  <c r="Q1134" i="1"/>
  <c r="Q1171" i="1"/>
  <c r="Q1194" i="1"/>
  <c r="Q1068" i="1"/>
  <c r="R1034" i="1"/>
  <c r="Q1042" i="1"/>
  <c r="Q999" i="1"/>
  <c r="Q1417" i="1"/>
  <c r="Q1087" i="1"/>
  <c r="Q1130" i="1"/>
  <c r="Q1146" i="1"/>
  <c r="R1299" i="1"/>
  <c r="Q1097" i="1"/>
  <c r="Q1142" i="1"/>
  <c r="R1100" i="1"/>
  <c r="R1252" i="1"/>
  <c r="R1213" i="1"/>
  <c r="R1101" i="1"/>
  <c r="R1189" i="1"/>
  <c r="R1093" i="1"/>
  <c r="R1255" i="1"/>
  <c r="P971" i="1"/>
  <c r="P985" i="1"/>
  <c r="P993" i="1"/>
  <c r="P1083" i="1"/>
  <c r="R1196" i="1"/>
  <c r="R1058" i="1"/>
  <c r="D1058" i="1" s="1"/>
  <c r="R1005" i="1"/>
  <c r="D1005" i="1" s="1"/>
  <c r="R1116" i="1"/>
  <c r="D1116" i="1" s="1"/>
  <c r="R1186" i="1"/>
  <c r="R1197" i="1"/>
  <c r="D1180" i="1" s="1"/>
  <c r="R1263" i="1"/>
  <c r="R1089" i="1"/>
  <c r="D1089" i="1" s="1"/>
  <c r="Q1444" i="1"/>
  <c r="Q1258" i="1"/>
  <c r="Q1053" i="1"/>
  <c r="Q966" i="1"/>
  <c r="Q1074" i="1"/>
  <c r="Q1078" i="1"/>
  <c r="Q1040" i="1"/>
  <c r="Q1038" i="1"/>
  <c r="R996" i="1"/>
  <c r="D998" i="1" s="1"/>
  <c r="Q1099" i="1"/>
  <c r="Q1183" i="1"/>
  <c r="Q1106" i="1"/>
  <c r="Q1104" i="1"/>
  <c r="Q1211" i="1"/>
  <c r="Q1073" i="1"/>
  <c r="Q1136" i="1"/>
  <c r="Q1044" i="1"/>
  <c r="Q1192" i="1"/>
  <c r="Q1108" i="1"/>
  <c r="Q1260" i="1"/>
  <c r="Q1009" i="1"/>
  <c r="Q1434" i="1"/>
  <c r="Q1043" i="1"/>
  <c r="Q1071" i="1"/>
  <c r="Q1151" i="1"/>
  <c r="Q1261" i="1"/>
  <c r="Q1270" i="1"/>
  <c r="Q1287" i="1"/>
  <c r="Q1185" i="1"/>
  <c r="Q1084" i="1"/>
  <c r="Q1066" i="1"/>
  <c r="Q1193" i="1"/>
  <c r="Q1105" i="1"/>
  <c r="V57" i="15"/>
  <c r="W57" i="15"/>
  <c r="F1627" i="6"/>
  <c r="V56" i="15"/>
  <c r="W56" i="15"/>
  <c r="F1626" i="6"/>
  <c r="V58" i="15"/>
  <c r="W58" i="15"/>
  <c r="F1628" i="6"/>
  <c r="U34" i="15"/>
  <c r="V34" i="15"/>
  <c r="U58" i="15"/>
  <c r="F1604" i="6"/>
  <c r="U57" i="15"/>
  <c r="F1603" i="6"/>
  <c r="U56" i="15"/>
  <c r="F1602" i="6"/>
  <c r="T56" i="15"/>
  <c r="F1570" i="6"/>
  <c r="T58" i="15"/>
  <c r="F1572" i="6"/>
  <c r="T57" i="15"/>
  <c r="F1571" i="6"/>
  <c r="S34" i="15"/>
  <c r="T34" i="15"/>
  <c r="S58" i="15"/>
  <c r="F1542" i="6"/>
  <c r="S57" i="15"/>
  <c r="F1541" i="6"/>
  <c r="S56" i="15"/>
  <c r="F1540" i="6"/>
  <c r="R56" i="15"/>
  <c r="F1509" i="6"/>
  <c r="R58" i="15"/>
  <c r="F1511" i="6"/>
  <c r="R57" i="15"/>
  <c r="F1510" i="6"/>
  <c r="Q34" i="15"/>
  <c r="R34" i="15"/>
  <c r="Q58" i="15"/>
  <c r="F1471" i="6"/>
  <c r="Q57" i="15"/>
  <c r="F1470" i="6"/>
  <c r="Q56" i="15"/>
  <c r="F1469" i="6"/>
  <c r="P56" i="15"/>
  <c r="F1433" i="6"/>
  <c r="P58" i="15"/>
  <c r="F1435" i="6"/>
  <c r="P57" i="15"/>
  <c r="F1434" i="6"/>
  <c r="O34" i="15"/>
  <c r="P34" i="15"/>
  <c r="O56" i="15"/>
  <c r="F1398" i="6"/>
  <c r="O58" i="15"/>
  <c r="F1400" i="6"/>
  <c r="O57" i="15"/>
  <c r="F1399" i="6"/>
  <c r="F1329" i="6"/>
  <c r="F1365" i="6"/>
  <c r="F1330" i="6"/>
  <c r="F1366" i="6"/>
  <c r="F1328" i="6"/>
  <c r="F1364" i="6"/>
  <c r="M57" i="15"/>
  <c r="N57" i="15"/>
  <c r="M34" i="15"/>
  <c r="N34" i="15"/>
  <c r="M58" i="15"/>
  <c r="N58" i="15"/>
  <c r="M56" i="15"/>
  <c r="N56" i="15"/>
  <c r="D1206" i="1"/>
  <c r="L58" i="15"/>
  <c r="F1292" i="6"/>
  <c r="L57" i="15"/>
  <c r="F1291" i="6"/>
  <c r="L56" i="15"/>
  <c r="F1290" i="6"/>
  <c r="L34" i="15"/>
  <c r="F1286" i="6"/>
  <c r="D1265" i="1"/>
  <c r="D1264" i="1"/>
  <c r="D1251" i="1"/>
  <c r="D1252" i="1"/>
  <c r="D1204" i="1"/>
  <c r="D1263" i="1"/>
  <c r="D1152" i="1"/>
  <c r="D1130" i="1"/>
  <c r="D1211" i="1"/>
  <c r="D1137" i="1"/>
  <c r="D28" i="1"/>
  <c r="D1132" i="1"/>
  <c r="D1262" i="1"/>
  <c r="D1236" i="1"/>
  <c r="D989" i="1"/>
  <c r="D1084" i="1"/>
  <c r="E1216" i="6"/>
  <c r="F1251" i="6"/>
  <c r="K58" i="15"/>
  <c r="F1257" i="6"/>
  <c r="K57" i="15"/>
  <c r="F1256" i="6"/>
  <c r="K56" i="15"/>
  <c r="F1255" i="6"/>
  <c r="P995" i="1"/>
  <c r="D1083" i="1"/>
  <c r="T1012" i="1"/>
  <c r="P990" i="1"/>
  <c r="P991" i="1"/>
  <c r="T1109" i="1"/>
  <c r="X1012" i="1"/>
  <c r="T1021" i="1"/>
  <c r="T1284" i="1"/>
  <c r="X1284" i="1"/>
  <c r="X1109" i="1"/>
  <c r="X923" i="1"/>
  <c r="X945" i="1"/>
  <c r="T1051" i="1"/>
  <c r="X1051" i="1"/>
  <c r="T2271" i="1"/>
  <c r="X922" i="1"/>
  <c r="X1021" i="1"/>
  <c r="T1119" i="1"/>
  <c r="X1119" i="1"/>
  <c r="X1112" i="1"/>
  <c r="T1112" i="1"/>
  <c r="X2271" i="1"/>
  <c r="T1120" i="1"/>
  <c r="X1120" i="1"/>
  <c r="T964" i="1"/>
  <c r="X964" i="1"/>
  <c r="F1216" i="6"/>
  <c r="X963" i="1"/>
  <c r="X962" i="1"/>
  <c r="T962" i="1"/>
  <c r="T961" i="1"/>
  <c r="X961" i="1"/>
  <c r="K34" i="15"/>
  <c r="J1218" i="6"/>
  <c r="I1218" i="6"/>
  <c r="J1217" i="6"/>
  <c r="I1217" i="6"/>
  <c r="J1216" i="6"/>
  <c r="I1216" i="6"/>
  <c r="E1219" i="6"/>
  <c r="J1219" i="6"/>
  <c r="A911" i="1"/>
  <c r="A909" i="1"/>
  <c r="A912" i="1"/>
  <c r="A908" i="1"/>
  <c r="A910" i="1"/>
  <c r="C911" i="1"/>
  <c r="B911" i="1" s="1"/>
  <c r="C909" i="1"/>
  <c r="B909" i="1" s="1"/>
  <c r="C912" i="1"/>
  <c r="B912" i="1" s="1"/>
  <c r="C908" i="1"/>
  <c r="B908" i="1" s="1"/>
  <c r="C910" i="1"/>
  <c r="B910" i="1" s="1"/>
  <c r="D911" i="1"/>
  <c r="D909" i="1"/>
  <c r="D912" i="1"/>
  <c r="D908" i="1"/>
  <c r="D910" i="1"/>
  <c r="F911" i="1"/>
  <c r="F909" i="1"/>
  <c r="F912" i="1"/>
  <c r="F908" i="1"/>
  <c r="F910" i="1"/>
  <c r="M911" i="1"/>
  <c r="M909" i="1"/>
  <c r="M912" i="1"/>
  <c r="M908" i="1"/>
  <c r="M910" i="1"/>
  <c r="O911" i="1"/>
  <c r="O909" i="1"/>
  <c r="O912" i="1"/>
  <c r="O908" i="1"/>
  <c r="O910" i="1"/>
  <c r="S911" i="1"/>
  <c r="S909" i="1"/>
  <c r="S912" i="1"/>
  <c r="S908" i="1"/>
  <c r="S910" i="1"/>
  <c r="T911" i="1"/>
  <c r="T909" i="1"/>
  <c r="T912" i="1"/>
  <c r="T908" i="1"/>
  <c r="T910" i="1"/>
  <c r="U911" i="1"/>
  <c r="Y911" i="1" s="1"/>
  <c r="U909" i="1"/>
  <c r="Y909" i="1" s="1"/>
  <c r="U912" i="1"/>
  <c r="Y912" i="1" s="1"/>
  <c r="U908" i="1"/>
  <c r="Y908" i="1" s="1"/>
  <c r="U910" i="1"/>
  <c r="Y910" i="1" s="1"/>
  <c r="V911" i="1"/>
  <c r="W911" i="1" s="1"/>
  <c r="V909" i="1"/>
  <c r="W909" i="1" s="1"/>
  <c r="V912" i="1"/>
  <c r="W912" i="1" s="1"/>
  <c r="V908" i="1"/>
  <c r="W908" i="1" s="1"/>
  <c r="V910" i="1"/>
  <c r="W910" i="1" s="1"/>
  <c r="Z911" i="1"/>
  <c r="Z909" i="1"/>
  <c r="Z912" i="1"/>
  <c r="Z908" i="1"/>
  <c r="Z910" i="1"/>
  <c r="A907" i="1"/>
  <c r="C907" i="1"/>
  <c r="B907" i="1" s="1"/>
  <c r="F907" i="1"/>
  <c r="M907" i="1"/>
  <c r="O907" i="1"/>
  <c r="S907" i="1"/>
  <c r="T907" i="1"/>
  <c r="U907" i="1"/>
  <c r="Y907" i="1" s="1"/>
  <c r="V907" i="1"/>
  <c r="W907" i="1" s="1"/>
  <c r="Z907" i="1"/>
  <c r="K28" i="16"/>
  <c r="K22" i="16"/>
  <c r="K20" i="16"/>
  <c r="A939" i="1"/>
  <c r="C939" i="1"/>
  <c r="B939" i="1" s="1"/>
  <c r="F939" i="1"/>
  <c r="M939" i="1"/>
  <c r="O939" i="1"/>
  <c r="T939" i="1"/>
  <c r="U939" i="1"/>
  <c r="Y939" i="1" s="1"/>
  <c r="V939" i="1"/>
  <c r="W939" i="1" s="1"/>
  <c r="Z939" i="1"/>
  <c r="A938" i="1"/>
  <c r="C938" i="1"/>
  <c r="B938" i="1" s="1"/>
  <c r="M938" i="1"/>
  <c r="O938" i="1"/>
  <c r="U938" i="1"/>
  <c r="Y938" i="1" s="1"/>
  <c r="V938" i="1"/>
  <c r="W938" i="1" s="1"/>
  <c r="Z938" i="1"/>
  <c r="A1086" i="1"/>
  <c r="C1086" i="1"/>
  <c r="B1086" i="1" s="1"/>
  <c r="F1086" i="1"/>
  <c r="M1086" i="1"/>
  <c r="O1086" i="1"/>
  <c r="U1086" i="1"/>
  <c r="Y1086" i="1" s="1"/>
  <c r="V1086" i="1"/>
  <c r="W1086" i="1" s="1"/>
  <c r="Z1086" i="1"/>
  <c r="A1050" i="1"/>
  <c r="C1050" i="1"/>
  <c r="B1050" i="1" s="1"/>
  <c r="F1050" i="1"/>
  <c r="M1050" i="1"/>
  <c r="O1050" i="1"/>
  <c r="U1050" i="1"/>
  <c r="Y1050" i="1" s="1"/>
  <c r="V1050" i="1"/>
  <c r="W1050" i="1" s="1"/>
  <c r="Z1050" i="1"/>
  <c r="I48" i="104"/>
  <c r="I46" i="104"/>
  <c r="I49" i="104"/>
  <c r="I50" i="104"/>
  <c r="I51" i="104"/>
  <c r="I52" i="104"/>
  <c r="I53" i="104"/>
  <c r="I54" i="104"/>
  <c r="I55" i="104"/>
  <c r="I56" i="104"/>
  <c r="I57" i="104"/>
  <c r="I58" i="104"/>
  <c r="I59" i="104"/>
  <c r="I61" i="104"/>
  <c r="I62" i="104"/>
  <c r="I47" i="104"/>
  <c r="A1023" i="1"/>
  <c r="C1023" i="1"/>
  <c r="B1023" i="1" s="1"/>
  <c r="F1023" i="1"/>
  <c r="M1023" i="1"/>
  <c r="O1023" i="1"/>
  <c r="U1023" i="1"/>
  <c r="Y1023" i="1" s="1"/>
  <c r="V1023" i="1"/>
  <c r="W1023" i="1" s="1"/>
  <c r="Z1023" i="1"/>
  <c r="A944" i="1"/>
  <c r="C944" i="1"/>
  <c r="B944" i="1" s="1"/>
  <c r="F944" i="1"/>
  <c r="M944" i="1"/>
  <c r="O944" i="1"/>
  <c r="U944" i="1"/>
  <c r="Y944" i="1" s="1"/>
  <c r="V944" i="1"/>
  <c r="W944" i="1" s="1"/>
  <c r="Z944" i="1"/>
  <c r="A1036" i="1"/>
  <c r="C1036" i="1"/>
  <c r="B1036" i="1" s="1"/>
  <c r="F1036" i="1"/>
  <c r="M1036" i="1"/>
  <c r="O1036" i="1"/>
  <c r="U1036" i="1"/>
  <c r="Y1036" i="1" s="1"/>
  <c r="V1036" i="1"/>
  <c r="W1036" i="1" s="1"/>
  <c r="Z1036" i="1"/>
  <c r="A61" i="104"/>
  <c r="A62" i="104"/>
  <c r="B61" i="104"/>
  <c r="B62" i="104"/>
  <c r="C61" i="104"/>
  <c r="C62" i="104"/>
  <c r="A1070" i="1"/>
  <c r="C1070" i="1"/>
  <c r="B1070" i="1" s="1"/>
  <c r="F1070" i="1"/>
  <c r="M1070" i="1"/>
  <c r="O1070" i="1"/>
  <c r="U1070" i="1"/>
  <c r="Y1070" i="1" s="1"/>
  <c r="V1070" i="1"/>
  <c r="W1070" i="1" s="1"/>
  <c r="Z1070" i="1"/>
  <c r="A1069" i="1"/>
  <c r="C1069" i="1"/>
  <c r="B1069" i="1" s="1"/>
  <c r="F1069" i="1"/>
  <c r="M1069" i="1"/>
  <c r="O1069" i="1"/>
  <c r="U1069" i="1"/>
  <c r="Y1069" i="1" s="1"/>
  <c r="V1069" i="1"/>
  <c r="W1069" i="1" s="1"/>
  <c r="Z1069" i="1"/>
  <c r="A940" i="1"/>
  <c r="C940" i="1"/>
  <c r="B940" i="1" s="1"/>
  <c r="F940" i="1"/>
  <c r="O940" i="1"/>
  <c r="U940" i="1"/>
  <c r="Y940" i="1" s="1"/>
  <c r="V940" i="1"/>
  <c r="W940" i="1" s="1"/>
  <c r="Z940" i="1"/>
  <c r="A901" i="1"/>
  <c r="C901" i="1"/>
  <c r="B901" i="1" s="1"/>
  <c r="F901" i="1"/>
  <c r="M901" i="1"/>
  <c r="O901" i="1"/>
  <c r="T901" i="1"/>
  <c r="U901" i="1"/>
  <c r="Y901" i="1" s="1"/>
  <c r="V901" i="1"/>
  <c r="W901" i="1" s="1"/>
  <c r="Z901" i="1"/>
  <c r="A870" i="1"/>
  <c r="C870" i="1"/>
  <c r="B870" i="1" s="1"/>
  <c r="F870" i="1"/>
  <c r="M870" i="1"/>
  <c r="O870" i="1"/>
  <c r="T870" i="1"/>
  <c r="U870" i="1"/>
  <c r="Y870" i="1" s="1"/>
  <c r="V870" i="1"/>
  <c r="W870" i="1" s="1"/>
  <c r="Z870" i="1"/>
  <c r="A1004" i="1"/>
  <c r="C1004" i="1"/>
  <c r="B1004" i="1" s="1"/>
  <c r="F1004" i="1"/>
  <c r="M1004" i="1"/>
  <c r="O1004" i="1"/>
  <c r="U1004" i="1"/>
  <c r="Y1004" i="1" s="1"/>
  <c r="V1004" i="1"/>
  <c r="W1004" i="1" s="1"/>
  <c r="Z1004" i="1"/>
  <c r="A906" i="1"/>
  <c r="C906" i="1"/>
  <c r="B906" i="1" s="1"/>
  <c r="F906" i="1"/>
  <c r="M906" i="1"/>
  <c r="O906" i="1"/>
  <c r="T906" i="1"/>
  <c r="U906" i="1"/>
  <c r="V906" i="1"/>
  <c r="W906" i="1" s="1"/>
  <c r="Z906" i="1"/>
  <c r="A897" i="1"/>
  <c r="C897" i="1"/>
  <c r="B897" i="1" s="1"/>
  <c r="F897" i="1"/>
  <c r="M897" i="1"/>
  <c r="O897" i="1"/>
  <c r="U897" i="1"/>
  <c r="Y897" i="1" s="1"/>
  <c r="V897" i="1"/>
  <c r="W897" i="1" s="1"/>
  <c r="Z897" i="1"/>
  <c r="A1063" i="1"/>
  <c r="C1063" i="1"/>
  <c r="B1063" i="1" s="1"/>
  <c r="F1063" i="1"/>
  <c r="M1063" i="1"/>
  <c r="O1063" i="1"/>
  <c r="U1063" i="1"/>
  <c r="Y1063" i="1" s="1"/>
  <c r="V1063" i="1"/>
  <c r="W1063" i="1" s="1"/>
  <c r="Z1063" i="1"/>
  <c r="A1062" i="1"/>
  <c r="C1062" i="1"/>
  <c r="B1062" i="1" s="1"/>
  <c r="F1062" i="1"/>
  <c r="M1062" i="1"/>
  <c r="O1062" i="1"/>
  <c r="U1062" i="1"/>
  <c r="Y1062" i="1" s="1"/>
  <c r="V1062" i="1"/>
  <c r="W1062" i="1" s="1"/>
  <c r="Z1062" i="1"/>
  <c r="A1061" i="1"/>
  <c r="C1061" i="1"/>
  <c r="B1061" i="1" s="1"/>
  <c r="F1061" i="1"/>
  <c r="M1061" i="1"/>
  <c r="O1061" i="1"/>
  <c r="U1061" i="1"/>
  <c r="Y1061" i="1" s="1"/>
  <c r="V1061" i="1"/>
  <c r="W1061" i="1" s="1"/>
  <c r="Z1061" i="1"/>
  <c r="A1060" i="1"/>
  <c r="C1060" i="1"/>
  <c r="B1060" i="1" s="1"/>
  <c r="F1060" i="1"/>
  <c r="M1060" i="1"/>
  <c r="O1060" i="1"/>
  <c r="U1060" i="1"/>
  <c r="Y1060" i="1" s="1"/>
  <c r="V1060" i="1"/>
  <c r="W1060" i="1" s="1"/>
  <c r="Z1060" i="1"/>
  <c r="A1370" i="1"/>
  <c r="C1370" i="1"/>
  <c r="B1370" i="1" s="1"/>
  <c r="F1370" i="1"/>
  <c r="M1370" i="1"/>
  <c r="O1370" i="1"/>
  <c r="P15" i="16" s="1"/>
  <c r="U1370" i="1"/>
  <c r="Y1370" i="1" s="1"/>
  <c r="V1370" i="1"/>
  <c r="W1370" i="1" s="1"/>
  <c r="Z1370" i="1"/>
  <c r="A1016" i="1"/>
  <c r="C1016" i="1"/>
  <c r="B1016" i="1" s="1"/>
  <c r="F1016" i="1"/>
  <c r="M1016" i="1"/>
  <c r="O1016" i="1"/>
  <c r="U1016" i="1"/>
  <c r="Y1016" i="1" s="1"/>
  <c r="V1016" i="1"/>
  <c r="W1016" i="1" s="1"/>
  <c r="Z1016" i="1"/>
  <c r="A1014" i="1"/>
  <c r="C1014" i="1"/>
  <c r="B1014" i="1" s="1"/>
  <c r="F1014" i="1"/>
  <c r="M1014" i="1"/>
  <c r="O1014" i="1"/>
  <c r="U1014" i="1"/>
  <c r="Y1014" i="1" s="1"/>
  <c r="V1014" i="1"/>
  <c r="W1014" i="1" s="1"/>
  <c r="Z1014" i="1"/>
  <c r="A59" i="104"/>
  <c r="B59" i="104"/>
  <c r="C59" i="104"/>
  <c r="A58" i="104"/>
  <c r="B58" i="104"/>
  <c r="C58" i="104"/>
  <c r="A57" i="104"/>
  <c r="B57" i="104"/>
  <c r="C57" i="104"/>
  <c r="A957" i="1"/>
  <c r="C957" i="1"/>
  <c r="B957" i="1" s="1"/>
  <c r="F957" i="1"/>
  <c r="M957" i="1"/>
  <c r="O957" i="1"/>
  <c r="U957" i="1"/>
  <c r="Y957" i="1" s="1"/>
  <c r="V957" i="1"/>
  <c r="W957" i="1" s="1"/>
  <c r="Z957" i="1"/>
  <c r="A956" i="1"/>
  <c r="C956" i="1"/>
  <c r="T956" i="1" s="1"/>
  <c r="F956" i="1"/>
  <c r="M956" i="1"/>
  <c r="O956" i="1"/>
  <c r="U956" i="1"/>
  <c r="Y956" i="1" s="1"/>
  <c r="V956" i="1"/>
  <c r="W956" i="1" s="1"/>
  <c r="Z956" i="1"/>
  <c r="A958" i="1"/>
  <c r="C958" i="1"/>
  <c r="B958" i="1" s="1"/>
  <c r="F958" i="1"/>
  <c r="M958" i="1"/>
  <c r="O958" i="1"/>
  <c r="U958" i="1"/>
  <c r="Y958" i="1" s="1"/>
  <c r="V958" i="1"/>
  <c r="W958" i="1" s="1"/>
  <c r="Z958" i="1"/>
  <c r="A1020" i="1"/>
  <c r="C1020" i="1"/>
  <c r="B1020" i="1" s="1"/>
  <c r="F1020" i="1"/>
  <c r="M1020" i="1"/>
  <c r="O1020" i="1"/>
  <c r="U1020" i="1"/>
  <c r="Y1020" i="1" s="1"/>
  <c r="V1020" i="1"/>
  <c r="W1020" i="1" s="1"/>
  <c r="Z1020" i="1"/>
  <c r="A988" i="1"/>
  <c r="C988" i="1"/>
  <c r="B988" i="1" s="1"/>
  <c r="F988" i="1"/>
  <c r="M988" i="1"/>
  <c r="O988" i="1"/>
  <c r="U988" i="1"/>
  <c r="Y988" i="1" s="1"/>
  <c r="V988" i="1"/>
  <c r="W988" i="1" s="1"/>
  <c r="Z988" i="1"/>
  <c r="A1114" i="1"/>
  <c r="C1114" i="1"/>
  <c r="B1114" i="1" s="1"/>
  <c r="F1114" i="1"/>
  <c r="M1114" i="1"/>
  <c r="O1114" i="1"/>
  <c r="U1114" i="1"/>
  <c r="Y1114" i="1" s="1"/>
  <c r="V1114" i="1"/>
  <c r="W1114" i="1" s="1"/>
  <c r="Z1114" i="1"/>
  <c r="A1022" i="1"/>
  <c r="C1022" i="1"/>
  <c r="B1022" i="1" s="1"/>
  <c r="F1022" i="1"/>
  <c r="M1022" i="1"/>
  <c r="O1022" i="1"/>
  <c r="U1022" i="1"/>
  <c r="Y1022" i="1" s="1"/>
  <c r="V1022" i="1"/>
  <c r="W1022" i="1" s="1"/>
  <c r="Z1022" i="1"/>
  <c r="A56" i="104"/>
  <c r="B56" i="104"/>
  <c r="C56" i="104"/>
  <c r="A959" i="1"/>
  <c r="C959" i="1"/>
  <c r="B959" i="1" s="1"/>
  <c r="F959" i="1"/>
  <c r="M959" i="1"/>
  <c r="O959" i="1"/>
  <c r="U959" i="1"/>
  <c r="V959" i="1"/>
  <c r="W959" i="1" s="1"/>
  <c r="Z959" i="1"/>
  <c r="R28" i="1" l="1"/>
  <c r="Q961" i="1"/>
  <c r="P963" i="1"/>
  <c r="P1120" i="1"/>
  <c r="P1112" i="1"/>
  <c r="P922" i="1"/>
  <c r="P945" i="1"/>
  <c r="R1193" i="1"/>
  <c r="R1084" i="1"/>
  <c r="R1287" i="1"/>
  <c r="R1261" i="1"/>
  <c r="R1071" i="1"/>
  <c r="R1434" i="1"/>
  <c r="R1260" i="1"/>
  <c r="R1192" i="1"/>
  <c r="R1136" i="1"/>
  <c r="R1211" i="1"/>
  <c r="R1106" i="1"/>
  <c r="R1099" i="1"/>
  <c r="R1038" i="1"/>
  <c r="R1078" i="1"/>
  <c r="D1078" i="1" s="1"/>
  <c r="R966" i="1"/>
  <c r="R1258" i="1"/>
  <c r="D1258" i="1" s="1"/>
  <c r="P1119" i="1"/>
  <c r="P923" i="1"/>
  <c r="Q991" i="1"/>
  <c r="Q995" i="1"/>
  <c r="R1097" i="1"/>
  <c r="R1146" i="1"/>
  <c r="R1087" i="1"/>
  <c r="R999" i="1"/>
  <c r="R1194" i="1"/>
  <c r="R1134" i="1"/>
  <c r="R1254" i="1"/>
  <c r="R1274" i="1"/>
  <c r="R1235" i="1"/>
  <c r="Q994" i="1"/>
  <c r="R972" i="1"/>
  <c r="D972" i="1" s="1"/>
  <c r="R1129" i="1"/>
  <c r="R1035" i="1"/>
  <c r="D1035" i="1" s="1"/>
  <c r="R1135" i="1"/>
  <c r="R1204" i="1"/>
  <c r="R1118" i="1"/>
  <c r="R997" i="1"/>
  <c r="R1111" i="1"/>
  <c r="R1088" i="1"/>
  <c r="R1037" i="1"/>
  <c r="D1037" i="1" s="1"/>
  <c r="R95" i="1"/>
  <c r="R1041" i="1"/>
  <c r="R965" i="1"/>
  <c r="D965" i="1" s="1"/>
  <c r="R1205" i="1"/>
  <c r="R1280" i="1"/>
  <c r="D1281" i="1" s="1"/>
  <c r="R1096" i="1"/>
  <c r="Q990" i="1"/>
  <c r="R1105" i="1"/>
  <c r="R1066" i="1"/>
  <c r="D1066" i="1" s="1"/>
  <c r="R1185" i="1"/>
  <c r="R1270" i="1"/>
  <c r="D1270" i="1" s="1"/>
  <c r="R1151" i="1"/>
  <c r="R1043" i="1"/>
  <c r="R1009" i="1"/>
  <c r="D1009" i="1" s="1"/>
  <c r="R1108" i="1"/>
  <c r="R1044" i="1"/>
  <c r="R1073" i="1"/>
  <c r="R1104" i="1"/>
  <c r="R1183" i="1"/>
  <c r="R1040" i="1"/>
  <c r="D1040" i="1" s="1"/>
  <c r="R1074" i="1"/>
  <c r="R1053" i="1"/>
  <c r="D1053" i="1" s="1"/>
  <c r="R1444" i="1"/>
  <c r="Q993" i="1"/>
  <c r="Q971" i="1"/>
  <c r="Q984" i="1"/>
  <c r="R1064" i="1"/>
  <c r="R1300" i="1"/>
  <c r="R1113" i="1"/>
  <c r="R1121" i="1"/>
  <c r="R1045" i="1"/>
  <c r="D1045" i="1" s="1"/>
  <c r="R1075" i="1"/>
  <c r="R1288" i="1"/>
  <c r="D1388" i="1" s="1"/>
  <c r="R1191" i="1"/>
  <c r="D1277" i="1" s="1"/>
  <c r="R1072" i="1"/>
  <c r="R1031" i="1"/>
  <c r="R1206" i="1"/>
  <c r="Q964" i="1"/>
  <c r="P2271" i="1"/>
  <c r="P1051" i="1"/>
  <c r="P1109" i="1"/>
  <c r="Q962" i="1"/>
  <c r="P1021" i="1"/>
  <c r="P1284" i="1"/>
  <c r="P1012" i="1"/>
  <c r="R1142" i="1"/>
  <c r="R1130" i="1"/>
  <c r="R1417" i="1"/>
  <c r="R1042" i="1"/>
  <c r="R1068" i="1"/>
  <c r="D1068" i="1" s="1"/>
  <c r="R1171" i="1"/>
  <c r="R1141" i="1"/>
  <c r="D1141" i="1" s="1"/>
  <c r="R1065" i="1"/>
  <c r="R1262" i="1"/>
  <c r="R1027" i="1"/>
  <c r="D1027" i="1" s="1"/>
  <c r="R989" i="1"/>
  <c r="R1275" i="1"/>
  <c r="R1259" i="1"/>
  <c r="R1133" i="1"/>
  <c r="R1182" i="1"/>
  <c r="R1152" i="1"/>
  <c r="R1028" i="1"/>
  <c r="D1028" i="1" s="1"/>
  <c r="R1115" i="1"/>
  <c r="R1077" i="1"/>
  <c r="R976" i="1"/>
  <c r="R1103" i="1"/>
  <c r="R1046" i="1"/>
  <c r="D1046" i="1" s="1"/>
  <c r="R1076" i="1"/>
  <c r="R1236" i="1"/>
  <c r="R1054" i="1"/>
  <c r="D1054" i="1" s="1"/>
  <c r="R1000" i="1"/>
  <c r="Q1083" i="1"/>
  <c r="Q985" i="1"/>
  <c r="R1102" i="1"/>
  <c r="R1433" i="1"/>
  <c r="R1117" i="1"/>
  <c r="R998" i="1"/>
  <c r="R1435" i="1"/>
  <c r="R1181" i="1"/>
  <c r="R1153" i="1"/>
  <c r="R1150" i="1"/>
  <c r="D1150" i="1" s="1"/>
  <c r="R1132" i="1"/>
  <c r="Q992" i="1"/>
  <c r="R1137" i="1"/>
  <c r="D1255" i="1"/>
  <c r="D1121" i="1"/>
  <c r="D1012" i="1"/>
  <c r="D1151" i="1"/>
  <c r="D1285" i="1"/>
  <c r="D1112" i="1"/>
  <c r="D1113" i="1"/>
  <c r="K13" i="16"/>
  <c r="D1284" i="1"/>
  <c r="D1120" i="1"/>
  <c r="D1119" i="1"/>
  <c r="T1050" i="1"/>
  <c r="D961" i="1"/>
  <c r="D962" i="1"/>
  <c r="X911" i="1"/>
  <c r="X909" i="1"/>
  <c r="K12" i="16"/>
  <c r="T1023" i="1"/>
  <c r="X910" i="1"/>
  <c r="X907" i="1"/>
  <c r="X912" i="1"/>
  <c r="X908" i="1"/>
  <c r="X939" i="1"/>
  <c r="X938" i="1"/>
  <c r="T938" i="1"/>
  <c r="T1086" i="1"/>
  <c r="X1086" i="1"/>
  <c r="X1050" i="1"/>
  <c r="T1036" i="1"/>
  <c r="T1070" i="1"/>
  <c r="T944" i="1"/>
  <c r="T1069" i="1"/>
  <c r="X1023" i="1"/>
  <c r="X944" i="1"/>
  <c r="X1036" i="1"/>
  <c r="X1070" i="1"/>
  <c r="X1069" i="1"/>
  <c r="X940" i="1"/>
  <c r="T940" i="1"/>
  <c r="T1004" i="1"/>
  <c r="X901" i="1"/>
  <c r="X870" i="1"/>
  <c r="X1004" i="1"/>
  <c r="X906" i="1"/>
  <c r="Y906" i="1"/>
  <c r="T897" i="1"/>
  <c r="X897" i="1"/>
  <c r="T957" i="1"/>
  <c r="T1060" i="1"/>
  <c r="T1063" i="1"/>
  <c r="X1062" i="1"/>
  <c r="X1063" i="1"/>
  <c r="T1062" i="1"/>
  <c r="T1061" i="1"/>
  <c r="T1016" i="1"/>
  <c r="X1061" i="1"/>
  <c r="X1370" i="1"/>
  <c r="T1014" i="1"/>
  <c r="X1060" i="1"/>
  <c r="T1370" i="1"/>
  <c r="X1016" i="1"/>
  <c r="B956" i="1"/>
  <c r="X1014" i="1"/>
  <c r="X957" i="1"/>
  <c r="X956" i="1"/>
  <c r="T958" i="1"/>
  <c r="X958" i="1"/>
  <c r="T1020" i="1"/>
  <c r="X1020" i="1"/>
  <c r="T1114" i="1"/>
  <c r="T988" i="1"/>
  <c r="X988" i="1"/>
  <c r="X1114" i="1"/>
  <c r="T1022" i="1"/>
  <c r="X1022" i="1"/>
  <c r="X959" i="1"/>
  <c r="T959" i="1"/>
  <c r="Y959" i="1"/>
  <c r="A1382" i="1"/>
  <c r="C1382" i="1"/>
  <c r="B1382" i="1" s="1"/>
  <c r="F1382" i="1"/>
  <c r="M1382" i="1"/>
  <c r="O1382" i="1"/>
  <c r="U1382" i="1"/>
  <c r="V1382" i="1"/>
  <c r="W1382" i="1" s="1"/>
  <c r="Z1382" i="1"/>
  <c r="P910" i="1" l="1"/>
  <c r="Q910" i="1" s="1"/>
  <c r="P870" i="1"/>
  <c r="P940" i="1"/>
  <c r="P944" i="1"/>
  <c r="P908" i="1"/>
  <c r="Q1109" i="1"/>
  <c r="Q2271" i="1"/>
  <c r="R984" i="1"/>
  <c r="D984" i="1" s="1"/>
  <c r="R993" i="1"/>
  <c r="N5" i="16"/>
  <c r="R994" i="1"/>
  <c r="D994" i="1" s="1"/>
  <c r="R995" i="1"/>
  <c r="D995" i="1" s="1"/>
  <c r="Q923" i="1"/>
  <c r="P1114" i="1"/>
  <c r="P1020" i="1"/>
  <c r="P956" i="1"/>
  <c r="P1016" i="1"/>
  <c r="P1370" i="1"/>
  <c r="P901" i="1"/>
  <c r="P1069" i="1"/>
  <c r="P1023" i="1"/>
  <c r="P912" i="1"/>
  <c r="R1083" i="1"/>
  <c r="Q1284" i="1"/>
  <c r="R962" i="1"/>
  <c r="Q945" i="1"/>
  <c r="Q1112" i="1"/>
  <c r="Q963" i="1"/>
  <c r="P988" i="1"/>
  <c r="P957" i="1"/>
  <c r="P1061" i="1"/>
  <c r="P1063" i="1"/>
  <c r="P1070" i="1"/>
  <c r="P1050" i="1"/>
  <c r="P938" i="1"/>
  <c r="P907" i="1"/>
  <c r="P909" i="1"/>
  <c r="R990" i="1"/>
  <c r="R991" i="1"/>
  <c r="Q1119" i="1"/>
  <c r="Q1051" i="1"/>
  <c r="D964" i="1"/>
  <c r="R971" i="1"/>
  <c r="D971" i="1" s="1"/>
  <c r="P1022" i="1"/>
  <c r="P958" i="1"/>
  <c r="P1014" i="1"/>
  <c r="P1060" i="1"/>
  <c r="P1062" i="1"/>
  <c r="P897" i="1"/>
  <c r="P1004" i="1"/>
  <c r="P1036" i="1"/>
  <c r="P1086" i="1"/>
  <c r="P939" i="1"/>
  <c r="P911" i="1"/>
  <c r="R964" i="1"/>
  <c r="R992" i="1"/>
  <c r="R985" i="1"/>
  <c r="Q1012" i="1"/>
  <c r="Q1021" i="1"/>
  <c r="Q922" i="1"/>
  <c r="Q1120" i="1"/>
  <c r="R961" i="1"/>
  <c r="D1376" i="1"/>
  <c r="D1374" i="1"/>
  <c r="D1375" i="1"/>
  <c r="D1372" i="1"/>
  <c r="D1373" i="1"/>
  <c r="D1073" i="1"/>
  <c r="D1074" i="1"/>
  <c r="D1076" i="1"/>
  <c r="D1075" i="1"/>
  <c r="D1077" i="1"/>
  <c r="D1071" i="1"/>
  <c r="D1072" i="1"/>
  <c r="D1088" i="1"/>
  <c r="D1087" i="1"/>
  <c r="D1115" i="1"/>
  <c r="D1105" i="1"/>
  <c r="D1106" i="1"/>
  <c r="D1004" i="1"/>
  <c r="D1097" i="1"/>
  <c r="D1036" i="1"/>
  <c r="D1142" i="1"/>
  <c r="D1050" i="1"/>
  <c r="D1051" i="1"/>
  <c r="D897" i="1"/>
  <c r="D1023" i="1"/>
  <c r="D1086" i="1"/>
  <c r="D940" i="1"/>
  <c r="D870" i="1"/>
  <c r="D901" i="1"/>
  <c r="P906" i="1"/>
  <c r="P959" i="1"/>
  <c r="T1382" i="1"/>
  <c r="X1382" i="1"/>
  <c r="Y1382" i="1"/>
  <c r="A1080" i="1"/>
  <c r="C1080" i="1"/>
  <c r="B1080" i="1" s="1"/>
  <c r="F1080" i="1"/>
  <c r="M1080" i="1"/>
  <c r="O1080" i="1"/>
  <c r="U1080" i="1"/>
  <c r="Y1080" i="1" s="1"/>
  <c r="V1080" i="1"/>
  <c r="W1080" i="1" s="1"/>
  <c r="Z1080" i="1"/>
  <c r="A1081" i="1"/>
  <c r="C1081" i="1"/>
  <c r="B1081" i="1" s="1"/>
  <c r="F1081" i="1"/>
  <c r="M1081" i="1"/>
  <c r="O1081" i="1"/>
  <c r="U1081" i="1"/>
  <c r="Y1081" i="1" s="1"/>
  <c r="V1081" i="1"/>
  <c r="W1081" i="1" s="1"/>
  <c r="Z1081" i="1"/>
  <c r="A987" i="1"/>
  <c r="C987" i="1"/>
  <c r="B987" i="1" s="1"/>
  <c r="F987" i="1"/>
  <c r="M987" i="1"/>
  <c r="O987" i="1"/>
  <c r="U987" i="1"/>
  <c r="Y987" i="1" s="1"/>
  <c r="V987" i="1"/>
  <c r="W987" i="1" s="1"/>
  <c r="Z987" i="1"/>
  <c r="A974" i="1"/>
  <c r="C974" i="1"/>
  <c r="B974" i="1" s="1"/>
  <c r="F974" i="1"/>
  <c r="M974" i="1"/>
  <c r="O974" i="1"/>
  <c r="U974" i="1"/>
  <c r="Y974" i="1" s="1"/>
  <c r="V974" i="1"/>
  <c r="W974" i="1" s="1"/>
  <c r="Z974" i="1"/>
  <c r="A973" i="1"/>
  <c r="C973" i="1"/>
  <c r="B973" i="1" s="1"/>
  <c r="F973" i="1"/>
  <c r="M973" i="1"/>
  <c r="O973" i="1"/>
  <c r="U973" i="1"/>
  <c r="Y973" i="1" s="1"/>
  <c r="V973" i="1"/>
  <c r="W973" i="1" s="1"/>
  <c r="Z973" i="1"/>
  <c r="A1432" i="1"/>
  <c r="C1432" i="1"/>
  <c r="B1432" i="1" s="1"/>
  <c r="F1432" i="1"/>
  <c r="M1432" i="1"/>
  <c r="O1432" i="1"/>
  <c r="Q15" i="16" s="1"/>
  <c r="U1432" i="1"/>
  <c r="Y1432" i="1" s="1"/>
  <c r="V1432" i="1"/>
  <c r="W1432" i="1" s="1"/>
  <c r="Z1432" i="1"/>
  <c r="A1015" i="1"/>
  <c r="C1015" i="1"/>
  <c r="B1015" i="1" s="1"/>
  <c r="F1015" i="1"/>
  <c r="M1015" i="1"/>
  <c r="O1015" i="1"/>
  <c r="U1015" i="1"/>
  <c r="Y1015" i="1" s="1"/>
  <c r="V1015" i="1"/>
  <c r="W1015" i="1" s="1"/>
  <c r="Z1015" i="1"/>
  <c r="A1002" i="1"/>
  <c r="C1002" i="1"/>
  <c r="B1002" i="1" s="1"/>
  <c r="F1002" i="1"/>
  <c r="M1002" i="1"/>
  <c r="O1002" i="1"/>
  <c r="U1002" i="1"/>
  <c r="Y1002" i="1" s="1"/>
  <c r="V1002" i="1"/>
  <c r="W1002" i="1" s="1"/>
  <c r="Z1002" i="1"/>
  <c r="A1052" i="1"/>
  <c r="C1052" i="1"/>
  <c r="B1052" i="1" s="1"/>
  <c r="F1052" i="1"/>
  <c r="M1052" i="1"/>
  <c r="O1052" i="1"/>
  <c r="U1052" i="1"/>
  <c r="V1052" i="1"/>
  <c r="W1052" i="1" s="1"/>
  <c r="Z1052" i="1"/>
  <c r="A857" i="1"/>
  <c r="C857" i="1"/>
  <c r="B857" i="1" s="1"/>
  <c r="F857" i="1"/>
  <c r="M857" i="1"/>
  <c r="O857" i="1"/>
  <c r="T857" i="1"/>
  <c r="U857" i="1"/>
  <c r="Y857" i="1" s="1"/>
  <c r="V857" i="1"/>
  <c r="W857" i="1" s="1"/>
  <c r="Z857" i="1"/>
  <c r="A1085" i="1"/>
  <c r="C1085" i="1"/>
  <c r="B1085" i="1" s="1"/>
  <c r="F1085" i="1"/>
  <c r="M1085" i="1"/>
  <c r="O1085" i="1"/>
  <c r="U1085" i="1"/>
  <c r="V1085" i="1"/>
  <c r="W1085" i="1" s="1"/>
  <c r="Z1085" i="1"/>
  <c r="A862" i="1"/>
  <c r="C862" i="1"/>
  <c r="B862" i="1" s="1"/>
  <c r="F862" i="1"/>
  <c r="M862" i="1"/>
  <c r="O862" i="1"/>
  <c r="U862" i="1"/>
  <c r="Y862" i="1" s="1"/>
  <c r="V862" i="1"/>
  <c r="W862" i="1" s="1"/>
  <c r="Z862" i="1"/>
  <c r="A967" i="1"/>
  <c r="C967" i="1"/>
  <c r="B967" i="1" s="1"/>
  <c r="F967" i="1"/>
  <c r="M967" i="1"/>
  <c r="O967" i="1"/>
  <c r="U967" i="1"/>
  <c r="Y967" i="1" s="1"/>
  <c r="V967" i="1"/>
  <c r="W967" i="1" s="1"/>
  <c r="Z967" i="1"/>
  <c r="A898" i="1"/>
  <c r="C898" i="1"/>
  <c r="B898" i="1" s="1"/>
  <c r="F898" i="1"/>
  <c r="M898" i="1"/>
  <c r="O898" i="1"/>
  <c r="T898" i="1"/>
  <c r="U898" i="1"/>
  <c r="Y898" i="1" s="1"/>
  <c r="V898" i="1"/>
  <c r="W898" i="1" s="1"/>
  <c r="Z898" i="1"/>
  <c r="A941" i="1"/>
  <c r="C941" i="1"/>
  <c r="B941" i="1" s="1"/>
  <c r="F941" i="1"/>
  <c r="M941" i="1"/>
  <c r="O941" i="1"/>
  <c r="U941" i="1"/>
  <c r="Y941" i="1" s="1"/>
  <c r="V941" i="1"/>
  <c r="W941" i="1" s="1"/>
  <c r="Z941" i="1"/>
  <c r="A882" i="1"/>
  <c r="C882" i="1"/>
  <c r="B882" i="1" s="1"/>
  <c r="F882" i="1"/>
  <c r="M882" i="1"/>
  <c r="O882" i="1"/>
  <c r="T882" i="1"/>
  <c r="U882" i="1"/>
  <c r="Y882" i="1" s="1"/>
  <c r="V882" i="1"/>
  <c r="W882" i="1" s="1"/>
  <c r="Z882" i="1"/>
  <c r="A856" i="1"/>
  <c r="C856" i="1"/>
  <c r="B856" i="1" s="1"/>
  <c r="F856" i="1"/>
  <c r="M856" i="1"/>
  <c r="O856" i="1"/>
  <c r="T856" i="1"/>
  <c r="U856" i="1"/>
  <c r="Y856" i="1" s="1"/>
  <c r="V856" i="1"/>
  <c r="W856" i="1" s="1"/>
  <c r="Z856" i="1"/>
  <c r="A896" i="1"/>
  <c r="C896" i="1"/>
  <c r="B896" i="1" s="1"/>
  <c r="F896" i="1"/>
  <c r="M896" i="1"/>
  <c r="O896" i="1"/>
  <c r="T896" i="1"/>
  <c r="U896" i="1"/>
  <c r="Y896" i="1" s="1"/>
  <c r="V896" i="1"/>
  <c r="W896" i="1" s="1"/>
  <c r="Z896" i="1"/>
  <c r="A1024" i="1"/>
  <c r="C1024" i="1"/>
  <c r="B1024" i="1" s="1"/>
  <c r="F1024" i="1"/>
  <c r="M1024" i="1"/>
  <c r="O1024" i="1"/>
  <c r="U1024" i="1"/>
  <c r="Y1024" i="1" s="1"/>
  <c r="V1024" i="1"/>
  <c r="W1024" i="1" s="1"/>
  <c r="Z1024" i="1"/>
  <c r="A881" i="1"/>
  <c r="C881" i="1"/>
  <c r="B881" i="1" s="1"/>
  <c r="F881" i="1"/>
  <c r="M881" i="1"/>
  <c r="O881" i="1"/>
  <c r="U881" i="1"/>
  <c r="V881" i="1"/>
  <c r="W881" i="1" s="1"/>
  <c r="Z881" i="1"/>
  <c r="A913" i="1"/>
  <c r="C913" i="1"/>
  <c r="B913" i="1" s="1"/>
  <c r="F913" i="1"/>
  <c r="M913" i="1"/>
  <c r="O913" i="1"/>
  <c r="T913" i="1"/>
  <c r="U913" i="1"/>
  <c r="Y913" i="1" s="1"/>
  <c r="V913" i="1"/>
  <c r="W913" i="1" s="1"/>
  <c r="Z913" i="1"/>
  <c r="A915" i="1"/>
  <c r="C915" i="1"/>
  <c r="B915" i="1" s="1"/>
  <c r="F915" i="1"/>
  <c r="M915" i="1"/>
  <c r="O915" i="1"/>
  <c r="U915" i="1"/>
  <c r="Y915" i="1" s="1"/>
  <c r="V915" i="1"/>
  <c r="W915" i="1" s="1"/>
  <c r="Z915" i="1"/>
  <c r="A1003" i="1"/>
  <c r="C1003" i="1"/>
  <c r="B1003" i="1" s="1"/>
  <c r="F1003" i="1"/>
  <c r="M1003" i="1"/>
  <c r="O1003" i="1"/>
  <c r="U1003" i="1"/>
  <c r="Y1003" i="1" s="1"/>
  <c r="V1003" i="1"/>
  <c r="W1003" i="1" s="1"/>
  <c r="Z1003" i="1"/>
  <c r="A1019" i="1"/>
  <c r="C1019" i="1"/>
  <c r="B1019" i="1" s="1"/>
  <c r="F1019" i="1"/>
  <c r="M1019" i="1"/>
  <c r="O1019" i="1"/>
  <c r="U1019" i="1"/>
  <c r="Y1019" i="1" s="1"/>
  <c r="V1019" i="1"/>
  <c r="W1019" i="1" s="1"/>
  <c r="Z1019" i="1"/>
  <c r="A970" i="1"/>
  <c r="C970" i="1"/>
  <c r="B970" i="1" s="1"/>
  <c r="F970" i="1"/>
  <c r="M970" i="1"/>
  <c r="O970" i="1"/>
  <c r="U970" i="1"/>
  <c r="Y970" i="1" s="1"/>
  <c r="V970" i="1"/>
  <c r="W970" i="1" s="1"/>
  <c r="Z970" i="1"/>
  <c r="A1001" i="1"/>
  <c r="C1001" i="1"/>
  <c r="B1001" i="1" s="1"/>
  <c r="F1001" i="1"/>
  <c r="M1001" i="1"/>
  <c r="O1001" i="1"/>
  <c r="U1001" i="1"/>
  <c r="Y1001" i="1" s="1"/>
  <c r="V1001" i="1"/>
  <c r="W1001" i="1" s="1"/>
  <c r="Z1001" i="1"/>
  <c r="A977" i="1"/>
  <c r="C977" i="1"/>
  <c r="B977" i="1" s="1"/>
  <c r="F977" i="1"/>
  <c r="M977" i="1"/>
  <c r="O977" i="1"/>
  <c r="U977" i="1"/>
  <c r="V977" i="1"/>
  <c r="W977" i="1" s="1"/>
  <c r="Z977" i="1"/>
  <c r="Q959" i="1" l="1"/>
  <c r="Q906" i="1"/>
  <c r="R922" i="1"/>
  <c r="D922" i="1" s="1"/>
  <c r="R1012" i="1"/>
  <c r="Q1061" i="1"/>
  <c r="Q988" i="1"/>
  <c r="R2271" i="1"/>
  <c r="Q908" i="1"/>
  <c r="Q940" i="1"/>
  <c r="R910" i="1"/>
  <c r="Q1086" i="1"/>
  <c r="Q1004" i="1"/>
  <c r="Q1062" i="1"/>
  <c r="Q1014" i="1"/>
  <c r="Q1022" i="1"/>
  <c r="R1119" i="1"/>
  <c r="Q907" i="1"/>
  <c r="Q1050" i="1"/>
  <c r="R1112" i="1"/>
  <c r="D1280" i="1" s="1"/>
  <c r="Q1023" i="1"/>
  <c r="Q901" i="1"/>
  <c r="Q1016" i="1"/>
  <c r="Q1020" i="1"/>
  <c r="R923" i="1"/>
  <c r="D923" i="1" s="1"/>
  <c r="R1120" i="1"/>
  <c r="R1021" i="1"/>
  <c r="D1021" i="1" s="1"/>
  <c r="Q1063" i="1"/>
  <c r="Q957" i="1"/>
  <c r="R1109" i="1"/>
  <c r="D1109" i="1" s="1"/>
  <c r="Q944" i="1"/>
  <c r="Q870" i="1"/>
  <c r="Q911" i="1"/>
  <c r="Q939" i="1"/>
  <c r="Q1036" i="1"/>
  <c r="Q897" i="1"/>
  <c r="Q1060" i="1"/>
  <c r="Q958" i="1"/>
  <c r="R1051" i="1"/>
  <c r="Q909" i="1"/>
  <c r="Q938" i="1"/>
  <c r="Q1070" i="1"/>
  <c r="R963" i="1"/>
  <c r="D963" i="1" s="1"/>
  <c r="R945" i="1"/>
  <c r="D945" i="1" s="1"/>
  <c r="R1284" i="1"/>
  <c r="Q912" i="1"/>
  <c r="Q1069" i="1"/>
  <c r="Q1370" i="1"/>
  <c r="Q956" i="1"/>
  <c r="Q1114" i="1"/>
  <c r="T1080" i="1"/>
  <c r="P1382" i="1"/>
  <c r="T1081" i="1"/>
  <c r="X1080" i="1"/>
  <c r="X1081" i="1"/>
  <c r="X987" i="1"/>
  <c r="T987" i="1"/>
  <c r="X974" i="1"/>
  <c r="T974" i="1"/>
  <c r="X973" i="1"/>
  <c r="T973" i="1"/>
  <c r="T1432" i="1"/>
  <c r="X1432" i="1"/>
  <c r="T1052" i="1"/>
  <c r="X857" i="1"/>
  <c r="T1015" i="1"/>
  <c r="X1015" i="1"/>
  <c r="X1002" i="1"/>
  <c r="T1002" i="1"/>
  <c r="X1052" i="1"/>
  <c r="Y1052" i="1"/>
  <c r="T1085" i="1"/>
  <c r="X1085" i="1"/>
  <c r="Y1085" i="1"/>
  <c r="T862" i="1"/>
  <c r="X862" i="1"/>
  <c r="T967" i="1"/>
  <c r="X967" i="1"/>
  <c r="X898" i="1"/>
  <c r="T941" i="1"/>
  <c r="X941" i="1"/>
  <c r="X882" i="1"/>
  <c r="X896" i="1"/>
  <c r="X856" i="1"/>
  <c r="T1024" i="1"/>
  <c r="X1024" i="1"/>
  <c r="X881" i="1"/>
  <c r="Y881" i="1"/>
  <c r="T881" i="1"/>
  <c r="X913" i="1"/>
  <c r="T915" i="1"/>
  <c r="X915" i="1"/>
  <c r="T1003" i="1"/>
  <c r="X1003" i="1"/>
  <c r="T1019" i="1"/>
  <c r="X1019" i="1"/>
  <c r="T977" i="1"/>
  <c r="X970" i="1"/>
  <c r="T970" i="1"/>
  <c r="T1001" i="1"/>
  <c r="X1001" i="1"/>
  <c r="X977" i="1"/>
  <c r="Y977" i="1"/>
  <c r="A955" i="1"/>
  <c r="C955" i="1"/>
  <c r="B955" i="1" s="1"/>
  <c r="F955" i="1"/>
  <c r="M955" i="1"/>
  <c r="O955" i="1"/>
  <c r="U955" i="1"/>
  <c r="Y955" i="1" s="1"/>
  <c r="V955" i="1"/>
  <c r="W955" i="1" s="1"/>
  <c r="Z955" i="1"/>
  <c r="A954" i="1"/>
  <c r="C954" i="1"/>
  <c r="B954" i="1" s="1"/>
  <c r="F954" i="1"/>
  <c r="M954" i="1"/>
  <c r="O954" i="1"/>
  <c r="U954" i="1"/>
  <c r="Y954" i="1" s="1"/>
  <c r="V954" i="1"/>
  <c r="W954" i="1" s="1"/>
  <c r="Z954" i="1"/>
  <c r="A953" i="1"/>
  <c r="C953" i="1"/>
  <c r="B953" i="1" s="1"/>
  <c r="F953" i="1"/>
  <c r="M953" i="1"/>
  <c r="O953" i="1"/>
  <c r="U953" i="1"/>
  <c r="Y953" i="1" s="1"/>
  <c r="V953" i="1"/>
  <c r="W953" i="1" s="1"/>
  <c r="Z953" i="1"/>
  <c r="A952" i="1"/>
  <c r="C952" i="1"/>
  <c r="B952" i="1" s="1"/>
  <c r="F952" i="1"/>
  <c r="M952" i="1"/>
  <c r="O952" i="1"/>
  <c r="U952" i="1"/>
  <c r="V952" i="1"/>
  <c r="W952" i="1" s="1"/>
  <c r="Z952" i="1"/>
  <c r="A55" i="104"/>
  <c r="B55" i="104"/>
  <c r="C55" i="104"/>
  <c r="A54" i="104"/>
  <c r="B54" i="104"/>
  <c r="C54" i="104"/>
  <c r="A53" i="104"/>
  <c r="B53" i="104"/>
  <c r="C53" i="104"/>
  <c r="A52" i="104"/>
  <c r="B52" i="104"/>
  <c r="C52" i="104"/>
  <c r="A899" i="1"/>
  <c r="C899" i="1"/>
  <c r="B899" i="1" s="1"/>
  <c r="F899" i="1"/>
  <c r="M899" i="1"/>
  <c r="O899" i="1"/>
  <c r="U899" i="1"/>
  <c r="V899" i="1"/>
  <c r="W899" i="1" s="1"/>
  <c r="Z899" i="1"/>
  <c r="A889" i="1"/>
  <c r="C889" i="1"/>
  <c r="B889" i="1" s="1"/>
  <c r="F889" i="1"/>
  <c r="M889" i="1"/>
  <c r="O889" i="1"/>
  <c r="T889" i="1"/>
  <c r="U889" i="1"/>
  <c r="V889" i="1"/>
  <c r="W889" i="1" s="1"/>
  <c r="Z889" i="1"/>
  <c r="A887" i="1"/>
  <c r="C887" i="1"/>
  <c r="B887" i="1" s="1"/>
  <c r="D887" i="1"/>
  <c r="F887" i="1"/>
  <c r="M887" i="1"/>
  <c r="O887" i="1"/>
  <c r="S887" i="1"/>
  <c r="T887" i="1"/>
  <c r="U887" i="1"/>
  <c r="V887" i="1"/>
  <c r="W887" i="1" s="1"/>
  <c r="Z887" i="1"/>
  <c r="A884" i="1"/>
  <c r="C884" i="1"/>
  <c r="B884" i="1" s="1"/>
  <c r="F884" i="1"/>
  <c r="M884" i="1"/>
  <c r="O884" i="1"/>
  <c r="T884" i="1"/>
  <c r="U884" i="1"/>
  <c r="V884" i="1"/>
  <c r="W884" i="1" s="1"/>
  <c r="Z884" i="1"/>
  <c r="A781" i="1"/>
  <c r="C781" i="1"/>
  <c r="B781" i="1" s="1"/>
  <c r="F781" i="1"/>
  <c r="M781" i="1"/>
  <c r="U781" i="1"/>
  <c r="Y781" i="1" s="1"/>
  <c r="V781" i="1"/>
  <c r="W781" i="1" s="1"/>
  <c r="Z781" i="1"/>
  <c r="A888" i="1"/>
  <c r="C888" i="1"/>
  <c r="B888" i="1" s="1"/>
  <c r="F888" i="1"/>
  <c r="M888" i="1"/>
  <c r="O888" i="1"/>
  <c r="T888" i="1"/>
  <c r="U888" i="1"/>
  <c r="Y888" i="1" s="1"/>
  <c r="V888" i="1"/>
  <c r="W888" i="1" s="1"/>
  <c r="Z888" i="1"/>
  <c r="A885" i="1"/>
  <c r="C885" i="1"/>
  <c r="B885" i="1" s="1"/>
  <c r="F885" i="1"/>
  <c r="M885" i="1"/>
  <c r="O885" i="1"/>
  <c r="U885" i="1"/>
  <c r="Y885" i="1" s="1"/>
  <c r="V885" i="1"/>
  <c r="W885" i="1" s="1"/>
  <c r="Z885" i="1"/>
  <c r="A891" i="1"/>
  <c r="C891" i="1"/>
  <c r="B891" i="1" s="1"/>
  <c r="F891" i="1"/>
  <c r="M891" i="1"/>
  <c r="O891" i="1"/>
  <c r="U891" i="1"/>
  <c r="Y891" i="1" s="1"/>
  <c r="V891" i="1"/>
  <c r="W891" i="1" s="1"/>
  <c r="Z891" i="1"/>
  <c r="A890" i="1"/>
  <c r="C890" i="1"/>
  <c r="B890" i="1" s="1"/>
  <c r="F890" i="1"/>
  <c r="M890" i="1"/>
  <c r="O890" i="1"/>
  <c r="U890" i="1"/>
  <c r="Y890" i="1" s="1"/>
  <c r="V890" i="1"/>
  <c r="W890" i="1" s="1"/>
  <c r="Z890" i="1"/>
  <c r="A895" i="1"/>
  <c r="C895" i="1"/>
  <c r="B895" i="1" s="1"/>
  <c r="F895" i="1"/>
  <c r="M895" i="1"/>
  <c r="O895" i="1"/>
  <c r="U895" i="1"/>
  <c r="Y895" i="1" s="1"/>
  <c r="V895" i="1"/>
  <c r="W895" i="1" s="1"/>
  <c r="Z895" i="1"/>
  <c r="A902" i="1"/>
  <c r="C902" i="1"/>
  <c r="B902" i="1" s="1"/>
  <c r="F902" i="1"/>
  <c r="M902" i="1"/>
  <c r="O902" i="1"/>
  <c r="U902" i="1"/>
  <c r="Y902" i="1" s="1"/>
  <c r="V902" i="1"/>
  <c r="W902" i="1" s="1"/>
  <c r="Z902" i="1"/>
  <c r="A886" i="1"/>
  <c r="C886" i="1"/>
  <c r="B886" i="1" s="1"/>
  <c r="F886" i="1"/>
  <c r="M886" i="1"/>
  <c r="O886" i="1"/>
  <c r="U886" i="1"/>
  <c r="V886" i="1"/>
  <c r="W886" i="1" s="1"/>
  <c r="Z886" i="1"/>
  <c r="P967" i="1" l="1"/>
  <c r="Q967" i="1" s="1"/>
  <c r="P1003" i="1"/>
  <c r="P1024" i="1"/>
  <c r="P882" i="1"/>
  <c r="P974" i="1"/>
  <c r="R1070" i="1"/>
  <c r="R909" i="1"/>
  <c r="R958" i="1"/>
  <c r="R897" i="1"/>
  <c r="R939" i="1"/>
  <c r="D939" i="1" s="1"/>
  <c r="R944" i="1"/>
  <c r="R957" i="1"/>
  <c r="P977" i="1"/>
  <c r="P970" i="1"/>
  <c r="P913" i="1"/>
  <c r="P1080" i="1"/>
  <c r="P1001" i="1"/>
  <c r="P941" i="1"/>
  <c r="P857" i="1"/>
  <c r="R1114" i="1"/>
  <c r="R1370" i="1"/>
  <c r="P5" i="16" s="1"/>
  <c r="R912" i="1"/>
  <c r="P1019" i="1"/>
  <c r="Q915" i="1"/>
  <c r="P856" i="1"/>
  <c r="P862" i="1"/>
  <c r="P1002" i="1"/>
  <c r="P973" i="1"/>
  <c r="P987" i="1"/>
  <c r="Q1382" i="1"/>
  <c r="R1020" i="1"/>
  <c r="R901" i="1"/>
  <c r="R907" i="1"/>
  <c r="D907" i="1" s="1"/>
  <c r="R1022" i="1"/>
  <c r="D1022" i="1" s="1"/>
  <c r="R1062" i="1"/>
  <c r="R1086" i="1"/>
  <c r="R908" i="1"/>
  <c r="R988" i="1"/>
  <c r="R906" i="1"/>
  <c r="D906" i="1" s="1"/>
  <c r="P896" i="1"/>
  <c r="P898" i="1"/>
  <c r="P1015" i="1"/>
  <c r="P1432" i="1"/>
  <c r="P1081" i="1"/>
  <c r="R956" i="1"/>
  <c r="R1069" i="1"/>
  <c r="D1286" i="1"/>
  <c r="R938" i="1"/>
  <c r="D938" i="1" s="1"/>
  <c r="R1060" i="1"/>
  <c r="R1036" i="1"/>
  <c r="R911" i="1"/>
  <c r="R870" i="1"/>
  <c r="R1063" i="1"/>
  <c r="R959" i="1"/>
  <c r="D959" i="1" s="1"/>
  <c r="R1016" i="1"/>
  <c r="D1016" i="1" s="1"/>
  <c r="R1023" i="1"/>
  <c r="R1050" i="1"/>
  <c r="R1014" i="1"/>
  <c r="R1004" i="1"/>
  <c r="R940" i="1"/>
  <c r="D2271" i="1"/>
  <c r="R1061" i="1"/>
  <c r="D1382" i="1"/>
  <c r="D1048" i="1"/>
  <c r="D966" i="1"/>
  <c r="D1433" i="1"/>
  <c r="D1434" i="1"/>
  <c r="D1038" i="1"/>
  <c r="D1435" i="1"/>
  <c r="D1193" i="1"/>
  <c r="D1024" i="1"/>
  <c r="D1192" i="1"/>
  <c r="D1015" i="1"/>
  <c r="D1108" i="1"/>
  <c r="D967" i="1"/>
  <c r="D944" i="1"/>
  <c r="D1014" i="1"/>
  <c r="D1019" i="1"/>
  <c r="D1020" i="1"/>
  <c r="D974" i="1"/>
  <c r="D970" i="1"/>
  <c r="D973" i="1"/>
  <c r="P1052" i="1"/>
  <c r="P1085" i="1"/>
  <c r="P881" i="1"/>
  <c r="T953" i="1"/>
  <c r="T952" i="1"/>
  <c r="T954" i="1"/>
  <c r="T955" i="1"/>
  <c r="X955" i="1"/>
  <c r="T899" i="1"/>
  <c r="X952" i="1"/>
  <c r="Y952" i="1"/>
  <c r="X953" i="1"/>
  <c r="X954" i="1"/>
  <c r="X891" i="1"/>
  <c r="X888" i="1"/>
  <c r="X899" i="1"/>
  <c r="Y899" i="1"/>
  <c r="X889" i="1"/>
  <c r="Y889" i="1"/>
  <c r="X887" i="1"/>
  <c r="Y887" i="1"/>
  <c r="X884" i="1"/>
  <c r="Y884" i="1"/>
  <c r="T781" i="1"/>
  <c r="X781" i="1"/>
  <c r="T891" i="1"/>
  <c r="T890" i="1"/>
  <c r="T885" i="1"/>
  <c r="X885" i="1"/>
  <c r="X890" i="1"/>
  <c r="T895" i="1"/>
  <c r="X895" i="1"/>
  <c r="T902" i="1"/>
  <c r="X902" i="1"/>
  <c r="T886" i="1"/>
  <c r="X886" i="1"/>
  <c r="Y886" i="1"/>
  <c r="A879" i="1"/>
  <c r="C879" i="1"/>
  <c r="B879" i="1" s="1"/>
  <c r="F879" i="1"/>
  <c r="M879" i="1"/>
  <c r="O879" i="1"/>
  <c r="T879" i="1"/>
  <c r="U879" i="1"/>
  <c r="Y879" i="1" s="1"/>
  <c r="V879" i="1"/>
  <c r="W879" i="1" s="1"/>
  <c r="Z879" i="1"/>
  <c r="A946" i="1"/>
  <c r="A947" i="1"/>
  <c r="A949" i="1"/>
  <c r="A948" i="1"/>
  <c r="A950" i="1"/>
  <c r="A951" i="1"/>
  <c r="C946" i="1"/>
  <c r="B946" i="1" s="1"/>
  <c r="C947" i="1"/>
  <c r="B947" i="1" s="1"/>
  <c r="C949" i="1"/>
  <c r="B949" i="1" s="1"/>
  <c r="C948" i="1"/>
  <c r="B948" i="1" s="1"/>
  <c r="C950" i="1"/>
  <c r="B950" i="1" s="1"/>
  <c r="C951" i="1"/>
  <c r="B951" i="1" s="1"/>
  <c r="F946" i="1"/>
  <c r="F947" i="1"/>
  <c r="F949" i="1"/>
  <c r="F948" i="1"/>
  <c r="F950" i="1"/>
  <c r="F951" i="1"/>
  <c r="M946" i="1"/>
  <c r="M947" i="1"/>
  <c r="M950" i="1"/>
  <c r="M951" i="1"/>
  <c r="O947" i="1"/>
  <c r="O948" i="1"/>
  <c r="O951" i="1"/>
  <c r="U946" i="1"/>
  <c r="U947" i="1"/>
  <c r="U949" i="1"/>
  <c r="U948" i="1"/>
  <c r="Y948" i="1" s="1"/>
  <c r="U950" i="1"/>
  <c r="Y950" i="1" s="1"/>
  <c r="U951" i="1"/>
  <c r="Y951" i="1" s="1"/>
  <c r="V946" i="1"/>
  <c r="W946" i="1" s="1"/>
  <c r="V947" i="1"/>
  <c r="W947" i="1" s="1"/>
  <c r="V949" i="1"/>
  <c r="W949" i="1" s="1"/>
  <c r="V948" i="1"/>
  <c r="W948" i="1" s="1"/>
  <c r="V950" i="1"/>
  <c r="W950" i="1" s="1"/>
  <c r="V951" i="1"/>
  <c r="W951" i="1" s="1"/>
  <c r="Z946" i="1"/>
  <c r="Z947" i="1"/>
  <c r="Z949" i="1"/>
  <c r="Z948" i="1"/>
  <c r="Z950" i="1"/>
  <c r="Z951" i="1"/>
  <c r="O950" i="1"/>
  <c r="M948" i="1"/>
  <c r="M949" i="1"/>
  <c r="O946" i="1"/>
  <c r="A51" i="104"/>
  <c r="B51" i="104"/>
  <c r="C51" i="104"/>
  <c r="A48" i="104"/>
  <c r="A46" i="104"/>
  <c r="A49" i="104"/>
  <c r="A50" i="104"/>
  <c r="B48" i="104"/>
  <c r="B46" i="104"/>
  <c r="B49" i="104"/>
  <c r="B50" i="104"/>
  <c r="C48" i="104"/>
  <c r="C46" i="104"/>
  <c r="C49" i="104"/>
  <c r="C50" i="104"/>
  <c r="A47" i="104"/>
  <c r="B47" i="104"/>
  <c r="C47" i="104"/>
  <c r="P888" i="1" l="1"/>
  <c r="Q881" i="1"/>
  <c r="Q1081" i="1"/>
  <c r="Q1015" i="1"/>
  <c r="Q896" i="1"/>
  <c r="Q987" i="1"/>
  <c r="Q1002" i="1"/>
  <c r="Q856" i="1"/>
  <c r="Q1019" i="1"/>
  <c r="Q1001" i="1"/>
  <c r="Q974" i="1"/>
  <c r="Q1024" i="1"/>
  <c r="P902" i="1"/>
  <c r="P890" i="1"/>
  <c r="P891" i="1"/>
  <c r="Q1085" i="1"/>
  <c r="R967" i="1"/>
  <c r="Q970" i="1"/>
  <c r="Q1432" i="1"/>
  <c r="Q898" i="1"/>
  <c r="R1382" i="1"/>
  <c r="Q973" i="1"/>
  <c r="Q862" i="1"/>
  <c r="R915" i="1"/>
  <c r="D915" i="1" s="1"/>
  <c r="Q941" i="1"/>
  <c r="Q882" i="1"/>
  <c r="Q1003" i="1"/>
  <c r="P885" i="1"/>
  <c r="P781" i="1"/>
  <c r="P954" i="1"/>
  <c r="Q1052" i="1"/>
  <c r="P895" i="1"/>
  <c r="P953" i="1"/>
  <c r="P955" i="1"/>
  <c r="Q857" i="1"/>
  <c r="Q1080" i="1"/>
  <c r="Q913" i="1"/>
  <c r="Q977" i="1"/>
  <c r="D1117" i="1"/>
  <c r="D1118" i="1"/>
  <c r="D1052" i="1"/>
  <c r="D1129" i="1"/>
  <c r="P952" i="1"/>
  <c r="P899" i="1"/>
  <c r="P889" i="1"/>
  <c r="P887" i="1"/>
  <c r="P884" i="1"/>
  <c r="D888" i="1"/>
  <c r="T949" i="1"/>
  <c r="D890" i="1"/>
  <c r="D891" i="1"/>
  <c r="P886" i="1"/>
  <c r="X879" i="1"/>
  <c r="T951" i="1"/>
  <c r="T947" i="1"/>
  <c r="X946" i="1"/>
  <c r="Y946" i="1"/>
  <c r="T946" i="1"/>
  <c r="X950" i="1"/>
  <c r="X949" i="1"/>
  <c r="T950" i="1"/>
  <c r="X947" i="1"/>
  <c r="Y949" i="1"/>
  <c r="X951" i="1"/>
  <c r="T948" i="1"/>
  <c r="Y947" i="1"/>
  <c r="X948" i="1"/>
  <c r="O949" i="1"/>
  <c r="A858" i="1"/>
  <c r="C858" i="1"/>
  <c r="B858" i="1" s="1"/>
  <c r="F858" i="1"/>
  <c r="M858" i="1"/>
  <c r="O858" i="1"/>
  <c r="T858" i="1"/>
  <c r="U858" i="1"/>
  <c r="Y858" i="1" s="1"/>
  <c r="V858" i="1"/>
  <c r="W858" i="1" s="1"/>
  <c r="Z858" i="1"/>
  <c r="A1030" i="1"/>
  <c r="C1030" i="1"/>
  <c r="B1030" i="1" s="1"/>
  <c r="F1030" i="1"/>
  <c r="M1030" i="1"/>
  <c r="O1030" i="1"/>
  <c r="U1030" i="1"/>
  <c r="V1030" i="1"/>
  <c r="W1030" i="1" s="1"/>
  <c r="Z1030" i="1"/>
  <c r="A1029" i="1"/>
  <c r="C1029" i="1"/>
  <c r="B1029" i="1" s="1"/>
  <c r="F1029" i="1"/>
  <c r="M1029" i="1"/>
  <c r="O1029" i="1"/>
  <c r="U1029" i="1"/>
  <c r="Y1029" i="1" s="1"/>
  <c r="V1029" i="1"/>
  <c r="W1029" i="1" s="1"/>
  <c r="Z1029" i="1"/>
  <c r="Q887" i="1" l="1"/>
  <c r="P879" i="1"/>
  <c r="Q889" i="1"/>
  <c r="R977" i="1"/>
  <c r="D977" i="1" s="1"/>
  <c r="R1080" i="1"/>
  <c r="Q955" i="1"/>
  <c r="Q891" i="1"/>
  <c r="Q890" i="1"/>
  <c r="P951" i="1"/>
  <c r="Q886" i="1"/>
  <c r="Q954" i="1"/>
  <c r="Q885" i="1"/>
  <c r="R882" i="1"/>
  <c r="D882" i="1" s="1"/>
  <c r="R973" i="1"/>
  <c r="R898" i="1"/>
  <c r="R970" i="1"/>
  <c r="R1085" i="1"/>
  <c r="R1024" i="1"/>
  <c r="R1001" i="1"/>
  <c r="R856" i="1"/>
  <c r="D856" i="1" s="1"/>
  <c r="R987" i="1"/>
  <c r="R1015" i="1"/>
  <c r="R881" i="1"/>
  <c r="Q884" i="1"/>
  <c r="Q952" i="1"/>
  <c r="R913" i="1"/>
  <c r="D913" i="1" s="1"/>
  <c r="R857" i="1"/>
  <c r="Q953" i="1"/>
  <c r="Q895" i="1"/>
  <c r="Q902" i="1"/>
  <c r="Q899" i="1"/>
  <c r="P948" i="1"/>
  <c r="P950" i="1"/>
  <c r="R1052" i="1"/>
  <c r="Q781" i="1"/>
  <c r="R1003" i="1"/>
  <c r="D1003" i="1" s="1"/>
  <c r="R941" i="1"/>
  <c r="D941" i="1" s="1"/>
  <c r="R862" i="1"/>
  <c r="R1432" i="1"/>
  <c r="Q5" i="16" s="1"/>
  <c r="R974" i="1"/>
  <c r="R1019" i="1"/>
  <c r="R1002" i="1"/>
  <c r="R896" i="1"/>
  <c r="D896" i="1" s="1"/>
  <c r="R1081" i="1"/>
  <c r="Q888" i="1"/>
  <c r="D899" i="1"/>
  <c r="D1432" i="1"/>
  <c r="D886" i="1"/>
  <c r="D885" i="1"/>
  <c r="P946" i="1"/>
  <c r="P949" i="1"/>
  <c r="P947" i="1"/>
  <c r="X858" i="1"/>
  <c r="T1030" i="1"/>
  <c r="X1030" i="1"/>
  <c r="Y1030" i="1"/>
  <c r="T1029" i="1"/>
  <c r="X1029" i="1"/>
  <c r="A854" i="1"/>
  <c r="C854" i="1"/>
  <c r="B854" i="1" s="1"/>
  <c r="F854" i="1"/>
  <c r="M854" i="1"/>
  <c r="O854" i="1"/>
  <c r="T854" i="1"/>
  <c r="U854" i="1"/>
  <c r="Y854" i="1" s="1"/>
  <c r="V854" i="1"/>
  <c r="W854" i="1" s="1"/>
  <c r="Z854" i="1"/>
  <c r="E1223" i="6"/>
  <c r="E1224" i="6"/>
  <c r="E1225" i="6"/>
  <c r="F1223" i="6"/>
  <c r="F1224" i="6"/>
  <c r="F1225" i="6"/>
  <c r="I1223" i="6"/>
  <c r="I1224" i="6"/>
  <c r="I1225" i="6"/>
  <c r="J1223" i="6"/>
  <c r="J1224" i="6"/>
  <c r="J1225" i="6"/>
  <c r="E1189" i="6"/>
  <c r="E1195" i="6"/>
  <c r="E1202" i="6"/>
  <c r="E1207" i="6"/>
  <c r="E1188" i="6"/>
  <c r="E1213" i="6"/>
  <c r="E1214" i="6"/>
  <c r="F1189" i="6"/>
  <c r="F1195" i="6"/>
  <c r="F1202" i="6"/>
  <c r="F1207" i="6"/>
  <c r="F1188" i="6"/>
  <c r="F1213" i="6"/>
  <c r="F1214" i="6"/>
  <c r="I1189" i="6"/>
  <c r="I1195" i="6"/>
  <c r="I1202" i="6"/>
  <c r="I1207" i="6"/>
  <c r="I1188" i="6"/>
  <c r="I1213" i="6"/>
  <c r="I1214" i="6"/>
  <c r="J1189" i="6"/>
  <c r="J1195" i="6"/>
  <c r="J1202" i="6"/>
  <c r="J1207" i="6"/>
  <c r="J1188" i="6"/>
  <c r="J1213" i="6"/>
  <c r="J1214" i="6"/>
  <c r="E1212" i="6"/>
  <c r="E1204" i="6"/>
  <c r="E1220" i="6"/>
  <c r="E1205" i="6"/>
  <c r="E1211" i="6"/>
  <c r="E1221" i="6"/>
  <c r="E1209" i="6"/>
  <c r="E1210" i="6"/>
  <c r="E1206" i="6"/>
  <c r="E1222" i="6"/>
  <c r="F1212" i="6"/>
  <c r="F1220" i="6"/>
  <c r="F1205" i="6"/>
  <c r="F1211" i="6"/>
  <c r="F1221" i="6"/>
  <c r="F1209" i="6"/>
  <c r="F1210" i="6"/>
  <c r="F1206" i="6"/>
  <c r="F1222" i="6"/>
  <c r="I1212" i="6"/>
  <c r="I1204" i="6"/>
  <c r="I1220" i="6"/>
  <c r="I1205" i="6"/>
  <c r="I1211" i="6"/>
  <c r="I1221" i="6"/>
  <c r="I1209" i="6"/>
  <c r="I1210" i="6"/>
  <c r="I1206" i="6"/>
  <c r="I1222" i="6"/>
  <c r="J1212" i="6"/>
  <c r="J1204" i="6"/>
  <c r="J1220" i="6"/>
  <c r="J1205" i="6"/>
  <c r="J1211" i="6"/>
  <c r="J1221" i="6"/>
  <c r="J1209" i="6"/>
  <c r="J1210" i="6"/>
  <c r="J1206" i="6"/>
  <c r="J1222" i="6"/>
  <c r="E1203" i="6"/>
  <c r="F1203" i="6"/>
  <c r="I1203" i="6"/>
  <c r="J1203" i="6"/>
  <c r="E1198" i="6"/>
  <c r="E1208" i="6"/>
  <c r="E1199" i="6"/>
  <c r="F1208" i="6"/>
  <c r="I1198" i="6"/>
  <c r="I1208" i="6"/>
  <c r="I1199" i="6"/>
  <c r="J1198" i="6"/>
  <c r="J1208" i="6"/>
  <c r="J1199" i="6"/>
  <c r="E1196" i="6"/>
  <c r="E1197" i="6"/>
  <c r="E1201" i="6"/>
  <c r="E1200" i="6"/>
  <c r="F1196" i="6"/>
  <c r="F1197" i="6"/>
  <c r="F1201" i="6"/>
  <c r="F1200" i="6"/>
  <c r="I1196" i="6"/>
  <c r="I1197" i="6"/>
  <c r="I1201" i="6"/>
  <c r="I1200" i="6"/>
  <c r="J1196" i="6"/>
  <c r="J1197" i="6"/>
  <c r="J1201" i="6"/>
  <c r="J1200" i="6"/>
  <c r="A1008" i="1"/>
  <c r="C1008" i="1"/>
  <c r="B1008" i="1" s="1"/>
  <c r="F1008" i="1"/>
  <c r="M1008" i="1"/>
  <c r="O1008" i="1"/>
  <c r="U1008" i="1"/>
  <c r="V1008" i="1"/>
  <c r="W1008" i="1" s="1"/>
  <c r="Z1008" i="1"/>
  <c r="A1007" i="1"/>
  <c r="C1007" i="1"/>
  <c r="B1007" i="1" s="1"/>
  <c r="F1007" i="1"/>
  <c r="M1007" i="1"/>
  <c r="O1007" i="1"/>
  <c r="U1007" i="1"/>
  <c r="V1007" i="1"/>
  <c r="W1007" i="1" s="1"/>
  <c r="Z1007" i="1"/>
  <c r="A1006" i="1"/>
  <c r="C1006" i="1"/>
  <c r="B1006" i="1" s="1"/>
  <c r="F1006" i="1"/>
  <c r="M1006" i="1"/>
  <c r="O1006" i="1"/>
  <c r="U1006" i="1"/>
  <c r="Y1006" i="1" s="1"/>
  <c r="V1006" i="1"/>
  <c r="W1006" i="1" s="1"/>
  <c r="Z1006" i="1"/>
  <c r="A833" i="1"/>
  <c r="C833" i="1"/>
  <c r="B833" i="1" s="1"/>
  <c r="F833" i="1"/>
  <c r="M833" i="1"/>
  <c r="O833" i="1"/>
  <c r="T833" i="1"/>
  <c r="U833" i="1"/>
  <c r="Y833" i="1" s="1"/>
  <c r="V833" i="1"/>
  <c r="W833" i="1" s="1"/>
  <c r="Z833" i="1"/>
  <c r="A1010" i="1"/>
  <c r="C1010" i="1"/>
  <c r="B1010" i="1" s="1"/>
  <c r="F1010" i="1"/>
  <c r="M1010" i="1"/>
  <c r="O1010" i="1"/>
  <c r="U1010" i="1"/>
  <c r="Y1010" i="1" s="1"/>
  <c r="V1010" i="1"/>
  <c r="W1010" i="1" s="1"/>
  <c r="Z1010" i="1"/>
  <c r="A880" i="1"/>
  <c r="C880" i="1"/>
  <c r="B880" i="1" s="1"/>
  <c r="F880" i="1"/>
  <c r="M880" i="1"/>
  <c r="O880" i="1"/>
  <c r="U880" i="1"/>
  <c r="Y880" i="1" s="1"/>
  <c r="V880" i="1"/>
  <c r="W880" i="1" s="1"/>
  <c r="Z880" i="1"/>
  <c r="A824" i="1"/>
  <c r="C824" i="1"/>
  <c r="B824" i="1" s="1"/>
  <c r="F824" i="1"/>
  <c r="M824" i="1"/>
  <c r="O824" i="1"/>
  <c r="U824" i="1"/>
  <c r="Y824" i="1" s="1"/>
  <c r="V824" i="1"/>
  <c r="W824" i="1" s="1"/>
  <c r="Z824" i="1"/>
  <c r="A1095" i="1"/>
  <c r="C1095" i="1"/>
  <c r="B1095" i="1" s="1"/>
  <c r="F1095" i="1"/>
  <c r="M1095" i="1"/>
  <c r="O1095" i="1"/>
  <c r="U1095" i="1"/>
  <c r="Y1095" i="1" s="1"/>
  <c r="V1095" i="1"/>
  <c r="W1095" i="1" s="1"/>
  <c r="Z1095" i="1"/>
  <c r="A1018" i="1"/>
  <c r="C1018" i="1"/>
  <c r="B1018" i="1" s="1"/>
  <c r="F1018" i="1"/>
  <c r="M1018" i="1"/>
  <c r="O1018" i="1"/>
  <c r="U1018" i="1"/>
  <c r="Y1018" i="1" s="1"/>
  <c r="V1018" i="1"/>
  <c r="W1018" i="1" s="1"/>
  <c r="Z1018" i="1"/>
  <c r="A1039" i="1"/>
  <c r="C1039" i="1"/>
  <c r="B1039" i="1" s="1"/>
  <c r="F1039" i="1"/>
  <c r="M1039" i="1"/>
  <c r="O1039" i="1"/>
  <c r="U1039" i="1"/>
  <c r="Y1039" i="1" s="1"/>
  <c r="V1039" i="1"/>
  <c r="W1039" i="1" s="1"/>
  <c r="Z1039" i="1"/>
  <c r="A1094" i="1"/>
  <c r="C1094" i="1"/>
  <c r="B1094" i="1" s="1"/>
  <c r="F1094" i="1"/>
  <c r="M1094" i="1"/>
  <c r="O1094" i="1"/>
  <c r="U1094" i="1"/>
  <c r="Y1094" i="1" s="1"/>
  <c r="V1094" i="1"/>
  <c r="W1094" i="1" s="1"/>
  <c r="Z1094" i="1"/>
  <c r="A1067" i="1"/>
  <c r="C1067" i="1"/>
  <c r="B1067" i="1" s="1"/>
  <c r="F1067" i="1"/>
  <c r="M1067" i="1"/>
  <c r="O1067" i="1"/>
  <c r="U1067" i="1"/>
  <c r="Y1067" i="1" s="1"/>
  <c r="V1067" i="1"/>
  <c r="W1067" i="1" s="1"/>
  <c r="Z1067" i="1"/>
  <c r="A930" i="1"/>
  <c r="C930" i="1"/>
  <c r="B930" i="1" s="1"/>
  <c r="F930" i="1"/>
  <c r="M930" i="1"/>
  <c r="O930" i="1"/>
  <c r="U930" i="1"/>
  <c r="Y930" i="1" s="1"/>
  <c r="V930" i="1"/>
  <c r="W930" i="1" s="1"/>
  <c r="Z930" i="1"/>
  <c r="A1110" i="1"/>
  <c r="C1110" i="1"/>
  <c r="B1110" i="1" s="1"/>
  <c r="F1110" i="1"/>
  <c r="M1110" i="1"/>
  <c r="O1110" i="1"/>
  <c r="U1110" i="1"/>
  <c r="Y1110" i="1" s="1"/>
  <c r="V1110" i="1"/>
  <c r="W1110" i="1" s="1"/>
  <c r="Z1110" i="1"/>
  <c r="A1079" i="1"/>
  <c r="C1079" i="1"/>
  <c r="B1079" i="1" s="1"/>
  <c r="F1079" i="1"/>
  <c r="M1079" i="1"/>
  <c r="O1079" i="1"/>
  <c r="U1079" i="1"/>
  <c r="V1079" i="1"/>
  <c r="W1079" i="1" s="1"/>
  <c r="Z1079" i="1"/>
  <c r="A1107" i="1"/>
  <c r="C1107" i="1"/>
  <c r="B1107" i="1" s="1"/>
  <c r="F1107" i="1"/>
  <c r="M1107" i="1"/>
  <c r="O1107" i="1"/>
  <c r="U1107" i="1"/>
  <c r="Y1107" i="1" s="1"/>
  <c r="V1107" i="1"/>
  <c r="W1107" i="1" s="1"/>
  <c r="Z1107" i="1"/>
  <c r="R888" i="1" l="1"/>
  <c r="P858" i="1"/>
  <c r="R891" i="1"/>
  <c r="R889" i="1"/>
  <c r="D889" i="1" s="1"/>
  <c r="Q948" i="1"/>
  <c r="R902" i="1"/>
  <c r="D902" i="1" s="1"/>
  <c r="R953" i="1"/>
  <c r="R884" i="1"/>
  <c r="D884" i="1" s="1"/>
  <c r="R885" i="1"/>
  <c r="R886" i="1"/>
  <c r="Q947" i="1"/>
  <c r="R781" i="1"/>
  <c r="D781" i="1" s="1"/>
  <c r="R890" i="1"/>
  <c r="R955" i="1"/>
  <c r="Q879" i="1"/>
  <c r="R887" i="1"/>
  <c r="Q949" i="1"/>
  <c r="P1029" i="1"/>
  <c r="Q946" i="1"/>
  <c r="Q950" i="1"/>
  <c r="R899" i="1"/>
  <c r="R895" i="1"/>
  <c r="D895" i="1" s="1"/>
  <c r="R952" i="1"/>
  <c r="R954" i="1"/>
  <c r="Q951" i="1"/>
  <c r="D1070" i="1"/>
  <c r="D1069" i="1"/>
  <c r="D958" i="1"/>
  <c r="D956" i="1"/>
  <c r="D957" i="1"/>
  <c r="D952" i="1"/>
  <c r="D953" i="1"/>
  <c r="D955" i="1"/>
  <c r="D954" i="1"/>
  <c r="D951" i="1"/>
  <c r="D950" i="1"/>
  <c r="D948" i="1"/>
  <c r="D946" i="1"/>
  <c r="D947" i="1"/>
  <c r="D949" i="1"/>
  <c r="T1006" i="1"/>
  <c r="T1008" i="1"/>
  <c r="P1030" i="1"/>
  <c r="X854" i="1"/>
  <c r="X1007" i="1"/>
  <c r="X1008" i="1"/>
  <c r="Y1008" i="1"/>
  <c r="T1007" i="1"/>
  <c r="T1094" i="1"/>
  <c r="X1006" i="1"/>
  <c r="Y1007" i="1"/>
  <c r="T1018" i="1"/>
  <c r="X833" i="1"/>
  <c r="X1095" i="1"/>
  <c r="T1095" i="1"/>
  <c r="X1010" i="1"/>
  <c r="T1010" i="1"/>
  <c r="T880" i="1"/>
  <c r="X880" i="1"/>
  <c r="X824" i="1"/>
  <c r="T824" i="1"/>
  <c r="T1039" i="1"/>
  <c r="T1067" i="1"/>
  <c r="X1018" i="1"/>
  <c r="X1107" i="1"/>
  <c r="X1039" i="1"/>
  <c r="X1094" i="1"/>
  <c r="X1067" i="1"/>
  <c r="T930" i="1"/>
  <c r="X930" i="1"/>
  <c r="T1110" i="1"/>
  <c r="X1110" i="1"/>
  <c r="T1107" i="1"/>
  <c r="T1079" i="1"/>
  <c r="X1079" i="1"/>
  <c r="Y1079" i="1"/>
  <c r="A840" i="1"/>
  <c r="C840" i="1"/>
  <c r="B840" i="1" s="1"/>
  <c r="F840" i="1"/>
  <c r="M840" i="1"/>
  <c r="O840" i="1"/>
  <c r="S840" i="1"/>
  <c r="T840" i="1"/>
  <c r="U840" i="1"/>
  <c r="Y840" i="1" s="1"/>
  <c r="V840" i="1"/>
  <c r="W840" i="1" s="1"/>
  <c r="Z840" i="1"/>
  <c r="A839" i="1"/>
  <c r="C839" i="1"/>
  <c r="B839" i="1" s="1"/>
  <c r="F839" i="1"/>
  <c r="M839" i="1"/>
  <c r="O839" i="1"/>
  <c r="S839" i="1"/>
  <c r="T839" i="1"/>
  <c r="U839" i="1"/>
  <c r="Y839" i="1" s="1"/>
  <c r="V839" i="1"/>
  <c r="W839" i="1" s="1"/>
  <c r="Z839" i="1"/>
  <c r="A837" i="1"/>
  <c r="C837" i="1"/>
  <c r="B837" i="1" s="1"/>
  <c r="F837" i="1"/>
  <c r="M837" i="1"/>
  <c r="O837" i="1"/>
  <c r="S837" i="1"/>
  <c r="T837" i="1"/>
  <c r="U837" i="1"/>
  <c r="Y837" i="1" s="1"/>
  <c r="V837" i="1"/>
  <c r="W837" i="1" s="1"/>
  <c r="Z837" i="1"/>
  <c r="A838" i="1"/>
  <c r="C838" i="1"/>
  <c r="B838" i="1" s="1"/>
  <c r="F838" i="1"/>
  <c r="M838" i="1"/>
  <c r="O838" i="1"/>
  <c r="S838" i="1"/>
  <c r="T838" i="1"/>
  <c r="U838" i="1"/>
  <c r="Y838" i="1" s="1"/>
  <c r="V838" i="1"/>
  <c r="W838" i="1" s="1"/>
  <c r="Z838" i="1"/>
  <c r="J28" i="16"/>
  <c r="J22" i="16"/>
  <c r="J20" i="16"/>
  <c r="J56" i="15"/>
  <c r="J57" i="15"/>
  <c r="J58" i="15"/>
  <c r="J37" i="15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29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3" i="6"/>
  <c r="E744" i="6"/>
  <c r="E746" i="6"/>
  <c r="E747" i="6"/>
  <c r="E748" i="6"/>
  <c r="E749" i="6"/>
  <c r="E750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3" i="6"/>
  <c r="E814" i="6"/>
  <c r="E815" i="6"/>
  <c r="E816" i="6"/>
  <c r="E817" i="6"/>
  <c r="E818" i="6"/>
  <c r="E819" i="6"/>
  <c r="E820" i="6"/>
  <c r="E821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4" i="6"/>
  <c r="E1015" i="6"/>
  <c r="E1017" i="6"/>
  <c r="E1018" i="6"/>
  <c r="E1019" i="6"/>
  <c r="E1020" i="6"/>
  <c r="E1021" i="6"/>
  <c r="E1022" i="6"/>
  <c r="E1023" i="6"/>
  <c r="E1024" i="6"/>
  <c r="E1026" i="6"/>
  <c r="E1027" i="6"/>
  <c r="E1028" i="6"/>
  <c r="E1029" i="6"/>
  <c r="E1030" i="6"/>
  <c r="E1031" i="6"/>
  <c r="E1032" i="6"/>
  <c r="E1033" i="6"/>
  <c r="E1034" i="6"/>
  <c r="E1035" i="6"/>
  <c r="E1037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5" i="6"/>
  <c r="E1056" i="6"/>
  <c r="E1058" i="6"/>
  <c r="E1059" i="6"/>
  <c r="E1060" i="6"/>
  <c r="E1062" i="6"/>
  <c r="E1063" i="6"/>
  <c r="E1064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91" i="6"/>
  <c r="E1092" i="6"/>
  <c r="E1094" i="6"/>
  <c r="E1096" i="6"/>
  <c r="E1097" i="6"/>
  <c r="E1098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3" i="6"/>
  <c r="E1127" i="6"/>
  <c r="E1128" i="6"/>
  <c r="E1129" i="6"/>
  <c r="E1132" i="6"/>
  <c r="E1133" i="6"/>
  <c r="E1135" i="6"/>
  <c r="E1136" i="6"/>
  <c r="E1137" i="6"/>
  <c r="E1138" i="6"/>
  <c r="E1139" i="6"/>
  <c r="E1140" i="6"/>
  <c r="E1141" i="6"/>
  <c r="E1142" i="6"/>
  <c r="E1143" i="6"/>
  <c r="E1144" i="6"/>
  <c r="E1124" i="6"/>
  <c r="E1125" i="6"/>
  <c r="E1134" i="6"/>
  <c r="E1145" i="6"/>
  <c r="E1122" i="6"/>
  <c r="E1146" i="6"/>
  <c r="E1147" i="6"/>
  <c r="E1148" i="6"/>
  <c r="E1149" i="6"/>
  <c r="E1150" i="6"/>
  <c r="E1151" i="6"/>
  <c r="E1152" i="6"/>
  <c r="E1153" i="6"/>
  <c r="E1154" i="6"/>
  <c r="E1155" i="6"/>
  <c r="E1126" i="6"/>
  <c r="E1159" i="6"/>
  <c r="E1160" i="6"/>
  <c r="E1162" i="6"/>
  <c r="E1163" i="6"/>
  <c r="E1164" i="6"/>
  <c r="E1165" i="6"/>
  <c r="E1166" i="6"/>
  <c r="E1168" i="6"/>
  <c r="E1169" i="6"/>
  <c r="E1173" i="6"/>
  <c r="E1170" i="6"/>
  <c r="E1174" i="6"/>
  <c r="E1175" i="6"/>
  <c r="E1176" i="6"/>
  <c r="E1177" i="6"/>
  <c r="E1171" i="6"/>
  <c r="E1178" i="6"/>
  <c r="E1157" i="6"/>
  <c r="E1158" i="6"/>
  <c r="E1167" i="6"/>
  <c r="E1172" i="6"/>
  <c r="E1156" i="6"/>
  <c r="E1179" i="6"/>
  <c r="E1180" i="6"/>
  <c r="E1181" i="6"/>
  <c r="E1182" i="6"/>
  <c r="E1183" i="6"/>
  <c r="E1184" i="6"/>
  <c r="E1185" i="6"/>
  <c r="E1186" i="6"/>
  <c r="E1187" i="6"/>
  <c r="E1192" i="6"/>
  <c r="E1190" i="6"/>
  <c r="E1191" i="6"/>
  <c r="P930" i="1" l="1"/>
  <c r="R950" i="1"/>
  <c r="Q1029" i="1"/>
  <c r="P1039" i="1"/>
  <c r="P1095" i="1"/>
  <c r="P1006" i="1"/>
  <c r="P1107" i="1"/>
  <c r="P833" i="1"/>
  <c r="R879" i="1"/>
  <c r="D879" i="1" s="1"/>
  <c r="R947" i="1"/>
  <c r="Q858" i="1"/>
  <c r="P1110" i="1"/>
  <c r="P1067" i="1"/>
  <c r="P1018" i="1"/>
  <c r="P824" i="1"/>
  <c r="P1010" i="1"/>
  <c r="P854" i="1"/>
  <c r="R951" i="1"/>
  <c r="R946" i="1"/>
  <c r="R949" i="1"/>
  <c r="P1094" i="1"/>
  <c r="P880" i="1"/>
  <c r="Q1030" i="1"/>
  <c r="R948" i="1"/>
  <c r="D1111" i="1"/>
  <c r="D1185" i="1"/>
  <c r="D1010" i="1"/>
  <c r="D1099" i="1"/>
  <c r="J13" i="16"/>
  <c r="J12" i="16"/>
  <c r="P1007" i="1"/>
  <c r="P1008" i="1"/>
  <c r="P1079" i="1"/>
  <c r="X838" i="1"/>
  <c r="X839" i="1"/>
  <c r="X840" i="1"/>
  <c r="X837" i="1"/>
  <c r="A816" i="1"/>
  <c r="C816" i="1"/>
  <c r="B816" i="1" s="1"/>
  <c r="F816" i="1"/>
  <c r="M816" i="1"/>
  <c r="O816" i="1"/>
  <c r="S816" i="1"/>
  <c r="T816" i="1"/>
  <c r="U816" i="1"/>
  <c r="Y816" i="1" s="1"/>
  <c r="V816" i="1"/>
  <c r="W816" i="1" s="1"/>
  <c r="Z816" i="1"/>
  <c r="A815" i="1"/>
  <c r="C815" i="1"/>
  <c r="B815" i="1" s="1"/>
  <c r="F815" i="1"/>
  <c r="M815" i="1"/>
  <c r="O815" i="1"/>
  <c r="S815" i="1"/>
  <c r="U815" i="1"/>
  <c r="Y815" i="1" s="1"/>
  <c r="V815" i="1"/>
  <c r="W815" i="1" s="1"/>
  <c r="Z815" i="1"/>
  <c r="A814" i="1"/>
  <c r="C814" i="1"/>
  <c r="B814" i="1" s="1"/>
  <c r="F814" i="1"/>
  <c r="M814" i="1"/>
  <c r="O814" i="1"/>
  <c r="S814" i="1"/>
  <c r="U814" i="1"/>
  <c r="V814" i="1"/>
  <c r="W814" i="1" s="1"/>
  <c r="Z814" i="1"/>
  <c r="A818" i="1"/>
  <c r="C818" i="1"/>
  <c r="B818" i="1" s="1"/>
  <c r="F818" i="1"/>
  <c r="M818" i="1"/>
  <c r="O818" i="1"/>
  <c r="S818" i="1"/>
  <c r="U818" i="1"/>
  <c r="Y818" i="1" s="1"/>
  <c r="V818" i="1"/>
  <c r="W818" i="1" s="1"/>
  <c r="Z818" i="1"/>
  <c r="A817" i="1"/>
  <c r="C817" i="1"/>
  <c r="B817" i="1" s="1"/>
  <c r="F817" i="1"/>
  <c r="M817" i="1"/>
  <c r="O817" i="1"/>
  <c r="S817" i="1"/>
  <c r="U817" i="1"/>
  <c r="Y817" i="1" s="1"/>
  <c r="V817" i="1"/>
  <c r="W817" i="1" s="1"/>
  <c r="Z817" i="1"/>
  <c r="C1193" i="6"/>
  <c r="B37" i="15"/>
  <c r="C37" i="15"/>
  <c r="D37" i="15"/>
  <c r="E37" i="15"/>
  <c r="F37" i="15"/>
  <c r="G37" i="15"/>
  <c r="H37" i="15"/>
  <c r="I1191" i="6"/>
  <c r="J1191" i="6"/>
  <c r="I1190" i="6"/>
  <c r="J1190" i="6"/>
  <c r="F1192" i="6"/>
  <c r="I1192" i="6"/>
  <c r="J1192" i="6"/>
  <c r="A849" i="1"/>
  <c r="C849" i="1"/>
  <c r="B849" i="1" s="1"/>
  <c r="F849" i="1"/>
  <c r="M849" i="1"/>
  <c r="O849" i="1"/>
  <c r="U849" i="1"/>
  <c r="Y849" i="1" s="1"/>
  <c r="V849" i="1"/>
  <c r="W849" i="1" s="1"/>
  <c r="Z849" i="1"/>
  <c r="A937" i="1"/>
  <c r="C937" i="1"/>
  <c r="B937" i="1" s="1"/>
  <c r="F937" i="1"/>
  <c r="M937" i="1"/>
  <c r="O937" i="1"/>
  <c r="U937" i="1"/>
  <c r="V937" i="1"/>
  <c r="W937" i="1" s="1"/>
  <c r="Z937" i="1"/>
  <c r="W37" i="15" l="1"/>
  <c r="X37" i="15"/>
  <c r="Q839" i="1"/>
  <c r="Q1007" i="1"/>
  <c r="Q838" i="1"/>
  <c r="Q1107" i="1"/>
  <c r="Q837" i="1"/>
  <c r="Q1079" i="1"/>
  <c r="R1030" i="1"/>
  <c r="Q1094" i="1"/>
  <c r="Q854" i="1"/>
  <c r="Q824" i="1"/>
  <c r="Q1067" i="1"/>
  <c r="Q1095" i="1"/>
  <c r="Q840" i="1"/>
  <c r="Q1008" i="1"/>
  <c r="Q833" i="1"/>
  <c r="Q880" i="1"/>
  <c r="Q1010" i="1"/>
  <c r="Q1018" i="1"/>
  <c r="Q1110" i="1"/>
  <c r="R858" i="1"/>
  <c r="D858" i="1" s="1"/>
  <c r="Q1006" i="1"/>
  <c r="Q1039" i="1"/>
  <c r="R1029" i="1"/>
  <c r="Q930" i="1"/>
  <c r="F1598" i="6"/>
  <c r="V37" i="15"/>
  <c r="U37" i="15"/>
  <c r="F1595" i="6"/>
  <c r="T37" i="15"/>
  <c r="F1567" i="6"/>
  <c r="S37" i="15"/>
  <c r="F1537" i="6"/>
  <c r="R37" i="15"/>
  <c r="F1498" i="6"/>
  <c r="Q37" i="15"/>
  <c r="F1464" i="6"/>
  <c r="P37" i="15"/>
  <c r="F1429" i="6"/>
  <c r="O37" i="15"/>
  <c r="F1395" i="6"/>
  <c r="F1362" i="6"/>
  <c r="F1326" i="6"/>
  <c r="F1340" i="6"/>
  <c r="M37" i="15"/>
  <c r="N37" i="15"/>
  <c r="D1008" i="1"/>
  <c r="L37" i="15"/>
  <c r="F1289" i="6"/>
  <c r="K37" i="15"/>
  <c r="F1254" i="6"/>
  <c r="D1260" i="1"/>
  <c r="E1193" i="6"/>
  <c r="F1219" i="6"/>
  <c r="F1193" i="6"/>
  <c r="D1007" i="1"/>
  <c r="D1030" i="1"/>
  <c r="D1006" i="1"/>
  <c r="D837" i="1"/>
  <c r="D839" i="1"/>
  <c r="J1193" i="6"/>
  <c r="X816" i="1"/>
  <c r="X814" i="1"/>
  <c r="Y814" i="1"/>
  <c r="X815" i="1"/>
  <c r="T815" i="1"/>
  <c r="T817" i="1"/>
  <c r="X817" i="1"/>
  <c r="X818" i="1"/>
  <c r="T814" i="1"/>
  <c r="T818" i="1"/>
  <c r="I1193" i="6"/>
  <c r="T849" i="1"/>
  <c r="X849" i="1"/>
  <c r="T937" i="1"/>
  <c r="X937" i="1"/>
  <c r="Y937" i="1"/>
  <c r="A914" i="1"/>
  <c r="C914" i="1"/>
  <c r="B914" i="1" s="1"/>
  <c r="F914" i="1"/>
  <c r="M914" i="1"/>
  <c r="O914" i="1"/>
  <c r="U914" i="1"/>
  <c r="Y914" i="1" s="1"/>
  <c r="V914" i="1"/>
  <c r="W914" i="1" s="1"/>
  <c r="Z914" i="1"/>
  <c r="A1082" i="1"/>
  <c r="C1082" i="1"/>
  <c r="B1082" i="1" s="1"/>
  <c r="F1082" i="1"/>
  <c r="M1082" i="1"/>
  <c r="O1082" i="1"/>
  <c r="U1082" i="1"/>
  <c r="V1082" i="1"/>
  <c r="W1082" i="1" s="1"/>
  <c r="Z1082" i="1"/>
  <c r="A917" i="1"/>
  <c r="C917" i="1"/>
  <c r="B917" i="1" s="1"/>
  <c r="F917" i="1"/>
  <c r="M917" i="1"/>
  <c r="O917" i="1"/>
  <c r="U917" i="1"/>
  <c r="Y917" i="1" s="1"/>
  <c r="V917" i="1"/>
  <c r="W917" i="1" s="1"/>
  <c r="Z917" i="1"/>
  <c r="A810" i="1"/>
  <c r="C810" i="1"/>
  <c r="B810" i="1" s="1"/>
  <c r="F810" i="1"/>
  <c r="M810" i="1"/>
  <c r="O810" i="1"/>
  <c r="T810" i="1"/>
  <c r="U810" i="1"/>
  <c r="Y810" i="1" s="1"/>
  <c r="V810" i="1"/>
  <c r="W810" i="1" s="1"/>
  <c r="Z810" i="1"/>
  <c r="A809" i="1"/>
  <c r="C809" i="1"/>
  <c r="B809" i="1" s="1"/>
  <c r="F809" i="1"/>
  <c r="M809" i="1"/>
  <c r="O809" i="1"/>
  <c r="T809" i="1"/>
  <c r="U809" i="1"/>
  <c r="Y809" i="1" s="1"/>
  <c r="V809" i="1"/>
  <c r="W809" i="1" s="1"/>
  <c r="Z809" i="1"/>
  <c r="A1025" i="1"/>
  <c r="C1025" i="1"/>
  <c r="B1025" i="1" s="1"/>
  <c r="F1025" i="1"/>
  <c r="M1025" i="1"/>
  <c r="O1025" i="1"/>
  <c r="U1025" i="1"/>
  <c r="Y1025" i="1" s="1"/>
  <c r="V1025" i="1"/>
  <c r="W1025" i="1" s="1"/>
  <c r="Z1025" i="1"/>
  <c r="A1032" i="1"/>
  <c r="C1032" i="1"/>
  <c r="B1032" i="1" s="1"/>
  <c r="F1032" i="1"/>
  <c r="M1032" i="1"/>
  <c r="O1032" i="1"/>
  <c r="U1032" i="1"/>
  <c r="Y1032" i="1" s="1"/>
  <c r="V1032" i="1"/>
  <c r="W1032" i="1" s="1"/>
  <c r="Z1032" i="1"/>
  <c r="A960" i="1"/>
  <c r="C960" i="1"/>
  <c r="B960" i="1" s="1"/>
  <c r="F960" i="1"/>
  <c r="M960" i="1"/>
  <c r="O960" i="1"/>
  <c r="U960" i="1"/>
  <c r="Y960" i="1" s="1"/>
  <c r="V960" i="1"/>
  <c r="W960" i="1" s="1"/>
  <c r="Z960" i="1"/>
  <c r="A1011" i="1"/>
  <c r="C1011" i="1"/>
  <c r="B1011" i="1" s="1"/>
  <c r="F1011" i="1"/>
  <c r="M1011" i="1"/>
  <c r="O1011" i="1"/>
  <c r="U1011" i="1"/>
  <c r="Y1011" i="1" s="1"/>
  <c r="V1011" i="1"/>
  <c r="W1011" i="1" s="1"/>
  <c r="Z1011" i="1"/>
  <c r="A820" i="1"/>
  <c r="C820" i="1"/>
  <c r="B820" i="1" s="1"/>
  <c r="F820" i="1"/>
  <c r="M820" i="1"/>
  <c r="O820" i="1"/>
  <c r="T820" i="1"/>
  <c r="U820" i="1"/>
  <c r="Y820" i="1" s="1"/>
  <c r="V820" i="1"/>
  <c r="W820" i="1" s="1"/>
  <c r="Z820" i="1"/>
  <c r="A821" i="1"/>
  <c r="C821" i="1"/>
  <c r="B821" i="1" s="1"/>
  <c r="F821" i="1"/>
  <c r="M821" i="1"/>
  <c r="O821" i="1"/>
  <c r="T821" i="1"/>
  <c r="U821" i="1"/>
  <c r="Y821" i="1" s="1"/>
  <c r="V821" i="1"/>
  <c r="W821" i="1" s="1"/>
  <c r="Z821" i="1"/>
  <c r="J54" i="15"/>
  <c r="J53" i="15"/>
  <c r="J52" i="15"/>
  <c r="J51" i="15"/>
  <c r="J50" i="15"/>
  <c r="J49" i="15"/>
  <c r="J47" i="15"/>
  <c r="J46" i="15"/>
  <c r="J45" i="15"/>
  <c r="J43" i="15"/>
  <c r="J42" i="15"/>
  <c r="J41" i="15"/>
  <c r="J40" i="15"/>
  <c r="J34" i="15"/>
  <c r="J32" i="15"/>
  <c r="J31" i="15"/>
  <c r="J30" i="15"/>
  <c r="J29" i="15"/>
  <c r="J28" i="15"/>
  <c r="J27" i="15"/>
  <c r="J26" i="15"/>
  <c r="J25" i="15"/>
  <c r="J23" i="15"/>
  <c r="J22" i="15"/>
  <c r="J21" i="15"/>
  <c r="J20" i="15"/>
  <c r="J19" i="15"/>
  <c r="J18" i="15"/>
  <c r="J17" i="15"/>
  <c r="J16" i="15"/>
  <c r="J15" i="15"/>
  <c r="J14" i="15"/>
  <c r="J13" i="15"/>
  <c r="J11" i="15"/>
  <c r="J10" i="15"/>
  <c r="J9" i="15"/>
  <c r="J7" i="15"/>
  <c r="J6" i="15"/>
  <c r="J4" i="15"/>
  <c r="J3" i="15"/>
  <c r="J2" i="15"/>
  <c r="F1157" i="6"/>
  <c r="F1158" i="6"/>
  <c r="F1167" i="6"/>
  <c r="F1172" i="6"/>
  <c r="F1156" i="6"/>
  <c r="F1179" i="6"/>
  <c r="F1180" i="6"/>
  <c r="F1182" i="6"/>
  <c r="F1185" i="6"/>
  <c r="F1186" i="6"/>
  <c r="F1187" i="6"/>
  <c r="I1157" i="6"/>
  <c r="I1158" i="6"/>
  <c r="I1167" i="6"/>
  <c r="I1172" i="6"/>
  <c r="I1156" i="6"/>
  <c r="I1179" i="6"/>
  <c r="I1180" i="6"/>
  <c r="I1181" i="6"/>
  <c r="I1182" i="6"/>
  <c r="I1183" i="6"/>
  <c r="I1184" i="6"/>
  <c r="I1185" i="6"/>
  <c r="I1186" i="6"/>
  <c r="I1187" i="6"/>
  <c r="J1157" i="6"/>
  <c r="J1158" i="6"/>
  <c r="J1167" i="6"/>
  <c r="J1172" i="6"/>
  <c r="J1156" i="6"/>
  <c r="J1179" i="6"/>
  <c r="J1180" i="6"/>
  <c r="J1181" i="6"/>
  <c r="J1182" i="6"/>
  <c r="J1183" i="6"/>
  <c r="J1184" i="6"/>
  <c r="J1185" i="6"/>
  <c r="J1186" i="6"/>
  <c r="J1187" i="6"/>
  <c r="A981" i="1"/>
  <c r="C981" i="1"/>
  <c r="B981" i="1" s="1"/>
  <c r="F981" i="1"/>
  <c r="M981" i="1"/>
  <c r="O981" i="1"/>
  <c r="U981" i="1"/>
  <c r="Y981" i="1" s="1"/>
  <c r="V981" i="1"/>
  <c r="W981" i="1" s="1"/>
  <c r="Z981" i="1"/>
  <c r="A980" i="1"/>
  <c r="C980" i="1"/>
  <c r="B980" i="1" s="1"/>
  <c r="F980" i="1"/>
  <c r="M980" i="1"/>
  <c r="O980" i="1"/>
  <c r="U980" i="1"/>
  <c r="Y980" i="1" s="1"/>
  <c r="V980" i="1"/>
  <c r="W980" i="1" s="1"/>
  <c r="Z980" i="1"/>
  <c r="A1013" i="1"/>
  <c r="C1013" i="1"/>
  <c r="B1013" i="1" s="1"/>
  <c r="F1013" i="1"/>
  <c r="M1013" i="1"/>
  <c r="O1013" i="1"/>
  <c r="U1013" i="1"/>
  <c r="Y1013" i="1" s="1"/>
  <c r="V1013" i="1"/>
  <c r="W1013" i="1" s="1"/>
  <c r="Z1013" i="1"/>
  <c r="A936" i="1"/>
  <c r="C936" i="1"/>
  <c r="B936" i="1" s="1"/>
  <c r="F936" i="1"/>
  <c r="M936" i="1"/>
  <c r="O936" i="1"/>
  <c r="U936" i="1"/>
  <c r="V936" i="1"/>
  <c r="W936" i="1" s="1"/>
  <c r="Z936" i="1"/>
  <c r="P849" i="1" l="1"/>
  <c r="R854" i="1"/>
  <c r="D854" i="1" s="1"/>
  <c r="P816" i="1"/>
  <c r="R1006" i="1"/>
  <c r="R1110" i="1"/>
  <c r="R1010" i="1"/>
  <c r="R833" i="1"/>
  <c r="D833" i="1" s="1"/>
  <c r="R840" i="1"/>
  <c r="R838" i="1"/>
  <c r="D838" i="1" s="1"/>
  <c r="P818" i="1"/>
  <c r="P815" i="1"/>
  <c r="R1067" i="1"/>
  <c r="R837" i="1"/>
  <c r="R1007" i="1"/>
  <c r="D1029" i="1" s="1"/>
  <c r="R930" i="1"/>
  <c r="R1039" i="1"/>
  <c r="R1018" i="1"/>
  <c r="R880" i="1"/>
  <c r="R1008" i="1"/>
  <c r="R1107" i="1"/>
  <c r="D1259" i="1" s="1"/>
  <c r="P817" i="1"/>
  <c r="R1095" i="1"/>
  <c r="R824" i="1"/>
  <c r="D824" i="1" s="1"/>
  <c r="R1094" i="1"/>
  <c r="D1096" i="1" s="1"/>
  <c r="R1079" i="1"/>
  <c r="D1261" i="1" s="1"/>
  <c r="R839" i="1"/>
  <c r="D840" i="1" s="1"/>
  <c r="T917" i="1"/>
  <c r="P814" i="1"/>
  <c r="D815" i="1"/>
  <c r="D816" i="1"/>
  <c r="D817" i="1"/>
  <c r="D818" i="1"/>
  <c r="D814" i="1"/>
  <c r="T914" i="1"/>
  <c r="P937" i="1"/>
  <c r="X914" i="1"/>
  <c r="X1082" i="1"/>
  <c r="X809" i="1"/>
  <c r="T1032" i="1"/>
  <c r="Y1082" i="1"/>
  <c r="T1082" i="1"/>
  <c r="X917" i="1"/>
  <c r="T1025" i="1"/>
  <c r="X810" i="1"/>
  <c r="X1025" i="1"/>
  <c r="X1032" i="1"/>
  <c r="T960" i="1"/>
  <c r="X960" i="1"/>
  <c r="X1011" i="1"/>
  <c r="T1011" i="1"/>
  <c r="X820" i="1"/>
  <c r="X821" i="1"/>
  <c r="T980" i="1"/>
  <c r="T981" i="1"/>
  <c r="T936" i="1"/>
  <c r="X981" i="1"/>
  <c r="X980" i="1"/>
  <c r="X936" i="1"/>
  <c r="X1013" i="1"/>
  <c r="T1013" i="1"/>
  <c r="Y936" i="1"/>
  <c r="A823" i="1"/>
  <c r="C823" i="1"/>
  <c r="B823" i="1" s="1"/>
  <c r="F823" i="1"/>
  <c r="M823" i="1"/>
  <c r="O823" i="1"/>
  <c r="U823" i="1"/>
  <c r="Y823" i="1" s="1"/>
  <c r="V823" i="1"/>
  <c r="W823" i="1" s="1"/>
  <c r="Z823" i="1"/>
  <c r="A929" i="1"/>
  <c r="C929" i="1"/>
  <c r="B929" i="1" s="1"/>
  <c r="F929" i="1"/>
  <c r="M929" i="1"/>
  <c r="O929" i="1"/>
  <c r="U929" i="1"/>
  <c r="Y929" i="1" s="1"/>
  <c r="V929" i="1"/>
  <c r="W929" i="1" s="1"/>
  <c r="Z929" i="1"/>
  <c r="A928" i="1"/>
  <c r="C928" i="1"/>
  <c r="B928" i="1" s="1"/>
  <c r="F928" i="1"/>
  <c r="M928" i="1"/>
  <c r="O928" i="1"/>
  <c r="U928" i="1"/>
  <c r="Y928" i="1" s="1"/>
  <c r="V928" i="1"/>
  <c r="W928" i="1" s="1"/>
  <c r="Z928" i="1"/>
  <c r="A978" i="1"/>
  <c r="C978" i="1"/>
  <c r="B978" i="1" s="1"/>
  <c r="F978" i="1"/>
  <c r="M978" i="1"/>
  <c r="O978" i="1"/>
  <c r="U978" i="1"/>
  <c r="Y978" i="1" s="1"/>
  <c r="V978" i="1"/>
  <c r="W978" i="1" s="1"/>
  <c r="Z978" i="1"/>
  <c r="A979" i="1"/>
  <c r="C979" i="1"/>
  <c r="B979" i="1" s="1"/>
  <c r="F979" i="1"/>
  <c r="M979" i="1"/>
  <c r="O979" i="1"/>
  <c r="U979" i="1"/>
  <c r="V979" i="1"/>
  <c r="W979" i="1" s="1"/>
  <c r="Z979" i="1"/>
  <c r="A783" i="1"/>
  <c r="C783" i="1"/>
  <c r="B783" i="1" s="1"/>
  <c r="F783" i="1"/>
  <c r="M783" i="1"/>
  <c r="O783" i="1"/>
  <c r="T783" i="1"/>
  <c r="U783" i="1"/>
  <c r="Y783" i="1" s="1"/>
  <c r="V783" i="1"/>
  <c r="W783" i="1" s="1"/>
  <c r="Z783" i="1"/>
  <c r="A851" i="1"/>
  <c r="C851" i="1"/>
  <c r="B851" i="1" s="1"/>
  <c r="F851" i="1"/>
  <c r="M851" i="1"/>
  <c r="O851" i="1"/>
  <c r="U851" i="1"/>
  <c r="Y851" i="1" s="1"/>
  <c r="V851" i="1"/>
  <c r="W851" i="1" s="1"/>
  <c r="Z851" i="1"/>
  <c r="A921" i="1"/>
  <c r="C921" i="1"/>
  <c r="B921" i="1" s="1"/>
  <c r="F921" i="1"/>
  <c r="M921" i="1"/>
  <c r="O921" i="1"/>
  <c r="U921" i="1"/>
  <c r="Y921" i="1" s="1"/>
  <c r="V921" i="1"/>
  <c r="W921" i="1" s="1"/>
  <c r="Z921" i="1"/>
  <c r="A918" i="1"/>
  <c r="C918" i="1"/>
  <c r="B918" i="1" s="1"/>
  <c r="F918" i="1"/>
  <c r="M918" i="1"/>
  <c r="O918" i="1"/>
  <c r="U918" i="1"/>
  <c r="Y918" i="1" s="1"/>
  <c r="V918" i="1"/>
  <c r="W918" i="1" s="1"/>
  <c r="Z918" i="1"/>
  <c r="A919" i="1"/>
  <c r="C919" i="1"/>
  <c r="B919" i="1" s="1"/>
  <c r="F919" i="1"/>
  <c r="M919" i="1"/>
  <c r="O919" i="1"/>
  <c r="U919" i="1"/>
  <c r="Y919" i="1" s="1"/>
  <c r="V919" i="1"/>
  <c r="W919" i="1" s="1"/>
  <c r="Z919" i="1"/>
  <c r="A794" i="1"/>
  <c r="C794" i="1"/>
  <c r="B794" i="1" s="1"/>
  <c r="F794" i="1"/>
  <c r="M794" i="1"/>
  <c r="O794" i="1"/>
  <c r="U794" i="1"/>
  <c r="Y794" i="1" s="1"/>
  <c r="V794" i="1"/>
  <c r="W794" i="1" s="1"/>
  <c r="Z794" i="1"/>
  <c r="A1059" i="1"/>
  <c r="C1059" i="1"/>
  <c r="B1059" i="1" s="1"/>
  <c r="F1059" i="1"/>
  <c r="M1059" i="1"/>
  <c r="O1059" i="1"/>
  <c r="U1059" i="1"/>
  <c r="Y1059" i="1" s="1"/>
  <c r="V1059" i="1"/>
  <c r="W1059" i="1" s="1"/>
  <c r="Z1059" i="1"/>
  <c r="A746" i="1"/>
  <c r="C746" i="1"/>
  <c r="B746" i="1" s="1"/>
  <c r="F746" i="1"/>
  <c r="M746" i="1"/>
  <c r="O746" i="1"/>
  <c r="U746" i="1"/>
  <c r="Y746" i="1" s="1"/>
  <c r="V746" i="1"/>
  <c r="W746" i="1" s="1"/>
  <c r="Z746" i="1"/>
  <c r="A924" i="1"/>
  <c r="C924" i="1"/>
  <c r="B924" i="1" s="1"/>
  <c r="F924" i="1"/>
  <c r="M924" i="1"/>
  <c r="O924" i="1"/>
  <c r="U924" i="1"/>
  <c r="Y924" i="1" s="1"/>
  <c r="V924" i="1"/>
  <c r="W924" i="1" s="1"/>
  <c r="Z924" i="1"/>
  <c r="A933" i="1"/>
  <c r="C933" i="1"/>
  <c r="B933" i="1" s="1"/>
  <c r="F933" i="1"/>
  <c r="M933" i="1"/>
  <c r="O933" i="1"/>
  <c r="U933" i="1"/>
  <c r="Y933" i="1" s="1"/>
  <c r="V933" i="1"/>
  <c r="W933" i="1" s="1"/>
  <c r="Z933" i="1"/>
  <c r="A782" i="1"/>
  <c r="C782" i="1"/>
  <c r="B782" i="1" s="1"/>
  <c r="F782" i="1"/>
  <c r="M782" i="1"/>
  <c r="O782" i="1"/>
  <c r="U782" i="1"/>
  <c r="Y782" i="1" s="1"/>
  <c r="V782" i="1"/>
  <c r="W782" i="1" s="1"/>
  <c r="Z782" i="1"/>
  <c r="A975" i="1"/>
  <c r="C975" i="1"/>
  <c r="B975" i="1" s="1"/>
  <c r="F975" i="1"/>
  <c r="M975" i="1"/>
  <c r="O975" i="1"/>
  <c r="U975" i="1"/>
  <c r="Y975" i="1" s="1"/>
  <c r="V975" i="1"/>
  <c r="W975" i="1" s="1"/>
  <c r="Z975" i="1"/>
  <c r="A834" i="1"/>
  <c r="C834" i="1"/>
  <c r="B834" i="1" s="1"/>
  <c r="F834" i="1"/>
  <c r="M834" i="1"/>
  <c r="O834" i="1"/>
  <c r="U834" i="1"/>
  <c r="Y834" i="1" s="1"/>
  <c r="V834" i="1"/>
  <c r="W834" i="1" s="1"/>
  <c r="Z834" i="1"/>
  <c r="F1174" i="6"/>
  <c r="F1175" i="6"/>
  <c r="F1176" i="6"/>
  <c r="F1177" i="6"/>
  <c r="F1171" i="6"/>
  <c r="F1178" i="6"/>
  <c r="I1174" i="6"/>
  <c r="I1175" i="6"/>
  <c r="I1176" i="6"/>
  <c r="I1177" i="6"/>
  <c r="I1171" i="6"/>
  <c r="I1178" i="6"/>
  <c r="J1174" i="6"/>
  <c r="J1175" i="6"/>
  <c r="J1176" i="6"/>
  <c r="J1177" i="6"/>
  <c r="J1171" i="6"/>
  <c r="J1178" i="6"/>
  <c r="A920" i="1"/>
  <c r="C920" i="1"/>
  <c r="B920" i="1" s="1"/>
  <c r="F920" i="1"/>
  <c r="M920" i="1"/>
  <c r="O920" i="1"/>
  <c r="U920" i="1"/>
  <c r="V920" i="1"/>
  <c r="W920" i="1" s="1"/>
  <c r="Z920" i="1"/>
  <c r="A798" i="1"/>
  <c r="C798" i="1"/>
  <c r="B798" i="1" s="1"/>
  <c r="F798" i="1"/>
  <c r="M798" i="1"/>
  <c r="O798" i="1"/>
  <c r="T798" i="1"/>
  <c r="U798" i="1"/>
  <c r="Y798" i="1" s="1"/>
  <c r="V798" i="1"/>
  <c r="W798" i="1" s="1"/>
  <c r="Z798" i="1"/>
  <c r="A806" i="1"/>
  <c r="C806" i="1"/>
  <c r="B806" i="1" s="1"/>
  <c r="F806" i="1"/>
  <c r="M806" i="1"/>
  <c r="O806" i="1"/>
  <c r="T806" i="1"/>
  <c r="U806" i="1"/>
  <c r="V806" i="1"/>
  <c r="W806" i="1" s="1"/>
  <c r="Z806" i="1"/>
  <c r="A801" i="1"/>
  <c r="A802" i="1"/>
  <c r="C801" i="1"/>
  <c r="B801" i="1" s="1"/>
  <c r="C802" i="1"/>
  <c r="B802" i="1" s="1"/>
  <c r="F801" i="1"/>
  <c r="F802" i="1"/>
  <c r="M801" i="1"/>
  <c r="M802" i="1"/>
  <c r="O801" i="1"/>
  <c r="O802" i="1"/>
  <c r="T802" i="1"/>
  <c r="U801" i="1"/>
  <c r="Y801" i="1" s="1"/>
  <c r="U802" i="1"/>
  <c r="Y802" i="1" s="1"/>
  <c r="V801" i="1"/>
  <c r="W801" i="1" s="1"/>
  <c r="V802" i="1"/>
  <c r="W802" i="1" s="1"/>
  <c r="Z801" i="1"/>
  <c r="Z802" i="1"/>
  <c r="A804" i="1"/>
  <c r="C804" i="1"/>
  <c r="B804" i="1" s="1"/>
  <c r="F804" i="1"/>
  <c r="M804" i="1"/>
  <c r="O804" i="1"/>
  <c r="T804" i="1"/>
  <c r="U804" i="1"/>
  <c r="Y804" i="1" s="1"/>
  <c r="V804" i="1"/>
  <c r="W804" i="1" s="1"/>
  <c r="Z804" i="1"/>
  <c r="A808" i="1"/>
  <c r="C808" i="1"/>
  <c r="B808" i="1" s="1"/>
  <c r="F808" i="1"/>
  <c r="M808" i="1"/>
  <c r="O808" i="1"/>
  <c r="U808" i="1"/>
  <c r="Y808" i="1" s="1"/>
  <c r="V808" i="1"/>
  <c r="W808" i="1" s="1"/>
  <c r="Z808" i="1"/>
  <c r="A797" i="1"/>
  <c r="C797" i="1"/>
  <c r="B797" i="1" s="1"/>
  <c r="F797" i="1"/>
  <c r="M797" i="1"/>
  <c r="O797" i="1"/>
  <c r="U797" i="1"/>
  <c r="Y797" i="1" s="1"/>
  <c r="V797" i="1"/>
  <c r="W797" i="1" s="1"/>
  <c r="Z797" i="1"/>
  <c r="A789" i="1"/>
  <c r="C789" i="1"/>
  <c r="B789" i="1" s="1"/>
  <c r="F789" i="1"/>
  <c r="O789" i="1"/>
  <c r="U789" i="1"/>
  <c r="Y789" i="1" s="1"/>
  <c r="V789" i="1"/>
  <c r="W789" i="1" s="1"/>
  <c r="Z789" i="1"/>
  <c r="A986" i="1"/>
  <c r="C986" i="1"/>
  <c r="B986" i="1" s="1"/>
  <c r="F986" i="1"/>
  <c r="M986" i="1"/>
  <c r="O986" i="1"/>
  <c r="U986" i="1"/>
  <c r="Y986" i="1" s="1"/>
  <c r="V986" i="1"/>
  <c r="W986" i="1" s="1"/>
  <c r="Z986" i="1"/>
  <c r="A969" i="1"/>
  <c r="C969" i="1"/>
  <c r="B969" i="1" s="1"/>
  <c r="F969" i="1"/>
  <c r="M969" i="1"/>
  <c r="O969" i="1"/>
  <c r="U969" i="1"/>
  <c r="Y969" i="1" s="1"/>
  <c r="V969" i="1"/>
  <c r="W969" i="1" s="1"/>
  <c r="Z969" i="1"/>
  <c r="A841" i="1"/>
  <c r="C841" i="1"/>
  <c r="B841" i="1" s="1"/>
  <c r="F841" i="1"/>
  <c r="M841" i="1"/>
  <c r="O841" i="1"/>
  <c r="U841" i="1"/>
  <c r="Y841" i="1" s="1"/>
  <c r="V841" i="1"/>
  <c r="W841" i="1" s="1"/>
  <c r="Z841" i="1"/>
  <c r="A943" i="1"/>
  <c r="C943" i="1"/>
  <c r="B943" i="1" s="1"/>
  <c r="F943" i="1"/>
  <c r="M943" i="1"/>
  <c r="O943" i="1"/>
  <c r="U943" i="1"/>
  <c r="Y943" i="1" s="1"/>
  <c r="V943" i="1"/>
  <c r="W943" i="1" s="1"/>
  <c r="Z943" i="1"/>
  <c r="A968" i="1"/>
  <c r="C968" i="1"/>
  <c r="B968" i="1" s="1"/>
  <c r="F968" i="1"/>
  <c r="M968" i="1"/>
  <c r="O968" i="1"/>
  <c r="U968" i="1"/>
  <c r="Y968" i="1" s="1"/>
  <c r="V968" i="1"/>
  <c r="W968" i="1" s="1"/>
  <c r="Z968" i="1"/>
  <c r="A883" i="1"/>
  <c r="C883" i="1"/>
  <c r="B883" i="1" s="1"/>
  <c r="F883" i="1"/>
  <c r="M883" i="1"/>
  <c r="O883" i="1"/>
  <c r="U883" i="1"/>
  <c r="Y883" i="1" s="1"/>
  <c r="V883" i="1"/>
  <c r="W883" i="1" s="1"/>
  <c r="Z883" i="1"/>
  <c r="A793" i="1"/>
  <c r="C793" i="1"/>
  <c r="B793" i="1" s="1"/>
  <c r="F793" i="1"/>
  <c r="M793" i="1"/>
  <c r="O793" i="1"/>
  <c r="T793" i="1"/>
  <c r="U793" i="1"/>
  <c r="Y793" i="1" s="1"/>
  <c r="V793" i="1"/>
  <c r="W793" i="1" s="1"/>
  <c r="Z793" i="1"/>
  <c r="A2270" i="1"/>
  <c r="C2270" i="1"/>
  <c r="B2270" i="1" s="1"/>
  <c r="F2270" i="1"/>
  <c r="M2270" i="1"/>
  <c r="O2270" i="1"/>
  <c r="U2270" i="1"/>
  <c r="Y2270" i="1" s="1"/>
  <c r="V2270" i="1"/>
  <c r="W2270" i="1" s="1"/>
  <c r="Z2270" i="1"/>
  <c r="A847" i="1"/>
  <c r="C847" i="1"/>
  <c r="B847" i="1" s="1"/>
  <c r="F847" i="1"/>
  <c r="M847" i="1"/>
  <c r="O847" i="1"/>
  <c r="U847" i="1"/>
  <c r="Y847" i="1" s="1"/>
  <c r="V847" i="1"/>
  <c r="W847" i="1" s="1"/>
  <c r="Z847" i="1"/>
  <c r="A846" i="1"/>
  <c r="C846" i="1"/>
  <c r="B846" i="1" s="1"/>
  <c r="F846" i="1"/>
  <c r="M846" i="1"/>
  <c r="O846" i="1"/>
  <c r="U846" i="1"/>
  <c r="Y846" i="1" s="1"/>
  <c r="V846" i="1"/>
  <c r="W846" i="1" s="1"/>
  <c r="Z846" i="1"/>
  <c r="A772" i="1"/>
  <c r="C772" i="1"/>
  <c r="B772" i="1" s="1"/>
  <c r="F772" i="1"/>
  <c r="M772" i="1"/>
  <c r="O772" i="1"/>
  <c r="T772" i="1"/>
  <c r="U772" i="1"/>
  <c r="Y772" i="1" s="1"/>
  <c r="V772" i="1"/>
  <c r="W772" i="1" s="1"/>
  <c r="Z772" i="1"/>
  <c r="A771" i="1"/>
  <c r="C771" i="1"/>
  <c r="B771" i="1" s="1"/>
  <c r="F771" i="1"/>
  <c r="M771" i="1"/>
  <c r="O771" i="1"/>
  <c r="T771" i="1"/>
  <c r="U771" i="1"/>
  <c r="Y771" i="1" s="1"/>
  <c r="V771" i="1"/>
  <c r="W771" i="1" s="1"/>
  <c r="Z771" i="1"/>
  <c r="F1170" i="6"/>
  <c r="I1170" i="6"/>
  <c r="J1170" i="6"/>
  <c r="F1173" i="6"/>
  <c r="I1173" i="6"/>
  <c r="J1173" i="6"/>
  <c r="I1169" i="6"/>
  <c r="J1169" i="6"/>
  <c r="F1168" i="6"/>
  <c r="I1168" i="6"/>
  <c r="J1168" i="6"/>
  <c r="F1166" i="6"/>
  <c r="I1166" i="6"/>
  <c r="J1166" i="6"/>
  <c r="F1165" i="6"/>
  <c r="I1165" i="6"/>
  <c r="I1164" i="6"/>
  <c r="J1164" i="6"/>
  <c r="A784" i="1"/>
  <c r="C784" i="1"/>
  <c r="B784" i="1" s="1"/>
  <c r="D784" i="1"/>
  <c r="F784" i="1"/>
  <c r="M784" i="1"/>
  <c r="O784" i="1"/>
  <c r="S784" i="1"/>
  <c r="T784" i="1"/>
  <c r="U784" i="1"/>
  <c r="V784" i="1"/>
  <c r="W784" i="1" s="1"/>
  <c r="Z784" i="1"/>
  <c r="A785" i="1"/>
  <c r="C785" i="1"/>
  <c r="B785" i="1" s="1"/>
  <c r="F785" i="1"/>
  <c r="M785" i="1"/>
  <c r="O785" i="1"/>
  <c r="U785" i="1"/>
  <c r="Y785" i="1" s="1"/>
  <c r="V785" i="1"/>
  <c r="W785" i="1" s="1"/>
  <c r="Z785" i="1"/>
  <c r="I5" i="109"/>
  <c r="J5" i="109" s="1"/>
  <c r="F1163" i="6"/>
  <c r="I1163" i="6"/>
  <c r="J1163" i="6"/>
  <c r="A780" i="1"/>
  <c r="C780" i="1"/>
  <c r="B780" i="1" s="1"/>
  <c r="F780" i="1"/>
  <c r="M780" i="1"/>
  <c r="T780" i="1"/>
  <c r="U780" i="1"/>
  <c r="V780" i="1"/>
  <c r="W780" i="1" s="1"/>
  <c r="Z780" i="1"/>
  <c r="C1161" i="6"/>
  <c r="E1161" i="6" s="1"/>
  <c r="F1162" i="6"/>
  <c r="I1162" i="6"/>
  <c r="J1162" i="6"/>
  <c r="F1160" i="6"/>
  <c r="I1160" i="6"/>
  <c r="J1160" i="6"/>
  <c r="F1159" i="6"/>
  <c r="I1159" i="6"/>
  <c r="J1159" i="6"/>
  <c r="A779" i="1"/>
  <c r="C779" i="1"/>
  <c r="B779" i="1" s="1"/>
  <c r="F779" i="1"/>
  <c r="M779" i="1"/>
  <c r="S779" i="1"/>
  <c r="T779" i="1"/>
  <c r="U779" i="1"/>
  <c r="Y779" i="1" s="1"/>
  <c r="V779" i="1"/>
  <c r="W779" i="1" s="1"/>
  <c r="Z779" i="1"/>
  <c r="F1126" i="6"/>
  <c r="I1126" i="6"/>
  <c r="J1126" i="6"/>
  <c r="A776" i="1"/>
  <c r="C776" i="1"/>
  <c r="B776" i="1" s="1"/>
  <c r="F776" i="1"/>
  <c r="M776" i="1"/>
  <c r="O776" i="1"/>
  <c r="T776" i="1"/>
  <c r="U776" i="1"/>
  <c r="V776" i="1"/>
  <c r="W776" i="1" s="1"/>
  <c r="Z776" i="1"/>
  <c r="Q849" i="1" l="1"/>
  <c r="P1013" i="1"/>
  <c r="P820" i="1"/>
  <c r="Q937" i="1"/>
  <c r="Q817" i="1"/>
  <c r="Q815" i="1"/>
  <c r="P1032" i="1"/>
  <c r="P917" i="1"/>
  <c r="P809" i="1"/>
  <c r="P980" i="1"/>
  <c r="P1011" i="1"/>
  <c r="P1025" i="1"/>
  <c r="Q818" i="1"/>
  <c r="Q816" i="1"/>
  <c r="P981" i="1"/>
  <c r="P821" i="1"/>
  <c r="P960" i="1"/>
  <c r="P810" i="1"/>
  <c r="P914" i="1"/>
  <c r="Q814" i="1"/>
  <c r="D862" i="1"/>
  <c r="D976" i="1"/>
  <c r="D1081" i="1"/>
  <c r="D1080" i="1"/>
  <c r="D960" i="1"/>
  <c r="D1085" i="1"/>
  <c r="P1082" i="1"/>
  <c r="D1011" i="1"/>
  <c r="D810" i="1"/>
  <c r="T929" i="1"/>
  <c r="T918" i="1"/>
  <c r="T979" i="1"/>
  <c r="T823" i="1"/>
  <c r="P936" i="1"/>
  <c r="X823" i="1"/>
  <c r="X783" i="1"/>
  <c r="X929" i="1"/>
  <c r="T928" i="1"/>
  <c r="X928" i="1"/>
  <c r="T978" i="1"/>
  <c r="X978" i="1"/>
  <c r="X979" i="1"/>
  <c r="Y979" i="1"/>
  <c r="T975" i="1"/>
  <c r="T851" i="1"/>
  <c r="T924" i="1"/>
  <c r="T746" i="1"/>
  <c r="T1059" i="1"/>
  <c r="X851" i="1"/>
  <c r="T782" i="1"/>
  <c r="T919" i="1"/>
  <c r="T834" i="1"/>
  <c r="T921" i="1"/>
  <c r="X921" i="1"/>
  <c r="X918" i="1"/>
  <c r="X919" i="1"/>
  <c r="X794" i="1"/>
  <c r="T794" i="1"/>
  <c r="X1059" i="1"/>
  <c r="X746" i="1"/>
  <c r="X924" i="1"/>
  <c r="T933" i="1"/>
  <c r="X933" i="1"/>
  <c r="X975" i="1"/>
  <c r="X782" i="1"/>
  <c r="X920" i="1"/>
  <c r="X834" i="1"/>
  <c r="T920" i="1"/>
  <c r="Y920" i="1"/>
  <c r="X798" i="1"/>
  <c r="X806" i="1"/>
  <c r="Y806" i="1"/>
  <c r="X801" i="1"/>
  <c r="T801" i="1"/>
  <c r="X802" i="1"/>
  <c r="T808" i="1"/>
  <c r="X804" i="1"/>
  <c r="T797" i="1"/>
  <c r="X808" i="1"/>
  <c r="T968" i="1"/>
  <c r="T986" i="1"/>
  <c r="T883" i="1"/>
  <c r="T841" i="1"/>
  <c r="X797" i="1"/>
  <c r="T969" i="1"/>
  <c r="X969" i="1"/>
  <c r="T789" i="1"/>
  <c r="X789" i="1"/>
  <c r="X986" i="1"/>
  <c r="X841" i="1"/>
  <c r="X968" i="1"/>
  <c r="X943" i="1"/>
  <c r="T943" i="1"/>
  <c r="X883" i="1"/>
  <c r="X793" i="1"/>
  <c r="T2270" i="1"/>
  <c r="X2270" i="1"/>
  <c r="T847" i="1"/>
  <c r="X847" i="1"/>
  <c r="T846" i="1"/>
  <c r="X846" i="1"/>
  <c r="X772" i="1"/>
  <c r="X771" i="1"/>
  <c r="J1165" i="6"/>
  <c r="X784" i="1"/>
  <c r="Y784" i="1"/>
  <c r="T785" i="1"/>
  <c r="X785" i="1"/>
  <c r="I6" i="109"/>
  <c r="J6" i="109" s="1"/>
  <c r="X780" i="1"/>
  <c r="Y780" i="1"/>
  <c r="X779" i="1"/>
  <c r="X776" i="1"/>
  <c r="Y776" i="1"/>
  <c r="R849" i="1" l="1"/>
  <c r="P746" i="1"/>
  <c r="Q746" i="1" s="1"/>
  <c r="P968" i="1"/>
  <c r="P986" i="1"/>
  <c r="P969" i="1"/>
  <c r="P779" i="1"/>
  <c r="Q785" i="1"/>
  <c r="P943" i="1"/>
  <c r="P789" i="1"/>
  <c r="P797" i="1"/>
  <c r="P975" i="1"/>
  <c r="P919" i="1"/>
  <c r="P783" i="1"/>
  <c r="P771" i="1"/>
  <c r="P847" i="1"/>
  <c r="P793" i="1"/>
  <c r="P808" i="1"/>
  <c r="P802" i="1"/>
  <c r="P834" i="1"/>
  <c r="P933" i="1"/>
  <c r="P1059" i="1"/>
  <c r="P918" i="1"/>
  <c r="P928" i="1"/>
  <c r="P823" i="1"/>
  <c r="Q1082" i="1"/>
  <c r="R814" i="1"/>
  <c r="Q810" i="1"/>
  <c r="Q821" i="1"/>
  <c r="Q917" i="1"/>
  <c r="P772" i="1"/>
  <c r="P798" i="1"/>
  <c r="P921" i="1"/>
  <c r="Q936" i="1"/>
  <c r="R816" i="1"/>
  <c r="Q1025" i="1"/>
  <c r="Q980" i="1"/>
  <c r="R817" i="1"/>
  <c r="Q820" i="1"/>
  <c r="Q914" i="1"/>
  <c r="Q960" i="1"/>
  <c r="Q981" i="1"/>
  <c r="Q809" i="1"/>
  <c r="Q1032" i="1"/>
  <c r="P883" i="1"/>
  <c r="P841" i="1"/>
  <c r="P846" i="1"/>
  <c r="P2270" i="1"/>
  <c r="P804" i="1"/>
  <c r="P801" i="1"/>
  <c r="P782" i="1"/>
  <c r="P924" i="1"/>
  <c r="P794" i="1"/>
  <c r="P851" i="1"/>
  <c r="P978" i="1"/>
  <c r="P929" i="1"/>
  <c r="R818" i="1"/>
  <c r="Q1011" i="1"/>
  <c r="R815" i="1"/>
  <c r="R937" i="1"/>
  <c r="Q1013" i="1"/>
  <c r="D1063" i="1"/>
  <c r="D1065" i="1"/>
  <c r="D1064" i="1"/>
  <c r="D1061" i="1"/>
  <c r="D1062" i="1"/>
  <c r="D1114" i="1"/>
  <c r="D1060" i="1"/>
  <c r="D988" i="1"/>
  <c r="D987" i="1"/>
  <c r="D1002" i="1"/>
  <c r="D898" i="1"/>
  <c r="D857" i="1"/>
  <c r="D921" i="1"/>
  <c r="D881" i="1"/>
  <c r="D1001" i="1"/>
  <c r="D782" i="1"/>
  <c r="D809" i="1"/>
  <c r="P979" i="1"/>
  <c r="D746" i="1"/>
  <c r="D771" i="1"/>
  <c r="P920" i="1"/>
  <c r="P806" i="1"/>
  <c r="Q784" i="1"/>
  <c r="P780" i="1"/>
  <c r="P776" i="1"/>
  <c r="A777" i="1"/>
  <c r="C777" i="1"/>
  <c r="B777" i="1" s="1"/>
  <c r="F777" i="1"/>
  <c r="M777" i="1"/>
  <c r="O777" i="1"/>
  <c r="T777" i="1"/>
  <c r="U777" i="1"/>
  <c r="Y777" i="1" s="1"/>
  <c r="V777" i="1"/>
  <c r="W777" i="1" s="1"/>
  <c r="Z777" i="1"/>
  <c r="A773" i="1"/>
  <c r="C773" i="1"/>
  <c r="B773" i="1" s="1"/>
  <c r="F773" i="1"/>
  <c r="M773" i="1"/>
  <c r="O773" i="1"/>
  <c r="S773" i="1"/>
  <c r="T773" i="1"/>
  <c r="U773" i="1"/>
  <c r="Y773" i="1" s="1"/>
  <c r="V773" i="1"/>
  <c r="W773" i="1" s="1"/>
  <c r="Z773" i="1"/>
  <c r="A775" i="1"/>
  <c r="C775" i="1"/>
  <c r="B775" i="1" s="1"/>
  <c r="F775" i="1"/>
  <c r="M775" i="1"/>
  <c r="O775" i="1"/>
  <c r="S775" i="1"/>
  <c r="T775" i="1"/>
  <c r="U775" i="1"/>
  <c r="V775" i="1"/>
  <c r="W775" i="1" s="1"/>
  <c r="Z775" i="1"/>
  <c r="A799" i="1"/>
  <c r="A800" i="1"/>
  <c r="C799" i="1"/>
  <c r="B799" i="1" s="1"/>
  <c r="C800" i="1"/>
  <c r="B800" i="1" s="1"/>
  <c r="F799" i="1"/>
  <c r="F800" i="1"/>
  <c r="M799" i="1"/>
  <c r="M800" i="1"/>
  <c r="O799" i="1"/>
  <c r="O800" i="1"/>
  <c r="U799" i="1"/>
  <c r="Y799" i="1" s="1"/>
  <c r="U800" i="1"/>
  <c r="Y800" i="1" s="1"/>
  <c r="V799" i="1"/>
  <c r="W799" i="1" s="1"/>
  <c r="V800" i="1"/>
  <c r="W800" i="1" s="1"/>
  <c r="Z799" i="1"/>
  <c r="Z800" i="1"/>
  <c r="Q969" i="1" l="1"/>
  <c r="Q986" i="1"/>
  <c r="Q968" i="1"/>
  <c r="Q794" i="1"/>
  <c r="R794" i="1" s="1"/>
  <c r="D794" i="1" s="1"/>
  <c r="R784" i="1"/>
  <c r="Q806" i="1"/>
  <c r="Q979" i="1"/>
  <c r="R1013" i="1"/>
  <c r="D1370" i="1" s="1"/>
  <c r="Q978" i="1"/>
  <c r="Q782" i="1"/>
  <c r="Q804" i="1"/>
  <c r="Q2270" i="1"/>
  <c r="Q883" i="1"/>
  <c r="R809" i="1"/>
  <c r="R960" i="1"/>
  <c r="R820" i="1"/>
  <c r="D820" i="1" s="1"/>
  <c r="R980" i="1"/>
  <c r="Q921" i="1"/>
  <c r="R969" i="1"/>
  <c r="R917" i="1"/>
  <c r="D917" i="1" s="1"/>
  <c r="R810" i="1"/>
  <c r="R1082" i="1"/>
  <c r="Q928" i="1"/>
  <c r="Q1059" i="1"/>
  <c r="Q834" i="1"/>
  <c r="Q808" i="1"/>
  <c r="Q793" i="1"/>
  <c r="Q771" i="1"/>
  <c r="Q919" i="1"/>
  <c r="Q975" i="1"/>
  <c r="Q789" i="1"/>
  <c r="R785" i="1"/>
  <c r="D785" i="1" s="1"/>
  <c r="R1011" i="1"/>
  <c r="Q929" i="1"/>
  <c r="Q851" i="1"/>
  <c r="Q924" i="1"/>
  <c r="Q801" i="1"/>
  <c r="Q846" i="1"/>
  <c r="Q841" i="1"/>
  <c r="R1032" i="1"/>
  <c r="R981" i="1"/>
  <c r="R914" i="1"/>
  <c r="D914" i="1" s="1"/>
  <c r="R1025" i="1"/>
  <c r="D1025" i="1" s="1"/>
  <c r="R936" i="1"/>
  <c r="Q798" i="1"/>
  <c r="Q772" i="1"/>
  <c r="R821" i="1"/>
  <c r="D821" i="1" s="1"/>
  <c r="Q823" i="1"/>
  <c r="Q918" i="1"/>
  <c r="Q933" i="1"/>
  <c r="Q776" i="1"/>
  <c r="Q920" i="1"/>
  <c r="Q780" i="1"/>
  <c r="Q802" i="1"/>
  <c r="Q847" i="1"/>
  <c r="Q783" i="1"/>
  <c r="R746" i="1"/>
  <c r="Q797" i="1"/>
  <c r="Q943" i="1"/>
  <c r="Q779" i="1"/>
  <c r="D980" i="1"/>
  <c r="D981" i="1"/>
  <c r="D979" i="1"/>
  <c r="D978" i="1"/>
  <c r="D920" i="1"/>
  <c r="D919" i="1"/>
  <c r="T800" i="1"/>
  <c r="T799" i="1"/>
  <c r="X777" i="1"/>
  <c r="X799" i="1"/>
  <c r="X773" i="1"/>
  <c r="X775" i="1"/>
  <c r="Y775" i="1"/>
  <c r="X800" i="1"/>
  <c r="I44" i="104"/>
  <c r="I43" i="104"/>
  <c r="I42" i="104"/>
  <c r="I41" i="104"/>
  <c r="I40" i="104"/>
  <c r="I39" i="104"/>
  <c r="I38" i="104"/>
  <c r="I37" i="104"/>
  <c r="I36" i="104"/>
  <c r="A735" i="1"/>
  <c r="C735" i="1"/>
  <c r="B735" i="1" s="1"/>
  <c r="D735" i="1"/>
  <c r="F735" i="1"/>
  <c r="M735" i="1"/>
  <c r="O735" i="1"/>
  <c r="T735" i="1"/>
  <c r="U735" i="1"/>
  <c r="Y735" i="1" s="1"/>
  <c r="V735" i="1"/>
  <c r="W735" i="1" s="1"/>
  <c r="Z735" i="1"/>
  <c r="A736" i="1"/>
  <c r="A737" i="1"/>
  <c r="A734" i="1"/>
  <c r="A733" i="1"/>
  <c r="A738" i="1"/>
  <c r="C736" i="1"/>
  <c r="B736" i="1" s="1"/>
  <c r="C737" i="1"/>
  <c r="T737" i="1" s="1"/>
  <c r="C734" i="1"/>
  <c r="B734" i="1" s="1"/>
  <c r="C733" i="1"/>
  <c r="B733" i="1" s="1"/>
  <c r="C738" i="1"/>
  <c r="B738" i="1" s="1"/>
  <c r="F736" i="1"/>
  <c r="F737" i="1"/>
  <c r="F734" i="1"/>
  <c r="F733" i="1"/>
  <c r="F738" i="1"/>
  <c r="M736" i="1"/>
  <c r="M737" i="1"/>
  <c r="M734" i="1"/>
  <c r="M733" i="1"/>
  <c r="M738" i="1"/>
  <c r="O736" i="1"/>
  <c r="O737" i="1"/>
  <c r="O734" i="1"/>
  <c r="O733" i="1"/>
  <c r="O738" i="1"/>
  <c r="S736" i="1"/>
  <c r="S737" i="1"/>
  <c r="S734" i="1"/>
  <c r="S733" i="1"/>
  <c r="S738" i="1"/>
  <c r="T736" i="1"/>
  <c r="T734" i="1"/>
  <c r="T733" i="1"/>
  <c r="T738" i="1"/>
  <c r="U736" i="1"/>
  <c r="Y736" i="1" s="1"/>
  <c r="U737" i="1"/>
  <c r="Y737" i="1" s="1"/>
  <c r="U734" i="1"/>
  <c r="Y734" i="1" s="1"/>
  <c r="U733" i="1"/>
  <c r="Y733" i="1" s="1"/>
  <c r="U738" i="1"/>
  <c r="Y738" i="1" s="1"/>
  <c r="V736" i="1"/>
  <c r="W736" i="1" s="1"/>
  <c r="V737" i="1"/>
  <c r="W737" i="1" s="1"/>
  <c r="V734" i="1"/>
  <c r="W734" i="1" s="1"/>
  <c r="V733" i="1"/>
  <c r="W733" i="1" s="1"/>
  <c r="V738" i="1"/>
  <c r="W738" i="1" s="1"/>
  <c r="Z736" i="1"/>
  <c r="Z737" i="1"/>
  <c r="Z734" i="1"/>
  <c r="Z733" i="1"/>
  <c r="Z738" i="1"/>
  <c r="F1153" i="6"/>
  <c r="F1154" i="6"/>
  <c r="F1155" i="6"/>
  <c r="I1153" i="6"/>
  <c r="I1154" i="6"/>
  <c r="I1155" i="6"/>
  <c r="J1153" i="6"/>
  <c r="J1154" i="6"/>
  <c r="J1155" i="6"/>
  <c r="F1149" i="6"/>
  <c r="F1152" i="6"/>
  <c r="I1148" i="6"/>
  <c r="I1149" i="6"/>
  <c r="I1150" i="6"/>
  <c r="I1151" i="6"/>
  <c r="I1152" i="6"/>
  <c r="J1148" i="6"/>
  <c r="J1149" i="6"/>
  <c r="J1150" i="6"/>
  <c r="J1151" i="6"/>
  <c r="J1152" i="6"/>
  <c r="I28" i="16"/>
  <c r="I22" i="16"/>
  <c r="I20" i="16"/>
  <c r="R968" i="1" l="1"/>
  <c r="R986" i="1"/>
  <c r="R2270" i="1"/>
  <c r="R798" i="1"/>
  <c r="D798" i="1" s="1"/>
  <c r="R846" i="1"/>
  <c r="R801" i="1"/>
  <c r="R851" i="1"/>
  <c r="R789" i="1"/>
  <c r="R919" i="1"/>
  <c r="R793" i="1"/>
  <c r="D793" i="1" s="1"/>
  <c r="R834" i="1"/>
  <c r="D834" i="1" s="1"/>
  <c r="R928" i="1"/>
  <c r="R883" i="1"/>
  <c r="D883" i="1" s="1"/>
  <c r="R804" i="1"/>
  <c r="D804" i="1" s="1"/>
  <c r="P773" i="1"/>
  <c r="R943" i="1"/>
  <c r="R847" i="1"/>
  <c r="R802" i="1"/>
  <c r="P800" i="1"/>
  <c r="P799" i="1"/>
  <c r="R841" i="1"/>
  <c r="R924" i="1"/>
  <c r="D924" i="1" s="1"/>
  <c r="R929" i="1"/>
  <c r="R921" i="1"/>
  <c r="R782" i="1"/>
  <c r="R978" i="1"/>
  <c r="R979" i="1"/>
  <c r="R975" i="1"/>
  <c r="D975" i="1" s="1"/>
  <c r="R771" i="1"/>
  <c r="R808" i="1"/>
  <c r="D808" i="1" s="1"/>
  <c r="R1059" i="1"/>
  <c r="P777" i="1"/>
  <c r="R779" i="1"/>
  <c r="R797" i="1"/>
  <c r="D797" i="1" s="1"/>
  <c r="R783" i="1"/>
  <c r="D783" i="1" s="1"/>
  <c r="R780" i="1"/>
  <c r="D780" i="1" s="1"/>
  <c r="R920" i="1"/>
  <c r="D918" i="1" s="1"/>
  <c r="R918" i="1"/>
  <c r="R776" i="1"/>
  <c r="D776" i="1" s="1"/>
  <c r="R933" i="1"/>
  <c r="D933" i="1" s="1"/>
  <c r="R823" i="1"/>
  <c r="D823" i="1" s="1"/>
  <c r="R772" i="1"/>
  <c r="D772" i="1" s="1"/>
  <c r="R806" i="1"/>
  <c r="D806" i="1" s="1"/>
  <c r="I13" i="16"/>
  <c r="I12" i="16"/>
  <c r="D802" i="1"/>
  <c r="D801" i="1"/>
  <c r="P775" i="1"/>
  <c r="D799" i="1"/>
  <c r="D800" i="1"/>
  <c r="X734" i="1"/>
  <c r="X736" i="1"/>
  <c r="X735" i="1"/>
  <c r="X738" i="1"/>
  <c r="X733" i="1"/>
  <c r="X737" i="1"/>
  <c r="D737" i="1"/>
  <c r="D738" i="1"/>
  <c r="D734" i="1"/>
  <c r="D733" i="1"/>
  <c r="D736" i="1"/>
  <c r="B737" i="1"/>
  <c r="Y10" i="16" l="1"/>
  <c r="P737" i="1"/>
  <c r="P736" i="1"/>
  <c r="Q775" i="1"/>
  <c r="P733" i="1"/>
  <c r="P734" i="1"/>
  <c r="V10" i="16"/>
  <c r="V17" i="16" s="1"/>
  <c r="R10" i="16"/>
  <c r="R17" i="16" s="1"/>
  <c r="N10" i="16"/>
  <c r="N17" i="16" s="1"/>
  <c r="D2270" i="1"/>
  <c r="W10" i="16"/>
  <c r="W17" i="16" s="1"/>
  <c r="S10" i="16"/>
  <c r="S17" i="16" s="1"/>
  <c r="O10" i="16"/>
  <c r="O17" i="16" s="1"/>
  <c r="X10" i="16"/>
  <c r="T10" i="16"/>
  <c r="T17" i="16" s="1"/>
  <c r="P10" i="16"/>
  <c r="P17" i="16" s="1"/>
  <c r="U10" i="16"/>
  <c r="U17" i="16" s="1"/>
  <c r="Q10" i="16"/>
  <c r="Q17" i="16" s="1"/>
  <c r="M10" i="16"/>
  <c r="M17" i="16" s="1"/>
  <c r="Q800" i="1"/>
  <c r="Q773" i="1"/>
  <c r="P738" i="1"/>
  <c r="P735" i="1"/>
  <c r="Q777" i="1"/>
  <c r="Q799" i="1"/>
  <c r="F1146" i="6"/>
  <c r="F1147" i="6"/>
  <c r="I1146" i="6"/>
  <c r="I1147" i="6"/>
  <c r="J1146" i="6"/>
  <c r="J1147" i="6"/>
  <c r="O916" i="1"/>
  <c r="F1122" i="6"/>
  <c r="I1122" i="6"/>
  <c r="J1122" i="6"/>
  <c r="F1124" i="6"/>
  <c r="F1125" i="6"/>
  <c r="F1134" i="6"/>
  <c r="F1145" i="6"/>
  <c r="I1124" i="6"/>
  <c r="I1125" i="6"/>
  <c r="I1134" i="6"/>
  <c r="I1145" i="6"/>
  <c r="J1124" i="6"/>
  <c r="J1125" i="6"/>
  <c r="J1134" i="6"/>
  <c r="J1145" i="6"/>
  <c r="A805" i="1"/>
  <c r="C805" i="1"/>
  <c r="B805" i="1" s="1"/>
  <c r="F805" i="1"/>
  <c r="M805" i="1"/>
  <c r="O805" i="1"/>
  <c r="T805" i="1"/>
  <c r="U805" i="1"/>
  <c r="Y805" i="1" s="1"/>
  <c r="V805" i="1"/>
  <c r="W805" i="1" s="1"/>
  <c r="Z805" i="1"/>
  <c r="A803" i="1"/>
  <c r="C803" i="1"/>
  <c r="B803" i="1" s="1"/>
  <c r="F803" i="1"/>
  <c r="M803" i="1"/>
  <c r="O803" i="1"/>
  <c r="U803" i="1"/>
  <c r="Y803" i="1" s="1"/>
  <c r="V803" i="1"/>
  <c r="W803" i="1" s="1"/>
  <c r="Z803" i="1"/>
  <c r="A778" i="1"/>
  <c r="C778" i="1"/>
  <c r="B778" i="1" s="1"/>
  <c r="F778" i="1"/>
  <c r="M778" i="1"/>
  <c r="U778" i="1"/>
  <c r="Y778" i="1" s="1"/>
  <c r="V778" i="1"/>
  <c r="W778" i="1" s="1"/>
  <c r="Z778" i="1"/>
  <c r="A745" i="1"/>
  <c r="C745" i="1"/>
  <c r="B745" i="1" s="1"/>
  <c r="D745" i="1"/>
  <c r="F745" i="1"/>
  <c r="M745" i="1"/>
  <c r="O745" i="1"/>
  <c r="S745" i="1"/>
  <c r="T745" i="1"/>
  <c r="U745" i="1"/>
  <c r="Y745" i="1" s="1"/>
  <c r="V745" i="1"/>
  <c r="W745" i="1" s="1"/>
  <c r="Z745" i="1"/>
  <c r="A768" i="1"/>
  <c r="A769" i="1"/>
  <c r="A770" i="1"/>
  <c r="C768" i="1"/>
  <c r="B768" i="1" s="1"/>
  <c r="C769" i="1"/>
  <c r="B769" i="1" s="1"/>
  <c r="C770" i="1"/>
  <c r="B770" i="1" s="1"/>
  <c r="F768" i="1"/>
  <c r="F769" i="1"/>
  <c r="F770" i="1"/>
  <c r="M768" i="1"/>
  <c r="M769" i="1"/>
  <c r="M770" i="1"/>
  <c r="O768" i="1"/>
  <c r="O769" i="1"/>
  <c r="O770" i="1"/>
  <c r="T768" i="1"/>
  <c r="T769" i="1"/>
  <c r="T770" i="1"/>
  <c r="U768" i="1"/>
  <c r="Y768" i="1" s="1"/>
  <c r="U769" i="1"/>
  <c r="Y769" i="1" s="1"/>
  <c r="U770" i="1"/>
  <c r="Y770" i="1" s="1"/>
  <c r="V768" i="1"/>
  <c r="W768" i="1" s="1"/>
  <c r="V769" i="1"/>
  <c r="W769" i="1" s="1"/>
  <c r="V770" i="1"/>
  <c r="W770" i="1" s="1"/>
  <c r="Z768" i="1"/>
  <c r="Z769" i="1"/>
  <c r="Z770" i="1"/>
  <c r="A714" i="1"/>
  <c r="C714" i="1"/>
  <c r="B714" i="1" s="1"/>
  <c r="D714" i="1"/>
  <c r="F714" i="1"/>
  <c r="M714" i="1"/>
  <c r="O714" i="1"/>
  <c r="S714" i="1"/>
  <c r="T714" i="1"/>
  <c r="U714" i="1"/>
  <c r="Y714" i="1" s="1"/>
  <c r="V714" i="1"/>
  <c r="W714" i="1" s="1"/>
  <c r="Z714" i="1"/>
  <c r="M127" i="1"/>
  <c r="O127" i="1"/>
  <c r="M128" i="1"/>
  <c r="O128" i="1"/>
  <c r="M129" i="1"/>
  <c r="O129" i="1"/>
  <c r="M130" i="1"/>
  <c r="O130" i="1"/>
  <c r="M131" i="1"/>
  <c r="O131" i="1"/>
  <c r="M132" i="1"/>
  <c r="O132" i="1"/>
  <c r="M217" i="1"/>
  <c r="O217" i="1"/>
  <c r="M218" i="1"/>
  <c r="O218" i="1"/>
  <c r="M219" i="1"/>
  <c r="O219" i="1"/>
  <c r="M220" i="1"/>
  <c r="O220" i="1"/>
  <c r="M221" i="1"/>
  <c r="O221" i="1"/>
  <c r="M222" i="1"/>
  <c r="O222" i="1"/>
  <c r="M305" i="1"/>
  <c r="O305" i="1"/>
  <c r="M307" i="1"/>
  <c r="O307" i="1"/>
  <c r="M304" i="1"/>
  <c r="O304" i="1"/>
  <c r="M308" i="1"/>
  <c r="O308" i="1"/>
  <c r="M303" i="1"/>
  <c r="O303" i="1"/>
  <c r="M306" i="1"/>
  <c r="O306" i="1"/>
  <c r="M408" i="1"/>
  <c r="O408" i="1"/>
  <c r="M407" i="1"/>
  <c r="O407" i="1"/>
  <c r="M409" i="1"/>
  <c r="O409" i="1"/>
  <c r="M412" i="1"/>
  <c r="O412" i="1"/>
  <c r="M410" i="1"/>
  <c r="O410" i="1"/>
  <c r="M411" i="1"/>
  <c r="O411" i="1"/>
  <c r="M482" i="1"/>
  <c r="O482" i="1"/>
  <c r="M509" i="1"/>
  <c r="O509" i="1"/>
  <c r="M511" i="1"/>
  <c r="O511" i="1"/>
  <c r="M510" i="1"/>
  <c r="O510" i="1"/>
  <c r="M514" i="1"/>
  <c r="O514" i="1"/>
  <c r="M512" i="1"/>
  <c r="O512" i="1"/>
  <c r="M513" i="1"/>
  <c r="O513" i="1"/>
  <c r="M624" i="1"/>
  <c r="O624" i="1"/>
  <c r="M620" i="1"/>
  <c r="O620" i="1"/>
  <c r="M625" i="1"/>
  <c r="O625" i="1"/>
  <c r="M621" i="1"/>
  <c r="O621" i="1"/>
  <c r="M623" i="1"/>
  <c r="O623" i="1"/>
  <c r="M622" i="1"/>
  <c r="O622" i="1"/>
  <c r="M39" i="1"/>
  <c r="O39" i="1"/>
  <c r="M139" i="1"/>
  <c r="O139" i="1"/>
  <c r="M483" i="1"/>
  <c r="O483" i="1"/>
  <c r="M311" i="1"/>
  <c r="O311" i="1"/>
  <c r="M6" i="1"/>
  <c r="O6" i="1"/>
  <c r="M7" i="1"/>
  <c r="O7" i="1"/>
  <c r="M241" i="1"/>
  <c r="O241" i="1"/>
  <c r="M242" i="1"/>
  <c r="O242" i="1"/>
  <c r="M617" i="1"/>
  <c r="O617" i="1"/>
  <c r="M58" i="1"/>
  <c r="O58" i="1"/>
  <c r="M133" i="1"/>
  <c r="O133" i="1"/>
  <c r="M687" i="1"/>
  <c r="O687" i="1"/>
  <c r="M688" i="1"/>
  <c r="O688" i="1"/>
  <c r="M689" i="1"/>
  <c r="O689" i="1"/>
  <c r="M8" i="1"/>
  <c r="O8" i="1"/>
  <c r="M9" i="1"/>
  <c r="O9" i="1"/>
  <c r="M10" i="1"/>
  <c r="O10" i="1"/>
  <c r="M11" i="1"/>
  <c r="O11" i="1"/>
  <c r="M12" i="1"/>
  <c r="O12" i="1"/>
  <c r="M261" i="1"/>
  <c r="O261" i="1"/>
  <c r="M79" i="1"/>
  <c r="O79" i="1"/>
  <c r="M155" i="1"/>
  <c r="O155" i="1"/>
  <c r="M171" i="1"/>
  <c r="O171" i="1"/>
  <c r="M192" i="1"/>
  <c r="O192" i="1"/>
  <c r="M240" i="1"/>
  <c r="O240" i="1"/>
  <c r="M263" i="1"/>
  <c r="O263" i="1"/>
  <c r="M301" i="1"/>
  <c r="O301" i="1"/>
  <c r="M378" i="1"/>
  <c r="O378" i="1"/>
  <c r="M493" i="1"/>
  <c r="O493" i="1"/>
  <c r="M519" i="1"/>
  <c r="O519" i="1"/>
  <c r="M618" i="1"/>
  <c r="O618" i="1"/>
  <c r="M658" i="1"/>
  <c r="O658" i="1"/>
  <c r="M416" i="1"/>
  <c r="O416" i="1"/>
  <c r="M680" i="1"/>
  <c r="O680" i="1"/>
  <c r="M17" i="1"/>
  <c r="O17" i="1"/>
  <c r="M103" i="1"/>
  <c r="O103" i="1"/>
  <c r="M174" i="1"/>
  <c r="O174" i="1"/>
  <c r="M281" i="1"/>
  <c r="O281" i="1"/>
  <c r="M360" i="1"/>
  <c r="O360" i="1"/>
  <c r="M484" i="1"/>
  <c r="O484" i="1"/>
  <c r="M585" i="1"/>
  <c r="O585" i="1"/>
  <c r="M586" i="1"/>
  <c r="O586" i="1"/>
  <c r="M16" i="1"/>
  <c r="O16" i="1"/>
  <c r="M226" i="1"/>
  <c r="O226" i="1"/>
  <c r="M260" i="1"/>
  <c r="O260" i="1"/>
  <c r="M525" i="1"/>
  <c r="O525" i="1"/>
  <c r="M564" i="1"/>
  <c r="O564" i="1"/>
  <c r="M700" i="1"/>
  <c r="O700" i="1"/>
  <c r="M822" i="1"/>
  <c r="O822" i="1"/>
  <c r="M138" i="1"/>
  <c r="O138" i="1"/>
  <c r="M160" i="1"/>
  <c r="O160" i="1"/>
  <c r="M394" i="1"/>
  <c r="O394" i="1"/>
  <c r="M628" i="1"/>
  <c r="O628" i="1"/>
  <c r="M685" i="1"/>
  <c r="O685" i="1"/>
  <c r="M629" i="1"/>
  <c r="O629" i="1"/>
  <c r="M50" i="1"/>
  <c r="O50" i="1"/>
  <c r="M93" i="1"/>
  <c r="O93" i="1"/>
  <c r="M94" i="1"/>
  <c r="O94" i="1"/>
  <c r="M190" i="1"/>
  <c r="O190" i="1"/>
  <c r="M328" i="1"/>
  <c r="O328" i="1"/>
  <c r="M437" i="1"/>
  <c r="O437" i="1"/>
  <c r="M497" i="1"/>
  <c r="O497" i="1"/>
  <c r="M546" i="1"/>
  <c r="O546" i="1"/>
  <c r="M674" i="1"/>
  <c r="O674" i="1"/>
  <c r="M732" i="1"/>
  <c r="O732" i="1"/>
  <c r="M774" i="1"/>
  <c r="O774" i="1"/>
  <c r="M126" i="1"/>
  <c r="O126" i="1"/>
  <c r="M676" i="1"/>
  <c r="O676" i="1"/>
  <c r="M48" i="1"/>
  <c r="O48" i="1"/>
  <c r="M492" i="1"/>
  <c r="O492" i="1"/>
  <c r="M583" i="1"/>
  <c r="O583" i="1"/>
  <c r="M359" i="1"/>
  <c r="O359" i="1"/>
  <c r="M27" i="1"/>
  <c r="O27" i="1"/>
  <c r="M2" i="1"/>
  <c r="O2" i="1"/>
  <c r="M44" i="1"/>
  <c r="O44" i="1"/>
  <c r="M45" i="1"/>
  <c r="O45" i="1"/>
  <c r="M99" i="1"/>
  <c r="O99" i="1"/>
  <c r="M137" i="1"/>
  <c r="O137" i="1"/>
  <c r="M191" i="1"/>
  <c r="O191" i="1"/>
  <c r="M197" i="1"/>
  <c r="O197" i="1"/>
  <c r="M309" i="1"/>
  <c r="O309" i="1"/>
  <c r="M381" i="1"/>
  <c r="O381" i="1"/>
  <c r="M406" i="1"/>
  <c r="O406" i="1"/>
  <c r="M508" i="1"/>
  <c r="O508" i="1"/>
  <c r="M495" i="1"/>
  <c r="O495" i="1"/>
  <c r="M616" i="1"/>
  <c r="O616" i="1"/>
  <c r="M655" i="1"/>
  <c r="O655" i="1"/>
  <c r="M677" i="1"/>
  <c r="O677" i="1"/>
  <c r="M686" i="1"/>
  <c r="O686" i="1"/>
  <c r="M698" i="1"/>
  <c r="O698" i="1"/>
  <c r="M183" i="1"/>
  <c r="O183" i="1"/>
  <c r="M198" i="1"/>
  <c r="O198" i="1"/>
  <c r="M280" i="1"/>
  <c r="O280" i="1"/>
  <c r="M665" i="1"/>
  <c r="O665" i="1"/>
  <c r="M33" i="1"/>
  <c r="O33" i="1"/>
  <c r="M3" i="1"/>
  <c r="O3" i="1"/>
  <c r="M63" i="1"/>
  <c r="O63" i="1"/>
  <c r="M40" i="1"/>
  <c r="O40" i="1"/>
  <c r="M193" i="1"/>
  <c r="O193" i="1"/>
  <c r="M609" i="1"/>
  <c r="O609" i="1"/>
  <c r="M608" i="1"/>
  <c r="O608" i="1"/>
  <c r="O150" i="1"/>
  <c r="O176" i="1"/>
  <c r="O234" i="1"/>
  <c r="O319" i="1"/>
  <c r="O456" i="1"/>
  <c r="O457" i="1"/>
  <c r="O488" i="1"/>
  <c r="O595" i="1"/>
  <c r="O666" i="1"/>
  <c r="O750" i="1"/>
  <c r="O751" i="1"/>
  <c r="O859" i="1"/>
  <c r="O860" i="1"/>
  <c r="O790" i="1"/>
  <c r="O14" i="1"/>
  <c r="O15" i="1"/>
  <c r="O100" i="1"/>
  <c r="O101" i="1"/>
  <c r="O177" i="1"/>
  <c r="O326" i="1"/>
  <c r="O372" i="1"/>
  <c r="O468" i="1"/>
  <c r="O597" i="1"/>
  <c r="O678" i="1"/>
  <c r="O199" i="1"/>
  <c r="O236" i="1"/>
  <c r="O235" i="1"/>
  <c r="O237" i="1"/>
  <c r="O422" i="1"/>
  <c r="O423" i="1"/>
  <c r="O642" i="1"/>
  <c r="O826" i="1"/>
  <c r="O828" i="1"/>
  <c r="O827" i="1"/>
  <c r="O874" i="1"/>
  <c r="O931" i="1"/>
  <c r="O73" i="1"/>
  <c r="O875" i="1"/>
  <c r="O932" i="1"/>
  <c r="O876" i="1"/>
  <c r="O120" i="1"/>
  <c r="O246" i="1"/>
  <c r="O364" i="1"/>
  <c r="O499" i="1"/>
  <c r="O500" i="1"/>
  <c r="O38" i="1"/>
  <c r="O379" i="1"/>
  <c r="O489" i="1"/>
  <c r="O83" i="1"/>
  <c r="O338" i="1"/>
  <c r="O339" i="1"/>
  <c r="O667" i="1"/>
  <c r="O903" i="1"/>
  <c r="O64" i="1"/>
  <c r="O121" i="1"/>
  <c r="O211" i="1"/>
  <c r="O295" i="1"/>
  <c r="O296" i="1"/>
  <c r="O397" i="1"/>
  <c r="O501" i="1"/>
  <c r="O502" i="1"/>
  <c r="O539" i="1"/>
  <c r="O373" i="1"/>
  <c r="O194" i="1"/>
  <c r="O340" i="1"/>
  <c r="O398" i="1"/>
  <c r="O503" i="1"/>
  <c r="O610" i="1"/>
  <c r="O844" i="1"/>
  <c r="O65" i="1"/>
  <c r="O88" i="1"/>
  <c r="O41" i="1"/>
  <c r="O89" i="1"/>
  <c r="O151" i="1"/>
  <c r="O90" i="1"/>
  <c r="O259" i="1"/>
  <c r="O327" i="1"/>
  <c r="O458" i="1"/>
  <c r="O462" i="1"/>
  <c r="O469" i="1"/>
  <c r="O845" i="1"/>
  <c r="O77" i="1"/>
  <c r="O413" i="1"/>
  <c r="O414" i="1"/>
  <c r="O415" i="1"/>
  <c r="O1017" i="1"/>
  <c r="O554" i="1"/>
  <c r="O565" i="1"/>
  <c r="O135" i="1"/>
  <c r="O152" i="1"/>
  <c r="O424" i="1"/>
  <c r="O668" i="1"/>
  <c r="O752" i="1"/>
  <c r="O425" i="1"/>
  <c r="O426" i="1"/>
  <c r="O561" i="1"/>
  <c r="O718" i="1"/>
  <c r="O719" i="1"/>
  <c r="O720" i="1"/>
  <c r="O721" i="1"/>
  <c r="O205" i="1"/>
  <c r="O285" i="1"/>
  <c r="O34" i="1"/>
  <c r="O96" i="1"/>
  <c r="O162" i="1"/>
  <c r="O163" i="1"/>
  <c r="O269" i="1"/>
  <c r="O346" i="1"/>
  <c r="O470" i="1"/>
  <c r="O544" i="1"/>
  <c r="O49" i="1"/>
  <c r="O29" i="1"/>
  <c r="O116" i="1"/>
  <c r="O188" i="1"/>
  <c r="O225" i="1"/>
  <c r="O238" i="1"/>
  <c r="O278" i="1"/>
  <c r="O276" i="1"/>
  <c r="O380" i="1"/>
  <c r="O481" i="1"/>
  <c r="O526" i="1"/>
  <c r="O545" i="1"/>
  <c r="O548" i="1"/>
  <c r="O584" i="1"/>
  <c r="O836" i="1"/>
  <c r="O164" i="1"/>
  <c r="O165" i="1"/>
  <c r="O347" i="1"/>
  <c r="O348" i="1"/>
  <c r="O723" i="1"/>
  <c r="O724" i="1"/>
  <c r="O109" i="1"/>
  <c r="O110" i="1"/>
  <c r="O178" i="1"/>
  <c r="O320" i="1"/>
  <c r="O179" i="1"/>
  <c r="O321" i="1"/>
  <c r="O322" i="1"/>
  <c r="O388" i="1"/>
  <c r="O389" i="1"/>
  <c r="O540" i="1"/>
  <c r="O643" i="1"/>
  <c r="O644" i="1"/>
  <c r="O645" i="1"/>
  <c r="O753" i="1"/>
  <c r="O791" i="1"/>
  <c r="O866" i="1"/>
  <c r="O867" i="1"/>
  <c r="O934" i="1"/>
  <c r="O935" i="1"/>
  <c r="O180" i="1"/>
  <c r="O323" i="1"/>
  <c r="O102" i="1"/>
  <c r="O153" i="1"/>
  <c r="O185" i="1"/>
  <c r="O247" i="1"/>
  <c r="O287" i="1"/>
  <c r="O342" i="1"/>
  <c r="O341" i="1"/>
  <c r="O390" i="1"/>
  <c r="O471" i="1"/>
  <c r="O472" i="1"/>
  <c r="O541" i="1"/>
  <c r="O559" i="1"/>
  <c r="O710" i="1"/>
  <c r="O711" i="1"/>
  <c r="O761" i="1"/>
  <c r="O848" i="1"/>
  <c r="O877" i="1"/>
  <c r="O878" i="1"/>
  <c r="O24" i="1"/>
  <c r="O25" i="1"/>
  <c r="O107" i="1"/>
  <c r="O66" i="1"/>
  <c r="O122" i="1"/>
  <c r="O212" i="1"/>
  <c r="O357" i="1"/>
  <c r="O399" i="1"/>
  <c r="O504" i="1"/>
  <c r="O604" i="1"/>
  <c r="O725" i="1"/>
  <c r="O84" i="1"/>
  <c r="O85" i="1"/>
  <c r="O343" i="1"/>
  <c r="O374" i="1"/>
  <c r="O490" i="1"/>
  <c r="O669" i="1"/>
  <c r="O722" i="1"/>
  <c r="O813" i="1"/>
  <c r="O646" i="1"/>
  <c r="O904" i="1"/>
  <c r="O400" i="1"/>
  <c r="O670" i="1"/>
  <c r="O181" i="1"/>
  <c r="O35" i="1"/>
  <c r="O36" i="1"/>
  <c r="O114" i="1"/>
  <c r="O115" i="1"/>
  <c r="O166" i="1"/>
  <c r="O167" i="1"/>
  <c r="O271" i="1"/>
  <c r="O272" i="1"/>
  <c r="O350" i="1"/>
  <c r="O349" i="1"/>
  <c r="O351" i="1"/>
  <c r="O352" i="1"/>
  <c r="O475" i="1"/>
  <c r="O476" i="1"/>
  <c r="O474" i="1"/>
  <c r="O473" i="1"/>
  <c r="O580" i="1"/>
  <c r="O581" i="1"/>
  <c r="O579" i="1"/>
  <c r="O578" i="1"/>
  <c r="O727" i="1"/>
  <c r="O726" i="1"/>
  <c r="O67" i="1"/>
  <c r="O68" i="1"/>
  <c r="O123" i="1"/>
  <c r="O203" i="1"/>
  <c r="O297" i="1"/>
  <c r="O403" i="1"/>
  <c r="O401" i="1"/>
  <c r="O402" i="1"/>
  <c r="O505" i="1"/>
  <c r="O605" i="1"/>
  <c r="O606" i="1"/>
  <c r="O728" i="1"/>
  <c r="O69" i="1"/>
  <c r="O124" i="1"/>
  <c r="O213" i="1"/>
  <c r="O298" i="1"/>
  <c r="O404" i="1"/>
  <c r="O506" i="1"/>
  <c r="O647" i="1"/>
  <c r="O729" i="1"/>
  <c r="O182" i="1"/>
  <c r="O427" i="1"/>
  <c r="O428" i="1"/>
  <c r="O868" i="1"/>
  <c r="O869" i="1"/>
  <c r="O78" i="1"/>
  <c r="O712" i="1"/>
  <c r="O112" i="1"/>
  <c r="O353" i="1"/>
  <c r="O696" i="1"/>
  <c r="O694" i="1"/>
  <c r="O697" i="1"/>
  <c r="O344" i="1"/>
  <c r="O558" i="1"/>
  <c r="O195" i="1"/>
  <c r="O196" i="1"/>
  <c r="O159" i="1"/>
  <c r="O430" i="1"/>
  <c r="O429" i="1"/>
  <c r="O431" i="1"/>
  <c r="O432" i="1"/>
  <c r="O861" i="1"/>
  <c r="O37" i="1"/>
  <c r="O97" i="1"/>
  <c r="O168" i="1"/>
  <c r="O273" i="1"/>
  <c r="O447" i="1"/>
  <c r="O446" i="1"/>
  <c r="O354" i="1"/>
  <c r="O448" i="1"/>
  <c r="O449" i="1"/>
  <c r="O477" i="1"/>
  <c r="O615" i="1"/>
  <c r="O671" i="1"/>
  <c r="O760" i="1"/>
  <c r="O562" i="1"/>
  <c r="O417" i="1"/>
  <c r="O42" i="1"/>
  <c r="O92" i="1"/>
  <c r="O169" i="1"/>
  <c r="O274" i="1"/>
  <c r="O355" i="1"/>
  <c r="O450" i="1"/>
  <c r="O542" i="1"/>
  <c r="O673" i="1"/>
  <c r="O98" i="1"/>
  <c r="O187" i="1"/>
  <c r="O275" i="1"/>
  <c r="O365" i="1"/>
  <c r="O478" i="1"/>
  <c r="O582" i="1"/>
  <c r="O743" i="1"/>
  <c r="O206" i="1"/>
  <c r="O420" i="1"/>
  <c r="O86" i="1"/>
  <c r="O87" i="1"/>
  <c r="O214" i="1"/>
  <c r="O249" i="1"/>
  <c r="O248" i="1"/>
  <c r="O251" i="1"/>
  <c r="O250" i="1"/>
  <c r="O433" i="1"/>
  <c r="O434" i="1"/>
  <c r="O549" i="1"/>
  <c r="O550" i="1"/>
  <c r="O551" i="1"/>
  <c r="O552" i="1"/>
  <c r="O648" i="1"/>
  <c r="O649" i="1"/>
  <c r="O650" i="1"/>
  <c r="O651" i="1"/>
  <c r="O754" i="1"/>
  <c r="O755" i="1"/>
  <c r="O756" i="1"/>
  <c r="O830" i="1"/>
  <c r="O831" i="1"/>
  <c r="O850" i="1"/>
  <c r="O892" i="1"/>
  <c r="O893" i="1"/>
  <c r="O894" i="1"/>
  <c r="O204" i="1"/>
  <c r="O279" i="1"/>
  <c r="O391" i="1"/>
  <c r="O418" i="1"/>
  <c r="O491" i="1"/>
  <c r="O563" i="1"/>
  <c r="O652" i="1"/>
  <c r="O852" i="1"/>
  <c r="O853" i="1"/>
  <c r="O111" i="1"/>
  <c r="O612" i="1"/>
  <c r="O613" i="1"/>
  <c r="O70" i="1"/>
  <c r="O125" i="1"/>
  <c r="O215" i="1"/>
  <c r="O216" i="1"/>
  <c r="O300" i="1"/>
  <c r="O299" i="1"/>
  <c r="O405" i="1"/>
  <c r="O507" i="1"/>
  <c r="O607" i="1"/>
  <c r="O730" i="1"/>
  <c r="O91" i="1"/>
  <c r="O154" i="1"/>
  <c r="O239" i="1"/>
  <c r="O324" i="1"/>
  <c r="O392" i="1"/>
  <c r="O435" i="1"/>
  <c r="O452" i="1"/>
  <c r="O451" i="1"/>
  <c r="O453" i="1"/>
  <c r="O543" i="1"/>
  <c r="O653" i="1"/>
  <c r="O654" i="1"/>
  <c r="O757" i="1"/>
  <c r="O832" i="1"/>
  <c r="O905" i="1"/>
  <c r="M14" i="1"/>
  <c r="M15" i="1"/>
  <c r="M100" i="1"/>
  <c r="M101" i="1"/>
  <c r="M177" i="1"/>
  <c r="M326" i="1"/>
  <c r="M372" i="1"/>
  <c r="M468" i="1"/>
  <c r="M597" i="1"/>
  <c r="M678" i="1"/>
  <c r="M199" i="1"/>
  <c r="M236" i="1"/>
  <c r="M235" i="1"/>
  <c r="M237" i="1"/>
  <c r="M422" i="1"/>
  <c r="M423" i="1"/>
  <c r="M642" i="1"/>
  <c r="M826" i="1"/>
  <c r="M828" i="1"/>
  <c r="M827" i="1"/>
  <c r="M874" i="1"/>
  <c r="M931" i="1"/>
  <c r="M73" i="1"/>
  <c r="M875" i="1"/>
  <c r="M932" i="1"/>
  <c r="M876" i="1"/>
  <c r="M120" i="1"/>
  <c r="M246" i="1"/>
  <c r="M364" i="1"/>
  <c r="M499" i="1"/>
  <c r="M500" i="1"/>
  <c r="M38" i="1"/>
  <c r="M379" i="1"/>
  <c r="M489" i="1"/>
  <c r="M83" i="1"/>
  <c r="M338" i="1"/>
  <c r="M339" i="1"/>
  <c r="M667" i="1"/>
  <c r="M903" i="1"/>
  <c r="M64" i="1"/>
  <c r="M121" i="1"/>
  <c r="M211" i="1"/>
  <c r="M295" i="1"/>
  <c r="M296" i="1"/>
  <c r="M397" i="1"/>
  <c r="M501" i="1"/>
  <c r="M502" i="1"/>
  <c r="M539" i="1"/>
  <c r="M679" i="1"/>
  <c r="M373" i="1"/>
  <c r="M194" i="1"/>
  <c r="M340" i="1"/>
  <c r="M398" i="1"/>
  <c r="M503" i="1"/>
  <c r="M610" i="1"/>
  <c r="M844" i="1"/>
  <c r="M65" i="1"/>
  <c r="M88" i="1"/>
  <c r="M41" i="1"/>
  <c r="M89" i="1"/>
  <c r="M151" i="1"/>
  <c r="M90" i="1"/>
  <c r="M259" i="1"/>
  <c r="M327" i="1"/>
  <c r="M458" i="1"/>
  <c r="M462" i="1"/>
  <c r="M469" i="1"/>
  <c r="M845" i="1"/>
  <c r="M77" i="1"/>
  <c r="M413" i="1"/>
  <c r="M414" i="1"/>
  <c r="M415" i="1"/>
  <c r="M1017" i="1"/>
  <c r="M554" i="1"/>
  <c r="M565" i="1"/>
  <c r="M135" i="1"/>
  <c r="M152" i="1"/>
  <c r="M424" i="1"/>
  <c r="M668" i="1"/>
  <c r="M752" i="1"/>
  <c r="M425" i="1"/>
  <c r="M426" i="1"/>
  <c r="M561" i="1"/>
  <c r="M718" i="1"/>
  <c r="M719" i="1"/>
  <c r="M720" i="1"/>
  <c r="M721" i="1"/>
  <c r="M205" i="1"/>
  <c r="M285" i="1"/>
  <c r="M34" i="1"/>
  <c r="M96" i="1"/>
  <c r="M162" i="1"/>
  <c r="M163" i="1"/>
  <c r="M269" i="1"/>
  <c r="M346" i="1"/>
  <c r="M470" i="1"/>
  <c r="M544" i="1"/>
  <c r="M672" i="1"/>
  <c r="M49" i="1"/>
  <c r="M29" i="1"/>
  <c r="M116" i="1"/>
  <c r="M188" i="1"/>
  <c r="M225" i="1"/>
  <c r="M238" i="1"/>
  <c r="M278" i="1"/>
  <c r="M276" i="1"/>
  <c r="M380" i="1"/>
  <c r="M481" i="1"/>
  <c r="M526" i="1"/>
  <c r="M545" i="1"/>
  <c r="M548" i="1"/>
  <c r="M584" i="1"/>
  <c r="M836" i="1"/>
  <c r="M164" i="1"/>
  <c r="M165" i="1"/>
  <c r="M347" i="1"/>
  <c r="M348" i="1"/>
  <c r="M723" i="1"/>
  <c r="M724" i="1"/>
  <c r="M109" i="1"/>
  <c r="M110" i="1"/>
  <c r="M178" i="1"/>
  <c r="M320" i="1"/>
  <c r="M179" i="1"/>
  <c r="M321" i="1"/>
  <c r="M322" i="1"/>
  <c r="M388" i="1"/>
  <c r="M389" i="1"/>
  <c r="M540" i="1"/>
  <c r="M643" i="1"/>
  <c r="M644" i="1"/>
  <c r="M645" i="1"/>
  <c r="M753" i="1"/>
  <c r="M791" i="1"/>
  <c r="M866" i="1"/>
  <c r="M867" i="1"/>
  <c r="M934" i="1"/>
  <c r="M935" i="1"/>
  <c r="M180" i="1"/>
  <c r="M323" i="1"/>
  <c r="M102" i="1"/>
  <c r="M153" i="1"/>
  <c r="M185" i="1"/>
  <c r="M247" i="1"/>
  <c r="M287" i="1"/>
  <c r="M342" i="1"/>
  <c r="M341" i="1"/>
  <c r="M390" i="1"/>
  <c r="M471" i="1"/>
  <c r="M472" i="1"/>
  <c r="M541" i="1"/>
  <c r="M559" i="1"/>
  <c r="M710" i="1"/>
  <c r="M711" i="1"/>
  <c r="M761" i="1"/>
  <c r="M848" i="1"/>
  <c r="M877" i="1"/>
  <c r="M878" i="1"/>
  <c r="M24" i="1"/>
  <c r="M25" i="1"/>
  <c r="M107" i="1"/>
  <c r="M66" i="1"/>
  <c r="M122" i="1"/>
  <c r="M212" i="1"/>
  <c r="M357" i="1"/>
  <c r="M399" i="1"/>
  <c r="M504" i="1"/>
  <c r="M604" i="1"/>
  <c r="M725" i="1"/>
  <c r="M84" i="1"/>
  <c r="M85" i="1"/>
  <c r="M343" i="1"/>
  <c r="M374" i="1"/>
  <c r="M490" i="1"/>
  <c r="M669" i="1"/>
  <c r="M722" i="1"/>
  <c r="M792" i="1"/>
  <c r="M813" i="1"/>
  <c r="M646" i="1"/>
  <c r="M904" i="1"/>
  <c r="M400" i="1"/>
  <c r="M670" i="1"/>
  <c r="M181" i="1"/>
  <c r="M35" i="1"/>
  <c r="M36" i="1"/>
  <c r="M114" i="1"/>
  <c r="M115" i="1"/>
  <c r="M166" i="1"/>
  <c r="M167" i="1"/>
  <c r="M271" i="1"/>
  <c r="M272" i="1"/>
  <c r="M350" i="1"/>
  <c r="M349" i="1"/>
  <c r="M351" i="1"/>
  <c r="M352" i="1"/>
  <c r="M475" i="1"/>
  <c r="M476" i="1"/>
  <c r="M474" i="1"/>
  <c r="M473" i="1"/>
  <c r="M580" i="1"/>
  <c r="M581" i="1"/>
  <c r="M579" i="1"/>
  <c r="M578" i="1"/>
  <c r="M727" i="1"/>
  <c r="M726" i="1"/>
  <c r="M916" i="1"/>
  <c r="M67" i="1"/>
  <c r="M68" i="1"/>
  <c r="M123" i="1"/>
  <c r="M203" i="1"/>
  <c r="M297" i="1"/>
  <c r="M403" i="1"/>
  <c r="M401" i="1"/>
  <c r="M402" i="1"/>
  <c r="M505" i="1"/>
  <c r="M605" i="1"/>
  <c r="M606" i="1"/>
  <c r="M728" i="1"/>
  <c r="M69" i="1"/>
  <c r="M124" i="1"/>
  <c r="M213" i="1"/>
  <c r="M298" i="1"/>
  <c r="M404" i="1"/>
  <c r="M506" i="1"/>
  <c r="M647" i="1"/>
  <c r="M729" i="1"/>
  <c r="M182" i="1"/>
  <c r="M427" i="1"/>
  <c r="M428" i="1"/>
  <c r="M868" i="1"/>
  <c r="M869" i="1"/>
  <c r="M78" i="1"/>
  <c r="M712" i="1"/>
  <c r="M112" i="1"/>
  <c r="M353" i="1"/>
  <c r="M696" i="1"/>
  <c r="M694" i="1"/>
  <c r="M697" i="1"/>
  <c r="M344" i="1"/>
  <c r="M558" i="1"/>
  <c r="M195" i="1"/>
  <c r="M196" i="1"/>
  <c r="M159" i="1"/>
  <c r="M430" i="1"/>
  <c r="M429" i="1"/>
  <c r="M431" i="1"/>
  <c r="M432" i="1"/>
  <c r="M861" i="1"/>
  <c r="M37" i="1"/>
  <c r="M97" i="1"/>
  <c r="M168" i="1"/>
  <c r="M273" i="1"/>
  <c r="M447" i="1"/>
  <c r="M446" i="1"/>
  <c r="M354" i="1"/>
  <c r="M448" i="1"/>
  <c r="M449" i="1"/>
  <c r="M477" i="1"/>
  <c r="M615" i="1"/>
  <c r="M671" i="1"/>
  <c r="M760" i="1"/>
  <c r="M562" i="1"/>
  <c r="M417" i="1"/>
  <c r="M42" i="1"/>
  <c r="M92" i="1"/>
  <c r="M169" i="1"/>
  <c r="M274" i="1"/>
  <c r="M355" i="1"/>
  <c r="M450" i="1"/>
  <c r="M542" i="1"/>
  <c r="M673" i="1"/>
  <c r="M98" i="1"/>
  <c r="M187" i="1"/>
  <c r="M275" i="1"/>
  <c r="M365" i="1"/>
  <c r="M478" i="1"/>
  <c r="M582" i="1"/>
  <c r="M743" i="1"/>
  <c r="M206" i="1"/>
  <c r="M420" i="1"/>
  <c r="M86" i="1"/>
  <c r="M87" i="1"/>
  <c r="M214" i="1"/>
  <c r="M249" i="1"/>
  <c r="M248" i="1"/>
  <c r="M251" i="1"/>
  <c r="M250" i="1"/>
  <c r="M433" i="1"/>
  <c r="M434" i="1"/>
  <c r="M549" i="1"/>
  <c r="M550" i="1"/>
  <c r="M551" i="1"/>
  <c r="M150" i="1"/>
  <c r="M176" i="1"/>
  <c r="M234" i="1"/>
  <c r="M319" i="1"/>
  <c r="M456" i="1"/>
  <c r="M457" i="1"/>
  <c r="M488" i="1"/>
  <c r="M595" i="1"/>
  <c r="M666" i="1"/>
  <c r="M750" i="1"/>
  <c r="M751" i="1"/>
  <c r="M859" i="1"/>
  <c r="M860" i="1"/>
  <c r="M258" i="1"/>
  <c r="O258" i="1"/>
  <c r="A853" i="1"/>
  <c r="C853" i="1"/>
  <c r="B853" i="1" s="1"/>
  <c r="F853" i="1"/>
  <c r="M853" i="1"/>
  <c r="U853" i="1"/>
  <c r="Y853" i="1" s="1"/>
  <c r="V853" i="1"/>
  <c r="W853" i="1" s="1"/>
  <c r="Z853" i="1"/>
  <c r="A748" i="1"/>
  <c r="C748" i="1"/>
  <c r="B748" i="1" s="1"/>
  <c r="F748" i="1"/>
  <c r="M748" i="1"/>
  <c r="O748" i="1"/>
  <c r="T748" i="1"/>
  <c r="U748" i="1"/>
  <c r="Y748" i="1" s="1"/>
  <c r="V748" i="1"/>
  <c r="W748" i="1" s="1"/>
  <c r="Z748" i="1"/>
  <c r="A749" i="1"/>
  <c r="C749" i="1"/>
  <c r="B749" i="1" s="1"/>
  <c r="F749" i="1"/>
  <c r="M749" i="1"/>
  <c r="O749" i="1"/>
  <c r="U749" i="1"/>
  <c r="V749" i="1"/>
  <c r="W749" i="1" s="1"/>
  <c r="Z749" i="1"/>
  <c r="A77" i="1"/>
  <c r="C77" i="1"/>
  <c r="B77" i="1" s="1"/>
  <c r="F77" i="1"/>
  <c r="T77" i="1"/>
  <c r="U77" i="1"/>
  <c r="Y77" i="1" s="1"/>
  <c r="V77" i="1"/>
  <c r="W77" i="1" s="1"/>
  <c r="Z77" i="1"/>
  <c r="A743" i="1"/>
  <c r="C743" i="1"/>
  <c r="B743" i="1" s="1"/>
  <c r="F743" i="1"/>
  <c r="T743" i="1"/>
  <c r="U743" i="1"/>
  <c r="Y743" i="1" s="1"/>
  <c r="V743" i="1"/>
  <c r="W743" i="1" s="1"/>
  <c r="Z743" i="1"/>
  <c r="A740" i="1"/>
  <c r="C740" i="1"/>
  <c r="B740" i="1" s="1"/>
  <c r="F740" i="1"/>
  <c r="M740" i="1"/>
  <c r="O740" i="1"/>
  <c r="T740" i="1"/>
  <c r="U740" i="1"/>
  <c r="Y740" i="1" s="1"/>
  <c r="V740" i="1"/>
  <c r="W740" i="1" s="1"/>
  <c r="Z740" i="1"/>
  <c r="A739" i="1"/>
  <c r="C739" i="1"/>
  <c r="B739" i="1" s="1"/>
  <c r="F739" i="1"/>
  <c r="M739" i="1"/>
  <c r="O739" i="1"/>
  <c r="U739" i="1"/>
  <c r="Y739" i="1" s="1"/>
  <c r="V739" i="1"/>
  <c r="W739" i="1" s="1"/>
  <c r="Z739" i="1"/>
  <c r="A44" i="104"/>
  <c r="B44" i="104"/>
  <c r="C44" i="104"/>
  <c r="A42" i="104"/>
  <c r="A43" i="104"/>
  <c r="B42" i="104"/>
  <c r="B43" i="104"/>
  <c r="C42" i="104"/>
  <c r="C43" i="104"/>
  <c r="A759" i="1"/>
  <c r="C759" i="1"/>
  <c r="B759" i="1" s="1"/>
  <c r="F759" i="1"/>
  <c r="O759" i="1"/>
  <c r="U759" i="1"/>
  <c r="Y759" i="1" s="1"/>
  <c r="V759" i="1"/>
  <c r="W759" i="1" s="1"/>
  <c r="Z759" i="1"/>
  <c r="A873" i="1"/>
  <c r="C873" i="1"/>
  <c r="B873" i="1" s="1"/>
  <c r="F873" i="1"/>
  <c r="M873" i="1"/>
  <c r="O873" i="1"/>
  <c r="U873" i="1"/>
  <c r="Y873" i="1" s="1"/>
  <c r="V873" i="1"/>
  <c r="W873" i="1" s="1"/>
  <c r="Z873" i="1"/>
  <c r="C861" i="1"/>
  <c r="A894" i="1"/>
  <c r="C894" i="1"/>
  <c r="B894" i="1" s="1"/>
  <c r="F894" i="1"/>
  <c r="M894" i="1"/>
  <c r="U894" i="1"/>
  <c r="Y894" i="1" s="1"/>
  <c r="V894" i="1"/>
  <c r="W894" i="1" s="1"/>
  <c r="Z894" i="1"/>
  <c r="A865" i="1"/>
  <c r="C865" i="1"/>
  <c r="B865" i="1" s="1"/>
  <c r="F865" i="1"/>
  <c r="M865" i="1"/>
  <c r="O865" i="1"/>
  <c r="U865" i="1"/>
  <c r="Y865" i="1" s="1"/>
  <c r="V865" i="1"/>
  <c r="W865" i="1" s="1"/>
  <c r="Z865" i="1"/>
  <c r="A878" i="1"/>
  <c r="C878" i="1"/>
  <c r="B878" i="1" s="1"/>
  <c r="F878" i="1"/>
  <c r="U878" i="1"/>
  <c r="Y878" i="1" s="1"/>
  <c r="V878" i="1"/>
  <c r="W878" i="1" s="1"/>
  <c r="Z878" i="1"/>
  <c r="A852" i="1"/>
  <c r="C852" i="1"/>
  <c r="B852" i="1" s="1"/>
  <c r="F852" i="1"/>
  <c r="M852" i="1"/>
  <c r="U852" i="1"/>
  <c r="Y852" i="1" s="1"/>
  <c r="V852" i="1"/>
  <c r="W852" i="1" s="1"/>
  <c r="Z852" i="1"/>
  <c r="A935" i="1"/>
  <c r="C935" i="1"/>
  <c r="B935" i="1" s="1"/>
  <c r="F935" i="1"/>
  <c r="U935" i="1"/>
  <c r="Y935" i="1" s="1"/>
  <c r="V935" i="1"/>
  <c r="W935" i="1" s="1"/>
  <c r="Z935" i="1"/>
  <c r="A872" i="1"/>
  <c r="C872" i="1"/>
  <c r="B872" i="1" s="1"/>
  <c r="F872" i="1"/>
  <c r="M872" i="1"/>
  <c r="O872" i="1"/>
  <c r="U872" i="1"/>
  <c r="V872" i="1"/>
  <c r="W872" i="1" s="1"/>
  <c r="Z872" i="1"/>
  <c r="Y17" i="16" l="1"/>
  <c r="R777" i="1"/>
  <c r="D777" i="1" s="1"/>
  <c r="Q738" i="1"/>
  <c r="R800" i="1"/>
  <c r="Q733" i="1"/>
  <c r="Q736" i="1"/>
  <c r="R799" i="1"/>
  <c r="Q735" i="1"/>
  <c r="R773" i="1"/>
  <c r="D773" i="1" s="1"/>
  <c r="X17" i="16"/>
  <c r="Q734" i="1"/>
  <c r="R775" i="1"/>
  <c r="D775" i="1" s="1"/>
  <c r="Q737" i="1"/>
  <c r="M15" i="16"/>
  <c r="B15" i="16"/>
  <c r="C15" i="16"/>
  <c r="T803" i="1"/>
  <c r="X805" i="1"/>
  <c r="X803" i="1"/>
  <c r="T778" i="1"/>
  <c r="X778" i="1"/>
  <c r="X745" i="1"/>
  <c r="X770" i="1"/>
  <c r="X768" i="1"/>
  <c r="X769" i="1"/>
  <c r="X714" i="1"/>
  <c r="T853" i="1"/>
  <c r="X853" i="1"/>
  <c r="X748" i="1"/>
  <c r="T749" i="1"/>
  <c r="X77" i="1"/>
  <c r="X749" i="1"/>
  <c r="Y749" i="1"/>
  <c r="X740" i="1"/>
  <c r="X743" i="1"/>
  <c r="X739" i="1"/>
  <c r="T739" i="1"/>
  <c r="X759" i="1"/>
  <c r="T759" i="1"/>
  <c r="T873" i="1"/>
  <c r="X873" i="1"/>
  <c r="X894" i="1"/>
  <c r="T865" i="1"/>
  <c r="T894" i="1"/>
  <c r="X865" i="1"/>
  <c r="T878" i="1"/>
  <c r="X878" i="1"/>
  <c r="T852" i="1"/>
  <c r="X852" i="1"/>
  <c r="T935" i="1"/>
  <c r="X935" i="1"/>
  <c r="X872" i="1"/>
  <c r="Y872" i="1"/>
  <c r="T872" i="1"/>
  <c r="A813" i="1"/>
  <c r="C813" i="1"/>
  <c r="B813" i="1" s="1"/>
  <c r="F813" i="1"/>
  <c r="U813" i="1"/>
  <c r="V813" i="1"/>
  <c r="W813" i="1" s="1"/>
  <c r="Z813" i="1"/>
  <c r="P894" i="1" l="1"/>
  <c r="Q759" i="1"/>
  <c r="P740" i="1"/>
  <c r="P714" i="1"/>
  <c r="P745" i="1"/>
  <c r="P805" i="1"/>
  <c r="P739" i="1"/>
  <c r="P853" i="1"/>
  <c r="P768" i="1"/>
  <c r="R737" i="1"/>
  <c r="R734" i="1"/>
  <c r="R735" i="1"/>
  <c r="P935" i="1"/>
  <c r="P878" i="1"/>
  <c r="P743" i="1"/>
  <c r="P77" i="1"/>
  <c r="P770" i="1"/>
  <c r="P803" i="1"/>
  <c r="R736" i="1"/>
  <c r="R738" i="1"/>
  <c r="P852" i="1"/>
  <c r="P865" i="1"/>
  <c r="P873" i="1"/>
  <c r="P748" i="1"/>
  <c r="P769" i="1"/>
  <c r="P778" i="1"/>
  <c r="R733" i="1"/>
  <c r="D778" i="1"/>
  <c r="D779" i="1"/>
  <c r="D852" i="1"/>
  <c r="D853" i="1"/>
  <c r="P749" i="1"/>
  <c r="D739" i="1"/>
  <c r="D740" i="1"/>
  <c r="P872" i="1"/>
  <c r="X813" i="1"/>
  <c r="T813" i="1"/>
  <c r="Y813" i="1"/>
  <c r="A713" i="1"/>
  <c r="C713" i="1"/>
  <c r="B713" i="1" s="1"/>
  <c r="F713" i="1"/>
  <c r="M713" i="1"/>
  <c r="O713" i="1"/>
  <c r="T713" i="1"/>
  <c r="U713" i="1"/>
  <c r="Y713" i="1" s="1"/>
  <c r="V713" i="1"/>
  <c r="W713" i="1" s="1"/>
  <c r="Z713" i="1"/>
  <c r="A843" i="1"/>
  <c r="C843" i="1"/>
  <c r="B843" i="1" s="1"/>
  <c r="F843" i="1"/>
  <c r="M843" i="1"/>
  <c r="O843" i="1"/>
  <c r="U843" i="1"/>
  <c r="Y843" i="1" s="1"/>
  <c r="V843" i="1"/>
  <c r="W843" i="1" s="1"/>
  <c r="Z843" i="1"/>
  <c r="Q749" i="1" l="1"/>
  <c r="Q778" i="1"/>
  <c r="Q748" i="1"/>
  <c r="Q865" i="1"/>
  <c r="Q803" i="1"/>
  <c r="Q77" i="1"/>
  <c r="Q878" i="1"/>
  <c r="Q853" i="1"/>
  <c r="Q805" i="1"/>
  <c r="Q714" i="1"/>
  <c r="R759" i="1"/>
  <c r="D759" i="1" s="1"/>
  <c r="Q872" i="1"/>
  <c r="Q769" i="1"/>
  <c r="Q873" i="1"/>
  <c r="Q852" i="1"/>
  <c r="Q770" i="1"/>
  <c r="Q743" i="1"/>
  <c r="Q935" i="1"/>
  <c r="Q768" i="1"/>
  <c r="Q739" i="1"/>
  <c r="Q745" i="1"/>
  <c r="Q740" i="1"/>
  <c r="Q894" i="1"/>
  <c r="D749" i="1"/>
  <c r="D748" i="1"/>
  <c r="P813" i="1"/>
  <c r="X713" i="1"/>
  <c r="X843" i="1"/>
  <c r="T843" i="1"/>
  <c r="A764" i="1"/>
  <c r="A767" i="1"/>
  <c r="A766" i="1"/>
  <c r="A765" i="1"/>
  <c r="C764" i="1"/>
  <c r="B764" i="1" s="1"/>
  <c r="C767" i="1"/>
  <c r="B767" i="1" s="1"/>
  <c r="C766" i="1"/>
  <c r="B766" i="1" s="1"/>
  <c r="C765" i="1"/>
  <c r="T765" i="1" s="1"/>
  <c r="F764" i="1"/>
  <c r="F767" i="1"/>
  <c r="F766" i="1"/>
  <c r="F765" i="1"/>
  <c r="M764" i="1"/>
  <c r="M767" i="1"/>
  <c r="M766" i="1"/>
  <c r="M765" i="1"/>
  <c r="O764" i="1"/>
  <c r="O767" i="1"/>
  <c r="O766" i="1"/>
  <c r="O765" i="1"/>
  <c r="T764" i="1"/>
  <c r="T767" i="1"/>
  <c r="T766" i="1"/>
  <c r="U764" i="1"/>
  <c r="Y764" i="1" s="1"/>
  <c r="U767" i="1"/>
  <c r="U766" i="1"/>
  <c r="Y766" i="1" s="1"/>
  <c r="U765" i="1"/>
  <c r="Y765" i="1" s="1"/>
  <c r="V764" i="1"/>
  <c r="W764" i="1" s="1"/>
  <c r="V767" i="1"/>
  <c r="W767" i="1" s="1"/>
  <c r="V766" i="1"/>
  <c r="W766" i="1" s="1"/>
  <c r="V765" i="1"/>
  <c r="W765" i="1" s="1"/>
  <c r="Z764" i="1"/>
  <c r="Z767" i="1"/>
  <c r="Z766" i="1"/>
  <c r="Z765" i="1"/>
  <c r="A39" i="104"/>
  <c r="B39" i="104"/>
  <c r="C39" i="104"/>
  <c r="A40" i="104"/>
  <c r="B40" i="104"/>
  <c r="C40" i="104"/>
  <c r="A41" i="104"/>
  <c r="B41" i="104"/>
  <c r="C41" i="104"/>
  <c r="A38" i="104"/>
  <c r="B38" i="104"/>
  <c r="C38" i="104"/>
  <c r="A860" i="1"/>
  <c r="C860" i="1"/>
  <c r="B860" i="1" s="1"/>
  <c r="F860" i="1"/>
  <c r="U860" i="1"/>
  <c r="V860" i="1"/>
  <c r="W860" i="1" s="1"/>
  <c r="Z860" i="1"/>
  <c r="A983" i="1"/>
  <c r="C983" i="1"/>
  <c r="B983" i="1" s="1"/>
  <c r="F983" i="1"/>
  <c r="M983" i="1"/>
  <c r="O983" i="1"/>
  <c r="U983" i="1"/>
  <c r="Y983" i="1" s="1"/>
  <c r="V983" i="1"/>
  <c r="W983" i="1" s="1"/>
  <c r="Z983" i="1"/>
  <c r="A982" i="1"/>
  <c r="C982" i="1"/>
  <c r="B982" i="1" s="1"/>
  <c r="F982" i="1"/>
  <c r="M982" i="1"/>
  <c r="O982" i="1"/>
  <c r="U982" i="1"/>
  <c r="Y982" i="1" s="1"/>
  <c r="V982" i="1"/>
  <c r="W982" i="1" s="1"/>
  <c r="Z982" i="1"/>
  <c r="A926" i="1"/>
  <c r="C926" i="1"/>
  <c r="B926" i="1" s="1"/>
  <c r="F926" i="1"/>
  <c r="M926" i="1"/>
  <c r="O926" i="1"/>
  <c r="U926" i="1"/>
  <c r="Y926" i="1" s="1"/>
  <c r="V926" i="1"/>
  <c r="W926" i="1" s="1"/>
  <c r="Z926" i="1"/>
  <c r="A925" i="1"/>
  <c r="C925" i="1"/>
  <c r="B925" i="1" s="1"/>
  <c r="F925" i="1"/>
  <c r="M925" i="1"/>
  <c r="O925" i="1"/>
  <c r="U925" i="1"/>
  <c r="Y925" i="1" s="1"/>
  <c r="V925" i="1"/>
  <c r="W925" i="1" s="1"/>
  <c r="Z925" i="1"/>
  <c r="A927" i="1"/>
  <c r="C927" i="1"/>
  <c r="B927" i="1" s="1"/>
  <c r="F927" i="1"/>
  <c r="M927" i="1"/>
  <c r="O927" i="1"/>
  <c r="U927" i="1"/>
  <c r="Y927" i="1" s="1"/>
  <c r="V927" i="1"/>
  <c r="W927" i="1" s="1"/>
  <c r="Z927" i="1"/>
  <c r="A905" i="1"/>
  <c r="C905" i="1"/>
  <c r="B905" i="1" s="1"/>
  <c r="F905" i="1"/>
  <c r="M905" i="1"/>
  <c r="U905" i="1"/>
  <c r="V905" i="1"/>
  <c r="W905" i="1" s="1"/>
  <c r="Z905" i="1"/>
  <c r="A677" i="1"/>
  <c r="C677" i="1"/>
  <c r="B677" i="1" s="1"/>
  <c r="D677" i="1"/>
  <c r="F677" i="1"/>
  <c r="S677" i="1"/>
  <c r="T677" i="1"/>
  <c r="U677" i="1"/>
  <c r="Y677" i="1" s="1"/>
  <c r="V677" i="1"/>
  <c r="W677" i="1" s="1"/>
  <c r="Z677" i="1"/>
  <c r="A774" i="1"/>
  <c r="C774" i="1"/>
  <c r="B774" i="1" s="1"/>
  <c r="F774" i="1"/>
  <c r="U774" i="1"/>
  <c r="Y774" i="1" s="1"/>
  <c r="V774" i="1"/>
  <c r="W774" i="1" s="1"/>
  <c r="Z774" i="1"/>
  <c r="A698" i="1"/>
  <c r="C698" i="1"/>
  <c r="B698" i="1" s="1"/>
  <c r="F698" i="1"/>
  <c r="T698" i="1"/>
  <c r="U698" i="1"/>
  <c r="Y698" i="1" s="1"/>
  <c r="V698" i="1"/>
  <c r="W698" i="1" s="1"/>
  <c r="Z698" i="1"/>
  <c r="A686" i="1"/>
  <c r="C686" i="1"/>
  <c r="B686" i="1" s="1"/>
  <c r="F686" i="1"/>
  <c r="T686" i="1"/>
  <c r="U686" i="1"/>
  <c r="Y686" i="1" s="1"/>
  <c r="V686" i="1"/>
  <c r="W686" i="1" s="1"/>
  <c r="Z686" i="1"/>
  <c r="A807" i="1"/>
  <c r="C807" i="1"/>
  <c r="B807" i="1" s="1"/>
  <c r="F807" i="1"/>
  <c r="M807" i="1"/>
  <c r="O807" i="1"/>
  <c r="U807" i="1"/>
  <c r="Y807" i="1" s="1"/>
  <c r="V807" i="1"/>
  <c r="W807" i="1" s="1"/>
  <c r="Z807" i="1"/>
  <c r="A758" i="1"/>
  <c r="C758" i="1"/>
  <c r="B758" i="1" s="1"/>
  <c r="F758" i="1"/>
  <c r="M758" i="1"/>
  <c r="O758" i="1"/>
  <c r="U758" i="1"/>
  <c r="Y758" i="1" s="1"/>
  <c r="V758" i="1"/>
  <c r="W758" i="1" s="1"/>
  <c r="Z758" i="1"/>
  <c r="A731" i="1"/>
  <c r="C731" i="1"/>
  <c r="B731" i="1" s="1"/>
  <c r="F731" i="1"/>
  <c r="M731" i="1"/>
  <c r="O731" i="1"/>
  <c r="U731" i="1"/>
  <c r="Y731" i="1" s="1"/>
  <c r="V731" i="1"/>
  <c r="W731" i="1" s="1"/>
  <c r="Z731" i="1"/>
  <c r="A709" i="1"/>
  <c r="C709" i="1"/>
  <c r="B709" i="1" s="1"/>
  <c r="F709" i="1"/>
  <c r="O709" i="1"/>
  <c r="U709" i="1"/>
  <c r="Y709" i="1" s="1"/>
  <c r="V709" i="1"/>
  <c r="W709" i="1" s="1"/>
  <c r="Z709" i="1"/>
  <c r="A871" i="1"/>
  <c r="C871" i="1"/>
  <c r="B871" i="1" s="1"/>
  <c r="F871" i="1"/>
  <c r="M871" i="1"/>
  <c r="O871" i="1"/>
  <c r="U871" i="1"/>
  <c r="Y871" i="1" s="1"/>
  <c r="V871" i="1"/>
  <c r="W871" i="1" s="1"/>
  <c r="Z871" i="1"/>
  <c r="A855" i="1"/>
  <c r="C855" i="1"/>
  <c r="B855" i="1" s="1"/>
  <c r="F855" i="1"/>
  <c r="M855" i="1"/>
  <c r="O855" i="1"/>
  <c r="U855" i="1"/>
  <c r="Y855" i="1" s="1"/>
  <c r="V855" i="1"/>
  <c r="W855" i="1" s="1"/>
  <c r="Z855" i="1"/>
  <c r="A826" i="1"/>
  <c r="C826" i="1"/>
  <c r="B826" i="1" s="1"/>
  <c r="F826" i="1"/>
  <c r="U826" i="1"/>
  <c r="Y826" i="1" s="1"/>
  <c r="V826" i="1"/>
  <c r="W826" i="1" s="1"/>
  <c r="Z826" i="1"/>
  <c r="A790" i="1"/>
  <c r="C790" i="1"/>
  <c r="B790" i="1" s="1"/>
  <c r="F790" i="1"/>
  <c r="M790" i="1"/>
  <c r="U790" i="1"/>
  <c r="Y790" i="1" s="1"/>
  <c r="V790" i="1"/>
  <c r="W790" i="1" s="1"/>
  <c r="Z790" i="1"/>
  <c r="A828" i="1"/>
  <c r="C828" i="1"/>
  <c r="B828" i="1" s="1"/>
  <c r="F828" i="1"/>
  <c r="U828" i="1"/>
  <c r="V828" i="1"/>
  <c r="W828" i="1" s="1"/>
  <c r="Z828" i="1"/>
  <c r="A859" i="1"/>
  <c r="C859" i="1"/>
  <c r="B859" i="1" s="1"/>
  <c r="F859" i="1"/>
  <c r="U859" i="1"/>
  <c r="Y859" i="1" s="1"/>
  <c r="V859" i="1"/>
  <c r="W859" i="1" s="1"/>
  <c r="Z859" i="1"/>
  <c r="A752" i="1"/>
  <c r="C752" i="1"/>
  <c r="B752" i="1" s="1"/>
  <c r="F752" i="1"/>
  <c r="U752" i="1"/>
  <c r="Y752" i="1" s="1"/>
  <c r="V752" i="1"/>
  <c r="W752" i="1" s="1"/>
  <c r="Z752" i="1"/>
  <c r="A869" i="1"/>
  <c r="C869" i="1"/>
  <c r="B869" i="1" s="1"/>
  <c r="F869" i="1"/>
  <c r="U869" i="1"/>
  <c r="Y869" i="1" s="1"/>
  <c r="V869" i="1"/>
  <c r="W869" i="1" s="1"/>
  <c r="Z869" i="1"/>
  <c r="A792" i="1"/>
  <c r="C792" i="1"/>
  <c r="B792" i="1" s="1"/>
  <c r="F792" i="1"/>
  <c r="U792" i="1"/>
  <c r="Y792" i="1" s="1"/>
  <c r="V792" i="1"/>
  <c r="W792" i="1" s="1"/>
  <c r="Z792" i="1"/>
  <c r="A916" i="1"/>
  <c r="C916" i="1"/>
  <c r="B916" i="1" s="1"/>
  <c r="F916" i="1"/>
  <c r="U916" i="1"/>
  <c r="Y916" i="1" s="1"/>
  <c r="V916" i="1"/>
  <c r="W916" i="1" s="1"/>
  <c r="Z916" i="1"/>
  <c r="A892" i="1"/>
  <c r="C892" i="1"/>
  <c r="B892" i="1" s="1"/>
  <c r="F892" i="1"/>
  <c r="M892" i="1"/>
  <c r="U892" i="1"/>
  <c r="Y892" i="1" s="1"/>
  <c r="V892" i="1"/>
  <c r="W892" i="1" s="1"/>
  <c r="Z892" i="1"/>
  <c r="A893" i="1"/>
  <c r="C893" i="1"/>
  <c r="B893" i="1" s="1"/>
  <c r="F893" i="1"/>
  <c r="M893" i="1"/>
  <c r="U893" i="1"/>
  <c r="Y893" i="1" s="1"/>
  <c r="V893" i="1"/>
  <c r="W893" i="1" s="1"/>
  <c r="Z893" i="1"/>
  <c r="A707" i="1"/>
  <c r="C707" i="1"/>
  <c r="B707" i="1" s="1"/>
  <c r="F707" i="1"/>
  <c r="M707" i="1"/>
  <c r="O707" i="1"/>
  <c r="T707" i="1"/>
  <c r="U707" i="1"/>
  <c r="Y707" i="1" s="1"/>
  <c r="V707" i="1"/>
  <c r="W707" i="1" s="1"/>
  <c r="Z707" i="1"/>
  <c r="A699" i="1"/>
  <c r="C699" i="1"/>
  <c r="B699" i="1" s="1"/>
  <c r="F699" i="1"/>
  <c r="M699" i="1"/>
  <c r="O699" i="1"/>
  <c r="S699" i="1"/>
  <c r="T699" i="1"/>
  <c r="U699" i="1"/>
  <c r="Y699" i="1" s="1"/>
  <c r="V699" i="1"/>
  <c r="W699" i="1" s="1"/>
  <c r="Z699" i="1"/>
  <c r="F1127" i="6"/>
  <c r="I1127" i="6"/>
  <c r="J1127" i="6"/>
  <c r="A706" i="1"/>
  <c r="C706" i="1"/>
  <c r="B706" i="1" s="1"/>
  <c r="F706" i="1"/>
  <c r="M706" i="1"/>
  <c r="O706" i="1"/>
  <c r="T706" i="1"/>
  <c r="U706" i="1"/>
  <c r="Y706" i="1" s="1"/>
  <c r="V706" i="1"/>
  <c r="W706" i="1" s="1"/>
  <c r="Z706" i="1"/>
  <c r="F1144" i="6"/>
  <c r="F1135" i="6"/>
  <c r="F1141" i="6"/>
  <c r="F1142" i="6"/>
  <c r="F1137" i="6"/>
  <c r="F1140" i="6"/>
  <c r="F1139" i="6"/>
  <c r="F1143" i="6"/>
  <c r="F1138" i="6"/>
  <c r="I1144" i="6"/>
  <c r="I1135" i="6"/>
  <c r="I1141" i="6"/>
  <c r="I1142" i="6"/>
  <c r="I1137" i="6"/>
  <c r="I1140" i="6"/>
  <c r="I1139" i="6"/>
  <c r="I1136" i="6"/>
  <c r="I1143" i="6"/>
  <c r="I1138" i="6"/>
  <c r="J1144" i="6"/>
  <c r="J1135" i="6"/>
  <c r="J1142" i="6"/>
  <c r="J1137" i="6"/>
  <c r="J1140" i="6"/>
  <c r="J1136" i="6"/>
  <c r="J1143" i="6"/>
  <c r="J1138" i="6"/>
  <c r="K695" i="1"/>
  <c r="A695" i="1"/>
  <c r="C695" i="1"/>
  <c r="B695" i="1" s="1"/>
  <c r="F695" i="1"/>
  <c r="T695" i="1"/>
  <c r="U695" i="1"/>
  <c r="Y695" i="1" s="1"/>
  <c r="V695" i="1"/>
  <c r="W695" i="1" s="1"/>
  <c r="Z695" i="1"/>
  <c r="R77" i="1" l="1"/>
  <c r="Q813" i="1"/>
  <c r="R894" i="1"/>
  <c r="R745" i="1"/>
  <c r="R768" i="1"/>
  <c r="R743" i="1"/>
  <c r="D743" i="1" s="1"/>
  <c r="R769" i="1"/>
  <c r="R805" i="1"/>
  <c r="D805" i="1" s="1"/>
  <c r="R878" i="1"/>
  <c r="R803" i="1"/>
  <c r="D803" i="1" s="1"/>
  <c r="R748" i="1"/>
  <c r="R749" i="1"/>
  <c r="P843" i="1"/>
  <c r="R740" i="1"/>
  <c r="R739" i="1"/>
  <c r="R935" i="1"/>
  <c r="R770" i="1"/>
  <c r="D770" i="1" s="1"/>
  <c r="R873" i="1"/>
  <c r="R872" i="1"/>
  <c r="P713" i="1"/>
  <c r="R714" i="1"/>
  <c r="R853" i="1"/>
  <c r="R865" i="1"/>
  <c r="D930" i="1" s="1"/>
  <c r="R778" i="1"/>
  <c r="D928" i="1"/>
  <c r="D929" i="1"/>
  <c r="O695" i="1"/>
  <c r="M695" i="1"/>
  <c r="X765" i="1"/>
  <c r="X766" i="1"/>
  <c r="X764" i="1"/>
  <c r="X767" i="1"/>
  <c r="Y767" i="1"/>
  <c r="T860" i="1"/>
  <c r="B765" i="1"/>
  <c r="T774" i="1"/>
  <c r="T926" i="1"/>
  <c r="X860" i="1"/>
  <c r="Y860" i="1"/>
  <c r="T983" i="1"/>
  <c r="X983" i="1"/>
  <c r="X982" i="1"/>
  <c r="X926" i="1"/>
  <c r="T982" i="1"/>
  <c r="X925" i="1"/>
  <c r="T925" i="1"/>
  <c r="T927" i="1"/>
  <c r="X927" i="1"/>
  <c r="T905" i="1"/>
  <c r="X905" i="1"/>
  <c r="Y905" i="1"/>
  <c r="X677" i="1"/>
  <c r="X774" i="1"/>
  <c r="X698" i="1"/>
  <c r="T731" i="1"/>
  <c r="X758" i="1"/>
  <c r="X686" i="1"/>
  <c r="T758" i="1"/>
  <c r="X807" i="1"/>
  <c r="T807" i="1"/>
  <c r="X731" i="1"/>
  <c r="T855" i="1"/>
  <c r="X709" i="1"/>
  <c r="T709" i="1"/>
  <c r="T871" i="1"/>
  <c r="X871" i="1"/>
  <c r="T826" i="1"/>
  <c r="X855" i="1"/>
  <c r="X790" i="1"/>
  <c r="T790" i="1"/>
  <c r="X826" i="1"/>
  <c r="T859" i="1"/>
  <c r="X859" i="1"/>
  <c r="T869" i="1"/>
  <c r="X828" i="1"/>
  <c r="Y828" i="1"/>
  <c r="T828" i="1"/>
  <c r="T752" i="1"/>
  <c r="X752" i="1"/>
  <c r="X869" i="1"/>
  <c r="T792" i="1"/>
  <c r="X792" i="1"/>
  <c r="X916" i="1"/>
  <c r="T916" i="1"/>
  <c r="X892" i="1"/>
  <c r="T892" i="1"/>
  <c r="T893" i="1"/>
  <c r="X893" i="1"/>
  <c r="X707" i="1"/>
  <c r="X699" i="1"/>
  <c r="X706" i="1"/>
  <c r="J1139" i="6"/>
  <c r="J1141" i="6"/>
  <c r="X695" i="1"/>
  <c r="D695" i="1"/>
  <c r="P709" i="1" l="1"/>
  <c r="P765" i="1"/>
  <c r="P706" i="1"/>
  <c r="P916" i="1"/>
  <c r="P752" i="1"/>
  <c r="P828" i="1"/>
  <c r="P826" i="1"/>
  <c r="P807" i="1"/>
  <c r="P926" i="1"/>
  <c r="P764" i="1"/>
  <c r="Q713" i="1"/>
  <c r="P707" i="1"/>
  <c r="P892" i="1"/>
  <c r="Q859" i="1"/>
  <c r="P790" i="1"/>
  <c r="P731" i="1"/>
  <c r="P686" i="1"/>
  <c r="P774" i="1"/>
  <c r="P925" i="1"/>
  <c r="P983" i="1"/>
  <c r="P893" i="1"/>
  <c r="Q869" i="1"/>
  <c r="P855" i="1"/>
  <c r="P758" i="1"/>
  <c r="P677" i="1"/>
  <c r="P927" i="1"/>
  <c r="R813" i="1"/>
  <c r="Q843" i="1"/>
  <c r="P695" i="1"/>
  <c r="P699" i="1"/>
  <c r="P792" i="1"/>
  <c r="P871" i="1"/>
  <c r="P698" i="1"/>
  <c r="P982" i="1"/>
  <c r="P766" i="1"/>
  <c r="D916" i="1"/>
  <c r="D1107" i="1"/>
  <c r="D1079" i="1"/>
  <c r="D855" i="1"/>
  <c r="D1013" i="1"/>
  <c r="D752" i="1"/>
  <c r="D872" i="1"/>
  <c r="D873" i="1"/>
  <c r="P767" i="1"/>
  <c r="Q860" i="1"/>
  <c r="D926" i="1"/>
  <c r="D927" i="1"/>
  <c r="D925" i="1"/>
  <c r="P905" i="1"/>
  <c r="D758" i="1"/>
  <c r="D807" i="1"/>
  <c r="A697" i="1"/>
  <c r="C697" i="1"/>
  <c r="B697" i="1" s="1"/>
  <c r="F697" i="1"/>
  <c r="T697" i="1"/>
  <c r="U697" i="1"/>
  <c r="Y697" i="1" s="1"/>
  <c r="V697" i="1"/>
  <c r="W697" i="1" s="1"/>
  <c r="Z697" i="1"/>
  <c r="A694" i="1"/>
  <c r="C694" i="1"/>
  <c r="B694" i="1" s="1"/>
  <c r="F694" i="1"/>
  <c r="T694" i="1"/>
  <c r="U694" i="1"/>
  <c r="Y694" i="1" s="1"/>
  <c r="V694" i="1"/>
  <c r="W694" i="1" s="1"/>
  <c r="Z694" i="1"/>
  <c r="A689" i="1"/>
  <c r="C689" i="1"/>
  <c r="B689" i="1" s="1"/>
  <c r="F689" i="1"/>
  <c r="T689" i="1"/>
  <c r="U689" i="1"/>
  <c r="Y689" i="1" s="1"/>
  <c r="V689" i="1"/>
  <c r="W689" i="1" s="1"/>
  <c r="Z689" i="1"/>
  <c r="A904" i="1"/>
  <c r="C904" i="1"/>
  <c r="B904" i="1" s="1"/>
  <c r="F904" i="1"/>
  <c r="U904" i="1"/>
  <c r="Y904" i="1" s="1"/>
  <c r="V904" i="1"/>
  <c r="W904" i="1" s="1"/>
  <c r="Z904" i="1"/>
  <c r="F1133" i="6"/>
  <c r="I1133" i="6"/>
  <c r="J1133" i="6"/>
  <c r="I1132" i="6"/>
  <c r="C1131" i="6"/>
  <c r="E1131" i="6" s="1"/>
  <c r="C1130" i="6"/>
  <c r="E1130" i="6" s="1"/>
  <c r="F1129" i="6"/>
  <c r="I1129" i="6"/>
  <c r="J1129" i="6"/>
  <c r="F1128" i="6"/>
  <c r="I1128" i="6"/>
  <c r="J1128" i="6"/>
  <c r="A705" i="1"/>
  <c r="A704" i="1"/>
  <c r="C705" i="1"/>
  <c r="B705" i="1" s="1"/>
  <c r="C704" i="1"/>
  <c r="B704" i="1" s="1"/>
  <c r="F705" i="1"/>
  <c r="F704" i="1"/>
  <c r="M705" i="1"/>
  <c r="M704" i="1"/>
  <c r="O705" i="1"/>
  <c r="O704" i="1"/>
  <c r="U705" i="1"/>
  <c r="Y705" i="1" s="1"/>
  <c r="U704" i="1"/>
  <c r="Y704" i="1" s="1"/>
  <c r="V705" i="1"/>
  <c r="W705" i="1" s="1"/>
  <c r="V704" i="1"/>
  <c r="W704" i="1" s="1"/>
  <c r="Z705" i="1"/>
  <c r="Z704" i="1"/>
  <c r="A827" i="1"/>
  <c r="C827" i="1"/>
  <c r="B827" i="1" s="1"/>
  <c r="F827" i="1"/>
  <c r="U827" i="1"/>
  <c r="Y827" i="1" s="1"/>
  <c r="V827" i="1"/>
  <c r="W827" i="1" s="1"/>
  <c r="Z827" i="1"/>
  <c r="A903" i="1"/>
  <c r="C903" i="1"/>
  <c r="B903" i="1" s="1"/>
  <c r="F903" i="1"/>
  <c r="U903" i="1"/>
  <c r="Y903" i="1" s="1"/>
  <c r="V903" i="1"/>
  <c r="W903" i="1" s="1"/>
  <c r="Z903" i="1"/>
  <c r="A877" i="1"/>
  <c r="C877" i="1"/>
  <c r="B877" i="1" s="1"/>
  <c r="F877" i="1"/>
  <c r="U877" i="1"/>
  <c r="Y877" i="1" s="1"/>
  <c r="V877" i="1"/>
  <c r="W877" i="1" s="1"/>
  <c r="Z877" i="1"/>
  <c r="A934" i="1"/>
  <c r="C934" i="1"/>
  <c r="B934" i="1" s="1"/>
  <c r="F934" i="1"/>
  <c r="U934" i="1"/>
  <c r="V934" i="1"/>
  <c r="W934" i="1" s="1"/>
  <c r="Z934" i="1"/>
  <c r="A760" i="1"/>
  <c r="C760" i="1"/>
  <c r="B760" i="1" s="1"/>
  <c r="F760" i="1"/>
  <c r="U760" i="1"/>
  <c r="Y760" i="1" s="1"/>
  <c r="V760" i="1"/>
  <c r="W760" i="1" s="1"/>
  <c r="Z760" i="1"/>
  <c r="Q765" i="1" l="1"/>
  <c r="Q709" i="1"/>
  <c r="R709" i="1" s="1"/>
  <c r="D709" i="1" s="1"/>
  <c r="Q767" i="1"/>
  <c r="Q698" i="1"/>
  <c r="R792" i="1"/>
  <c r="D813" i="1" s="1"/>
  <c r="Q695" i="1"/>
  <c r="Q927" i="1"/>
  <c r="Q758" i="1"/>
  <c r="R869" i="1"/>
  <c r="Q925" i="1"/>
  <c r="Q686" i="1"/>
  <c r="Q790" i="1"/>
  <c r="Q892" i="1"/>
  <c r="R713" i="1"/>
  <c r="D713" i="1" s="1"/>
  <c r="Q926" i="1"/>
  <c r="Q828" i="1"/>
  <c r="Q916" i="1"/>
  <c r="Q982" i="1"/>
  <c r="Q905" i="1"/>
  <c r="R860" i="1"/>
  <c r="Q766" i="1"/>
  <c r="Q871" i="1"/>
  <c r="Q699" i="1"/>
  <c r="R843" i="1"/>
  <c r="Q677" i="1"/>
  <c r="Q855" i="1"/>
  <c r="Q893" i="1"/>
  <c r="Q983" i="1"/>
  <c r="Q774" i="1"/>
  <c r="Q731" i="1"/>
  <c r="R859" i="1"/>
  <c r="Q707" i="1"/>
  <c r="Q764" i="1"/>
  <c r="Q807" i="1"/>
  <c r="Q826" i="1"/>
  <c r="Q752" i="1"/>
  <c r="Q706" i="1"/>
  <c r="J1132" i="6"/>
  <c r="X694" i="1"/>
  <c r="X697" i="1"/>
  <c r="T904" i="1"/>
  <c r="X689" i="1"/>
  <c r="T704" i="1"/>
  <c r="T705" i="1"/>
  <c r="T903" i="1"/>
  <c r="X904" i="1"/>
  <c r="T827" i="1"/>
  <c r="X704" i="1"/>
  <c r="X705" i="1"/>
  <c r="J1131" i="6"/>
  <c r="I1131" i="6"/>
  <c r="X827" i="1"/>
  <c r="X903" i="1"/>
  <c r="T877" i="1"/>
  <c r="X877" i="1"/>
  <c r="X934" i="1"/>
  <c r="Y934" i="1"/>
  <c r="T934" i="1"/>
  <c r="X760" i="1"/>
  <c r="T760" i="1"/>
  <c r="A703" i="1"/>
  <c r="C703" i="1"/>
  <c r="B703" i="1" s="1"/>
  <c r="F703" i="1"/>
  <c r="M703" i="1"/>
  <c r="O703" i="1"/>
  <c r="U703" i="1"/>
  <c r="Y703" i="1" s="1"/>
  <c r="V703" i="1"/>
  <c r="W703" i="1" s="1"/>
  <c r="Z703" i="1"/>
  <c r="A680" i="1"/>
  <c r="C680" i="1"/>
  <c r="B680" i="1" s="1"/>
  <c r="F680" i="1"/>
  <c r="T680" i="1"/>
  <c r="U680" i="1"/>
  <c r="Y680" i="1" s="1"/>
  <c r="V680" i="1"/>
  <c r="W680" i="1" s="1"/>
  <c r="Z680" i="1"/>
  <c r="A675" i="1"/>
  <c r="C675" i="1"/>
  <c r="B675" i="1" s="1"/>
  <c r="D675" i="1"/>
  <c r="F675" i="1"/>
  <c r="M675" i="1"/>
  <c r="O675" i="1"/>
  <c r="S675" i="1"/>
  <c r="T675" i="1"/>
  <c r="U675" i="1"/>
  <c r="Y675" i="1" s="1"/>
  <c r="V675" i="1"/>
  <c r="W675" i="1" s="1"/>
  <c r="Z675" i="1"/>
  <c r="A658" i="1"/>
  <c r="C658" i="1"/>
  <c r="B658" i="1" s="1"/>
  <c r="F658" i="1"/>
  <c r="T658" i="1"/>
  <c r="U658" i="1"/>
  <c r="Y658" i="1" s="1"/>
  <c r="V658" i="1"/>
  <c r="W658" i="1" s="1"/>
  <c r="Z658" i="1"/>
  <c r="A712" i="1"/>
  <c r="C712" i="1"/>
  <c r="B712" i="1" s="1"/>
  <c r="F712" i="1"/>
  <c r="U712" i="1"/>
  <c r="Y712" i="1" s="1"/>
  <c r="V712" i="1"/>
  <c r="W712" i="1" s="1"/>
  <c r="Z712" i="1"/>
  <c r="A812" i="1"/>
  <c r="C812" i="1"/>
  <c r="B812" i="1" s="1"/>
  <c r="F812" i="1"/>
  <c r="M812" i="1"/>
  <c r="O812" i="1"/>
  <c r="U812" i="1"/>
  <c r="Y812" i="1" s="1"/>
  <c r="V812" i="1"/>
  <c r="W812" i="1" s="1"/>
  <c r="Z812" i="1"/>
  <c r="A673" i="1"/>
  <c r="C673" i="1"/>
  <c r="B673" i="1" s="1"/>
  <c r="F673" i="1"/>
  <c r="S673" i="1"/>
  <c r="T673" i="1"/>
  <c r="U673" i="1"/>
  <c r="Y673" i="1" s="1"/>
  <c r="V673" i="1"/>
  <c r="W673" i="1" s="1"/>
  <c r="Z673" i="1"/>
  <c r="A620" i="1"/>
  <c r="A625" i="1"/>
  <c r="A621" i="1"/>
  <c r="A623" i="1"/>
  <c r="A622" i="1"/>
  <c r="C620" i="1"/>
  <c r="B620" i="1" s="1"/>
  <c r="C625" i="1"/>
  <c r="B625" i="1" s="1"/>
  <c r="C621" i="1"/>
  <c r="B621" i="1" s="1"/>
  <c r="C623" i="1"/>
  <c r="B623" i="1" s="1"/>
  <c r="C622" i="1"/>
  <c r="B622" i="1" s="1"/>
  <c r="D620" i="1"/>
  <c r="D625" i="1"/>
  <c r="D621" i="1"/>
  <c r="D623" i="1"/>
  <c r="D622" i="1"/>
  <c r="F620" i="1"/>
  <c r="F625" i="1"/>
  <c r="F621" i="1"/>
  <c r="F623" i="1"/>
  <c r="F622" i="1"/>
  <c r="S620" i="1"/>
  <c r="S625" i="1"/>
  <c r="S621" i="1"/>
  <c r="S623" i="1"/>
  <c r="S622" i="1"/>
  <c r="T620" i="1"/>
  <c r="T625" i="1"/>
  <c r="T621" i="1"/>
  <c r="T623" i="1"/>
  <c r="T622" i="1"/>
  <c r="U620" i="1"/>
  <c r="Y620" i="1" s="1"/>
  <c r="U625" i="1"/>
  <c r="Y625" i="1" s="1"/>
  <c r="U621" i="1"/>
  <c r="Y621" i="1" s="1"/>
  <c r="U623" i="1"/>
  <c r="Y623" i="1" s="1"/>
  <c r="U622" i="1"/>
  <c r="Y622" i="1" s="1"/>
  <c r="V620" i="1"/>
  <c r="W620" i="1" s="1"/>
  <c r="V625" i="1"/>
  <c r="W625" i="1" s="1"/>
  <c r="V621" i="1"/>
  <c r="W621" i="1" s="1"/>
  <c r="V623" i="1"/>
  <c r="W623" i="1" s="1"/>
  <c r="V622" i="1"/>
  <c r="W622" i="1" s="1"/>
  <c r="Z620" i="1"/>
  <c r="Z625" i="1"/>
  <c r="Z621" i="1"/>
  <c r="Z623" i="1"/>
  <c r="Z622" i="1"/>
  <c r="A624" i="1"/>
  <c r="C624" i="1"/>
  <c r="B624" i="1" s="1"/>
  <c r="D624" i="1"/>
  <c r="F624" i="1"/>
  <c r="S624" i="1"/>
  <c r="T624" i="1"/>
  <c r="U624" i="1"/>
  <c r="Y624" i="1" s="1"/>
  <c r="V624" i="1"/>
  <c r="W624" i="1" s="1"/>
  <c r="Z624" i="1"/>
  <c r="F1113" i="6"/>
  <c r="F1114" i="6"/>
  <c r="F1115" i="6"/>
  <c r="I1113" i="6"/>
  <c r="I1114" i="6"/>
  <c r="I1115" i="6"/>
  <c r="J1113" i="6"/>
  <c r="J1114" i="6"/>
  <c r="J1115" i="6"/>
  <c r="F1112" i="6"/>
  <c r="I1112" i="6"/>
  <c r="J1112" i="6"/>
  <c r="H22" i="16"/>
  <c r="H20" i="16"/>
  <c r="A690" i="1"/>
  <c r="C690" i="1"/>
  <c r="B690" i="1" s="1"/>
  <c r="F690" i="1"/>
  <c r="M690" i="1"/>
  <c r="O690" i="1"/>
  <c r="U690" i="1"/>
  <c r="Y690" i="1" s="1"/>
  <c r="V690" i="1"/>
  <c r="W690" i="1" s="1"/>
  <c r="Z690" i="1"/>
  <c r="A811" i="1"/>
  <c r="C811" i="1"/>
  <c r="B811" i="1" s="1"/>
  <c r="F811" i="1"/>
  <c r="M811" i="1"/>
  <c r="O811" i="1"/>
  <c r="U811" i="1"/>
  <c r="Y811" i="1" s="1"/>
  <c r="V811" i="1"/>
  <c r="W811" i="1" s="1"/>
  <c r="Z811" i="1"/>
  <c r="A942" i="1"/>
  <c r="C942" i="1"/>
  <c r="T942" i="1" s="1"/>
  <c r="F942" i="1"/>
  <c r="M942" i="1"/>
  <c r="O942" i="1"/>
  <c r="L15" i="16" s="1"/>
  <c r="U942" i="1"/>
  <c r="Y942" i="1" s="1"/>
  <c r="V942" i="1"/>
  <c r="W942" i="1" s="1"/>
  <c r="Z942" i="1"/>
  <c r="A825" i="1"/>
  <c r="C825" i="1"/>
  <c r="B825" i="1" s="1"/>
  <c r="F825" i="1"/>
  <c r="M825" i="1"/>
  <c r="O825" i="1"/>
  <c r="U825" i="1"/>
  <c r="Y825" i="1" s="1"/>
  <c r="V825" i="1"/>
  <c r="W825" i="1" s="1"/>
  <c r="Z825" i="1"/>
  <c r="A684" i="1"/>
  <c r="C684" i="1"/>
  <c r="T684" i="1" s="1"/>
  <c r="F684" i="1"/>
  <c r="M684" i="1"/>
  <c r="O684" i="1"/>
  <c r="U684" i="1"/>
  <c r="V684" i="1"/>
  <c r="W684" i="1" s="1"/>
  <c r="Z684" i="1"/>
  <c r="A788" i="1"/>
  <c r="C788" i="1"/>
  <c r="B788" i="1" s="1"/>
  <c r="F788" i="1"/>
  <c r="M788" i="1"/>
  <c r="O788" i="1"/>
  <c r="U788" i="1"/>
  <c r="Y788" i="1" s="1"/>
  <c r="V788" i="1"/>
  <c r="W788" i="1" s="1"/>
  <c r="Z788" i="1"/>
  <c r="A679" i="1"/>
  <c r="C679" i="1"/>
  <c r="B679" i="1" s="1"/>
  <c r="F679" i="1"/>
  <c r="U679" i="1"/>
  <c r="Y679" i="1" s="1"/>
  <c r="V679" i="1"/>
  <c r="W679" i="1" s="1"/>
  <c r="Z679" i="1"/>
  <c r="A832" i="1"/>
  <c r="C832" i="1"/>
  <c r="T832" i="1" s="1"/>
  <c r="F832" i="1"/>
  <c r="M832" i="1"/>
  <c r="U832" i="1"/>
  <c r="V832" i="1"/>
  <c r="W832" i="1" s="1"/>
  <c r="Z832" i="1"/>
  <c r="A850" i="1"/>
  <c r="C850" i="1"/>
  <c r="B850" i="1" s="1"/>
  <c r="F850" i="1"/>
  <c r="M850" i="1"/>
  <c r="U850" i="1"/>
  <c r="Y850" i="1" s="1"/>
  <c r="V850" i="1"/>
  <c r="W850" i="1" s="1"/>
  <c r="Z850" i="1"/>
  <c r="A830" i="1"/>
  <c r="A831" i="1"/>
  <c r="C830" i="1"/>
  <c r="B830" i="1" s="1"/>
  <c r="C831" i="1"/>
  <c r="B831" i="1" s="1"/>
  <c r="F830" i="1"/>
  <c r="F831" i="1"/>
  <c r="M830" i="1"/>
  <c r="M831" i="1"/>
  <c r="U830" i="1"/>
  <c r="Y830" i="1" s="1"/>
  <c r="U831" i="1"/>
  <c r="Y831" i="1" s="1"/>
  <c r="V830" i="1"/>
  <c r="W830" i="1" s="1"/>
  <c r="V831" i="1"/>
  <c r="W831" i="1" s="1"/>
  <c r="Z830" i="1"/>
  <c r="Z831" i="1"/>
  <c r="A37" i="104"/>
  <c r="B37" i="104"/>
  <c r="C37" i="104"/>
  <c r="A762" i="1"/>
  <c r="C762" i="1"/>
  <c r="B762" i="1" s="1"/>
  <c r="F762" i="1"/>
  <c r="M762" i="1"/>
  <c r="O762" i="1"/>
  <c r="U762" i="1"/>
  <c r="V762" i="1"/>
  <c r="W762" i="1" s="1"/>
  <c r="Z762" i="1"/>
  <c r="A655" i="1"/>
  <c r="C655" i="1"/>
  <c r="B655" i="1" s="1"/>
  <c r="F655" i="1"/>
  <c r="S655" i="1"/>
  <c r="T655" i="1"/>
  <c r="U655" i="1"/>
  <c r="Y655" i="1" s="1"/>
  <c r="V655" i="1"/>
  <c r="W655" i="1" s="1"/>
  <c r="Z655" i="1"/>
  <c r="A848" i="1"/>
  <c r="C848" i="1"/>
  <c r="B848" i="1" s="1"/>
  <c r="F848" i="1"/>
  <c r="U848" i="1"/>
  <c r="Y848" i="1" s="1"/>
  <c r="V848" i="1"/>
  <c r="W848" i="1" s="1"/>
  <c r="Z848" i="1"/>
  <c r="A663" i="1"/>
  <c r="C663" i="1"/>
  <c r="B663" i="1" s="1"/>
  <c r="F663" i="1"/>
  <c r="O663" i="1"/>
  <c r="S663" i="1"/>
  <c r="T663" i="1"/>
  <c r="U663" i="1"/>
  <c r="Y663" i="1" s="1"/>
  <c r="V663" i="1"/>
  <c r="W663" i="1" s="1"/>
  <c r="Z663" i="1"/>
  <c r="R765" i="1" l="1"/>
  <c r="P760" i="1"/>
  <c r="R686" i="1"/>
  <c r="D686" i="1" s="1"/>
  <c r="P903" i="1"/>
  <c r="P705" i="1"/>
  <c r="P827" i="1"/>
  <c r="P704" i="1"/>
  <c r="P697" i="1"/>
  <c r="R706" i="1"/>
  <c r="R826" i="1"/>
  <c r="R764" i="1"/>
  <c r="R774" i="1"/>
  <c r="R893" i="1"/>
  <c r="R677" i="1"/>
  <c r="R699" i="1"/>
  <c r="D699" i="1" s="1"/>
  <c r="R766" i="1"/>
  <c r="R905" i="1"/>
  <c r="D880" i="1" s="1"/>
  <c r="R982" i="1"/>
  <c r="R828" i="1"/>
  <c r="R926" i="1"/>
  <c r="R892" i="1"/>
  <c r="R758" i="1"/>
  <c r="R698" i="1"/>
  <c r="D698" i="1" s="1"/>
  <c r="P877" i="1"/>
  <c r="P694" i="1"/>
  <c r="P904" i="1"/>
  <c r="P689" i="1"/>
  <c r="R752" i="1"/>
  <c r="R807" i="1"/>
  <c r="R707" i="1"/>
  <c r="R731" i="1"/>
  <c r="R983" i="1"/>
  <c r="R855" i="1"/>
  <c r="R871" i="1"/>
  <c r="R916" i="1"/>
  <c r="R790" i="1"/>
  <c r="D790" i="1" s="1"/>
  <c r="R925" i="1"/>
  <c r="R927" i="1"/>
  <c r="R767" i="1"/>
  <c r="H13" i="16"/>
  <c r="H12" i="16"/>
  <c r="D760" i="1"/>
  <c r="D827" i="1"/>
  <c r="D828" i="1"/>
  <c r="D694" i="1"/>
  <c r="D697" i="1"/>
  <c r="T703" i="1"/>
  <c r="P934" i="1"/>
  <c r="X703" i="1"/>
  <c r="X680" i="1"/>
  <c r="X675" i="1"/>
  <c r="T812" i="1"/>
  <c r="X658" i="1"/>
  <c r="X712" i="1"/>
  <c r="T712" i="1"/>
  <c r="X812" i="1"/>
  <c r="X673" i="1"/>
  <c r="X625" i="1"/>
  <c r="T690" i="1"/>
  <c r="X624" i="1"/>
  <c r="X621" i="1"/>
  <c r="X622" i="1"/>
  <c r="X620" i="1"/>
  <c r="X623" i="1"/>
  <c r="T811" i="1"/>
  <c r="X690" i="1"/>
  <c r="X811" i="1"/>
  <c r="T788" i="1"/>
  <c r="T825" i="1"/>
  <c r="X788" i="1"/>
  <c r="X942" i="1"/>
  <c r="X825" i="1"/>
  <c r="B942" i="1"/>
  <c r="T850" i="1"/>
  <c r="X684" i="1"/>
  <c r="Y684" i="1"/>
  <c r="B684" i="1"/>
  <c r="X679" i="1"/>
  <c r="X832" i="1"/>
  <c r="T679" i="1"/>
  <c r="Y832" i="1"/>
  <c r="X850" i="1"/>
  <c r="B832" i="1"/>
  <c r="X831" i="1"/>
  <c r="T831" i="1"/>
  <c r="X830" i="1"/>
  <c r="T830" i="1"/>
  <c r="T848" i="1"/>
  <c r="X762" i="1"/>
  <c r="Y762" i="1"/>
  <c r="T762" i="1"/>
  <c r="X655" i="1"/>
  <c r="X848" i="1"/>
  <c r="X663" i="1"/>
  <c r="A670" i="1"/>
  <c r="C670" i="1"/>
  <c r="B670" i="1" s="1"/>
  <c r="F670" i="1"/>
  <c r="T670" i="1"/>
  <c r="U670" i="1"/>
  <c r="Y670" i="1" s="1"/>
  <c r="V670" i="1"/>
  <c r="W670" i="1" s="1"/>
  <c r="Z670" i="1"/>
  <c r="I45" i="104"/>
  <c r="A45" i="104"/>
  <c r="B45" i="104"/>
  <c r="C45" i="104"/>
  <c r="A588" i="1"/>
  <c r="C588" i="1"/>
  <c r="B588" i="1" s="1"/>
  <c r="F588" i="1"/>
  <c r="M588" i="1"/>
  <c r="O588" i="1"/>
  <c r="T588" i="1"/>
  <c r="U588" i="1"/>
  <c r="Y588" i="1" s="1"/>
  <c r="V588" i="1"/>
  <c r="W588" i="1" s="1"/>
  <c r="Z588" i="1"/>
  <c r="A608" i="1"/>
  <c r="C608" i="1"/>
  <c r="B608" i="1" s="1"/>
  <c r="F608" i="1"/>
  <c r="T608" i="1"/>
  <c r="U608" i="1"/>
  <c r="Y608" i="1" s="1"/>
  <c r="V608" i="1"/>
  <c r="W608" i="1" s="1"/>
  <c r="Z608" i="1"/>
  <c r="K829" i="1"/>
  <c r="A609" i="1"/>
  <c r="C609" i="1"/>
  <c r="B609" i="1" s="1"/>
  <c r="F609" i="1"/>
  <c r="U609" i="1"/>
  <c r="Y609" i="1" s="1"/>
  <c r="V609" i="1"/>
  <c r="W609" i="1" s="1"/>
  <c r="Z609" i="1"/>
  <c r="A610" i="1"/>
  <c r="A844" i="1"/>
  <c r="C610" i="1"/>
  <c r="B610" i="1" s="1"/>
  <c r="C844" i="1"/>
  <c r="B844" i="1" s="1"/>
  <c r="F610" i="1"/>
  <c r="F844" i="1"/>
  <c r="U610" i="1"/>
  <c r="Y610" i="1" s="1"/>
  <c r="U844" i="1"/>
  <c r="Y844" i="1" s="1"/>
  <c r="V610" i="1"/>
  <c r="W610" i="1" s="1"/>
  <c r="V844" i="1"/>
  <c r="W844" i="1" s="1"/>
  <c r="Z610" i="1"/>
  <c r="Z844" i="1"/>
  <c r="A829" i="1"/>
  <c r="C829" i="1"/>
  <c r="B829" i="1" s="1"/>
  <c r="F829" i="1"/>
  <c r="U829" i="1"/>
  <c r="V829" i="1"/>
  <c r="W829" i="1" s="1"/>
  <c r="Z829" i="1"/>
  <c r="F1123" i="6"/>
  <c r="I1123" i="6"/>
  <c r="J1123" i="6"/>
  <c r="A678" i="1"/>
  <c r="C678" i="1"/>
  <c r="B678" i="1" s="1"/>
  <c r="F678" i="1"/>
  <c r="U678" i="1"/>
  <c r="Y678" i="1" s="1"/>
  <c r="V678" i="1"/>
  <c r="W678" i="1" s="1"/>
  <c r="Z678" i="1"/>
  <c r="A683" i="1"/>
  <c r="A681" i="1"/>
  <c r="A682" i="1"/>
  <c r="C683" i="1"/>
  <c r="B683" i="1" s="1"/>
  <c r="C681" i="1"/>
  <c r="B681" i="1" s="1"/>
  <c r="C682" i="1"/>
  <c r="B682" i="1" s="1"/>
  <c r="F683" i="1"/>
  <c r="F681" i="1"/>
  <c r="F682" i="1"/>
  <c r="M683" i="1"/>
  <c r="M681" i="1"/>
  <c r="M682" i="1"/>
  <c r="O683" i="1"/>
  <c r="O681" i="1"/>
  <c r="O682" i="1"/>
  <c r="U683" i="1"/>
  <c r="Y683" i="1" s="1"/>
  <c r="U681" i="1"/>
  <c r="Y681" i="1" s="1"/>
  <c r="U682" i="1"/>
  <c r="Y682" i="1" s="1"/>
  <c r="V683" i="1"/>
  <c r="W683" i="1" s="1"/>
  <c r="V681" i="1"/>
  <c r="W681" i="1" s="1"/>
  <c r="V682" i="1"/>
  <c r="W682" i="1" s="1"/>
  <c r="Z683" i="1"/>
  <c r="Z681" i="1"/>
  <c r="Z682" i="1"/>
  <c r="A656" i="1"/>
  <c r="C656" i="1"/>
  <c r="B656" i="1" s="1"/>
  <c r="D656" i="1"/>
  <c r="F656" i="1"/>
  <c r="M656" i="1"/>
  <c r="O656" i="1"/>
  <c r="S656" i="1"/>
  <c r="T656" i="1"/>
  <c r="U656" i="1"/>
  <c r="Y656" i="1" s="1"/>
  <c r="V656" i="1"/>
  <c r="W656" i="1" s="1"/>
  <c r="Z656" i="1"/>
  <c r="A726" i="1"/>
  <c r="C726" i="1"/>
  <c r="B726" i="1" s="1"/>
  <c r="F726" i="1"/>
  <c r="U726" i="1"/>
  <c r="Y726" i="1" s="1"/>
  <c r="V726" i="1"/>
  <c r="W726" i="1" s="1"/>
  <c r="Z726" i="1"/>
  <c r="A727" i="1"/>
  <c r="C727" i="1"/>
  <c r="B727" i="1" s="1"/>
  <c r="F727" i="1"/>
  <c r="U727" i="1"/>
  <c r="Y727" i="1" s="1"/>
  <c r="V727" i="1"/>
  <c r="W727" i="1" s="1"/>
  <c r="Z727" i="1"/>
  <c r="Q760" i="1" l="1"/>
  <c r="P663" i="1"/>
  <c r="Q663" i="1" s="1"/>
  <c r="P850" i="1"/>
  <c r="P848" i="1"/>
  <c r="Q848" i="1" s="1"/>
  <c r="Q689" i="1"/>
  <c r="Q694" i="1"/>
  <c r="R760" i="1"/>
  <c r="Q704" i="1"/>
  <c r="Q705" i="1"/>
  <c r="P655" i="1"/>
  <c r="P831" i="1"/>
  <c r="P825" i="1"/>
  <c r="P623" i="1"/>
  <c r="P624" i="1"/>
  <c r="P812" i="1"/>
  <c r="Q934" i="1"/>
  <c r="P832" i="1"/>
  <c r="P942" i="1"/>
  <c r="P811" i="1"/>
  <c r="P620" i="1"/>
  <c r="P675" i="1"/>
  <c r="Q904" i="1"/>
  <c r="Q877" i="1"/>
  <c r="Q697" i="1"/>
  <c r="Q827" i="1"/>
  <c r="Q903" i="1"/>
  <c r="P621" i="1"/>
  <c r="P673" i="1"/>
  <c r="P658" i="1"/>
  <c r="P703" i="1"/>
  <c r="P830" i="1"/>
  <c r="P679" i="1"/>
  <c r="P788" i="1"/>
  <c r="P690" i="1"/>
  <c r="P622" i="1"/>
  <c r="P625" i="1"/>
  <c r="Q712" i="1"/>
  <c r="P680" i="1"/>
  <c r="D942" i="1"/>
  <c r="D1110" i="1"/>
  <c r="D937" i="1"/>
  <c r="D849" i="1"/>
  <c r="D789" i="1"/>
  <c r="D968" i="1"/>
  <c r="D969" i="1"/>
  <c r="M829" i="1"/>
  <c r="O829" i="1"/>
  <c r="D679" i="1"/>
  <c r="D706" i="1"/>
  <c r="D707" i="1"/>
  <c r="D703" i="1"/>
  <c r="D704" i="1"/>
  <c r="D705" i="1"/>
  <c r="P684" i="1"/>
  <c r="P762" i="1"/>
  <c r="T683" i="1"/>
  <c r="X670" i="1"/>
  <c r="X588" i="1"/>
  <c r="X608" i="1"/>
  <c r="T829" i="1"/>
  <c r="X844" i="1"/>
  <c r="T844" i="1"/>
  <c r="X609" i="1"/>
  <c r="T609" i="1"/>
  <c r="X610" i="1"/>
  <c r="T610" i="1"/>
  <c r="X829" i="1"/>
  <c r="Y829" i="1"/>
  <c r="X678" i="1"/>
  <c r="T678" i="1"/>
  <c r="T726" i="1"/>
  <c r="X682" i="1"/>
  <c r="X683" i="1"/>
  <c r="T682" i="1"/>
  <c r="X681" i="1"/>
  <c r="T681" i="1"/>
  <c r="X656" i="1"/>
  <c r="X726" i="1"/>
  <c r="T727" i="1"/>
  <c r="X727" i="1"/>
  <c r="A635" i="1"/>
  <c r="C635" i="1"/>
  <c r="B635" i="1" s="1"/>
  <c r="F635" i="1"/>
  <c r="M635" i="1"/>
  <c r="O635" i="1"/>
  <c r="T635" i="1"/>
  <c r="U635" i="1"/>
  <c r="Y635" i="1" s="1"/>
  <c r="V635" i="1"/>
  <c r="W635" i="1" s="1"/>
  <c r="Z635" i="1"/>
  <c r="A659" i="1"/>
  <c r="C659" i="1"/>
  <c r="B659" i="1" s="1"/>
  <c r="F659" i="1"/>
  <c r="M659" i="1"/>
  <c r="O659" i="1"/>
  <c r="S659" i="1"/>
  <c r="T659" i="1"/>
  <c r="U659" i="1"/>
  <c r="Y659" i="1" s="1"/>
  <c r="V659" i="1"/>
  <c r="W659" i="1" s="1"/>
  <c r="Z659" i="1"/>
  <c r="F1120" i="6"/>
  <c r="F1121" i="6"/>
  <c r="I1120" i="6"/>
  <c r="I1121" i="6"/>
  <c r="J1120" i="6"/>
  <c r="J1121" i="6"/>
  <c r="F1119" i="6"/>
  <c r="I1119" i="6"/>
  <c r="J1119" i="6"/>
  <c r="F1118" i="6"/>
  <c r="I1118" i="6"/>
  <c r="J1118" i="6"/>
  <c r="A725" i="1"/>
  <c r="C725" i="1"/>
  <c r="B725" i="1" s="1"/>
  <c r="F725" i="1"/>
  <c r="U725" i="1"/>
  <c r="V725" i="1"/>
  <c r="W725" i="1" s="1"/>
  <c r="Z725" i="1"/>
  <c r="A672" i="1"/>
  <c r="C672" i="1"/>
  <c r="T672" i="1" s="1"/>
  <c r="F672" i="1"/>
  <c r="U672" i="1"/>
  <c r="V672" i="1"/>
  <c r="W672" i="1" s="1"/>
  <c r="Z672" i="1"/>
  <c r="Q850" i="1" l="1"/>
  <c r="D689" i="1"/>
  <c r="R697" i="1"/>
  <c r="P726" i="1"/>
  <c r="P588" i="1"/>
  <c r="Q684" i="1"/>
  <c r="R712" i="1"/>
  <c r="D712" i="1" s="1"/>
  <c r="Q622" i="1"/>
  <c r="Q788" i="1"/>
  <c r="R663" i="1"/>
  <c r="D663" i="1" s="1"/>
  <c r="R934" i="1"/>
  <c r="Q624" i="1"/>
  <c r="Q825" i="1"/>
  <c r="Q655" i="1"/>
  <c r="Q658" i="1"/>
  <c r="Q621" i="1"/>
  <c r="R827" i="1"/>
  <c r="D826" i="1" s="1"/>
  <c r="R877" i="1"/>
  <c r="Q675" i="1"/>
  <c r="Q811" i="1"/>
  <c r="Q832" i="1"/>
  <c r="R704" i="1"/>
  <c r="P681" i="1"/>
  <c r="P609" i="1"/>
  <c r="P608" i="1"/>
  <c r="Q762" i="1"/>
  <c r="P656" i="1"/>
  <c r="P683" i="1"/>
  <c r="P678" i="1"/>
  <c r="P610" i="1"/>
  <c r="P844" i="1"/>
  <c r="P670" i="1"/>
  <c r="P727" i="1"/>
  <c r="P682" i="1"/>
  <c r="Q680" i="1"/>
  <c r="Q625" i="1"/>
  <c r="Q690" i="1"/>
  <c r="Q679" i="1"/>
  <c r="Q830" i="1"/>
  <c r="Q812" i="1"/>
  <c r="Q623" i="1"/>
  <c r="Q831" i="1"/>
  <c r="Q703" i="1"/>
  <c r="Q673" i="1"/>
  <c r="R848" i="1"/>
  <c r="D986" i="1" s="1"/>
  <c r="R903" i="1"/>
  <c r="D903" i="1" s="1"/>
  <c r="R904" i="1"/>
  <c r="D904" i="1" s="1"/>
  <c r="Q620" i="1"/>
  <c r="Q942" i="1"/>
  <c r="R705" i="1"/>
  <c r="D610" i="1"/>
  <c r="D844" i="1"/>
  <c r="D609" i="1"/>
  <c r="D608" i="1"/>
  <c r="P829" i="1"/>
  <c r="D682" i="1"/>
  <c r="D683" i="1"/>
  <c r="D681" i="1"/>
  <c r="D727" i="1"/>
  <c r="D726" i="1"/>
  <c r="X635" i="1"/>
  <c r="T725" i="1"/>
  <c r="X659" i="1"/>
  <c r="X725" i="1"/>
  <c r="Y725" i="1"/>
  <c r="X672" i="1"/>
  <c r="Y672" i="1"/>
  <c r="B672" i="1"/>
  <c r="R850" i="1" l="1"/>
  <c r="Q829" i="1"/>
  <c r="R942" i="1"/>
  <c r="R703" i="1"/>
  <c r="R623" i="1"/>
  <c r="R830" i="1"/>
  <c r="D851" i="1" s="1"/>
  <c r="R690" i="1"/>
  <c r="D690" i="1" s="1"/>
  <c r="R680" i="1"/>
  <c r="D680" i="1" s="1"/>
  <c r="Q727" i="1"/>
  <c r="R762" i="1"/>
  <c r="Q609" i="1"/>
  <c r="R811" i="1"/>
  <c r="R621" i="1"/>
  <c r="Q844" i="1"/>
  <c r="Q678" i="1"/>
  <c r="Q656" i="1"/>
  <c r="R655" i="1"/>
  <c r="D655" i="1" s="1"/>
  <c r="R624" i="1"/>
  <c r="R788" i="1"/>
  <c r="Q588" i="1"/>
  <c r="P635" i="1"/>
  <c r="R620" i="1"/>
  <c r="R673" i="1"/>
  <c r="D673" i="1" s="1"/>
  <c r="R831" i="1"/>
  <c r="R812" i="1"/>
  <c r="R679" i="1"/>
  <c r="R625" i="1"/>
  <c r="Q682" i="1"/>
  <c r="Q608" i="1"/>
  <c r="Q681" i="1"/>
  <c r="R832" i="1"/>
  <c r="R675" i="1"/>
  <c r="R658" i="1"/>
  <c r="D658" i="1" s="1"/>
  <c r="P659" i="1"/>
  <c r="Q670" i="1"/>
  <c r="Q610" i="1"/>
  <c r="Q683" i="1"/>
  <c r="R825" i="1"/>
  <c r="D825" i="1" s="1"/>
  <c r="R622" i="1"/>
  <c r="R684" i="1"/>
  <c r="D684" i="1" s="1"/>
  <c r="Q726" i="1"/>
  <c r="P725" i="1"/>
  <c r="P672" i="1"/>
  <c r="Q635" i="1" l="1"/>
  <c r="R608" i="1"/>
  <c r="R678" i="1"/>
  <c r="D678" i="1" s="1"/>
  <c r="R609" i="1"/>
  <c r="R727" i="1"/>
  <c r="Q672" i="1"/>
  <c r="R726" i="1"/>
  <c r="R683" i="1"/>
  <c r="R670" i="1"/>
  <c r="D670" i="1" s="1"/>
  <c r="Q725" i="1"/>
  <c r="R610" i="1"/>
  <c r="Q659" i="1"/>
  <c r="R681" i="1"/>
  <c r="R682" i="1"/>
  <c r="R588" i="1"/>
  <c r="D588" i="1" s="1"/>
  <c r="R656" i="1"/>
  <c r="R844" i="1"/>
  <c r="R829" i="1"/>
  <c r="D829" i="1" s="1"/>
  <c r="K657" i="1"/>
  <c r="A657" i="1"/>
  <c r="C657" i="1"/>
  <c r="B657" i="1" s="1"/>
  <c r="F657" i="1"/>
  <c r="M657" i="1"/>
  <c r="U657" i="1"/>
  <c r="Y657" i="1" s="1"/>
  <c r="V657" i="1"/>
  <c r="W657" i="1" s="1"/>
  <c r="Z657" i="1"/>
  <c r="F1098" i="6"/>
  <c r="F1111" i="6"/>
  <c r="I1098" i="6"/>
  <c r="I1111" i="6"/>
  <c r="J1098" i="6"/>
  <c r="J1111" i="6"/>
  <c r="F1116" i="6"/>
  <c r="I1116" i="6"/>
  <c r="J1116" i="6"/>
  <c r="F1088" i="6"/>
  <c r="I1088" i="6"/>
  <c r="J1088" i="6"/>
  <c r="F1117" i="6"/>
  <c r="I1117" i="6"/>
  <c r="J1117" i="6"/>
  <c r="F1110" i="6"/>
  <c r="I1110" i="6"/>
  <c r="J1110" i="6"/>
  <c r="A630" i="1"/>
  <c r="C630" i="1"/>
  <c r="B630" i="1" s="1"/>
  <c r="F630" i="1"/>
  <c r="M630" i="1"/>
  <c r="O630" i="1"/>
  <c r="T630" i="1"/>
  <c r="U630" i="1"/>
  <c r="Y630" i="1" s="1"/>
  <c r="V630" i="1"/>
  <c r="W630" i="1" s="1"/>
  <c r="Z630" i="1"/>
  <c r="F1087" i="6"/>
  <c r="I1087" i="6"/>
  <c r="J1087" i="6"/>
  <c r="A611" i="1"/>
  <c r="C611" i="1"/>
  <c r="B611" i="1" s="1"/>
  <c r="D611" i="1"/>
  <c r="F611" i="1"/>
  <c r="M611" i="1"/>
  <c r="O611" i="1"/>
  <c r="S611" i="1"/>
  <c r="T611" i="1"/>
  <c r="U611" i="1"/>
  <c r="Y611" i="1" s="1"/>
  <c r="V611" i="1"/>
  <c r="W611" i="1" s="1"/>
  <c r="Z611" i="1"/>
  <c r="A708" i="1"/>
  <c r="C708" i="1"/>
  <c r="B708" i="1" s="1"/>
  <c r="F708" i="1"/>
  <c r="M708" i="1"/>
  <c r="O708" i="1"/>
  <c r="U708" i="1"/>
  <c r="Y708" i="1" s="1"/>
  <c r="V708" i="1"/>
  <c r="W708" i="1" s="1"/>
  <c r="Z708" i="1"/>
  <c r="A742" i="1"/>
  <c r="C742" i="1"/>
  <c r="B742" i="1" s="1"/>
  <c r="F742" i="1"/>
  <c r="M742" i="1"/>
  <c r="O742" i="1"/>
  <c r="U742" i="1"/>
  <c r="Y742" i="1" s="1"/>
  <c r="V742" i="1"/>
  <c r="W742" i="1" s="1"/>
  <c r="Z742" i="1"/>
  <c r="A863" i="1"/>
  <c r="C863" i="1"/>
  <c r="B863" i="1" s="1"/>
  <c r="F863" i="1"/>
  <c r="M863" i="1"/>
  <c r="O863" i="1"/>
  <c r="U863" i="1"/>
  <c r="Y863" i="1" s="1"/>
  <c r="V863" i="1"/>
  <c r="W863" i="1" s="1"/>
  <c r="Z863" i="1"/>
  <c r="A864" i="1"/>
  <c r="C864" i="1"/>
  <c r="B864" i="1" s="1"/>
  <c r="F864" i="1"/>
  <c r="M864" i="1"/>
  <c r="O864" i="1"/>
  <c r="U864" i="1"/>
  <c r="Y864" i="1" s="1"/>
  <c r="V864" i="1"/>
  <c r="W864" i="1" s="1"/>
  <c r="Z864" i="1"/>
  <c r="A634" i="1"/>
  <c r="C634" i="1"/>
  <c r="B634" i="1" s="1"/>
  <c r="F634" i="1"/>
  <c r="M634" i="1"/>
  <c r="O634" i="1"/>
  <c r="U634" i="1"/>
  <c r="Y634" i="1" s="1"/>
  <c r="V634" i="1"/>
  <c r="W634" i="1" s="1"/>
  <c r="Z634" i="1"/>
  <c r="A732" i="1"/>
  <c r="C732" i="1"/>
  <c r="B732" i="1" s="1"/>
  <c r="F732" i="1"/>
  <c r="U732" i="1"/>
  <c r="Y732" i="1" s="1"/>
  <c r="V732" i="1"/>
  <c r="W732" i="1" s="1"/>
  <c r="Z732" i="1"/>
  <c r="A900" i="1"/>
  <c r="C900" i="1"/>
  <c r="B900" i="1" s="1"/>
  <c r="F900" i="1"/>
  <c r="M900" i="1"/>
  <c r="O900" i="1"/>
  <c r="U900" i="1"/>
  <c r="Y900" i="1" s="1"/>
  <c r="V900" i="1"/>
  <c r="W900" i="1" s="1"/>
  <c r="Z900" i="1"/>
  <c r="A589" i="1"/>
  <c r="C589" i="1"/>
  <c r="B589" i="1" s="1"/>
  <c r="F589" i="1"/>
  <c r="M589" i="1"/>
  <c r="O589" i="1"/>
  <c r="S589" i="1"/>
  <c r="T589" i="1"/>
  <c r="U589" i="1"/>
  <c r="V589" i="1"/>
  <c r="W589" i="1" s="1"/>
  <c r="Z589" i="1"/>
  <c r="A787" i="1"/>
  <c r="C787" i="1"/>
  <c r="B787" i="1" s="1"/>
  <c r="F787" i="1"/>
  <c r="M787" i="1"/>
  <c r="U787" i="1"/>
  <c r="Y787" i="1" s="1"/>
  <c r="V787" i="1"/>
  <c r="W787" i="1" s="1"/>
  <c r="Z787" i="1"/>
  <c r="A721" i="1"/>
  <c r="C721" i="1"/>
  <c r="B721" i="1" s="1"/>
  <c r="F721" i="1"/>
  <c r="U721" i="1"/>
  <c r="Y721" i="1" s="1"/>
  <c r="V721" i="1"/>
  <c r="W721" i="1" s="1"/>
  <c r="Z721" i="1"/>
  <c r="A842" i="1"/>
  <c r="C842" i="1"/>
  <c r="B842" i="1" s="1"/>
  <c r="F842" i="1"/>
  <c r="M842" i="1"/>
  <c r="O842" i="1"/>
  <c r="U842" i="1"/>
  <c r="Y842" i="1" s="1"/>
  <c r="V842" i="1"/>
  <c r="W842" i="1" s="1"/>
  <c r="Z842" i="1"/>
  <c r="A819" i="1"/>
  <c r="C819" i="1"/>
  <c r="B819" i="1" s="1"/>
  <c r="F819" i="1"/>
  <c r="M819" i="1"/>
  <c r="O819" i="1"/>
  <c r="U819" i="1"/>
  <c r="Y819" i="1" s="1"/>
  <c r="V819" i="1"/>
  <c r="W819" i="1" s="1"/>
  <c r="Z819" i="1"/>
  <c r="A822" i="1"/>
  <c r="C822" i="1"/>
  <c r="B822" i="1" s="1"/>
  <c r="F822" i="1"/>
  <c r="U822" i="1"/>
  <c r="Y822" i="1" s="1"/>
  <c r="V822" i="1"/>
  <c r="W822" i="1" s="1"/>
  <c r="Z822" i="1"/>
  <c r="A668" i="1"/>
  <c r="C668" i="1"/>
  <c r="B668" i="1" s="1"/>
  <c r="F668" i="1"/>
  <c r="U668" i="1"/>
  <c r="Y668" i="1" s="1"/>
  <c r="V668" i="1"/>
  <c r="W668" i="1" s="1"/>
  <c r="Z668" i="1"/>
  <c r="A876" i="1"/>
  <c r="C876" i="1"/>
  <c r="B876" i="1" s="1"/>
  <c r="F876" i="1"/>
  <c r="U876" i="1"/>
  <c r="Y876" i="1" s="1"/>
  <c r="V876" i="1"/>
  <c r="W876" i="1" s="1"/>
  <c r="Z876" i="1"/>
  <c r="A565" i="1"/>
  <c r="C565" i="1"/>
  <c r="B565" i="1" s="1"/>
  <c r="F565" i="1"/>
  <c r="T565" i="1"/>
  <c r="U565" i="1"/>
  <c r="Y565" i="1" s="1"/>
  <c r="V565" i="1"/>
  <c r="W565" i="1" s="1"/>
  <c r="Z565" i="1"/>
  <c r="A931" i="1"/>
  <c r="C931" i="1"/>
  <c r="B931" i="1" s="1"/>
  <c r="F931" i="1"/>
  <c r="U931" i="1"/>
  <c r="Y931" i="1" s="1"/>
  <c r="V931" i="1"/>
  <c r="W931" i="1" s="1"/>
  <c r="Z931" i="1"/>
  <c r="A874" i="1"/>
  <c r="C874" i="1"/>
  <c r="T874" i="1" s="1"/>
  <c r="F874" i="1"/>
  <c r="U874" i="1"/>
  <c r="Y874" i="1" s="1"/>
  <c r="V874" i="1"/>
  <c r="W874" i="1" s="1"/>
  <c r="Z874" i="1"/>
  <c r="A932" i="1"/>
  <c r="C932" i="1"/>
  <c r="B932" i="1" s="1"/>
  <c r="F932" i="1"/>
  <c r="U932" i="1"/>
  <c r="Y932" i="1" s="1"/>
  <c r="V932" i="1"/>
  <c r="W932" i="1" s="1"/>
  <c r="Z932" i="1"/>
  <c r="A717" i="1"/>
  <c r="C717" i="1"/>
  <c r="B717" i="1" s="1"/>
  <c r="F717" i="1"/>
  <c r="M717" i="1"/>
  <c r="O717" i="1"/>
  <c r="U717" i="1"/>
  <c r="Y717" i="1" s="1"/>
  <c r="V717" i="1"/>
  <c r="W717" i="1" s="1"/>
  <c r="Z717" i="1"/>
  <c r="A751" i="1"/>
  <c r="C751" i="1"/>
  <c r="B751" i="1" s="1"/>
  <c r="F751" i="1"/>
  <c r="U751" i="1"/>
  <c r="Y751" i="1" s="1"/>
  <c r="V751" i="1"/>
  <c r="W751" i="1" s="1"/>
  <c r="Z751" i="1"/>
  <c r="A750" i="1"/>
  <c r="C750" i="1"/>
  <c r="B750" i="1" s="1"/>
  <c r="F750" i="1"/>
  <c r="U750" i="1"/>
  <c r="Y750" i="1" s="1"/>
  <c r="V750" i="1"/>
  <c r="W750" i="1" s="1"/>
  <c r="Z750" i="1"/>
  <c r="A583" i="1"/>
  <c r="C583" i="1"/>
  <c r="B583" i="1" s="1"/>
  <c r="F583" i="1"/>
  <c r="T583" i="1"/>
  <c r="U583" i="1"/>
  <c r="Y583" i="1" s="1"/>
  <c r="V583" i="1"/>
  <c r="W583" i="1" s="1"/>
  <c r="Z583" i="1"/>
  <c r="A616" i="1"/>
  <c r="C616" i="1"/>
  <c r="B616" i="1" s="1"/>
  <c r="F616" i="1"/>
  <c r="S616" i="1"/>
  <c r="U616" i="1"/>
  <c r="Y616" i="1" s="1"/>
  <c r="V616" i="1"/>
  <c r="W616" i="1" s="1"/>
  <c r="Z616" i="1"/>
  <c r="A618" i="1"/>
  <c r="C618" i="1"/>
  <c r="B618" i="1" s="1"/>
  <c r="F618" i="1"/>
  <c r="S618" i="1"/>
  <c r="T618" i="1"/>
  <c r="U618" i="1"/>
  <c r="Y618" i="1" s="1"/>
  <c r="V618" i="1"/>
  <c r="W618" i="1" s="1"/>
  <c r="Z618" i="1"/>
  <c r="A761" i="1"/>
  <c r="C761" i="1"/>
  <c r="B761" i="1" s="1"/>
  <c r="F761" i="1"/>
  <c r="U761" i="1"/>
  <c r="Y761" i="1" s="1"/>
  <c r="V761" i="1"/>
  <c r="W761" i="1" s="1"/>
  <c r="Z761" i="1"/>
  <c r="A867" i="1"/>
  <c r="C867" i="1"/>
  <c r="B867" i="1" s="1"/>
  <c r="F867" i="1"/>
  <c r="U867" i="1"/>
  <c r="Y867" i="1" s="1"/>
  <c r="V867" i="1"/>
  <c r="W867" i="1" s="1"/>
  <c r="Z867" i="1"/>
  <c r="A866" i="1"/>
  <c r="C866" i="1"/>
  <c r="B866" i="1" s="1"/>
  <c r="F866" i="1"/>
  <c r="U866" i="1"/>
  <c r="Y866" i="1" s="1"/>
  <c r="V866" i="1"/>
  <c r="W866" i="1" s="1"/>
  <c r="Z866" i="1"/>
  <c r="A661" i="1"/>
  <c r="C661" i="1"/>
  <c r="B661" i="1" s="1"/>
  <c r="F661" i="1"/>
  <c r="M661" i="1"/>
  <c r="O661" i="1"/>
  <c r="U661" i="1"/>
  <c r="Y661" i="1" s="1"/>
  <c r="V661" i="1"/>
  <c r="W661" i="1" s="1"/>
  <c r="Z661" i="1"/>
  <c r="A662" i="1"/>
  <c r="C662" i="1"/>
  <c r="B662" i="1" s="1"/>
  <c r="F662" i="1"/>
  <c r="M662" i="1"/>
  <c r="O662" i="1"/>
  <c r="U662" i="1"/>
  <c r="Y662" i="1" s="1"/>
  <c r="V662" i="1"/>
  <c r="W662" i="1" s="1"/>
  <c r="Z662" i="1"/>
  <c r="A730" i="1"/>
  <c r="C730" i="1"/>
  <c r="B730" i="1" s="1"/>
  <c r="F730" i="1"/>
  <c r="M730" i="1"/>
  <c r="U730" i="1"/>
  <c r="V730" i="1"/>
  <c r="W730" i="1" s="1"/>
  <c r="Z730" i="1"/>
  <c r="A722" i="1"/>
  <c r="C722" i="1"/>
  <c r="B722" i="1" s="1"/>
  <c r="F722" i="1"/>
  <c r="U722" i="1"/>
  <c r="Y722" i="1" s="1"/>
  <c r="V722" i="1"/>
  <c r="W722" i="1" s="1"/>
  <c r="Z722" i="1"/>
  <c r="A868" i="1"/>
  <c r="C868" i="1"/>
  <c r="B868" i="1" s="1"/>
  <c r="F868" i="1"/>
  <c r="U868" i="1"/>
  <c r="Y868" i="1" s="1"/>
  <c r="V868" i="1"/>
  <c r="W868" i="1" s="1"/>
  <c r="Z868" i="1"/>
  <c r="A671" i="1"/>
  <c r="C671" i="1"/>
  <c r="B671" i="1" s="1"/>
  <c r="F671" i="1"/>
  <c r="U671" i="1"/>
  <c r="V671" i="1"/>
  <c r="W671" i="1" s="1"/>
  <c r="Z671" i="1"/>
  <c r="A757" i="1"/>
  <c r="C757" i="1"/>
  <c r="B757" i="1" s="1"/>
  <c r="F757" i="1"/>
  <c r="M757" i="1"/>
  <c r="U757" i="1"/>
  <c r="V757" i="1"/>
  <c r="W757" i="1" s="1"/>
  <c r="Z757" i="1"/>
  <c r="A728" i="1"/>
  <c r="C728" i="1"/>
  <c r="T728" i="1" s="1"/>
  <c r="F728" i="1"/>
  <c r="U728" i="1"/>
  <c r="Y728" i="1" s="1"/>
  <c r="V728" i="1"/>
  <c r="W728" i="1" s="1"/>
  <c r="Z728" i="1"/>
  <c r="A729" i="1"/>
  <c r="C729" i="1"/>
  <c r="B729" i="1" s="1"/>
  <c r="F729" i="1"/>
  <c r="U729" i="1"/>
  <c r="V729" i="1"/>
  <c r="W729" i="1" s="1"/>
  <c r="Z729" i="1"/>
  <c r="A647" i="1"/>
  <c r="C647" i="1"/>
  <c r="B647" i="1" s="1"/>
  <c r="F647" i="1"/>
  <c r="T647" i="1"/>
  <c r="U647" i="1"/>
  <c r="Y647" i="1" s="1"/>
  <c r="V647" i="1"/>
  <c r="W647" i="1" s="1"/>
  <c r="Z647" i="1"/>
  <c r="O657" i="1" l="1"/>
  <c r="R659" i="1"/>
  <c r="D659" i="1" s="1"/>
  <c r="R725" i="1"/>
  <c r="D725" i="1" s="1"/>
  <c r="R672" i="1"/>
  <c r="D672" i="1" s="1"/>
  <c r="R635" i="1"/>
  <c r="D635" i="1" s="1"/>
  <c r="T657" i="1"/>
  <c r="X657" i="1"/>
  <c r="T742" i="1"/>
  <c r="X630" i="1"/>
  <c r="T708" i="1"/>
  <c r="T732" i="1"/>
  <c r="T863" i="1"/>
  <c r="T864" i="1"/>
  <c r="T900" i="1"/>
  <c r="X742" i="1"/>
  <c r="X732" i="1"/>
  <c r="X611" i="1"/>
  <c r="X708" i="1"/>
  <c r="X634" i="1"/>
  <c r="X864" i="1"/>
  <c r="X863" i="1"/>
  <c r="T634" i="1"/>
  <c r="X900" i="1"/>
  <c r="T822" i="1"/>
  <c r="T787" i="1"/>
  <c r="T842" i="1"/>
  <c r="X589" i="1"/>
  <c r="T819" i="1"/>
  <c r="Y589" i="1"/>
  <c r="T931" i="1"/>
  <c r="T668" i="1"/>
  <c r="X787" i="1"/>
  <c r="X668" i="1"/>
  <c r="X842" i="1"/>
  <c r="T876" i="1"/>
  <c r="T721" i="1"/>
  <c r="X822" i="1"/>
  <c r="X721" i="1"/>
  <c r="X819" i="1"/>
  <c r="T932" i="1"/>
  <c r="T661" i="1"/>
  <c r="B874" i="1"/>
  <c r="X876" i="1"/>
  <c r="X931" i="1"/>
  <c r="X565" i="1"/>
  <c r="X874" i="1"/>
  <c r="T717" i="1"/>
  <c r="T751" i="1"/>
  <c r="X932" i="1"/>
  <c r="T662" i="1"/>
  <c r="X717" i="1"/>
  <c r="X751" i="1"/>
  <c r="X750" i="1"/>
  <c r="X583" i="1"/>
  <c r="T722" i="1"/>
  <c r="X616" i="1"/>
  <c r="T750" i="1"/>
  <c r="T867" i="1"/>
  <c r="T761" i="1"/>
  <c r="T616" i="1"/>
  <c r="T866" i="1"/>
  <c r="X618" i="1"/>
  <c r="X867" i="1"/>
  <c r="X761" i="1"/>
  <c r="T730" i="1"/>
  <c r="X662" i="1"/>
  <c r="X866" i="1"/>
  <c r="X661" i="1"/>
  <c r="X722" i="1"/>
  <c r="X730" i="1"/>
  <c r="Y730" i="1"/>
  <c r="X868" i="1"/>
  <c r="T868" i="1"/>
  <c r="T671" i="1"/>
  <c r="X671" i="1"/>
  <c r="Y671" i="1"/>
  <c r="T757" i="1"/>
  <c r="X757" i="1"/>
  <c r="Y757" i="1"/>
  <c r="T729" i="1"/>
  <c r="X728" i="1"/>
  <c r="B728" i="1"/>
  <c r="X729" i="1"/>
  <c r="X647" i="1"/>
  <c r="Y729" i="1"/>
  <c r="A836" i="1"/>
  <c r="C836" i="1"/>
  <c r="B836" i="1" s="1"/>
  <c r="F836" i="1"/>
  <c r="U836" i="1"/>
  <c r="V836" i="1"/>
  <c r="W836" i="1" s="1"/>
  <c r="Z836" i="1"/>
  <c r="A603" i="1"/>
  <c r="C603" i="1"/>
  <c r="B603" i="1" s="1"/>
  <c r="F603" i="1"/>
  <c r="O603" i="1"/>
  <c r="T603" i="1"/>
  <c r="U603" i="1"/>
  <c r="V603" i="1"/>
  <c r="W603" i="1" s="1"/>
  <c r="Z603" i="1"/>
  <c r="A606" i="1"/>
  <c r="C606" i="1"/>
  <c r="B606" i="1" s="1"/>
  <c r="F606" i="1"/>
  <c r="T606" i="1"/>
  <c r="U606" i="1"/>
  <c r="V606" i="1"/>
  <c r="W606" i="1" s="1"/>
  <c r="Z606" i="1"/>
  <c r="A602" i="1"/>
  <c r="C602" i="1"/>
  <c r="B602" i="1" s="1"/>
  <c r="F602" i="1"/>
  <c r="M602" i="1"/>
  <c r="O602" i="1"/>
  <c r="T602" i="1"/>
  <c r="U602" i="1"/>
  <c r="Y602" i="1" s="1"/>
  <c r="V602" i="1"/>
  <c r="W602" i="1" s="1"/>
  <c r="Z602" i="1"/>
  <c r="P866" i="1" l="1"/>
  <c r="P867" i="1"/>
  <c r="Q867" i="1" s="1"/>
  <c r="P874" i="1"/>
  <c r="P728" i="1"/>
  <c r="P722" i="1"/>
  <c r="Q750" i="1"/>
  <c r="P932" i="1"/>
  <c r="P565" i="1"/>
  <c r="P822" i="1"/>
  <c r="P668" i="1"/>
  <c r="P863" i="1"/>
  <c r="P611" i="1"/>
  <c r="P630" i="1"/>
  <c r="P647" i="1"/>
  <c r="P868" i="1"/>
  <c r="Q661" i="1"/>
  <c r="P761" i="1"/>
  <c r="P616" i="1"/>
  <c r="Q751" i="1"/>
  <c r="P931" i="1"/>
  <c r="P787" i="1"/>
  <c r="P864" i="1"/>
  <c r="P732" i="1"/>
  <c r="P717" i="1"/>
  <c r="P876" i="1"/>
  <c r="P819" i="1"/>
  <c r="P589" i="1"/>
  <c r="P900" i="1"/>
  <c r="P634" i="1"/>
  <c r="P742" i="1"/>
  <c r="P657" i="1"/>
  <c r="Q662" i="1"/>
  <c r="P618" i="1"/>
  <c r="P583" i="1"/>
  <c r="P721" i="1"/>
  <c r="P842" i="1"/>
  <c r="P708" i="1"/>
  <c r="D1032" i="1"/>
  <c r="D1082" i="1"/>
  <c r="D1059" i="1"/>
  <c r="D565" i="1"/>
  <c r="D668" i="1"/>
  <c r="D843" i="1"/>
  <c r="D865" i="1"/>
  <c r="D731" i="1"/>
  <c r="D878" i="1"/>
  <c r="D860" i="1"/>
  <c r="D859" i="1"/>
  <c r="D868" i="1"/>
  <c r="D869" i="1"/>
  <c r="D657" i="1"/>
  <c r="D864" i="1"/>
  <c r="D863" i="1"/>
  <c r="D842" i="1"/>
  <c r="D874" i="1"/>
  <c r="D931" i="1"/>
  <c r="D662" i="1"/>
  <c r="D661" i="1"/>
  <c r="P730" i="1"/>
  <c r="P671" i="1"/>
  <c r="P757" i="1"/>
  <c r="P729" i="1"/>
  <c r="X836" i="1"/>
  <c r="Y836" i="1"/>
  <c r="T836" i="1"/>
  <c r="X603" i="1"/>
  <c r="Y603" i="1"/>
  <c r="X602" i="1"/>
  <c r="X606" i="1"/>
  <c r="Y606" i="1"/>
  <c r="D602" i="1"/>
  <c r="Q874" i="1" l="1"/>
  <c r="R874" i="1" s="1"/>
  <c r="Q866" i="1"/>
  <c r="P836" i="1"/>
  <c r="Q730" i="1"/>
  <c r="Q842" i="1"/>
  <c r="Q618" i="1"/>
  <c r="Q757" i="1"/>
  <c r="Q729" i="1"/>
  <c r="Q742" i="1"/>
  <c r="Q900" i="1"/>
  <c r="Q819" i="1"/>
  <c r="Q717" i="1"/>
  <c r="Q732" i="1"/>
  <c r="Q787" i="1"/>
  <c r="R751" i="1"/>
  <c r="Q761" i="1"/>
  <c r="Q868" i="1"/>
  <c r="Q630" i="1"/>
  <c r="Q863" i="1"/>
  <c r="Q822" i="1"/>
  <c r="Q932" i="1"/>
  <c r="Q722" i="1"/>
  <c r="Q708" i="1"/>
  <c r="Q721" i="1"/>
  <c r="Q583" i="1"/>
  <c r="R662" i="1"/>
  <c r="P602" i="1"/>
  <c r="Q671" i="1"/>
  <c r="Q657" i="1"/>
  <c r="Q634" i="1"/>
  <c r="Q589" i="1"/>
  <c r="Q876" i="1"/>
  <c r="R867" i="1"/>
  <c r="Q864" i="1"/>
  <c r="Q931" i="1"/>
  <c r="Q616" i="1"/>
  <c r="R661" i="1"/>
  <c r="Q647" i="1"/>
  <c r="Q611" i="1"/>
  <c r="Q668" i="1"/>
  <c r="Q565" i="1"/>
  <c r="R750" i="1"/>
  <c r="Q728" i="1"/>
  <c r="D836" i="1"/>
  <c r="D841" i="1"/>
  <c r="D832" i="1"/>
  <c r="D905" i="1"/>
  <c r="D729" i="1"/>
  <c r="D647" i="1"/>
  <c r="P603" i="1"/>
  <c r="P606" i="1"/>
  <c r="A696" i="1"/>
  <c r="C696" i="1"/>
  <c r="B696" i="1" s="1"/>
  <c r="F696" i="1"/>
  <c r="S696" i="1"/>
  <c r="T696" i="1"/>
  <c r="U696" i="1"/>
  <c r="Y696" i="1" s="1"/>
  <c r="V696" i="1"/>
  <c r="W696" i="1" s="1"/>
  <c r="Z696" i="1"/>
  <c r="A587" i="1"/>
  <c r="C587" i="1"/>
  <c r="B587" i="1" s="1"/>
  <c r="D587" i="1"/>
  <c r="F587" i="1"/>
  <c r="M587" i="1"/>
  <c r="O587" i="1"/>
  <c r="S587" i="1"/>
  <c r="T587" i="1"/>
  <c r="U587" i="1"/>
  <c r="Y587" i="1" s="1"/>
  <c r="V587" i="1"/>
  <c r="W587" i="1" s="1"/>
  <c r="Z587" i="1"/>
  <c r="A590" i="1"/>
  <c r="C590" i="1"/>
  <c r="B590" i="1" s="1"/>
  <c r="F590" i="1"/>
  <c r="O590" i="1"/>
  <c r="S590" i="1"/>
  <c r="T590" i="1"/>
  <c r="U590" i="1"/>
  <c r="Y590" i="1" s="1"/>
  <c r="V590" i="1"/>
  <c r="W590" i="1" s="1"/>
  <c r="Z590" i="1"/>
  <c r="A594" i="1"/>
  <c r="C594" i="1"/>
  <c r="B594" i="1" s="1"/>
  <c r="F594" i="1"/>
  <c r="O594" i="1"/>
  <c r="T594" i="1"/>
  <c r="U594" i="1"/>
  <c r="V594" i="1"/>
  <c r="W594" i="1" s="1"/>
  <c r="Z594" i="1"/>
  <c r="F16" i="1"/>
  <c r="F226" i="1"/>
  <c r="F260" i="1"/>
  <c r="F525" i="1"/>
  <c r="F564" i="1"/>
  <c r="F700" i="1"/>
  <c r="F138" i="1"/>
  <c r="F160" i="1"/>
  <c r="F227" i="1"/>
  <c r="F394" i="1"/>
  <c r="F685" i="1"/>
  <c r="F628" i="1"/>
  <c r="F629" i="1"/>
  <c r="F50" i="1"/>
  <c r="F93" i="1"/>
  <c r="F94" i="1"/>
  <c r="F190" i="1"/>
  <c r="F328" i="1"/>
  <c r="F437" i="1"/>
  <c r="F497" i="1"/>
  <c r="F546" i="1"/>
  <c r="F674" i="1"/>
  <c r="F126" i="1"/>
  <c r="F676" i="1"/>
  <c r="F48" i="1"/>
  <c r="F492" i="1"/>
  <c r="F359" i="1"/>
  <c r="F27" i="1"/>
  <c r="F2" i="1"/>
  <c r="F44" i="1"/>
  <c r="F45" i="1"/>
  <c r="F99" i="1"/>
  <c r="F137" i="1"/>
  <c r="F191" i="1"/>
  <c r="F197" i="1"/>
  <c r="F309" i="1"/>
  <c r="F381" i="1"/>
  <c r="F406" i="1"/>
  <c r="F508" i="1"/>
  <c r="F495" i="1"/>
  <c r="F183" i="1"/>
  <c r="F198" i="1"/>
  <c r="F280" i="1"/>
  <c r="F127" i="1"/>
  <c r="F128" i="1"/>
  <c r="F129" i="1"/>
  <c r="F130" i="1"/>
  <c r="F131" i="1"/>
  <c r="F132" i="1"/>
  <c r="F217" i="1"/>
  <c r="F218" i="1"/>
  <c r="F219" i="1"/>
  <c r="F220" i="1"/>
  <c r="F221" i="1"/>
  <c r="F222" i="1"/>
  <c r="F305" i="1"/>
  <c r="F307" i="1"/>
  <c r="F304" i="1"/>
  <c r="F308" i="1"/>
  <c r="F303" i="1"/>
  <c r="F306" i="1"/>
  <c r="F408" i="1"/>
  <c r="F407" i="1"/>
  <c r="F409" i="1"/>
  <c r="F412" i="1"/>
  <c r="F410" i="1"/>
  <c r="F411" i="1"/>
  <c r="F482" i="1"/>
  <c r="F509" i="1"/>
  <c r="F511" i="1"/>
  <c r="F510" i="1"/>
  <c r="F514" i="1"/>
  <c r="F512" i="1"/>
  <c r="F513" i="1"/>
  <c r="F39" i="1"/>
  <c r="F139" i="1"/>
  <c r="F483" i="1"/>
  <c r="F311" i="1"/>
  <c r="F6" i="1"/>
  <c r="F7" i="1"/>
  <c r="F241" i="1"/>
  <c r="F242" i="1"/>
  <c r="F617" i="1"/>
  <c r="F58" i="1"/>
  <c r="F133" i="1"/>
  <c r="F687" i="1"/>
  <c r="F688" i="1"/>
  <c r="F8" i="1"/>
  <c r="F9" i="1"/>
  <c r="F10" i="1"/>
  <c r="F11" i="1"/>
  <c r="F12" i="1"/>
  <c r="F261" i="1"/>
  <c r="F79" i="1"/>
  <c r="F155" i="1"/>
  <c r="F171" i="1"/>
  <c r="F192" i="1"/>
  <c r="F240" i="1"/>
  <c r="F263" i="1"/>
  <c r="F301" i="1"/>
  <c r="F378" i="1"/>
  <c r="F493" i="1"/>
  <c r="F519" i="1"/>
  <c r="F416" i="1"/>
  <c r="F17" i="1"/>
  <c r="F103" i="1"/>
  <c r="F174" i="1"/>
  <c r="F281" i="1"/>
  <c r="F360" i="1"/>
  <c r="F484" i="1"/>
  <c r="F585" i="1"/>
  <c r="F586" i="1"/>
  <c r="F26" i="1"/>
  <c r="F228" i="1"/>
  <c r="F252" i="1"/>
  <c r="F253" i="1"/>
  <c r="F282" i="1"/>
  <c r="F254" i="1"/>
  <c r="F520" i="1"/>
  <c r="F701" i="1"/>
  <c r="F702" i="1"/>
  <c r="F835" i="1"/>
  <c r="F134" i="1"/>
  <c r="F51" i="1"/>
  <c r="F382" i="1"/>
  <c r="F383" i="1"/>
  <c r="F13" i="1"/>
  <c r="F30" i="1"/>
  <c r="F46" i="1"/>
  <c r="F74" i="1"/>
  <c r="F80" i="1"/>
  <c r="F104" i="1"/>
  <c r="F113" i="1"/>
  <c r="F140" i="1"/>
  <c r="F172" i="1"/>
  <c r="F207" i="1"/>
  <c r="F255" i="1"/>
  <c r="F284" i="1"/>
  <c r="F302" i="1"/>
  <c r="F329" i="1"/>
  <c r="F358" i="1"/>
  <c r="F395" i="1"/>
  <c r="F421" i="1"/>
  <c r="F438" i="1"/>
  <c r="F463" i="1"/>
  <c r="F494" i="1"/>
  <c r="F516" i="1"/>
  <c r="F532" i="1"/>
  <c r="F555" i="1"/>
  <c r="F105" i="1"/>
  <c r="F106" i="1"/>
  <c r="F161" i="1"/>
  <c r="F223" i="1"/>
  <c r="F224" i="1"/>
  <c r="F310" i="1"/>
  <c r="F459" i="1"/>
  <c r="F460" i="1"/>
  <c r="F75" i="1"/>
  <c r="F81" i="1"/>
  <c r="F136" i="1"/>
  <c r="F332" i="1"/>
  <c r="F439" i="1"/>
  <c r="F556" i="1"/>
  <c r="F614" i="1"/>
  <c r="F82" i="1"/>
  <c r="F157" i="1"/>
  <c r="F158" i="1"/>
  <c r="F660" i="1"/>
  <c r="F393" i="1"/>
  <c r="F496" i="1"/>
  <c r="F18" i="1"/>
  <c r="F19" i="1"/>
  <c r="F71" i="1"/>
  <c r="F229" i="1"/>
  <c r="F335" i="1"/>
  <c r="F517" i="1"/>
  <c r="F518" i="1"/>
  <c r="F741" i="1"/>
  <c r="F59" i="1"/>
  <c r="F156" i="1"/>
  <c r="F333" i="1"/>
  <c r="F334" i="1"/>
  <c r="F485" i="1"/>
  <c r="F599" i="1"/>
  <c r="F480" i="1"/>
  <c r="F479" i="1"/>
  <c r="F523" i="1"/>
  <c r="F521" i="1"/>
  <c r="F524" i="1"/>
  <c r="F522" i="1"/>
  <c r="F72" i="1"/>
  <c r="F243" i="1"/>
  <c r="F330" i="1"/>
  <c r="F244" i="1"/>
  <c r="F331" i="1"/>
  <c r="F547" i="1"/>
  <c r="F600" i="1"/>
  <c r="F601" i="1"/>
  <c r="F361" i="1"/>
  <c r="F362" i="1"/>
  <c r="F363" i="1"/>
  <c r="F43" i="1"/>
  <c r="F515" i="1"/>
  <c r="F230" i="1"/>
  <c r="F231" i="1"/>
  <c r="F440" i="1"/>
  <c r="F441" i="1"/>
  <c r="F442" i="1"/>
  <c r="F443" i="1"/>
  <c r="F4" i="1"/>
  <c r="F173" i="1"/>
  <c r="F486" i="1"/>
  <c r="F20" i="1"/>
  <c r="F283" i="1"/>
  <c r="F21" i="1"/>
  <c r="F375" i="1"/>
  <c r="F377" i="1"/>
  <c r="F376" i="1"/>
  <c r="F631" i="1"/>
  <c r="F632" i="1"/>
  <c r="F76" i="1"/>
  <c r="F141" i="1"/>
  <c r="F262" i="1"/>
  <c r="F312" i="1"/>
  <c r="F436" i="1"/>
  <c r="F170" i="1"/>
  <c r="F60" i="1"/>
  <c r="F256" i="1"/>
  <c r="F175" i="1"/>
  <c r="F257" i="1"/>
  <c r="F277" i="1"/>
  <c r="F325" i="1"/>
  <c r="F345" i="1"/>
  <c r="F487" i="1"/>
  <c r="F715" i="1"/>
  <c r="F716" i="1"/>
  <c r="F384" i="1"/>
  <c r="F385" i="1"/>
  <c r="F744" i="1"/>
  <c r="F52" i="1"/>
  <c r="F53" i="1"/>
  <c r="F54" i="1"/>
  <c r="F55" i="1"/>
  <c r="F56" i="1"/>
  <c r="F57" i="1"/>
  <c r="F142" i="1"/>
  <c r="F143" i="1"/>
  <c r="F144" i="1"/>
  <c r="F145" i="1"/>
  <c r="F146" i="1"/>
  <c r="F147" i="1"/>
  <c r="F553" i="1"/>
  <c r="F288" i="1"/>
  <c r="F289" i="1"/>
  <c r="F498" i="1"/>
  <c r="F265" i="1"/>
  <c r="F264" i="1"/>
  <c r="F527" i="1"/>
  <c r="F691" i="1"/>
  <c r="F747" i="1"/>
  <c r="F31" i="1"/>
  <c r="F32" i="1"/>
  <c r="F184" i="1"/>
  <c r="F598" i="1"/>
  <c r="F108" i="1"/>
  <c r="F356" i="1"/>
  <c r="F200" i="1"/>
  <c r="F201" i="1"/>
  <c r="F62" i="1"/>
  <c r="F61" i="1"/>
  <c r="F118" i="1"/>
  <c r="F117" i="1"/>
  <c r="F208" i="1"/>
  <c r="F210" i="1"/>
  <c r="F209" i="1"/>
  <c r="F291" i="1"/>
  <c r="F290" i="1"/>
  <c r="F369" i="1"/>
  <c r="F368" i="1"/>
  <c r="F367" i="1"/>
  <c r="F366" i="1"/>
  <c r="F467" i="1"/>
  <c r="F466" i="1"/>
  <c r="F465" i="1"/>
  <c r="F464" i="1"/>
  <c r="F534" i="1"/>
  <c r="F533" i="1"/>
  <c r="F536" i="1"/>
  <c r="F535" i="1"/>
  <c r="F537" i="1"/>
  <c r="F189" i="1"/>
  <c r="F396" i="1"/>
  <c r="F591" i="1"/>
  <c r="F619" i="1"/>
  <c r="F370" i="1"/>
  <c r="F371" i="1"/>
  <c r="F664" i="1"/>
  <c r="F786" i="1"/>
  <c r="F266" i="1"/>
  <c r="F313" i="1"/>
  <c r="F626" i="1"/>
  <c r="F627" i="1"/>
  <c r="F23" i="1"/>
  <c r="F22" i="1"/>
  <c r="F149" i="1"/>
  <c r="F148" i="1"/>
  <c r="F202" i="1"/>
  <c r="F592" i="1"/>
  <c r="F796" i="1"/>
  <c r="F795" i="1"/>
  <c r="F593" i="1"/>
  <c r="F5" i="1"/>
  <c r="F245" i="1"/>
  <c r="F186" i="1"/>
  <c r="F292" i="1"/>
  <c r="F286" i="1"/>
  <c r="F314" i="1"/>
  <c r="F293" i="1"/>
  <c r="F528" i="1"/>
  <c r="F529" i="1"/>
  <c r="F294" i="1"/>
  <c r="F336" i="1"/>
  <c r="F337" i="1"/>
  <c r="F47" i="1"/>
  <c r="F119" i="1"/>
  <c r="F232" i="1"/>
  <c r="F233" i="1"/>
  <c r="F268" i="1"/>
  <c r="F267" i="1"/>
  <c r="F315" i="1"/>
  <c r="F316" i="1"/>
  <c r="F317" i="1"/>
  <c r="F318" i="1"/>
  <c r="F386" i="1"/>
  <c r="F387" i="1"/>
  <c r="F444" i="1"/>
  <c r="F445" i="1"/>
  <c r="F531" i="1"/>
  <c r="F530" i="1"/>
  <c r="F560" i="1"/>
  <c r="F638" i="1"/>
  <c r="F639" i="1"/>
  <c r="F641" i="1"/>
  <c r="F640" i="1"/>
  <c r="F692" i="1"/>
  <c r="F693" i="1"/>
  <c r="F665" i="1"/>
  <c r="F636" i="1"/>
  <c r="F637" i="1"/>
  <c r="F33" i="1"/>
  <c r="F3" i="1"/>
  <c r="F63" i="1"/>
  <c r="F40" i="1"/>
  <c r="F193" i="1"/>
  <c r="F258" i="1"/>
  <c r="F455" i="1"/>
  <c r="F461" i="1"/>
  <c r="F150" i="1"/>
  <c r="F176" i="1"/>
  <c r="F234" i="1"/>
  <c r="F319" i="1"/>
  <c r="F456" i="1"/>
  <c r="F457" i="1"/>
  <c r="F488" i="1"/>
  <c r="F595" i="1"/>
  <c r="F666" i="1"/>
  <c r="F14" i="1"/>
  <c r="F15" i="1"/>
  <c r="F100" i="1"/>
  <c r="F101" i="1"/>
  <c r="F177" i="1"/>
  <c r="F326" i="1"/>
  <c r="F372" i="1"/>
  <c r="F468" i="1"/>
  <c r="F596" i="1"/>
  <c r="F597" i="1"/>
  <c r="F199" i="1"/>
  <c r="F236" i="1"/>
  <c r="F235" i="1"/>
  <c r="F237" i="1"/>
  <c r="F422" i="1"/>
  <c r="F423" i="1"/>
  <c r="F642" i="1"/>
  <c r="F73" i="1"/>
  <c r="F875" i="1"/>
  <c r="F120" i="1"/>
  <c r="F246" i="1"/>
  <c r="F364" i="1"/>
  <c r="F499" i="1"/>
  <c r="F500" i="1"/>
  <c r="F38" i="1"/>
  <c r="F379" i="1"/>
  <c r="F538" i="1"/>
  <c r="F489" i="1"/>
  <c r="F83" i="1"/>
  <c r="F338" i="1"/>
  <c r="F339" i="1"/>
  <c r="F667" i="1"/>
  <c r="F64" i="1"/>
  <c r="F121" i="1"/>
  <c r="F211" i="1"/>
  <c r="F295" i="1"/>
  <c r="F296" i="1"/>
  <c r="F397" i="1"/>
  <c r="F501" i="1"/>
  <c r="F502" i="1"/>
  <c r="F539" i="1"/>
  <c r="F373" i="1"/>
  <c r="F194" i="1"/>
  <c r="F340" i="1"/>
  <c r="F398" i="1"/>
  <c r="F503" i="1"/>
  <c r="F65" i="1"/>
  <c r="F88" i="1"/>
  <c r="F41" i="1"/>
  <c r="F89" i="1"/>
  <c r="F151" i="1"/>
  <c r="F90" i="1"/>
  <c r="F259" i="1"/>
  <c r="F327" i="1"/>
  <c r="F458" i="1"/>
  <c r="F462" i="1"/>
  <c r="F469" i="1"/>
  <c r="F845" i="1"/>
  <c r="F413" i="1"/>
  <c r="F414" i="1"/>
  <c r="F415" i="1"/>
  <c r="F1017" i="1"/>
  <c r="F554" i="1"/>
  <c r="F135" i="1"/>
  <c r="F152" i="1"/>
  <c r="F424" i="1"/>
  <c r="F425" i="1"/>
  <c r="F426" i="1"/>
  <c r="F561" i="1"/>
  <c r="F718" i="1"/>
  <c r="F719" i="1"/>
  <c r="F720" i="1"/>
  <c r="F205" i="1"/>
  <c r="F285" i="1"/>
  <c r="F34" i="1"/>
  <c r="F96" i="1"/>
  <c r="F162" i="1"/>
  <c r="F163" i="1"/>
  <c r="F269" i="1"/>
  <c r="F346" i="1"/>
  <c r="F470" i="1"/>
  <c r="F544" i="1"/>
  <c r="F49" i="1"/>
  <c r="F29" i="1"/>
  <c r="F116" i="1"/>
  <c r="F188" i="1"/>
  <c r="F225" i="1"/>
  <c r="F238" i="1"/>
  <c r="F278" i="1"/>
  <c r="F276" i="1"/>
  <c r="F380" i="1"/>
  <c r="F481" i="1"/>
  <c r="F526" i="1"/>
  <c r="F545" i="1"/>
  <c r="F548" i="1"/>
  <c r="F584" i="1"/>
  <c r="F164" i="1"/>
  <c r="F165" i="1"/>
  <c r="F347" i="1"/>
  <c r="F348" i="1"/>
  <c r="F723" i="1"/>
  <c r="F724" i="1"/>
  <c r="F180" i="1"/>
  <c r="F323" i="1"/>
  <c r="F102" i="1"/>
  <c r="F153" i="1"/>
  <c r="F185" i="1"/>
  <c r="F247" i="1"/>
  <c r="F287" i="1"/>
  <c r="F342" i="1"/>
  <c r="F341" i="1"/>
  <c r="F390" i="1"/>
  <c r="F471" i="1"/>
  <c r="F472" i="1"/>
  <c r="F541" i="1"/>
  <c r="F559" i="1"/>
  <c r="F710" i="1"/>
  <c r="F711" i="1"/>
  <c r="F109" i="1"/>
  <c r="F110" i="1"/>
  <c r="F178" i="1"/>
  <c r="F320" i="1"/>
  <c r="F179" i="1"/>
  <c r="F321" i="1"/>
  <c r="F322" i="1"/>
  <c r="F388" i="1"/>
  <c r="F389" i="1"/>
  <c r="F540" i="1"/>
  <c r="F643" i="1"/>
  <c r="F644" i="1"/>
  <c r="F645" i="1"/>
  <c r="F753" i="1"/>
  <c r="F791" i="1"/>
  <c r="F24" i="1"/>
  <c r="F25" i="1"/>
  <c r="F107" i="1"/>
  <c r="F66" i="1"/>
  <c r="F122" i="1"/>
  <c r="F212" i="1"/>
  <c r="F357" i="1"/>
  <c r="F399" i="1"/>
  <c r="F504" i="1"/>
  <c r="F604" i="1"/>
  <c r="F84" i="1"/>
  <c r="F85" i="1"/>
  <c r="F343" i="1"/>
  <c r="F374" i="1"/>
  <c r="F490" i="1"/>
  <c r="F669" i="1"/>
  <c r="F646" i="1"/>
  <c r="F400" i="1"/>
  <c r="F181" i="1"/>
  <c r="F35" i="1"/>
  <c r="F36" i="1"/>
  <c r="F114" i="1"/>
  <c r="F115" i="1"/>
  <c r="F166" i="1"/>
  <c r="F167" i="1"/>
  <c r="F270" i="1"/>
  <c r="F271" i="1"/>
  <c r="F272" i="1"/>
  <c r="F350" i="1"/>
  <c r="F349" i="1"/>
  <c r="F351" i="1"/>
  <c r="F352" i="1"/>
  <c r="F475" i="1"/>
  <c r="F476" i="1"/>
  <c r="F474" i="1"/>
  <c r="F473" i="1"/>
  <c r="F580" i="1"/>
  <c r="F581" i="1"/>
  <c r="F579" i="1"/>
  <c r="F578" i="1"/>
  <c r="F67" i="1"/>
  <c r="F68" i="1"/>
  <c r="F123" i="1"/>
  <c r="F203" i="1"/>
  <c r="F297" i="1"/>
  <c r="F403" i="1"/>
  <c r="F401" i="1"/>
  <c r="F402" i="1"/>
  <c r="F505" i="1"/>
  <c r="F605" i="1"/>
  <c r="F69" i="1"/>
  <c r="F124" i="1"/>
  <c r="F213" i="1"/>
  <c r="F298" i="1"/>
  <c r="F404" i="1"/>
  <c r="F506" i="1"/>
  <c r="F182" i="1"/>
  <c r="F427" i="1"/>
  <c r="F428" i="1"/>
  <c r="F78" i="1"/>
  <c r="F112" i="1"/>
  <c r="F353" i="1"/>
  <c r="F344" i="1"/>
  <c r="F558" i="1"/>
  <c r="F195" i="1"/>
  <c r="F196" i="1"/>
  <c r="F159" i="1"/>
  <c r="F430" i="1"/>
  <c r="F429" i="1"/>
  <c r="F431" i="1"/>
  <c r="F432" i="1"/>
  <c r="F861" i="1"/>
  <c r="F37" i="1"/>
  <c r="F97" i="1"/>
  <c r="F168" i="1"/>
  <c r="F273" i="1"/>
  <c r="F447" i="1"/>
  <c r="F446" i="1"/>
  <c r="F354" i="1"/>
  <c r="F448" i="1"/>
  <c r="F449" i="1"/>
  <c r="F477" i="1"/>
  <c r="F615" i="1"/>
  <c r="F562" i="1"/>
  <c r="F417" i="1"/>
  <c r="F42" i="1"/>
  <c r="F92" i="1"/>
  <c r="F169" i="1"/>
  <c r="F274" i="1"/>
  <c r="F355" i="1"/>
  <c r="F450" i="1"/>
  <c r="F542" i="1"/>
  <c r="F98" i="1"/>
  <c r="F187" i="1"/>
  <c r="F275" i="1"/>
  <c r="F365" i="1"/>
  <c r="F478" i="1"/>
  <c r="F582" i="1"/>
  <c r="F206" i="1"/>
  <c r="F420" i="1"/>
  <c r="F419" i="1"/>
  <c r="F86" i="1"/>
  <c r="F87" i="1"/>
  <c r="F214" i="1"/>
  <c r="F249" i="1"/>
  <c r="F248" i="1"/>
  <c r="F251" i="1"/>
  <c r="F250" i="1"/>
  <c r="F433" i="1"/>
  <c r="F434" i="1"/>
  <c r="F549" i="1"/>
  <c r="F550" i="1"/>
  <c r="F551" i="1"/>
  <c r="F648" i="1"/>
  <c r="F552" i="1"/>
  <c r="F649" i="1"/>
  <c r="F650" i="1"/>
  <c r="F651" i="1"/>
  <c r="F755" i="1"/>
  <c r="F754" i="1"/>
  <c r="F756" i="1"/>
  <c r="F204" i="1"/>
  <c r="F279" i="1"/>
  <c r="F391" i="1"/>
  <c r="F418" i="1"/>
  <c r="F491" i="1"/>
  <c r="F563" i="1"/>
  <c r="F652" i="1"/>
  <c r="F111" i="1"/>
  <c r="F612" i="1"/>
  <c r="F613" i="1"/>
  <c r="F70" i="1"/>
  <c r="F125" i="1"/>
  <c r="F215" i="1"/>
  <c r="F216" i="1"/>
  <c r="F300" i="1"/>
  <c r="F299" i="1"/>
  <c r="F405" i="1"/>
  <c r="F507" i="1"/>
  <c r="F607" i="1"/>
  <c r="F91" i="1"/>
  <c r="F154" i="1"/>
  <c r="F239" i="1"/>
  <c r="F324" i="1"/>
  <c r="F392" i="1"/>
  <c r="F435" i="1"/>
  <c r="F452" i="1"/>
  <c r="F451" i="1"/>
  <c r="F453" i="1"/>
  <c r="F653" i="1"/>
  <c r="F543" i="1"/>
  <c r="F654" i="1"/>
  <c r="F566" i="1"/>
  <c r="F567" i="1"/>
  <c r="F568" i="1"/>
  <c r="F569" i="1"/>
  <c r="F574" i="1"/>
  <c r="F570" i="1"/>
  <c r="F571" i="1"/>
  <c r="F572" i="1"/>
  <c r="F575" i="1"/>
  <c r="F576" i="1"/>
  <c r="F577" i="1"/>
  <c r="F573" i="1"/>
  <c r="F557" i="1"/>
  <c r="F763" i="1"/>
  <c r="F633" i="1"/>
  <c r="F1109" i="6"/>
  <c r="F1100" i="6"/>
  <c r="F1106" i="6"/>
  <c r="F1107" i="6"/>
  <c r="F1102" i="6"/>
  <c r="F1105" i="6"/>
  <c r="F1104" i="6"/>
  <c r="F1108" i="6"/>
  <c r="F1103" i="6"/>
  <c r="I1109" i="6"/>
  <c r="I1100" i="6"/>
  <c r="I1106" i="6"/>
  <c r="I1107" i="6"/>
  <c r="I1102" i="6"/>
  <c r="I1105" i="6"/>
  <c r="I1104" i="6"/>
  <c r="I1101" i="6"/>
  <c r="I1108" i="6"/>
  <c r="I1103" i="6"/>
  <c r="J1109" i="6"/>
  <c r="J1100" i="6"/>
  <c r="J1106" i="6"/>
  <c r="J1107" i="6"/>
  <c r="J1102" i="6"/>
  <c r="J1105" i="6"/>
  <c r="J1104" i="6"/>
  <c r="J1101" i="6"/>
  <c r="J1108" i="6"/>
  <c r="J1103" i="6"/>
  <c r="A633" i="1"/>
  <c r="C633" i="1"/>
  <c r="B633" i="1" s="1"/>
  <c r="M633" i="1"/>
  <c r="O633" i="1"/>
  <c r="U633" i="1"/>
  <c r="Y633" i="1" s="1"/>
  <c r="V633" i="1"/>
  <c r="W633" i="1" s="1"/>
  <c r="Z633" i="1"/>
  <c r="A36" i="104"/>
  <c r="B36" i="104"/>
  <c r="C36" i="104"/>
  <c r="A763" i="1"/>
  <c r="C763" i="1"/>
  <c r="B763" i="1" s="1"/>
  <c r="M763" i="1"/>
  <c r="O763" i="1"/>
  <c r="U763" i="1"/>
  <c r="Y763" i="1" s="1"/>
  <c r="V763" i="1"/>
  <c r="W763" i="1" s="1"/>
  <c r="Z763" i="1"/>
  <c r="U454" i="1"/>
  <c r="U16" i="1"/>
  <c r="U226" i="1"/>
  <c r="U260" i="1"/>
  <c r="U525" i="1"/>
  <c r="U564" i="1"/>
  <c r="U700" i="1"/>
  <c r="U138" i="1"/>
  <c r="U160" i="1"/>
  <c r="U227" i="1"/>
  <c r="U394" i="1"/>
  <c r="U685" i="1"/>
  <c r="U628" i="1"/>
  <c r="U629" i="1"/>
  <c r="U50" i="1"/>
  <c r="U93" i="1"/>
  <c r="U94" i="1"/>
  <c r="U190" i="1"/>
  <c r="U328" i="1"/>
  <c r="U437" i="1"/>
  <c r="U497" i="1"/>
  <c r="U546" i="1"/>
  <c r="U674" i="1"/>
  <c r="U126" i="1"/>
  <c r="U676" i="1"/>
  <c r="U48" i="1"/>
  <c r="U492" i="1"/>
  <c r="U359" i="1"/>
  <c r="U27" i="1"/>
  <c r="U2" i="1"/>
  <c r="U44" i="1"/>
  <c r="U45" i="1"/>
  <c r="U99" i="1"/>
  <c r="U137" i="1"/>
  <c r="U191" i="1"/>
  <c r="U197" i="1"/>
  <c r="U309" i="1"/>
  <c r="U381" i="1"/>
  <c r="U406" i="1"/>
  <c r="U508" i="1"/>
  <c r="U495" i="1"/>
  <c r="U183" i="1"/>
  <c r="U198" i="1"/>
  <c r="U280" i="1"/>
  <c r="U127" i="1"/>
  <c r="U128" i="1"/>
  <c r="U129" i="1"/>
  <c r="U130" i="1"/>
  <c r="U131" i="1"/>
  <c r="U132" i="1"/>
  <c r="U217" i="1"/>
  <c r="U218" i="1"/>
  <c r="U219" i="1"/>
  <c r="U220" i="1"/>
  <c r="U221" i="1"/>
  <c r="U222" i="1"/>
  <c r="U305" i="1"/>
  <c r="U307" i="1"/>
  <c r="U304" i="1"/>
  <c r="U308" i="1"/>
  <c r="U303" i="1"/>
  <c r="U306" i="1"/>
  <c r="U408" i="1"/>
  <c r="U407" i="1"/>
  <c r="U409" i="1"/>
  <c r="U412" i="1"/>
  <c r="U410" i="1"/>
  <c r="U411" i="1"/>
  <c r="U482" i="1"/>
  <c r="U509" i="1"/>
  <c r="U511" i="1"/>
  <c r="U510" i="1"/>
  <c r="U514" i="1"/>
  <c r="U512" i="1"/>
  <c r="U513" i="1"/>
  <c r="U39" i="1"/>
  <c r="U139" i="1"/>
  <c r="U483" i="1"/>
  <c r="U311" i="1"/>
  <c r="U6" i="1"/>
  <c r="U7" i="1"/>
  <c r="U241" i="1"/>
  <c r="U242" i="1"/>
  <c r="U617" i="1"/>
  <c r="U58" i="1"/>
  <c r="U133" i="1"/>
  <c r="U687" i="1"/>
  <c r="U688" i="1"/>
  <c r="U8" i="1"/>
  <c r="U9" i="1"/>
  <c r="U10" i="1"/>
  <c r="U11" i="1"/>
  <c r="U12" i="1"/>
  <c r="U261" i="1"/>
  <c r="U79" i="1"/>
  <c r="U155" i="1"/>
  <c r="U171" i="1"/>
  <c r="U192" i="1"/>
  <c r="U240" i="1"/>
  <c r="U263" i="1"/>
  <c r="U301" i="1"/>
  <c r="U378" i="1"/>
  <c r="U493" i="1"/>
  <c r="U519" i="1"/>
  <c r="U416" i="1"/>
  <c r="U17" i="1"/>
  <c r="U103" i="1"/>
  <c r="U174" i="1"/>
  <c r="U281" i="1"/>
  <c r="U360" i="1"/>
  <c r="U484" i="1"/>
  <c r="U585" i="1"/>
  <c r="U586" i="1"/>
  <c r="U26" i="1"/>
  <c r="U228" i="1"/>
  <c r="U252" i="1"/>
  <c r="U253" i="1"/>
  <c r="U282" i="1"/>
  <c r="U254" i="1"/>
  <c r="U520" i="1"/>
  <c r="U701" i="1"/>
  <c r="U702" i="1"/>
  <c r="U835" i="1"/>
  <c r="U134" i="1"/>
  <c r="U51" i="1"/>
  <c r="U382" i="1"/>
  <c r="U383" i="1"/>
  <c r="U13" i="1"/>
  <c r="U30" i="1"/>
  <c r="U46" i="1"/>
  <c r="U74" i="1"/>
  <c r="U80" i="1"/>
  <c r="U104" i="1"/>
  <c r="U113" i="1"/>
  <c r="U140" i="1"/>
  <c r="U172" i="1"/>
  <c r="U207" i="1"/>
  <c r="U255" i="1"/>
  <c r="U284" i="1"/>
  <c r="U302" i="1"/>
  <c r="U329" i="1"/>
  <c r="U358" i="1"/>
  <c r="U395" i="1"/>
  <c r="U421" i="1"/>
  <c r="U438" i="1"/>
  <c r="U463" i="1"/>
  <c r="U494" i="1"/>
  <c r="U516" i="1"/>
  <c r="U532" i="1"/>
  <c r="U555" i="1"/>
  <c r="U105" i="1"/>
  <c r="U106" i="1"/>
  <c r="U161" i="1"/>
  <c r="U223" i="1"/>
  <c r="U224" i="1"/>
  <c r="U310" i="1"/>
  <c r="U459" i="1"/>
  <c r="U460" i="1"/>
  <c r="U75" i="1"/>
  <c r="U81" i="1"/>
  <c r="U136" i="1"/>
  <c r="U332" i="1"/>
  <c r="U439" i="1"/>
  <c r="U556" i="1"/>
  <c r="U614" i="1"/>
  <c r="U82" i="1"/>
  <c r="U157" i="1"/>
  <c r="U158" i="1"/>
  <c r="U660" i="1"/>
  <c r="U393" i="1"/>
  <c r="U496" i="1"/>
  <c r="U18" i="1"/>
  <c r="U19" i="1"/>
  <c r="U71" i="1"/>
  <c r="U229" i="1"/>
  <c r="U335" i="1"/>
  <c r="U517" i="1"/>
  <c r="U518" i="1"/>
  <c r="U741" i="1"/>
  <c r="U59" i="1"/>
  <c r="U156" i="1"/>
  <c r="U333" i="1"/>
  <c r="U334" i="1"/>
  <c r="U485" i="1"/>
  <c r="U599" i="1"/>
  <c r="U480" i="1"/>
  <c r="Y480" i="1" s="1"/>
  <c r="U479" i="1"/>
  <c r="Y479" i="1" s="1"/>
  <c r="U523" i="1"/>
  <c r="Y523" i="1" s="1"/>
  <c r="U521" i="1"/>
  <c r="Y521" i="1" s="1"/>
  <c r="U524" i="1"/>
  <c r="Y524" i="1" s="1"/>
  <c r="U522" i="1"/>
  <c r="Y522" i="1" s="1"/>
  <c r="U72" i="1"/>
  <c r="U243" i="1"/>
  <c r="U330" i="1"/>
  <c r="U244" i="1"/>
  <c r="U331" i="1"/>
  <c r="U547" i="1"/>
  <c r="U600" i="1"/>
  <c r="U601" i="1"/>
  <c r="U361" i="1"/>
  <c r="U362" i="1"/>
  <c r="U363" i="1"/>
  <c r="U43" i="1"/>
  <c r="U515" i="1"/>
  <c r="U230" i="1"/>
  <c r="U231" i="1"/>
  <c r="U440" i="1"/>
  <c r="U441" i="1"/>
  <c r="U442" i="1"/>
  <c r="U443" i="1"/>
  <c r="U4" i="1"/>
  <c r="U173" i="1"/>
  <c r="U486" i="1"/>
  <c r="U20" i="1"/>
  <c r="U283" i="1"/>
  <c r="U21" i="1"/>
  <c r="U375" i="1"/>
  <c r="U377" i="1"/>
  <c r="U376" i="1"/>
  <c r="U631" i="1"/>
  <c r="U632" i="1"/>
  <c r="U76" i="1"/>
  <c r="U141" i="1"/>
  <c r="U262" i="1"/>
  <c r="U312" i="1"/>
  <c r="U436" i="1"/>
  <c r="U170" i="1"/>
  <c r="U60" i="1"/>
  <c r="U256" i="1"/>
  <c r="U175" i="1"/>
  <c r="U257" i="1"/>
  <c r="U277" i="1"/>
  <c r="U325" i="1"/>
  <c r="U345" i="1"/>
  <c r="U487" i="1"/>
  <c r="U715" i="1"/>
  <c r="U716" i="1"/>
  <c r="U384" i="1"/>
  <c r="U385" i="1"/>
  <c r="U744" i="1"/>
  <c r="U52" i="1"/>
  <c r="U53" i="1"/>
  <c r="U54" i="1"/>
  <c r="U55" i="1"/>
  <c r="U56" i="1"/>
  <c r="U57" i="1"/>
  <c r="U142" i="1"/>
  <c r="U143" i="1"/>
  <c r="U144" i="1"/>
  <c r="U145" i="1"/>
  <c r="U146" i="1"/>
  <c r="U147" i="1"/>
  <c r="U553" i="1"/>
  <c r="U288" i="1"/>
  <c r="U289" i="1"/>
  <c r="U498" i="1"/>
  <c r="U265" i="1"/>
  <c r="U264" i="1"/>
  <c r="U527" i="1"/>
  <c r="U691" i="1"/>
  <c r="U747" i="1"/>
  <c r="U31" i="1"/>
  <c r="U32" i="1"/>
  <c r="U184" i="1"/>
  <c r="U598" i="1"/>
  <c r="U108" i="1"/>
  <c r="U356" i="1"/>
  <c r="U200" i="1"/>
  <c r="U201" i="1"/>
  <c r="U62" i="1"/>
  <c r="U61" i="1"/>
  <c r="U118" i="1"/>
  <c r="U117" i="1"/>
  <c r="U208" i="1"/>
  <c r="U210" i="1"/>
  <c r="U209" i="1"/>
  <c r="U291" i="1"/>
  <c r="U290" i="1"/>
  <c r="U369" i="1"/>
  <c r="U368" i="1"/>
  <c r="U367" i="1"/>
  <c r="U366" i="1"/>
  <c r="U467" i="1"/>
  <c r="U466" i="1"/>
  <c r="U465" i="1"/>
  <c r="U464" i="1"/>
  <c r="U534" i="1"/>
  <c r="U533" i="1"/>
  <c r="U536" i="1"/>
  <c r="U535" i="1"/>
  <c r="U537" i="1"/>
  <c r="U189" i="1"/>
  <c r="U396" i="1"/>
  <c r="U591" i="1"/>
  <c r="U619" i="1"/>
  <c r="U370" i="1"/>
  <c r="U371" i="1"/>
  <c r="U664" i="1"/>
  <c r="U786" i="1"/>
  <c r="U266" i="1"/>
  <c r="U313" i="1"/>
  <c r="U626" i="1"/>
  <c r="U627" i="1"/>
  <c r="U23" i="1"/>
  <c r="U22" i="1"/>
  <c r="U149" i="1"/>
  <c r="U148" i="1"/>
  <c r="U202" i="1"/>
  <c r="U592" i="1"/>
  <c r="U796" i="1"/>
  <c r="U795" i="1"/>
  <c r="U593" i="1"/>
  <c r="U5" i="1"/>
  <c r="U245" i="1"/>
  <c r="U186" i="1"/>
  <c r="U292" i="1"/>
  <c r="U286" i="1"/>
  <c r="U314" i="1"/>
  <c r="U293" i="1"/>
  <c r="U528" i="1"/>
  <c r="U529" i="1"/>
  <c r="U294" i="1"/>
  <c r="U336" i="1"/>
  <c r="U337" i="1"/>
  <c r="U47" i="1"/>
  <c r="U119" i="1"/>
  <c r="U232" i="1"/>
  <c r="U233" i="1"/>
  <c r="U268" i="1"/>
  <c r="U267" i="1"/>
  <c r="U315" i="1"/>
  <c r="U316" i="1"/>
  <c r="U317" i="1"/>
  <c r="U318" i="1"/>
  <c r="U386" i="1"/>
  <c r="U387" i="1"/>
  <c r="U444" i="1"/>
  <c r="U445" i="1"/>
  <c r="U531" i="1"/>
  <c r="U530" i="1"/>
  <c r="U560" i="1"/>
  <c r="U638" i="1"/>
  <c r="U639" i="1"/>
  <c r="U641" i="1"/>
  <c r="U640" i="1"/>
  <c r="U692" i="1"/>
  <c r="U693" i="1"/>
  <c r="U665" i="1"/>
  <c r="U636" i="1"/>
  <c r="U637" i="1"/>
  <c r="U33" i="1"/>
  <c r="U3" i="1"/>
  <c r="U63" i="1"/>
  <c r="U40" i="1"/>
  <c r="U193" i="1"/>
  <c r="U258" i="1"/>
  <c r="U455" i="1"/>
  <c r="U461" i="1"/>
  <c r="U150" i="1"/>
  <c r="U176" i="1"/>
  <c r="U234" i="1"/>
  <c r="U319" i="1"/>
  <c r="U456" i="1"/>
  <c r="U457" i="1"/>
  <c r="U488" i="1"/>
  <c r="U595" i="1"/>
  <c r="U666" i="1"/>
  <c r="U14" i="1"/>
  <c r="U15" i="1"/>
  <c r="U100" i="1"/>
  <c r="U101" i="1"/>
  <c r="U177" i="1"/>
  <c r="U326" i="1"/>
  <c r="U372" i="1"/>
  <c r="U468" i="1"/>
  <c r="U596" i="1"/>
  <c r="U597" i="1"/>
  <c r="U199" i="1"/>
  <c r="U236" i="1"/>
  <c r="U235" i="1"/>
  <c r="U237" i="1"/>
  <c r="U422" i="1"/>
  <c r="U423" i="1"/>
  <c r="U642" i="1"/>
  <c r="U73" i="1"/>
  <c r="U875" i="1"/>
  <c r="U120" i="1"/>
  <c r="U246" i="1"/>
  <c r="U364" i="1"/>
  <c r="U499" i="1"/>
  <c r="U500" i="1"/>
  <c r="U38" i="1"/>
  <c r="U379" i="1"/>
  <c r="U538" i="1"/>
  <c r="U489" i="1"/>
  <c r="U83" i="1"/>
  <c r="U338" i="1"/>
  <c r="U339" i="1"/>
  <c r="U667" i="1"/>
  <c r="U64" i="1"/>
  <c r="U121" i="1"/>
  <c r="U211" i="1"/>
  <c r="U295" i="1"/>
  <c r="U296" i="1"/>
  <c r="U397" i="1"/>
  <c r="U501" i="1"/>
  <c r="U502" i="1"/>
  <c r="U539" i="1"/>
  <c r="U373" i="1"/>
  <c r="U194" i="1"/>
  <c r="U340" i="1"/>
  <c r="U398" i="1"/>
  <c r="U503" i="1"/>
  <c r="U65" i="1"/>
  <c r="U88" i="1"/>
  <c r="U41" i="1"/>
  <c r="U89" i="1"/>
  <c r="U151" i="1"/>
  <c r="U90" i="1"/>
  <c r="U259" i="1"/>
  <c r="U327" i="1"/>
  <c r="U458" i="1"/>
  <c r="U462" i="1"/>
  <c r="U469" i="1"/>
  <c r="U845" i="1"/>
  <c r="U413" i="1"/>
  <c r="U414" i="1"/>
  <c r="U415" i="1"/>
  <c r="U1017" i="1"/>
  <c r="U554" i="1"/>
  <c r="U135" i="1"/>
  <c r="U152" i="1"/>
  <c r="U424" i="1"/>
  <c r="U425" i="1"/>
  <c r="U426" i="1"/>
  <c r="U561" i="1"/>
  <c r="U718" i="1"/>
  <c r="U719" i="1"/>
  <c r="U720" i="1"/>
  <c r="U205" i="1"/>
  <c r="U285" i="1"/>
  <c r="U34" i="1"/>
  <c r="U96" i="1"/>
  <c r="U162" i="1"/>
  <c r="U163" i="1"/>
  <c r="U269" i="1"/>
  <c r="U346" i="1"/>
  <c r="U470" i="1"/>
  <c r="U544" i="1"/>
  <c r="U49" i="1"/>
  <c r="U29" i="1"/>
  <c r="U116" i="1"/>
  <c r="U188" i="1"/>
  <c r="U225" i="1"/>
  <c r="U238" i="1"/>
  <c r="U278" i="1"/>
  <c r="U276" i="1"/>
  <c r="U380" i="1"/>
  <c r="U481" i="1"/>
  <c r="U526" i="1"/>
  <c r="U545" i="1"/>
  <c r="U548" i="1"/>
  <c r="U584" i="1"/>
  <c r="U164" i="1"/>
  <c r="U165" i="1"/>
  <c r="U347" i="1"/>
  <c r="U348" i="1"/>
  <c r="U723" i="1"/>
  <c r="U724" i="1"/>
  <c r="U180" i="1"/>
  <c r="U323" i="1"/>
  <c r="U102" i="1"/>
  <c r="U153" i="1"/>
  <c r="U185" i="1"/>
  <c r="U247" i="1"/>
  <c r="U287" i="1"/>
  <c r="U342" i="1"/>
  <c r="U341" i="1"/>
  <c r="U390" i="1"/>
  <c r="U471" i="1"/>
  <c r="U472" i="1"/>
  <c r="U541" i="1"/>
  <c r="U559" i="1"/>
  <c r="U710" i="1"/>
  <c r="U711" i="1"/>
  <c r="U109" i="1"/>
  <c r="U110" i="1"/>
  <c r="U178" i="1"/>
  <c r="U320" i="1"/>
  <c r="U179" i="1"/>
  <c r="U321" i="1"/>
  <c r="U322" i="1"/>
  <c r="U388" i="1"/>
  <c r="U389" i="1"/>
  <c r="U540" i="1"/>
  <c r="U643" i="1"/>
  <c r="U644" i="1"/>
  <c r="U645" i="1"/>
  <c r="U753" i="1"/>
  <c r="U791" i="1"/>
  <c r="U24" i="1"/>
  <c r="U25" i="1"/>
  <c r="U107" i="1"/>
  <c r="U66" i="1"/>
  <c r="U122" i="1"/>
  <c r="U212" i="1"/>
  <c r="U357" i="1"/>
  <c r="U399" i="1"/>
  <c r="U504" i="1"/>
  <c r="U604" i="1"/>
  <c r="U84" i="1"/>
  <c r="U85" i="1"/>
  <c r="U343" i="1"/>
  <c r="U374" i="1"/>
  <c r="U490" i="1"/>
  <c r="U669" i="1"/>
  <c r="U646" i="1"/>
  <c r="U400" i="1"/>
  <c r="U181" i="1"/>
  <c r="U35" i="1"/>
  <c r="U36" i="1"/>
  <c r="U114" i="1"/>
  <c r="U115" i="1"/>
  <c r="U166" i="1"/>
  <c r="U167" i="1"/>
  <c r="U270" i="1"/>
  <c r="U271" i="1"/>
  <c r="U272" i="1"/>
  <c r="U350" i="1"/>
  <c r="U349" i="1"/>
  <c r="U351" i="1"/>
  <c r="U352" i="1"/>
  <c r="U475" i="1"/>
  <c r="U476" i="1"/>
  <c r="U474" i="1"/>
  <c r="U473" i="1"/>
  <c r="U580" i="1"/>
  <c r="U581" i="1"/>
  <c r="U579" i="1"/>
  <c r="U578" i="1"/>
  <c r="U67" i="1"/>
  <c r="U68" i="1"/>
  <c r="U123" i="1"/>
  <c r="U203" i="1"/>
  <c r="U297" i="1"/>
  <c r="U403" i="1"/>
  <c r="U401" i="1"/>
  <c r="U402" i="1"/>
  <c r="U505" i="1"/>
  <c r="U605" i="1"/>
  <c r="U69" i="1"/>
  <c r="U124" i="1"/>
  <c r="U213" i="1"/>
  <c r="U298" i="1"/>
  <c r="U404" i="1"/>
  <c r="U506" i="1"/>
  <c r="U182" i="1"/>
  <c r="U427" i="1"/>
  <c r="U428" i="1"/>
  <c r="U78" i="1"/>
  <c r="U112" i="1"/>
  <c r="U353" i="1"/>
  <c r="U344" i="1"/>
  <c r="U558" i="1"/>
  <c r="U195" i="1"/>
  <c r="U196" i="1"/>
  <c r="U159" i="1"/>
  <c r="U430" i="1"/>
  <c r="U429" i="1"/>
  <c r="U431" i="1"/>
  <c r="U432" i="1"/>
  <c r="U861" i="1"/>
  <c r="U37" i="1"/>
  <c r="U97" i="1"/>
  <c r="U168" i="1"/>
  <c r="U273" i="1"/>
  <c r="U447" i="1"/>
  <c r="U446" i="1"/>
  <c r="U354" i="1"/>
  <c r="U448" i="1"/>
  <c r="U449" i="1"/>
  <c r="U477" i="1"/>
  <c r="U615" i="1"/>
  <c r="U562" i="1"/>
  <c r="U417" i="1"/>
  <c r="U42" i="1"/>
  <c r="U92" i="1"/>
  <c r="U169" i="1"/>
  <c r="U274" i="1"/>
  <c r="U355" i="1"/>
  <c r="U450" i="1"/>
  <c r="U542" i="1"/>
  <c r="U98" i="1"/>
  <c r="U187" i="1"/>
  <c r="U275" i="1"/>
  <c r="U365" i="1"/>
  <c r="U478" i="1"/>
  <c r="U582" i="1"/>
  <c r="Y582" i="1" s="1"/>
  <c r="U206" i="1"/>
  <c r="U420" i="1"/>
  <c r="U419" i="1"/>
  <c r="U86" i="1"/>
  <c r="U87" i="1"/>
  <c r="U214" i="1"/>
  <c r="U249" i="1"/>
  <c r="U248" i="1"/>
  <c r="U251" i="1"/>
  <c r="U250" i="1"/>
  <c r="U433" i="1"/>
  <c r="U434" i="1"/>
  <c r="U549" i="1"/>
  <c r="U550" i="1"/>
  <c r="U551" i="1"/>
  <c r="U648" i="1"/>
  <c r="U552" i="1"/>
  <c r="U649" i="1"/>
  <c r="U650" i="1"/>
  <c r="U651" i="1"/>
  <c r="U755" i="1"/>
  <c r="U754" i="1"/>
  <c r="U756" i="1"/>
  <c r="U204" i="1"/>
  <c r="U279" i="1"/>
  <c r="U391" i="1"/>
  <c r="U418" i="1"/>
  <c r="U491" i="1"/>
  <c r="U563" i="1"/>
  <c r="U652" i="1"/>
  <c r="U111" i="1"/>
  <c r="U612" i="1"/>
  <c r="U613" i="1"/>
  <c r="U70" i="1"/>
  <c r="U125" i="1"/>
  <c r="U215" i="1"/>
  <c r="U216" i="1"/>
  <c r="U300" i="1"/>
  <c r="U299" i="1"/>
  <c r="U405" i="1"/>
  <c r="U507" i="1"/>
  <c r="U607" i="1"/>
  <c r="U91" i="1"/>
  <c r="U154" i="1"/>
  <c r="U239" i="1"/>
  <c r="U324" i="1"/>
  <c r="U392" i="1"/>
  <c r="U435" i="1"/>
  <c r="U452" i="1"/>
  <c r="U451" i="1"/>
  <c r="U453" i="1"/>
  <c r="U653" i="1"/>
  <c r="U543" i="1"/>
  <c r="U654" i="1"/>
  <c r="U566" i="1"/>
  <c r="U567" i="1"/>
  <c r="U568" i="1"/>
  <c r="U569" i="1"/>
  <c r="U574" i="1"/>
  <c r="Y574" i="1" s="1"/>
  <c r="U570" i="1"/>
  <c r="Y570" i="1" s="1"/>
  <c r="U571" i="1"/>
  <c r="Y571" i="1" s="1"/>
  <c r="U572" i="1"/>
  <c r="Y572" i="1" s="1"/>
  <c r="U575" i="1"/>
  <c r="Y575" i="1" s="1"/>
  <c r="U576" i="1"/>
  <c r="U577" i="1"/>
  <c r="Y577" i="1" s="1"/>
  <c r="U573" i="1"/>
  <c r="Y573" i="1" s="1"/>
  <c r="U557" i="1"/>
  <c r="A557" i="1"/>
  <c r="C557" i="1"/>
  <c r="B557" i="1" s="1"/>
  <c r="M557" i="1"/>
  <c r="O557" i="1"/>
  <c r="T557" i="1"/>
  <c r="V557" i="1"/>
  <c r="W557" i="1" s="1"/>
  <c r="Z557" i="1"/>
  <c r="A571" i="1"/>
  <c r="A572" i="1"/>
  <c r="A575" i="1"/>
  <c r="A576" i="1"/>
  <c r="A577" i="1"/>
  <c r="A573" i="1"/>
  <c r="C571" i="1"/>
  <c r="B571" i="1" s="1"/>
  <c r="C572" i="1"/>
  <c r="B572" i="1" s="1"/>
  <c r="C575" i="1"/>
  <c r="B575" i="1" s="1"/>
  <c r="C576" i="1"/>
  <c r="B576" i="1" s="1"/>
  <c r="C577" i="1"/>
  <c r="B577" i="1" s="1"/>
  <c r="C573" i="1"/>
  <c r="B573" i="1" s="1"/>
  <c r="D575" i="1"/>
  <c r="D576" i="1"/>
  <c r="D577" i="1"/>
  <c r="M571" i="1"/>
  <c r="M572" i="1"/>
  <c r="M575" i="1"/>
  <c r="M576" i="1"/>
  <c r="M577" i="1"/>
  <c r="M573" i="1"/>
  <c r="O571" i="1"/>
  <c r="O572" i="1"/>
  <c r="O575" i="1"/>
  <c r="O576" i="1"/>
  <c r="O577" i="1"/>
  <c r="O573" i="1"/>
  <c r="S571" i="1"/>
  <c r="S572" i="1"/>
  <c r="S575" i="1"/>
  <c r="S576" i="1"/>
  <c r="S577" i="1"/>
  <c r="S573" i="1"/>
  <c r="T571" i="1"/>
  <c r="T572" i="1"/>
  <c r="T575" i="1"/>
  <c r="T576" i="1"/>
  <c r="T577" i="1"/>
  <c r="T573" i="1"/>
  <c r="V571" i="1"/>
  <c r="W571" i="1" s="1"/>
  <c r="V572" i="1"/>
  <c r="W572" i="1" s="1"/>
  <c r="V575" i="1"/>
  <c r="W575" i="1" s="1"/>
  <c r="V576" i="1"/>
  <c r="W576" i="1" s="1"/>
  <c r="V577" i="1"/>
  <c r="W577" i="1" s="1"/>
  <c r="V573" i="1"/>
  <c r="W573" i="1" s="1"/>
  <c r="Z571" i="1"/>
  <c r="Z572" i="1"/>
  <c r="Z575" i="1"/>
  <c r="Z576" i="1"/>
  <c r="Z577" i="1"/>
  <c r="Z573" i="1"/>
  <c r="A574" i="1"/>
  <c r="A570" i="1"/>
  <c r="C574" i="1"/>
  <c r="B574" i="1" s="1"/>
  <c r="C570" i="1"/>
  <c r="B570" i="1" s="1"/>
  <c r="D574" i="1"/>
  <c r="M574" i="1"/>
  <c r="M570" i="1"/>
  <c r="O574" i="1"/>
  <c r="O570" i="1"/>
  <c r="S574" i="1"/>
  <c r="S570" i="1"/>
  <c r="T574" i="1"/>
  <c r="T570" i="1"/>
  <c r="V574" i="1"/>
  <c r="W574" i="1" s="1"/>
  <c r="V570" i="1"/>
  <c r="W570" i="1" s="1"/>
  <c r="Z574" i="1"/>
  <c r="Z570" i="1"/>
  <c r="A566" i="1"/>
  <c r="A567" i="1"/>
  <c r="A568" i="1"/>
  <c r="A569" i="1"/>
  <c r="C566" i="1"/>
  <c r="B566" i="1" s="1"/>
  <c r="C567" i="1"/>
  <c r="B567" i="1" s="1"/>
  <c r="C568" i="1"/>
  <c r="B568" i="1" s="1"/>
  <c r="C569" i="1"/>
  <c r="B569" i="1" s="1"/>
  <c r="M566" i="1"/>
  <c r="M567" i="1"/>
  <c r="M568" i="1"/>
  <c r="M569" i="1"/>
  <c r="O566" i="1"/>
  <c r="O567" i="1"/>
  <c r="O568" i="1"/>
  <c r="O569" i="1"/>
  <c r="S566" i="1"/>
  <c r="S567" i="1"/>
  <c r="S568" i="1"/>
  <c r="S569" i="1"/>
  <c r="T566" i="1"/>
  <c r="T567" i="1"/>
  <c r="T568" i="1"/>
  <c r="T569" i="1"/>
  <c r="V566" i="1"/>
  <c r="W566" i="1" s="1"/>
  <c r="V567" i="1"/>
  <c r="W567" i="1" s="1"/>
  <c r="V568" i="1"/>
  <c r="W568" i="1" s="1"/>
  <c r="V569" i="1"/>
  <c r="W569" i="1" s="1"/>
  <c r="Z566" i="1"/>
  <c r="Z567" i="1"/>
  <c r="Z568" i="1"/>
  <c r="Z569" i="1"/>
  <c r="I35" i="104"/>
  <c r="I32" i="104"/>
  <c r="I31" i="104"/>
  <c r="I30" i="104"/>
  <c r="I29" i="104"/>
  <c r="I28" i="104"/>
  <c r="I27" i="104"/>
  <c r="I26" i="104"/>
  <c r="I25" i="104"/>
  <c r="I24" i="104"/>
  <c r="A522" i="1"/>
  <c r="C522" i="1"/>
  <c r="B522" i="1" s="1"/>
  <c r="D522" i="1"/>
  <c r="M522" i="1"/>
  <c r="O522" i="1"/>
  <c r="S522" i="1"/>
  <c r="T522" i="1"/>
  <c r="V522" i="1"/>
  <c r="W522" i="1" s="1"/>
  <c r="Z522" i="1"/>
  <c r="A524" i="1"/>
  <c r="C524" i="1"/>
  <c r="B524" i="1" s="1"/>
  <c r="D524" i="1"/>
  <c r="M524" i="1"/>
  <c r="O524" i="1"/>
  <c r="S524" i="1"/>
  <c r="T524" i="1"/>
  <c r="V524" i="1"/>
  <c r="W524" i="1" s="1"/>
  <c r="Z524" i="1"/>
  <c r="A479" i="1"/>
  <c r="C479" i="1"/>
  <c r="B479" i="1" s="1"/>
  <c r="D479" i="1"/>
  <c r="M479" i="1"/>
  <c r="O479" i="1"/>
  <c r="S479" i="1"/>
  <c r="T479" i="1"/>
  <c r="V479" i="1"/>
  <c r="W479" i="1" s="1"/>
  <c r="Z479" i="1"/>
  <c r="A480" i="1"/>
  <c r="C480" i="1"/>
  <c r="B480" i="1" s="1"/>
  <c r="D480" i="1"/>
  <c r="M480" i="1"/>
  <c r="O480" i="1"/>
  <c r="S480" i="1"/>
  <c r="T480" i="1"/>
  <c r="V480" i="1"/>
  <c r="W480" i="1" s="1"/>
  <c r="Z480" i="1"/>
  <c r="A521" i="1"/>
  <c r="C521" i="1"/>
  <c r="B521" i="1" s="1"/>
  <c r="D521" i="1"/>
  <c r="M521" i="1"/>
  <c r="O521" i="1"/>
  <c r="S521" i="1"/>
  <c r="T521" i="1"/>
  <c r="V521" i="1"/>
  <c r="W521" i="1" s="1"/>
  <c r="Z521" i="1"/>
  <c r="A523" i="1"/>
  <c r="C523" i="1"/>
  <c r="B523" i="1" s="1"/>
  <c r="D523" i="1"/>
  <c r="M523" i="1"/>
  <c r="O523" i="1"/>
  <c r="S523" i="1"/>
  <c r="T523" i="1"/>
  <c r="V523" i="1"/>
  <c r="W523" i="1" s="1"/>
  <c r="Z523" i="1"/>
  <c r="A582" i="1"/>
  <c r="C582" i="1"/>
  <c r="B582" i="1" s="1"/>
  <c r="T582" i="1"/>
  <c r="V582" i="1"/>
  <c r="W582" i="1" s="1"/>
  <c r="Z582" i="1"/>
  <c r="D1099" i="6"/>
  <c r="E1099" i="6" s="1"/>
  <c r="F1099" i="6"/>
  <c r="I1099" i="6"/>
  <c r="A688" i="1"/>
  <c r="B688" i="1"/>
  <c r="T688" i="1"/>
  <c r="V688" i="1"/>
  <c r="W688" i="1" s="1"/>
  <c r="Z688" i="1"/>
  <c r="R866" i="1" l="1"/>
  <c r="D936" i="1" s="1"/>
  <c r="R668" i="1"/>
  <c r="R647" i="1"/>
  <c r="R616" i="1"/>
  <c r="D616" i="1" s="1"/>
  <c r="R864" i="1"/>
  <c r="R876" i="1"/>
  <c r="R634" i="1"/>
  <c r="D634" i="1" s="1"/>
  <c r="R671" i="1"/>
  <c r="R721" i="1"/>
  <c r="R722" i="1"/>
  <c r="D792" i="1" s="1"/>
  <c r="R822" i="1"/>
  <c r="R630" i="1"/>
  <c r="D630" i="1" s="1"/>
  <c r="R761" i="1"/>
  <c r="R787" i="1"/>
  <c r="R819" i="1"/>
  <c r="D819" i="1" s="1"/>
  <c r="R742" i="1"/>
  <c r="R757" i="1"/>
  <c r="R730" i="1"/>
  <c r="D730" i="1" s="1"/>
  <c r="Q606" i="1"/>
  <c r="Q603" i="1"/>
  <c r="R728" i="1"/>
  <c r="D728" i="1" s="1"/>
  <c r="R565" i="1"/>
  <c r="R611" i="1"/>
  <c r="R931" i="1"/>
  <c r="R589" i="1"/>
  <c r="D589" i="1" s="1"/>
  <c r="R657" i="1"/>
  <c r="Q602" i="1"/>
  <c r="R583" i="1"/>
  <c r="D583" i="1" s="1"/>
  <c r="R708" i="1"/>
  <c r="D708" i="1" s="1"/>
  <c r="R932" i="1"/>
  <c r="R863" i="1"/>
  <c r="R868" i="1"/>
  <c r="D943" i="1" s="1"/>
  <c r="R732" i="1"/>
  <c r="D774" i="1" s="1"/>
  <c r="R717" i="1"/>
  <c r="R900" i="1"/>
  <c r="D900" i="1" s="1"/>
  <c r="R729" i="1"/>
  <c r="R618" i="1"/>
  <c r="D618" i="1" s="1"/>
  <c r="R842" i="1"/>
  <c r="Q836" i="1"/>
  <c r="J1099" i="6"/>
  <c r="X696" i="1"/>
  <c r="X587" i="1"/>
  <c r="X590" i="1"/>
  <c r="X594" i="1"/>
  <c r="Y594" i="1"/>
  <c r="T763" i="1"/>
  <c r="T633" i="1"/>
  <c r="X633" i="1"/>
  <c r="X763" i="1"/>
  <c r="X557" i="1"/>
  <c r="Y557" i="1"/>
  <c r="X573" i="1"/>
  <c r="X572" i="1"/>
  <c r="X569" i="1"/>
  <c r="Y569" i="1"/>
  <c r="X577" i="1"/>
  <c r="X571" i="1"/>
  <c r="X566" i="1"/>
  <c r="Y566" i="1"/>
  <c r="X568" i="1"/>
  <c r="X574" i="1"/>
  <c r="X567" i="1"/>
  <c r="X576" i="1"/>
  <c r="X575" i="1"/>
  <c r="Y576" i="1"/>
  <c r="Y568" i="1"/>
  <c r="Y567" i="1"/>
  <c r="X570" i="1"/>
  <c r="X524" i="1"/>
  <c r="X522" i="1"/>
  <c r="X480" i="1"/>
  <c r="X479" i="1"/>
  <c r="X521" i="1"/>
  <c r="X523" i="1"/>
  <c r="X582" i="1"/>
  <c r="X688" i="1"/>
  <c r="Y688" i="1"/>
  <c r="L5" i="16" l="1"/>
  <c r="P479" i="1"/>
  <c r="P480" i="1"/>
  <c r="R606" i="1"/>
  <c r="D606" i="1" s="1"/>
  <c r="R603" i="1"/>
  <c r="D603" i="1" s="1"/>
  <c r="P570" i="1"/>
  <c r="P575" i="1"/>
  <c r="P577" i="1"/>
  <c r="P573" i="1"/>
  <c r="P633" i="1"/>
  <c r="P594" i="1"/>
  <c r="P523" i="1"/>
  <c r="P522" i="1"/>
  <c r="P582" i="1"/>
  <c r="Q480" i="1"/>
  <c r="P590" i="1"/>
  <c r="P557" i="1"/>
  <c r="P587" i="1"/>
  <c r="R836" i="1"/>
  <c r="P521" i="1"/>
  <c r="P524" i="1"/>
  <c r="P574" i="1"/>
  <c r="P571" i="1"/>
  <c r="P572" i="1"/>
  <c r="P763" i="1"/>
  <c r="P696" i="1"/>
  <c r="D768" i="1"/>
  <c r="D769" i="1"/>
  <c r="D764" i="1"/>
  <c r="D767" i="1"/>
  <c r="D766" i="1"/>
  <c r="D765" i="1"/>
  <c r="D570" i="1"/>
  <c r="D762" i="1"/>
  <c r="D572" i="1"/>
  <c r="D567" i="1"/>
  <c r="D571" i="1"/>
  <c r="D573" i="1"/>
  <c r="D568" i="1"/>
  <c r="D763" i="1"/>
  <c r="D566" i="1"/>
  <c r="D569" i="1"/>
  <c r="P569" i="1"/>
  <c r="P576" i="1"/>
  <c r="P567" i="1"/>
  <c r="P566" i="1"/>
  <c r="P568" i="1"/>
  <c r="P688" i="1"/>
  <c r="A676" i="1"/>
  <c r="C676" i="1"/>
  <c r="B676" i="1" s="1"/>
  <c r="Y676" i="1"/>
  <c r="V676" i="1"/>
  <c r="W676" i="1" s="1"/>
  <c r="Z676" i="1"/>
  <c r="A835" i="1"/>
  <c r="C835" i="1"/>
  <c r="B835" i="1" s="1"/>
  <c r="M835" i="1"/>
  <c r="O835" i="1"/>
  <c r="K15" i="16" s="1"/>
  <c r="Y835" i="1"/>
  <c r="V835" i="1"/>
  <c r="W835" i="1" s="1"/>
  <c r="Z835" i="1"/>
  <c r="A700" i="1"/>
  <c r="C700" i="1"/>
  <c r="B700" i="1" s="1"/>
  <c r="Y700" i="1"/>
  <c r="V700" i="1"/>
  <c r="W700" i="1" s="1"/>
  <c r="Z700" i="1"/>
  <c r="A554" i="1"/>
  <c r="C554" i="1"/>
  <c r="T554" i="1" s="1"/>
  <c r="V554" i="1"/>
  <c r="W554" i="1" s="1"/>
  <c r="Z554" i="1"/>
  <c r="A666" i="1"/>
  <c r="C666" i="1"/>
  <c r="B666" i="1" s="1"/>
  <c r="Y666" i="1"/>
  <c r="V666" i="1"/>
  <c r="W666" i="1" s="1"/>
  <c r="Z666" i="1"/>
  <c r="M747" i="1"/>
  <c r="A747" i="1"/>
  <c r="C747" i="1"/>
  <c r="B747" i="1" s="1"/>
  <c r="O747" i="1"/>
  <c r="Y747" i="1"/>
  <c r="V747" i="1"/>
  <c r="W747" i="1" s="1"/>
  <c r="Z747" i="1"/>
  <c r="A756" i="1"/>
  <c r="C756" i="1"/>
  <c r="B756" i="1" s="1"/>
  <c r="M756" i="1"/>
  <c r="V756" i="1"/>
  <c r="W756" i="1" s="1"/>
  <c r="Z756" i="1"/>
  <c r="A669" i="1"/>
  <c r="C669" i="1"/>
  <c r="B669" i="1" s="1"/>
  <c r="V669" i="1"/>
  <c r="W669" i="1" s="1"/>
  <c r="Z669" i="1"/>
  <c r="A861" i="1"/>
  <c r="B861" i="1"/>
  <c r="Y861" i="1"/>
  <c r="V861" i="1"/>
  <c r="W861" i="1" s="1"/>
  <c r="Z861" i="1"/>
  <c r="A791" i="1"/>
  <c r="C791" i="1"/>
  <c r="B791" i="1" s="1"/>
  <c r="V791" i="1"/>
  <c r="W791" i="1" s="1"/>
  <c r="Z791" i="1"/>
  <c r="A753" i="1"/>
  <c r="C753" i="1"/>
  <c r="B753" i="1" s="1"/>
  <c r="V753" i="1"/>
  <c r="W753" i="1" s="1"/>
  <c r="Z753" i="1"/>
  <c r="A693" i="1"/>
  <c r="C693" i="1"/>
  <c r="B693" i="1" s="1"/>
  <c r="M693" i="1"/>
  <c r="O693" i="1"/>
  <c r="V693" i="1"/>
  <c r="W693" i="1" s="1"/>
  <c r="Z693" i="1"/>
  <c r="A593" i="1"/>
  <c r="B593" i="1"/>
  <c r="O593" i="1"/>
  <c r="V593" i="1"/>
  <c r="W593" i="1" s="1"/>
  <c r="Z593" i="1"/>
  <c r="F868" i="6"/>
  <c r="I868" i="6"/>
  <c r="J868" i="6"/>
  <c r="A555" i="1"/>
  <c r="C555" i="1"/>
  <c r="B555" i="1" s="1"/>
  <c r="M555" i="1"/>
  <c r="O555" i="1"/>
  <c r="T555" i="1"/>
  <c r="Y555" i="1"/>
  <c r="V555" i="1"/>
  <c r="W555" i="1" s="1"/>
  <c r="Z555" i="1"/>
  <c r="A604" i="1"/>
  <c r="C604" i="1"/>
  <c r="B604" i="1" s="1"/>
  <c r="Y604" i="1"/>
  <c r="V604" i="1"/>
  <c r="W604" i="1" s="1"/>
  <c r="Z604" i="1"/>
  <c r="A692" i="1"/>
  <c r="C692" i="1"/>
  <c r="B692" i="1" s="1"/>
  <c r="M692" i="1"/>
  <c r="O692" i="1"/>
  <c r="V692" i="1"/>
  <c r="W692" i="1" s="1"/>
  <c r="Z692" i="1"/>
  <c r="Q479" i="1" l="1"/>
  <c r="R479" i="1" s="1"/>
  <c r="Q567" i="1"/>
  <c r="Q696" i="1"/>
  <c r="Q572" i="1"/>
  <c r="Q574" i="1"/>
  <c r="Q521" i="1"/>
  <c r="Q587" i="1"/>
  <c r="Q590" i="1"/>
  <c r="Q582" i="1"/>
  <c r="Q523" i="1"/>
  <c r="Q633" i="1"/>
  <c r="Q577" i="1"/>
  <c r="Q688" i="1"/>
  <c r="Q576" i="1"/>
  <c r="Q570" i="1"/>
  <c r="Q568" i="1"/>
  <c r="Q569" i="1"/>
  <c r="Q763" i="1"/>
  <c r="Q571" i="1"/>
  <c r="Q524" i="1"/>
  <c r="Q557" i="1"/>
  <c r="R480" i="1"/>
  <c r="Q522" i="1"/>
  <c r="Q594" i="1"/>
  <c r="Q573" i="1"/>
  <c r="Q566" i="1"/>
  <c r="Q575" i="1"/>
  <c r="T676" i="1"/>
  <c r="T700" i="1"/>
  <c r="T835" i="1"/>
  <c r="X676" i="1"/>
  <c r="T666" i="1"/>
  <c r="X554" i="1"/>
  <c r="Y554" i="1"/>
  <c r="X835" i="1"/>
  <c r="X700" i="1"/>
  <c r="B554" i="1"/>
  <c r="X747" i="1"/>
  <c r="X666" i="1"/>
  <c r="T747" i="1"/>
  <c r="T756" i="1"/>
  <c r="X756" i="1"/>
  <c r="Y756" i="1"/>
  <c r="X693" i="1"/>
  <c r="T861" i="1"/>
  <c r="X861" i="1"/>
  <c r="X669" i="1"/>
  <c r="Y669" i="1"/>
  <c r="T669" i="1"/>
  <c r="T791" i="1"/>
  <c r="X791" i="1"/>
  <c r="Y791" i="1"/>
  <c r="T753" i="1"/>
  <c r="X753" i="1"/>
  <c r="Y753" i="1"/>
  <c r="Y693" i="1"/>
  <c r="T693" i="1"/>
  <c r="X593" i="1"/>
  <c r="Y593" i="1"/>
  <c r="T593" i="1"/>
  <c r="X555" i="1"/>
  <c r="T604" i="1"/>
  <c r="X604" i="1"/>
  <c r="T692" i="1"/>
  <c r="X692" i="1"/>
  <c r="Y692" i="1"/>
  <c r="P593" i="1" l="1"/>
  <c r="R587" i="1"/>
  <c r="Q593" i="1"/>
  <c r="P861" i="1"/>
  <c r="P747" i="1"/>
  <c r="R566" i="1"/>
  <c r="R576" i="1"/>
  <c r="P555" i="1"/>
  <c r="R573" i="1"/>
  <c r="R522" i="1"/>
  <c r="R557" i="1"/>
  <c r="D557" i="1" s="1"/>
  <c r="R571" i="1"/>
  <c r="R569" i="1"/>
  <c r="R633" i="1"/>
  <c r="D633" i="1" s="1"/>
  <c r="R582" i="1"/>
  <c r="D582" i="1" s="1"/>
  <c r="R574" i="1"/>
  <c r="R696" i="1"/>
  <c r="D696" i="1" s="1"/>
  <c r="P604" i="1"/>
  <c r="P700" i="1"/>
  <c r="R575" i="1"/>
  <c r="R570" i="1"/>
  <c r="Q666" i="1"/>
  <c r="P835" i="1"/>
  <c r="P676" i="1"/>
  <c r="R524" i="1"/>
  <c r="R763" i="1"/>
  <c r="R568" i="1"/>
  <c r="R577" i="1"/>
  <c r="R523" i="1"/>
  <c r="R590" i="1"/>
  <c r="D590" i="1" s="1"/>
  <c r="R521" i="1"/>
  <c r="R572" i="1"/>
  <c r="R567" i="1"/>
  <c r="P693" i="1"/>
  <c r="D750" i="1"/>
  <c r="D751" i="1"/>
  <c r="P554" i="1"/>
  <c r="P756" i="1"/>
  <c r="P669" i="1"/>
  <c r="P791" i="1"/>
  <c r="P753" i="1"/>
  <c r="P692" i="1"/>
  <c r="A537" i="1"/>
  <c r="C537" i="1"/>
  <c r="B537" i="1" s="1"/>
  <c r="M537" i="1"/>
  <c r="O537" i="1"/>
  <c r="T537" i="1"/>
  <c r="V537" i="1"/>
  <c r="W537" i="1" s="1"/>
  <c r="Z537" i="1"/>
  <c r="A584" i="1"/>
  <c r="C584" i="1"/>
  <c r="B584" i="1" s="1"/>
  <c r="Y584" i="1"/>
  <c r="V584" i="1"/>
  <c r="W584" i="1" s="1"/>
  <c r="Z584" i="1"/>
  <c r="A597" i="1"/>
  <c r="C597" i="1"/>
  <c r="B597" i="1" s="1"/>
  <c r="Y597" i="1"/>
  <c r="V597" i="1"/>
  <c r="W597" i="1" s="1"/>
  <c r="Z597" i="1"/>
  <c r="A586" i="1"/>
  <c r="C586" i="1"/>
  <c r="B586" i="1" s="1"/>
  <c r="Y586" i="1"/>
  <c r="V586" i="1"/>
  <c r="W586" i="1" s="1"/>
  <c r="Z586" i="1"/>
  <c r="F1094" i="6"/>
  <c r="F1097" i="6"/>
  <c r="I1094" i="6"/>
  <c r="I1097" i="6"/>
  <c r="J1094" i="6"/>
  <c r="J1097" i="6"/>
  <c r="D1095" i="6"/>
  <c r="C1095" i="6" s="1"/>
  <c r="D1093" i="6"/>
  <c r="C1093" i="6" s="1"/>
  <c r="F1092" i="6"/>
  <c r="I1092" i="6"/>
  <c r="J1092" i="6"/>
  <c r="F1091" i="6"/>
  <c r="I1091" i="6"/>
  <c r="J1091" i="6"/>
  <c r="A601" i="1"/>
  <c r="B601" i="1"/>
  <c r="M601" i="1"/>
  <c r="O601" i="1"/>
  <c r="T601" i="1"/>
  <c r="Y601" i="1"/>
  <c r="V601" i="1"/>
  <c r="W601" i="1" s="1"/>
  <c r="Z601" i="1"/>
  <c r="H58" i="15"/>
  <c r="H57" i="15"/>
  <c r="H56" i="15"/>
  <c r="H54" i="15"/>
  <c r="H46" i="15"/>
  <c r="H53" i="15"/>
  <c r="H52" i="15"/>
  <c r="H51" i="15"/>
  <c r="H50" i="15"/>
  <c r="H49" i="15"/>
  <c r="H47" i="15"/>
  <c r="H45" i="15"/>
  <c r="H43" i="15"/>
  <c r="H42" i="15"/>
  <c r="H41" i="15"/>
  <c r="H40" i="15"/>
  <c r="H34" i="15"/>
  <c r="H32" i="15"/>
  <c r="H31" i="15"/>
  <c r="H30" i="15"/>
  <c r="H29" i="15"/>
  <c r="H28" i="15"/>
  <c r="H27" i="15"/>
  <c r="H26" i="15"/>
  <c r="H25" i="15"/>
  <c r="H23" i="15"/>
  <c r="H22" i="15"/>
  <c r="H21" i="15"/>
  <c r="H20" i="15"/>
  <c r="H19" i="15"/>
  <c r="H18" i="15"/>
  <c r="H17" i="15"/>
  <c r="H16" i="15"/>
  <c r="H15" i="15"/>
  <c r="H14" i="15"/>
  <c r="H11" i="15"/>
  <c r="H10" i="15"/>
  <c r="H9" i="15"/>
  <c r="H7" i="15"/>
  <c r="H4" i="15"/>
  <c r="H3" i="15"/>
  <c r="H2" i="15"/>
  <c r="F1084" i="6"/>
  <c r="F1085" i="6"/>
  <c r="F1086" i="6"/>
  <c r="I1084" i="6"/>
  <c r="I1085" i="6"/>
  <c r="I1086" i="6"/>
  <c r="J1084" i="6"/>
  <c r="J1085" i="6"/>
  <c r="J1086" i="6"/>
  <c r="F1081" i="6"/>
  <c r="F1082" i="6"/>
  <c r="I1081" i="6"/>
  <c r="I1082" i="6"/>
  <c r="I1083" i="6"/>
  <c r="J1081" i="6"/>
  <c r="J1082" i="6"/>
  <c r="J1083" i="6"/>
  <c r="A511" i="1"/>
  <c r="A510" i="1"/>
  <c r="A514" i="1"/>
  <c r="A512" i="1"/>
  <c r="A513" i="1"/>
  <c r="C511" i="1"/>
  <c r="B511" i="1" s="1"/>
  <c r="C510" i="1"/>
  <c r="B510" i="1" s="1"/>
  <c r="C514" i="1"/>
  <c r="T514" i="1" s="1"/>
  <c r="C512" i="1"/>
  <c r="B512" i="1" s="1"/>
  <c r="C513" i="1"/>
  <c r="B513" i="1" s="1"/>
  <c r="D511" i="1"/>
  <c r="D510" i="1"/>
  <c r="D514" i="1"/>
  <c r="D512" i="1"/>
  <c r="D513" i="1"/>
  <c r="S511" i="1"/>
  <c r="S510" i="1"/>
  <c r="S514" i="1"/>
  <c r="S512" i="1"/>
  <c r="S513" i="1"/>
  <c r="T511" i="1"/>
  <c r="T510" i="1"/>
  <c r="T512" i="1"/>
  <c r="T513" i="1"/>
  <c r="Y510" i="1"/>
  <c r="Y514" i="1"/>
  <c r="Y512" i="1"/>
  <c r="V511" i="1"/>
  <c r="W511" i="1" s="1"/>
  <c r="V510" i="1"/>
  <c r="W510" i="1" s="1"/>
  <c r="V514" i="1"/>
  <c r="W514" i="1" s="1"/>
  <c r="V512" i="1"/>
  <c r="W512" i="1" s="1"/>
  <c r="V513" i="1"/>
  <c r="W513" i="1" s="1"/>
  <c r="Z511" i="1"/>
  <c r="Z510" i="1"/>
  <c r="Z514" i="1"/>
  <c r="Z512" i="1"/>
  <c r="Z513" i="1"/>
  <c r="A509" i="1"/>
  <c r="C509" i="1"/>
  <c r="B509" i="1" s="1"/>
  <c r="S509" i="1"/>
  <c r="T509" i="1"/>
  <c r="V509" i="1"/>
  <c r="W509" i="1" s="1"/>
  <c r="Z509" i="1"/>
  <c r="D1089" i="6"/>
  <c r="C1089" i="6"/>
  <c r="C1090" i="6"/>
  <c r="B36" i="15"/>
  <c r="C36" i="15"/>
  <c r="D36" i="15"/>
  <c r="E36" i="15"/>
  <c r="F36" i="15"/>
  <c r="G36" i="15"/>
  <c r="A22" i="104"/>
  <c r="B22" i="104"/>
  <c r="C22" i="104"/>
  <c r="I22" i="104"/>
  <c r="A532" i="1"/>
  <c r="C532" i="1"/>
  <c r="B532" i="1" s="1"/>
  <c r="D532" i="1"/>
  <c r="M532" i="1"/>
  <c r="O532" i="1"/>
  <c r="S532" i="1"/>
  <c r="T532" i="1"/>
  <c r="V532" i="1"/>
  <c r="W532" i="1" s="1"/>
  <c r="Z532" i="1"/>
  <c r="A579" i="1"/>
  <c r="A578" i="1"/>
  <c r="C579" i="1"/>
  <c r="B579" i="1" s="1"/>
  <c r="C578" i="1"/>
  <c r="B578" i="1" s="1"/>
  <c r="Y579" i="1"/>
  <c r="Y578" i="1"/>
  <c r="V579" i="1"/>
  <c r="W579" i="1" s="1"/>
  <c r="V578" i="1"/>
  <c r="W578" i="1" s="1"/>
  <c r="Z579" i="1"/>
  <c r="Z578" i="1"/>
  <c r="A723" i="1"/>
  <c r="A724" i="1"/>
  <c r="B723" i="1"/>
  <c r="B724" i="1"/>
  <c r="Y723" i="1"/>
  <c r="Y724" i="1"/>
  <c r="V723" i="1"/>
  <c r="W723" i="1" s="1"/>
  <c r="V724" i="1"/>
  <c r="W724" i="1" s="1"/>
  <c r="Z723" i="1"/>
  <c r="Z724" i="1"/>
  <c r="X8" i="15" l="1"/>
  <c r="F1641" i="6"/>
  <c r="X12" i="15"/>
  <c r="F1646" i="6"/>
  <c r="W36" i="15"/>
  <c r="X36" i="15"/>
  <c r="W33" i="15"/>
  <c r="X33" i="15"/>
  <c r="Q791" i="1"/>
  <c r="Q835" i="1"/>
  <c r="Q604" i="1"/>
  <c r="Q555" i="1"/>
  <c r="Q669" i="1"/>
  <c r="Q700" i="1"/>
  <c r="Q861" i="1"/>
  <c r="Q676" i="1"/>
  <c r="R666" i="1"/>
  <c r="Q692" i="1"/>
  <c r="Q756" i="1"/>
  <c r="Q693" i="1"/>
  <c r="Q753" i="1"/>
  <c r="Q554" i="1"/>
  <c r="Q747" i="1"/>
  <c r="W8" i="15"/>
  <c r="F1640" i="6"/>
  <c r="W12" i="15"/>
  <c r="F1645" i="6"/>
  <c r="V12" i="15"/>
  <c r="F1612" i="6"/>
  <c r="V8" i="15"/>
  <c r="F1619" i="6"/>
  <c r="U36" i="15"/>
  <c r="V36" i="15"/>
  <c r="U33" i="15"/>
  <c r="V33" i="15"/>
  <c r="U8" i="15"/>
  <c r="F1589" i="6"/>
  <c r="U12" i="15"/>
  <c r="F1578" i="6"/>
  <c r="T8" i="15"/>
  <c r="F1558" i="6"/>
  <c r="T12" i="15"/>
  <c r="F1551" i="6"/>
  <c r="S36" i="15"/>
  <c r="T36" i="15"/>
  <c r="S33" i="15"/>
  <c r="T33" i="15"/>
  <c r="S8" i="15"/>
  <c r="F1531" i="6"/>
  <c r="S12" i="15"/>
  <c r="F1519" i="6"/>
  <c r="R8" i="15"/>
  <c r="F1488" i="6"/>
  <c r="R12" i="15"/>
  <c r="F1478" i="6"/>
  <c r="Q36" i="15"/>
  <c r="R36" i="15"/>
  <c r="Q33" i="15"/>
  <c r="R33" i="15"/>
  <c r="Q8" i="15"/>
  <c r="F1446" i="6"/>
  <c r="Q12" i="15"/>
  <c r="F1447" i="6"/>
  <c r="P8" i="15"/>
  <c r="F1409" i="6"/>
  <c r="F1410" i="6"/>
  <c r="P12" i="15"/>
  <c r="O36" i="15"/>
  <c r="P36" i="15"/>
  <c r="O33" i="15"/>
  <c r="P33" i="15"/>
  <c r="O8" i="15"/>
  <c r="F1391" i="6"/>
  <c r="F1377" i="6"/>
  <c r="F1378" i="6"/>
  <c r="F1090" i="6"/>
  <c r="F1361" i="6"/>
  <c r="F1344" i="6"/>
  <c r="F1339" i="6"/>
  <c r="N33" i="15"/>
  <c r="F1322" i="6"/>
  <c r="F1302" i="6"/>
  <c r="F1325" i="6"/>
  <c r="F1307" i="6"/>
  <c r="N8" i="15"/>
  <c r="M36" i="15"/>
  <c r="N36" i="15"/>
  <c r="F1308" i="6"/>
  <c r="N12" i="15"/>
  <c r="H19" i="16"/>
  <c r="F1266" i="6"/>
  <c r="M8" i="15"/>
  <c r="F1267" i="6"/>
  <c r="M12" i="15"/>
  <c r="L33" i="15"/>
  <c r="M33" i="15"/>
  <c r="L36" i="15"/>
  <c r="F1288" i="6"/>
  <c r="F1234" i="6"/>
  <c r="L8" i="15"/>
  <c r="F1235" i="6"/>
  <c r="L12" i="15"/>
  <c r="I36" i="15"/>
  <c r="F1253" i="6"/>
  <c r="I33" i="15"/>
  <c r="K8" i="15"/>
  <c r="I8" i="15"/>
  <c r="K12" i="15"/>
  <c r="I12" i="15"/>
  <c r="F1218" i="6"/>
  <c r="K36" i="15"/>
  <c r="F1215" i="6"/>
  <c r="K33" i="15"/>
  <c r="E1093" i="6"/>
  <c r="F1198" i="6"/>
  <c r="E1095" i="6"/>
  <c r="F1199" i="6"/>
  <c r="E1089" i="6"/>
  <c r="F1184" i="6"/>
  <c r="E1090" i="6"/>
  <c r="F1190" i="6"/>
  <c r="F1191" i="6"/>
  <c r="J33" i="15"/>
  <c r="F1181" i="6"/>
  <c r="F1151" i="6"/>
  <c r="J36" i="15"/>
  <c r="F1164" i="6"/>
  <c r="J8" i="15"/>
  <c r="J12" i="15"/>
  <c r="F1148" i="6"/>
  <c r="D554" i="1"/>
  <c r="R554" i="1"/>
  <c r="D935" i="1"/>
  <c r="F1131" i="6"/>
  <c r="I1090" i="6"/>
  <c r="I1089" i="6"/>
  <c r="D934" i="1"/>
  <c r="D788" i="1"/>
  <c r="D811" i="1"/>
  <c r="D669" i="1"/>
  <c r="D722" i="1"/>
  <c r="T597" i="1"/>
  <c r="X537" i="1"/>
  <c r="X584" i="1"/>
  <c r="X597" i="1"/>
  <c r="Y537" i="1"/>
  <c r="T584" i="1"/>
  <c r="X586" i="1"/>
  <c r="J1096" i="6"/>
  <c r="I1096" i="6"/>
  <c r="T586" i="1"/>
  <c r="X601" i="1"/>
  <c r="F1095" i="6"/>
  <c r="I1095" i="6"/>
  <c r="J1095" i="6"/>
  <c r="H12" i="15"/>
  <c r="J1093" i="6"/>
  <c r="F1093" i="6"/>
  <c r="H8" i="15"/>
  <c r="I1093" i="6"/>
  <c r="T723" i="1"/>
  <c r="T724" i="1"/>
  <c r="X514" i="1"/>
  <c r="X510" i="1"/>
  <c r="X513" i="1"/>
  <c r="X511" i="1"/>
  <c r="J1089" i="6"/>
  <c r="F1089" i="6"/>
  <c r="H33" i="15"/>
  <c r="H36" i="15"/>
  <c r="X509" i="1"/>
  <c r="Y509" i="1"/>
  <c r="Y511" i="1"/>
  <c r="Y513" i="1"/>
  <c r="B514" i="1"/>
  <c r="X512" i="1"/>
  <c r="J1090" i="6"/>
  <c r="T578" i="1"/>
  <c r="X579" i="1"/>
  <c r="X532" i="1"/>
  <c r="Y532" i="1"/>
  <c r="X578" i="1"/>
  <c r="T579" i="1"/>
  <c r="X724" i="1"/>
  <c r="X723" i="1"/>
  <c r="A542" i="1"/>
  <c r="C542" i="1"/>
  <c r="B542" i="1" s="1"/>
  <c r="T542" i="1"/>
  <c r="V542" i="1"/>
  <c r="W542" i="1" s="1"/>
  <c r="Z542" i="1"/>
  <c r="F1076" i="6"/>
  <c r="I1076" i="6"/>
  <c r="J1076" i="6"/>
  <c r="R700" i="1" l="1"/>
  <c r="D822" i="1" s="1"/>
  <c r="P579" i="1"/>
  <c r="P514" i="1"/>
  <c r="P578" i="1"/>
  <c r="R747" i="1"/>
  <c r="R753" i="1"/>
  <c r="R555" i="1"/>
  <c r="D555" i="1" s="1"/>
  <c r="R835" i="1"/>
  <c r="R693" i="1"/>
  <c r="R692" i="1"/>
  <c r="D812" i="1" s="1"/>
  <c r="R676" i="1"/>
  <c r="D676" i="1" s="1"/>
  <c r="P724" i="1"/>
  <c r="P512" i="1"/>
  <c r="P510" i="1"/>
  <c r="P601" i="1"/>
  <c r="P586" i="1"/>
  <c r="P584" i="1"/>
  <c r="P723" i="1"/>
  <c r="P597" i="1"/>
  <c r="R756" i="1"/>
  <c r="R861" i="1"/>
  <c r="D861" i="1" s="1"/>
  <c r="R669" i="1"/>
  <c r="R604" i="1"/>
  <c r="D604" i="1" s="1"/>
  <c r="R791" i="1"/>
  <c r="P537" i="1"/>
  <c r="P513" i="1"/>
  <c r="P511" i="1"/>
  <c r="P509" i="1"/>
  <c r="P532" i="1"/>
  <c r="D724" i="1"/>
  <c r="D723" i="1"/>
  <c r="X542" i="1"/>
  <c r="Y542" i="1"/>
  <c r="A628" i="1"/>
  <c r="C628" i="1"/>
  <c r="B628" i="1" s="1"/>
  <c r="Y628" i="1"/>
  <c r="V628" i="1"/>
  <c r="W628" i="1" s="1"/>
  <c r="Z628" i="1"/>
  <c r="A685" i="1"/>
  <c r="C685" i="1"/>
  <c r="B685" i="1" s="1"/>
  <c r="Y685" i="1"/>
  <c r="V685" i="1"/>
  <c r="W685" i="1" s="1"/>
  <c r="Z685" i="1"/>
  <c r="A674" i="1"/>
  <c r="C674" i="1"/>
  <c r="B674" i="1" s="1"/>
  <c r="V674" i="1"/>
  <c r="W674" i="1" s="1"/>
  <c r="Z674" i="1"/>
  <c r="A614" i="1"/>
  <c r="C614" i="1"/>
  <c r="B614" i="1" s="1"/>
  <c r="M614" i="1"/>
  <c r="O614" i="1"/>
  <c r="V614" i="1"/>
  <c r="W614" i="1" s="1"/>
  <c r="Z614" i="1"/>
  <c r="A553" i="1"/>
  <c r="C553" i="1"/>
  <c r="T553" i="1" s="1"/>
  <c r="M553" i="1"/>
  <c r="O553" i="1"/>
  <c r="Y553" i="1"/>
  <c r="V553" i="1"/>
  <c r="W553" i="1" s="1"/>
  <c r="Z553" i="1"/>
  <c r="A619" i="1"/>
  <c r="C619" i="1"/>
  <c r="B619" i="1" s="1"/>
  <c r="M619" i="1"/>
  <c r="O619" i="1"/>
  <c r="Y619" i="1"/>
  <c r="V619" i="1"/>
  <c r="W619" i="1" s="1"/>
  <c r="Z619" i="1"/>
  <c r="A640" i="1"/>
  <c r="C640" i="1"/>
  <c r="B640" i="1" s="1"/>
  <c r="M640" i="1"/>
  <c r="O640" i="1"/>
  <c r="Y640" i="1"/>
  <c r="V640" i="1"/>
  <c r="W640" i="1" s="1"/>
  <c r="Z640" i="1"/>
  <c r="A641" i="1"/>
  <c r="C641" i="1"/>
  <c r="B641" i="1" s="1"/>
  <c r="M641" i="1"/>
  <c r="O641" i="1"/>
  <c r="Y641" i="1"/>
  <c r="V641" i="1"/>
  <c r="W641" i="1" s="1"/>
  <c r="Z641" i="1"/>
  <c r="A716" i="1"/>
  <c r="C716" i="1"/>
  <c r="B716" i="1" s="1"/>
  <c r="M716" i="1"/>
  <c r="O716" i="1"/>
  <c r="Y716" i="1"/>
  <c r="V716" i="1"/>
  <c r="W716" i="1" s="1"/>
  <c r="Z716" i="1"/>
  <c r="A715" i="1"/>
  <c r="C715" i="1"/>
  <c r="B715" i="1" s="1"/>
  <c r="M715" i="1"/>
  <c r="O715" i="1"/>
  <c r="Y715" i="1"/>
  <c r="V715" i="1"/>
  <c r="W715" i="1" s="1"/>
  <c r="Z715" i="1"/>
  <c r="A720" i="1"/>
  <c r="C720" i="1"/>
  <c r="B720" i="1" s="1"/>
  <c r="Y720" i="1"/>
  <c r="V720" i="1"/>
  <c r="W720" i="1" s="1"/>
  <c r="Z720" i="1"/>
  <c r="A539" i="1"/>
  <c r="C539" i="1"/>
  <c r="B539" i="1" s="1"/>
  <c r="Y539" i="1"/>
  <c r="V539" i="1"/>
  <c r="W539" i="1" s="1"/>
  <c r="Z539" i="1"/>
  <c r="A845" i="1"/>
  <c r="C845" i="1"/>
  <c r="B845" i="1" s="1"/>
  <c r="Y845" i="1"/>
  <c r="V845" i="1"/>
  <c r="W845" i="1" s="1"/>
  <c r="Z845" i="1"/>
  <c r="A496" i="1"/>
  <c r="C496" i="1"/>
  <c r="B496" i="1" s="1"/>
  <c r="M496" i="1"/>
  <c r="O496" i="1"/>
  <c r="T496" i="1"/>
  <c r="Y496" i="1"/>
  <c r="V496" i="1"/>
  <c r="W496" i="1" s="1"/>
  <c r="Z496" i="1"/>
  <c r="A645" i="1"/>
  <c r="C645" i="1"/>
  <c r="B645" i="1" s="1"/>
  <c r="Y645" i="1"/>
  <c r="V645" i="1"/>
  <c r="W645" i="1" s="1"/>
  <c r="Z645" i="1"/>
  <c r="A711" i="1"/>
  <c r="C711" i="1"/>
  <c r="B711" i="1" s="1"/>
  <c r="Y711" i="1"/>
  <c r="V711" i="1"/>
  <c r="W711" i="1" s="1"/>
  <c r="Z711" i="1"/>
  <c r="A495" i="1"/>
  <c r="C495" i="1"/>
  <c r="B495" i="1" s="1"/>
  <c r="T495" i="1"/>
  <c r="Y495" i="1"/>
  <c r="V495" i="1"/>
  <c r="W495" i="1" s="1"/>
  <c r="Z495" i="1"/>
  <c r="A508" i="1"/>
  <c r="C508" i="1"/>
  <c r="B508" i="1" s="1"/>
  <c r="Y508" i="1"/>
  <c r="V508" i="1"/>
  <c r="W508" i="1" s="1"/>
  <c r="Z508" i="1"/>
  <c r="A492" i="1"/>
  <c r="C492" i="1"/>
  <c r="B492" i="1" s="1"/>
  <c r="S492" i="1"/>
  <c r="T492" i="1"/>
  <c r="Y492" i="1"/>
  <c r="V492" i="1"/>
  <c r="W492" i="1" s="1"/>
  <c r="Z492" i="1"/>
  <c r="A519" i="1"/>
  <c r="C519" i="1"/>
  <c r="B519" i="1" s="1"/>
  <c r="S519" i="1"/>
  <c r="T519" i="1"/>
  <c r="Y519" i="1"/>
  <c r="V519" i="1"/>
  <c r="W519" i="1" s="1"/>
  <c r="Z519" i="1"/>
  <c r="K515" i="1"/>
  <c r="A515" i="1"/>
  <c r="C515" i="1"/>
  <c r="B515" i="1" s="1"/>
  <c r="Y515" i="1"/>
  <c r="V515" i="1"/>
  <c r="W515" i="1" s="1"/>
  <c r="Z515" i="1"/>
  <c r="A652" i="1"/>
  <c r="C652" i="1"/>
  <c r="B652" i="1" s="1"/>
  <c r="M652" i="1"/>
  <c r="V652" i="1"/>
  <c r="W652" i="1" s="1"/>
  <c r="Z652" i="1"/>
  <c r="A754" i="1"/>
  <c r="C754" i="1"/>
  <c r="T754" i="1" s="1"/>
  <c r="M754" i="1"/>
  <c r="V754" i="1"/>
  <c r="W754" i="1" s="1"/>
  <c r="Z754" i="1"/>
  <c r="A581" i="1"/>
  <c r="C581" i="1"/>
  <c r="B581" i="1" s="1"/>
  <c r="Y581" i="1"/>
  <c r="V581" i="1"/>
  <c r="W581" i="1" s="1"/>
  <c r="Z581" i="1"/>
  <c r="A580" i="1"/>
  <c r="C580" i="1"/>
  <c r="B580" i="1" s="1"/>
  <c r="Y580" i="1"/>
  <c r="V580" i="1"/>
  <c r="W580" i="1" s="1"/>
  <c r="Z580" i="1"/>
  <c r="A599" i="1"/>
  <c r="C599" i="1"/>
  <c r="B599" i="1" s="1"/>
  <c r="M599" i="1"/>
  <c r="O599" i="1"/>
  <c r="Y599" i="1"/>
  <c r="V599" i="1"/>
  <c r="W599" i="1" s="1"/>
  <c r="Z599" i="1"/>
  <c r="A654" i="1"/>
  <c r="C654" i="1"/>
  <c r="B654" i="1" s="1"/>
  <c r="M654" i="1"/>
  <c r="Y654" i="1"/>
  <c r="V654" i="1"/>
  <c r="W654" i="1" s="1"/>
  <c r="Z654" i="1"/>
  <c r="A741" i="1"/>
  <c r="C741" i="1"/>
  <c r="B741" i="1" s="1"/>
  <c r="M741" i="1"/>
  <c r="O741" i="1"/>
  <c r="Y741" i="1"/>
  <c r="V741" i="1"/>
  <c r="W741" i="1" s="1"/>
  <c r="Z741" i="1"/>
  <c r="O515" i="1" l="1"/>
  <c r="Q597" i="1"/>
  <c r="Q584" i="1"/>
  <c r="Q601" i="1"/>
  <c r="Q512" i="1"/>
  <c r="Q509" i="1"/>
  <c r="Q514" i="1"/>
  <c r="Q511" i="1"/>
  <c r="Q723" i="1"/>
  <c r="Q586" i="1"/>
  <c r="Q510" i="1"/>
  <c r="Q724" i="1"/>
  <c r="Q532" i="1"/>
  <c r="Q537" i="1"/>
  <c r="Q513" i="1"/>
  <c r="Q578" i="1"/>
  <c r="Q579" i="1"/>
  <c r="O19" i="16"/>
  <c r="M515" i="1"/>
  <c r="T685" i="1"/>
  <c r="P542" i="1"/>
  <c r="T628" i="1"/>
  <c r="T614" i="1"/>
  <c r="T674" i="1"/>
  <c r="X628" i="1"/>
  <c r="X685" i="1"/>
  <c r="X674" i="1"/>
  <c r="Y674" i="1"/>
  <c r="X614" i="1"/>
  <c r="Y614" i="1"/>
  <c r="X553" i="1"/>
  <c r="B553" i="1"/>
  <c r="T619" i="1"/>
  <c r="T640" i="1"/>
  <c r="T715" i="1"/>
  <c r="T716" i="1"/>
  <c r="T641" i="1"/>
  <c r="X619" i="1"/>
  <c r="X640" i="1"/>
  <c r="X539" i="1"/>
  <c r="T720" i="1"/>
  <c r="X715" i="1"/>
  <c r="X641" i="1"/>
  <c r="X716" i="1"/>
  <c r="X720" i="1"/>
  <c r="X845" i="1"/>
  <c r="T539" i="1"/>
  <c r="T845" i="1"/>
  <c r="X496" i="1"/>
  <c r="T645" i="1"/>
  <c r="X645" i="1"/>
  <c r="T711" i="1"/>
  <c r="X508" i="1"/>
  <c r="X711" i="1"/>
  <c r="X495" i="1"/>
  <c r="T508" i="1"/>
  <c r="T652" i="1"/>
  <c r="X492" i="1"/>
  <c r="T599" i="1"/>
  <c r="X515" i="1"/>
  <c r="X519" i="1"/>
  <c r="T515" i="1"/>
  <c r="X652" i="1"/>
  <c r="Y652" i="1"/>
  <c r="X754" i="1"/>
  <c r="T581" i="1"/>
  <c r="Y754" i="1"/>
  <c r="B754" i="1"/>
  <c r="X581" i="1"/>
  <c r="T580" i="1"/>
  <c r="X580" i="1"/>
  <c r="X599" i="1"/>
  <c r="T654" i="1"/>
  <c r="X741" i="1"/>
  <c r="X654" i="1"/>
  <c r="T741" i="1"/>
  <c r="F1048" i="6"/>
  <c r="F1079" i="6"/>
  <c r="F1080" i="6"/>
  <c r="I1048" i="6"/>
  <c r="I1079" i="6"/>
  <c r="I1080" i="6"/>
  <c r="J1048" i="6"/>
  <c r="J1079" i="6"/>
  <c r="J1080" i="6"/>
  <c r="F1049" i="6"/>
  <c r="F1060" i="6"/>
  <c r="F1066" i="6"/>
  <c r="I1049" i="6"/>
  <c r="I1060" i="6"/>
  <c r="I1066" i="6"/>
  <c r="J1049" i="6"/>
  <c r="J1060" i="6"/>
  <c r="J1066" i="6"/>
  <c r="P845" i="1" l="1"/>
  <c r="Q845" i="1" s="1"/>
  <c r="R537" i="1"/>
  <c r="D537" i="1" s="1"/>
  <c r="R510" i="1"/>
  <c r="R723" i="1"/>
  <c r="R512" i="1"/>
  <c r="R584" i="1"/>
  <c r="D584" i="1" s="1"/>
  <c r="P654" i="1"/>
  <c r="P580" i="1"/>
  <c r="P652" i="1"/>
  <c r="P495" i="1"/>
  <c r="P645" i="1"/>
  <c r="P641" i="1"/>
  <c r="P640" i="1"/>
  <c r="P553" i="1"/>
  <c r="P741" i="1"/>
  <c r="P492" i="1"/>
  <c r="P711" i="1"/>
  <c r="P715" i="1"/>
  <c r="P619" i="1"/>
  <c r="P685" i="1"/>
  <c r="R578" i="1"/>
  <c r="R514" i="1"/>
  <c r="P508" i="1"/>
  <c r="P496" i="1"/>
  <c r="P628" i="1"/>
  <c r="R724" i="1"/>
  <c r="R511" i="1"/>
  <c r="R597" i="1"/>
  <c r="P581" i="1"/>
  <c r="P519" i="1"/>
  <c r="P720" i="1"/>
  <c r="Q542" i="1"/>
  <c r="R532" i="1"/>
  <c r="R586" i="1"/>
  <c r="P599" i="1"/>
  <c r="P515" i="1"/>
  <c r="P716" i="1"/>
  <c r="P539" i="1"/>
  <c r="R579" i="1"/>
  <c r="R513" i="1"/>
  <c r="R509" i="1"/>
  <c r="D509" i="1" s="1"/>
  <c r="I1345" i="6"/>
  <c r="E1345" i="6"/>
  <c r="O5" i="16" s="1"/>
  <c r="J1345" i="6"/>
  <c r="O12" i="15"/>
  <c r="F1345" i="6"/>
  <c r="D553" i="1"/>
  <c r="D846" i="1"/>
  <c r="D847" i="1"/>
  <c r="D539" i="1"/>
  <c r="D845" i="1"/>
  <c r="D77" i="1"/>
  <c r="D871" i="1"/>
  <c r="D741" i="1"/>
  <c r="D742" i="1"/>
  <c r="D717" i="1"/>
  <c r="Q619" i="1"/>
  <c r="D579" i="1"/>
  <c r="D578" i="1"/>
  <c r="P674" i="1"/>
  <c r="P614" i="1"/>
  <c r="D716" i="1"/>
  <c r="D715" i="1"/>
  <c r="D508" i="1"/>
  <c r="D495" i="1"/>
  <c r="P754" i="1"/>
  <c r="D580" i="1"/>
  <c r="D581" i="1"/>
  <c r="A516" i="1"/>
  <c r="A494" i="1"/>
  <c r="C516" i="1"/>
  <c r="B516" i="1" s="1"/>
  <c r="C494" i="1"/>
  <c r="B494" i="1" s="1"/>
  <c r="M516" i="1"/>
  <c r="M494" i="1"/>
  <c r="O516" i="1"/>
  <c r="O494" i="1"/>
  <c r="S494" i="1"/>
  <c r="T516" i="1"/>
  <c r="T494" i="1"/>
  <c r="Y516" i="1"/>
  <c r="Y494" i="1"/>
  <c r="V516" i="1"/>
  <c r="W516" i="1" s="1"/>
  <c r="V494" i="1"/>
  <c r="W494" i="1" s="1"/>
  <c r="Z516" i="1"/>
  <c r="Z494" i="1"/>
  <c r="A35" i="104"/>
  <c r="B35" i="104"/>
  <c r="C35" i="104"/>
  <c r="A607" i="1"/>
  <c r="C607" i="1"/>
  <c r="B607" i="1" s="1"/>
  <c r="M607" i="1"/>
  <c r="Y607" i="1"/>
  <c r="V607" i="1"/>
  <c r="W607" i="1" s="1"/>
  <c r="Z607" i="1"/>
  <c r="A544" i="1"/>
  <c r="C544" i="1"/>
  <c r="T544" i="1" s="1"/>
  <c r="Y544" i="1"/>
  <c r="V544" i="1"/>
  <c r="W544" i="1" s="1"/>
  <c r="Z544" i="1"/>
  <c r="A755" i="1"/>
  <c r="C755" i="1"/>
  <c r="B755" i="1" s="1"/>
  <c r="M755" i="1"/>
  <c r="Y755" i="1"/>
  <c r="V755" i="1"/>
  <c r="W755" i="1" s="1"/>
  <c r="Z755" i="1"/>
  <c r="A534" i="1"/>
  <c r="A533" i="1"/>
  <c r="A536" i="1"/>
  <c r="A535" i="1"/>
  <c r="C534" i="1"/>
  <c r="B534" i="1" s="1"/>
  <c r="C533" i="1"/>
  <c r="B533" i="1" s="1"/>
  <c r="C536" i="1"/>
  <c r="B536" i="1" s="1"/>
  <c r="C535" i="1"/>
  <c r="B535" i="1" s="1"/>
  <c r="M534" i="1"/>
  <c r="M533" i="1"/>
  <c r="M536" i="1"/>
  <c r="M535" i="1"/>
  <c r="O534" i="1"/>
  <c r="O533" i="1"/>
  <c r="O536" i="1"/>
  <c r="O535" i="1"/>
  <c r="T534" i="1"/>
  <c r="T533" i="1"/>
  <c r="T536" i="1"/>
  <c r="T535" i="1"/>
  <c r="Y534" i="1"/>
  <c r="V534" i="1"/>
  <c r="W534" i="1" s="1"/>
  <c r="V533" i="1"/>
  <c r="W533" i="1" s="1"/>
  <c r="V536" i="1"/>
  <c r="W536" i="1" s="1"/>
  <c r="V535" i="1"/>
  <c r="W535" i="1" s="1"/>
  <c r="Z534" i="1"/>
  <c r="Z533" i="1"/>
  <c r="Z536" i="1"/>
  <c r="Z535" i="1"/>
  <c r="A615" i="1"/>
  <c r="C615" i="1"/>
  <c r="B615" i="1" s="1"/>
  <c r="Y615" i="1"/>
  <c r="V615" i="1"/>
  <c r="W615" i="1" s="1"/>
  <c r="Z615" i="1"/>
  <c r="A605" i="1"/>
  <c r="C605" i="1"/>
  <c r="B605" i="1" s="1"/>
  <c r="Y605" i="1"/>
  <c r="V605" i="1"/>
  <c r="W605" i="1" s="1"/>
  <c r="Z605" i="1"/>
  <c r="G20" i="16"/>
  <c r="G22" i="16"/>
  <c r="A294" i="1"/>
  <c r="C294" i="1"/>
  <c r="B294" i="1" s="1"/>
  <c r="M294" i="1"/>
  <c r="O294" i="1"/>
  <c r="T294" i="1"/>
  <c r="V294" i="1"/>
  <c r="W294" i="1" s="1"/>
  <c r="Z294" i="1"/>
  <c r="F1078" i="6"/>
  <c r="I1078" i="6"/>
  <c r="J1078" i="6"/>
  <c r="F1077" i="6"/>
  <c r="I1077" i="6"/>
  <c r="J1077" i="6"/>
  <c r="A500" i="1"/>
  <c r="C500" i="1"/>
  <c r="B500" i="1" s="1"/>
  <c r="T500" i="1"/>
  <c r="V500" i="1"/>
  <c r="W500" i="1" s="1"/>
  <c r="Z500" i="1"/>
  <c r="A503" i="1"/>
  <c r="C503" i="1"/>
  <c r="B503" i="1" s="1"/>
  <c r="T503" i="1"/>
  <c r="Y503" i="1"/>
  <c r="V503" i="1"/>
  <c r="W503" i="1" s="1"/>
  <c r="Z503" i="1"/>
  <c r="A398" i="1"/>
  <c r="C398" i="1"/>
  <c r="B398" i="1" s="1"/>
  <c r="S398" i="1"/>
  <c r="T398" i="1"/>
  <c r="Y398" i="1"/>
  <c r="V398" i="1"/>
  <c r="W398" i="1" s="1"/>
  <c r="Z398" i="1"/>
  <c r="A498" i="1"/>
  <c r="C498" i="1"/>
  <c r="B498" i="1" s="1"/>
  <c r="M498" i="1"/>
  <c r="O498" i="1"/>
  <c r="T498" i="1"/>
  <c r="Y498" i="1"/>
  <c r="V498" i="1"/>
  <c r="W498" i="1" s="1"/>
  <c r="Z498" i="1"/>
  <c r="A702" i="1"/>
  <c r="C702" i="1"/>
  <c r="B702" i="1" s="1"/>
  <c r="M702" i="1"/>
  <c r="O702" i="1"/>
  <c r="Y702" i="1"/>
  <c r="V702" i="1"/>
  <c r="W702" i="1" s="1"/>
  <c r="Z702" i="1"/>
  <c r="A687" i="1"/>
  <c r="C687" i="1"/>
  <c r="B687" i="1" s="1"/>
  <c r="Y687" i="1"/>
  <c r="V687" i="1"/>
  <c r="W687" i="1" s="1"/>
  <c r="Z687" i="1"/>
  <c r="A482" i="1"/>
  <c r="C482" i="1"/>
  <c r="B482" i="1" s="1"/>
  <c r="T482" i="1"/>
  <c r="Y482" i="1"/>
  <c r="V482" i="1"/>
  <c r="W482" i="1" s="1"/>
  <c r="Z482" i="1"/>
  <c r="A493" i="1"/>
  <c r="C493" i="1"/>
  <c r="B493" i="1" s="1"/>
  <c r="S493" i="1"/>
  <c r="T493" i="1"/>
  <c r="Y493" i="1"/>
  <c r="V493" i="1"/>
  <c r="W493" i="1" s="1"/>
  <c r="Z493" i="1"/>
  <c r="A701" i="1"/>
  <c r="C701" i="1"/>
  <c r="B701" i="1" s="1"/>
  <c r="M701" i="1"/>
  <c r="O701" i="1"/>
  <c r="Y701" i="1"/>
  <c r="V701" i="1"/>
  <c r="W701" i="1" s="1"/>
  <c r="Z701" i="1"/>
  <c r="A556" i="1"/>
  <c r="C556" i="1"/>
  <c r="B556" i="1" s="1"/>
  <c r="M556" i="1"/>
  <c r="O556" i="1"/>
  <c r="Y556" i="1"/>
  <c r="V556" i="1"/>
  <c r="W556" i="1" s="1"/>
  <c r="Z556" i="1"/>
  <c r="H34" i="104"/>
  <c r="I34" i="104" s="1"/>
  <c r="H33" i="104"/>
  <c r="I33" i="104" s="1"/>
  <c r="A33" i="104"/>
  <c r="A34" i="104"/>
  <c r="B33" i="104"/>
  <c r="B34" i="104"/>
  <c r="C33" i="104"/>
  <c r="C34" i="104"/>
  <c r="A664" i="1"/>
  <c r="C664" i="1"/>
  <c r="T664" i="1" s="1"/>
  <c r="M664" i="1"/>
  <c r="O664" i="1"/>
  <c r="Y664" i="1"/>
  <c r="V664" i="1"/>
  <c r="W664" i="1" s="1"/>
  <c r="Z664" i="1"/>
  <c r="A591" i="1"/>
  <c r="C591" i="1"/>
  <c r="B591" i="1" s="1"/>
  <c r="M591" i="1"/>
  <c r="O591" i="1"/>
  <c r="Y591" i="1"/>
  <c r="V591" i="1"/>
  <c r="W591" i="1" s="1"/>
  <c r="Z591" i="1"/>
  <c r="A637" i="1"/>
  <c r="C637" i="1"/>
  <c r="B637" i="1" s="1"/>
  <c r="M637" i="1"/>
  <c r="O637" i="1"/>
  <c r="Y637" i="1"/>
  <c r="V637" i="1"/>
  <c r="W637" i="1" s="1"/>
  <c r="Z637" i="1"/>
  <c r="A626" i="1"/>
  <c r="C626" i="1"/>
  <c r="B626" i="1" s="1"/>
  <c r="M626" i="1"/>
  <c r="O626" i="1"/>
  <c r="V626" i="1"/>
  <c r="W626" i="1" s="1"/>
  <c r="Z626" i="1"/>
  <c r="A627" i="1"/>
  <c r="C627" i="1"/>
  <c r="B627" i="1" s="1"/>
  <c r="M627" i="1"/>
  <c r="O627" i="1"/>
  <c r="V627" i="1"/>
  <c r="W627" i="1" s="1"/>
  <c r="Z627" i="1"/>
  <c r="A1017" i="1"/>
  <c r="C1017" i="1"/>
  <c r="B1017" i="1" s="1"/>
  <c r="Y1017" i="1"/>
  <c r="V1017" i="1"/>
  <c r="W1017" i="1" s="1"/>
  <c r="Z1017" i="1"/>
  <c r="A642" i="1"/>
  <c r="C642" i="1"/>
  <c r="B642" i="1" s="1"/>
  <c r="Y642" i="1"/>
  <c r="V642" i="1"/>
  <c r="W642" i="1" s="1"/>
  <c r="Z642" i="1"/>
  <c r="A646" i="1"/>
  <c r="C646" i="1"/>
  <c r="B646" i="1" s="1"/>
  <c r="Y646" i="1"/>
  <c r="V646" i="1"/>
  <c r="W646" i="1" s="1"/>
  <c r="Z646" i="1"/>
  <c r="A719" i="1"/>
  <c r="C719" i="1"/>
  <c r="B719" i="1" s="1"/>
  <c r="V719" i="1"/>
  <c r="W719" i="1" s="1"/>
  <c r="Z719" i="1"/>
  <c r="A710" i="1"/>
  <c r="C710" i="1"/>
  <c r="B710" i="1" s="1"/>
  <c r="V710" i="1"/>
  <c r="W710" i="1" s="1"/>
  <c r="Z710" i="1"/>
  <c r="A665" i="1"/>
  <c r="C665" i="1"/>
  <c r="B665" i="1" s="1"/>
  <c r="Y665" i="1"/>
  <c r="V665" i="1"/>
  <c r="W665" i="1" s="1"/>
  <c r="Z665" i="1"/>
  <c r="A718" i="1"/>
  <c r="C718" i="1"/>
  <c r="B718" i="1" s="1"/>
  <c r="Y718" i="1"/>
  <c r="V718" i="1"/>
  <c r="W718" i="1" s="1"/>
  <c r="Z718" i="1"/>
  <c r="A552" i="1"/>
  <c r="C552" i="1"/>
  <c r="B552" i="1" s="1"/>
  <c r="V552" i="1"/>
  <c r="W552" i="1" s="1"/>
  <c r="Z552" i="1"/>
  <c r="K596" i="1"/>
  <c r="D1058" i="6"/>
  <c r="F1058" i="6"/>
  <c r="I1058" i="6"/>
  <c r="J1058" i="6"/>
  <c r="F854" i="6"/>
  <c r="F856" i="6"/>
  <c r="F858" i="6"/>
  <c r="F860" i="6"/>
  <c r="F862" i="6"/>
  <c r="F864" i="6"/>
  <c r="F866" i="6"/>
  <c r="F870" i="6"/>
  <c r="I854" i="6"/>
  <c r="I856" i="6"/>
  <c r="I858" i="6"/>
  <c r="I860" i="6"/>
  <c r="I862" i="6"/>
  <c r="I864" i="6"/>
  <c r="I866" i="6"/>
  <c r="I870" i="6"/>
  <c r="J854" i="6"/>
  <c r="J856" i="6"/>
  <c r="J858" i="6"/>
  <c r="J860" i="6"/>
  <c r="J862" i="6"/>
  <c r="J864" i="6"/>
  <c r="J866" i="6"/>
  <c r="J870" i="6"/>
  <c r="F1075" i="6"/>
  <c r="F1067" i="6"/>
  <c r="F1072" i="6"/>
  <c r="F1073" i="6"/>
  <c r="F1068" i="6"/>
  <c r="F1071" i="6"/>
  <c r="F1070" i="6"/>
  <c r="F1074" i="6"/>
  <c r="F1069" i="6"/>
  <c r="I1075" i="6"/>
  <c r="I1067" i="6"/>
  <c r="I1072" i="6"/>
  <c r="I1073" i="6"/>
  <c r="I1068" i="6"/>
  <c r="I1071" i="6"/>
  <c r="I1070" i="6"/>
  <c r="I1074" i="6"/>
  <c r="I1069" i="6"/>
  <c r="J1075" i="6"/>
  <c r="J1067" i="6"/>
  <c r="J1072" i="6"/>
  <c r="J1073" i="6"/>
  <c r="J1068" i="6"/>
  <c r="J1071" i="6"/>
  <c r="J1070" i="6"/>
  <c r="J1074" i="6"/>
  <c r="J1069" i="6"/>
  <c r="C1061" i="6"/>
  <c r="A585" i="1"/>
  <c r="C585" i="1"/>
  <c r="B585" i="1" s="1"/>
  <c r="Y585" i="1"/>
  <c r="V585" i="1"/>
  <c r="W585" i="1" s="1"/>
  <c r="Z585" i="1"/>
  <c r="A486" i="1"/>
  <c r="C486" i="1"/>
  <c r="B486" i="1" s="1"/>
  <c r="D486" i="1"/>
  <c r="M486" i="1"/>
  <c r="O486" i="1"/>
  <c r="S486" i="1"/>
  <c r="T486" i="1"/>
  <c r="Y486" i="1"/>
  <c r="V486" i="1"/>
  <c r="W486" i="1" s="1"/>
  <c r="Z486" i="1"/>
  <c r="A691" i="1"/>
  <c r="C691" i="1"/>
  <c r="B691" i="1" s="1"/>
  <c r="M691" i="1"/>
  <c r="O691" i="1"/>
  <c r="Y691" i="1"/>
  <c r="V691" i="1"/>
  <c r="W691" i="1" s="1"/>
  <c r="Z691" i="1"/>
  <c r="A795" i="1"/>
  <c r="C795" i="1"/>
  <c r="B795" i="1" s="1"/>
  <c r="M795" i="1"/>
  <c r="O795" i="1"/>
  <c r="V795" i="1"/>
  <c r="W795" i="1" s="1"/>
  <c r="Z795" i="1"/>
  <c r="A796" i="1"/>
  <c r="C796" i="1"/>
  <c r="B796" i="1" s="1"/>
  <c r="M796" i="1"/>
  <c r="O796" i="1"/>
  <c r="Y796" i="1"/>
  <c r="V796" i="1"/>
  <c r="W796" i="1" s="1"/>
  <c r="Z796" i="1"/>
  <c r="A639" i="1"/>
  <c r="C639" i="1"/>
  <c r="B639" i="1" s="1"/>
  <c r="M639" i="1"/>
  <c r="O639" i="1"/>
  <c r="Y639" i="1"/>
  <c r="V639" i="1"/>
  <c r="W639" i="1" s="1"/>
  <c r="Z639" i="1"/>
  <c r="A595" i="1"/>
  <c r="C595" i="1"/>
  <c r="B595" i="1" s="1"/>
  <c r="Y595" i="1"/>
  <c r="V595" i="1"/>
  <c r="W595" i="1" s="1"/>
  <c r="Z595" i="1"/>
  <c r="A638" i="1"/>
  <c r="C638" i="1"/>
  <c r="T638" i="1" s="1"/>
  <c r="M638" i="1"/>
  <c r="O638" i="1"/>
  <c r="Y638" i="1"/>
  <c r="V638" i="1"/>
  <c r="W638" i="1" s="1"/>
  <c r="Z638" i="1"/>
  <c r="A875" i="1"/>
  <c r="C875" i="1"/>
  <c r="B875" i="1" s="1"/>
  <c r="Y875" i="1"/>
  <c r="V875" i="1"/>
  <c r="W875" i="1" s="1"/>
  <c r="Z875" i="1"/>
  <c r="A504" i="1"/>
  <c r="C504" i="1"/>
  <c r="B504" i="1" s="1"/>
  <c r="Y504" i="1"/>
  <c r="V504" i="1"/>
  <c r="W504" i="1" s="1"/>
  <c r="Z504" i="1"/>
  <c r="A644" i="1"/>
  <c r="C644" i="1"/>
  <c r="B644" i="1" s="1"/>
  <c r="V644" i="1"/>
  <c r="W644" i="1" s="1"/>
  <c r="Z644" i="1"/>
  <c r="A643" i="1"/>
  <c r="C643" i="1"/>
  <c r="B643" i="1" s="1"/>
  <c r="V643" i="1"/>
  <c r="W643" i="1" s="1"/>
  <c r="Z643" i="1"/>
  <c r="A548" i="1"/>
  <c r="C548" i="1"/>
  <c r="B548" i="1" s="1"/>
  <c r="Y548" i="1"/>
  <c r="V548" i="1"/>
  <c r="W548" i="1" s="1"/>
  <c r="Z548" i="1"/>
  <c r="A545" i="1"/>
  <c r="C545" i="1"/>
  <c r="B545" i="1" s="1"/>
  <c r="Y545" i="1"/>
  <c r="V545" i="1"/>
  <c r="W545" i="1" s="1"/>
  <c r="Z545" i="1"/>
  <c r="A477" i="1"/>
  <c r="C477" i="1"/>
  <c r="B477" i="1" s="1"/>
  <c r="T477" i="1"/>
  <c r="Y477" i="1"/>
  <c r="V477" i="1"/>
  <c r="W477" i="1" s="1"/>
  <c r="Z477" i="1"/>
  <c r="A653" i="1"/>
  <c r="C653" i="1"/>
  <c r="B653" i="1" s="1"/>
  <c r="M653" i="1"/>
  <c r="Y653" i="1"/>
  <c r="V653" i="1"/>
  <c r="W653" i="1" s="1"/>
  <c r="Z653" i="1"/>
  <c r="A650" i="1"/>
  <c r="A651" i="1"/>
  <c r="A649" i="1"/>
  <c r="C650" i="1"/>
  <c r="B650" i="1" s="1"/>
  <c r="C651" i="1"/>
  <c r="B651" i="1" s="1"/>
  <c r="C649" i="1"/>
  <c r="B649" i="1" s="1"/>
  <c r="M650" i="1"/>
  <c r="M651" i="1"/>
  <c r="M649" i="1"/>
  <c r="Y650" i="1"/>
  <c r="Y651" i="1"/>
  <c r="Y649" i="1"/>
  <c r="V650" i="1"/>
  <c r="W650" i="1" s="1"/>
  <c r="V651" i="1"/>
  <c r="W651" i="1" s="1"/>
  <c r="V649" i="1"/>
  <c r="W649" i="1" s="1"/>
  <c r="Z650" i="1"/>
  <c r="Z651" i="1"/>
  <c r="Z649" i="1"/>
  <c r="A613" i="1"/>
  <c r="C613" i="1"/>
  <c r="B613" i="1" s="1"/>
  <c r="M613" i="1"/>
  <c r="Y613" i="1"/>
  <c r="V613" i="1"/>
  <c r="W613" i="1" s="1"/>
  <c r="Z613" i="1"/>
  <c r="A563" i="1"/>
  <c r="C563" i="1"/>
  <c r="B563" i="1" s="1"/>
  <c r="M563" i="1"/>
  <c r="Y563" i="1"/>
  <c r="V563" i="1"/>
  <c r="W563" i="1" s="1"/>
  <c r="Z563" i="1"/>
  <c r="A596" i="1"/>
  <c r="C596" i="1"/>
  <c r="B596" i="1" s="1"/>
  <c r="Y596" i="1"/>
  <c r="V596" i="1"/>
  <c r="W596" i="1" s="1"/>
  <c r="Z596" i="1"/>
  <c r="I1063" i="6"/>
  <c r="J1063" i="6"/>
  <c r="C1065" i="6"/>
  <c r="D1057" i="6"/>
  <c r="E1057" i="6" s="1"/>
  <c r="F1057" i="6"/>
  <c r="I1057" i="6"/>
  <c r="F1065" i="6"/>
  <c r="I1062" i="6"/>
  <c r="J1062" i="6"/>
  <c r="F1059" i="6"/>
  <c r="I1059" i="6"/>
  <c r="J1059" i="6"/>
  <c r="I1064" i="6"/>
  <c r="J1064" i="6"/>
  <c r="A463" i="1"/>
  <c r="C463" i="1"/>
  <c r="B463" i="1" s="1"/>
  <c r="M463" i="1"/>
  <c r="O463" i="1"/>
  <c r="S463" i="1"/>
  <c r="T463" i="1"/>
  <c r="Y463" i="1"/>
  <c r="V463" i="1"/>
  <c r="W463" i="1" s="1"/>
  <c r="Z463" i="1"/>
  <c r="A483" i="1"/>
  <c r="C483" i="1"/>
  <c r="B483" i="1" s="1"/>
  <c r="T483" i="1"/>
  <c r="Y483" i="1"/>
  <c r="V483" i="1"/>
  <c r="W483" i="1" s="1"/>
  <c r="Z483" i="1"/>
  <c r="A462" i="1"/>
  <c r="C462" i="1"/>
  <c r="B462" i="1" s="1"/>
  <c r="T462" i="1"/>
  <c r="Y462" i="1"/>
  <c r="V462" i="1"/>
  <c r="W462" i="1" s="1"/>
  <c r="Z462" i="1"/>
  <c r="A461" i="1"/>
  <c r="C461" i="1"/>
  <c r="B461" i="1" s="1"/>
  <c r="M461" i="1"/>
  <c r="O461" i="1"/>
  <c r="S461" i="1"/>
  <c r="T461" i="1"/>
  <c r="Y461" i="1"/>
  <c r="V461" i="1"/>
  <c r="W461" i="1" s="1"/>
  <c r="Z461" i="1"/>
  <c r="A469" i="1"/>
  <c r="C469" i="1"/>
  <c r="B469" i="1" s="1"/>
  <c r="T469" i="1"/>
  <c r="Y469" i="1"/>
  <c r="V469" i="1"/>
  <c r="W469" i="1" s="1"/>
  <c r="Z469" i="1"/>
  <c r="A648" i="1"/>
  <c r="C648" i="1"/>
  <c r="B648" i="1" s="1"/>
  <c r="M648" i="1"/>
  <c r="V648" i="1"/>
  <c r="W648" i="1" s="1"/>
  <c r="Z648" i="1"/>
  <c r="A502" i="1"/>
  <c r="C502" i="1"/>
  <c r="B502" i="1" s="1"/>
  <c r="Y502" i="1"/>
  <c r="V502" i="1"/>
  <c r="W502" i="1" s="1"/>
  <c r="Z502" i="1"/>
  <c r="A489" i="1"/>
  <c r="C489" i="1"/>
  <c r="B489" i="1" s="1"/>
  <c r="Y489" i="1"/>
  <c r="V489" i="1"/>
  <c r="W489" i="1" s="1"/>
  <c r="Z489" i="1"/>
  <c r="A478" i="1"/>
  <c r="C478" i="1"/>
  <c r="B478" i="1" s="1"/>
  <c r="D478" i="1"/>
  <c r="S478" i="1"/>
  <c r="T478" i="1"/>
  <c r="Y478" i="1"/>
  <c r="V478" i="1"/>
  <c r="W478" i="1" s="1"/>
  <c r="Z478" i="1"/>
  <c r="A468" i="1"/>
  <c r="C468" i="1"/>
  <c r="B468" i="1" s="1"/>
  <c r="V468" i="1"/>
  <c r="W468" i="1" s="1"/>
  <c r="Z468" i="1"/>
  <c r="A484" i="1"/>
  <c r="C484" i="1"/>
  <c r="B484" i="1" s="1"/>
  <c r="Y484" i="1"/>
  <c r="V484" i="1"/>
  <c r="W484" i="1" s="1"/>
  <c r="Z484" i="1"/>
  <c r="A32" i="104"/>
  <c r="B32" i="104"/>
  <c r="C32" i="104"/>
  <c r="A454" i="1"/>
  <c r="C454" i="1"/>
  <c r="B454" i="1" s="1"/>
  <c r="M454" i="1"/>
  <c r="O454" i="1"/>
  <c r="S454" i="1"/>
  <c r="T454" i="1"/>
  <c r="V454" i="1"/>
  <c r="W454" i="1" s="1"/>
  <c r="Z454" i="1"/>
  <c r="A460" i="1"/>
  <c r="C460" i="1"/>
  <c r="B460" i="1" s="1"/>
  <c r="M460" i="1"/>
  <c r="O460" i="1"/>
  <c r="T460" i="1"/>
  <c r="Y460" i="1"/>
  <c r="V460" i="1"/>
  <c r="W460" i="1" s="1"/>
  <c r="Z460" i="1"/>
  <c r="A455" i="1"/>
  <c r="C455" i="1"/>
  <c r="B455" i="1" s="1"/>
  <c r="M455" i="1"/>
  <c r="O455" i="1"/>
  <c r="S455" i="1"/>
  <c r="T455" i="1"/>
  <c r="Y455" i="1"/>
  <c r="V455" i="1"/>
  <c r="W455" i="1" s="1"/>
  <c r="Z455" i="1"/>
  <c r="A458" i="1"/>
  <c r="C458" i="1"/>
  <c r="B458" i="1" s="1"/>
  <c r="S458" i="1"/>
  <c r="Y458" i="1"/>
  <c r="V458" i="1"/>
  <c r="W458" i="1" s="1"/>
  <c r="Z458" i="1"/>
  <c r="K419" i="1"/>
  <c r="A420" i="1"/>
  <c r="A419" i="1"/>
  <c r="C420" i="1"/>
  <c r="B420" i="1" s="1"/>
  <c r="C419" i="1"/>
  <c r="B419" i="1" s="1"/>
  <c r="S419" i="1"/>
  <c r="T420" i="1"/>
  <c r="T419" i="1"/>
  <c r="Y420" i="1"/>
  <c r="Y419" i="1"/>
  <c r="V420" i="1"/>
  <c r="W420" i="1" s="1"/>
  <c r="V419" i="1"/>
  <c r="W419" i="1" s="1"/>
  <c r="Z420" i="1"/>
  <c r="Z419" i="1"/>
  <c r="A520" i="1"/>
  <c r="C520" i="1"/>
  <c r="B520" i="1" s="1"/>
  <c r="M520" i="1"/>
  <c r="O520" i="1"/>
  <c r="Y520" i="1"/>
  <c r="V520" i="1"/>
  <c r="W520" i="1" s="1"/>
  <c r="Z520" i="1"/>
  <c r="A436" i="1"/>
  <c r="C436" i="1"/>
  <c r="B436" i="1" s="1"/>
  <c r="M436" i="1"/>
  <c r="O436" i="1"/>
  <c r="S436" i="1"/>
  <c r="T436" i="1"/>
  <c r="V436" i="1"/>
  <c r="W436" i="1" s="1"/>
  <c r="Z436" i="1"/>
  <c r="A450" i="1"/>
  <c r="C450" i="1"/>
  <c r="B450" i="1" s="1"/>
  <c r="D450" i="1"/>
  <c r="S450" i="1"/>
  <c r="T450" i="1"/>
  <c r="Y450" i="1"/>
  <c r="V450" i="1"/>
  <c r="W450" i="1" s="1"/>
  <c r="Z450" i="1"/>
  <c r="A473" i="1"/>
  <c r="C473" i="1"/>
  <c r="B473" i="1" s="1"/>
  <c r="Y473" i="1"/>
  <c r="V473" i="1"/>
  <c r="W473" i="1" s="1"/>
  <c r="Z473" i="1"/>
  <c r="A474" i="1"/>
  <c r="C474" i="1"/>
  <c r="B474" i="1" s="1"/>
  <c r="V474" i="1"/>
  <c r="W474" i="1" s="1"/>
  <c r="Z474" i="1"/>
  <c r="D1054" i="6"/>
  <c r="A438" i="1"/>
  <c r="C438" i="1"/>
  <c r="B438" i="1" s="1"/>
  <c r="M438" i="1"/>
  <c r="O438" i="1"/>
  <c r="S438" i="1"/>
  <c r="T438" i="1"/>
  <c r="Y438" i="1"/>
  <c r="V438" i="1"/>
  <c r="W438" i="1" s="1"/>
  <c r="Z438" i="1"/>
  <c r="F1054" i="6"/>
  <c r="I1054" i="6"/>
  <c r="F1051" i="6"/>
  <c r="I1051" i="6"/>
  <c r="J1051" i="6"/>
  <c r="F1055" i="6"/>
  <c r="I1055" i="6"/>
  <c r="J1055" i="6"/>
  <c r="F55" i="15"/>
  <c r="A667" i="1"/>
  <c r="C667" i="1"/>
  <c r="B667" i="1" s="1"/>
  <c r="V667" i="1"/>
  <c r="W667" i="1" s="1"/>
  <c r="Z667" i="1"/>
  <c r="A560" i="1"/>
  <c r="C560" i="1"/>
  <c r="B560" i="1" s="1"/>
  <c r="M560" i="1"/>
  <c r="O560" i="1"/>
  <c r="Y560" i="1"/>
  <c r="V560" i="1"/>
  <c r="W560" i="1" s="1"/>
  <c r="Z560" i="1"/>
  <c r="A543" i="1"/>
  <c r="C543" i="1"/>
  <c r="B543" i="1" s="1"/>
  <c r="M543" i="1"/>
  <c r="Y543" i="1"/>
  <c r="V543" i="1"/>
  <c r="W543" i="1" s="1"/>
  <c r="Z543" i="1"/>
  <c r="A475" i="1"/>
  <c r="A476" i="1"/>
  <c r="C475" i="1"/>
  <c r="B475" i="1" s="1"/>
  <c r="C476" i="1"/>
  <c r="B476" i="1" s="1"/>
  <c r="Y475" i="1"/>
  <c r="Y476" i="1"/>
  <c r="V475" i="1"/>
  <c r="W475" i="1" s="1"/>
  <c r="V476" i="1"/>
  <c r="W476" i="1" s="1"/>
  <c r="Z475" i="1"/>
  <c r="Z476" i="1"/>
  <c r="F1050" i="6"/>
  <c r="I1050" i="6"/>
  <c r="J1050" i="6"/>
  <c r="A600" i="1"/>
  <c r="C600" i="1"/>
  <c r="B600" i="1" s="1"/>
  <c r="M600" i="1"/>
  <c r="O600" i="1"/>
  <c r="Y600" i="1"/>
  <c r="V600" i="1"/>
  <c r="W600" i="1" s="1"/>
  <c r="Z600" i="1"/>
  <c r="G58" i="15"/>
  <c r="G57" i="15"/>
  <c r="G56" i="15"/>
  <c r="G54" i="15"/>
  <c r="G46" i="15"/>
  <c r="G53" i="15"/>
  <c r="G52" i="15"/>
  <c r="G51" i="15"/>
  <c r="G50" i="15"/>
  <c r="G49" i="15"/>
  <c r="G47" i="15"/>
  <c r="G45" i="15"/>
  <c r="G43" i="15"/>
  <c r="G42" i="15"/>
  <c r="G41" i="15"/>
  <c r="G40" i="15"/>
  <c r="G34" i="15"/>
  <c r="G33" i="15"/>
  <c r="G32" i="15"/>
  <c r="G31" i="15"/>
  <c r="G30" i="15"/>
  <c r="G29" i="15"/>
  <c r="G28" i="15"/>
  <c r="G27" i="15"/>
  <c r="G26" i="15"/>
  <c r="G25" i="15"/>
  <c r="G23" i="15"/>
  <c r="G22" i="15"/>
  <c r="G21" i="15"/>
  <c r="G20" i="15"/>
  <c r="G19" i="15"/>
  <c r="G18" i="15"/>
  <c r="G17" i="15"/>
  <c r="G16" i="15"/>
  <c r="G15" i="15"/>
  <c r="G14" i="15"/>
  <c r="G11" i="15"/>
  <c r="G10" i="15"/>
  <c r="G9" i="15"/>
  <c r="G7" i="15"/>
  <c r="G6" i="15"/>
  <c r="G4" i="15"/>
  <c r="G3" i="15"/>
  <c r="G2" i="15"/>
  <c r="F1045" i="6"/>
  <c r="F1046" i="6"/>
  <c r="F1047" i="6"/>
  <c r="I1045" i="6"/>
  <c r="I1046" i="6"/>
  <c r="I1047" i="6"/>
  <c r="J1045" i="6"/>
  <c r="J1046" i="6"/>
  <c r="J1047" i="6"/>
  <c r="F1041" i="6"/>
  <c r="F1042" i="6"/>
  <c r="F1043" i="6"/>
  <c r="I1041" i="6"/>
  <c r="I1042" i="6"/>
  <c r="I1043" i="6"/>
  <c r="I1044" i="6"/>
  <c r="J1041" i="6"/>
  <c r="J1042" i="6"/>
  <c r="J1043" i="6"/>
  <c r="J1044" i="6"/>
  <c r="W55" i="15" l="1"/>
  <c r="X55" i="15"/>
  <c r="W44" i="15"/>
  <c r="X44" i="15"/>
  <c r="Q674" i="1"/>
  <c r="R619" i="1"/>
  <c r="D619" i="1" s="1"/>
  <c r="Q539" i="1"/>
  <c r="Q515" i="1"/>
  <c r="R542" i="1"/>
  <c r="D542" i="1" s="1"/>
  <c r="Q519" i="1"/>
  <c r="Q496" i="1"/>
  <c r="Q685" i="1"/>
  <c r="Q715" i="1"/>
  <c r="Q711" i="1"/>
  <c r="Q741" i="1"/>
  <c r="Q640" i="1"/>
  <c r="Q645" i="1"/>
  <c r="Q652" i="1"/>
  <c r="Q654" i="1"/>
  <c r="Q754" i="1"/>
  <c r="Q716" i="1"/>
  <c r="Q599" i="1"/>
  <c r="Q720" i="1"/>
  <c r="Q581" i="1"/>
  <c r="Q628" i="1"/>
  <c r="Q508" i="1"/>
  <c r="R845" i="1"/>
  <c r="Q492" i="1"/>
  <c r="Q553" i="1"/>
  <c r="Q641" i="1"/>
  <c r="Q495" i="1"/>
  <c r="Q580" i="1"/>
  <c r="Q614" i="1"/>
  <c r="U55" i="15"/>
  <c r="V55" i="15"/>
  <c r="F1601" i="6"/>
  <c r="V44" i="15"/>
  <c r="U44" i="15"/>
  <c r="F1588" i="6"/>
  <c r="T44" i="15"/>
  <c r="F1563" i="6"/>
  <c r="S55" i="15"/>
  <c r="T55" i="15"/>
  <c r="S44" i="15"/>
  <c r="F1532" i="6"/>
  <c r="F1502" i="6"/>
  <c r="F1486" i="6"/>
  <c r="Q55" i="15"/>
  <c r="R55" i="15"/>
  <c r="F1456" i="6"/>
  <c r="R44" i="15"/>
  <c r="F1420" i="6"/>
  <c r="Q44" i="15"/>
  <c r="O55" i="15"/>
  <c r="P55" i="15"/>
  <c r="F1381" i="6"/>
  <c r="P44" i="15"/>
  <c r="O44" i="15"/>
  <c r="N55" i="15"/>
  <c r="F1352" i="6"/>
  <c r="N44" i="15"/>
  <c r="F1317" i="6"/>
  <c r="L55" i="15"/>
  <c r="M55" i="15"/>
  <c r="M44" i="15"/>
  <c r="F1276" i="6"/>
  <c r="F1243" i="6"/>
  <c r="L44" i="15"/>
  <c r="K55" i="15"/>
  <c r="I55" i="15"/>
  <c r="K44" i="15"/>
  <c r="I44" i="15"/>
  <c r="E1054" i="6"/>
  <c r="G19" i="16"/>
  <c r="G13" i="16"/>
  <c r="G12" i="16"/>
  <c r="E1061" i="6"/>
  <c r="F1204" i="6"/>
  <c r="J55" i="15"/>
  <c r="E1065" i="6"/>
  <c r="F1169" i="6"/>
  <c r="J44" i="15"/>
  <c r="F1136" i="6"/>
  <c r="M596" i="1"/>
  <c r="O596" i="1"/>
  <c r="O419" i="1"/>
  <c r="M419" i="1"/>
  <c r="J1057" i="6"/>
  <c r="F1101" i="6"/>
  <c r="J1065" i="6"/>
  <c r="H55" i="15"/>
  <c r="I1061" i="6"/>
  <c r="H44" i="15"/>
  <c r="T605" i="1"/>
  <c r="T702" i="1"/>
  <c r="T607" i="1"/>
  <c r="X533" i="1"/>
  <c r="X535" i="1"/>
  <c r="X536" i="1"/>
  <c r="Y535" i="1"/>
  <c r="Y536" i="1"/>
  <c r="Y533" i="1"/>
  <c r="X534" i="1"/>
  <c r="T755" i="1"/>
  <c r="J1054" i="6"/>
  <c r="T556" i="1"/>
  <c r="T615" i="1"/>
  <c r="X494" i="1"/>
  <c r="X516" i="1"/>
  <c r="D438" i="1"/>
  <c r="D463" i="1"/>
  <c r="D516" i="1"/>
  <c r="D494" i="1"/>
  <c r="X607" i="1"/>
  <c r="X755" i="1"/>
  <c r="X544" i="1"/>
  <c r="B544" i="1"/>
  <c r="X615" i="1"/>
  <c r="X605" i="1"/>
  <c r="X294" i="1"/>
  <c r="Y294" i="1"/>
  <c r="X500" i="1"/>
  <c r="Y500" i="1"/>
  <c r="X503" i="1"/>
  <c r="X398" i="1"/>
  <c r="X498" i="1"/>
  <c r="G44" i="15"/>
  <c r="T591" i="1"/>
  <c r="X702" i="1"/>
  <c r="T875" i="1"/>
  <c r="G55" i="15"/>
  <c r="T646" i="1"/>
  <c r="X687" i="1"/>
  <c r="T687" i="1"/>
  <c r="X482" i="1"/>
  <c r="D436" i="1"/>
  <c r="X493" i="1"/>
  <c r="T701" i="1"/>
  <c r="X701" i="1"/>
  <c r="X556" i="1"/>
  <c r="T719" i="1"/>
  <c r="T642" i="1"/>
  <c r="X664" i="1"/>
  <c r="B664" i="1"/>
  <c r="X591" i="1"/>
  <c r="X637" i="1"/>
  <c r="T637" i="1"/>
  <c r="T639" i="1"/>
  <c r="T626" i="1"/>
  <c r="X627" i="1"/>
  <c r="X626" i="1"/>
  <c r="Y626" i="1"/>
  <c r="T665" i="1"/>
  <c r="T1017" i="1"/>
  <c r="X642" i="1"/>
  <c r="X1017" i="1"/>
  <c r="Y627" i="1"/>
  <c r="T627" i="1"/>
  <c r="X646" i="1"/>
  <c r="X719" i="1"/>
  <c r="X665" i="1"/>
  <c r="Y719" i="1"/>
  <c r="T710" i="1"/>
  <c r="X710" i="1"/>
  <c r="Y710" i="1"/>
  <c r="X718" i="1"/>
  <c r="T718" i="1"/>
  <c r="T552" i="1"/>
  <c r="X552" i="1"/>
  <c r="Y552" i="1"/>
  <c r="F1064" i="6"/>
  <c r="T650" i="1"/>
  <c r="T585" i="1"/>
  <c r="T643" i="1"/>
  <c r="I1065" i="6"/>
  <c r="F1061" i="6"/>
  <c r="F1062" i="6"/>
  <c r="J1061" i="6"/>
  <c r="F1063" i="6"/>
  <c r="X585" i="1"/>
  <c r="X486" i="1"/>
  <c r="T520" i="1"/>
  <c r="T653" i="1"/>
  <c r="T796" i="1"/>
  <c r="T504" i="1"/>
  <c r="T795" i="1"/>
  <c r="T595" i="1"/>
  <c r="T691" i="1"/>
  <c r="T548" i="1"/>
  <c r="X691" i="1"/>
  <c r="T563" i="1"/>
  <c r="X795" i="1"/>
  <c r="Y795" i="1"/>
  <c r="X796" i="1"/>
  <c r="X639" i="1"/>
  <c r="X595" i="1"/>
  <c r="X875" i="1"/>
  <c r="X638" i="1"/>
  <c r="B638" i="1"/>
  <c r="T596" i="1"/>
  <c r="X504" i="1"/>
  <c r="X643" i="1"/>
  <c r="X644" i="1"/>
  <c r="Y643" i="1"/>
  <c r="T644" i="1"/>
  <c r="Y644" i="1"/>
  <c r="T613" i="1"/>
  <c r="X548" i="1"/>
  <c r="T648" i="1"/>
  <c r="T545" i="1"/>
  <c r="X545" i="1"/>
  <c r="X477" i="1"/>
  <c r="X653" i="1"/>
  <c r="T649" i="1"/>
  <c r="X649" i="1"/>
  <c r="X651" i="1"/>
  <c r="X650" i="1"/>
  <c r="T651" i="1"/>
  <c r="X613" i="1"/>
  <c r="X563" i="1"/>
  <c r="X596" i="1"/>
  <c r="X483" i="1"/>
  <c r="X463" i="1"/>
  <c r="T468" i="1"/>
  <c r="X462" i="1"/>
  <c r="X461" i="1"/>
  <c r="T489" i="1"/>
  <c r="X469" i="1"/>
  <c r="X648" i="1"/>
  <c r="Y648" i="1"/>
  <c r="X502" i="1"/>
  <c r="T502" i="1"/>
  <c r="X489" i="1"/>
  <c r="X478" i="1"/>
  <c r="X468" i="1"/>
  <c r="Y468" i="1"/>
  <c r="X484" i="1"/>
  <c r="T484" i="1"/>
  <c r="X454" i="1"/>
  <c r="Y454" i="1"/>
  <c r="X460" i="1"/>
  <c r="X458" i="1"/>
  <c r="X420" i="1"/>
  <c r="X455" i="1"/>
  <c r="T458" i="1"/>
  <c r="X520" i="1"/>
  <c r="X419" i="1"/>
  <c r="D419" i="1"/>
  <c r="D420" i="1"/>
  <c r="X436" i="1"/>
  <c r="Y436" i="1"/>
  <c r="X450" i="1"/>
  <c r="X473" i="1"/>
  <c r="T473" i="1"/>
  <c r="X474" i="1"/>
  <c r="Y474" i="1"/>
  <c r="T474" i="1"/>
  <c r="T667" i="1"/>
  <c r="X438" i="1"/>
  <c r="X560" i="1"/>
  <c r="X667" i="1"/>
  <c r="T560" i="1"/>
  <c r="Y667" i="1"/>
  <c r="T543" i="1"/>
  <c r="X543" i="1"/>
  <c r="T476" i="1"/>
  <c r="X475" i="1"/>
  <c r="T475" i="1"/>
  <c r="X476" i="1"/>
  <c r="T600" i="1"/>
  <c r="X600" i="1"/>
  <c r="A411" i="1"/>
  <c r="C411" i="1"/>
  <c r="B411" i="1" s="1"/>
  <c r="T411" i="1"/>
  <c r="Y411" i="1"/>
  <c r="V411" i="1"/>
  <c r="W411" i="1" s="1"/>
  <c r="Z411" i="1"/>
  <c r="A408" i="1"/>
  <c r="A407" i="1"/>
  <c r="A409" i="1"/>
  <c r="A412" i="1"/>
  <c r="A410" i="1"/>
  <c r="C408" i="1"/>
  <c r="B408" i="1" s="1"/>
  <c r="C407" i="1"/>
  <c r="T407" i="1" s="1"/>
  <c r="C409" i="1"/>
  <c r="B409" i="1" s="1"/>
  <c r="C412" i="1"/>
  <c r="B412" i="1" s="1"/>
  <c r="C410" i="1"/>
  <c r="B410" i="1" s="1"/>
  <c r="T408" i="1"/>
  <c r="T409" i="1"/>
  <c r="T412" i="1"/>
  <c r="T410" i="1"/>
  <c r="Y408" i="1"/>
  <c r="Y407" i="1"/>
  <c r="Y409" i="1"/>
  <c r="Y412" i="1"/>
  <c r="Y410" i="1"/>
  <c r="V408" i="1"/>
  <c r="W408" i="1" s="1"/>
  <c r="V407" i="1"/>
  <c r="W407" i="1" s="1"/>
  <c r="V409" i="1"/>
  <c r="W409" i="1" s="1"/>
  <c r="V412" i="1"/>
  <c r="W412" i="1" s="1"/>
  <c r="V410" i="1"/>
  <c r="W410" i="1" s="1"/>
  <c r="Z408" i="1"/>
  <c r="Z407" i="1"/>
  <c r="Z409" i="1"/>
  <c r="Z412" i="1"/>
  <c r="Z410" i="1"/>
  <c r="A432" i="1"/>
  <c r="C432" i="1"/>
  <c r="B432" i="1" s="1"/>
  <c r="D432" i="1"/>
  <c r="T432" i="1"/>
  <c r="Y432" i="1"/>
  <c r="V432" i="1"/>
  <c r="W432" i="1" s="1"/>
  <c r="Z432" i="1"/>
  <c r="A421" i="1"/>
  <c r="C421" i="1"/>
  <c r="B421" i="1" s="1"/>
  <c r="D421" i="1"/>
  <c r="M421" i="1"/>
  <c r="O421" i="1"/>
  <c r="S421" i="1"/>
  <c r="T421" i="1"/>
  <c r="Y421" i="1"/>
  <c r="V421" i="1"/>
  <c r="W421" i="1" s="1"/>
  <c r="Z421" i="1"/>
  <c r="A485" i="1"/>
  <c r="C485" i="1"/>
  <c r="B485" i="1" s="1"/>
  <c r="M485" i="1"/>
  <c r="O485" i="1"/>
  <c r="Y485" i="1"/>
  <c r="V485" i="1"/>
  <c r="W485" i="1" s="1"/>
  <c r="Z485" i="1"/>
  <c r="A459" i="1"/>
  <c r="C459" i="1"/>
  <c r="B459" i="1" s="1"/>
  <c r="M459" i="1"/>
  <c r="O459" i="1"/>
  <c r="Y459" i="1"/>
  <c r="V459" i="1"/>
  <c r="W459" i="1" s="1"/>
  <c r="Z459" i="1"/>
  <c r="A31" i="104"/>
  <c r="B31" i="104"/>
  <c r="C31" i="104"/>
  <c r="A30" i="104"/>
  <c r="B30" i="104"/>
  <c r="C30" i="104"/>
  <c r="A517" i="1"/>
  <c r="C517" i="1"/>
  <c r="B517" i="1" s="1"/>
  <c r="M517" i="1"/>
  <c r="O517" i="1"/>
  <c r="Y517" i="1"/>
  <c r="V517" i="1"/>
  <c r="W517" i="1" s="1"/>
  <c r="Z517" i="1"/>
  <c r="A546" i="1"/>
  <c r="C546" i="1"/>
  <c r="B546" i="1" s="1"/>
  <c r="Y546" i="1"/>
  <c r="V546" i="1"/>
  <c r="W546" i="1" s="1"/>
  <c r="Z546" i="1"/>
  <c r="A394" i="1"/>
  <c r="C394" i="1"/>
  <c r="B394" i="1" s="1"/>
  <c r="Y394" i="1"/>
  <c r="V394" i="1"/>
  <c r="W394" i="1" s="1"/>
  <c r="Z394" i="1"/>
  <c r="A564" i="1"/>
  <c r="C564" i="1"/>
  <c r="B564" i="1" s="1"/>
  <c r="Y564" i="1"/>
  <c r="V564" i="1"/>
  <c r="W564" i="1" s="1"/>
  <c r="Z564" i="1"/>
  <c r="A464" i="1"/>
  <c r="A467" i="1"/>
  <c r="A466" i="1"/>
  <c r="A465" i="1"/>
  <c r="C464" i="1"/>
  <c r="B464" i="1" s="1"/>
  <c r="C467" i="1"/>
  <c r="B467" i="1" s="1"/>
  <c r="C466" i="1"/>
  <c r="B466" i="1" s="1"/>
  <c r="C465" i="1"/>
  <c r="B465" i="1" s="1"/>
  <c r="M464" i="1"/>
  <c r="M467" i="1"/>
  <c r="M466" i="1"/>
  <c r="M465" i="1"/>
  <c r="O464" i="1"/>
  <c r="O467" i="1"/>
  <c r="O466" i="1"/>
  <c r="O465" i="1"/>
  <c r="Y464" i="1"/>
  <c r="Y466" i="1"/>
  <c r="Y465" i="1"/>
  <c r="V464" i="1"/>
  <c r="W464" i="1" s="1"/>
  <c r="V467" i="1"/>
  <c r="W467" i="1" s="1"/>
  <c r="V466" i="1"/>
  <c r="W466" i="1" s="1"/>
  <c r="V465" i="1"/>
  <c r="W465" i="1" s="1"/>
  <c r="Z464" i="1"/>
  <c r="Z467" i="1"/>
  <c r="Z466" i="1"/>
  <c r="Z465" i="1"/>
  <c r="A507" i="1"/>
  <c r="C507" i="1"/>
  <c r="B507" i="1" s="1"/>
  <c r="M507" i="1"/>
  <c r="V507" i="1"/>
  <c r="W507" i="1" s="1"/>
  <c r="Z507" i="1"/>
  <c r="A470" i="1"/>
  <c r="C470" i="1"/>
  <c r="B470" i="1" s="1"/>
  <c r="Y470" i="1"/>
  <c r="V470" i="1"/>
  <c r="W470" i="1" s="1"/>
  <c r="Z470" i="1"/>
  <c r="A378" i="1"/>
  <c r="C378" i="1"/>
  <c r="B378" i="1" s="1"/>
  <c r="T378" i="1"/>
  <c r="Y378" i="1"/>
  <c r="V378" i="1"/>
  <c r="W378" i="1" s="1"/>
  <c r="Z378" i="1"/>
  <c r="A417" i="1"/>
  <c r="C417" i="1"/>
  <c r="B417" i="1" s="1"/>
  <c r="T417" i="1"/>
  <c r="Y417" i="1"/>
  <c r="V417" i="1"/>
  <c r="W417" i="1" s="1"/>
  <c r="Z417" i="1"/>
  <c r="A381" i="1"/>
  <c r="A406" i="1"/>
  <c r="C381" i="1"/>
  <c r="B381" i="1" s="1"/>
  <c r="C406" i="1"/>
  <c r="B406" i="1" s="1"/>
  <c r="S381" i="1"/>
  <c r="T381" i="1"/>
  <c r="T406" i="1"/>
  <c r="Y381" i="1"/>
  <c r="Y406" i="1"/>
  <c r="V381" i="1"/>
  <c r="W381" i="1" s="1"/>
  <c r="V406" i="1"/>
  <c r="W406" i="1" s="1"/>
  <c r="Z381" i="1"/>
  <c r="Z406" i="1"/>
  <c r="A359" i="1"/>
  <c r="C359" i="1"/>
  <c r="B359" i="1" s="1"/>
  <c r="T359" i="1"/>
  <c r="Y359" i="1"/>
  <c r="V359" i="1"/>
  <c r="W359" i="1" s="1"/>
  <c r="Z359" i="1"/>
  <c r="A558" i="1"/>
  <c r="C558" i="1"/>
  <c r="B558" i="1" s="1"/>
  <c r="Y558" i="1"/>
  <c r="V558" i="1"/>
  <c r="W558" i="1" s="1"/>
  <c r="Z558" i="1"/>
  <c r="A449" i="1"/>
  <c r="C449" i="1"/>
  <c r="B449" i="1" s="1"/>
  <c r="Y449" i="1"/>
  <c r="V449" i="1"/>
  <c r="W449" i="1" s="1"/>
  <c r="Z449" i="1"/>
  <c r="A506" i="1"/>
  <c r="C506" i="1"/>
  <c r="B506" i="1" s="1"/>
  <c r="V506" i="1"/>
  <c r="W506" i="1" s="1"/>
  <c r="Z506" i="1"/>
  <c r="A562" i="1"/>
  <c r="C562" i="1"/>
  <c r="B562" i="1" s="1"/>
  <c r="Y562" i="1"/>
  <c r="V562" i="1"/>
  <c r="W562" i="1" s="1"/>
  <c r="Z562" i="1"/>
  <c r="A505" i="1"/>
  <c r="C505" i="1"/>
  <c r="B505" i="1" s="1"/>
  <c r="Y505" i="1"/>
  <c r="V505" i="1"/>
  <c r="W505" i="1" s="1"/>
  <c r="Z505" i="1"/>
  <c r="D1038" i="6"/>
  <c r="E1038" i="6" s="1"/>
  <c r="D1016" i="6"/>
  <c r="E1016" i="6" s="1"/>
  <c r="D1013" i="6"/>
  <c r="F1013" i="6"/>
  <c r="F1014" i="6"/>
  <c r="F1016" i="6"/>
  <c r="F1038" i="6"/>
  <c r="F1039" i="6"/>
  <c r="I1013" i="6"/>
  <c r="I1014" i="6"/>
  <c r="I1016" i="6"/>
  <c r="I1038" i="6"/>
  <c r="I1039" i="6"/>
  <c r="J1014" i="6"/>
  <c r="J1039" i="6"/>
  <c r="F1015" i="6"/>
  <c r="F1017" i="6"/>
  <c r="F1026" i="6"/>
  <c r="F1040" i="6"/>
  <c r="I1015" i="6"/>
  <c r="I1017" i="6"/>
  <c r="I1026" i="6"/>
  <c r="I1040" i="6"/>
  <c r="J1015" i="6"/>
  <c r="J1017" i="6"/>
  <c r="J1026" i="6"/>
  <c r="J1040" i="6"/>
  <c r="D1025" i="6"/>
  <c r="E1025" i="6" s="1"/>
  <c r="F1025" i="6"/>
  <c r="I1025" i="6"/>
  <c r="F22" i="16"/>
  <c r="F20" i="16"/>
  <c r="A395" i="1"/>
  <c r="C395" i="1"/>
  <c r="B395" i="1" s="1"/>
  <c r="D395" i="1"/>
  <c r="M395" i="1"/>
  <c r="O395" i="1"/>
  <c r="S395" i="1"/>
  <c r="T395" i="1"/>
  <c r="Y395" i="1"/>
  <c r="V395" i="1"/>
  <c r="W395" i="1" s="1"/>
  <c r="Z395" i="1"/>
  <c r="A518" i="1"/>
  <c r="C518" i="1"/>
  <c r="B518" i="1" s="1"/>
  <c r="M518" i="1"/>
  <c r="O518" i="1"/>
  <c r="Y518" i="1"/>
  <c r="V518" i="1"/>
  <c r="W518" i="1" s="1"/>
  <c r="Z518" i="1"/>
  <c r="A629" i="1"/>
  <c r="C629" i="1"/>
  <c r="B629" i="1" s="1"/>
  <c r="Y629" i="1"/>
  <c r="V629" i="1"/>
  <c r="W629" i="1" s="1"/>
  <c r="Z629" i="1"/>
  <c r="A632" i="1"/>
  <c r="C632" i="1"/>
  <c r="B632" i="1" s="1"/>
  <c r="M632" i="1"/>
  <c r="O632" i="1"/>
  <c r="Y632" i="1"/>
  <c r="V632" i="1"/>
  <c r="W632" i="1" s="1"/>
  <c r="Z632" i="1"/>
  <c r="A631" i="1"/>
  <c r="C631" i="1"/>
  <c r="B631" i="1" s="1"/>
  <c r="M631" i="1"/>
  <c r="O631" i="1"/>
  <c r="Y631" i="1"/>
  <c r="V631" i="1"/>
  <c r="W631" i="1" s="1"/>
  <c r="Z631" i="1"/>
  <c r="A501" i="1"/>
  <c r="C501" i="1"/>
  <c r="B501" i="1" s="1"/>
  <c r="Y501" i="1"/>
  <c r="V501" i="1"/>
  <c r="W501" i="1" s="1"/>
  <c r="Z501" i="1"/>
  <c r="A612" i="1"/>
  <c r="C612" i="1"/>
  <c r="B612" i="1" s="1"/>
  <c r="M612" i="1"/>
  <c r="Y612" i="1"/>
  <c r="V612" i="1"/>
  <c r="W612" i="1" s="1"/>
  <c r="Z612" i="1"/>
  <c r="A393" i="1"/>
  <c r="C393" i="1"/>
  <c r="B393" i="1" s="1"/>
  <c r="M393" i="1"/>
  <c r="O393" i="1"/>
  <c r="T393" i="1"/>
  <c r="Y393" i="1"/>
  <c r="V393" i="1"/>
  <c r="W393" i="1" s="1"/>
  <c r="Z393" i="1"/>
  <c r="A527" i="1"/>
  <c r="C527" i="1"/>
  <c r="B527" i="1" s="1"/>
  <c r="O527" i="1"/>
  <c r="Y527" i="1"/>
  <c r="V527" i="1"/>
  <c r="W527" i="1" s="1"/>
  <c r="Z527" i="1"/>
  <c r="A598" i="1"/>
  <c r="C598" i="1"/>
  <c r="B598" i="1" s="1"/>
  <c r="M598" i="1"/>
  <c r="O598" i="1"/>
  <c r="V598" i="1"/>
  <c r="W598" i="1" s="1"/>
  <c r="Z598" i="1"/>
  <c r="A744" i="1"/>
  <c r="B744" i="1"/>
  <c r="M744" i="1"/>
  <c r="O744" i="1"/>
  <c r="Y744" i="1"/>
  <c r="V744" i="1"/>
  <c r="W744" i="1" s="1"/>
  <c r="Z744" i="1"/>
  <c r="A402" i="1"/>
  <c r="C402" i="1"/>
  <c r="B402" i="1" s="1"/>
  <c r="Y402" i="1"/>
  <c r="V402" i="1"/>
  <c r="W402" i="1" s="1"/>
  <c r="Z402" i="1"/>
  <c r="A786" i="1"/>
  <c r="C786" i="1"/>
  <c r="T786" i="1" s="1"/>
  <c r="M786" i="1"/>
  <c r="O786" i="1"/>
  <c r="Y786" i="1"/>
  <c r="V786" i="1"/>
  <c r="W786" i="1" s="1"/>
  <c r="Z786" i="1"/>
  <c r="A636" i="1"/>
  <c r="C636" i="1"/>
  <c r="B636" i="1" s="1"/>
  <c r="M636" i="1"/>
  <c r="O636" i="1"/>
  <c r="Y636" i="1"/>
  <c r="V636" i="1"/>
  <c r="W636" i="1" s="1"/>
  <c r="Z636" i="1"/>
  <c r="A531" i="1"/>
  <c r="C531" i="1"/>
  <c r="B531" i="1" s="1"/>
  <c r="M531" i="1"/>
  <c r="O531" i="1"/>
  <c r="Y531" i="1"/>
  <c r="V531" i="1"/>
  <c r="W531" i="1" s="1"/>
  <c r="Z531" i="1"/>
  <c r="A490" i="1"/>
  <c r="C490" i="1"/>
  <c r="B490" i="1" s="1"/>
  <c r="Y490" i="1"/>
  <c r="V490" i="1"/>
  <c r="W490" i="1" s="1"/>
  <c r="Z490" i="1"/>
  <c r="A401" i="1"/>
  <c r="C401" i="1"/>
  <c r="B401" i="1" s="1"/>
  <c r="Y401" i="1"/>
  <c r="V401" i="1"/>
  <c r="W401" i="1" s="1"/>
  <c r="Z401" i="1"/>
  <c r="A526" i="1"/>
  <c r="C526" i="1"/>
  <c r="B526" i="1" s="1"/>
  <c r="Y526" i="1"/>
  <c r="V526" i="1"/>
  <c r="W526" i="1" s="1"/>
  <c r="Z526" i="1"/>
  <c r="A499" i="1"/>
  <c r="C499" i="1"/>
  <c r="B499" i="1" s="1"/>
  <c r="V499" i="1"/>
  <c r="W499" i="1" s="1"/>
  <c r="Z499" i="1"/>
  <c r="A530" i="1"/>
  <c r="C530" i="1"/>
  <c r="B530" i="1" s="1"/>
  <c r="M530" i="1"/>
  <c r="O530" i="1"/>
  <c r="V530" i="1"/>
  <c r="W530" i="1" s="1"/>
  <c r="Z530" i="1"/>
  <c r="A551" i="1"/>
  <c r="C551" i="1"/>
  <c r="B551" i="1" s="1"/>
  <c r="Y551" i="1"/>
  <c r="V551" i="1"/>
  <c r="W551" i="1" s="1"/>
  <c r="Z551" i="1"/>
  <c r="A448" i="1"/>
  <c r="C448" i="1"/>
  <c r="B448" i="1" s="1"/>
  <c r="Y448" i="1"/>
  <c r="V448" i="1"/>
  <c r="W448" i="1" s="1"/>
  <c r="Z448" i="1"/>
  <c r="A491" i="1"/>
  <c r="C491" i="1"/>
  <c r="B491" i="1" s="1"/>
  <c r="M491" i="1"/>
  <c r="Y491" i="1"/>
  <c r="V491" i="1"/>
  <c r="W491" i="1" s="1"/>
  <c r="Z491" i="1"/>
  <c r="A400" i="1"/>
  <c r="C400" i="1"/>
  <c r="B400" i="1" s="1"/>
  <c r="T400" i="1"/>
  <c r="V400" i="1"/>
  <c r="W400" i="1" s="1"/>
  <c r="Z400" i="1"/>
  <c r="F1037" i="6"/>
  <c r="F1035" i="6"/>
  <c r="F1027" i="6"/>
  <c r="F1032" i="6"/>
  <c r="F1033" i="6"/>
  <c r="F1029" i="6"/>
  <c r="F1031" i="6"/>
  <c r="F1030" i="6"/>
  <c r="F1028" i="6"/>
  <c r="F1034" i="6"/>
  <c r="I1035" i="6"/>
  <c r="I1027" i="6"/>
  <c r="I1032" i="6"/>
  <c r="I1033" i="6"/>
  <c r="I1029" i="6"/>
  <c r="I1031" i="6"/>
  <c r="I1030" i="6"/>
  <c r="I1028" i="6"/>
  <c r="I1034" i="6"/>
  <c r="I1037" i="6"/>
  <c r="J1035" i="6"/>
  <c r="J1027" i="6"/>
  <c r="J1032" i="6"/>
  <c r="J1033" i="6"/>
  <c r="J1029" i="6"/>
  <c r="J1031" i="6"/>
  <c r="J1030" i="6"/>
  <c r="J1028" i="6"/>
  <c r="J1034" i="6"/>
  <c r="J1037" i="6"/>
  <c r="F58" i="15"/>
  <c r="F57" i="15"/>
  <c r="F56" i="15"/>
  <c r="F54" i="15"/>
  <c r="F46" i="15"/>
  <c r="F53" i="15"/>
  <c r="F52" i="15"/>
  <c r="F51" i="15"/>
  <c r="F50" i="15"/>
  <c r="F49" i="15"/>
  <c r="F47" i="15"/>
  <c r="F45" i="15"/>
  <c r="F44" i="15"/>
  <c r="F43" i="15"/>
  <c r="F42" i="15"/>
  <c r="F41" i="15"/>
  <c r="F40" i="15"/>
  <c r="F34" i="15"/>
  <c r="F33" i="15"/>
  <c r="F32" i="15"/>
  <c r="F31" i="15"/>
  <c r="F30" i="15"/>
  <c r="F29" i="15"/>
  <c r="F28" i="15"/>
  <c r="F27" i="15"/>
  <c r="F26" i="15"/>
  <c r="F25" i="15"/>
  <c r="F23" i="15"/>
  <c r="F22" i="15"/>
  <c r="F21" i="15"/>
  <c r="F20" i="15"/>
  <c r="F19" i="15"/>
  <c r="F18" i="15"/>
  <c r="F17" i="15"/>
  <c r="F16" i="15"/>
  <c r="F15" i="15"/>
  <c r="F14" i="15"/>
  <c r="F12" i="15"/>
  <c r="F11" i="15"/>
  <c r="F10" i="15"/>
  <c r="F9" i="15"/>
  <c r="F8" i="15"/>
  <c r="F7" i="15"/>
  <c r="F6" i="15"/>
  <c r="F4" i="15"/>
  <c r="F3" i="15"/>
  <c r="F2" i="15"/>
  <c r="F1012" i="6"/>
  <c r="I1012" i="6"/>
  <c r="J1012" i="6"/>
  <c r="B46" i="15"/>
  <c r="C46" i="15"/>
  <c r="D46" i="15"/>
  <c r="E46" i="15"/>
  <c r="Q414" i="1"/>
  <c r="K385" i="1"/>
  <c r="A385" i="1"/>
  <c r="C385" i="1"/>
  <c r="B385" i="1" s="1"/>
  <c r="T385" i="1"/>
  <c r="Y385" i="1"/>
  <c r="V385" i="1"/>
  <c r="W385" i="1" s="1"/>
  <c r="Z385" i="1"/>
  <c r="O385" i="1" l="1"/>
  <c r="P796" i="1"/>
  <c r="Q796" i="1" s="1"/>
  <c r="P460" i="1"/>
  <c r="P544" i="1"/>
  <c r="P469" i="1"/>
  <c r="P463" i="1"/>
  <c r="P483" i="1"/>
  <c r="R414" i="1"/>
  <c r="P520" i="1"/>
  <c r="P458" i="1"/>
  <c r="P478" i="1"/>
  <c r="P461" i="1"/>
  <c r="P643" i="1"/>
  <c r="P638" i="1"/>
  <c r="P691" i="1"/>
  <c r="P718" i="1"/>
  <c r="P627" i="1"/>
  <c r="P637" i="1"/>
  <c r="P498" i="1"/>
  <c r="P500" i="1"/>
  <c r="P615" i="1"/>
  <c r="P607" i="1"/>
  <c r="R495" i="1"/>
  <c r="R553" i="1"/>
  <c r="R628" i="1"/>
  <c r="R720" i="1"/>
  <c r="R716" i="1"/>
  <c r="R654" i="1"/>
  <c r="R645" i="1"/>
  <c r="R741" i="1"/>
  <c r="R715" i="1"/>
  <c r="R496" i="1"/>
  <c r="D496" i="1" s="1"/>
  <c r="R539" i="1"/>
  <c r="R674" i="1"/>
  <c r="D732" i="1" s="1"/>
  <c r="P476" i="1"/>
  <c r="P543" i="1"/>
  <c r="P473" i="1"/>
  <c r="P484" i="1"/>
  <c r="P489" i="1"/>
  <c r="P462" i="1"/>
  <c r="P596" i="1"/>
  <c r="P650" i="1"/>
  <c r="P653" i="1"/>
  <c r="P504" i="1"/>
  <c r="P875" i="1"/>
  <c r="P486" i="1"/>
  <c r="P552" i="1"/>
  <c r="P665" i="1"/>
  <c r="P591" i="1"/>
  <c r="P493" i="1"/>
  <c r="P687" i="1"/>
  <c r="P702" i="1"/>
  <c r="P398" i="1"/>
  <c r="P516" i="1"/>
  <c r="P560" i="1"/>
  <c r="P450" i="1"/>
  <c r="P503" i="1"/>
  <c r="P294" i="1"/>
  <c r="P494" i="1"/>
  <c r="R614" i="1"/>
  <c r="R580" i="1"/>
  <c r="R641" i="1"/>
  <c r="R492" i="1"/>
  <c r="D492" i="1" s="1"/>
  <c r="R508" i="1"/>
  <c r="R581" i="1"/>
  <c r="R599" i="1"/>
  <c r="D599" i="1" s="1"/>
  <c r="R754" i="1"/>
  <c r="R652" i="1"/>
  <c r="R640" i="1"/>
  <c r="R711" i="1"/>
  <c r="R685" i="1"/>
  <c r="R519" i="1"/>
  <c r="D519" i="1" s="1"/>
  <c r="R515" i="1"/>
  <c r="D515" i="1" s="1"/>
  <c r="P455" i="1"/>
  <c r="P563" i="1"/>
  <c r="P651" i="1"/>
  <c r="P477" i="1"/>
  <c r="P548" i="1"/>
  <c r="Q595" i="1"/>
  <c r="P585" i="1"/>
  <c r="P1017" i="1"/>
  <c r="P556" i="1"/>
  <c r="P600" i="1"/>
  <c r="P475" i="1"/>
  <c r="P438" i="1"/>
  <c r="P419" i="1"/>
  <c r="P420" i="1"/>
  <c r="P454" i="1"/>
  <c r="P502" i="1"/>
  <c r="P613" i="1"/>
  <c r="P649" i="1"/>
  <c r="P545" i="1"/>
  <c r="P639" i="1"/>
  <c r="P646" i="1"/>
  <c r="P642" i="1"/>
  <c r="P664" i="1"/>
  <c r="P701" i="1"/>
  <c r="P482" i="1"/>
  <c r="P605" i="1"/>
  <c r="P755" i="1"/>
  <c r="Q534" i="1"/>
  <c r="J15" i="16"/>
  <c r="E1013" i="6"/>
  <c r="F19" i="16"/>
  <c r="F13" i="16"/>
  <c r="F12" i="16"/>
  <c r="D831" i="1"/>
  <c r="D458" i="1"/>
  <c r="D894" i="1"/>
  <c r="D892" i="1"/>
  <c r="D893" i="1"/>
  <c r="J1016" i="6"/>
  <c r="D850" i="1"/>
  <c r="D830" i="1"/>
  <c r="D787" i="1"/>
  <c r="D615" i="1"/>
  <c r="D671" i="1"/>
  <c r="D454" i="1"/>
  <c r="D601" i="1"/>
  <c r="M385" i="1"/>
  <c r="D687" i="1"/>
  <c r="D688" i="1"/>
  <c r="D835" i="1"/>
  <c r="D693" i="1"/>
  <c r="D692" i="1"/>
  <c r="D596" i="1"/>
  <c r="D597" i="1"/>
  <c r="D585" i="1"/>
  <c r="D586" i="1"/>
  <c r="D641" i="1"/>
  <c r="D640" i="1"/>
  <c r="Q535" i="1"/>
  <c r="D654" i="1"/>
  <c r="Q533" i="1"/>
  <c r="Q536" i="1"/>
  <c r="D477" i="1"/>
  <c r="D398" i="1"/>
  <c r="D503" i="1"/>
  <c r="D702" i="1"/>
  <c r="D520" i="1"/>
  <c r="D701" i="1"/>
  <c r="P626" i="1"/>
  <c r="P719" i="1"/>
  <c r="P710" i="1"/>
  <c r="D484" i="1"/>
  <c r="P795" i="1"/>
  <c r="P644" i="1"/>
  <c r="D653" i="1"/>
  <c r="P648" i="1"/>
  <c r="P468" i="1"/>
  <c r="P436" i="1"/>
  <c r="P474" i="1"/>
  <c r="T459" i="1"/>
  <c r="P667" i="1"/>
  <c r="T467" i="1"/>
  <c r="T465" i="1"/>
  <c r="T466" i="1"/>
  <c r="T464" i="1"/>
  <c r="T564" i="1"/>
  <c r="X407" i="1"/>
  <c r="X411" i="1"/>
  <c r="X410" i="1"/>
  <c r="J1013" i="6"/>
  <c r="J1038" i="6"/>
  <c r="X408" i="1"/>
  <c r="X412" i="1"/>
  <c r="X409" i="1"/>
  <c r="B407" i="1"/>
  <c r="X432" i="1"/>
  <c r="T629" i="1"/>
  <c r="X485" i="1"/>
  <c r="T394" i="1"/>
  <c r="X421" i="1"/>
  <c r="X464" i="1"/>
  <c r="T485" i="1"/>
  <c r="X459" i="1"/>
  <c r="T517" i="1"/>
  <c r="X517" i="1"/>
  <c r="X546" i="1"/>
  <c r="T546" i="1"/>
  <c r="X564" i="1"/>
  <c r="X394" i="1"/>
  <c r="T470" i="1"/>
  <c r="X465" i="1"/>
  <c r="X466" i="1"/>
  <c r="X467" i="1"/>
  <c r="T507" i="1"/>
  <c r="T449" i="1"/>
  <c r="Y467" i="1"/>
  <c r="X470" i="1"/>
  <c r="X507" i="1"/>
  <c r="Y507" i="1"/>
  <c r="X378" i="1"/>
  <c r="X417" i="1"/>
  <c r="X359" i="1"/>
  <c r="X406" i="1"/>
  <c r="X381" i="1"/>
  <c r="D406" i="1"/>
  <c r="D381" i="1"/>
  <c r="T562" i="1"/>
  <c r="T558" i="1"/>
  <c r="X558" i="1"/>
  <c r="T505" i="1"/>
  <c r="X449" i="1"/>
  <c r="X506" i="1"/>
  <c r="Y506" i="1"/>
  <c r="T506" i="1"/>
  <c r="X562" i="1"/>
  <c r="X505" i="1"/>
  <c r="J1025" i="6"/>
  <c r="T518" i="1"/>
  <c r="T632" i="1"/>
  <c r="X629" i="1"/>
  <c r="X395" i="1"/>
  <c r="X518" i="1"/>
  <c r="T631" i="1"/>
  <c r="X501" i="1"/>
  <c r="X631" i="1"/>
  <c r="T612" i="1"/>
  <c r="X632" i="1"/>
  <c r="X393" i="1"/>
  <c r="T501" i="1"/>
  <c r="X612" i="1"/>
  <c r="T598" i="1"/>
  <c r="X598" i="1"/>
  <c r="Y598" i="1"/>
  <c r="T527" i="1"/>
  <c r="X527" i="1"/>
  <c r="T499" i="1"/>
  <c r="X744" i="1"/>
  <c r="T744" i="1"/>
  <c r="T636" i="1"/>
  <c r="X402" i="1"/>
  <c r="T402" i="1"/>
  <c r="X786" i="1"/>
  <c r="B786" i="1"/>
  <c r="T531" i="1"/>
  <c r="X636" i="1"/>
  <c r="T490" i="1"/>
  <c r="X526" i="1"/>
  <c r="X490" i="1"/>
  <c r="X531" i="1"/>
  <c r="X401" i="1"/>
  <c r="T551" i="1"/>
  <c r="T401" i="1"/>
  <c r="T526" i="1"/>
  <c r="X499" i="1"/>
  <c r="T491" i="1"/>
  <c r="Y499" i="1"/>
  <c r="X530" i="1"/>
  <c r="Y530" i="1"/>
  <c r="X551" i="1"/>
  <c r="T530" i="1"/>
  <c r="X448" i="1"/>
  <c r="T448" i="1"/>
  <c r="X491" i="1"/>
  <c r="X400" i="1"/>
  <c r="Y400" i="1"/>
  <c r="X385" i="1"/>
  <c r="A431" i="1"/>
  <c r="C431" i="1"/>
  <c r="B431" i="1" s="1"/>
  <c r="Y431" i="1"/>
  <c r="V431" i="1"/>
  <c r="W431" i="1" s="1"/>
  <c r="Z431" i="1"/>
  <c r="C1036" i="6"/>
  <c r="Y11" i="16" s="1"/>
  <c r="Y9" i="16" s="1"/>
  <c r="B35" i="15"/>
  <c r="C35" i="15"/>
  <c r="D35" i="15"/>
  <c r="E35" i="15"/>
  <c r="A310" i="1"/>
  <c r="C310" i="1"/>
  <c r="B310" i="1" s="1"/>
  <c r="M310" i="1"/>
  <c r="O310" i="1"/>
  <c r="Y310" i="1"/>
  <c r="V310" i="1"/>
  <c r="W310" i="1" s="1"/>
  <c r="Z310" i="1"/>
  <c r="A424" i="1"/>
  <c r="C424" i="1"/>
  <c r="B424" i="1" s="1"/>
  <c r="Y424" i="1"/>
  <c r="V424" i="1"/>
  <c r="W424" i="1" s="1"/>
  <c r="Z424" i="1"/>
  <c r="A457" i="1"/>
  <c r="C457" i="1"/>
  <c r="B457" i="1" s="1"/>
  <c r="Y457" i="1"/>
  <c r="V457" i="1"/>
  <c r="W457" i="1" s="1"/>
  <c r="Z457" i="1"/>
  <c r="A488" i="1"/>
  <c r="C488" i="1"/>
  <c r="B488" i="1" s="1"/>
  <c r="Y488" i="1"/>
  <c r="V488" i="1"/>
  <c r="W488" i="1" s="1"/>
  <c r="Z488" i="1"/>
  <c r="A487" i="1"/>
  <c r="C487" i="1"/>
  <c r="T487" i="1" s="1"/>
  <c r="M487" i="1"/>
  <c r="O487" i="1"/>
  <c r="Y487" i="1"/>
  <c r="V487" i="1"/>
  <c r="W487" i="1" s="1"/>
  <c r="Z487" i="1"/>
  <c r="A399" i="1"/>
  <c r="C399" i="1"/>
  <c r="B399" i="1" s="1"/>
  <c r="Y399" i="1"/>
  <c r="V399" i="1"/>
  <c r="W399" i="1" s="1"/>
  <c r="Z399" i="1"/>
  <c r="A481" i="1"/>
  <c r="C481" i="1"/>
  <c r="B481" i="1" s="1"/>
  <c r="V481" i="1"/>
  <c r="W481" i="1" s="1"/>
  <c r="Z481" i="1"/>
  <c r="A559" i="1"/>
  <c r="C559" i="1"/>
  <c r="B559" i="1" s="1"/>
  <c r="Y559" i="1"/>
  <c r="V559" i="1"/>
  <c r="W559" i="1" s="1"/>
  <c r="Z559" i="1"/>
  <c r="A541" i="1"/>
  <c r="C541" i="1"/>
  <c r="B541" i="1" s="1"/>
  <c r="Y541" i="1"/>
  <c r="V541" i="1"/>
  <c r="W541" i="1" s="1"/>
  <c r="Z541" i="1"/>
  <c r="A371" i="1"/>
  <c r="C371" i="1"/>
  <c r="B371" i="1" s="1"/>
  <c r="M371" i="1"/>
  <c r="O371" i="1"/>
  <c r="T371" i="1"/>
  <c r="Y371" i="1"/>
  <c r="V371" i="1"/>
  <c r="W371" i="1" s="1"/>
  <c r="Z371" i="1"/>
  <c r="A275" i="1"/>
  <c r="C275" i="1"/>
  <c r="B275" i="1" s="1"/>
  <c r="D275" i="1"/>
  <c r="S275" i="1"/>
  <c r="Y275" i="1"/>
  <c r="V275" i="1"/>
  <c r="W275" i="1" s="1"/>
  <c r="Z275" i="1"/>
  <c r="A365" i="1"/>
  <c r="C365" i="1"/>
  <c r="B365" i="1" s="1"/>
  <c r="S365" i="1"/>
  <c r="T365" i="1"/>
  <c r="Y365" i="1"/>
  <c r="V365" i="1"/>
  <c r="W365" i="1" s="1"/>
  <c r="Z365" i="1"/>
  <c r="A358" i="1"/>
  <c r="C358" i="1"/>
  <c r="B358" i="1" s="1"/>
  <c r="M358" i="1"/>
  <c r="O358" i="1"/>
  <c r="S358" i="1"/>
  <c r="T358" i="1"/>
  <c r="Y358" i="1"/>
  <c r="V358" i="1"/>
  <c r="W358" i="1" s="1"/>
  <c r="Z358" i="1"/>
  <c r="A362" i="1"/>
  <c r="A363" i="1"/>
  <c r="A361" i="1"/>
  <c r="C362" i="1"/>
  <c r="T362" i="1" s="1"/>
  <c r="C363" i="1"/>
  <c r="B363" i="1" s="1"/>
  <c r="C361" i="1"/>
  <c r="B361" i="1" s="1"/>
  <c r="M362" i="1"/>
  <c r="M363" i="1"/>
  <c r="M361" i="1"/>
  <c r="O362" i="1"/>
  <c r="O363" i="1"/>
  <c r="O361" i="1"/>
  <c r="Y362" i="1"/>
  <c r="Y363" i="1"/>
  <c r="Y361" i="1"/>
  <c r="V362" i="1"/>
  <c r="W362" i="1" s="1"/>
  <c r="V363" i="1"/>
  <c r="W363" i="1" s="1"/>
  <c r="V361" i="1"/>
  <c r="W361" i="1" s="1"/>
  <c r="Z362" i="1"/>
  <c r="Z363" i="1"/>
  <c r="Z361" i="1"/>
  <c r="A443" i="1"/>
  <c r="C443" i="1"/>
  <c r="B443" i="1" s="1"/>
  <c r="M443" i="1"/>
  <c r="O443" i="1"/>
  <c r="V443" i="1"/>
  <c r="W443" i="1" s="1"/>
  <c r="Z443" i="1"/>
  <c r="A442" i="1"/>
  <c r="C442" i="1"/>
  <c r="B442" i="1" s="1"/>
  <c r="M442" i="1"/>
  <c r="O442" i="1"/>
  <c r="Y442" i="1"/>
  <c r="V442" i="1"/>
  <c r="W442" i="1" s="1"/>
  <c r="Z442" i="1"/>
  <c r="A309" i="1"/>
  <c r="C309" i="1"/>
  <c r="B309" i="1" s="1"/>
  <c r="S309" i="1"/>
  <c r="T309" i="1"/>
  <c r="Y309" i="1"/>
  <c r="V309" i="1"/>
  <c r="W309" i="1" s="1"/>
  <c r="Z309" i="1"/>
  <c r="A439" i="1"/>
  <c r="C439" i="1"/>
  <c r="B439" i="1" s="1"/>
  <c r="M439" i="1"/>
  <c r="O439" i="1"/>
  <c r="Y439" i="1"/>
  <c r="V439" i="1"/>
  <c r="W439" i="1" s="1"/>
  <c r="Z439" i="1"/>
  <c r="A360" i="1"/>
  <c r="A372" i="1"/>
  <c r="C360" i="1"/>
  <c r="B360" i="1" s="1"/>
  <c r="C372" i="1"/>
  <c r="B372" i="1" s="1"/>
  <c r="T360" i="1"/>
  <c r="T372" i="1"/>
  <c r="Y360" i="1"/>
  <c r="Y372" i="1"/>
  <c r="V360" i="1"/>
  <c r="W360" i="1" s="1"/>
  <c r="V372" i="1"/>
  <c r="W372" i="1" s="1"/>
  <c r="Z360" i="1"/>
  <c r="Z372" i="1"/>
  <c r="A617" i="1"/>
  <c r="C617" i="1"/>
  <c r="B617" i="1" s="1"/>
  <c r="Y617" i="1"/>
  <c r="V617" i="1"/>
  <c r="W617" i="1" s="1"/>
  <c r="Z617" i="1"/>
  <c r="A437" i="1"/>
  <c r="C437" i="1"/>
  <c r="B437" i="1" s="1"/>
  <c r="Y437" i="1"/>
  <c r="V437" i="1"/>
  <c r="W437" i="1" s="1"/>
  <c r="Z437" i="1"/>
  <c r="A497" i="1"/>
  <c r="C497" i="1"/>
  <c r="B497" i="1" s="1"/>
  <c r="Y497" i="1"/>
  <c r="V497" i="1"/>
  <c r="W497" i="1" s="1"/>
  <c r="Z497" i="1"/>
  <c r="A337" i="1"/>
  <c r="A529" i="1"/>
  <c r="C337" i="1"/>
  <c r="B337" i="1" s="1"/>
  <c r="C529" i="1"/>
  <c r="B529" i="1" s="1"/>
  <c r="M337" i="1"/>
  <c r="M529" i="1"/>
  <c r="O337" i="1"/>
  <c r="O529" i="1"/>
  <c r="T337" i="1"/>
  <c r="Y337" i="1"/>
  <c r="Y529" i="1"/>
  <c r="V337" i="1"/>
  <c r="W337" i="1" s="1"/>
  <c r="V529" i="1"/>
  <c r="W529" i="1" s="1"/>
  <c r="Z337" i="1"/>
  <c r="Z529" i="1"/>
  <c r="A444" i="1"/>
  <c r="C444" i="1"/>
  <c r="B444" i="1" s="1"/>
  <c r="M444" i="1"/>
  <c r="O444" i="1"/>
  <c r="V444" i="1"/>
  <c r="W444" i="1" s="1"/>
  <c r="Z444" i="1"/>
  <c r="A445" i="1"/>
  <c r="C445" i="1"/>
  <c r="B445" i="1" s="1"/>
  <c r="M445" i="1"/>
  <c r="O445" i="1"/>
  <c r="Y445" i="1"/>
  <c r="V445" i="1"/>
  <c r="W445" i="1" s="1"/>
  <c r="Z445" i="1"/>
  <c r="A456" i="1"/>
  <c r="C456" i="1"/>
  <c r="B456" i="1" s="1"/>
  <c r="Y456" i="1"/>
  <c r="V456" i="1"/>
  <c r="W456" i="1" s="1"/>
  <c r="Z456" i="1"/>
  <c r="A561" i="1"/>
  <c r="C561" i="1"/>
  <c r="B561" i="1" s="1"/>
  <c r="Y561" i="1"/>
  <c r="V561" i="1"/>
  <c r="W561" i="1" s="1"/>
  <c r="Z561" i="1"/>
  <c r="A366" i="1"/>
  <c r="C366" i="1"/>
  <c r="B366" i="1" s="1"/>
  <c r="M366" i="1"/>
  <c r="O366" i="1"/>
  <c r="T366" i="1"/>
  <c r="Y366" i="1"/>
  <c r="V366" i="1"/>
  <c r="W366" i="1" s="1"/>
  <c r="Z366" i="1"/>
  <c r="A367" i="1"/>
  <c r="C367" i="1"/>
  <c r="B367" i="1" s="1"/>
  <c r="M367" i="1"/>
  <c r="O367" i="1"/>
  <c r="Y367" i="1"/>
  <c r="V367" i="1"/>
  <c r="W367" i="1" s="1"/>
  <c r="Z367" i="1"/>
  <c r="A540" i="1"/>
  <c r="C540" i="1"/>
  <c r="B540" i="1" s="1"/>
  <c r="V540" i="1"/>
  <c r="W540" i="1" s="1"/>
  <c r="Z540" i="1"/>
  <c r="A418" i="1"/>
  <c r="C418" i="1"/>
  <c r="B418" i="1" s="1"/>
  <c r="M418" i="1"/>
  <c r="Y418" i="1"/>
  <c r="V418" i="1"/>
  <c r="W418" i="1" s="1"/>
  <c r="Z418" i="1"/>
  <c r="A453" i="1"/>
  <c r="C453" i="1"/>
  <c r="B453" i="1" s="1"/>
  <c r="M453" i="1"/>
  <c r="Y453" i="1"/>
  <c r="V453" i="1"/>
  <c r="W453" i="1" s="1"/>
  <c r="Z453" i="1"/>
  <c r="A451" i="1"/>
  <c r="C451" i="1"/>
  <c r="B451" i="1" s="1"/>
  <c r="M451" i="1"/>
  <c r="Y451" i="1"/>
  <c r="V451" i="1"/>
  <c r="W451" i="1" s="1"/>
  <c r="Z451" i="1"/>
  <c r="A547" i="1"/>
  <c r="C547" i="1"/>
  <c r="B547" i="1" s="1"/>
  <c r="M547" i="1"/>
  <c r="O547" i="1"/>
  <c r="Y547" i="1"/>
  <c r="V547" i="1"/>
  <c r="W547" i="1" s="1"/>
  <c r="Z547" i="1"/>
  <c r="A357" i="1"/>
  <c r="C357" i="1"/>
  <c r="B357" i="1" s="1"/>
  <c r="S357" i="1"/>
  <c r="T357" i="1"/>
  <c r="Y357" i="1"/>
  <c r="V357" i="1"/>
  <c r="W357" i="1" s="1"/>
  <c r="Z357" i="1"/>
  <c r="F1019" i="6"/>
  <c r="I1019" i="6"/>
  <c r="J1019" i="6"/>
  <c r="F1021" i="6"/>
  <c r="I1021" i="6"/>
  <c r="J1021" i="6"/>
  <c r="J1020" i="6"/>
  <c r="F1020" i="6"/>
  <c r="J1022" i="6"/>
  <c r="F1022" i="6"/>
  <c r="I1022" i="6"/>
  <c r="F1024" i="6"/>
  <c r="I1024" i="6"/>
  <c r="J1024" i="6"/>
  <c r="F1018" i="6"/>
  <c r="I1018" i="6"/>
  <c r="J1018" i="6"/>
  <c r="A355" i="1"/>
  <c r="C355" i="1"/>
  <c r="B355" i="1" s="1"/>
  <c r="T355" i="1"/>
  <c r="Y355" i="1"/>
  <c r="V355" i="1"/>
  <c r="W355" i="1" s="1"/>
  <c r="Z355" i="1"/>
  <c r="A416" i="1"/>
  <c r="C416" i="1"/>
  <c r="B416" i="1" s="1"/>
  <c r="Y416" i="1"/>
  <c r="V416" i="1"/>
  <c r="W416" i="1" s="1"/>
  <c r="Z416" i="1"/>
  <c r="A397" i="1"/>
  <c r="C397" i="1"/>
  <c r="B397" i="1" s="1"/>
  <c r="Y397" i="1"/>
  <c r="V397" i="1"/>
  <c r="W397" i="1" s="1"/>
  <c r="Z397" i="1"/>
  <c r="A329" i="1"/>
  <c r="C329" i="1"/>
  <c r="B329" i="1" s="1"/>
  <c r="M329" i="1"/>
  <c r="O329" i="1"/>
  <c r="S329" i="1"/>
  <c r="T329" i="1"/>
  <c r="Y329" i="1"/>
  <c r="V329" i="1"/>
  <c r="W329" i="1" s="1"/>
  <c r="Z329" i="1"/>
  <c r="A452" i="1"/>
  <c r="C452" i="1"/>
  <c r="B452" i="1" s="1"/>
  <c r="M452" i="1"/>
  <c r="V452" i="1"/>
  <c r="W452" i="1" s="1"/>
  <c r="Z452" i="1"/>
  <c r="A435" i="1"/>
  <c r="C435" i="1"/>
  <c r="B435" i="1" s="1"/>
  <c r="M435" i="1"/>
  <c r="Y435" i="1"/>
  <c r="V435" i="1"/>
  <c r="W435" i="1" s="1"/>
  <c r="Z435" i="1"/>
  <c r="A352" i="1"/>
  <c r="C352" i="1"/>
  <c r="B352" i="1" s="1"/>
  <c r="T352" i="1"/>
  <c r="Y352" i="1"/>
  <c r="V352" i="1"/>
  <c r="W352" i="1" s="1"/>
  <c r="Z352" i="1"/>
  <c r="A351" i="1"/>
  <c r="C351" i="1"/>
  <c r="B351" i="1" s="1"/>
  <c r="Y351" i="1"/>
  <c r="V351" i="1"/>
  <c r="W351" i="1" s="1"/>
  <c r="Z351" i="1"/>
  <c r="A350" i="1"/>
  <c r="A349" i="1"/>
  <c r="C350" i="1"/>
  <c r="B350" i="1" s="1"/>
  <c r="C349" i="1"/>
  <c r="B349" i="1" s="1"/>
  <c r="T350" i="1"/>
  <c r="T349" i="1"/>
  <c r="Y350" i="1"/>
  <c r="Y349" i="1"/>
  <c r="V350" i="1"/>
  <c r="W350" i="1" s="1"/>
  <c r="V349" i="1"/>
  <c r="W349" i="1" s="1"/>
  <c r="Z350" i="1"/>
  <c r="Z349" i="1"/>
  <c r="A305" i="1"/>
  <c r="A307" i="1"/>
  <c r="A304" i="1"/>
  <c r="A308" i="1"/>
  <c r="A303" i="1"/>
  <c r="A306" i="1"/>
  <c r="C305" i="1"/>
  <c r="B305" i="1" s="1"/>
  <c r="C307" i="1"/>
  <c r="B307" i="1" s="1"/>
  <c r="C304" i="1"/>
  <c r="B304" i="1" s="1"/>
  <c r="C308" i="1"/>
  <c r="B308" i="1" s="1"/>
  <c r="C303" i="1"/>
  <c r="B303" i="1" s="1"/>
  <c r="C306" i="1"/>
  <c r="B306" i="1" s="1"/>
  <c r="S305" i="1"/>
  <c r="S307" i="1"/>
  <c r="S304" i="1"/>
  <c r="S308" i="1"/>
  <c r="S303" i="1"/>
  <c r="S306" i="1"/>
  <c r="T305" i="1"/>
  <c r="T307" i="1"/>
  <c r="T304" i="1"/>
  <c r="T308" i="1"/>
  <c r="T303" i="1"/>
  <c r="T306" i="1"/>
  <c r="Y305" i="1"/>
  <c r="Y307" i="1"/>
  <c r="Y304" i="1"/>
  <c r="Y308" i="1"/>
  <c r="Y303" i="1"/>
  <c r="Y306" i="1"/>
  <c r="V305" i="1"/>
  <c r="W305" i="1" s="1"/>
  <c r="V307" i="1"/>
  <c r="W307" i="1" s="1"/>
  <c r="V304" i="1"/>
  <c r="W304" i="1" s="1"/>
  <c r="V308" i="1"/>
  <c r="W308" i="1" s="1"/>
  <c r="V303" i="1"/>
  <c r="W303" i="1" s="1"/>
  <c r="V306" i="1"/>
  <c r="W306" i="1" s="1"/>
  <c r="Z305" i="1"/>
  <c r="Z307" i="1"/>
  <c r="Z304" i="1"/>
  <c r="Z308" i="1"/>
  <c r="Z303" i="1"/>
  <c r="Z306" i="1"/>
  <c r="A340" i="1"/>
  <c r="C340" i="1"/>
  <c r="B340" i="1" s="1"/>
  <c r="Y340" i="1"/>
  <c r="V340" i="1"/>
  <c r="W340" i="1" s="1"/>
  <c r="Z340" i="1"/>
  <c r="A441" i="1"/>
  <c r="C441" i="1"/>
  <c r="B441" i="1" s="1"/>
  <c r="M441" i="1"/>
  <c r="O441" i="1"/>
  <c r="Y441" i="1"/>
  <c r="V441" i="1"/>
  <c r="W441" i="1" s="1"/>
  <c r="Z441" i="1"/>
  <c r="Z16" i="1"/>
  <c r="Z226" i="1"/>
  <c r="Z260" i="1"/>
  <c r="Z525" i="1"/>
  <c r="Z138" i="1"/>
  <c r="Z160" i="1"/>
  <c r="Z227" i="1"/>
  <c r="Z50" i="1"/>
  <c r="Z93" i="1"/>
  <c r="Z94" i="1"/>
  <c r="Z190" i="1"/>
  <c r="Z328" i="1"/>
  <c r="Z126" i="1"/>
  <c r="Z48" i="1"/>
  <c r="Z27" i="1"/>
  <c r="Z2" i="1"/>
  <c r="Z44" i="1"/>
  <c r="Z45" i="1"/>
  <c r="Z99" i="1"/>
  <c r="Z137" i="1"/>
  <c r="Z191" i="1"/>
  <c r="Z197" i="1"/>
  <c r="Z183" i="1"/>
  <c r="Z198" i="1"/>
  <c r="Z280" i="1"/>
  <c r="Z127" i="1"/>
  <c r="Z128" i="1"/>
  <c r="Z129" i="1"/>
  <c r="Z130" i="1"/>
  <c r="Z131" i="1"/>
  <c r="Z132" i="1"/>
  <c r="Z217" i="1"/>
  <c r="Z218" i="1"/>
  <c r="Z219" i="1"/>
  <c r="Z220" i="1"/>
  <c r="Z221" i="1"/>
  <c r="Z222" i="1"/>
  <c r="Z39" i="1"/>
  <c r="Z139" i="1"/>
  <c r="Z311" i="1"/>
  <c r="Z6" i="1"/>
  <c r="Z7" i="1"/>
  <c r="Z241" i="1"/>
  <c r="Z242" i="1"/>
  <c r="Z58" i="1"/>
  <c r="Z133" i="1"/>
  <c r="Z8" i="1"/>
  <c r="Z9" i="1"/>
  <c r="Z10" i="1"/>
  <c r="Z11" i="1"/>
  <c r="Z12" i="1"/>
  <c r="Z261" i="1"/>
  <c r="Z79" i="1"/>
  <c r="Z155" i="1"/>
  <c r="Z171" i="1"/>
  <c r="Z192" i="1"/>
  <c r="Z240" i="1"/>
  <c r="Z263" i="1"/>
  <c r="Z301" i="1"/>
  <c r="Z17" i="1"/>
  <c r="Z103" i="1"/>
  <c r="Z174" i="1"/>
  <c r="Z281" i="1"/>
  <c r="Z26" i="1"/>
  <c r="Z228" i="1"/>
  <c r="Z252" i="1"/>
  <c r="Z253" i="1"/>
  <c r="Z282" i="1"/>
  <c r="Z254" i="1"/>
  <c r="Z134" i="1"/>
  <c r="Z51" i="1"/>
  <c r="Z382" i="1"/>
  <c r="Z383" i="1"/>
  <c r="Z13" i="1"/>
  <c r="Z30" i="1"/>
  <c r="Z46" i="1"/>
  <c r="Z74" i="1"/>
  <c r="Z80" i="1"/>
  <c r="Z104" i="1"/>
  <c r="Z113" i="1"/>
  <c r="Z140" i="1"/>
  <c r="Z172" i="1"/>
  <c r="Z207" i="1"/>
  <c r="Z255" i="1"/>
  <c r="Z284" i="1"/>
  <c r="Z302" i="1"/>
  <c r="Z105" i="1"/>
  <c r="Z106" i="1"/>
  <c r="Z161" i="1"/>
  <c r="Z223" i="1"/>
  <c r="Z224" i="1"/>
  <c r="Z75" i="1"/>
  <c r="Z81" i="1"/>
  <c r="Z136" i="1"/>
  <c r="Z332" i="1"/>
  <c r="Z82" i="1"/>
  <c r="Z157" i="1"/>
  <c r="Z158" i="1"/>
  <c r="Z660" i="1"/>
  <c r="Z18" i="1"/>
  <c r="Z19" i="1"/>
  <c r="Z71" i="1"/>
  <c r="Z229" i="1"/>
  <c r="Z335" i="1"/>
  <c r="Z59" i="1"/>
  <c r="Z156" i="1"/>
  <c r="Z333" i="1"/>
  <c r="Z334" i="1"/>
  <c r="Z72" i="1"/>
  <c r="Z243" i="1"/>
  <c r="Z244" i="1"/>
  <c r="Z331" i="1"/>
  <c r="Z43" i="1"/>
  <c r="Z230" i="1"/>
  <c r="Z231" i="1"/>
  <c r="Z440" i="1"/>
  <c r="Z4" i="1"/>
  <c r="Z173" i="1"/>
  <c r="Z20" i="1"/>
  <c r="Z21" i="1"/>
  <c r="Z283" i="1"/>
  <c r="Z375" i="1"/>
  <c r="Z377" i="1"/>
  <c r="Z376" i="1"/>
  <c r="Z76" i="1"/>
  <c r="Z141" i="1"/>
  <c r="Z262" i="1"/>
  <c r="Z312" i="1"/>
  <c r="Z170" i="1"/>
  <c r="Z60" i="1"/>
  <c r="Z256" i="1"/>
  <c r="Z257" i="1"/>
  <c r="Z175" i="1"/>
  <c r="Z277" i="1"/>
  <c r="Z325" i="1"/>
  <c r="Z345" i="1"/>
  <c r="Z384" i="1"/>
  <c r="Z52" i="1"/>
  <c r="Z53" i="1"/>
  <c r="Z54" i="1"/>
  <c r="Z55" i="1"/>
  <c r="Z56" i="1"/>
  <c r="Z142" i="1"/>
  <c r="Z143" i="1"/>
  <c r="Z144" i="1"/>
  <c r="Z145" i="1"/>
  <c r="Z146" i="1"/>
  <c r="Z147" i="1"/>
  <c r="Z57" i="1"/>
  <c r="Z289" i="1"/>
  <c r="Z288" i="1"/>
  <c r="Z31" i="1"/>
  <c r="Z32" i="1"/>
  <c r="Z184" i="1"/>
  <c r="Z264" i="1"/>
  <c r="Z265" i="1"/>
  <c r="Z108" i="1"/>
  <c r="Z356" i="1"/>
  <c r="Z200" i="1"/>
  <c r="Z201" i="1"/>
  <c r="Z61" i="1"/>
  <c r="Z62" i="1"/>
  <c r="Z117" i="1"/>
  <c r="Z118" i="1"/>
  <c r="Z208" i="1"/>
  <c r="Z209" i="1"/>
  <c r="Z210" i="1"/>
  <c r="Z290" i="1"/>
  <c r="Z291" i="1"/>
  <c r="Z369" i="1"/>
  <c r="Z368" i="1"/>
  <c r="Z189" i="1"/>
  <c r="Z396" i="1"/>
  <c r="Z370" i="1"/>
  <c r="Z266" i="1"/>
  <c r="Z313" i="1"/>
  <c r="Z22" i="1"/>
  <c r="Z23" i="1"/>
  <c r="Z148" i="1"/>
  <c r="Z149" i="1"/>
  <c r="Z202" i="1"/>
  <c r="Z592" i="1"/>
  <c r="Z5" i="1"/>
  <c r="Z245" i="1"/>
  <c r="Z186" i="1"/>
  <c r="Z292" i="1"/>
  <c r="Z286" i="1"/>
  <c r="Z314" i="1"/>
  <c r="Z293" i="1"/>
  <c r="Z336" i="1"/>
  <c r="Z528" i="1"/>
  <c r="Z47" i="1"/>
  <c r="Z119" i="1"/>
  <c r="Z232" i="1"/>
  <c r="Z233" i="1"/>
  <c r="Z267" i="1"/>
  <c r="Z268" i="1"/>
  <c r="Z315" i="1"/>
  <c r="Z316" i="1"/>
  <c r="Z317" i="1"/>
  <c r="Z318" i="1"/>
  <c r="Z386" i="1"/>
  <c r="Z387" i="1"/>
  <c r="Z33" i="1"/>
  <c r="Z3" i="1"/>
  <c r="Z63" i="1"/>
  <c r="Z40" i="1"/>
  <c r="Z193" i="1"/>
  <c r="Z258" i="1"/>
  <c r="Z150" i="1"/>
  <c r="Z176" i="1"/>
  <c r="Z234" i="1"/>
  <c r="Z319" i="1"/>
  <c r="Z14" i="1"/>
  <c r="Z15" i="1"/>
  <c r="Z100" i="1"/>
  <c r="Z101" i="1"/>
  <c r="Z177" i="1"/>
  <c r="Z326" i="1"/>
  <c r="Z199" i="1"/>
  <c r="Z235" i="1"/>
  <c r="Z236" i="1"/>
  <c r="Z237" i="1"/>
  <c r="Z422" i="1"/>
  <c r="Z423" i="1"/>
  <c r="Z73" i="1"/>
  <c r="Z120" i="1"/>
  <c r="Z246" i="1"/>
  <c r="Z364" i="1"/>
  <c r="Z38" i="1"/>
  <c r="Z379" i="1"/>
  <c r="Z538" i="1"/>
  <c r="Z83" i="1"/>
  <c r="Z338" i="1"/>
  <c r="Z339" i="1"/>
  <c r="Z64" i="1"/>
  <c r="Z121" i="1"/>
  <c r="Z211" i="1"/>
  <c r="Z295" i="1"/>
  <c r="Z296" i="1"/>
  <c r="Z194" i="1"/>
  <c r="Z373" i="1"/>
  <c r="Z65" i="1"/>
  <c r="Z88" i="1"/>
  <c r="Z41" i="1"/>
  <c r="Z89" i="1"/>
  <c r="Z151" i="1"/>
  <c r="Z90" i="1"/>
  <c r="Z259" i="1"/>
  <c r="Z327" i="1"/>
  <c r="Z413" i="1"/>
  <c r="Z414" i="1"/>
  <c r="Z415" i="1"/>
  <c r="Z135" i="1"/>
  <c r="Z152" i="1"/>
  <c r="Z425" i="1"/>
  <c r="Z426" i="1"/>
  <c r="Z205" i="1"/>
  <c r="Z285" i="1"/>
  <c r="Z34" i="1"/>
  <c r="Z96" i="1"/>
  <c r="Z162" i="1"/>
  <c r="Z163" i="1"/>
  <c r="Z269" i="1"/>
  <c r="Z346" i="1"/>
  <c r="Z49" i="1"/>
  <c r="Z29" i="1"/>
  <c r="Z116" i="1"/>
  <c r="Z188" i="1"/>
  <c r="Z225" i="1"/>
  <c r="Z238" i="1"/>
  <c r="Z276" i="1"/>
  <c r="Z278" i="1"/>
  <c r="Z380" i="1"/>
  <c r="Z164" i="1"/>
  <c r="Z165" i="1"/>
  <c r="Z347" i="1"/>
  <c r="Z348" i="1"/>
  <c r="Z180" i="1"/>
  <c r="Z323" i="1"/>
  <c r="Z102" i="1"/>
  <c r="Z153" i="1"/>
  <c r="Z185" i="1"/>
  <c r="Z247" i="1"/>
  <c r="Z287" i="1"/>
  <c r="Z341" i="1"/>
  <c r="Z342" i="1"/>
  <c r="Z390" i="1"/>
  <c r="Z471" i="1"/>
  <c r="Z472" i="1"/>
  <c r="Z109" i="1"/>
  <c r="Z110" i="1"/>
  <c r="Z178" i="1"/>
  <c r="Z320" i="1"/>
  <c r="Z179" i="1"/>
  <c r="Z322" i="1"/>
  <c r="Z388" i="1"/>
  <c r="Z389" i="1"/>
  <c r="Z321" i="1"/>
  <c r="Z24" i="1"/>
  <c r="Z25" i="1"/>
  <c r="Z107" i="1"/>
  <c r="Z66" i="1"/>
  <c r="Z122" i="1"/>
  <c r="Z212" i="1"/>
  <c r="Z84" i="1"/>
  <c r="Z85" i="1"/>
  <c r="Z343" i="1"/>
  <c r="Z374" i="1"/>
  <c r="Z181" i="1"/>
  <c r="Z35" i="1"/>
  <c r="Z36" i="1"/>
  <c r="Z114" i="1"/>
  <c r="Z115" i="1"/>
  <c r="Z166" i="1"/>
  <c r="Z167" i="1"/>
  <c r="Z270" i="1"/>
  <c r="Z271" i="1"/>
  <c r="Z272" i="1"/>
  <c r="Z330" i="1"/>
  <c r="Z67" i="1"/>
  <c r="Z68" i="1"/>
  <c r="Z123" i="1"/>
  <c r="Z203" i="1"/>
  <c r="Z297" i="1"/>
  <c r="Z403" i="1"/>
  <c r="Z69" i="1"/>
  <c r="Z124" i="1"/>
  <c r="Z213" i="1"/>
  <c r="Z298" i="1"/>
  <c r="Z404" i="1"/>
  <c r="Z182" i="1"/>
  <c r="Z427" i="1"/>
  <c r="Z428" i="1"/>
  <c r="Z78" i="1"/>
  <c r="Z112" i="1"/>
  <c r="Z353" i="1"/>
  <c r="Z344" i="1"/>
  <c r="Z195" i="1"/>
  <c r="Z196" i="1"/>
  <c r="Z159" i="1"/>
  <c r="Z429" i="1"/>
  <c r="Z430" i="1"/>
  <c r="Z37" i="1"/>
  <c r="Z97" i="1"/>
  <c r="Z168" i="1"/>
  <c r="Z273" i="1"/>
  <c r="Z447" i="1"/>
  <c r="Z446" i="1"/>
  <c r="Z354" i="1"/>
  <c r="Z42" i="1"/>
  <c r="Z92" i="1"/>
  <c r="Z169" i="1"/>
  <c r="Z274" i="1"/>
  <c r="Z98" i="1"/>
  <c r="Z187" i="1"/>
  <c r="Z206" i="1"/>
  <c r="Z86" i="1"/>
  <c r="Z87" i="1"/>
  <c r="Z214" i="1"/>
  <c r="Z248" i="1"/>
  <c r="Z249" i="1"/>
  <c r="Z250" i="1"/>
  <c r="Z251" i="1"/>
  <c r="Z433" i="1"/>
  <c r="Z434" i="1"/>
  <c r="Z550" i="1"/>
  <c r="Z549" i="1"/>
  <c r="Z204" i="1"/>
  <c r="Z279" i="1"/>
  <c r="Z391" i="1"/>
  <c r="Z111" i="1"/>
  <c r="Z70" i="1"/>
  <c r="Z125" i="1"/>
  <c r="Z215" i="1"/>
  <c r="Z216" i="1"/>
  <c r="Z299" i="1"/>
  <c r="Z300" i="1"/>
  <c r="Z405" i="1"/>
  <c r="Z91" i="1"/>
  <c r="Z154" i="1"/>
  <c r="Z239" i="1"/>
  <c r="Z324" i="1"/>
  <c r="Z392" i="1"/>
  <c r="A528" i="1"/>
  <c r="C528" i="1"/>
  <c r="B528" i="1" s="1"/>
  <c r="M528" i="1"/>
  <c r="O528" i="1"/>
  <c r="V528" i="1"/>
  <c r="W528" i="1" s="1"/>
  <c r="A336" i="1"/>
  <c r="C336" i="1"/>
  <c r="B336" i="1" s="1"/>
  <c r="M336" i="1"/>
  <c r="O336" i="1"/>
  <c r="Y336" i="1"/>
  <c r="V336" i="1"/>
  <c r="W336" i="1" s="1"/>
  <c r="H23" i="104"/>
  <c r="I23" i="104" s="1"/>
  <c r="A23" i="104"/>
  <c r="B23" i="104"/>
  <c r="C23" i="104"/>
  <c r="K538" i="1"/>
  <c r="A538" i="1"/>
  <c r="C538" i="1"/>
  <c r="B538" i="1" s="1"/>
  <c r="Y538" i="1"/>
  <c r="V538" i="1"/>
  <c r="W538" i="1" s="1"/>
  <c r="A423" i="1"/>
  <c r="C423" i="1"/>
  <c r="B423" i="1" s="1"/>
  <c r="Y423" i="1"/>
  <c r="V423" i="1"/>
  <c r="W423" i="1" s="1"/>
  <c r="A373" i="1"/>
  <c r="C373" i="1"/>
  <c r="B373" i="1" s="1"/>
  <c r="Y373" i="1"/>
  <c r="V373" i="1"/>
  <c r="W373" i="1" s="1"/>
  <c r="A302" i="1"/>
  <c r="C302" i="1"/>
  <c r="B302" i="1" s="1"/>
  <c r="M302" i="1"/>
  <c r="O302" i="1"/>
  <c r="T302" i="1"/>
  <c r="Y302" i="1"/>
  <c r="V302" i="1"/>
  <c r="W302" i="1" s="1"/>
  <c r="A280" i="1"/>
  <c r="C280" i="1"/>
  <c r="B280" i="1" s="1"/>
  <c r="T280" i="1"/>
  <c r="Y280" i="1"/>
  <c r="V280" i="1"/>
  <c r="W280" i="1" s="1"/>
  <c r="A525" i="1"/>
  <c r="C525" i="1"/>
  <c r="B525" i="1" s="1"/>
  <c r="Y525" i="1"/>
  <c r="V525" i="1"/>
  <c r="W525" i="1" s="1"/>
  <c r="A334" i="1"/>
  <c r="C334" i="1"/>
  <c r="B334" i="1" s="1"/>
  <c r="M334" i="1"/>
  <c r="O334" i="1"/>
  <c r="Y334" i="1"/>
  <c r="V334" i="1"/>
  <c r="W334" i="1" s="1"/>
  <c r="A396" i="1"/>
  <c r="C396" i="1"/>
  <c r="B396" i="1" s="1"/>
  <c r="M396" i="1"/>
  <c r="O396" i="1"/>
  <c r="V396" i="1"/>
  <c r="W396" i="1" s="1"/>
  <c r="A312" i="1"/>
  <c r="C312" i="1"/>
  <c r="B312" i="1" s="1"/>
  <c r="M312" i="1"/>
  <c r="O312" i="1"/>
  <c r="Y312" i="1"/>
  <c r="V312" i="1"/>
  <c r="W312" i="1" s="1"/>
  <c r="A440" i="1"/>
  <c r="C440" i="1"/>
  <c r="B440" i="1" s="1"/>
  <c r="M440" i="1"/>
  <c r="O440" i="1"/>
  <c r="Y440" i="1"/>
  <c r="V440" i="1"/>
  <c r="W440" i="1" s="1"/>
  <c r="A368" i="1"/>
  <c r="C368" i="1"/>
  <c r="B368" i="1" s="1"/>
  <c r="M368" i="1"/>
  <c r="O368" i="1"/>
  <c r="Y368" i="1"/>
  <c r="V368" i="1"/>
  <c r="W368" i="1" s="1"/>
  <c r="A346" i="1"/>
  <c r="C346" i="1"/>
  <c r="B346" i="1" s="1"/>
  <c r="Y346" i="1"/>
  <c r="V346" i="1"/>
  <c r="W346" i="1" s="1"/>
  <c r="A369" i="1"/>
  <c r="C369" i="1"/>
  <c r="B369" i="1" s="1"/>
  <c r="M369" i="1"/>
  <c r="O369" i="1"/>
  <c r="Y369" i="1"/>
  <c r="V369" i="1"/>
  <c r="W369" i="1" s="1"/>
  <c r="A405" i="1"/>
  <c r="C405" i="1"/>
  <c r="T405" i="1" s="1"/>
  <c r="M405" i="1"/>
  <c r="Y405" i="1"/>
  <c r="V405" i="1"/>
  <c r="W405" i="1" s="1"/>
  <c r="A471" i="1"/>
  <c r="A472" i="1"/>
  <c r="C471" i="1"/>
  <c r="B471" i="1" s="1"/>
  <c r="C472" i="1"/>
  <c r="B472" i="1" s="1"/>
  <c r="Y471" i="1"/>
  <c r="Y472" i="1"/>
  <c r="V471" i="1"/>
  <c r="W471" i="1" s="1"/>
  <c r="V472" i="1"/>
  <c r="W472" i="1" s="1"/>
  <c r="A404" i="1"/>
  <c r="C404" i="1"/>
  <c r="B404" i="1" s="1"/>
  <c r="Y404" i="1"/>
  <c r="V404" i="1"/>
  <c r="W404" i="1" s="1"/>
  <c r="A353" i="1"/>
  <c r="B353" i="1"/>
  <c r="T353" i="1"/>
  <c r="V353" i="1"/>
  <c r="W353" i="1" s="1"/>
  <c r="A354" i="1"/>
  <c r="C354" i="1"/>
  <c r="B354" i="1" s="1"/>
  <c r="Y354" i="1"/>
  <c r="V354" i="1"/>
  <c r="W354" i="1" s="1"/>
  <c r="A301" i="1"/>
  <c r="C301" i="1"/>
  <c r="B301" i="1" s="1"/>
  <c r="S301" i="1"/>
  <c r="T301" i="1"/>
  <c r="Y301" i="1"/>
  <c r="V301" i="1"/>
  <c r="W301" i="1" s="1"/>
  <c r="A403" i="1"/>
  <c r="C403" i="1"/>
  <c r="B403" i="1" s="1"/>
  <c r="Y403" i="1"/>
  <c r="V403" i="1"/>
  <c r="W403" i="1" s="1"/>
  <c r="A321" i="1"/>
  <c r="C321" i="1"/>
  <c r="B321" i="1" s="1"/>
  <c r="S321" i="1"/>
  <c r="T321" i="1"/>
  <c r="V321" i="1"/>
  <c r="W321" i="1" s="1"/>
  <c r="S311" i="1"/>
  <c r="S287" i="1"/>
  <c r="S318" i="1"/>
  <c r="S317" i="1"/>
  <c r="S316" i="1"/>
  <c r="S315" i="1"/>
  <c r="S319" i="1"/>
  <c r="S324" i="1"/>
  <c r="I21" i="104"/>
  <c r="F1006" i="6"/>
  <c r="F1007" i="6"/>
  <c r="F1008" i="6"/>
  <c r="I1006" i="6"/>
  <c r="I1007" i="6"/>
  <c r="I1008" i="6"/>
  <c r="J1006" i="6"/>
  <c r="J1007" i="6"/>
  <c r="J1008" i="6"/>
  <c r="F1009" i="6"/>
  <c r="F1010" i="6"/>
  <c r="F1011" i="6"/>
  <c r="I1009" i="6"/>
  <c r="I1010" i="6"/>
  <c r="I1011" i="6"/>
  <c r="J1009" i="6"/>
  <c r="J1010" i="6"/>
  <c r="J1011" i="6"/>
  <c r="E56" i="15"/>
  <c r="E57" i="15"/>
  <c r="E58" i="15"/>
  <c r="D991" i="6"/>
  <c r="F991" i="6"/>
  <c r="I991" i="6"/>
  <c r="F984" i="6"/>
  <c r="I984" i="6"/>
  <c r="J984" i="6"/>
  <c r="F985" i="6"/>
  <c r="F995" i="6"/>
  <c r="I985" i="6"/>
  <c r="I995" i="6"/>
  <c r="J985" i="6"/>
  <c r="J995" i="6"/>
  <c r="Q469" i="1" l="1"/>
  <c r="R469" i="1" s="1"/>
  <c r="D469" i="1" s="1"/>
  <c r="Q460" i="1"/>
  <c r="Q544" i="1"/>
  <c r="Q463" i="1"/>
  <c r="Q483" i="1"/>
  <c r="R483" i="1" s="1"/>
  <c r="D483" i="1" s="1"/>
  <c r="P459" i="1"/>
  <c r="P409" i="1"/>
  <c r="X35" i="15"/>
  <c r="X11" i="16"/>
  <c r="X9" i="16" s="1"/>
  <c r="P402" i="1"/>
  <c r="P393" i="1"/>
  <c r="P501" i="1"/>
  <c r="P505" i="1"/>
  <c r="P381" i="1"/>
  <c r="P564" i="1"/>
  <c r="P421" i="1"/>
  <c r="P411" i="1"/>
  <c r="P491" i="1"/>
  <c r="P551" i="1"/>
  <c r="P526" i="1"/>
  <c r="P527" i="1"/>
  <c r="P632" i="1"/>
  <c r="P562" i="1"/>
  <c r="P449" i="1"/>
  <c r="P406" i="1"/>
  <c r="Q465" i="1"/>
  <c r="P407" i="1"/>
  <c r="Q474" i="1"/>
  <c r="Q710" i="1"/>
  <c r="R535" i="1"/>
  <c r="Q755" i="1"/>
  <c r="Q482" i="1"/>
  <c r="Q664" i="1"/>
  <c r="Q649" i="1"/>
  <c r="Q438" i="1"/>
  <c r="Q600" i="1"/>
  <c r="Q1017" i="1"/>
  <c r="R595" i="1"/>
  <c r="D666" i="1" s="1"/>
  <c r="Q477" i="1"/>
  <c r="Q563" i="1"/>
  <c r="Q455" i="1"/>
  <c r="Q494" i="1"/>
  <c r="Q294" i="1"/>
  <c r="Q450" i="1"/>
  <c r="Q489" i="1"/>
  <c r="Q543" i="1"/>
  <c r="P629" i="1"/>
  <c r="P385" i="1"/>
  <c r="P499" i="1"/>
  <c r="P786" i="1"/>
  <c r="P612" i="1"/>
  <c r="P518" i="1"/>
  <c r="P359" i="1"/>
  <c r="P546" i="1"/>
  <c r="P485" i="1"/>
  <c r="Q436" i="1"/>
  <c r="Q644" i="1"/>
  <c r="Q719" i="1"/>
  <c r="R536" i="1"/>
  <c r="Q646" i="1"/>
  <c r="Q454" i="1"/>
  <c r="Q419" i="1"/>
  <c r="Q516" i="1"/>
  <c r="Q702" i="1"/>
  <c r="Q493" i="1"/>
  <c r="Q665" i="1"/>
  <c r="Q486" i="1"/>
  <c r="Q504" i="1"/>
  <c r="Q650" i="1"/>
  <c r="Q462" i="1"/>
  <c r="Q607" i="1"/>
  <c r="Q500" i="1"/>
  <c r="Q637" i="1"/>
  <c r="Q718" i="1"/>
  <c r="R796" i="1"/>
  <c r="Q643" i="1"/>
  <c r="Q461" i="1"/>
  <c r="Q458" i="1"/>
  <c r="P490" i="1"/>
  <c r="P378" i="1"/>
  <c r="Q466" i="1"/>
  <c r="P432" i="1"/>
  <c r="P408" i="1"/>
  <c r="Q648" i="1"/>
  <c r="P448" i="1"/>
  <c r="P530" i="1"/>
  <c r="P531" i="1"/>
  <c r="P636" i="1"/>
  <c r="Q744" i="1"/>
  <c r="P631" i="1"/>
  <c r="P395" i="1"/>
  <c r="P558" i="1"/>
  <c r="P417" i="1"/>
  <c r="P470" i="1"/>
  <c r="P394" i="1"/>
  <c r="P517" i="1"/>
  <c r="Q464" i="1"/>
  <c r="P412" i="1"/>
  <c r="P410" i="1"/>
  <c r="Q667" i="1"/>
  <c r="Q468" i="1"/>
  <c r="Q795" i="1"/>
  <c r="Q626" i="1"/>
  <c r="R533" i="1"/>
  <c r="R534" i="1"/>
  <c r="Q605" i="1"/>
  <c r="Q701" i="1"/>
  <c r="Q545" i="1"/>
  <c r="Q613" i="1"/>
  <c r="Q502" i="1"/>
  <c r="Q475" i="1"/>
  <c r="Q556" i="1"/>
  <c r="Q585" i="1"/>
  <c r="Q548" i="1"/>
  <c r="Q651" i="1"/>
  <c r="Q503" i="1"/>
  <c r="Q560" i="1"/>
  <c r="Q484" i="1"/>
  <c r="Q473" i="1"/>
  <c r="Q476" i="1"/>
  <c r="Q642" i="1"/>
  <c r="Q639" i="1"/>
  <c r="Q420" i="1"/>
  <c r="Q398" i="1"/>
  <c r="Q687" i="1"/>
  <c r="Q591" i="1"/>
  <c r="Q552" i="1"/>
  <c r="Q875" i="1"/>
  <c r="Q653" i="1"/>
  <c r="Q596" i="1"/>
  <c r="Q615" i="1"/>
  <c r="Q498" i="1"/>
  <c r="Q627" i="1"/>
  <c r="Q691" i="1"/>
  <c r="Q638" i="1"/>
  <c r="Q478" i="1"/>
  <c r="Q520" i="1"/>
  <c r="W11" i="16"/>
  <c r="W9" i="16" s="1"/>
  <c r="W35" i="15"/>
  <c r="V11" i="16"/>
  <c r="V9" i="16" s="1"/>
  <c r="V35" i="15"/>
  <c r="T35" i="15"/>
  <c r="U35" i="15"/>
  <c r="U11" i="16"/>
  <c r="U9" i="16" s="1"/>
  <c r="S35" i="15"/>
  <c r="T11" i="16"/>
  <c r="T9" i="16" s="1"/>
  <c r="S11" i="16"/>
  <c r="S9" i="16" s="1"/>
  <c r="R11" i="16"/>
  <c r="R9" i="16" s="1"/>
  <c r="R35" i="15"/>
  <c r="Q11" i="16"/>
  <c r="Q9" i="16" s="1"/>
  <c r="Q35" i="15"/>
  <c r="P11" i="16"/>
  <c r="P9" i="16" s="1"/>
  <c r="P35" i="15"/>
  <c r="O11" i="16"/>
  <c r="O9" i="16" s="1"/>
  <c r="O35" i="15"/>
  <c r="F1301" i="6"/>
  <c r="N11" i="16"/>
  <c r="N9" i="16" s="1"/>
  <c r="N35" i="15"/>
  <c r="F1300" i="6"/>
  <c r="F1287" i="6"/>
  <c r="M35" i="15"/>
  <c r="M11" i="16"/>
  <c r="M9" i="16" s="1"/>
  <c r="L35" i="15"/>
  <c r="L11" i="16"/>
  <c r="I35" i="15"/>
  <c r="F1252" i="6"/>
  <c r="G15" i="16"/>
  <c r="K35" i="15"/>
  <c r="K11" i="16"/>
  <c r="G11" i="16"/>
  <c r="J11" i="16"/>
  <c r="F11" i="16"/>
  <c r="I11" i="16"/>
  <c r="H11" i="16"/>
  <c r="E991" i="6"/>
  <c r="E19" i="16"/>
  <c r="F1217" i="6"/>
  <c r="D876" i="1"/>
  <c r="D1018" i="1"/>
  <c r="D1095" i="1"/>
  <c r="D1094" i="1"/>
  <c r="D1039" i="1"/>
  <c r="D1017" i="1"/>
  <c r="D1067" i="1"/>
  <c r="F1183" i="6"/>
  <c r="E1036" i="6"/>
  <c r="D932" i="1"/>
  <c r="D875" i="1"/>
  <c r="D786" i="1"/>
  <c r="F1150" i="6"/>
  <c r="J35" i="15"/>
  <c r="M538" i="1"/>
  <c r="O538" i="1"/>
  <c r="D982" i="1"/>
  <c r="D983" i="1"/>
  <c r="D761" i="1"/>
  <c r="D848" i="1"/>
  <c r="G16" i="16"/>
  <c r="D866" i="1"/>
  <c r="D867" i="1"/>
  <c r="D791" i="1"/>
  <c r="F1083" i="6"/>
  <c r="H35" i="15"/>
  <c r="D394" i="1"/>
  <c r="D685" i="1"/>
  <c r="D536" i="1"/>
  <c r="D533" i="1"/>
  <c r="D534" i="1"/>
  <c r="D535" i="1"/>
  <c r="G35" i="15"/>
  <c r="D637" i="1"/>
  <c r="D627" i="1"/>
  <c r="Q467" i="1"/>
  <c r="D527" i="1"/>
  <c r="D691" i="1"/>
  <c r="D638" i="1"/>
  <c r="D639" i="1"/>
  <c r="D612" i="1"/>
  <c r="D613" i="1"/>
  <c r="D501" i="1"/>
  <c r="D502" i="1"/>
  <c r="D459" i="1"/>
  <c r="D460" i="1"/>
  <c r="D476" i="1"/>
  <c r="D473" i="1"/>
  <c r="D475" i="1"/>
  <c r="J1052" i="6"/>
  <c r="G12" i="15"/>
  <c r="F1052" i="6"/>
  <c r="I1052" i="6"/>
  <c r="J1056" i="6"/>
  <c r="F1056" i="6"/>
  <c r="I1056" i="6"/>
  <c r="G8" i="15"/>
  <c r="F1044" i="6"/>
  <c r="D411" i="1"/>
  <c r="D407" i="1"/>
  <c r="D412" i="1"/>
  <c r="D410" i="1"/>
  <c r="D409" i="1"/>
  <c r="D408" i="1"/>
  <c r="P507" i="1"/>
  <c r="D464" i="1"/>
  <c r="D467" i="1"/>
  <c r="D466" i="1"/>
  <c r="D465" i="1"/>
  <c r="P506" i="1"/>
  <c r="D499" i="1"/>
  <c r="D631" i="1"/>
  <c r="D632" i="1"/>
  <c r="T437" i="1"/>
  <c r="P598" i="1"/>
  <c r="J1036" i="6"/>
  <c r="P401" i="1"/>
  <c r="T403" i="1"/>
  <c r="T488" i="1"/>
  <c r="P400" i="1"/>
  <c r="T399" i="1"/>
  <c r="I1036" i="6"/>
  <c r="F35" i="15"/>
  <c r="F1036" i="6"/>
  <c r="T541" i="1"/>
  <c r="T431" i="1"/>
  <c r="T443" i="1"/>
  <c r="T439" i="1"/>
  <c r="T310" i="1"/>
  <c r="T442" i="1"/>
  <c r="X431" i="1"/>
  <c r="T559" i="1"/>
  <c r="T457" i="1"/>
  <c r="T481" i="1"/>
  <c r="X310" i="1"/>
  <c r="X424" i="1"/>
  <c r="X457" i="1"/>
  <c r="T424" i="1"/>
  <c r="X488" i="1"/>
  <c r="X487" i="1"/>
  <c r="B487" i="1"/>
  <c r="X399" i="1"/>
  <c r="X481" i="1"/>
  <c r="X559" i="1"/>
  <c r="Y481" i="1"/>
  <c r="X541" i="1"/>
  <c r="T529" i="1"/>
  <c r="T444" i="1"/>
  <c r="T445" i="1"/>
  <c r="X371" i="1"/>
  <c r="X275" i="1"/>
  <c r="T275" i="1"/>
  <c r="X365" i="1"/>
  <c r="T497" i="1"/>
  <c r="T453" i="1"/>
  <c r="T361" i="1"/>
  <c r="X363" i="1"/>
  <c r="X358" i="1"/>
  <c r="B362" i="1"/>
  <c r="X362" i="1"/>
  <c r="X361" i="1"/>
  <c r="T363" i="1"/>
  <c r="X443" i="1"/>
  <c r="Y443" i="1"/>
  <c r="X442" i="1"/>
  <c r="X309" i="1"/>
  <c r="X439" i="1"/>
  <c r="X617" i="1"/>
  <c r="X372" i="1"/>
  <c r="X360" i="1"/>
  <c r="T456" i="1"/>
  <c r="X497" i="1"/>
  <c r="T617" i="1"/>
  <c r="X437" i="1"/>
  <c r="X337" i="1"/>
  <c r="T441" i="1"/>
  <c r="X529" i="1"/>
  <c r="T547" i="1"/>
  <c r="X445" i="1"/>
  <c r="X444" i="1"/>
  <c r="Y444" i="1"/>
  <c r="T418" i="1"/>
  <c r="X456" i="1"/>
  <c r="T561" i="1"/>
  <c r="X561" i="1"/>
  <c r="X366" i="1"/>
  <c r="X367" i="1"/>
  <c r="T367" i="1"/>
  <c r="T451" i="1"/>
  <c r="T540" i="1"/>
  <c r="X540" i="1"/>
  <c r="Y540" i="1"/>
  <c r="X453" i="1"/>
  <c r="X418" i="1"/>
  <c r="X451" i="1"/>
  <c r="X547" i="1"/>
  <c r="T416" i="1"/>
  <c r="T435" i="1"/>
  <c r="T452" i="1"/>
  <c r="X357" i="1"/>
  <c r="I1020" i="6"/>
  <c r="X355" i="1"/>
  <c r="T340" i="1"/>
  <c r="X416" i="1"/>
  <c r="X397" i="1"/>
  <c r="T397" i="1"/>
  <c r="X329" i="1"/>
  <c r="X452" i="1"/>
  <c r="Y452" i="1"/>
  <c r="X435" i="1"/>
  <c r="X352" i="1"/>
  <c r="X349" i="1"/>
  <c r="X351" i="1"/>
  <c r="T351" i="1"/>
  <c r="X350" i="1"/>
  <c r="X303" i="1"/>
  <c r="X305" i="1"/>
  <c r="X306" i="1"/>
  <c r="X307" i="1"/>
  <c r="X304" i="1"/>
  <c r="X308" i="1"/>
  <c r="D304" i="1"/>
  <c r="D308" i="1"/>
  <c r="D305" i="1"/>
  <c r="D303" i="1"/>
  <c r="D307" i="1"/>
  <c r="D306" i="1"/>
  <c r="X441" i="1"/>
  <c r="X340" i="1"/>
  <c r="T423" i="1"/>
  <c r="T528" i="1"/>
  <c r="T336" i="1"/>
  <c r="T525" i="1"/>
  <c r="T538" i="1"/>
  <c r="X528" i="1"/>
  <c r="Y528" i="1"/>
  <c r="X336" i="1"/>
  <c r="X538" i="1"/>
  <c r="T373" i="1"/>
  <c r="X373" i="1"/>
  <c r="T334" i="1"/>
  <c r="X423" i="1"/>
  <c r="X525" i="1"/>
  <c r="X280" i="1"/>
  <c r="X440" i="1"/>
  <c r="X302" i="1"/>
  <c r="T396" i="1"/>
  <c r="X334" i="1"/>
  <c r="X396" i="1"/>
  <c r="Y396" i="1"/>
  <c r="X312" i="1"/>
  <c r="T312" i="1"/>
  <c r="T369" i="1"/>
  <c r="T440" i="1"/>
  <c r="T368" i="1"/>
  <c r="X368" i="1"/>
  <c r="X369" i="1"/>
  <c r="T472" i="1"/>
  <c r="X346" i="1"/>
  <c r="T346" i="1"/>
  <c r="X405" i="1"/>
  <c r="T471" i="1"/>
  <c r="B405" i="1"/>
  <c r="X471" i="1"/>
  <c r="X472" i="1"/>
  <c r="X404" i="1"/>
  <c r="T404" i="1"/>
  <c r="X353" i="1"/>
  <c r="Y353" i="1"/>
  <c r="T354" i="1"/>
  <c r="X354" i="1"/>
  <c r="X301" i="1"/>
  <c r="X403" i="1"/>
  <c r="X321" i="1"/>
  <c r="Y321" i="1"/>
  <c r="J991" i="6"/>
  <c r="E20" i="16"/>
  <c r="E22" i="16"/>
  <c r="Q385" i="1" l="1"/>
  <c r="R385" i="1" s="1"/>
  <c r="D385" i="1" s="1"/>
  <c r="R544" i="1"/>
  <c r="D544" i="1" s="1"/>
  <c r="R460" i="1"/>
  <c r="R463" i="1"/>
  <c r="Q459" i="1"/>
  <c r="Q409" i="1"/>
  <c r="P301" i="1"/>
  <c r="Q301" i="1" s="1"/>
  <c r="P303" i="1"/>
  <c r="Q303" i="1" s="1"/>
  <c r="R600" i="1"/>
  <c r="P312" i="1"/>
  <c r="P371" i="1"/>
  <c r="P307" i="1"/>
  <c r="Q307" i="1" s="1"/>
  <c r="P350" i="1"/>
  <c r="Q350" i="1" s="1"/>
  <c r="P352" i="1"/>
  <c r="Q352" i="1" s="1"/>
  <c r="P329" i="1"/>
  <c r="P451" i="1"/>
  <c r="P445" i="1"/>
  <c r="P337" i="1"/>
  <c r="P439" i="1"/>
  <c r="P275" i="1"/>
  <c r="Q275" i="1" s="1"/>
  <c r="P310" i="1"/>
  <c r="Q310" i="1" s="1"/>
  <c r="P431" i="1"/>
  <c r="Q400" i="1"/>
  <c r="R467" i="1"/>
  <c r="Q470" i="1"/>
  <c r="Q558" i="1"/>
  <c r="Q631" i="1"/>
  <c r="Q636" i="1"/>
  <c r="Q530" i="1"/>
  <c r="R648" i="1"/>
  <c r="D756" i="1" s="1"/>
  <c r="Q432" i="1"/>
  <c r="Q378" i="1"/>
  <c r="Q518" i="1"/>
  <c r="Q786" i="1"/>
  <c r="R450" i="1"/>
  <c r="R494" i="1"/>
  <c r="R563" i="1"/>
  <c r="D652" i="1" s="1"/>
  <c r="R664" i="1"/>
  <c r="D664" i="1" s="1"/>
  <c r="R755" i="1"/>
  <c r="P346" i="1"/>
  <c r="P525" i="1"/>
  <c r="Q525" i="1" s="1"/>
  <c r="P435" i="1"/>
  <c r="P355" i="1"/>
  <c r="Q355" i="1" s="1"/>
  <c r="P418" i="1"/>
  <c r="Q418" i="1" s="1"/>
  <c r="P360" i="1"/>
  <c r="Q360" i="1" s="1"/>
  <c r="P358" i="1"/>
  <c r="R478" i="1"/>
  <c r="R638" i="1"/>
  <c r="R627" i="1"/>
  <c r="R615" i="1"/>
  <c r="R653" i="1"/>
  <c r="D757" i="1" s="1"/>
  <c r="R552" i="1"/>
  <c r="R687" i="1"/>
  <c r="R420" i="1"/>
  <c r="R642" i="1"/>
  <c r="D642" i="1" s="1"/>
  <c r="R473" i="1"/>
  <c r="R560" i="1"/>
  <c r="R651" i="1"/>
  <c r="R585" i="1"/>
  <c r="R475" i="1"/>
  <c r="R613" i="1"/>
  <c r="R701" i="1"/>
  <c r="R626" i="1"/>
  <c r="D626" i="1" s="1"/>
  <c r="R468" i="1"/>
  <c r="D468" i="1" s="1"/>
  <c r="Q410" i="1"/>
  <c r="R464" i="1"/>
  <c r="Q394" i="1"/>
  <c r="R458" i="1"/>
  <c r="R643" i="1"/>
  <c r="R718" i="1"/>
  <c r="R500" i="1"/>
  <c r="R462" i="1"/>
  <c r="D462" i="1" s="1"/>
  <c r="R504" i="1"/>
  <c r="D504" i="1" s="1"/>
  <c r="R665" i="1"/>
  <c r="D665" i="1" s="1"/>
  <c r="R702" i="1"/>
  <c r="R419" i="1"/>
  <c r="R646" i="1"/>
  <c r="D646" i="1" s="1"/>
  <c r="R719" i="1"/>
  <c r="D721" i="1" s="1"/>
  <c r="R436" i="1"/>
  <c r="Q485" i="1"/>
  <c r="R710" i="1"/>
  <c r="D877" i="1" s="1"/>
  <c r="Q407" i="1"/>
  <c r="R465" i="1"/>
  <c r="Q449" i="1"/>
  <c r="Q632" i="1"/>
  <c r="Q526" i="1"/>
  <c r="Q491" i="1"/>
  <c r="Q421" i="1"/>
  <c r="Q381" i="1"/>
  <c r="Q501" i="1"/>
  <c r="Q402" i="1"/>
  <c r="P354" i="1"/>
  <c r="Q354" i="1" s="1"/>
  <c r="P306" i="1"/>
  <c r="Q306" i="1" s="1"/>
  <c r="P437" i="1"/>
  <c r="Q437" i="1" s="1"/>
  <c r="P309" i="1"/>
  <c r="Q309" i="1" s="1"/>
  <c r="P541" i="1"/>
  <c r="P399" i="1"/>
  <c r="Q399" i="1" s="1"/>
  <c r="Q598" i="1"/>
  <c r="P403" i="1"/>
  <c r="P472" i="1"/>
  <c r="P405" i="1"/>
  <c r="P396" i="1"/>
  <c r="P440" i="1"/>
  <c r="P336" i="1"/>
  <c r="P340" i="1"/>
  <c r="P308" i="1"/>
  <c r="Q308" i="1" s="1"/>
  <c r="P305" i="1"/>
  <c r="Q305" i="1" s="1"/>
  <c r="P351" i="1"/>
  <c r="Q351" i="1" s="1"/>
  <c r="P397" i="1"/>
  <c r="P453" i="1"/>
  <c r="P561" i="1"/>
  <c r="P529" i="1"/>
  <c r="P372" i="1"/>
  <c r="Q372" i="1" s="1"/>
  <c r="P442" i="1"/>
  <c r="P361" i="1"/>
  <c r="P363" i="1"/>
  <c r="P365" i="1"/>
  <c r="Q365" i="1" s="1"/>
  <c r="Q506" i="1"/>
  <c r="Q417" i="1"/>
  <c r="Q395" i="1"/>
  <c r="R744" i="1"/>
  <c r="Q531" i="1"/>
  <c r="Q448" i="1"/>
  <c r="Q408" i="1"/>
  <c r="R466" i="1"/>
  <c r="Q490" i="1"/>
  <c r="Q359" i="1"/>
  <c r="Q612" i="1"/>
  <c r="Q499" i="1"/>
  <c r="Q629" i="1"/>
  <c r="R543" i="1"/>
  <c r="R489" i="1"/>
  <c r="D489" i="1" s="1"/>
  <c r="R294" i="1"/>
  <c r="R455" i="1"/>
  <c r="D455" i="1" s="1"/>
  <c r="R477" i="1"/>
  <c r="R1017" i="1"/>
  <c r="R438" i="1"/>
  <c r="R649" i="1"/>
  <c r="R482" i="1"/>
  <c r="D482" i="1" s="1"/>
  <c r="P321" i="1"/>
  <c r="P404" i="1"/>
  <c r="P302" i="1"/>
  <c r="Q302" i="1" s="1"/>
  <c r="P423" i="1"/>
  <c r="P538" i="1"/>
  <c r="P471" i="1"/>
  <c r="Q471" i="1" s="1"/>
  <c r="P334" i="1"/>
  <c r="P280" i="1"/>
  <c r="Q280" i="1" s="1"/>
  <c r="P373" i="1"/>
  <c r="P441" i="1"/>
  <c r="P304" i="1"/>
  <c r="Q304" i="1" s="1"/>
  <c r="P349" i="1"/>
  <c r="P452" i="1"/>
  <c r="P416" i="1"/>
  <c r="P357" i="1"/>
  <c r="Q357" i="1" s="1"/>
  <c r="P547" i="1"/>
  <c r="P497" i="1"/>
  <c r="Q497" i="1" s="1"/>
  <c r="P617" i="1"/>
  <c r="Q617" i="1" s="1"/>
  <c r="P362" i="1"/>
  <c r="P559" i="1"/>
  <c r="Q559" i="1" s="1"/>
  <c r="P487" i="1"/>
  <c r="P424" i="1"/>
  <c r="Q401" i="1"/>
  <c r="Q507" i="1"/>
  <c r="R520" i="1"/>
  <c r="R691" i="1"/>
  <c r="D747" i="1" s="1"/>
  <c r="R498" i="1"/>
  <c r="D498" i="1" s="1"/>
  <c r="R596" i="1"/>
  <c r="R875" i="1"/>
  <c r="J10" i="16" s="1"/>
  <c r="J17" i="16" s="1"/>
  <c r="R591" i="1"/>
  <c r="D591" i="1" s="1"/>
  <c r="R398" i="1"/>
  <c r="R639" i="1"/>
  <c r="R476" i="1"/>
  <c r="R484" i="1"/>
  <c r="R503" i="1"/>
  <c r="R548" i="1"/>
  <c r="R556" i="1"/>
  <c r="D614" i="1" s="1"/>
  <c r="R502" i="1"/>
  <c r="R545" i="1"/>
  <c r="R605" i="1"/>
  <c r="D605" i="1" s="1"/>
  <c r="R795" i="1"/>
  <c r="D594" i="1" s="1"/>
  <c r="R667" i="1"/>
  <c r="D667" i="1" s="1"/>
  <c r="Q412" i="1"/>
  <c r="Q517" i="1"/>
  <c r="R461" i="1"/>
  <c r="D461" i="1" s="1"/>
  <c r="R637" i="1"/>
  <c r="R607" i="1"/>
  <c r="D607" i="1" s="1"/>
  <c r="R650" i="1"/>
  <c r="R486" i="1"/>
  <c r="R493" i="1"/>
  <c r="D493" i="1" s="1"/>
  <c r="R516" i="1"/>
  <c r="R454" i="1"/>
  <c r="R644" i="1"/>
  <c r="D753" i="1" s="1"/>
  <c r="Q546" i="1"/>
  <c r="R474" i="1"/>
  <c r="D474" i="1" s="1"/>
  <c r="Q406" i="1"/>
  <c r="Q562" i="1"/>
  <c r="Q527" i="1"/>
  <c r="Q551" i="1"/>
  <c r="Q411" i="1"/>
  <c r="Q564" i="1"/>
  <c r="Q505" i="1"/>
  <c r="Q393" i="1"/>
  <c r="E13" i="16"/>
  <c r="E12" i="16"/>
  <c r="Q349" i="1"/>
  <c r="Q452" i="1"/>
  <c r="Q416" i="1"/>
  <c r="Q367" i="1"/>
  <c r="Q456" i="1"/>
  <c r="Q457" i="1"/>
  <c r="Q369" i="1"/>
  <c r="Q368" i="1"/>
  <c r="Q366" i="1"/>
  <c r="Q337" i="1"/>
  <c r="Q488" i="1"/>
  <c r="P481" i="1"/>
  <c r="P443" i="1"/>
  <c r="D362" i="1"/>
  <c r="D361" i="1"/>
  <c r="D363" i="1"/>
  <c r="P444" i="1"/>
  <c r="D366" i="1"/>
  <c r="D367" i="1"/>
  <c r="P540" i="1"/>
  <c r="D351" i="1"/>
  <c r="D352" i="1"/>
  <c r="D349" i="1"/>
  <c r="D350" i="1"/>
  <c r="D373" i="1"/>
  <c r="D340" i="1"/>
  <c r="P528" i="1"/>
  <c r="D369" i="1"/>
  <c r="D368" i="1"/>
  <c r="P353" i="1"/>
  <c r="A297" i="1"/>
  <c r="C297" i="1"/>
  <c r="B297" i="1" s="1"/>
  <c r="T297" i="1"/>
  <c r="Y297" i="1"/>
  <c r="V297" i="1"/>
  <c r="W297" i="1" s="1"/>
  <c r="M299" i="1"/>
  <c r="A29" i="104"/>
  <c r="B29" i="104"/>
  <c r="C29" i="104"/>
  <c r="A660" i="1"/>
  <c r="C660" i="1"/>
  <c r="B660" i="1" s="1"/>
  <c r="M660" i="1"/>
  <c r="O660" i="1"/>
  <c r="I15" i="16" s="1"/>
  <c r="Y660" i="1"/>
  <c r="V660" i="1"/>
  <c r="W660" i="1" s="1"/>
  <c r="A293" i="1"/>
  <c r="C293" i="1"/>
  <c r="B293" i="1" s="1"/>
  <c r="M293" i="1"/>
  <c r="O293" i="1"/>
  <c r="Y293" i="1"/>
  <c r="V293" i="1"/>
  <c r="W293" i="1" s="1"/>
  <c r="A426" i="1"/>
  <c r="C426" i="1"/>
  <c r="B426" i="1" s="1"/>
  <c r="Y426" i="1"/>
  <c r="V426" i="1"/>
  <c r="W426" i="1" s="1"/>
  <c r="A415" i="1"/>
  <c r="C415" i="1"/>
  <c r="B415" i="1" s="1"/>
  <c r="V415" i="1"/>
  <c r="W415" i="1" s="1"/>
  <c r="A380" i="1"/>
  <c r="C380" i="1"/>
  <c r="B380" i="1" s="1"/>
  <c r="Y380" i="1"/>
  <c r="V380" i="1"/>
  <c r="W380" i="1" s="1"/>
  <c r="A389" i="1"/>
  <c r="C389" i="1"/>
  <c r="B389" i="1" s="1"/>
  <c r="Y389" i="1"/>
  <c r="V389" i="1"/>
  <c r="W389" i="1" s="1"/>
  <c r="A374" i="1"/>
  <c r="C374" i="1"/>
  <c r="B374" i="1" s="1"/>
  <c r="Y374" i="1"/>
  <c r="V374" i="1"/>
  <c r="W374" i="1" s="1"/>
  <c r="A391" i="1"/>
  <c r="C391" i="1"/>
  <c r="B391" i="1" s="1"/>
  <c r="M391" i="1"/>
  <c r="V391" i="1"/>
  <c r="W391" i="1" s="1"/>
  <c r="A549" i="1"/>
  <c r="C549" i="1"/>
  <c r="B549" i="1" s="1"/>
  <c r="Y549" i="1"/>
  <c r="V549" i="1"/>
  <c r="W549" i="1" s="1"/>
  <c r="A550" i="1"/>
  <c r="C550" i="1"/>
  <c r="B550" i="1" s="1"/>
  <c r="Y550" i="1"/>
  <c r="V550" i="1"/>
  <c r="W550" i="1" s="1"/>
  <c r="A446" i="1"/>
  <c r="T446" i="1"/>
  <c r="V446" i="1"/>
  <c r="W446" i="1" s="1"/>
  <c r="A447" i="1"/>
  <c r="B447" i="1"/>
  <c r="T447" i="1"/>
  <c r="Y447" i="1"/>
  <c r="V447" i="1"/>
  <c r="W447" i="1" s="1"/>
  <c r="A332" i="1"/>
  <c r="C332" i="1"/>
  <c r="B332" i="1" s="1"/>
  <c r="M332" i="1"/>
  <c r="O332" i="1"/>
  <c r="Y332" i="1"/>
  <c r="V332" i="1"/>
  <c r="W332" i="1" s="1"/>
  <c r="A284" i="1"/>
  <c r="C284" i="1"/>
  <c r="B284" i="1" s="1"/>
  <c r="M284" i="1"/>
  <c r="O284" i="1"/>
  <c r="T284" i="1"/>
  <c r="Y284" i="1"/>
  <c r="V284" i="1"/>
  <c r="W284" i="1" s="1"/>
  <c r="A279" i="1"/>
  <c r="C279" i="1"/>
  <c r="B279" i="1" s="1"/>
  <c r="M279" i="1"/>
  <c r="T279" i="1"/>
  <c r="Y279" i="1"/>
  <c r="V279" i="1"/>
  <c r="W279" i="1" s="1"/>
  <c r="A387" i="1"/>
  <c r="C387" i="1"/>
  <c r="B387" i="1" s="1"/>
  <c r="M387" i="1"/>
  <c r="O387" i="1"/>
  <c r="V387" i="1"/>
  <c r="W387" i="1" s="1"/>
  <c r="A386" i="1"/>
  <c r="C386" i="1"/>
  <c r="B386" i="1" s="1"/>
  <c r="M386" i="1"/>
  <c r="O386" i="1"/>
  <c r="V386" i="1"/>
  <c r="W386" i="1" s="1"/>
  <c r="A345" i="1"/>
  <c r="C345" i="1"/>
  <c r="B345" i="1" s="1"/>
  <c r="M345" i="1"/>
  <c r="O345" i="1"/>
  <c r="Y345" i="1"/>
  <c r="V345" i="1"/>
  <c r="W345" i="1" s="1"/>
  <c r="A287" i="1"/>
  <c r="C287" i="1"/>
  <c r="B287" i="1" s="1"/>
  <c r="V287" i="1"/>
  <c r="W287" i="1" s="1"/>
  <c r="F1005" i="6"/>
  <c r="I1005" i="6"/>
  <c r="J1005" i="6"/>
  <c r="A376" i="1"/>
  <c r="C376" i="1"/>
  <c r="B376" i="1" s="1"/>
  <c r="M376" i="1"/>
  <c r="O376" i="1"/>
  <c r="Y376" i="1"/>
  <c r="V376" i="1"/>
  <c r="W376" i="1" s="1"/>
  <c r="A377" i="1"/>
  <c r="C377" i="1"/>
  <c r="B377" i="1" s="1"/>
  <c r="M377" i="1"/>
  <c r="O377" i="1"/>
  <c r="V377" i="1"/>
  <c r="W377" i="1" s="1"/>
  <c r="A375" i="1"/>
  <c r="C375" i="1"/>
  <c r="B375" i="1" s="1"/>
  <c r="M375" i="1"/>
  <c r="O375" i="1"/>
  <c r="V375" i="1"/>
  <c r="W375" i="1" s="1"/>
  <c r="F853" i="6"/>
  <c r="F855" i="6"/>
  <c r="F857" i="6"/>
  <c r="F859" i="6"/>
  <c r="F861" i="6"/>
  <c r="F863" i="6"/>
  <c r="F865" i="6"/>
  <c r="F869" i="6"/>
  <c r="I853" i="6"/>
  <c r="I855" i="6"/>
  <c r="I857" i="6"/>
  <c r="I859" i="6"/>
  <c r="I861" i="6"/>
  <c r="I863" i="6"/>
  <c r="I865" i="6"/>
  <c r="I869" i="6"/>
  <c r="J853" i="6"/>
  <c r="J855" i="6"/>
  <c r="J857" i="6"/>
  <c r="J859" i="6"/>
  <c r="J861" i="6"/>
  <c r="J863" i="6"/>
  <c r="J865" i="6"/>
  <c r="J869" i="6"/>
  <c r="R459" i="1" l="1"/>
  <c r="Q445" i="1"/>
  <c r="Q358" i="1"/>
  <c r="Q346" i="1"/>
  <c r="Q371" i="1"/>
  <c r="R371" i="1" s="1"/>
  <c r="D371" i="1" s="1"/>
  <c r="Q312" i="1"/>
  <c r="Q439" i="1"/>
  <c r="Q435" i="1"/>
  <c r="R435" i="1" s="1"/>
  <c r="Q453" i="1"/>
  <c r="Q451" i="1"/>
  <c r="R451" i="1" s="1"/>
  <c r="R409" i="1"/>
  <c r="Q373" i="1"/>
  <c r="Q423" i="1"/>
  <c r="R423" i="1" s="1"/>
  <c r="Q403" i="1"/>
  <c r="Q361" i="1"/>
  <c r="Q329" i="1"/>
  <c r="Q541" i="1"/>
  <c r="R541" i="1" s="1"/>
  <c r="Q487" i="1"/>
  <c r="Q561" i="1"/>
  <c r="R561" i="1" s="1"/>
  <c r="D720" i="1" s="1"/>
  <c r="Q440" i="1"/>
  <c r="Q363" i="1"/>
  <c r="Q396" i="1"/>
  <c r="R396" i="1" s="1"/>
  <c r="D396" i="1" s="1"/>
  <c r="Q397" i="1"/>
  <c r="Q340" i="1"/>
  <c r="Q472" i="1"/>
  <c r="R472" i="1" s="1"/>
  <c r="Q529" i="1"/>
  <c r="R529" i="1" s="1"/>
  <c r="Q334" i="1"/>
  <c r="Q336" i="1"/>
  <c r="Q405" i="1"/>
  <c r="Q442" i="1"/>
  <c r="R442" i="1" s="1"/>
  <c r="Q547" i="1"/>
  <c r="Q424" i="1"/>
  <c r="Q362" i="1"/>
  <c r="J9" i="16"/>
  <c r="R275" i="1"/>
  <c r="R368" i="1"/>
  <c r="R303" i="1"/>
  <c r="R366" i="1"/>
  <c r="R305" i="1"/>
  <c r="R280" i="1"/>
  <c r="D280" i="1" s="1"/>
  <c r="R301" i="1"/>
  <c r="D301" i="1" s="1"/>
  <c r="R456" i="1"/>
  <c r="R352" i="1"/>
  <c r="R399" i="1"/>
  <c r="D399" i="1" s="1"/>
  <c r="R309" i="1"/>
  <c r="D309" i="1" s="1"/>
  <c r="R357" i="1"/>
  <c r="R312" i="1"/>
  <c r="D312" i="1" s="1"/>
  <c r="M5" i="16"/>
  <c r="K10" i="16"/>
  <c r="L10" i="16"/>
  <c r="R394" i="1"/>
  <c r="D628" i="1" s="1"/>
  <c r="R410" i="1"/>
  <c r="R412" i="1"/>
  <c r="R401" i="1"/>
  <c r="Q538" i="1"/>
  <c r="Q321" i="1"/>
  <c r="R629" i="1"/>
  <c r="D629" i="1" s="1"/>
  <c r="R612" i="1"/>
  <c r="R490" i="1"/>
  <c r="D490" i="1" s="1"/>
  <c r="R408" i="1"/>
  <c r="R531" i="1"/>
  <c r="R395" i="1"/>
  <c r="R506" i="1"/>
  <c r="D506" i="1" s="1"/>
  <c r="R598" i="1"/>
  <c r="D598" i="1" s="1"/>
  <c r="R501" i="1"/>
  <c r="R421" i="1"/>
  <c r="R526" i="1"/>
  <c r="R449" i="1"/>
  <c r="R407" i="1"/>
  <c r="R518" i="1"/>
  <c r="R530" i="1"/>
  <c r="R631" i="1"/>
  <c r="R470" i="1"/>
  <c r="D470" i="1" s="1"/>
  <c r="R400" i="1"/>
  <c r="D400" i="1" s="1"/>
  <c r="R439" i="1"/>
  <c r="D439" i="1" s="1"/>
  <c r="R453" i="1"/>
  <c r="R617" i="1"/>
  <c r="D617" i="1" s="1"/>
  <c r="R418" i="1"/>
  <c r="D491" i="1" s="1"/>
  <c r="R304" i="1"/>
  <c r="R334" i="1"/>
  <c r="R340" i="1"/>
  <c r="R369" i="1"/>
  <c r="R307" i="1"/>
  <c r="R361" i="1"/>
  <c r="R367" i="1"/>
  <c r="R350" i="1"/>
  <c r="R372" i="1"/>
  <c r="D372" i="1" s="1"/>
  <c r="R416" i="1"/>
  <c r="D416" i="1" s="1"/>
  <c r="R302" i="1"/>
  <c r="D302" i="1" s="1"/>
  <c r="R346" i="1"/>
  <c r="D346" i="1" s="1"/>
  <c r="R393" i="1"/>
  <c r="D393" i="1" s="1"/>
  <c r="R564" i="1"/>
  <c r="D700" i="1" s="1"/>
  <c r="R551" i="1"/>
  <c r="R562" i="1"/>
  <c r="D562" i="1" s="1"/>
  <c r="R546" i="1"/>
  <c r="D674" i="1" s="1"/>
  <c r="R310" i="1"/>
  <c r="D310" i="1" s="1"/>
  <c r="R360" i="1"/>
  <c r="D360" i="1" s="1"/>
  <c r="R337" i="1"/>
  <c r="R355" i="1"/>
  <c r="D355" i="1" s="1"/>
  <c r="Q441" i="1"/>
  <c r="R336" i="1"/>
  <c r="R405" i="1"/>
  <c r="D405" i="1" s="1"/>
  <c r="R457" i="1"/>
  <c r="R306" i="1"/>
  <c r="R452" i="1"/>
  <c r="Q404" i="1"/>
  <c r="R354" i="1"/>
  <c r="R485" i="1"/>
  <c r="D485" i="1" s="1"/>
  <c r="R488" i="1"/>
  <c r="D595" i="1" s="1"/>
  <c r="R437" i="1"/>
  <c r="R351" i="1"/>
  <c r="R559" i="1"/>
  <c r="R445" i="1"/>
  <c r="R373" i="1"/>
  <c r="R471" i="1"/>
  <c r="R440" i="1"/>
  <c r="R365" i="1"/>
  <c r="D365" i="1" s="1"/>
  <c r="R497" i="1"/>
  <c r="D556" i="1" s="1"/>
  <c r="R329" i="1"/>
  <c r="D329" i="1" s="1"/>
  <c r="R308" i="1"/>
  <c r="R358" i="1"/>
  <c r="D358" i="1" s="1"/>
  <c r="R547" i="1"/>
  <c r="R349" i="1"/>
  <c r="R525" i="1"/>
  <c r="R505" i="1"/>
  <c r="D505" i="1" s="1"/>
  <c r="R411" i="1"/>
  <c r="R527" i="1"/>
  <c r="R406" i="1"/>
  <c r="R517" i="1"/>
  <c r="R507" i="1"/>
  <c r="D507" i="1" s="1"/>
  <c r="R499" i="1"/>
  <c r="D500" i="1" s="1"/>
  <c r="R359" i="1"/>
  <c r="D359" i="1" s="1"/>
  <c r="R448" i="1"/>
  <c r="D744" i="1"/>
  <c r="R417" i="1"/>
  <c r="D417" i="1" s="1"/>
  <c r="R402" i="1"/>
  <c r="R381" i="1"/>
  <c r="R491" i="1"/>
  <c r="D563" i="1" s="1"/>
  <c r="R632" i="1"/>
  <c r="R786" i="1"/>
  <c r="J5" i="16" s="1"/>
  <c r="R378" i="1"/>
  <c r="D378" i="1" s="1"/>
  <c r="R636" i="1"/>
  <c r="D636" i="1" s="1"/>
  <c r="R558" i="1"/>
  <c r="D558" i="1" s="1"/>
  <c r="Q431" i="1"/>
  <c r="K5" i="16"/>
  <c r="D424" i="1"/>
  <c r="R424" i="1"/>
  <c r="D397" i="1"/>
  <c r="R397" i="1"/>
  <c r="D711" i="1"/>
  <c r="D710" i="1"/>
  <c r="D718" i="1"/>
  <c r="D719" i="1"/>
  <c r="D543" i="1"/>
  <c r="D564" i="1"/>
  <c r="D547" i="1"/>
  <c r="D600" i="1"/>
  <c r="D546" i="1"/>
  <c r="D525" i="1"/>
  <c r="D403" i="1"/>
  <c r="D401" i="1"/>
  <c r="D497" i="1"/>
  <c r="D437" i="1"/>
  <c r="D456" i="1"/>
  <c r="D457" i="1"/>
  <c r="D488" i="1"/>
  <c r="Q444" i="1"/>
  <c r="Q443" i="1"/>
  <c r="Q528" i="1"/>
  <c r="Q481" i="1"/>
  <c r="Q540" i="1"/>
  <c r="Q353" i="1"/>
  <c r="D357" i="1"/>
  <c r="X297" i="1"/>
  <c r="T660" i="1"/>
  <c r="T293" i="1"/>
  <c r="X660" i="1"/>
  <c r="X293" i="1"/>
  <c r="T426" i="1"/>
  <c r="X426" i="1"/>
  <c r="T391" i="1"/>
  <c r="T389" i="1"/>
  <c r="T415" i="1"/>
  <c r="T549" i="1"/>
  <c r="T374" i="1"/>
  <c r="T380" i="1"/>
  <c r="X415" i="1"/>
  <c r="X380" i="1"/>
  <c r="Y415" i="1"/>
  <c r="X374" i="1"/>
  <c r="X389" i="1"/>
  <c r="X391" i="1"/>
  <c r="Y391" i="1"/>
  <c r="X549" i="1"/>
  <c r="T332" i="1"/>
  <c r="T550" i="1"/>
  <c r="X550" i="1"/>
  <c r="X446" i="1"/>
  <c r="Y446" i="1"/>
  <c r="X447" i="1"/>
  <c r="B446" i="1"/>
  <c r="X332" i="1"/>
  <c r="T387" i="1"/>
  <c r="X284" i="1"/>
  <c r="X279" i="1"/>
  <c r="T376" i="1"/>
  <c r="X387" i="1"/>
  <c r="Y387" i="1"/>
  <c r="T386" i="1"/>
  <c r="X386" i="1"/>
  <c r="Y386" i="1"/>
  <c r="T287" i="1"/>
  <c r="T345" i="1"/>
  <c r="X345" i="1"/>
  <c r="X287" i="1"/>
  <c r="Y287" i="1"/>
  <c r="X376" i="1"/>
  <c r="X377" i="1"/>
  <c r="Y377" i="1"/>
  <c r="T375" i="1"/>
  <c r="T377" i="1"/>
  <c r="X375" i="1"/>
  <c r="Y375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5" i="6"/>
  <c r="F276" i="6"/>
  <c r="F277" i="6"/>
  <c r="F278" i="6"/>
  <c r="F279" i="6"/>
  <c r="F273" i="6"/>
  <c r="F274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300" i="6"/>
  <c r="F301" i="6"/>
  <c r="F302" i="6"/>
  <c r="F303" i="6"/>
  <c r="F304" i="6"/>
  <c r="F305" i="6"/>
  <c r="F306" i="6"/>
  <c r="F307" i="6"/>
  <c r="F308" i="6"/>
  <c r="F298" i="6"/>
  <c r="F299" i="6"/>
  <c r="F309" i="6"/>
  <c r="F310" i="6"/>
  <c r="F311" i="6"/>
  <c r="F312" i="6"/>
  <c r="F313" i="6"/>
  <c r="F314" i="6"/>
  <c r="F315" i="6"/>
  <c r="F316" i="6"/>
  <c r="F317" i="6"/>
  <c r="F318" i="6"/>
  <c r="F322" i="6"/>
  <c r="F323" i="6"/>
  <c r="F324" i="6"/>
  <c r="F325" i="6"/>
  <c r="F326" i="6"/>
  <c r="F320" i="6"/>
  <c r="F321" i="6"/>
  <c r="F319" i="6"/>
  <c r="F328" i="6"/>
  <c r="F327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6" i="6"/>
  <c r="F357" i="6"/>
  <c r="F358" i="6"/>
  <c r="F359" i="6"/>
  <c r="F360" i="6"/>
  <c r="F361" i="6"/>
  <c r="F362" i="6"/>
  <c r="F363" i="6"/>
  <c r="F354" i="6"/>
  <c r="F355" i="6"/>
  <c r="F352" i="6"/>
  <c r="F353" i="6"/>
  <c r="F364" i="6"/>
  <c r="F365" i="6"/>
  <c r="F366" i="6"/>
  <c r="F367" i="6"/>
  <c r="F752" i="6"/>
  <c r="F368" i="6"/>
  <c r="F369" i="6"/>
  <c r="F370" i="6"/>
  <c r="F371" i="6"/>
  <c r="F372" i="6"/>
  <c r="F373" i="6"/>
  <c r="F374" i="6"/>
  <c r="F375" i="6"/>
  <c r="F376" i="6"/>
  <c r="F381" i="6"/>
  <c r="F382" i="6"/>
  <c r="F383" i="6"/>
  <c r="F384" i="6"/>
  <c r="F379" i="6"/>
  <c r="F380" i="6"/>
  <c r="F377" i="6"/>
  <c r="F378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5" i="6"/>
  <c r="F406" i="6"/>
  <c r="F407" i="6"/>
  <c r="F403" i="6"/>
  <c r="F404" i="6"/>
  <c r="F401" i="6"/>
  <c r="F402" i="6"/>
  <c r="F408" i="6"/>
  <c r="F409" i="6"/>
  <c r="F410" i="6"/>
  <c r="F411" i="6"/>
  <c r="F412" i="6"/>
  <c r="F417" i="6"/>
  <c r="F418" i="6"/>
  <c r="F419" i="6"/>
  <c r="F420" i="6"/>
  <c r="F421" i="6"/>
  <c r="F422" i="6"/>
  <c r="F415" i="6"/>
  <c r="F416" i="6"/>
  <c r="F413" i="6"/>
  <c r="F414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41" i="6"/>
  <c r="F442" i="6"/>
  <c r="F443" i="6"/>
  <c r="F444" i="6"/>
  <c r="F445" i="6"/>
  <c r="F440" i="6"/>
  <c r="F438" i="6"/>
  <c r="F439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63" i="6"/>
  <c r="F464" i="6"/>
  <c r="F465" i="6"/>
  <c r="F466" i="6"/>
  <c r="F467" i="6"/>
  <c r="F468" i="6"/>
  <c r="F461" i="6"/>
  <c r="F462" i="6"/>
  <c r="F459" i="6"/>
  <c r="F460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6" i="6"/>
  <c r="F497" i="6"/>
  <c r="F498" i="6"/>
  <c r="F499" i="6"/>
  <c r="F494" i="6"/>
  <c r="F495" i="6"/>
  <c r="F492" i="6"/>
  <c r="F493" i="6"/>
  <c r="F500" i="6"/>
  <c r="F501" i="6"/>
  <c r="F502" i="6"/>
  <c r="F503" i="6"/>
  <c r="F509" i="6"/>
  <c r="F510" i="6"/>
  <c r="F511" i="6"/>
  <c r="F512" i="6"/>
  <c r="F513" i="6"/>
  <c r="F514" i="6"/>
  <c r="F507" i="6"/>
  <c r="F508" i="6"/>
  <c r="F505" i="6"/>
  <c r="F506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30" i="6"/>
  <c r="F531" i="6"/>
  <c r="F536" i="6"/>
  <c r="F537" i="6"/>
  <c r="F538" i="6"/>
  <c r="F539" i="6"/>
  <c r="F534" i="6"/>
  <c r="F535" i="6"/>
  <c r="F532" i="6"/>
  <c r="F533" i="6"/>
  <c r="F540" i="6"/>
  <c r="F541" i="6"/>
  <c r="F542" i="6"/>
  <c r="F543" i="6"/>
  <c r="F548" i="6"/>
  <c r="F549" i="6"/>
  <c r="F550" i="6"/>
  <c r="F551" i="6"/>
  <c r="F552" i="6"/>
  <c r="F553" i="6"/>
  <c r="F546" i="6"/>
  <c r="F547" i="6"/>
  <c r="F544" i="6"/>
  <c r="F545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8" i="6"/>
  <c r="F573" i="6"/>
  <c r="F574" i="6"/>
  <c r="F575" i="6"/>
  <c r="F576" i="6"/>
  <c r="F577" i="6"/>
  <c r="F571" i="6"/>
  <c r="F572" i="6"/>
  <c r="F569" i="6"/>
  <c r="F570" i="6"/>
  <c r="F578" i="6"/>
  <c r="F579" i="6"/>
  <c r="F581" i="6"/>
  <c r="F582" i="6"/>
  <c r="F583" i="6"/>
  <c r="F580" i="6"/>
  <c r="F584" i="6"/>
  <c r="F585" i="6"/>
  <c r="F586" i="6"/>
  <c r="F587" i="6"/>
  <c r="F588" i="6"/>
  <c r="F589" i="6"/>
  <c r="F590" i="6"/>
  <c r="F591" i="6"/>
  <c r="F593" i="6"/>
  <c r="F598" i="6"/>
  <c r="F599" i="6"/>
  <c r="F600" i="6"/>
  <c r="F596" i="6"/>
  <c r="F597" i="6"/>
  <c r="F594" i="6"/>
  <c r="F595" i="6"/>
  <c r="F601" i="6"/>
  <c r="F602" i="6"/>
  <c r="F603" i="6"/>
  <c r="F604" i="6"/>
  <c r="F605" i="6"/>
  <c r="F606" i="6"/>
  <c r="F607" i="6"/>
  <c r="F613" i="6"/>
  <c r="F614" i="6"/>
  <c r="F615" i="6"/>
  <c r="F616" i="6"/>
  <c r="F617" i="6"/>
  <c r="F618" i="6"/>
  <c r="F619" i="6"/>
  <c r="F620" i="6"/>
  <c r="F608" i="6"/>
  <c r="F611" i="6"/>
  <c r="F612" i="6"/>
  <c r="F609" i="6"/>
  <c r="F61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5" i="6"/>
  <c r="F636" i="6"/>
  <c r="F637" i="6"/>
  <c r="F638" i="6"/>
  <c r="F639" i="6"/>
  <c r="F640" i="6"/>
  <c r="F641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3" i="6"/>
  <c r="F664" i="6"/>
  <c r="F665" i="6"/>
  <c r="F666" i="6"/>
  <c r="F667" i="6"/>
  <c r="F668" i="6"/>
  <c r="F670" i="6"/>
  <c r="F671" i="6"/>
  <c r="F672" i="6"/>
  <c r="F673" i="6"/>
  <c r="F674" i="6"/>
  <c r="F680" i="6"/>
  <c r="F675" i="6"/>
  <c r="F678" i="6"/>
  <c r="F679" i="6"/>
  <c r="F676" i="6"/>
  <c r="F677" i="6"/>
  <c r="F681" i="6"/>
  <c r="F683" i="6"/>
  <c r="F684" i="6"/>
  <c r="F690" i="6"/>
  <c r="F685" i="6"/>
  <c r="F688" i="6"/>
  <c r="F689" i="6"/>
  <c r="F686" i="6"/>
  <c r="F687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6" i="6"/>
  <c r="F707" i="6"/>
  <c r="F713" i="6"/>
  <c r="F714" i="6"/>
  <c r="F708" i="6"/>
  <c r="F711" i="6"/>
  <c r="F712" i="6"/>
  <c r="F709" i="6"/>
  <c r="F710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3" i="6"/>
  <c r="F734" i="6"/>
  <c r="F740" i="6"/>
  <c r="F741" i="6"/>
  <c r="F735" i="6"/>
  <c r="F738" i="6"/>
  <c r="F739" i="6"/>
  <c r="F736" i="6"/>
  <c r="F737" i="6"/>
  <c r="F743" i="6"/>
  <c r="F744" i="6"/>
  <c r="F746" i="6"/>
  <c r="F747" i="6"/>
  <c r="F748" i="6"/>
  <c r="F749" i="6"/>
  <c r="F750" i="6"/>
  <c r="F753" i="6"/>
  <c r="F754" i="6"/>
  <c r="F755" i="6"/>
  <c r="F756" i="6"/>
  <c r="F757" i="6"/>
  <c r="F758" i="6"/>
  <c r="F759" i="6"/>
  <c r="F761" i="6"/>
  <c r="F762" i="6"/>
  <c r="F763" i="6"/>
  <c r="F764" i="6"/>
  <c r="F765" i="6"/>
  <c r="F766" i="6"/>
  <c r="F767" i="6"/>
  <c r="F768" i="6"/>
  <c r="F769" i="6"/>
  <c r="F770" i="6"/>
  <c r="F776" i="6"/>
  <c r="F771" i="6"/>
  <c r="F774" i="6"/>
  <c r="F775" i="6"/>
  <c r="F772" i="6"/>
  <c r="F773" i="6"/>
  <c r="F777" i="6"/>
  <c r="F778" i="6"/>
  <c r="F779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7" i="6"/>
  <c r="F798" i="6"/>
  <c r="F799" i="6"/>
  <c r="F800" i="6"/>
  <c r="F801" i="6"/>
  <c r="F807" i="6"/>
  <c r="F802" i="6"/>
  <c r="F805" i="6"/>
  <c r="F806" i="6"/>
  <c r="F803" i="6"/>
  <c r="F804" i="6"/>
  <c r="F808" i="6"/>
  <c r="F809" i="6"/>
  <c r="F810" i="6"/>
  <c r="F811" i="6"/>
  <c r="F813" i="6"/>
  <c r="F814" i="6"/>
  <c r="F815" i="6"/>
  <c r="F816" i="6"/>
  <c r="F817" i="6"/>
  <c r="F818" i="6"/>
  <c r="F819" i="6"/>
  <c r="F820" i="6"/>
  <c r="F821" i="6"/>
  <c r="F825" i="6"/>
  <c r="F826" i="6"/>
  <c r="F827" i="6"/>
  <c r="F828" i="6"/>
  <c r="F829" i="6"/>
  <c r="F830" i="6"/>
  <c r="F831" i="6"/>
  <c r="F833" i="6"/>
  <c r="F840" i="6"/>
  <c r="F841" i="6"/>
  <c r="F834" i="6"/>
  <c r="F838" i="6"/>
  <c r="F839" i="6"/>
  <c r="F835" i="6"/>
  <c r="F837" i="6"/>
  <c r="F836" i="6"/>
  <c r="F842" i="6"/>
  <c r="F843" i="6"/>
  <c r="F844" i="6"/>
  <c r="F845" i="6"/>
  <c r="F846" i="6"/>
  <c r="F847" i="6"/>
  <c r="F848" i="6"/>
  <c r="F850" i="6"/>
  <c r="F851" i="6"/>
  <c r="F852" i="6"/>
  <c r="F867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5" i="6"/>
  <c r="F886" i="6"/>
  <c r="F887" i="6"/>
  <c r="F894" i="6"/>
  <c r="F895" i="6"/>
  <c r="F888" i="6"/>
  <c r="F892" i="6"/>
  <c r="F893" i="6"/>
  <c r="F889" i="6"/>
  <c r="F891" i="6"/>
  <c r="F890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9" i="6"/>
  <c r="F920" i="6"/>
  <c r="F921" i="6"/>
  <c r="F922" i="6"/>
  <c r="F923" i="6"/>
  <c r="F924" i="6"/>
  <c r="F931" i="6"/>
  <c r="F932" i="6"/>
  <c r="F925" i="6"/>
  <c r="F929" i="6"/>
  <c r="F930" i="6"/>
  <c r="F926" i="6"/>
  <c r="F928" i="6"/>
  <c r="F927" i="6"/>
  <c r="F933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34" i="6"/>
  <c r="F935" i="6"/>
  <c r="F972" i="6"/>
  <c r="F948" i="6"/>
  <c r="F983" i="6"/>
  <c r="F973" i="6"/>
  <c r="F968" i="6"/>
  <c r="F970" i="6"/>
  <c r="F977" i="6"/>
  <c r="F982" i="6"/>
  <c r="F962" i="6"/>
  <c r="F978" i="6"/>
  <c r="F954" i="6"/>
  <c r="F961" i="6"/>
  <c r="F963" i="6"/>
  <c r="F960" i="6"/>
  <c r="F979" i="6"/>
  <c r="F980" i="6"/>
  <c r="F967" i="6"/>
  <c r="F976" i="6"/>
  <c r="F949" i="6"/>
  <c r="F958" i="6"/>
  <c r="F957" i="6"/>
  <c r="F964" i="6"/>
  <c r="F981" i="6"/>
  <c r="F950" i="6"/>
  <c r="F965" i="6"/>
  <c r="F966" i="6"/>
  <c r="F975" i="6"/>
  <c r="F971" i="6"/>
  <c r="F986" i="6"/>
  <c r="F987" i="6"/>
  <c r="F988" i="6"/>
  <c r="F989" i="6"/>
  <c r="F990" i="6"/>
  <c r="F993" i="6"/>
  <c r="F994" i="6"/>
  <c r="F951" i="6"/>
  <c r="F952" i="6"/>
  <c r="F953" i="6"/>
  <c r="F956" i="6"/>
  <c r="F959" i="6"/>
  <c r="F969" i="6"/>
  <c r="F974" i="6"/>
  <c r="F996" i="6"/>
  <c r="F997" i="6"/>
  <c r="F998" i="6"/>
  <c r="F999" i="6"/>
  <c r="F1000" i="6"/>
  <c r="F1001" i="6"/>
  <c r="F1002" i="6"/>
  <c r="F1003" i="6"/>
  <c r="F1004" i="6"/>
  <c r="F2" i="6"/>
  <c r="R363" i="1" l="1"/>
  <c r="R362" i="1"/>
  <c r="R487" i="1"/>
  <c r="D487" i="1" s="1"/>
  <c r="R403" i="1"/>
  <c r="D402" i="1" s="1"/>
  <c r="P549" i="1"/>
  <c r="P376" i="1"/>
  <c r="P550" i="1"/>
  <c r="I10" i="16"/>
  <c r="I17" i="16" s="1"/>
  <c r="R441" i="1"/>
  <c r="R538" i="1"/>
  <c r="K9" i="16"/>
  <c r="K17" i="16"/>
  <c r="P279" i="1"/>
  <c r="Q279" i="1" s="1"/>
  <c r="P660" i="1"/>
  <c r="R404" i="1"/>
  <c r="D404" i="1" s="1"/>
  <c r="P284" i="1"/>
  <c r="P447" i="1"/>
  <c r="Q447" i="1" s="1"/>
  <c r="P391" i="1"/>
  <c r="P380" i="1"/>
  <c r="P426" i="1"/>
  <c r="R353" i="1"/>
  <c r="D353" i="1" s="1"/>
  <c r="R443" i="1"/>
  <c r="P389" i="1"/>
  <c r="R540" i="1"/>
  <c r="D645" i="1" s="1"/>
  <c r="R444" i="1"/>
  <c r="D530" i="1" s="1"/>
  <c r="P345" i="1"/>
  <c r="P332" i="1"/>
  <c r="P374" i="1"/>
  <c r="Q374" i="1" s="1"/>
  <c r="P293" i="1"/>
  <c r="Q293" i="1" s="1"/>
  <c r="P297" i="1"/>
  <c r="R481" i="1"/>
  <c r="D548" i="1" s="1"/>
  <c r="R528" i="1"/>
  <c r="D294" i="1" s="1"/>
  <c r="L17" i="16"/>
  <c r="L9" i="16"/>
  <c r="D643" i="1"/>
  <c r="D644" i="1"/>
  <c r="D526" i="1"/>
  <c r="D545" i="1"/>
  <c r="D560" i="1"/>
  <c r="D531" i="1"/>
  <c r="D441" i="1"/>
  <c r="D443" i="1"/>
  <c r="D440" i="1"/>
  <c r="D442" i="1"/>
  <c r="Q389" i="1"/>
  <c r="Q376" i="1"/>
  <c r="Q550" i="1"/>
  <c r="Q284" i="1"/>
  <c r="D380" i="1"/>
  <c r="D481" i="1"/>
  <c r="P415" i="1"/>
  <c r="P446" i="1"/>
  <c r="P387" i="1"/>
  <c r="P386" i="1"/>
  <c r="P287" i="1"/>
  <c r="P377" i="1"/>
  <c r="P375" i="1"/>
  <c r="I996" i="6"/>
  <c r="I997" i="6"/>
  <c r="I998" i="6"/>
  <c r="I999" i="6"/>
  <c r="I1000" i="6"/>
  <c r="I1001" i="6"/>
  <c r="I1002" i="6"/>
  <c r="I1003" i="6"/>
  <c r="I1004" i="6"/>
  <c r="J996" i="6"/>
  <c r="J997" i="6"/>
  <c r="J998" i="6"/>
  <c r="J999" i="6"/>
  <c r="J1000" i="6"/>
  <c r="J1001" i="6"/>
  <c r="J1002" i="6"/>
  <c r="J1003" i="6"/>
  <c r="J1004" i="6"/>
  <c r="E55" i="15"/>
  <c r="E54" i="15"/>
  <c r="E53" i="15"/>
  <c r="E52" i="15"/>
  <c r="E51" i="15"/>
  <c r="E50" i="15"/>
  <c r="E49" i="15"/>
  <c r="E47" i="15"/>
  <c r="E45" i="15"/>
  <c r="E44" i="15"/>
  <c r="E43" i="15"/>
  <c r="E42" i="15"/>
  <c r="E41" i="15"/>
  <c r="E40" i="15"/>
  <c r="E34" i="15"/>
  <c r="E33" i="15"/>
  <c r="E32" i="15"/>
  <c r="E31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2" i="15"/>
  <c r="E11" i="15"/>
  <c r="E10" i="15"/>
  <c r="E9" i="15"/>
  <c r="E8" i="15"/>
  <c r="E7" i="15"/>
  <c r="E6" i="15"/>
  <c r="E4" i="15"/>
  <c r="E3" i="15"/>
  <c r="E2" i="15"/>
  <c r="D17" i="15"/>
  <c r="Q549" i="1" l="1"/>
  <c r="Q660" i="1"/>
  <c r="Q297" i="1"/>
  <c r="R297" i="1" s="1"/>
  <c r="D297" i="1" s="1"/>
  <c r="Q391" i="1"/>
  <c r="Q426" i="1"/>
  <c r="Q332" i="1"/>
  <c r="R332" i="1" s="1"/>
  <c r="D332" i="1" s="1"/>
  <c r="Q380" i="1"/>
  <c r="R380" i="1" s="1"/>
  <c r="Q345" i="1"/>
  <c r="R345" i="1" s="1"/>
  <c r="R447" i="1"/>
  <c r="R279" i="1"/>
  <c r="I9" i="16"/>
  <c r="R549" i="1"/>
  <c r="R284" i="1"/>
  <c r="D284" i="1" s="1"/>
  <c r="R376" i="1"/>
  <c r="R660" i="1"/>
  <c r="H10" i="16" s="1"/>
  <c r="R293" i="1"/>
  <c r="R550" i="1"/>
  <c r="R374" i="1"/>
  <c r="R389" i="1"/>
  <c r="D660" i="1"/>
  <c r="D336" i="1"/>
  <c r="D529" i="1"/>
  <c r="D337" i="1"/>
  <c r="D528" i="1"/>
  <c r="D561" i="1"/>
  <c r="D426" i="1"/>
  <c r="D391" i="1"/>
  <c r="D418" i="1"/>
  <c r="D279" i="1"/>
  <c r="Q377" i="1"/>
  <c r="Q446" i="1"/>
  <c r="Q287" i="1"/>
  <c r="Q386" i="1"/>
  <c r="Q415" i="1"/>
  <c r="Q375" i="1"/>
  <c r="Q387" i="1"/>
  <c r="D444" i="1"/>
  <c r="D445" i="1"/>
  <c r="I1023" i="6"/>
  <c r="J1023" i="6"/>
  <c r="D377" i="1"/>
  <c r="D375" i="1"/>
  <c r="D376" i="1"/>
  <c r="A281" i="1"/>
  <c r="A326" i="1"/>
  <c r="C281" i="1"/>
  <c r="B281" i="1" s="1"/>
  <c r="C326" i="1"/>
  <c r="B326" i="1" s="1"/>
  <c r="Y281" i="1"/>
  <c r="Y326" i="1"/>
  <c r="V281" i="1"/>
  <c r="W281" i="1" s="1"/>
  <c r="V326" i="1"/>
  <c r="W326" i="1" s="1"/>
  <c r="A283" i="1"/>
  <c r="C283" i="1"/>
  <c r="B283" i="1" s="1"/>
  <c r="M283" i="1"/>
  <c r="O283" i="1"/>
  <c r="Y283" i="1"/>
  <c r="V283" i="1"/>
  <c r="W283" i="1" s="1"/>
  <c r="R391" i="1" l="1"/>
  <c r="R426" i="1"/>
  <c r="R446" i="1"/>
  <c r="D448" i="1" s="1"/>
  <c r="R386" i="1"/>
  <c r="R375" i="1"/>
  <c r="I5" i="16"/>
  <c r="R387" i="1"/>
  <c r="R287" i="1"/>
  <c r="R415" i="1"/>
  <c r="R377" i="1"/>
  <c r="H17" i="16"/>
  <c r="H9" i="16"/>
  <c r="D449" i="1"/>
  <c r="D446" i="1"/>
  <c r="D354" i="1"/>
  <c r="D447" i="1"/>
  <c r="T281" i="1"/>
  <c r="T326" i="1"/>
  <c r="X326" i="1"/>
  <c r="X281" i="1"/>
  <c r="T283" i="1"/>
  <c r="X283" i="1"/>
  <c r="I981" i="6"/>
  <c r="I982" i="6"/>
  <c r="I983" i="6"/>
  <c r="J981" i="6"/>
  <c r="J982" i="6"/>
  <c r="J983" i="6"/>
  <c r="I978" i="6"/>
  <c r="I979" i="6"/>
  <c r="I980" i="6"/>
  <c r="J978" i="6"/>
  <c r="J979" i="6"/>
  <c r="J980" i="6"/>
  <c r="D58" i="15"/>
  <c r="D57" i="15"/>
  <c r="D56" i="15"/>
  <c r="D55" i="15"/>
  <c r="D54" i="15"/>
  <c r="D44" i="15"/>
  <c r="D53" i="15"/>
  <c r="D52" i="15"/>
  <c r="D51" i="15"/>
  <c r="D50" i="15"/>
  <c r="D49" i="15"/>
  <c r="D47" i="15"/>
  <c r="D45" i="15"/>
  <c r="D43" i="15"/>
  <c r="D42" i="15"/>
  <c r="D41" i="15"/>
  <c r="D40" i="15"/>
  <c r="D34" i="15"/>
  <c r="D33" i="15"/>
  <c r="D32" i="15"/>
  <c r="D31" i="15"/>
  <c r="D30" i="15"/>
  <c r="D29" i="15"/>
  <c r="D28" i="15"/>
  <c r="D27" i="15"/>
  <c r="D26" i="15"/>
  <c r="D25" i="15"/>
  <c r="D23" i="15"/>
  <c r="D22" i="15"/>
  <c r="D21" i="15"/>
  <c r="D20" i="15"/>
  <c r="D19" i="15"/>
  <c r="D18" i="15"/>
  <c r="D16" i="15"/>
  <c r="D15" i="15"/>
  <c r="D14" i="15"/>
  <c r="D12" i="15"/>
  <c r="D11" i="15"/>
  <c r="D10" i="15"/>
  <c r="D9" i="15"/>
  <c r="D8" i="15"/>
  <c r="D7" i="15"/>
  <c r="D6" i="15"/>
  <c r="D4" i="15"/>
  <c r="D3" i="15"/>
  <c r="D2" i="15"/>
  <c r="C58" i="15"/>
  <c r="C57" i="15"/>
  <c r="C56" i="15"/>
  <c r="C55" i="15"/>
  <c r="C54" i="15"/>
  <c r="C44" i="15"/>
  <c r="C53" i="15"/>
  <c r="C52" i="15"/>
  <c r="C51" i="15"/>
  <c r="C50" i="15"/>
  <c r="C49" i="15"/>
  <c r="C47" i="15"/>
  <c r="C45" i="15"/>
  <c r="C43" i="15"/>
  <c r="C42" i="15"/>
  <c r="C41" i="15"/>
  <c r="C40" i="15"/>
  <c r="C34" i="15"/>
  <c r="C33" i="15"/>
  <c r="C32" i="15"/>
  <c r="C31" i="15"/>
  <c r="C30" i="15"/>
  <c r="C29" i="15"/>
  <c r="C28" i="15"/>
  <c r="C27" i="15"/>
  <c r="C26" i="15"/>
  <c r="C25" i="15"/>
  <c r="C23" i="15"/>
  <c r="C22" i="15"/>
  <c r="C21" i="15"/>
  <c r="C20" i="15"/>
  <c r="C19" i="15"/>
  <c r="C18" i="15"/>
  <c r="C17" i="15"/>
  <c r="C16" i="15"/>
  <c r="C15" i="15"/>
  <c r="C14" i="15"/>
  <c r="C12" i="15"/>
  <c r="C11" i="15"/>
  <c r="C10" i="15"/>
  <c r="C9" i="15"/>
  <c r="C8" i="15"/>
  <c r="C7" i="15"/>
  <c r="C6" i="15"/>
  <c r="C4" i="15"/>
  <c r="C3" i="15"/>
  <c r="C2" i="15"/>
  <c r="B58" i="15"/>
  <c r="B57" i="15"/>
  <c r="B56" i="15"/>
  <c r="B55" i="15"/>
  <c r="B54" i="15"/>
  <c r="B44" i="15"/>
  <c r="B53" i="15"/>
  <c r="B52" i="15"/>
  <c r="B51" i="15"/>
  <c r="B50" i="15"/>
  <c r="B49" i="15"/>
  <c r="B47" i="15"/>
  <c r="B45" i="15"/>
  <c r="B43" i="15"/>
  <c r="B42" i="15"/>
  <c r="B41" i="15"/>
  <c r="B40" i="15"/>
  <c r="B34" i="15"/>
  <c r="B33" i="15"/>
  <c r="B32" i="15"/>
  <c r="B31" i="15"/>
  <c r="B30" i="15"/>
  <c r="B29" i="15"/>
  <c r="B28" i="15"/>
  <c r="B27" i="15"/>
  <c r="B26" i="15"/>
  <c r="B25" i="15"/>
  <c r="B23" i="15"/>
  <c r="B22" i="15"/>
  <c r="B21" i="15"/>
  <c r="B20" i="15"/>
  <c r="B19" i="15"/>
  <c r="B18" i="15"/>
  <c r="B17" i="15"/>
  <c r="B16" i="15"/>
  <c r="B15" i="15"/>
  <c r="B14" i="15"/>
  <c r="B12" i="15"/>
  <c r="B11" i="15"/>
  <c r="B10" i="15"/>
  <c r="B9" i="15"/>
  <c r="B8" i="15"/>
  <c r="B7" i="15"/>
  <c r="B6" i="15"/>
  <c r="B4" i="15"/>
  <c r="B3" i="15"/>
  <c r="B2" i="15"/>
  <c r="O356" i="1"/>
  <c r="M356" i="1"/>
  <c r="M392" i="1"/>
  <c r="M300" i="1"/>
  <c r="O291" i="1"/>
  <c r="M291" i="1"/>
  <c r="O290" i="1"/>
  <c r="M290" i="1"/>
  <c r="O331" i="1"/>
  <c r="M331" i="1"/>
  <c r="O592" i="1"/>
  <c r="H15" i="16" s="1"/>
  <c r="M592" i="1"/>
  <c r="O318" i="1"/>
  <c r="M318" i="1"/>
  <c r="O224" i="1"/>
  <c r="M224" i="1"/>
  <c r="O333" i="1"/>
  <c r="M333" i="1"/>
  <c r="O317" i="1"/>
  <c r="M317" i="1"/>
  <c r="O325" i="1"/>
  <c r="M325" i="1"/>
  <c r="O223" i="1"/>
  <c r="D15" i="16" s="1"/>
  <c r="M223" i="1"/>
  <c r="O316" i="1"/>
  <c r="M316" i="1"/>
  <c r="O335" i="1"/>
  <c r="M335" i="1"/>
  <c r="O313" i="1"/>
  <c r="M313" i="1"/>
  <c r="O315" i="1"/>
  <c r="M315" i="1"/>
  <c r="M324" i="1"/>
  <c r="O383" i="1"/>
  <c r="M383" i="1"/>
  <c r="O330" i="1"/>
  <c r="M330" i="1"/>
  <c r="O382" i="1"/>
  <c r="M382" i="1"/>
  <c r="O288" i="1"/>
  <c r="M288" i="1"/>
  <c r="O314" i="1"/>
  <c r="M314" i="1"/>
  <c r="O286" i="1"/>
  <c r="M286" i="1"/>
  <c r="O282" i="1"/>
  <c r="M282" i="1"/>
  <c r="O292" i="1"/>
  <c r="M292" i="1"/>
  <c r="M145" i="1"/>
  <c r="P281" i="1" l="1"/>
  <c r="P326" i="1"/>
  <c r="P283" i="1"/>
  <c r="F15" i="16"/>
  <c r="I1053" i="6"/>
  <c r="J1053" i="6"/>
  <c r="V8" i="1"/>
  <c r="W8" i="1" s="1"/>
  <c r="V9" i="1"/>
  <c r="Y10" i="1"/>
  <c r="V10" i="1"/>
  <c r="W10" i="1" s="1"/>
  <c r="Y370" i="1"/>
  <c r="V370" i="1"/>
  <c r="W370" i="1" s="1"/>
  <c r="Y3" i="1"/>
  <c r="V3" i="1"/>
  <c r="W3" i="1" s="1"/>
  <c r="Y23" i="1"/>
  <c r="V23" i="1"/>
  <c r="W23" i="1" s="1"/>
  <c r="V22" i="1"/>
  <c r="W22" i="1" s="1"/>
  <c r="Y52" i="1"/>
  <c r="V52" i="1"/>
  <c r="W52" i="1" s="1"/>
  <c r="V53" i="1"/>
  <c r="W53" i="1" s="1"/>
  <c r="Y20" i="1"/>
  <c r="V20" i="1"/>
  <c r="W20" i="1" s="1"/>
  <c r="Y31" i="1"/>
  <c r="V31" i="1"/>
  <c r="W31" i="1" s="1"/>
  <c r="V6" i="1"/>
  <c r="W6" i="1" s="1"/>
  <c r="Y32" i="1"/>
  <c r="V32" i="1"/>
  <c r="W32" i="1" s="1"/>
  <c r="V16" i="1"/>
  <c r="W16" i="1" s="1"/>
  <c r="V83" i="1"/>
  <c r="W83" i="1" s="1"/>
  <c r="V19" i="1"/>
  <c r="W19" i="1" s="1"/>
  <c r="V21" i="1"/>
  <c r="W21" i="1" s="1"/>
  <c r="Y261" i="1"/>
  <c r="V261" i="1"/>
  <c r="W261" i="1" s="1"/>
  <c r="Y4" i="1"/>
  <c r="V4" i="1"/>
  <c r="W4" i="1" s="1"/>
  <c r="V38" i="1"/>
  <c r="W38" i="1" s="1"/>
  <c r="Y25" i="1"/>
  <c r="V25" i="1"/>
  <c r="W25" i="1" s="1"/>
  <c r="V24" i="1"/>
  <c r="W24" i="1" s="1"/>
  <c r="Y86" i="1"/>
  <c r="V86" i="1"/>
  <c r="W86" i="1" s="1"/>
  <c r="Y55" i="1"/>
  <c r="V55" i="1"/>
  <c r="W55" i="1" s="1"/>
  <c r="V54" i="1"/>
  <c r="W54" i="1" s="1"/>
  <c r="V84" i="1"/>
  <c r="W84" i="1" s="1"/>
  <c r="Y56" i="1"/>
  <c r="V56" i="1"/>
  <c r="W56" i="1" s="1"/>
  <c r="Y26" i="1"/>
  <c r="V26" i="1"/>
  <c r="W26" i="1" s="1"/>
  <c r="V60" i="1"/>
  <c r="W60" i="1" s="1"/>
  <c r="Y57" i="1"/>
  <c r="V57" i="1"/>
  <c r="W57" i="1" s="1"/>
  <c r="Y73" i="1"/>
  <c r="V73" i="1"/>
  <c r="W73" i="1" s="1"/>
  <c r="Y195" i="1"/>
  <c r="V195" i="1"/>
  <c r="W195" i="1" s="1"/>
  <c r="Y72" i="1"/>
  <c r="V72" i="1"/>
  <c r="W72" i="1" s="1"/>
  <c r="V47" i="1"/>
  <c r="W47" i="1" s="1"/>
  <c r="Y87" i="1"/>
  <c r="V87" i="1"/>
  <c r="W87" i="1" s="1"/>
  <c r="Y149" i="1"/>
  <c r="V149" i="1"/>
  <c r="W149" i="1" s="1"/>
  <c r="V148" i="1"/>
  <c r="W148" i="1" s="1"/>
  <c r="Y180" i="1"/>
  <c r="V180" i="1"/>
  <c r="W180" i="1" s="1"/>
  <c r="Y228" i="1"/>
  <c r="V228" i="1"/>
  <c r="W228" i="1" s="1"/>
  <c r="V134" i="1"/>
  <c r="W134" i="1" s="1"/>
  <c r="Y245" i="1"/>
  <c r="V245" i="1"/>
  <c r="W245" i="1" s="1"/>
  <c r="Y230" i="1"/>
  <c r="V230" i="1"/>
  <c r="W230" i="1" s="1"/>
  <c r="Y231" i="1"/>
  <c r="V231" i="1"/>
  <c r="W231" i="1" s="1"/>
  <c r="V186" i="1"/>
  <c r="W186" i="1" s="1"/>
  <c r="Y109" i="1"/>
  <c r="V109" i="1"/>
  <c r="W109" i="1" s="1"/>
  <c r="Y71" i="1"/>
  <c r="V71" i="1"/>
  <c r="W71" i="1" s="1"/>
  <c r="Y202" i="1"/>
  <c r="V202" i="1"/>
  <c r="W202" i="1" s="1"/>
  <c r="Y102" i="1"/>
  <c r="V102" i="1"/>
  <c r="W102" i="1" s="1"/>
  <c r="V182" i="1"/>
  <c r="W182" i="1" s="1"/>
  <c r="V50" i="1"/>
  <c r="W50" i="1" s="1"/>
  <c r="V51" i="1"/>
  <c r="W51" i="1" s="1"/>
  <c r="V82" i="1"/>
  <c r="W82" i="1" s="1"/>
  <c r="Y142" i="1"/>
  <c r="V142" i="1"/>
  <c r="W142" i="1" s="1"/>
  <c r="Y143" i="1"/>
  <c r="V143" i="1"/>
  <c r="W143" i="1" s="1"/>
  <c r="Y144" i="1"/>
  <c r="V144" i="1"/>
  <c r="W144" i="1" s="1"/>
  <c r="V147" i="1"/>
  <c r="W147" i="1" s="1"/>
  <c r="Y11" i="1"/>
  <c r="V11" i="1"/>
  <c r="W11" i="1" s="1"/>
  <c r="V27" i="1"/>
  <c r="W27" i="1" s="1"/>
  <c r="Y2" i="1"/>
  <c r="V2" i="1"/>
  <c r="W2" i="1" s="1"/>
  <c r="Y75" i="1"/>
  <c r="V75" i="1"/>
  <c r="W75" i="1" s="1"/>
  <c r="V61" i="1"/>
  <c r="W61" i="1" s="1"/>
  <c r="Y62" i="1"/>
  <c r="V62" i="1"/>
  <c r="W62" i="1" s="1"/>
  <c r="V64" i="1"/>
  <c r="W64" i="1" s="1"/>
  <c r="V34" i="1"/>
  <c r="W34" i="1" s="1"/>
  <c r="Y164" i="1"/>
  <c r="V164" i="1"/>
  <c r="W164" i="1" s="1"/>
  <c r="Y165" i="1"/>
  <c r="V165" i="1"/>
  <c r="W165" i="1" s="1"/>
  <c r="Y66" i="1"/>
  <c r="V66" i="1"/>
  <c r="W66" i="1" s="1"/>
  <c r="V35" i="1"/>
  <c r="W35" i="1" s="1"/>
  <c r="V36" i="1"/>
  <c r="W36" i="1" s="1"/>
  <c r="Y68" i="1"/>
  <c r="V68" i="1"/>
  <c r="W68" i="1" s="1"/>
  <c r="V67" i="1"/>
  <c r="W67" i="1" s="1"/>
  <c r="V69" i="1"/>
  <c r="W69" i="1" s="1"/>
  <c r="Y37" i="1"/>
  <c r="V37" i="1"/>
  <c r="W37" i="1" s="1"/>
  <c r="Y42" i="1"/>
  <c r="V42" i="1"/>
  <c r="W42" i="1" s="1"/>
  <c r="Y70" i="1"/>
  <c r="V70" i="1"/>
  <c r="W70" i="1" s="1"/>
  <c r="V29" i="1"/>
  <c r="W29" i="1" s="1"/>
  <c r="V17" i="1"/>
  <c r="W17" i="1" s="1"/>
  <c r="Y5" i="1"/>
  <c r="V5" i="1"/>
  <c r="W5" i="1" s="1"/>
  <c r="V14" i="1"/>
  <c r="W14" i="1" s="1"/>
  <c r="Y7" i="1"/>
  <c r="V7" i="1"/>
  <c r="W7" i="1" s="1"/>
  <c r="Y18" i="1"/>
  <c r="V18" i="1"/>
  <c r="W18" i="1" s="1"/>
  <c r="V12" i="1"/>
  <c r="W12" i="1" s="1"/>
  <c r="Y13" i="1"/>
  <c r="V13" i="1"/>
  <c r="W13" i="1" s="1"/>
  <c r="Y81" i="1"/>
  <c r="V81" i="1"/>
  <c r="W81" i="1" s="1"/>
  <c r="V15" i="1"/>
  <c r="W15" i="1" s="1"/>
  <c r="Y100" i="1"/>
  <c r="V100" i="1"/>
  <c r="W100" i="1" s="1"/>
  <c r="Y91" i="1"/>
  <c r="V91" i="1"/>
  <c r="W91" i="1" s="1"/>
  <c r="V241" i="1"/>
  <c r="W241" i="1" s="1"/>
  <c r="V226" i="1"/>
  <c r="W226" i="1" s="1"/>
  <c r="Y260" i="1"/>
  <c r="V260" i="1"/>
  <c r="W260" i="1" s="1"/>
  <c r="Y252" i="1"/>
  <c r="V252" i="1"/>
  <c r="W252" i="1" s="1"/>
  <c r="Y253" i="1"/>
  <c r="V253" i="1"/>
  <c r="W253" i="1" s="1"/>
  <c r="Y39" i="1"/>
  <c r="V39" i="1"/>
  <c r="W39" i="1" s="1"/>
  <c r="Y200" i="1"/>
  <c r="V200" i="1"/>
  <c r="W200" i="1" s="1"/>
  <c r="Y119" i="1"/>
  <c r="V119" i="1"/>
  <c r="W119" i="1" s="1"/>
  <c r="V33" i="1"/>
  <c r="W33" i="1" s="1"/>
  <c r="V120" i="1"/>
  <c r="W120" i="1" s="1"/>
  <c r="Y85" i="1"/>
  <c r="V85" i="1"/>
  <c r="W85" i="1" s="1"/>
  <c r="Y30" i="1"/>
  <c r="V30" i="1"/>
  <c r="W30" i="1" s="1"/>
  <c r="Y93" i="1"/>
  <c r="V93" i="1"/>
  <c r="W93" i="1" s="1"/>
  <c r="Y94" i="1"/>
  <c r="V94" i="1"/>
  <c r="W94" i="1" s="1"/>
  <c r="Y44" i="1"/>
  <c r="V44" i="1"/>
  <c r="W44" i="1" s="1"/>
  <c r="Y40" i="1"/>
  <c r="V40" i="1"/>
  <c r="W40" i="1" s="1"/>
  <c r="Y41" i="1"/>
  <c r="V41" i="1"/>
  <c r="W41" i="1" s="1"/>
  <c r="V152" i="1"/>
  <c r="W152" i="1" s="1"/>
  <c r="Y110" i="1"/>
  <c r="V110" i="1"/>
  <c r="W110" i="1" s="1"/>
  <c r="Y214" i="1"/>
  <c r="V214" i="1"/>
  <c r="W214" i="1" s="1"/>
  <c r="V154" i="1"/>
  <c r="W154" i="1" s="1"/>
  <c r="Y59" i="1"/>
  <c r="V59" i="1"/>
  <c r="W59" i="1" s="1"/>
  <c r="Y49" i="1"/>
  <c r="V49" i="1"/>
  <c r="W49" i="1" s="1"/>
  <c r="Y116" i="1"/>
  <c r="V116" i="1"/>
  <c r="W116" i="1" s="1"/>
  <c r="Y45" i="1"/>
  <c r="V45" i="1"/>
  <c r="W45" i="1" s="1"/>
  <c r="Y153" i="1"/>
  <c r="V153" i="1"/>
  <c r="W153" i="1" s="1"/>
  <c r="Y111" i="1"/>
  <c r="V111" i="1"/>
  <c r="W111" i="1" s="1"/>
  <c r="Y138" i="1"/>
  <c r="V138" i="1"/>
  <c r="W138" i="1" s="1"/>
  <c r="Y242" i="1"/>
  <c r="V242" i="1"/>
  <c r="W242" i="1" s="1"/>
  <c r="Y46" i="1"/>
  <c r="V46" i="1"/>
  <c r="W46" i="1" s="1"/>
  <c r="Y48" i="1"/>
  <c r="V48" i="1"/>
  <c r="W48" i="1" s="1"/>
  <c r="Y136" i="1"/>
  <c r="V136" i="1"/>
  <c r="W136" i="1" s="1"/>
  <c r="V256" i="1"/>
  <c r="W256" i="1" s="1"/>
  <c r="V292" i="1"/>
  <c r="W292" i="1" s="1"/>
  <c r="Y145" i="1"/>
  <c r="V145" i="1"/>
  <c r="W145" i="1" s="1"/>
  <c r="Y126" i="1"/>
  <c r="V126" i="1"/>
  <c r="W126" i="1" s="1"/>
  <c r="Y105" i="1"/>
  <c r="V105" i="1"/>
  <c r="W105" i="1" s="1"/>
  <c r="Y384" i="1"/>
  <c r="V384" i="1"/>
  <c r="W384" i="1" s="1"/>
  <c r="Y146" i="1"/>
  <c r="V146" i="1"/>
  <c r="W146" i="1" s="1"/>
  <c r="Y63" i="1"/>
  <c r="V63" i="1"/>
  <c r="W63" i="1" s="1"/>
  <c r="V65" i="1"/>
  <c r="W65" i="1" s="1"/>
  <c r="V249" i="1"/>
  <c r="W249" i="1" s="1"/>
  <c r="Y248" i="1"/>
  <c r="V248" i="1"/>
  <c r="W248" i="1" s="1"/>
  <c r="Y282" i="1"/>
  <c r="V282" i="1"/>
  <c r="W282" i="1" s="1"/>
  <c r="Y58" i="1"/>
  <c r="V58" i="1"/>
  <c r="W58" i="1" s="1"/>
  <c r="Y175" i="1"/>
  <c r="V175" i="1"/>
  <c r="W175" i="1" s="1"/>
  <c r="Y257" i="1"/>
  <c r="V257" i="1"/>
  <c r="W257" i="1" s="1"/>
  <c r="Y184" i="1"/>
  <c r="V184" i="1"/>
  <c r="W184" i="1" s="1"/>
  <c r="V185" i="1"/>
  <c r="W185" i="1" s="1"/>
  <c r="V156" i="1"/>
  <c r="W156" i="1" s="1"/>
  <c r="Y76" i="1"/>
  <c r="V76" i="1"/>
  <c r="W76" i="1" s="1"/>
  <c r="Y150" i="1"/>
  <c r="V150" i="1"/>
  <c r="W150" i="1" s="1"/>
  <c r="Y178" i="1"/>
  <c r="V178" i="1"/>
  <c r="W178" i="1" s="1"/>
  <c r="V286" i="1"/>
  <c r="W286" i="1" s="1"/>
  <c r="Y199" i="1"/>
  <c r="V199" i="1"/>
  <c r="W199" i="1" s="1"/>
  <c r="V89" i="1"/>
  <c r="W89" i="1" s="1"/>
  <c r="V425" i="1"/>
  <c r="W425" i="1" s="1"/>
  <c r="V74" i="1"/>
  <c r="W74" i="1" s="1"/>
  <c r="Y117" i="1"/>
  <c r="V117" i="1"/>
  <c r="W117" i="1" s="1"/>
  <c r="Y118" i="1"/>
  <c r="V118" i="1"/>
  <c r="W118" i="1" s="1"/>
  <c r="Y121" i="1"/>
  <c r="V121" i="1"/>
  <c r="W121" i="1" s="1"/>
  <c r="Y96" i="1"/>
  <c r="V96" i="1"/>
  <c r="W96" i="1" s="1"/>
  <c r="Y122" i="1"/>
  <c r="V122" i="1"/>
  <c r="W122" i="1" s="1"/>
  <c r="V114" i="1"/>
  <c r="W114" i="1" s="1"/>
  <c r="V115" i="1"/>
  <c r="W115" i="1" s="1"/>
  <c r="Y123" i="1"/>
  <c r="V123" i="1"/>
  <c r="W123" i="1" s="1"/>
  <c r="Y124" i="1"/>
  <c r="V124" i="1"/>
  <c r="W124" i="1" s="1"/>
  <c r="Y78" i="1"/>
  <c r="V78" i="1"/>
  <c r="W78" i="1" s="1"/>
  <c r="Y97" i="1"/>
  <c r="V97" i="1"/>
  <c r="W97" i="1" s="1"/>
  <c r="Y92" i="1"/>
  <c r="V92" i="1"/>
  <c r="W92" i="1" s="1"/>
  <c r="Y98" i="1"/>
  <c r="V98" i="1"/>
  <c r="W98" i="1" s="1"/>
  <c r="V125" i="1"/>
  <c r="W125" i="1" s="1"/>
  <c r="V314" i="1"/>
  <c r="W314" i="1" s="1"/>
  <c r="Y90" i="1"/>
  <c r="V90" i="1"/>
  <c r="W90" i="1" s="1"/>
  <c r="Y107" i="1"/>
  <c r="V107" i="1"/>
  <c r="W107" i="1" s="1"/>
  <c r="Y190" i="1"/>
  <c r="V190" i="1"/>
  <c r="W190" i="1" s="1"/>
  <c r="Y311" i="1"/>
  <c r="V311" i="1"/>
  <c r="W311" i="1" s="1"/>
  <c r="Y254" i="1"/>
  <c r="V254" i="1"/>
  <c r="W254" i="1" s="1"/>
  <c r="V251" i="1"/>
  <c r="W251" i="1" s="1"/>
  <c r="V250" i="1"/>
  <c r="W250" i="1" s="1"/>
  <c r="V265" i="1"/>
  <c r="W265" i="1" s="1"/>
  <c r="Y264" i="1"/>
  <c r="V264" i="1"/>
  <c r="W264" i="1" s="1"/>
  <c r="Y108" i="1"/>
  <c r="V108" i="1"/>
  <c r="W108" i="1" s="1"/>
  <c r="Y88" i="1"/>
  <c r="V88" i="1"/>
  <c r="W88" i="1" s="1"/>
  <c r="Y247" i="1"/>
  <c r="V247" i="1"/>
  <c r="W247" i="1" s="1"/>
  <c r="Y243" i="1"/>
  <c r="V243" i="1"/>
  <c r="W243" i="1" s="1"/>
  <c r="V323" i="1"/>
  <c r="W323" i="1" s="1"/>
  <c r="V235" i="1"/>
  <c r="W235" i="1" s="1"/>
  <c r="V236" i="1"/>
  <c r="W236" i="1" s="1"/>
  <c r="Y79" i="1"/>
  <c r="V79" i="1"/>
  <c r="W79" i="1" s="1"/>
  <c r="Y103" i="1"/>
  <c r="V103" i="1"/>
  <c r="W103" i="1" s="1"/>
  <c r="Y80" i="1"/>
  <c r="V80" i="1"/>
  <c r="W80" i="1" s="1"/>
  <c r="V176" i="1"/>
  <c r="W176" i="1" s="1"/>
  <c r="Y101" i="1"/>
  <c r="V101" i="1"/>
  <c r="W101" i="1" s="1"/>
  <c r="V157" i="1"/>
  <c r="W157" i="1" s="1"/>
  <c r="V229" i="1"/>
  <c r="W229" i="1" s="1"/>
  <c r="V239" i="1"/>
  <c r="W239" i="1" s="1"/>
  <c r="Y106" i="1"/>
  <c r="V106" i="1"/>
  <c r="W106" i="1" s="1"/>
  <c r="Y151" i="1"/>
  <c r="V151" i="1"/>
  <c r="W151" i="1" s="1"/>
  <c r="Y289" i="1"/>
  <c r="V289" i="1"/>
  <c r="W289" i="1" s="1"/>
  <c r="Y288" i="1"/>
  <c r="V288" i="1"/>
  <c r="W288" i="1" s="1"/>
  <c r="Y99" i="1"/>
  <c r="V99" i="1"/>
  <c r="W99" i="1" s="1"/>
  <c r="V382" i="1"/>
  <c r="W382" i="1" s="1"/>
  <c r="V162" i="1"/>
  <c r="W162" i="1" s="1"/>
  <c r="Y104" i="1"/>
  <c r="V104" i="1"/>
  <c r="W104" i="1" s="1"/>
  <c r="Y196" i="1"/>
  <c r="V196" i="1"/>
  <c r="W196" i="1" s="1"/>
  <c r="Y43" i="1"/>
  <c r="V43" i="1"/>
  <c r="W43" i="1" s="1"/>
  <c r="Y189" i="1"/>
  <c r="V189" i="1"/>
  <c r="W189" i="1" s="1"/>
  <c r="Y112" i="1"/>
  <c r="V112" i="1"/>
  <c r="W112" i="1" s="1"/>
  <c r="Y232" i="1"/>
  <c r="V232" i="1"/>
  <c r="W232" i="1" s="1"/>
  <c r="V234" i="1"/>
  <c r="W234" i="1" s="1"/>
  <c r="V188" i="1"/>
  <c r="W188" i="1" s="1"/>
  <c r="Y320" i="1"/>
  <c r="V320" i="1"/>
  <c r="W320" i="1" s="1"/>
  <c r="Y141" i="1"/>
  <c r="V141" i="1"/>
  <c r="W141" i="1" s="1"/>
  <c r="Y204" i="1"/>
  <c r="V204" i="1"/>
  <c r="W204" i="1" s="1"/>
  <c r="Y179" i="1"/>
  <c r="V179" i="1"/>
  <c r="W179" i="1" s="1"/>
  <c r="Y277" i="1"/>
  <c r="V277" i="1"/>
  <c r="W277" i="1" s="1"/>
  <c r="Y113" i="1"/>
  <c r="V113" i="1"/>
  <c r="W113" i="1" s="1"/>
  <c r="V135" i="1"/>
  <c r="W135" i="1" s="1"/>
  <c r="V233" i="1"/>
  <c r="W233" i="1" s="1"/>
  <c r="Y205" i="1"/>
  <c r="V205" i="1"/>
  <c r="W205" i="1" s="1"/>
  <c r="Y208" i="1"/>
  <c r="V208" i="1"/>
  <c r="W208" i="1" s="1"/>
  <c r="Y215" i="1"/>
  <c r="V215" i="1"/>
  <c r="W215" i="1" s="1"/>
  <c r="Y330" i="1"/>
  <c r="V330" i="1"/>
  <c r="W330" i="1" s="1"/>
  <c r="V133" i="1"/>
  <c r="W133" i="1" s="1"/>
  <c r="V127" i="1"/>
  <c r="W127" i="1" s="1"/>
  <c r="Y128" i="1"/>
  <c r="V128" i="1"/>
  <c r="W128" i="1" s="1"/>
  <c r="Y130" i="1"/>
  <c r="V130" i="1"/>
  <c r="W130" i="1" s="1"/>
  <c r="Y129" i="1"/>
  <c r="V129" i="1"/>
  <c r="W129" i="1" s="1"/>
  <c r="Y132" i="1"/>
  <c r="V132" i="1"/>
  <c r="W132" i="1" s="1"/>
  <c r="Y131" i="1"/>
  <c r="V131" i="1"/>
  <c r="W131" i="1" s="1"/>
  <c r="Y246" i="1"/>
  <c r="V246" i="1"/>
  <c r="W246" i="1" s="1"/>
  <c r="V225" i="1"/>
  <c r="W225" i="1" s="1"/>
  <c r="V137" i="1"/>
  <c r="W137" i="1" s="1"/>
  <c r="Y209" i="1"/>
  <c r="V209" i="1"/>
  <c r="W209" i="1" s="1"/>
  <c r="Y210" i="1"/>
  <c r="V210" i="1"/>
  <c r="W210" i="1" s="1"/>
  <c r="Y211" i="1"/>
  <c r="V211" i="1"/>
  <c r="W211" i="1" s="1"/>
  <c r="Y163" i="1"/>
  <c r="V163" i="1"/>
  <c r="W163" i="1" s="1"/>
  <c r="Y212" i="1"/>
  <c r="V212" i="1"/>
  <c r="W212" i="1" s="1"/>
  <c r="V167" i="1"/>
  <c r="W167" i="1" s="1"/>
  <c r="V166" i="1"/>
  <c r="W166" i="1" s="1"/>
  <c r="Y203" i="1"/>
  <c r="V203" i="1"/>
  <c r="W203" i="1" s="1"/>
  <c r="Y213" i="1"/>
  <c r="V213" i="1"/>
  <c r="W213" i="1" s="1"/>
  <c r="Y168" i="1"/>
  <c r="V168" i="1"/>
  <c r="W168" i="1" s="1"/>
  <c r="Y169" i="1"/>
  <c r="V169" i="1"/>
  <c r="W169" i="1" s="1"/>
  <c r="Y187" i="1"/>
  <c r="V187" i="1"/>
  <c r="W187" i="1" s="1"/>
  <c r="Y216" i="1"/>
  <c r="V216" i="1"/>
  <c r="W216" i="1" s="1"/>
  <c r="V238" i="1"/>
  <c r="W238" i="1" s="1"/>
  <c r="V267" i="1"/>
  <c r="W267" i="1" s="1"/>
  <c r="Y268" i="1"/>
  <c r="V268" i="1"/>
  <c r="W268" i="1" s="1"/>
  <c r="Y139" i="1"/>
  <c r="V139" i="1"/>
  <c r="W139" i="1" s="1"/>
  <c r="Y140" i="1"/>
  <c r="V140" i="1"/>
  <c r="W140" i="1" s="1"/>
  <c r="Y266" i="1"/>
  <c r="V266" i="1"/>
  <c r="W266" i="1" s="1"/>
  <c r="Y338" i="1"/>
  <c r="V338" i="1"/>
  <c r="W338" i="1" s="1"/>
  <c r="Y383" i="1"/>
  <c r="V383" i="1"/>
  <c r="W383" i="1" s="1"/>
  <c r="V155" i="1"/>
  <c r="W155" i="1" s="1"/>
  <c r="V174" i="1"/>
  <c r="W174" i="1" s="1"/>
  <c r="V177" i="1"/>
  <c r="W177" i="1" s="1"/>
  <c r="Y339" i="1"/>
  <c r="V339" i="1"/>
  <c r="W339" i="1" s="1"/>
  <c r="V324" i="1"/>
  <c r="W324" i="1" s="1"/>
  <c r="Y158" i="1"/>
  <c r="V158" i="1"/>
  <c r="W158" i="1" s="1"/>
  <c r="Y315" i="1"/>
  <c r="V315" i="1"/>
  <c r="W315" i="1" s="1"/>
  <c r="Y237" i="1"/>
  <c r="V237" i="1"/>
  <c r="W237" i="1" s="1"/>
  <c r="V379" i="1"/>
  <c r="W379" i="1" s="1"/>
  <c r="V159" i="1"/>
  <c r="W159" i="1" s="1"/>
  <c r="Y160" i="1"/>
  <c r="V160" i="1"/>
  <c r="W160" i="1" s="1"/>
  <c r="Y161" i="1"/>
  <c r="V161" i="1"/>
  <c r="W161" i="1" s="1"/>
  <c r="V170" i="1"/>
  <c r="W170" i="1" s="1"/>
  <c r="Y173" i="1"/>
  <c r="V173" i="1"/>
  <c r="W173" i="1" s="1"/>
  <c r="Y313" i="1"/>
  <c r="V313" i="1"/>
  <c r="W313" i="1" s="1"/>
  <c r="Y171" i="1"/>
  <c r="V171" i="1"/>
  <c r="W171" i="1" s="1"/>
  <c r="Y172" i="1"/>
  <c r="V172" i="1"/>
  <c r="W172" i="1" s="1"/>
  <c r="V335" i="1"/>
  <c r="W335" i="1" s="1"/>
  <c r="Y319" i="1"/>
  <c r="V319" i="1"/>
  <c r="W319" i="1" s="1"/>
  <c r="Y316" i="1"/>
  <c r="V316" i="1"/>
  <c r="W316" i="1" s="1"/>
  <c r="V278" i="1"/>
  <c r="W278" i="1" s="1"/>
  <c r="Y276" i="1"/>
  <c r="V276" i="1"/>
  <c r="W276" i="1" s="1"/>
  <c r="Y223" i="1"/>
  <c r="V223" i="1"/>
  <c r="W223" i="1" s="1"/>
  <c r="Y201" i="1"/>
  <c r="V201" i="1"/>
  <c r="W201" i="1" s="1"/>
  <c r="Y181" i="1"/>
  <c r="V181" i="1"/>
  <c r="W181" i="1" s="1"/>
  <c r="V325" i="1"/>
  <c r="W325" i="1" s="1"/>
  <c r="Y427" i="1"/>
  <c r="V427" i="1"/>
  <c r="W427" i="1" s="1"/>
  <c r="Y183" i="1"/>
  <c r="V183" i="1"/>
  <c r="W183" i="1" s="1"/>
  <c r="V317" i="1"/>
  <c r="W317" i="1" s="1"/>
  <c r="Y342" i="1"/>
  <c r="V342" i="1"/>
  <c r="W342" i="1" s="1"/>
  <c r="Y341" i="1"/>
  <c r="V341" i="1"/>
  <c r="W341" i="1" s="1"/>
  <c r="Y413" i="1"/>
  <c r="V413" i="1"/>
  <c r="W413" i="1" s="1"/>
  <c r="V206" i="1"/>
  <c r="W206" i="1" s="1"/>
  <c r="V193" i="1"/>
  <c r="W193" i="1" s="1"/>
  <c r="Y194" i="1"/>
  <c r="V194" i="1"/>
  <c r="W194" i="1" s="1"/>
  <c r="Y191" i="1"/>
  <c r="V191" i="1"/>
  <c r="W191" i="1" s="1"/>
  <c r="V197" i="1"/>
  <c r="W197" i="1" s="1"/>
  <c r="Y192" i="1"/>
  <c r="V192" i="1"/>
  <c r="W192" i="1" s="1"/>
  <c r="Y198" i="1"/>
  <c r="V198" i="1"/>
  <c r="W198" i="1" s="1"/>
  <c r="Y333" i="1"/>
  <c r="V333" i="1"/>
  <c r="W333" i="1" s="1"/>
  <c r="V322" i="1"/>
  <c r="W322" i="1" s="1"/>
  <c r="V224" i="1"/>
  <c r="W224" i="1" s="1"/>
  <c r="V318" i="1"/>
  <c r="W318" i="1" s="1"/>
  <c r="Y364" i="1"/>
  <c r="V364" i="1"/>
  <c r="W364" i="1" s="1"/>
  <c r="V592" i="1"/>
  <c r="W592" i="1" s="1"/>
  <c r="Y285" i="1"/>
  <c r="V285" i="1"/>
  <c r="W285" i="1" s="1"/>
  <c r="V428" i="1"/>
  <c r="W428" i="1" s="1"/>
  <c r="Y328" i="1"/>
  <c r="V328" i="1"/>
  <c r="W328" i="1" s="1"/>
  <c r="V244" i="1"/>
  <c r="W244" i="1" s="1"/>
  <c r="V331" i="1"/>
  <c r="W331" i="1" s="1"/>
  <c r="V430" i="1"/>
  <c r="W430" i="1" s="1"/>
  <c r="Y429" i="1"/>
  <c r="V429" i="1"/>
  <c r="W429" i="1" s="1"/>
  <c r="V207" i="1"/>
  <c r="W207" i="1" s="1"/>
  <c r="Y295" i="1"/>
  <c r="V295" i="1"/>
  <c r="W295" i="1" s="1"/>
  <c r="V388" i="1"/>
  <c r="W388" i="1" s="1"/>
  <c r="Y343" i="1"/>
  <c r="V343" i="1"/>
  <c r="W343" i="1" s="1"/>
  <c r="V433" i="1"/>
  <c r="W433" i="1" s="1"/>
  <c r="V222" i="1"/>
  <c r="W222" i="1" s="1"/>
  <c r="V217" i="1"/>
  <c r="W217" i="1" s="1"/>
  <c r="Y220" i="1"/>
  <c r="V220" i="1"/>
  <c r="W220" i="1" s="1"/>
  <c r="V219" i="1"/>
  <c r="W219" i="1" s="1"/>
  <c r="Y221" i="1"/>
  <c r="V221" i="1"/>
  <c r="W221" i="1" s="1"/>
  <c r="V218" i="1"/>
  <c r="W218" i="1" s="1"/>
  <c r="Y414" i="1"/>
  <c r="V414" i="1"/>
  <c r="W414" i="1" s="1"/>
  <c r="V290" i="1"/>
  <c r="W290" i="1" s="1"/>
  <c r="V291" i="1"/>
  <c r="W291" i="1" s="1"/>
  <c r="V296" i="1"/>
  <c r="W296" i="1" s="1"/>
  <c r="Y269" i="1"/>
  <c r="V269" i="1"/>
  <c r="W269" i="1" s="1"/>
  <c r="V272" i="1"/>
  <c r="W272" i="1" s="1"/>
  <c r="Y271" i="1"/>
  <c r="V271" i="1"/>
  <c r="W271" i="1" s="1"/>
  <c r="V298" i="1"/>
  <c r="W298" i="1" s="1"/>
  <c r="Y273" i="1"/>
  <c r="V273" i="1"/>
  <c r="W273" i="1" s="1"/>
  <c r="V299" i="1"/>
  <c r="W299" i="1" s="1"/>
  <c r="V300" i="1"/>
  <c r="W300" i="1" s="1"/>
  <c r="Y270" i="1"/>
  <c r="V270" i="1"/>
  <c r="W270" i="1" s="1"/>
  <c r="Y274" i="1"/>
  <c r="V274" i="1"/>
  <c r="W274" i="1" s="1"/>
  <c r="Y227" i="1"/>
  <c r="V227" i="1"/>
  <c r="W227" i="1" s="1"/>
  <c r="Y262" i="1"/>
  <c r="V262" i="1"/>
  <c r="W262" i="1" s="1"/>
  <c r="Y240" i="1"/>
  <c r="V240" i="1"/>
  <c r="W240" i="1" s="1"/>
  <c r="Y422" i="1"/>
  <c r="V422" i="1"/>
  <c r="W422" i="1" s="1"/>
  <c r="V258" i="1"/>
  <c r="W258" i="1" s="1"/>
  <c r="Y259" i="1"/>
  <c r="V259" i="1"/>
  <c r="W259" i="1" s="1"/>
  <c r="Y255" i="1"/>
  <c r="V255" i="1"/>
  <c r="W255" i="1" s="1"/>
  <c r="Y390" i="1"/>
  <c r="V390" i="1"/>
  <c r="W390" i="1" s="1"/>
  <c r="Y263" i="1"/>
  <c r="V263" i="1"/>
  <c r="W263" i="1" s="1"/>
  <c r="Y434" i="1"/>
  <c r="V434" i="1"/>
  <c r="W434" i="1" s="1"/>
  <c r="Y392" i="1"/>
  <c r="V392" i="1"/>
  <c r="W392" i="1" s="1"/>
  <c r="V344" i="1"/>
  <c r="W344" i="1" s="1"/>
  <c r="Y327" i="1"/>
  <c r="V327" i="1"/>
  <c r="W327" i="1" s="1"/>
  <c r="V347" i="1"/>
  <c r="W347" i="1" s="1"/>
  <c r="Y348" i="1"/>
  <c r="V348" i="1"/>
  <c r="W348" i="1" s="1"/>
  <c r="Y356" i="1"/>
  <c r="V356" i="1"/>
  <c r="W356" i="1" s="1"/>
  <c r="Q326" i="1" l="1"/>
  <c r="Q281" i="1"/>
  <c r="Q283" i="1"/>
  <c r="W9" i="1"/>
  <c r="X9" i="1" s="1"/>
  <c r="D283" i="1"/>
  <c r="X40" i="1"/>
  <c r="X30" i="1"/>
  <c r="X248" i="1"/>
  <c r="X201" i="1"/>
  <c r="X86" i="1"/>
  <c r="X285" i="1"/>
  <c r="X392" i="1"/>
  <c r="X142" i="1"/>
  <c r="X273" i="1"/>
  <c r="X413" i="1"/>
  <c r="X99" i="1"/>
  <c r="X49" i="1"/>
  <c r="X414" i="1"/>
  <c r="X108" i="1"/>
  <c r="X343" i="1"/>
  <c r="X263" i="1"/>
  <c r="X429" i="1"/>
  <c r="X277" i="1"/>
  <c r="X320" i="1"/>
  <c r="X243" i="1"/>
  <c r="X124" i="1"/>
  <c r="X123" i="1"/>
  <c r="X173" i="1"/>
  <c r="X12" i="1"/>
  <c r="X27" i="1"/>
  <c r="X20" i="1"/>
  <c r="X90" i="1"/>
  <c r="X274" i="1"/>
  <c r="X221" i="1"/>
  <c r="X328" i="1"/>
  <c r="X316" i="1"/>
  <c r="X311" i="1"/>
  <c r="X98" i="1"/>
  <c r="X45" i="1"/>
  <c r="X149" i="1"/>
  <c r="X269" i="1"/>
  <c r="X319" i="1"/>
  <c r="X171" i="1"/>
  <c r="X94" i="1"/>
  <c r="X260" i="1"/>
  <c r="X66" i="1"/>
  <c r="X180" i="1"/>
  <c r="X169" i="1"/>
  <c r="X39" i="1"/>
  <c r="X23" i="1"/>
  <c r="X333" i="1"/>
  <c r="X97" i="1"/>
  <c r="X425" i="1"/>
  <c r="X105" i="1"/>
  <c r="X211" i="1"/>
  <c r="X189" i="1"/>
  <c r="X151" i="1"/>
  <c r="X80" i="1"/>
  <c r="X146" i="1"/>
  <c r="X110" i="1"/>
  <c r="X42" i="1"/>
  <c r="X35" i="1"/>
  <c r="X34" i="1"/>
  <c r="X71" i="1"/>
  <c r="X25" i="1"/>
  <c r="Y12" i="1"/>
  <c r="X161" i="1"/>
  <c r="X190" i="1"/>
  <c r="X58" i="1"/>
  <c r="X48" i="1"/>
  <c r="X348" i="1"/>
  <c r="X422" i="1"/>
  <c r="X215" i="1"/>
  <c r="X112" i="1"/>
  <c r="X252" i="1"/>
  <c r="X230" i="1"/>
  <c r="X271" i="1"/>
  <c r="X220" i="1"/>
  <c r="X295" i="1"/>
  <c r="X364" i="1"/>
  <c r="X160" i="1"/>
  <c r="X129" i="1"/>
  <c r="X196" i="1"/>
  <c r="X107" i="1"/>
  <c r="X122" i="1"/>
  <c r="Y27" i="1"/>
  <c r="X73" i="1"/>
  <c r="X26" i="1"/>
  <c r="X261" i="1"/>
  <c r="X120" i="1"/>
  <c r="X148" i="1"/>
  <c r="X159" i="1"/>
  <c r="X115" i="1"/>
  <c r="X318" i="1"/>
  <c r="X167" i="1"/>
  <c r="X33" i="1"/>
  <c r="X217" i="1"/>
  <c r="X379" i="1"/>
  <c r="X238" i="1"/>
  <c r="X370" i="1"/>
  <c r="X324" i="1"/>
  <c r="X296" i="1"/>
  <c r="X430" i="1"/>
  <c r="X174" i="1"/>
  <c r="X286" i="1"/>
  <c r="X241" i="1"/>
  <c r="X176" i="1"/>
  <c r="X82" i="1"/>
  <c r="X155" i="1"/>
  <c r="X182" i="1"/>
  <c r="X225" i="1"/>
  <c r="X135" i="1"/>
  <c r="X179" i="1"/>
  <c r="X235" i="1"/>
  <c r="X314" i="1"/>
  <c r="X152" i="1"/>
  <c r="X47" i="1"/>
  <c r="X347" i="1"/>
  <c r="X322" i="1"/>
  <c r="X198" i="1"/>
  <c r="X194" i="1"/>
  <c r="X427" i="1"/>
  <c r="Y379" i="1"/>
  <c r="X339" i="1"/>
  <c r="Y155" i="1"/>
  <c r="X139" i="1"/>
  <c r="X267" i="1"/>
  <c r="X213" i="1"/>
  <c r="X166" i="1"/>
  <c r="X209" i="1"/>
  <c r="X128" i="1"/>
  <c r="X233" i="1"/>
  <c r="X204" i="1"/>
  <c r="X188" i="1"/>
  <c r="X43" i="1"/>
  <c r="X157" i="1"/>
  <c r="X89" i="1"/>
  <c r="X249" i="1"/>
  <c r="X15" i="1"/>
  <c r="X61" i="1"/>
  <c r="X259" i="1"/>
  <c r="X240" i="1"/>
  <c r="X270" i="1"/>
  <c r="X298" i="1"/>
  <c r="X290" i="1"/>
  <c r="X218" i="1"/>
  <c r="X388" i="1"/>
  <c r="X244" i="1"/>
  <c r="X206" i="1"/>
  <c r="X133" i="1"/>
  <c r="X382" i="1"/>
  <c r="X236" i="1"/>
  <c r="X251" i="1"/>
  <c r="X121" i="1"/>
  <c r="X74" i="1"/>
  <c r="X178" i="1"/>
  <c r="X156" i="1"/>
  <c r="X257" i="1"/>
  <c r="X138" i="1"/>
  <c r="X154" i="1"/>
  <c r="Y152" i="1"/>
  <c r="X85" i="1"/>
  <c r="X17" i="1"/>
  <c r="X165" i="1"/>
  <c r="X64" i="1"/>
  <c r="X299" i="1"/>
  <c r="X433" i="1"/>
  <c r="X428" i="1"/>
  <c r="X262" i="1"/>
  <c r="X192" i="1"/>
  <c r="X342" i="1"/>
  <c r="X181" i="1"/>
  <c r="X172" i="1"/>
  <c r="X315" i="1"/>
  <c r="X338" i="1"/>
  <c r="X268" i="1"/>
  <c r="X187" i="1"/>
  <c r="X203" i="1"/>
  <c r="X163" i="1"/>
  <c r="X132" i="1"/>
  <c r="X205" i="1"/>
  <c r="X141" i="1"/>
  <c r="X162" i="1"/>
  <c r="X239" i="1"/>
  <c r="X101" i="1"/>
  <c r="X265" i="1"/>
  <c r="X199" i="1"/>
  <c r="X46" i="1"/>
  <c r="X100" i="1"/>
  <c r="X67" i="1"/>
  <c r="Y35" i="1"/>
  <c r="X62" i="1"/>
  <c r="Y182" i="1"/>
  <c r="X276" i="1"/>
  <c r="X246" i="1"/>
  <c r="X234" i="1"/>
  <c r="X289" i="1"/>
  <c r="X103" i="1"/>
  <c r="X185" i="1"/>
  <c r="X145" i="1"/>
  <c r="X111" i="1"/>
  <c r="X214" i="1"/>
  <c r="X226" i="1"/>
  <c r="X81" i="1"/>
  <c r="X18" i="1"/>
  <c r="X5" i="1"/>
  <c r="X29" i="1"/>
  <c r="Y29" i="1"/>
  <c r="X68" i="1"/>
  <c r="X143" i="1"/>
  <c r="X228" i="1"/>
  <c r="X158" i="1"/>
  <c r="X177" i="1"/>
  <c r="X266" i="1"/>
  <c r="X137" i="1"/>
  <c r="X104" i="1"/>
  <c r="X264" i="1"/>
  <c r="Y241" i="1"/>
  <c r="X13" i="1"/>
  <c r="X109" i="1"/>
  <c r="X245" i="1"/>
  <c r="X255" i="1"/>
  <c r="X237" i="1"/>
  <c r="X383" i="1"/>
  <c r="X216" i="1"/>
  <c r="X212" i="1"/>
  <c r="X131" i="1"/>
  <c r="X330" i="1"/>
  <c r="X229" i="1"/>
  <c r="Y176" i="1"/>
  <c r="X79" i="1"/>
  <c r="X247" i="1"/>
  <c r="X250" i="1"/>
  <c r="X254" i="1"/>
  <c r="X117" i="1"/>
  <c r="Y89" i="1"/>
  <c r="Y286" i="1"/>
  <c r="X76" i="1"/>
  <c r="X384" i="1"/>
  <c r="X136" i="1"/>
  <c r="X41" i="1"/>
  <c r="X70" i="1"/>
  <c r="X37" i="1"/>
  <c r="X164" i="1"/>
  <c r="X2" i="1"/>
  <c r="X144" i="1"/>
  <c r="X87" i="1"/>
  <c r="X227" i="1"/>
  <c r="X300" i="1"/>
  <c r="Y298" i="1"/>
  <c r="X272" i="1"/>
  <c r="Y290" i="1"/>
  <c r="Y218" i="1"/>
  <c r="X219" i="1"/>
  <c r="Y433" i="1"/>
  <c r="Y388" i="1"/>
  <c r="X207" i="1"/>
  <c r="Y244" i="1"/>
  <c r="Y428" i="1"/>
  <c r="X592" i="1"/>
  <c r="X191" i="1"/>
  <c r="Y206" i="1"/>
  <c r="X183" i="1"/>
  <c r="X325" i="1"/>
  <c r="X278" i="1"/>
  <c r="X335" i="1"/>
  <c r="X170" i="1"/>
  <c r="X140" i="1"/>
  <c r="X168" i="1"/>
  <c r="X210" i="1"/>
  <c r="X130" i="1"/>
  <c r="X127" i="1"/>
  <c r="Y382" i="1"/>
  <c r="X106" i="1"/>
  <c r="Y251" i="1"/>
  <c r="X175" i="1"/>
  <c r="X63" i="1"/>
  <c r="X242" i="1"/>
  <c r="X153" i="1"/>
  <c r="X59" i="1"/>
  <c r="X7" i="1"/>
  <c r="Y61" i="1"/>
  <c r="X102" i="1"/>
  <c r="X113" i="1"/>
  <c r="X232" i="1"/>
  <c r="X323" i="1"/>
  <c r="X125" i="1"/>
  <c r="X114" i="1"/>
  <c r="X96" i="1"/>
  <c r="X184" i="1"/>
  <c r="X292" i="1"/>
  <c r="X54" i="1"/>
  <c r="Y54" i="1"/>
  <c r="X83" i="1"/>
  <c r="X16" i="1"/>
  <c r="X6" i="1"/>
  <c r="X53" i="1"/>
  <c r="X202" i="1"/>
  <c r="X56" i="1"/>
  <c r="X24" i="1"/>
  <c r="X50" i="1"/>
  <c r="X231" i="1"/>
  <c r="X195" i="1"/>
  <c r="X60" i="1"/>
  <c r="X55" i="1"/>
  <c r="X4" i="1"/>
  <c r="X21" i="1"/>
  <c r="X14" i="1"/>
  <c r="X36" i="1"/>
  <c r="X186" i="1"/>
  <c r="X134" i="1"/>
  <c r="X72" i="1"/>
  <c r="X57" i="1"/>
  <c r="X84" i="1"/>
  <c r="X19" i="1"/>
  <c r="Y53" i="1"/>
  <c r="X38" i="1"/>
  <c r="X3" i="1"/>
  <c r="X10" i="1"/>
  <c r="X258" i="1"/>
  <c r="Y258" i="1"/>
  <c r="X291" i="1"/>
  <c r="X222" i="1"/>
  <c r="X331" i="1"/>
  <c r="X224" i="1"/>
  <c r="X197" i="1"/>
  <c r="X193" i="1"/>
  <c r="X317" i="1"/>
  <c r="X344" i="1"/>
  <c r="Y344" i="1"/>
  <c r="X434" i="1"/>
  <c r="X92" i="1"/>
  <c r="Y347" i="1"/>
  <c r="X356" i="1"/>
  <c r="X341" i="1"/>
  <c r="X288" i="1"/>
  <c r="X327" i="1"/>
  <c r="X223" i="1"/>
  <c r="X313" i="1"/>
  <c r="X88" i="1"/>
  <c r="X256" i="1"/>
  <c r="X65" i="1"/>
  <c r="X390" i="1"/>
  <c r="X208" i="1"/>
  <c r="Y322" i="1"/>
  <c r="Y238" i="1"/>
  <c r="Y167" i="1"/>
  <c r="Y157" i="1"/>
  <c r="Y323" i="1"/>
  <c r="X78" i="1"/>
  <c r="X118" i="1"/>
  <c r="X150" i="1"/>
  <c r="X282" i="1"/>
  <c r="X126" i="1"/>
  <c r="Y154" i="1"/>
  <c r="Y120" i="1"/>
  <c r="X119" i="1"/>
  <c r="X253" i="1"/>
  <c r="Y17" i="1"/>
  <c r="X11" i="1"/>
  <c r="X147" i="1"/>
  <c r="X51" i="1"/>
  <c r="Y50" i="1"/>
  <c r="Y148" i="1"/>
  <c r="Y299" i="1"/>
  <c r="Y74" i="1"/>
  <c r="Y156" i="1"/>
  <c r="Y249" i="1"/>
  <c r="Y292" i="1"/>
  <c r="X116" i="1"/>
  <c r="X44" i="1"/>
  <c r="Y226" i="1"/>
  <c r="X91" i="1"/>
  <c r="Y15" i="1"/>
  <c r="Y300" i="1"/>
  <c r="Y291" i="1"/>
  <c r="Y222" i="1"/>
  <c r="Y331" i="1"/>
  <c r="Y224" i="1"/>
  <c r="Y193" i="1"/>
  <c r="Y325" i="1"/>
  <c r="Y335" i="1"/>
  <c r="Y159" i="1"/>
  <c r="Y174" i="1"/>
  <c r="Y267" i="1"/>
  <c r="Y166" i="1"/>
  <c r="Y225" i="1"/>
  <c r="Y133" i="1"/>
  <c r="Y135" i="1"/>
  <c r="Y234" i="1"/>
  <c r="Y229" i="1"/>
  <c r="Y235" i="1"/>
  <c r="Y250" i="1"/>
  <c r="Y125" i="1"/>
  <c r="Y114" i="1"/>
  <c r="Y186" i="1"/>
  <c r="Y272" i="1"/>
  <c r="Y219" i="1"/>
  <c r="Y207" i="1"/>
  <c r="Y592" i="1"/>
  <c r="Y197" i="1"/>
  <c r="Y317" i="1"/>
  <c r="Y278" i="1"/>
  <c r="Y170" i="1"/>
  <c r="Y324" i="1"/>
  <c r="Y33" i="1"/>
  <c r="X200" i="1"/>
  <c r="X69" i="1"/>
  <c r="Y36" i="1"/>
  <c r="Y82" i="1"/>
  <c r="Y47" i="1"/>
  <c r="X75" i="1"/>
  <c r="Y134" i="1"/>
  <c r="Y296" i="1"/>
  <c r="Y217" i="1"/>
  <c r="Y430" i="1"/>
  <c r="Y318" i="1"/>
  <c r="Y177" i="1"/>
  <c r="Y137" i="1"/>
  <c r="Y127" i="1"/>
  <c r="Y233" i="1"/>
  <c r="Y188" i="1"/>
  <c r="Y162" i="1"/>
  <c r="Y239" i="1"/>
  <c r="Y236" i="1"/>
  <c r="Y265" i="1"/>
  <c r="Y314" i="1"/>
  <c r="Y115" i="1"/>
  <c r="Y425" i="1"/>
  <c r="Y185" i="1"/>
  <c r="Y65" i="1"/>
  <c r="Y256" i="1"/>
  <c r="X93" i="1"/>
  <c r="Y24" i="1"/>
  <c r="Y21" i="1"/>
  <c r="X31" i="1"/>
  <c r="Y14" i="1"/>
  <c r="Y67" i="1"/>
  <c r="Y64" i="1"/>
  <c r="Y147" i="1"/>
  <c r="Y84" i="1"/>
  <c r="Y38" i="1"/>
  <c r="Y83" i="1"/>
  <c r="Y16" i="1"/>
  <c r="X32" i="1"/>
  <c r="Y60" i="1"/>
  <c r="X52" i="1"/>
  <c r="Y69" i="1"/>
  <c r="Y34" i="1"/>
  <c r="Y51" i="1"/>
  <c r="Y19" i="1"/>
  <c r="Y6" i="1"/>
  <c r="X22" i="1"/>
  <c r="Y22" i="1"/>
  <c r="X8" i="1"/>
  <c r="Y8" i="1"/>
  <c r="Y9" i="1"/>
  <c r="I973" i="6"/>
  <c r="J973" i="6"/>
  <c r="A356" i="1"/>
  <c r="C356" i="1"/>
  <c r="B356" i="1" s="1"/>
  <c r="A347" i="1"/>
  <c r="A348" i="1"/>
  <c r="C347" i="1"/>
  <c r="B347" i="1" s="1"/>
  <c r="C348" i="1"/>
  <c r="B348" i="1" s="1"/>
  <c r="A327" i="1"/>
  <c r="C327" i="1"/>
  <c r="B327" i="1" s="1"/>
  <c r="A344" i="1"/>
  <c r="C344" i="1"/>
  <c r="B344" i="1" s="1"/>
  <c r="A392" i="1"/>
  <c r="C392" i="1"/>
  <c r="B392" i="1" s="1"/>
  <c r="A434" i="1"/>
  <c r="C434" i="1"/>
  <c r="B434" i="1" s="1"/>
  <c r="A390" i="1"/>
  <c r="C390" i="1"/>
  <c r="B390" i="1" s="1"/>
  <c r="A429" i="1"/>
  <c r="C429" i="1"/>
  <c r="B429" i="1" s="1"/>
  <c r="A414" i="1"/>
  <c r="C414" i="1"/>
  <c r="B414" i="1" s="1"/>
  <c r="A262" i="1"/>
  <c r="C262" i="1"/>
  <c r="B262" i="1" s="1"/>
  <c r="M262" i="1"/>
  <c r="O262" i="1"/>
  <c r="T262" i="1"/>
  <c r="K227" i="1"/>
  <c r="A227" i="1"/>
  <c r="C227" i="1"/>
  <c r="B227" i="1" s="1"/>
  <c r="T227" i="1"/>
  <c r="A240" i="1"/>
  <c r="C240" i="1"/>
  <c r="B240" i="1" s="1"/>
  <c r="T240" i="1"/>
  <c r="A263" i="1"/>
  <c r="C263" i="1"/>
  <c r="B263" i="1" s="1"/>
  <c r="T263" i="1"/>
  <c r="A274" i="1"/>
  <c r="C274" i="1"/>
  <c r="B274" i="1" s="1"/>
  <c r="T274" i="1"/>
  <c r="S274" i="1"/>
  <c r="K270" i="1"/>
  <c r="A270" i="1"/>
  <c r="C270" i="1"/>
  <c r="B270" i="1" s="1"/>
  <c r="T270" i="1"/>
  <c r="C28" i="104"/>
  <c r="C27" i="104"/>
  <c r="C26" i="104"/>
  <c r="C24" i="104"/>
  <c r="C25" i="104"/>
  <c r="C21" i="104"/>
  <c r="C20" i="104"/>
  <c r="C9" i="104"/>
  <c r="C19" i="104"/>
  <c r="C18" i="104"/>
  <c r="C17" i="104"/>
  <c r="C16" i="104"/>
  <c r="C15" i="104"/>
  <c r="C14" i="104"/>
  <c r="C13" i="104"/>
  <c r="C12" i="104"/>
  <c r="C8" i="104"/>
  <c r="C7" i="104"/>
  <c r="C11" i="104"/>
  <c r="C10" i="104"/>
  <c r="C6" i="104"/>
  <c r="C5" i="104"/>
  <c r="C4" i="104"/>
  <c r="C3" i="104"/>
  <c r="C2" i="104"/>
  <c r="D28" i="16"/>
  <c r="B28" i="16"/>
  <c r="D22" i="16"/>
  <c r="C22" i="16"/>
  <c r="B22" i="16"/>
  <c r="D20" i="16"/>
  <c r="C20" i="16"/>
  <c r="B20" i="16"/>
  <c r="I890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31" i="6"/>
  <c r="I932" i="6"/>
  <c r="I925" i="6"/>
  <c r="I929" i="6"/>
  <c r="I930" i="6"/>
  <c r="I926" i="6"/>
  <c r="I928" i="6"/>
  <c r="I927" i="6"/>
  <c r="I933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34" i="6"/>
  <c r="I935" i="6"/>
  <c r="I948" i="6"/>
  <c r="I950" i="6"/>
  <c r="I949" i="6"/>
  <c r="I951" i="6"/>
  <c r="I952" i="6"/>
  <c r="I953" i="6"/>
  <c r="I954" i="6"/>
  <c r="I955" i="6"/>
  <c r="I956" i="6"/>
  <c r="I957" i="6"/>
  <c r="I958" i="6"/>
  <c r="I959" i="6"/>
  <c r="I967" i="6"/>
  <c r="I960" i="6"/>
  <c r="I964" i="6"/>
  <c r="I965" i="6"/>
  <c r="I961" i="6"/>
  <c r="I963" i="6"/>
  <c r="I962" i="6"/>
  <c r="I966" i="6"/>
  <c r="I972" i="6"/>
  <c r="I968" i="6"/>
  <c r="I971" i="6"/>
  <c r="I970" i="6"/>
  <c r="I969" i="6"/>
  <c r="I974" i="6"/>
  <c r="I975" i="6"/>
  <c r="I976" i="6"/>
  <c r="I977" i="6"/>
  <c r="I986" i="6"/>
  <c r="I987" i="6"/>
  <c r="I988" i="6"/>
  <c r="I989" i="6"/>
  <c r="I990" i="6"/>
  <c r="I992" i="6"/>
  <c r="I993" i="6"/>
  <c r="I994" i="6"/>
  <c r="J890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31" i="6"/>
  <c r="J932" i="6"/>
  <c r="J925" i="6"/>
  <c r="J929" i="6"/>
  <c r="J930" i="6"/>
  <c r="J926" i="6"/>
  <c r="J928" i="6"/>
  <c r="J927" i="6"/>
  <c r="J933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34" i="6"/>
  <c r="J935" i="6"/>
  <c r="J948" i="6"/>
  <c r="J950" i="6"/>
  <c r="J949" i="6"/>
  <c r="J951" i="6"/>
  <c r="J952" i="6"/>
  <c r="J953" i="6"/>
  <c r="J954" i="6"/>
  <c r="J955" i="6"/>
  <c r="J956" i="6"/>
  <c r="J957" i="6"/>
  <c r="J958" i="6"/>
  <c r="J959" i="6"/>
  <c r="J967" i="6"/>
  <c r="J960" i="6"/>
  <c r="J964" i="6"/>
  <c r="J965" i="6"/>
  <c r="J961" i="6"/>
  <c r="J963" i="6"/>
  <c r="J962" i="6"/>
  <c r="J966" i="6"/>
  <c r="J972" i="6"/>
  <c r="J968" i="6"/>
  <c r="J971" i="6"/>
  <c r="J970" i="6"/>
  <c r="J969" i="6"/>
  <c r="J974" i="6"/>
  <c r="J975" i="6"/>
  <c r="J976" i="6"/>
  <c r="J977" i="6"/>
  <c r="J986" i="6"/>
  <c r="J987" i="6"/>
  <c r="J988" i="6"/>
  <c r="J989" i="6"/>
  <c r="J990" i="6"/>
  <c r="J992" i="6"/>
  <c r="J993" i="6"/>
  <c r="J994" i="6"/>
  <c r="B28" i="104"/>
  <c r="A28" i="104"/>
  <c r="B27" i="104"/>
  <c r="A27" i="104"/>
  <c r="B26" i="104"/>
  <c r="A26" i="104"/>
  <c r="B24" i="104"/>
  <c r="A24" i="104"/>
  <c r="B25" i="104"/>
  <c r="A25" i="104"/>
  <c r="B21" i="104"/>
  <c r="A21" i="104"/>
  <c r="I20" i="104"/>
  <c r="B20" i="104"/>
  <c r="A20" i="104"/>
  <c r="H9" i="104"/>
  <c r="B9" i="104"/>
  <c r="A9" i="104"/>
  <c r="H19" i="104"/>
  <c r="I19" i="104" s="1"/>
  <c r="B19" i="104"/>
  <c r="A19" i="104"/>
  <c r="H18" i="104"/>
  <c r="I18" i="104" s="1"/>
  <c r="B18" i="104"/>
  <c r="A18" i="104"/>
  <c r="H17" i="104"/>
  <c r="I17" i="104" s="1"/>
  <c r="B17" i="104"/>
  <c r="A17" i="104"/>
  <c r="I16" i="104"/>
  <c r="B16" i="104"/>
  <c r="A16" i="104"/>
  <c r="H15" i="104"/>
  <c r="B15" i="104"/>
  <c r="A15" i="104"/>
  <c r="H14" i="104"/>
  <c r="B14" i="104"/>
  <c r="A14" i="104"/>
  <c r="H13" i="104"/>
  <c r="B13" i="104"/>
  <c r="A13" i="104"/>
  <c r="H12" i="104"/>
  <c r="B12" i="104"/>
  <c r="A12" i="104"/>
  <c r="H8" i="104"/>
  <c r="B8" i="104"/>
  <c r="A8" i="104"/>
  <c r="H7" i="104"/>
  <c r="B7" i="104"/>
  <c r="A7" i="104"/>
  <c r="H11" i="104"/>
  <c r="B11" i="104"/>
  <c r="A11" i="104"/>
  <c r="H10" i="104"/>
  <c r="B10" i="104"/>
  <c r="A10" i="104"/>
  <c r="H6" i="104"/>
  <c r="B6" i="104"/>
  <c r="A6" i="104"/>
  <c r="H5" i="104"/>
  <c r="B5" i="104"/>
  <c r="A5" i="104"/>
  <c r="H4" i="104"/>
  <c r="B4" i="104"/>
  <c r="A4" i="104"/>
  <c r="H3" i="104"/>
  <c r="B3" i="104"/>
  <c r="A3" i="104"/>
  <c r="H2" i="104"/>
  <c r="B2" i="104"/>
  <c r="A2" i="104"/>
  <c r="T16" i="1"/>
  <c r="T226" i="1"/>
  <c r="T260" i="1"/>
  <c r="T138" i="1"/>
  <c r="T160" i="1"/>
  <c r="T50" i="1"/>
  <c r="T93" i="1"/>
  <c r="T94" i="1"/>
  <c r="T190" i="1"/>
  <c r="T126" i="1"/>
  <c r="T48" i="1"/>
  <c r="T27" i="1"/>
  <c r="T2" i="1"/>
  <c r="T44" i="1"/>
  <c r="T45" i="1"/>
  <c r="T99" i="1"/>
  <c r="T137" i="1"/>
  <c r="T191" i="1"/>
  <c r="T183" i="1"/>
  <c r="T198" i="1"/>
  <c r="T127" i="1"/>
  <c r="T128" i="1"/>
  <c r="T130" i="1"/>
  <c r="T129" i="1"/>
  <c r="T132" i="1"/>
  <c r="T131" i="1"/>
  <c r="T6" i="1"/>
  <c r="T7" i="1"/>
  <c r="T241" i="1"/>
  <c r="T242" i="1"/>
  <c r="T58" i="1"/>
  <c r="T133" i="1"/>
  <c r="T39" i="1"/>
  <c r="T139" i="1"/>
  <c r="T8" i="1"/>
  <c r="T9" i="1"/>
  <c r="T10" i="1"/>
  <c r="T11" i="1"/>
  <c r="T12" i="1"/>
  <c r="T261" i="1"/>
  <c r="T79" i="1"/>
  <c r="T155" i="1"/>
  <c r="T171" i="1"/>
  <c r="T192" i="1"/>
  <c r="T17" i="1"/>
  <c r="T103" i="1"/>
  <c r="T174" i="1"/>
  <c r="T26" i="1"/>
  <c r="T73" i="1"/>
  <c r="T134" i="1"/>
  <c r="T51" i="1"/>
  <c r="T13" i="1"/>
  <c r="T30" i="1"/>
  <c r="T46" i="1"/>
  <c r="T74" i="1"/>
  <c r="T80" i="1"/>
  <c r="T104" i="1"/>
  <c r="T113" i="1"/>
  <c r="T140" i="1"/>
  <c r="T172" i="1"/>
  <c r="T207" i="1"/>
  <c r="T105" i="1"/>
  <c r="T106" i="1"/>
  <c r="T161" i="1"/>
  <c r="T75" i="1"/>
  <c r="T81" i="1"/>
  <c r="T136" i="1"/>
  <c r="T82" i="1"/>
  <c r="T157" i="1"/>
  <c r="T158" i="1"/>
  <c r="T18" i="1"/>
  <c r="T19" i="1"/>
  <c r="T71" i="1"/>
  <c r="T229" i="1"/>
  <c r="T59" i="1"/>
  <c r="T156" i="1"/>
  <c r="T72" i="1"/>
  <c r="T243" i="1"/>
  <c r="T244" i="1"/>
  <c r="T43" i="1"/>
  <c r="T230" i="1"/>
  <c r="T231" i="1"/>
  <c r="T4" i="1"/>
  <c r="T173" i="1"/>
  <c r="T76" i="1"/>
  <c r="T141" i="1"/>
  <c r="T170" i="1"/>
  <c r="T60" i="1"/>
  <c r="T175" i="1"/>
  <c r="T256" i="1"/>
  <c r="T257" i="1"/>
  <c r="T277" i="1"/>
  <c r="T52" i="1"/>
  <c r="T53" i="1"/>
  <c r="T55" i="1"/>
  <c r="T54" i="1"/>
  <c r="T56" i="1"/>
  <c r="T142" i="1"/>
  <c r="T143" i="1"/>
  <c r="T144" i="1"/>
  <c r="T145" i="1"/>
  <c r="T146" i="1"/>
  <c r="T147" i="1"/>
  <c r="T57" i="1"/>
  <c r="T31" i="1"/>
  <c r="T32" i="1"/>
  <c r="T184" i="1"/>
  <c r="T200" i="1"/>
  <c r="T201" i="1"/>
  <c r="T189" i="1"/>
  <c r="T23" i="1"/>
  <c r="T22" i="1"/>
  <c r="T149" i="1"/>
  <c r="T148" i="1"/>
  <c r="T202" i="1"/>
  <c r="T5" i="1"/>
  <c r="T289" i="1"/>
  <c r="T108" i="1"/>
  <c r="T61" i="1"/>
  <c r="T62" i="1"/>
  <c r="T117" i="1"/>
  <c r="T118" i="1"/>
  <c r="T208" i="1"/>
  <c r="T209" i="1"/>
  <c r="T210" i="1"/>
  <c r="T64" i="1"/>
  <c r="T121" i="1"/>
  <c r="T211" i="1"/>
  <c r="T135" i="1"/>
  <c r="T34" i="1"/>
  <c r="T96" i="1"/>
  <c r="T162" i="1"/>
  <c r="T163" i="1"/>
  <c r="T164" i="1"/>
  <c r="T165" i="1"/>
  <c r="T66" i="1"/>
  <c r="T122" i="1"/>
  <c r="T212" i="1"/>
  <c r="T35" i="1"/>
  <c r="T36" i="1"/>
  <c r="T114" i="1"/>
  <c r="T115" i="1"/>
  <c r="T167" i="1"/>
  <c r="T166" i="1"/>
  <c r="T68" i="1"/>
  <c r="T67" i="1"/>
  <c r="T123" i="1"/>
  <c r="T203" i="1"/>
  <c r="T69" i="1"/>
  <c r="T124" i="1"/>
  <c r="T213" i="1"/>
  <c r="T78" i="1"/>
  <c r="T112" i="1"/>
  <c r="T37" i="1"/>
  <c r="T97" i="1"/>
  <c r="T168" i="1"/>
  <c r="T42" i="1"/>
  <c r="T92" i="1"/>
  <c r="T169" i="1"/>
  <c r="T98" i="1"/>
  <c r="T187" i="1"/>
  <c r="T70" i="1"/>
  <c r="T125" i="1"/>
  <c r="T215" i="1"/>
  <c r="T216" i="1"/>
  <c r="T245" i="1"/>
  <c r="T186" i="1"/>
  <c r="T47" i="1"/>
  <c r="T119" i="1"/>
  <c r="T232" i="1"/>
  <c r="T233" i="1"/>
  <c r="T267" i="1"/>
  <c r="T268" i="1"/>
  <c r="T33" i="1"/>
  <c r="T3" i="1"/>
  <c r="T63" i="1"/>
  <c r="T40" i="1"/>
  <c r="T193" i="1"/>
  <c r="T150" i="1"/>
  <c r="T176" i="1"/>
  <c r="T234" i="1"/>
  <c r="T14" i="1"/>
  <c r="T15" i="1"/>
  <c r="T100" i="1"/>
  <c r="T101" i="1"/>
  <c r="T177" i="1"/>
  <c r="T199" i="1"/>
  <c r="T235" i="1"/>
  <c r="T236" i="1"/>
  <c r="T237" i="1"/>
  <c r="T228" i="1"/>
  <c r="T252" i="1"/>
  <c r="T253" i="1"/>
  <c r="T120" i="1"/>
  <c r="T246" i="1"/>
  <c r="T38" i="1"/>
  <c r="T83" i="1"/>
  <c r="T194" i="1"/>
  <c r="T65" i="1"/>
  <c r="T88" i="1"/>
  <c r="T41" i="1"/>
  <c r="T89" i="1"/>
  <c r="T151" i="1"/>
  <c r="T90" i="1"/>
  <c r="T152" i="1"/>
  <c r="T254" i="1"/>
  <c r="T205" i="1"/>
  <c r="T49" i="1"/>
  <c r="T29" i="1"/>
  <c r="T116" i="1"/>
  <c r="T188" i="1"/>
  <c r="T225" i="1"/>
  <c r="T238" i="1"/>
  <c r="T266" i="1"/>
  <c r="T180" i="1"/>
  <c r="T102" i="1"/>
  <c r="T153" i="1"/>
  <c r="T185" i="1"/>
  <c r="T247" i="1"/>
  <c r="T109" i="1"/>
  <c r="T110" i="1"/>
  <c r="T178" i="1"/>
  <c r="T179" i="1"/>
  <c r="T25" i="1"/>
  <c r="T24" i="1"/>
  <c r="T107" i="1"/>
  <c r="T84" i="1"/>
  <c r="T85" i="1"/>
  <c r="T181" i="1"/>
  <c r="T20" i="1"/>
  <c r="T21" i="1"/>
  <c r="T182" i="1"/>
  <c r="T195" i="1"/>
  <c r="T196" i="1"/>
  <c r="T159" i="1"/>
  <c r="T206" i="1"/>
  <c r="T86" i="1"/>
  <c r="T87" i="1"/>
  <c r="T214" i="1"/>
  <c r="T249" i="1"/>
  <c r="T248" i="1"/>
  <c r="T251" i="1"/>
  <c r="T250" i="1"/>
  <c r="T265" i="1"/>
  <c r="T204" i="1"/>
  <c r="T111" i="1"/>
  <c r="T91" i="1"/>
  <c r="T154" i="1"/>
  <c r="T239" i="1"/>
  <c r="T264" i="1"/>
  <c r="T222" i="1"/>
  <c r="T217" i="1"/>
  <c r="T220" i="1"/>
  <c r="T219" i="1"/>
  <c r="T221" i="1"/>
  <c r="T218" i="1"/>
  <c r="T258" i="1"/>
  <c r="T259" i="1"/>
  <c r="T255" i="1"/>
  <c r="D384" i="1"/>
  <c r="A16" i="1"/>
  <c r="A226" i="1"/>
  <c r="A260" i="1"/>
  <c r="A138" i="1"/>
  <c r="A160" i="1"/>
  <c r="A50" i="1"/>
  <c r="A93" i="1"/>
  <c r="A94" i="1"/>
  <c r="A190" i="1"/>
  <c r="A126" i="1"/>
  <c r="A48" i="1"/>
  <c r="A27" i="1"/>
  <c r="A2" i="1"/>
  <c r="A44" i="1"/>
  <c r="A45" i="1"/>
  <c r="A99" i="1"/>
  <c r="A137" i="1"/>
  <c r="A191" i="1"/>
  <c r="A422" i="1"/>
  <c r="A183" i="1"/>
  <c r="A198" i="1"/>
  <c r="A127" i="1"/>
  <c r="A128" i="1"/>
  <c r="A130" i="1"/>
  <c r="A129" i="1"/>
  <c r="A132" i="1"/>
  <c r="A131" i="1"/>
  <c r="A290" i="1"/>
  <c r="A6" i="1"/>
  <c r="A7" i="1"/>
  <c r="A241" i="1"/>
  <c r="A242" i="1"/>
  <c r="A282" i="1"/>
  <c r="A58" i="1"/>
  <c r="A133" i="1"/>
  <c r="A39" i="1"/>
  <c r="A139" i="1"/>
  <c r="A8" i="1"/>
  <c r="A9" i="1"/>
  <c r="A10" i="1"/>
  <c r="A11" i="1"/>
  <c r="A12" i="1"/>
  <c r="A261" i="1"/>
  <c r="A79" i="1"/>
  <c r="A155" i="1"/>
  <c r="A171" i="1"/>
  <c r="A192" i="1"/>
  <c r="A17" i="1"/>
  <c r="A103" i="1"/>
  <c r="A174" i="1"/>
  <c r="A26" i="1"/>
  <c r="A73" i="1"/>
  <c r="A134" i="1"/>
  <c r="A51" i="1"/>
  <c r="A291" i="1"/>
  <c r="A296" i="1"/>
  <c r="A13" i="1"/>
  <c r="A30" i="1"/>
  <c r="A46" i="1"/>
  <c r="A74" i="1"/>
  <c r="A80" i="1"/>
  <c r="A104" i="1"/>
  <c r="A113" i="1"/>
  <c r="A140" i="1"/>
  <c r="A172" i="1"/>
  <c r="A207" i="1"/>
  <c r="A105" i="1"/>
  <c r="A106" i="1"/>
  <c r="A161" i="1"/>
  <c r="A269" i="1"/>
  <c r="A272" i="1"/>
  <c r="A75" i="1"/>
  <c r="A81" i="1"/>
  <c r="A136" i="1"/>
  <c r="A82" i="1"/>
  <c r="A157" i="1"/>
  <c r="A158" i="1"/>
  <c r="A18" i="1"/>
  <c r="A19" i="1"/>
  <c r="A71" i="1"/>
  <c r="A229" i="1"/>
  <c r="A271" i="1"/>
  <c r="A59" i="1"/>
  <c r="A156" i="1"/>
  <c r="A298" i="1"/>
  <c r="A72" i="1"/>
  <c r="A243" i="1"/>
  <c r="A244" i="1"/>
  <c r="A273" i="1"/>
  <c r="A43" i="1"/>
  <c r="A230" i="1"/>
  <c r="A231" i="1"/>
  <c r="A4" i="1"/>
  <c r="A173" i="1"/>
  <c r="A76" i="1"/>
  <c r="A141" i="1"/>
  <c r="A170" i="1"/>
  <c r="A60" i="1"/>
  <c r="A175" i="1"/>
  <c r="A256" i="1"/>
  <c r="A257" i="1"/>
  <c r="A277" i="1"/>
  <c r="A299" i="1"/>
  <c r="A52" i="1"/>
  <c r="A53" i="1"/>
  <c r="A55" i="1"/>
  <c r="A54" i="1"/>
  <c r="A56" i="1"/>
  <c r="A142" i="1"/>
  <c r="A143" i="1"/>
  <c r="A144" i="1"/>
  <c r="A145" i="1"/>
  <c r="A300" i="1"/>
  <c r="A295" i="1"/>
  <c r="A388" i="1"/>
  <c r="A146" i="1"/>
  <c r="A147" i="1"/>
  <c r="A57" i="1"/>
  <c r="A343" i="1"/>
  <c r="A433" i="1"/>
  <c r="A31" i="1"/>
  <c r="A32" i="1"/>
  <c r="A184" i="1"/>
  <c r="A200" i="1"/>
  <c r="A201" i="1"/>
  <c r="A189" i="1"/>
  <c r="A328" i="1"/>
  <c r="A331" i="1"/>
  <c r="A430" i="1"/>
  <c r="A23" i="1"/>
  <c r="A22" i="1"/>
  <c r="A149" i="1"/>
  <c r="A148" i="1"/>
  <c r="A202" i="1"/>
  <c r="A592" i="1"/>
  <c r="A5" i="1"/>
  <c r="A285" i="1"/>
  <c r="A289" i="1"/>
  <c r="A108" i="1"/>
  <c r="A61" i="1"/>
  <c r="A62" i="1"/>
  <c r="A117" i="1"/>
  <c r="A118" i="1"/>
  <c r="A208" i="1"/>
  <c r="A209" i="1"/>
  <c r="A210" i="1"/>
  <c r="A364" i="1"/>
  <c r="A64" i="1"/>
  <c r="A121" i="1"/>
  <c r="A211" i="1"/>
  <c r="A224" i="1"/>
  <c r="A135" i="1"/>
  <c r="A34" i="1"/>
  <c r="A96" i="1"/>
  <c r="A162" i="1"/>
  <c r="A163" i="1"/>
  <c r="A164" i="1"/>
  <c r="A165" i="1"/>
  <c r="A66" i="1"/>
  <c r="A122" i="1"/>
  <c r="A212" i="1"/>
  <c r="A35" i="1"/>
  <c r="A36" i="1"/>
  <c r="A114" i="1"/>
  <c r="A115" i="1"/>
  <c r="A167" i="1"/>
  <c r="A166" i="1"/>
  <c r="A68" i="1"/>
  <c r="A67" i="1"/>
  <c r="A123" i="1"/>
  <c r="A203" i="1"/>
  <c r="A333" i="1"/>
  <c r="A69" i="1"/>
  <c r="A124" i="1"/>
  <c r="A213" i="1"/>
  <c r="A78" i="1"/>
  <c r="A112" i="1"/>
  <c r="A322" i="1"/>
  <c r="A37" i="1"/>
  <c r="A97" i="1"/>
  <c r="A168" i="1"/>
  <c r="A42" i="1"/>
  <c r="A92" i="1"/>
  <c r="A169" i="1"/>
  <c r="A98" i="1"/>
  <c r="A187" i="1"/>
  <c r="A70" i="1"/>
  <c r="A125" i="1"/>
  <c r="A215" i="1"/>
  <c r="A216" i="1"/>
  <c r="A197" i="1"/>
  <c r="A413" i="1"/>
  <c r="A245" i="1"/>
  <c r="A186" i="1"/>
  <c r="A342" i="1"/>
  <c r="A47" i="1"/>
  <c r="A119" i="1"/>
  <c r="A232" i="1"/>
  <c r="A233" i="1"/>
  <c r="A267" i="1"/>
  <c r="A268" i="1"/>
  <c r="A341" i="1"/>
  <c r="A325" i="1"/>
  <c r="A223" i="1"/>
  <c r="A315" i="1"/>
  <c r="A278" i="1"/>
  <c r="A33" i="1"/>
  <c r="A3" i="1"/>
  <c r="A63" i="1"/>
  <c r="A40" i="1"/>
  <c r="A193" i="1"/>
  <c r="A150" i="1"/>
  <c r="A176" i="1"/>
  <c r="A234" i="1"/>
  <c r="A276" i="1"/>
  <c r="A14" i="1"/>
  <c r="A15" i="1"/>
  <c r="A100" i="1"/>
  <c r="A101" i="1"/>
  <c r="A177" i="1"/>
  <c r="A199" i="1"/>
  <c r="A235" i="1"/>
  <c r="A236" i="1"/>
  <c r="A237" i="1"/>
  <c r="A228" i="1"/>
  <c r="A252" i="1"/>
  <c r="A253" i="1"/>
  <c r="A120" i="1"/>
  <c r="A246" i="1"/>
  <c r="A335" i="1"/>
  <c r="A38" i="1"/>
  <c r="A319" i="1"/>
  <c r="A313" i="1"/>
  <c r="A83" i="1"/>
  <c r="A316" i="1"/>
  <c r="A194" i="1"/>
  <c r="A65" i="1"/>
  <c r="A88" i="1"/>
  <c r="A41" i="1"/>
  <c r="A89" i="1"/>
  <c r="A151" i="1"/>
  <c r="A90" i="1"/>
  <c r="A379" i="1"/>
  <c r="A152" i="1"/>
  <c r="A254" i="1"/>
  <c r="A339" i="1"/>
  <c r="A205" i="1"/>
  <c r="A324" i="1"/>
  <c r="A49" i="1"/>
  <c r="A29" i="1"/>
  <c r="A116" i="1"/>
  <c r="A188" i="1"/>
  <c r="A225" i="1"/>
  <c r="A238" i="1"/>
  <c r="A383" i="1"/>
  <c r="A266" i="1"/>
  <c r="A180" i="1"/>
  <c r="A338" i="1"/>
  <c r="A102" i="1"/>
  <c r="A153" i="1"/>
  <c r="A185" i="1"/>
  <c r="A247" i="1"/>
  <c r="A317" i="1"/>
  <c r="A318" i="1"/>
  <c r="A109" i="1"/>
  <c r="A110" i="1"/>
  <c r="A178" i="1"/>
  <c r="A179" i="1"/>
  <c r="A330" i="1"/>
  <c r="A25" i="1"/>
  <c r="A24" i="1"/>
  <c r="A107" i="1"/>
  <c r="A84" i="1"/>
  <c r="A85" i="1"/>
  <c r="A320" i="1"/>
  <c r="A181" i="1"/>
  <c r="A382" i="1"/>
  <c r="A20" i="1"/>
  <c r="A21" i="1"/>
  <c r="A182" i="1"/>
  <c r="A428" i="1"/>
  <c r="A427" i="1"/>
  <c r="A288" i="1"/>
  <c r="A195" i="1"/>
  <c r="A196" i="1"/>
  <c r="A159" i="1"/>
  <c r="A323" i="1"/>
  <c r="A206" i="1"/>
  <c r="A86" i="1"/>
  <c r="A87" i="1"/>
  <c r="A214" i="1"/>
  <c r="A249" i="1"/>
  <c r="A248" i="1"/>
  <c r="A251" i="1"/>
  <c r="A250" i="1"/>
  <c r="A265" i="1"/>
  <c r="A204" i="1"/>
  <c r="A111" i="1"/>
  <c r="A91" i="1"/>
  <c r="A154" i="1"/>
  <c r="A239" i="1"/>
  <c r="A264" i="1"/>
  <c r="A311" i="1"/>
  <c r="A222" i="1"/>
  <c r="A217" i="1"/>
  <c r="A220" i="1"/>
  <c r="A219" i="1"/>
  <c r="A221" i="1"/>
  <c r="A218" i="1"/>
  <c r="A314" i="1"/>
  <c r="A425" i="1"/>
  <c r="A286" i="1"/>
  <c r="A384" i="1"/>
  <c r="A292" i="1"/>
  <c r="A258" i="1"/>
  <c r="A259" i="1"/>
  <c r="A255" i="1"/>
  <c r="A370" i="1"/>
  <c r="C16" i="1"/>
  <c r="B16" i="1" s="1"/>
  <c r="C226" i="1"/>
  <c r="B226" i="1" s="1"/>
  <c r="C260" i="1"/>
  <c r="B260" i="1" s="1"/>
  <c r="C138" i="1"/>
  <c r="B138" i="1" s="1"/>
  <c r="C160" i="1"/>
  <c r="B160" i="1" s="1"/>
  <c r="C50" i="1"/>
  <c r="B50" i="1" s="1"/>
  <c r="C93" i="1"/>
  <c r="B93" i="1" s="1"/>
  <c r="C94" i="1"/>
  <c r="B94" i="1" s="1"/>
  <c r="C190" i="1"/>
  <c r="B190" i="1" s="1"/>
  <c r="C126" i="1"/>
  <c r="B126" i="1" s="1"/>
  <c r="C48" i="1"/>
  <c r="B48" i="1" s="1"/>
  <c r="C27" i="1"/>
  <c r="B27" i="1" s="1"/>
  <c r="C2" i="1"/>
  <c r="B2" i="1" s="1"/>
  <c r="C44" i="1"/>
  <c r="B44" i="1" s="1"/>
  <c r="C45" i="1"/>
  <c r="B45" i="1" s="1"/>
  <c r="C99" i="1"/>
  <c r="B99" i="1" s="1"/>
  <c r="C137" i="1"/>
  <c r="B137" i="1" s="1"/>
  <c r="C191" i="1"/>
  <c r="B191" i="1" s="1"/>
  <c r="C422" i="1"/>
  <c r="B422" i="1" s="1"/>
  <c r="C183" i="1"/>
  <c r="B183" i="1" s="1"/>
  <c r="C198" i="1"/>
  <c r="B198" i="1" s="1"/>
  <c r="C127" i="1"/>
  <c r="B127" i="1" s="1"/>
  <c r="C128" i="1"/>
  <c r="B128" i="1" s="1"/>
  <c r="C130" i="1"/>
  <c r="B130" i="1" s="1"/>
  <c r="C129" i="1"/>
  <c r="B129" i="1" s="1"/>
  <c r="C132" i="1"/>
  <c r="B132" i="1" s="1"/>
  <c r="C131" i="1"/>
  <c r="B131" i="1" s="1"/>
  <c r="C290" i="1"/>
  <c r="B290" i="1" s="1"/>
  <c r="C6" i="1"/>
  <c r="B6" i="1" s="1"/>
  <c r="C7" i="1"/>
  <c r="B7" i="1" s="1"/>
  <c r="C241" i="1"/>
  <c r="B241" i="1" s="1"/>
  <c r="C242" i="1"/>
  <c r="B242" i="1" s="1"/>
  <c r="C282" i="1"/>
  <c r="B282" i="1" s="1"/>
  <c r="C58" i="1"/>
  <c r="B58" i="1" s="1"/>
  <c r="C133" i="1"/>
  <c r="B133" i="1" s="1"/>
  <c r="C39" i="1"/>
  <c r="B39" i="1" s="1"/>
  <c r="C139" i="1"/>
  <c r="B139" i="1" s="1"/>
  <c r="C8" i="1"/>
  <c r="B8" i="1" s="1"/>
  <c r="C9" i="1"/>
  <c r="B9" i="1" s="1"/>
  <c r="C10" i="1"/>
  <c r="B10" i="1" s="1"/>
  <c r="C11" i="1"/>
  <c r="B11" i="1" s="1"/>
  <c r="C12" i="1"/>
  <c r="B12" i="1" s="1"/>
  <c r="C261" i="1"/>
  <c r="B261" i="1" s="1"/>
  <c r="C79" i="1"/>
  <c r="B79" i="1" s="1"/>
  <c r="C155" i="1"/>
  <c r="B155" i="1" s="1"/>
  <c r="C171" i="1"/>
  <c r="B171" i="1" s="1"/>
  <c r="C192" i="1"/>
  <c r="B192" i="1" s="1"/>
  <c r="C17" i="1"/>
  <c r="B17" i="1" s="1"/>
  <c r="C103" i="1"/>
  <c r="B103" i="1" s="1"/>
  <c r="C174" i="1"/>
  <c r="B174" i="1" s="1"/>
  <c r="C26" i="1"/>
  <c r="B26" i="1" s="1"/>
  <c r="C73" i="1"/>
  <c r="B73" i="1" s="1"/>
  <c r="C134" i="1"/>
  <c r="B134" i="1" s="1"/>
  <c r="C51" i="1"/>
  <c r="B51" i="1" s="1"/>
  <c r="C291" i="1"/>
  <c r="B291" i="1" s="1"/>
  <c r="C296" i="1"/>
  <c r="B296" i="1" s="1"/>
  <c r="C13" i="1"/>
  <c r="B13" i="1" s="1"/>
  <c r="C30" i="1"/>
  <c r="B30" i="1" s="1"/>
  <c r="C46" i="1"/>
  <c r="B46" i="1" s="1"/>
  <c r="C74" i="1"/>
  <c r="B74" i="1" s="1"/>
  <c r="C80" i="1"/>
  <c r="B80" i="1" s="1"/>
  <c r="C104" i="1"/>
  <c r="B104" i="1" s="1"/>
  <c r="C113" i="1"/>
  <c r="B113" i="1" s="1"/>
  <c r="C140" i="1"/>
  <c r="B140" i="1" s="1"/>
  <c r="C172" i="1"/>
  <c r="B172" i="1" s="1"/>
  <c r="C207" i="1"/>
  <c r="B207" i="1" s="1"/>
  <c r="C105" i="1"/>
  <c r="B105" i="1" s="1"/>
  <c r="C106" i="1"/>
  <c r="B106" i="1" s="1"/>
  <c r="C161" i="1"/>
  <c r="B161" i="1" s="1"/>
  <c r="C269" i="1"/>
  <c r="B269" i="1" s="1"/>
  <c r="C272" i="1"/>
  <c r="B272" i="1" s="1"/>
  <c r="C75" i="1"/>
  <c r="B75" i="1" s="1"/>
  <c r="C81" i="1"/>
  <c r="B81" i="1" s="1"/>
  <c r="C136" i="1"/>
  <c r="B136" i="1" s="1"/>
  <c r="C82" i="1"/>
  <c r="B82" i="1" s="1"/>
  <c r="C157" i="1"/>
  <c r="B157" i="1" s="1"/>
  <c r="C158" i="1"/>
  <c r="B158" i="1" s="1"/>
  <c r="C18" i="1"/>
  <c r="B18" i="1" s="1"/>
  <c r="C19" i="1"/>
  <c r="B19" i="1" s="1"/>
  <c r="C71" i="1"/>
  <c r="B71" i="1" s="1"/>
  <c r="C229" i="1"/>
  <c r="B229" i="1" s="1"/>
  <c r="C271" i="1"/>
  <c r="B271" i="1" s="1"/>
  <c r="C59" i="1"/>
  <c r="B59" i="1" s="1"/>
  <c r="C156" i="1"/>
  <c r="B156" i="1" s="1"/>
  <c r="C298" i="1"/>
  <c r="B298" i="1" s="1"/>
  <c r="C72" i="1"/>
  <c r="B72" i="1" s="1"/>
  <c r="C243" i="1"/>
  <c r="B243" i="1" s="1"/>
  <c r="C244" i="1"/>
  <c r="B244" i="1" s="1"/>
  <c r="C273" i="1"/>
  <c r="B273" i="1" s="1"/>
  <c r="C43" i="1"/>
  <c r="B43" i="1" s="1"/>
  <c r="C230" i="1"/>
  <c r="B230" i="1" s="1"/>
  <c r="C231" i="1"/>
  <c r="B231" i="1" s="1"/>
  <c r="C4" i="1"/>
  <c r="B4" i="1" s="1"/>
  <c r="C173" i="1"/>
  <c r="B173" i="1" s="1"/>
  <c r="C76" i="1"/>
  <c r="B76" i="1" s="1"/>
  <c r="C141" i="1"/>
  <c r="B141" i="1" s="1"/>
  <c r="C170" i="1"/>
  <c r="B170" i="1" s="1"/>
  <c r="C60" i="1"/>
  <c r="B60" i="1" s="1"/>
  <c r="C175" i="1"/>
  <c r="B175" i="1" s="1"/>
  <c r="C256" i="1"/>
  <c r="B256" i="1" s="1"/>
  <c r="C257" i="1"/>
  <c r="B257" i="1" s="1"/>
  <c r="C277" i="1"/>
  <c r="B277" i="1" s="1"/>
  <c r="C299" i="1"/>
  <c r="B299" i="1" s="1"/>
  <c r="C52" i="1"/>
  <c r="B52" i="1" s="1"/>
  <c r="C53" i="1"/>
  <c r="B53" i="1" s="1"/>
  <c r="C55" i="1"/>
  <c r="B55" i="1" s="1"/>
  <c r="C54" i="1"/>
  <c r="B54" i="1" s="1"/>
  <c r="C56" i="1"/>
  <c r="B56" i="1" s="1"/>
  <c r="C142" i="1"/>
  <c r="B142" i="1" s="1"/>
  <c r="C143" i="1"/>
  <c r="B143" i="1" s="1"/>
  <c r="C144" i="1"/>
  <c r="B144" i="1" s="1"/>
  <c r="C145" i="1"/>
  <c r="B145" i="1" s="1"/>
  <c r="C300" i="1"/>
  <c r="B300" i="1" s="1"/>
  <c r="C295" i="1"/>
  <c r="B295" i="1" s="1"/>
  <c r="C388" i="1"/>
  <c r="B388" i="1" s="1"/>
  <c r="C146" i="1"/>
  <c r="B146" i="1" s="1"/>
  <c r="C147" i="1"/>
  <c r="B147" i="1" s="1"/>
  <c r="C57" i="1"/>
  <c r="B57" i="1" s="1"/>
  <c r="C343" i="1"/>
  <c r="B343" i="1" s="1"/>
  <c r="C433" i="1"/>
  <c r="B433" i="1" s="1"/>
  <c r="C31" i="1"/>
  <c r="B31" i="1" s="1"/>
  <c r="C32" i="1"/>
  <c r="B32" i="1" s="1"/>
  <c r="C184" i="1"/>
  <c r="B184" i="1" s="1"/>
  <c r="C200" i="1"/>
  <c r="B200" i="1" s="1"/>
  <c r="C201" i="1"/>
  <c r="B201" i="1" s="1"/>
  <c r="C189" i="1"/>
  <c r="B189" i="1" s="1"/>
  <c r="C328" i="1"/>
  <c r="B328" i="1" s="1"/>
  <c r="C331" i="1"/>
  <c r="B331" i="1" s="1"/>
  <c r="C430" i="1"/>
  <c r="B430" i="1" s="1"/>
  <c r="C23" i="1"/>
  <c r="B23" i="1" s="1"/>
  <c r="C22" i="1"/>
  <c r="B22" i="1" s="1"/>
  <c r="C149" i="1"/>
  <c r="B149" i="1" s="1"/>
  <c r="C148" i="1"/>
  <c r="B148" i="1" s="1"/>
  <c r="C202" i="1"/>
  <c r="B202" i="1" s="1"/>
  <c r="C592" i="1"/>
  <c r="B592" i="1" s="1"/>
  <c r="C5" i="1"/>
  <c r="B5" i="1" s="1"/>
  <c r="C285" i="1"/>
  <c r="B285" i="1" s="1"/>
  <c r="C289" i="1"/>
  <c r="B289" i="1" s="1"/>
  <c r="C108" i="1"/>
  <c r="B108" i="1" s="1"/>
  <c r="C61" i="1"/>
  <c r="B61" i="1" s="1"/>
  <c r="C62" i="1"/>
  <c r="B62" i="1" s="1"/>
  <c r="C117" i="1"/>
  <c r="B117" i="1" s="1"/>
  <c r="C118" i="1"/>
  <c r="B118" i="1" s="1"/>
  <c r="C208" i="1"/>
  <c r="B208" i="1" s="1"/>
  <c r="C209" i="1"/>
  <c r="B209" i="1" s="1"/>
  <c r="C210" i="1"/>
  <c r="B210" i="1" s="1"/>
  <c r="C364" i="1"/>
  <c r="B364" i="1" s="1"/>
  <c r="C64" i="1"/>
  <c r="B64" i="1" s="1"/>
  <c r="C121" i="1"/>
  <c r="B121" i="1" s="1"/>
  <c r="C211" i="1"/>
  <c r="B211" i="1" s="1"/>
  <c r="C224" i="1"/>
  <c r="B224" i="1" s="1"/>
  <c r="C135" i="1"/>
  <c r="B135" i="1" s="1"/>
  <c r="C34" i="1"/>
  <c r="B34" i="1" s="1"/>
  <c r="C96" i="1"/>
  <c r="B96" i="1" s="1"/>
  <c r="C162" i="1"/>
  <c r="B162" i="1" s="1"/>
  <c r="C163" i="1"/>
  <c r="B163" i="1" s="1"/>
  <c r="C164" i="1"/>
  <c r="B164" i="1" s="1"/>
  <c r="C165" i="1"/>
  <c r="B165" i="1" s="1"/>
  <c r="C66" i="1"/>
  <c r="B66" i="1" s="1"/>
  <c r="C122" i="1"/>
  <c r="B122" i="1" s="1"/>
  <c r="C212" i="1"/>
  <c r="B212" i="1" s="1"/>
  <c r="C35" i="1"/>
  <c r="B35" i="1" s="1"/>
  <c r="C36" i="1"/>
  <c r="B36" i="1" s="1"/>
  <c r="C114" i="1"/>
  <c r="B114" i="1" s="1"/>
  <c r="C115" i="1"/>
  <c r="B115" i="1" s="1"/>
  <c r="C167" i="1"/>
  <c r="B167" i="1" s="1"/>
  <c r="C166" i="1"/>
  <c r="B166" i="1" s="1"/>
  <c r="C68" i="1"/>
  <c r="B68" i="1" s="1"/>
  <c r="C67" i="1"/>
  <c r="B67" i="1" s="1"/>
  <c r="C123" i="1"/>
  <c r="B123" i="1" s="1"/>
  <c r="C203" i="1"/>
  <c r="B203" i="1" s="1"/>
  <c r="C333" i="1"/>
  <c r="B333" i="1" s="1"/>
  <c r="C69" i="1"/>
  <c r="B69" i="1" s="1"/>
  <c r="C124" i="1"/>
  <c r="B124" i="1" s="1"/>
  <c r="C213" i="1"/>
  <c r="B213" i="1" s="1"/>
  <c r="C78" i="1"/>
  <c r="B78" i="1" s="1"/>
  <c r="C112" i="1"/>
  <c r="B112" i="1" s="1"/>
  <c r="C322" i="1"/>
  <c r="B322" i="1" s="1"/>
  <c r="C37" i="1"/>
  <c r="B37" i="1" s="1"/>
  <c r="C97" i="1"/>
  <c r="B97" i="1" s="1"/>
  <c r="C168" i="1"/>
  <c r="B168" i="1" s="1"/>
  <c r="C42" i="1"/>
  <c r="B42" i="1" s="1"/>
  <c r="C92" i="1"/>
  <c r="B92" i="1" s="1"/>
  <c r="C169" i="1"/>
  <c r="B169" i="1" s="1"/>
  <c r="C98" i="1"/>
  <c r="B98" i="1" s="1"/>
  <c r="C187" i="1"/>
  <c r="B187" i="1" s="1"/>
  <c r="C70" i="1"/>
  <c r="B70" i="1" s="1"/>
  <c r="C125" i="1"/>
  <c r="B125" i="1" s="1"/>
  <c r="C215" i="1"/>
  <c r="B215" i="1" s="1"/>
  <c r="C216" i="1"/>
  <c r="B216" i="1" s="1"/>
  <c r="C197" i="1"/>
  <c r="B197" i="1" s="1"/>
  <c r="C413" i="1"/>
  <c r="B413" i="1" s="1"/>
  <c r="C245" i="1"/>
  <c r="B245" i="1" s="1"/>
  <c r="C186" i="1"/>
  <c r="B186" i="1" s="1"/>
  <c r="C342" i="1"/>
  <c r="B342" i="1" s="1"/>
  <c r="C47" i="1"/>
  <c r="B47" i="1" s="1"/>
  <c r="C119" i="1"/>
  <c r="B119" i="1" s="1"/>
  <c r="C232" i="1"/>
  <c r="B232" i="1" s="1"/>
  <c r="C233" i="1"/>
  <c r="B233" i="1" s="1"/>
  <c r="C267" i="1"/>
  <c r="B267" i="1" s="1"/>
  <c r="C268" i="1"/>
  <c r="B268" i="1" s="1"/>
  <c r="C341" i="1"/>
  <c r="C325" i="1"/>
  <c r="B325" i="1" s="1"/>
  <c r="C223" i="1"/>
  <c r="B223" i="1" s="1"/>
  <c r="C315" i="1"/>
  <c r="B315" i="1" s="1"/>
  <c r="C278" i="1"/>
  <c r="B278" i="1" s="1"/>
  <c r="C33" i="1"/>
  <c r="B33" i="1" s="1"/>
  <c r="C3" i="1"/>
  <c r="B3" i="1" s="1"/>
  <c r="C63" i="1"/>
  <c r="B63" i="1" s="1"/>
  <c r="C40" i="1"/>
  <c r="B40" i="1" s="1"/>
  <c r="C193" i="1"/>
  <c r="B193" i="1" s="1"/>
  <c r="C150" i="1"/>
  <c r="B150" i="1" s="1"/>
  <c r="C176" i="1"/>
  <c r="B176" i="1" s="1"/>
  <c r="C234" i="1"/>
  <c r="B234" i="1" s="1"/>
  <c r="C276" i="1"/>
  <c r="B276" i="1" s="1"/>
  <c r="C14" i="1"/>
  <c r="B14" i="1" s="1"/>
  <c r="C15" i="1"/>
  <c r="B15" i="1" s="1"/>
  <c r="C100" i="1"/>
  <c r="B100" i="1" s="1"/>
  <c r="C101" i="1"/>
  <c r="B101" i="1" s="1"/>
  <c r="C177" i="1"/>
  <c r="B177" i="1" s="1"/>
  <c r="C199" i="1"/>
  <c r="B199" i="1" s="1"/>
  <c r="C235" i="1"/>
  <c r="B235" i="1" s="1"/>
  <c r="C236" i="1"/>
  <c r="B236" i="1" s="1"/>
  <c r="C237" i="1"/>
  <c r="B237" i="1" s="1"/>
  <c r="C228" i="1"/>
  <c r="B228" i="1" s="1"/>
  <c r="C252" i="1"/>
  <c r="B252" i="1" s="1"/>
  <c r="C253" i="1"/>
  <c r="B253" i="1" s="1"/>
  <c r="C120" i="1"/>
  <c r="B120" i="1" s="1"/>
  <c r="C246" i="1"/>
  <c r="B246" i="1" s="1"/>
  <c r="C335" i="1"/>
  <c r="B335" i="1" s="1"/>
  <c r="C38" i="1"/>
  <c r="B38" i="1" s="1"/>
  <c r="C319" i="1"/>
  <c r="B319" i="1" s="1"/>
  <c r="C313" i="1"/>
  <c r="B313" i="1" s="1"/>
  <c r="C83" i="1"/>
  <c r="B83" i="1" s="1"/>
  <c r="C316" i="1"/>
  <c r="B316" i="1" s="1"/>
  <c r="C194" i="1"/>
  <c r="B194" i="1" s="1"/>
  <c r="C65" i="1"/>
  <c r="B65" i="1" s="1"/>
  <c r="C88" i="1"/>
  <c r="B88" i="1" s="1"/>
  <c r="C41" i="1"/>
  <c r="B41" i="1" s="1"/>
  <c r="C89" i="1"/>
  <c r="B89" i="1" s="1"/>
  <c r="C151" i="1"/>
  <c r="B151" i="1" s="1"/>
  <c r="C90" i="1"/>
  <c r="B90" i="1" s="1"/>
  <c r="C379" i="1"/>
  <c r="B379" i="1" s="1"/>
  <c r="C152" i="1"/>
  <c r="B152" i="1" s="1"/>
  <c r="C254" i="1"/>
  <c r="B254" i="1" s="1"/>
  <c r="C339" i="1"/>
  <c r="B339" i="1" s="1"/>
  <c r="C205" i="1"/>
  <c r="B205" i="1" s="1"/>
  <c r="C324" i="1"/>
  <c r="B324" i="1" s="1"/>
  <c r="C49" i="1"/>
  <c r="B49" i="1" s="1"/>
  <c r="C29" i="1"/>
  <c r="B29" i="1" s="1"/>
  <c r="C116" i="1"/>
  <c r="B116" i="1" s="1"/>
  <c r="C188" i="1"/>
  <c r="B188" i="1" s="1"/>
  <c r="C225" i="1"/>
  <c r="B225" i="1" s="1"/>
  <c r="C238" i="1"/>
  <c r="B238" i="1" s="1"/>
  <c r="C383" i="1"/>
  <c r="B383" i="1" s="1"/>
  <c r="C266" i="1"/>
  <c r="B266" i="1" s="1"/>
  <c r="C180" i="1"/>
  <c r="B180" i="1" s="1"/>
  <c r="C338" i="1"/>
  <c r="B338" i="1" s="1"/>
  <c r="C102" i="1"/>
  <c r="B102" i="1" s="1"/>
  <c r="C153" i="1"/>
  <c r="B153" i="1" s="1"/>
  <c r="C185" i="1"/>
  <c r="B185" i="1" s="1"/>
  <c r="C247" i="1"/>
  <c r="B247" i="1" s="1"/>
  <c r="C317" i="1"/>
  <c r="B317" i="1" s="1"/>
  <c r="C318" i="1"/>
  <c r="B318" i="1" s="1"/>
  <c r="C109" i="1"/>
  <c r="B109" i="1" s="1"/>
  <c r="C110" i="1"/>
  <c r="B110" i="1" s="1"/>
  <c r="C178" i="1"/>
  <c r="B178" i="1" s="1"/>
  <c r="C179" i="1"/>
  <c r="B179" i="1" s="1"/>
  <c r="C330" i="1"/>
  <c r="B330" i="1" s="1"/>
  <c r="C25" i="1"/>
  <c r="B25" i="1" s="1"/>
  <c r="C24" i="1"/>
  <c r="B24" i="1" s="1"/>
  <c r="C107" i="1"/>
  <c r="B107" i="1" s="1"/>
  <c r="C84" i="1"/>
  <c r="B84" i="1" s="1"/>
  <c r="C85" i="1"/>
  <c r="B85" i="1" s="1"/>
  <c r="C320" i="1"/>
  <c r="B320" i="1" s="1"/>
  <c r="C181" i="1"/>
  <c r="B181" i="1" s="1"/>
  <c r="C382" i="1"/>
  <c r="B382" i="1" s="1"/>
  <c r="C20" i="1"/>
  <c r="B20" i="1" s="1"/>
  <c r="C21" i="1"/>
  <c r="B21" i="1" s="1"/>
  <c r="C182" i="1"/>
  <c r="B182" i="1" s="1"/>
  <c r="C428" i="1"/>
  <c r="B428" i="1" s="1"/>
  <c r="C427" i="1"/>
  <c r="B427" i="1" s="1"/>
  <c r="C288" i="1"/>
  <c r="B288" i="1" s="1"/>
  <c r="C195" i="1"/>
  <c r="B195" i="1" s="1"/>
  <c r="C196" i="1"/>
  <c r="B196" i="1" s="1"/>
  <c r="C159" i="1"/>
  <c r="B159" i="1" s="1"/>
  <c r="C323" i="1"/>
  <c r="B323" i="1" s="1"/>
  <c r="C206" i="1"/>
  <c r="B206" i="1" s="1"/>
  <c r="C86" i="1"/>
  <c r="B86" i="1" s="1"/>
  <c r="C87" i="1"/>
  <c r="B87" i="1" s="1"/>
  <c r="C214" i="1"/>
  <c r="B214" i="1" s="1"/>
  <c r="C249" i="1"/>
  <c r="B249" i="1" s="1"/>
  <c r="C248" i="1"/>
  <c r="B248" i="1" s="1"/>
  <c r="C251" i="1"/>
  <c r="B251" i="1" s="1"/>
  <c r="C250" i="1"/>
  <c r="B250" i="1" s="1"/>
  <c r="C265" i="1"/>
  <c r="B265" i="1" s="1"/>
  <c r="C204" i="1"/>
  <c r="B204" i="1" s="1"/>
  <c r="C111" i="1"/>
  <c r="B111" i="1" s="1"/>
  <c r="C91" i="1"/>
  <c r="B91" i="1" s="1"/>
  <c r="C154" i="1"/>
  <c r="B154" i="1" s="1"/>
  <c r="C239" i="1"/>
  <c r="B239" i="1" s="1"/>
  <c r="C264" i="1"/>
  <c r="B264" i="1" s="1"/>
  <c r="C311" i="1"/>
  <c r="B311" i="1" s="1"/>
  <c r="C222" i="1"/>
  <c r="B222" i="1" s="1"/>
  <c r="C217" i="1"/>
  <c r="B217" i="1" s="1"/>
  <c r="C220" i="1"/>
  <c r="B220" i="1" s="1"/>
  <c r="C219" i="1"/>
  <c r="B219" i="1" s="1"/>
  <c r="C221" i="1"/>
  <c r="B221" i="1" s="1"/>
  <c r="C218" i="1"/>
  <c r="B218" i="1" s="1"/>
  <c r="C314" i="1"/>
  <c r="B314" i="1" s="1"/>
  <c r="C425" i="1"/>
  <c r="B425" i="1" s="1"/>
  <c r="C286" i="1"/>
  <c r="B286" i="1" s="1"/>
  <c r="C384" i="1"/>
  <c r="B384" i="1" s="1"/>
  <c r="C292" i="1"/>
  <c r="B292" i="1" s="1"/>
  <c r="C258" i="1"/>
  <c r="B258" i="1" s="1"/>
  <c r="C259" i="1"/>
  <c r="B259" i="1" s="1"/>
  <c r="C255" i="1"/>
  <c r="B255" i="1" s="1"/>
  <c r="C370" i="1"/>
  <c r="B370" i="1" s="1"/>
  <c r="D16" i="1"/>
  <c r="D226" i="1"/>
  <c r="D260" i="1"/>
  <c r="D126" i="1"/>
  <c r="D48" i="1"/>
  <c r="D27" i="1"/>
  <c r="D183" i="1"/>
  <c r="D198" i="1"/>
  <c r="D127" i="1"/>
  <c r="D128" i="1"/>
  <c r="D130" i="1"/>
  <c r="D129" i="1"/>
  <c r="D132" i="1"/>
  <c r="D131" i="1"/>
  <c r="D58" i="1"/>
  <c r="D133" i="1"/>
  <c r="D39" i="1"/>
  <c r="D139" i="1"/>
  <c r="D8" i="1"/>
  <c r="D9" i="1"/>
  <c r="D10" i="1"/>
  <c r="D11" i="1"/>
  <c r="D12" i="1"/>
  <c r="D261" i="1"/>
  <c r="D17" i="1"/>
  <c r="D103" i="1"/>
  <c r="D174" i="1"/>
  <c r="D26" i="1"/>
  <c r="D73" i="1"/>
  <c r="D13" i="1"/>
  <c r="D30" i="1"/>
  <c r="D46" i="1"/>
  <c r="D74" i="1"/>
  <c r="D80" i="1"/>
  <c r="D104" i="1"/>
  <c r="D113" i="1"/>
  <c r="D140" i="1"/>
  <c r="D172" i="1"/>
  <c r="D207" i="1"/>
  <c r="D75" i="1"/>
  <c r="D81" i="1"/>
  <c r="D136" i="1"/>
  <c r="D82" i="1"/>
  <c r="D157" i="1"/>
  <c r="D158" i="1"/>
  <c r="D18" i="1"/>
  <c r="D43" i="1"/>
  <c r="D230" i="1"/>
  <c r="D231" i="1"/>
  <c r="D4" i="1"/>
  <c r="D173" i="1"/>
  <c r="D170" i="1"/>
  <c r="D146" i="1"/>
  <c r="D147" i="1"/>
  <c r="D31" i="1"/>
  <c r="D32" i="1"/>
  <c r="D184" i="1"/>
  <c r="D200" i="1"/>
  <c r="D201" i="1"/>
  <c r="D189" i="1"/>
  <c r="D5" i="1"/>
  <c r="D108" i="1"/>
  <c r="D135" i="1"/>
  <c r="D66" i="1"/>
  <c r="D122" i="1"/>
  <c r="D212" i="1"/>
  <c r="D68" i="1"/>
  <c r="D67" i="1"/>
  <c r="D123" i="1"/>
  <c r="D203" i="1"/>
  <c r="D78" i="1"/>
  <c r="D112" i="1"/>
  <c r="D98" i="1"/>
  <c r="D187" i="1"/>
  <c r="D33" i="1"/>
  <c r="D3" i="1"/>
  <c r="D63" i="1"/>
  <c r="D40" i="1"/>
  <c r="D193" i="1"/>
  <c r="D14" i="1"/>
  <c r="D15" i="1"/>
  <c r="D100" i="1"/>
  <c r="D101" i="1"/>
  <c r="D177" i="1"/>
  <c r="D228" i="1"/>
  <c r="D252" i="1"/>
  <c r="D253" i="1"/>
  <c r="D194" i="1"/>
  <c r="D65" i="1"/>
  <c r="D88" i="1"/>
  <c r="D41" i="1"/>
  <c r="D89" i="1"/>
  <c r="D151" i="1"/>
  <c r="D152" i="1"/>
  <c r="D254" i="1"/>
  <c r="D49" i="1"/>
  <c r="D25" i="1"/>
  <c r="D24" i="1"/>
  <c r="D107" i="1"/>
  <c r="D181" i="1"/>
  <c r="D20" i="1"/>
  <c r="D21" i="1"/>
  <c r="D206" i="1"/>
  <c r="D265" i="1"/>
  <c r="D204" i="1"/>
  <c r="D111" i="1"/>
  <c r="D264" i="1"/>
  <c r="D222" i="1"/>
  <c r="D217" i="1"/>
  <c r="D220" i="1"/>
  <c r="D219" i="1"/>
  <c r="D221" i="1"/>
  <c r="D218" i="1"/>
  <c r="D258" i="1"/>
  <c r="D255" i="1"/>
  <c r="D289" i="1"/>
  <c r="S16" i="1"/>
  <c r="S226" i="1"/>
  <c r="S260" i="1"/>
  <c r="S138" i="1"/>
  <c r="S160" i="1"/>
  <c r="S50" i="1"/>
  <c r="S93" i="1"/>
  <c r="S94" i="1"/>
  <c r="S190" i="1"/>
  <c r="S126" i="1"/>
  <c r="S48" i="1"/>
  <c r="S27" i="1"/>
  <c r="S2" i="1"/>
  <c r="S44" i="1"/>
  <c r="S45" i="1"/>
  <c r="S99" i="1"/>
  <c r="S137" i="1"/>
  <c r="S191" i="1"/>
  <c r="S183" i="1"/>
  <c r="S198" i="1"/>
  <c r="S127" i="1"/>
  <c r="S128" i="1"/>
  <c r="S130" i="1"/>
  <c r="S129" i="1"/>
  <c r="S132" i="1"/>
  <c r="S131" i="1"/>
  <c r="S6" i="1"/>
  <c r="S7" i="1"/>
  <c r="S241" i="1"/>
  <c r="S242" i="1"/>
  <c r="S58" i="1"/>
  <c r="S133" i="1"/>
  <c r="S39" i="1"/>
  <c r="S139" i="1"/>
  <c r="S8" i="1"/>
  <c r="S9" i="1"/>
  <c r="S10" i="1"/>
  <c r="S11" i="1"/>
  <c r="S12" i="1"/>
  <c r="S261" i="1"/>
  <c r="S79" i="1"/>
  <c r="S155" i="1"/>
  <c r="S171" i="1"/>
  <c r="S192" i="1"/>
  <c r="S17" i="1"/>
  <c r="S103" i="1"/>
  <c r="S174" i="1"/>
  <c r="S26" i="1"/>
  <c r="S73" i="1"/>
  <c r="S134" i="1"/>
  <c r="S51" i="1"/>
  <c r="S13" i="1"/>
  <c r="S30" i="1"/>
  <c r="S46" i="1"/>
  <c r="S74" i="1"/>
  <c r="S80" i="1"/>
  <c r="S104" i="1"/>
  <c r="S113" i="1"/>
  <c r="S140" i="1"/>
  <c r="S172" i="1"/>
  <c r="S207" i="1"/>
  <c r="S105" i="1"/>
  <c r="S106" i="1"/>
  <c r="S161" i="1"/>
  <c r="S75" i="1"/>
  <c r="S81" i="1"/>
  <c r="S136" i="1"/>
  <c r="S82" i="1"/>
  <c r="S157" i="1"/>
  <c r="S158" i="1"/>
  <c r="S18" i="1"/>
  <c r="S19" i="1"/>
  <c r="S71" i="1"/>
  <c r="S229" i="1"/>
  <c r="S59" i="1"/>
  <c r="S156" i="1"/>
  <c r="S72" i="1"/>
  <c r="S243" i="1"/>
  <c r="S244" i="1"/>
  <c r="S43" i="1"/>
  <c r="S230" i="1"/>
  <c r="S231" i="1"/>
  <c r="S4" i="1"/>
  <c r="S173" i="1"/>
  <c r="S76" i="1"/>
  <c r="S141" i="1"/>
  <c r="S170" i="1"/>
  <c r="S60" i="1"/>
  <c r="S175" i="1"/>
  <c r="S256" i="1"/>
  <c r="S257" i="1"/>
  <c r="S277" i="1"/>
  <c r="S52" i="1"/>
  <c r="S53" i="1"/>
  <c r="S55" i="1"/>
  <c r="S54" i="1"/>
  <c r="S56" i="1"/>
  <c r="S142" i="1"/>
  <c r="S143" i="1"/>
  <c r="S144" i="1"/>
  <c r="S145" i="1"/>
  <c r="S146" i="1"/>
  <c r="S147" i="1"/>
  <c r="S57" i="1"/>
  <c r="S31" i="1"/>
  <c r="S32" i="1"/>
  <c r="S184" i="1"/>
  <c r="S200" i="1"/>
  <c r="S201" i="1"/>
  <c r="S189" i="1"/>
  <c r="S23" i="1"/>
  <c r="S22" i="1"/>
  <c r="S149" i="1"/>
  <c r="S148" i="1"/>
  <c r="S202" i="1"/>
  <c r="S5" i="1"/>
  <c r="S289" i="1"/>
  <c r="S108" i="1"/>
  <c r="S61" i="1"/>
  <c r="S62" i="1"/>
  <c r="S117" i="1"/>
  <c r="S118" i="1"/>
  <c r="S208" i="1"/>
  <c r="S209" i="1"/>
  <c r="S210" i="1"/>
  <c r="S64" i="1"/>
  <c r="S121" i="1"/>
  <c r="S211" i="1"/>
  <c r="S135" i="1"/>
  <c r="S34" i="1"/>
  <c r="S96" i="1"/>
  <c r="S162" i="1"/>
  <c r="S163" i="1"/>
  <c r="S164" i="1"/>
  <c r="S165" i="1"/>
  <c r="S66" i="1"/>
  <c r="S122" i="1"/>
  <c r="S212" i="1"/>
  <c r="S35" i="1"/>
  <c r="S36" i="1"/>
  <c r="S114" i="1"/>
  <c r="S115" i="1"/>
  <c r="S167" i="1"/>
  <c r="S166" i="1"/>
  <c r="S68" i="1"/>
  <c r="S67" i="1"/>
  <c r="S123" i="1"/>
  <c r="S203" i="1"/>
  <c r="S69" i="1"/>
  <c r="S124" i="1"/>
  <c r="S213" i="1"/>
  <c r="S78" i="1"/>
  <c r="S112" i="1"/>
  <c r="S37" i="1"/>
  <c r="S97" i="1"/>
  <c r="S168" i="1"/>
  <c r="S42" i="1"/>
  <c r="S92" i="1"/>
  <c r="S169" i="1"/>
  <c r="S98" i="1"/>
  <c r="S187" i="1"/>
  <c r="S70" i="1"/>
  <c r="S125" i="1"/>
  <c r="S215" i="1"/>
  <c r="S216" i="1"/>
  <c r="S245" i="1"/>
  <c r="S186" i="1"/>
  <c r="S47" i="1"/>
  <c r="S119" i="1"/>
  <c r="S232" i="1"/>
  <c r="S233" i="1"/>
  <c r="S267" i="1"/>
  <c r="S268" i="1"/>
  <c r="S33" i="1"/>
  <c r="S3" i="1"/>
  <c r="S63" i="1"/>
  <c r="S40" i="1"/>
  <c r="S193" i="1"/>
  <c r="S150" i="1"/>
  <c r="S176" i="1"/>
  <c r="S234" i="1"/>
  <c r="S14" i="1"/>
  <c r="S15" i="1"/>
  <c r="S100" i="1"/>
  <c r="S101" i="1"/>
  <c r="S177" i="1"/>
  <c r="S199" i="1"/>
  <c r="S235" i="1"/>
  <c r="S236" i="1"/>
  <c r="S237" i="1"/>
  <c r="S228" i="1"/>
  <c r="S252" i="1"/>
  <c r="S253" i="1"/>
  <c r="S120" i="1"/>
  <c r="S246" i="1"/>
  <c r="S38" i="1"/>
  <c r="S83" i="1"/>
  <c r="S194" i="1"/>
  <c r="S65" i="1"/>
  <c r="S88" i="1"/>
  <c r="S41" i="1"/>
  <c r="S89" i="1"/>
  <c r="S151" i="1"/>
  <c r="S90" i="1"/>
  <c r="S152" i="1"/>
  <c r="S254" i="1"/>
  <c r="S205" i="1"/>
  <c r="S49" i="1"/>
  <c r="S29" i="1"/>
  <c r="S116" i="1"/>
  <c r="S188" i="1"/>
  <c r="S225" i="1"/>
  <c r="S238" i="1"/>
  <c r="S266" i="1"/>
  <c r="S180" i="1"/>
  <c r="S102" i="1"/>
  <c r="S153" i="1"/>
  <c r="S185" i="1"/>
  <c r="S247" i="1"/>
  <c r="S109" i="1"/>
  <c r="S110" i="1"/>
  <c r="S178" i="1"/>
  <c r="S179" i="1"/>
  <c r="S25" i="1"/>
  <c r="S24" i="1"/>
  <c r="S107" i="1"/>
  <c r="S84" i="1"/>
  <c r="S85" i="1"/>
  <c r="S181" i="1"/>
  <c r="S20" i="1"/>
  <c r="S21" i="1"/>
  <c r="S182" i="1"/>
  <c r="S195" i="1"/>
  <c r="S196" i="1"/>
  <c r="S159" i="1"/>
  <c r="S206" i="1"/>
  <c r="S86" i="1"/>
  <c r="S87" i="1"/>
  <c r="S214" i="1"/>
  <c r="S249" i="1"/>
  <c r="S248" i="1"/>
  <c r="S251" i="1"/>
  <c r="S250" i="1"/>
  <c r="S265" i="1"/>
  <c r="S204" i="1"/>
  <c r="S111" i="1"/>
  <c r="S91" i="1"/>
  <c r="S154" i="1"/>
  <c r="S239" i="1"/>
  <c r="S264" i="1"/>
  <c r="S222" i="1"/>
  <c r="S217" i="1"/>
  <c r="S220" i="1"/>
  <c r="S219" i="1"/>
  <c r="S221" i="1"/>
  <c r="S218" i="1"/>
  <c r="S258" i="1"/>
  <c r="S259" i="1"/>
  <c r="S255" i="1"/>
  <c r="R283" i="1" l="1"/>
  <c r="R281" i="1"/>
  <c r="D281" i="1" s="1"/>
  <c r="R326" i="1"/>
  <c r="D326" i="1" s="1"/>
  <c r="P158" i="1"/>
  <c r="P181" i="1"/>
  <c r="P73" i="1"/>
  <c r="P3" i="1"/>
  <c r="P4" i="1"/>
  <c r="P231" i="1"/>
  <c r="P5" i="1"/>
  <c r="P2" i="1"/>
  <c r="P58" i="1"/>
  <c r="Q58" i="1" s="1"/>
  <c r="P22" i="1"/>
  <c r="P32" i="1"/>
  <c r="P93" i="1"/>
  <c r="P91" i="1"/>
  <c r="P119" i="1"/>
  <c r="P282" i="1"/>
  <c r="P327" i="1"/>
  <c r="Q327" i="1" s="1"/>
  <c r="P344" i="1"/>
  <c r="P57" i="1"/>
  <c r="P55" i="1"/>
  <c r="P96" i="1"/>
  <c r="P232" i="1"/>
  <c r="P7" i="1"/>
  <c r="P63" i="1"/>
  <c r="P168" i="1"/>
  <c r="P191" i="1"/>
  <c r="P41" i="1"/>
  <c r="P216" i="1"/>
  <c r="P245" i="1"/>
  <c r="P264" i="1"/>
  <c r="P68" i="1"/>
  <c r="P18" i="1"/>
  <c r="P111" i="1"/>
  <c r="P289" i="1"/>
  <c r="P100" i="1"/>
  <c r="P101" i="1"/>
  <c r="P205" i="1"/>
  <c r="P187" i="1"/>
  <c r="P172" i="1"/>
  <c r="P262" i="1"/>
  <c r="P259" i="1"/>
  <c r="P204" i="1"/>
  <c r="P194" i="1"/>
  <c r="P179" i="1"/>
  <c r="P261" i="1"/>
  <c r="P122" i="1"/>
  <c r="P160" i="1"/>
  <c r="P271" i="1"/>
  <c r="P215" i="1"/>
  <c r="P25" i="1"/>
  <c r="P42" i="1"/>
  <c r="P151" i="1"/>
  <c r="P425" i="1"/>
  <c r="P39" i="1"/>
  <c r="P260" i="1"/>
  <c r="P269" i="1"/>
  <c r="P311" i="1"/>
  <c r="P274" i="1"/>
  <c r="P12" i="1"/>
  <c r="P243" i="1"/>
  <c r="P263" i="1"/>
  <c r="P49" i="1"/>
  <c r="P142" i="1"/>
  <c r="P201" i="1"/>
  <c r="P31" i="1"/>
  <c r="P75" i="1"/>
  <c r="P11" i="1"/>
  <c r="Q150" i="1"/>
  <c r="P208" i="1"/>
  <c r="P88" i="1"/>
  <c r="P288" i="1"/>
  <c r="P92" i="1"/>
  <c r="P317" i="1"/>
  <c r="P72" i="1"/>
  <c r="P113" i="1"/>
  <c r="P59" i="1"/>
  <c r="P175" i="1"/>
  <c r="P140" i="1"/>
  <c r="P164" i="1"/>
  <c r="P136" i="1"/>
  <c r="P247" i="1"/>
  <c r="P330" i="1"/>
  <c r="P383" i="1"/>
  <c r="P109" i="1"/>
  <c r="P104" i="1"/>
  <c r="P81" i="1"/>
  <c r="P145" i="1"/>
  <c r="Q62" i="1"/>
  <c r="P46" i="1"/>
  <c r="P132" i="1"/>
  <c r="P268" i="1"/>
  <c r="Q181" i="1"/>
  <c r="P428" i="1"/>
  <c r="Q428" i="1" s="1"/>
  <c r="P165" i="1"/>
  <c r="P178" i="1"/>
  <c r="P236" i="1"/>
  <c r="P244" i="1"/>
  <c r="P213" i="1"/>
  <c r="P339" i="1"/>
  <c r="P198" i="1"/>
  <c r="P370" i="1"/>
  <c r="P159" i="1"/>
  <c r="P26" i="1"/>
  <c r="P107" i="1"/>
  <c r="P364" i="1"/>
  <c r="P230" i="1"/>
  <c r="P422" i="1"/>
  <c r="P190" i="1"/>
  <c r="P71" i="1"/>
  <c r="P110" i="1"/>
  <c r="P189" i="1"/>
  <c r="P97" i="1"/>
  <c r="P169" i="1"/>
  <c r="P94" i="1"/>
  <c r="P149" i="1"/>
  <c r="P316" i="1"/>
  <c r="P90" i="1"/>
  <c r="P173" i="1"/>
  <c r="P320" i="1"/>
  <c r="P343" i="1"/>
  <c r="P99" i="1"/>
  <c r="P392" i="1"/>
  <c r="P248" i="1"/>
  <c r="P52" i="1"/>
  <c r="P200" i="1"/>
  <c r="P44" i="1"/>
  <c r="Q118" i="1"/>
  <c r="P390" i="1"/>
  <c r="P313" i="1"/>
  <c r="P341" i="1"/>
  <c r="P434" i="1"/>
  <c r="Q434" i="1" s="1"/>
  <c r="P10" i="1"/>
  <c r="P195" i="1"/>
  <c r="P56" i="1"/>
  <c r="P102" i="1"/>
  <c r="P153" i="1"/>
  <c r="P130" i="1"/>
  <c r="P183" i="1"/>
  <c r="P87" i="1"/>
  <c r="P37" i="1"/>
  <c r="P384" i="1"/>
  <c r="Q117" i="1"/>
  <c r="P79" i="1"/>
  <c r="P131" i="1"/>
  <c r="P237" i="1"/>
  <c r="P13" i="1"/>
  <c r="P228" i="1"/>
  <c r="P246" i="1"/>
  <c r="P199" i="1"/>
  <c r="P162" i="1"/>
  <c r="P163" i="1"/>
  <c r="P338" i="1"/>
  <c r="P342" i="1"/>
  <c r="P138" i="1"/>
  <c r="P15" i="1"/>
  <c r="P43" i="1"/>
  <c r="P128" i="1"/>
  <c r="P267" i="1"/>
  <c r="P322" i="1"/>
  <c r="P238" i="1"/>
  <c r="P196" i="1"/>
  <c r="P295" i="1"/>
  <c r="P252" i="1"/>
  <c r="P348" i="1"/>
  <c r="Q348" i="1" s="1"/>
  <c r="P161" i="1"/>
  <c r="P146" i="1"/>
  <c r="P211" i="1"/>
  <c r="P333" i="1"/>
  <c r="P180" i="1"/>
  <c r="P171" i="1"/>
  <c r="P45" i="1"/>
  <c r="P328" i="1"/>
  <c r="P20" i="1"/>
  <c r="P123" i="1"/>
  <c r="P277" i="1"/>
  <c r="P108" i="1"/>
  <c r="P413" i="1"/>
  <c r="P285" i="1"/>
  <c r="P30" i="1"/>
  <c r="P116" i="1"/>
  <c r="P253" i="1"/>
  <c r="P126" i="1"/>
  <c r="P78" i="1"/>
  <c r="P223" i="1"/>
  <c r="P356" i="1"/>
  <c r="P84" i="1"/>
  <c r="Q231" i="1"/>
  <c r="P202" i="1"/>
  <c r="P184" i="1"/>
  <c r="P323" i="1"/>
  <c r="Q323" i="1" s="1"/>
  <c r="P242" i="1"/>
  <c r="P106" i="1"/>
  <c r="Q210" i="1"/>
  <c r="P144" i="1"/>
  <c r="P70" i="1"/>
  <c r="P76" i="1"/>
  <c r="P254" i="1"/>
  <c r="P212" i="1"/>
  <c r="P255" i="1"/>
  <c r="P266" i="1"/>
  <c r="P143" i="1"/>
  <c r="P214" i="1"/>
  <c r="P103" i="1"/>
  <c r="P276" i="1"/>
  <c r="P141" i="1"/>
  <c r="P203" i="1"/>
  <c r="P315" i="1"/>
  <c r="P192" i="1"/>
  <c r="P85" i="1"/>
  <c r="P257" i="1"/>
  <c r="P121" i="1"/>
  <c r="P240" i="1"/>
  <c r="Q209" i="1"/>
  <c r="P139" i="1"/>
  <c r="P427" i="1"/>
  <c r="Q427" i="1" s="1"/>
  <c r="P235" i="1"/>
  <c r="P318" i="1"/>
  <c r="P129" i="1"/>
  <c r="P220" i="1"/>
  <c r="P112" i="1"/>
  <c r="P48" i="1"/>
  <c r="P80" i="1"/>
  <c r="P105" i="1"/>
  <c r="P23" i="1"/>
  <c r="P66" i="1"/>
  <c r="P98" i="1"/>
  <c r="P221" i="1"/>
  <c r="P124" i="1"/>
  <c r="P429" i="1"/>
  <c r="P273" i="1"/>
  <c r="P86" i="1"/>
  <c r="P40" i="1"/>
  <c r="P177" i="1"/>
  <c r="D13" i="16"/>
  <c r="D12" i="16"/>
  <c r="B13" i="16"/>
  <c r="B12" i="16"/>
  <c r="C13" i="16"/>
  <c r="C12" i="16"/>
  <c r="P9" i="1"/>
  <c r="O227" i="1"/>
  <c r="M227" i="1"/>
  <c r="O270" i="1"/>
  <c r="M270" i="1"/>
  <c r="P226" i="1"/>
  <c r="P64" i="1"/>
  <c r="P229" i="1"/>
  <c r="Q319" i="1"/>
  <c r="D541" i="1"/>
  <c r="D559" i="1"/>
  <c r="D451" i="1"/>
  <c r="D453" i="1"/>
  <c r="D435" i="1"/>
  <c r="D452" i="1"/>
  <c r="P299" i="1"/>
  <c r="D471" i="1"/>
  <c r="D472" i="1"/>
  <c r="B341" i="1"/>
  <c r="T341" i="1"/>
  <c r="D387" i="1"/>
  <c r="D386" i="1"/>
  <c r="D287" i="1"/>
  <c r="P114" i="1"/>
  <c r="P74" i="1"/>
  <c r="P135" i="1"/>
  <c r="P233" i="1"/>
  <c r="P219" i="1"/>
  <c r="P152" i="1"/>
  <c r="P174" i="1"/>
  <c r="P17" i="1"/>
  <c r="P250" i="1"/>
  <c r="P137" i="1"/>
  <c r="P120" i="1"/>
  <c r="P155" i="1"/>
  <c r="P47" i="1"/>
  <c r="P167" i="1"/>
  <c r="P147" i="1"/>
  <c r="P38" i="1"/>
  <c r="P6" i="1"/>
  <c r="P115" i="1"/>
  <c r="P222" i="1"/>
  <c r="P21" i="1"/>
  <c r="P50" i="1"/>
  <c r="P125" i="1"/>
  <c r="P218" i="1"/>
  <c r="P314" i="1"/>
  <c r="P430" i="1"/>
  <c r="P27" i="1"/>
  <c r="P592" i="1"/>
  <c r="P296" i="1"/>
  <c r="P335" i="1"/>
  <c r="P224" i="1"/>
  <c r="P54" i="1"/>
  <c r="P286" i="1"/>
  <c r="P251" i="1"/>
  <c r="P19" i="1"/>
  <c r="P67" i="1"/>
  <c r="P239" i="1"/>
  <c r="P298" i="1"/>
  <c r="P24" i="1"/>
  <c r="P217" i="1"/>
  <c r="P382" i="1"/>
  <c r="P51" i="1"/>
  <c r="P292" i="1"/>
  <c r="P278" i="1"/>
  <c r="P300" i="1"/>
  <c r="P324" i="1"/>
  <c r="P325" i="1"/>
  <c r="P206" i="1"/>
  <c r="P347" i="1"/>
  <c r="P225" i="1"/>
  <c r="P331" i="1"/>
  <c r="P433" i="1"/>
  <c r="P388" i="1"/>
  <c r="P379" i="1"/>
  <c r="P154" i="1"/>
  <c r="P14" i="1"/>
  <c r="Q176" i="1"/>
  <c r="P193" i="1"/>
  <c r="P249" i="1"/>
  <c r="P197" i="1"/>
  <c r="P36" i="1"/>
  <c r="P127" i="1"/>
  <c r="P156" i="1"/>
  <c r="P188" i="1"/>
  <c r="P182" i="1"/>
  <c r="P241" i="1"/>
  <c r="P33" i="1"/>
  <c r="P148" i="1"/>
  <c r="P35" i="1"/>
  <c r="Q234" i="1"/>
  <c r="P65" i="1"/>
  <c r="P134" i="1"/>
  <c r="P16" i="1"/>
  <c r="P157" i="1"/>
  <c r="P166" i="1"/>
  <c r="P69" i="1"/>
  <c r="P256" i="1"/>
  <c r="P60" i="1"/>
  <c r="P8" i="1"/>
  <c r="P186" i="1"/>
  <c r="P207" i="1"/>
  <c r="P265" i="1"/>
  <c r="P133" i="1"/>
  <c r="P34" i="1"/>
  <c r="P258" i="1"/>
  <c r="P53" i="1"/>
  <c r="Q61" i="1"/>
  <c r="P83" i="1"/>
  <c r="P29" i="1"/>
  <c r="P170" i="1"/>
  <c r="P272" i="1"/>
  <c r="P185" i="1"/>
  <c r="P89" i="1"/>
  <c r="P82" i="1"/>
  <c r="P270" i="1"/>
  <c r="P227" i="1"/>
  <c r="T429" i="1"/>
  <c r="T356" i="1"/>
  <c r="T348" i="1"/>
  <c r="T282" i="1"/>
  <c r="T347" i="1"/>
  <c r="T344" i="1"/>
  <c r="T327" i="1"/>
  <c r="T434" i="1"/>
  <c r="T392" i="1"/>
  <c r="T390" i="1"/>
  <c r="T414" i="1"/>
  <c r="D171" i="1"/>
  <c r="D192" i="1"/>
  <c r="D79" i="1"/>
  <c r="D263" i="1"/>
  <c r="D155" i="1"/>
  <c r="D169" i="1"/>
  <c r="D42" i="1"/>
  <c r="D274" i="1"/>
  <c r="D92" i="1"/>
  <c r="D270" i="1"/>
  <c r="T223" i="1"/>
  <c r="T197" i="1"/>
  <c r="T285" i="1"/>
  <c r="T592" i="1"/>
  <c r="T388" i="1"/>
  <c r="T298" i="1"/>
  <c r="T271" i="1"/>
  <c r="T272" i="1"/>
  <c r="T276" i="1"/>
  <c r="T342" i="1"/>
  <c r="T433" i="1"/>
  <c r="T290" i="1"/>
  <c r="T286" i="1"/>
  <c r="T428" i="1"/>
  <c r="T330" i="1"/>
  <c r="T318" i="1"/>
  <c r="T383" i="1"/>
  <c r="T379" i="1"/>
  <c r="T425" i="1"/>
  <c r="T311" i="1"/>
  <c r="T288" i="1"/>
  <c r="T382" i="1"/>
  <c r="T317" i="1"/>
  <c r="T316" i="1"/>
  <c r="T313" i="1"/>
  <c r="T322" i="1"/>
  <c r="T343" i="1"/>
  <c r="T295" i="1"/>
  <c r="T269" i="1"/>
  <c r="T370" i="1"/>
  <c r="T292" i="1"/>
  <c r="T314" i="1"/>
  <c r="T338" i="1"/>
  <c r="T319" i="1"/>
  <c r="T335" i="1"/>
  <c r="T278" i="1"/>
  <c r="T325" i="1"/>
  <c r="T333" i="1"/>
  <c r="T430" i="1"/>
  <c r="T300" i="1"/>
  <c r="T299" i="1"/>
  <c r="T296" i="1"/>
  <c r="T422" i="1"/>
  <c r="T384" i="1"/>
  <c r="T323" i="1"/>
  <c r="T427" i="1"/>
  <c r="T320" i="1"/>
  <c r="T324" i="1"/>
  <c r="T339" i="1"/>
  <c r="T315" i="1"/>
  <c r="T413" i="1"/>
  <c r="T224" i="1"/>
  <c r="T364" i="1"/>
  <c r="T331" i="1"/>
  <c r="T328" i="1"/>
  <c r="T273" i="1"/>
  <c r="T291" i="1"/>
  <c r="D180" i="1"/>
  <c r="D323" i="1"/>
  <c r="D234" i="1"/>
  <c r="D150" i="1"/>
  <c r="D176" i="1"/>
  <c r="D319" i="1"/>
  <c r="D276" i="1"/>
  <c r="D116" i="1"/>
  <c r="D278" i="1"/>
  <c r="D238" i="1"/>
  <c r="D325" i="1"/>
  <c r="D156" i="1"/>
  <c r="D59" i="1"/>
  <c r="D333" i="1"/>
  <c r="D370" i="1"/>
  <c r="D186" i="1"/>
  <c r="D339" i="1"/>
  <c r="D83" i="1"/>
  <c r="D338" i="1"/>
  <c r="D47" i="1"/>
  <c r="D267" i="1"/>
  <c r="D316" i="1"/>
  <c r="D119" i="1"/>
  <c r="D268" i="1"/>
  <c r="D318" i="1"/>
  <c r="D232" i="1"/>
  <c r="D315" i="1"/>
  <c r="D233" i="1"/>
  <c r="D317" i="1"/>
  <c r="D120" i="1"/>
  <c r="D364" i="1"/>
  <c r="D246" i="1"/>
  <c r="D243" i="1"/>
  <c r="D244" i="1"/>
  <c r="D331" i="1"/>
  <c r="D72" i="1"/>
  <c r="D190" i="1"/>
  <c r="D50" i="1"/>
  <c r="D93" i="1"/>
  <c r="D328" i="1"/>
  <c r="D94" i="1"/>
  <c r="D37" i="1"/>
  <c r="D273" i="1"/>
  <c r="D97" i="1"/>
  <c r="D168" i="1"/>
  <c r="D425" i="1"/>
  <c r="D298" i="1"/>
  <c r="D69" i="1"/>
  <c r="D124" i="1"/>
  <c r="D213" i="1"/>
  <c r="D36" i="1"/>
  <c r="D166" i="1"/>
  <c r="D272" i="1"/>
  <c r="D271" i="1"/>
  <c r="D114" i="1"/>
  <c r="D115" i="1"/>
  <c r="D35" i="1"/>
  <c r="D167" i="1"/>
  <c r="D117" i="1"/>
  <c r="D210" i="1"/>
  <c r="D290" i="1"/>
  <c r="D118" i="1"/>
  <c r="D291" i="1"/>
  <c r="D61" i="1"/>
  <c r="D208" i="1"/>
  <c r="D62" i="1"/>
  <c r="D209" i="1"/>
  <c r="D343" i="1"/>
  <c r="D85" i="1"/>
  <c r="D84" i="1"/>
  <c r="D269" i="1"/>
  <c r="D162" i="1"/>
  <c r="D163" i="1"/>
  <c r="D34" i="1"/>
  <c r="D96" i="1"/>
  <c r="D330" i="1"/>
  <c r="D379" i="1"/>
  <c r="D38" i="1"/>
  <c r="D99" i="1"/>
  <c r="D2" i="1"/>
  <c r="D137" i="1"/>
  <c r="D197" i="1"/>
  <c r="D44" i="1"/>
  <c r="D191" i="1"/>
  <c r="D45" i="1"/>
  <c r="D285" i="1"/>
  <c r="D205" i="1"/>
  <c r="D216" i="1"/>
  <c r="D70" i="1"/>
  <c r="D125" i="1"/>
  <c r="D299" i="1"/>
  <c r="D300" i="1"/>
  <c r="D215" i="1"/>
  <c r="D295" i="1"/>
  <c r="D121" i="1"/>
  <c r="D211" i="1"/>
  <c r="D296" i="1"/>
  <c r="D64" i="1"/>
  <c r="D311" i="1"/>
  <c r="D322" i="1"/>
  <c r="D388" i="1"/>
  <c r="D178" i="1"/>
  <c r="D320" i="1"/>
  <c r="D109" i="1"/>
  <c r="D179" i="1"/>
  <c r="D110" i="1"/>
  <c r="D313" i="1"/>
  <c r="D266" i="1"/>
  <c r="D288" i="1"/>
  <c r="Q318" i="1" l="1"/>
  <c r="R318" i="1" s="1"/>
  <c r="Q317" i="1"/>
  <c r="Q356" i="1"/>
  <c r="R356" i="1" s="1"/>
  <c r="Q288" i="1"/>
  <c r="R288" i="1" s="1"/>
  <c r="Q344" i="1"/>
  <c r="Q282" i="1"/>
  <c r="Q322" i="1"/>
  <c r="R322" i="1" s="1"/>
  <c r="Q223" i="1"/>
  <c r="Q333" i="1"/>
  <c r="R333" i="1" s="1"/>
  <c r="D334" i="1" s="1"/>
  <c r="Q276" i="1"/>
  <c r="Q392" i="1"/>
  <c r="Q422" i="1"/>
  <c r="R422" i="1" s="1"/>
  <c r="Q364" i="1"/>
  <c r="R364" i="1" s="1"/>
  <c r="Q339" i="1"/>
  <c r="R339" i="1" s="1"/>
  <c r="Q330" i="1"/>
  <c r="R330" i="1" s="1"/>
  <c r="Q73" i="1"/>
  <c r="Q158" i="1"/>
  <c r="Q342" i="1"/>
  <c r="Q5" i="1"/>
  <c r="Q4" i="1"/>
  <c r="Q8" i="1"/>
  <c r="Q2" i="1"/>
  <c r="Q3" i="1"/>
  <c r="Q315" i="1"/>
  <c r="Q313" i="1"/>
  <c r="Q383" i="1"/>
  <c r="R383" i="1" s="1"/>
  <c r="Q320" i="1"/>
  <c r="R320" i="1" s="1"/>
  <c r="Q311" i="1"/>
  <c r="R311" i="1" s="1"/>
  <c r="Q338" i="1"/>
  <c r="R338" i="1" s="1"/>
  <c r="Q413" i="1"/>
  <c r="Q316" i="1"/>
  <c r="Q390" i="1"/>
  <c r="Q328" i="1"/>
  <c r="Q343" i="1"/>
  <c r="Q341" i="1"/>
  <c r="R341" i="1" s="1"/>
  <c r="Q285" i="1"/>
  <c r="Q89" i="1"/>
  <c r="Q29" i="1"/>
  <c r="Q258" i="1"/>
  <c r="Q207" i="1"/>
  <c r="Q256" i="1"/>
  <c r="Q16" i="1"/>
  <c r="Q35" i="1"/>
  <c r="Q182" i="1"/>
  <c r="Q36" i="1"/>
  <c r="Q239" i="1"/>
  <c r="Q21" i="1"/>
  <c r="Q38" i="1"/>
  <c r="Q155" i="1"/>
  <c r="Q17" i="1"/>
  <c r="Q233" i="1"/>
  <c r="R319" i="1"/>
  <c r="R428" i="1"/>
  <c r="Q226" i="1"/>
  <c r="Q177" i="1"/>
  <c r="Q86" i="1"/>
  <c r="Q429" i="1"/>
  <c r="Q139" i="1"/>
  <c r="Q121" i="1"/>
  <c r="Q85" i="1"/>
  <c r="Q84" i="1"/>
  <c r="Q78" i="1"/>
  <c r="Q253" i="1"/>
  <c r="Q108" i="1"/>
  <c r="Q123" i="1"/>
  <c r="Q171" i="1"/>
  <c r="Q146" i="1"/>
  <c r="Q138" i="1"/>
  <c r="Q163" i="1"/>
  <c r="Q199" i="1"/>
  <c r="Q237" i="1"/>
  <c r="Q79" i="1"/>
  <c r="Q384" i="1"/>
  <c r="Q87" i="1"/>
  <c r="Q153" i="1"/>
  <c r="Q44" i="1"/>
  <c r="Q52" i="1"/>
  <c r="Q173" i="1"/>
  <c r="Q94" i="1"/>
  <c r="Q97" i="1"/>
  <c r="Q110" i="1"/>
  <c r="Q190" i="1"/>
  <c r="Q230" i="1"/>
  <c r="Q107" i="1"/>
  <c r="Q159" i="1"/>
  <c r="Q46" i="1"/>
  <c r="Q145" i="1"/>
  <c r="Q109" i="1"/>
  <c r="Q136" i="1"/>
  <c r="Q175" i="1"/>
  <c r="Q113" i="1"/>
  <c r="Q75" i="1"/>
  <c r="Q201" i="1"/>
  <c r="Q49" i="1"/>
  <c r="Q243" i="1"/>
  <c r="Q274" i="1"/>
  <c r="Q269" i="1"/>
  <c r="Q39" i="1"/>
  <c r="Q151" i="1"/>
  <c r="Q25" i="1"/>
  <c r="Q215" i="1"/>
  <c r="Q160" i="1"/>
  <c r="Q261" i="1"/>
  <c r="Q194" i="1"/>
  <c r="Q262" i="1"/>
  <c r="Q187" i="1"/>
  <c r="Q101" i="1"/>
  <c r="Q289" i="1"/>
  <c r="Q18" i="1"/>
  <c r="Q264" i="1"/>
  <c r="Q216" i="1"/>
  <c r="Q227" i="1"/>
  <c r="Q185" i="1"/>
  <c r="Q83" i="1"/>
  <c r="Q34" i="1"/>
  <c r="Q186" i="1"/>
  <c r="Q69" i="1"/>
  <c r="Q134" i="1"/>
  <c r="Q148" i="1"/>
  <c r="Q188" i="1"/>
  <c r="Q197" i="1"/>
  <c r="Q14" i="1"/>
  <c r="Q206" i="1"/>
  <c r="Q217" i="1"/>
  <c r="Q67" i="1"/>
  <c r="Q54" i="1"/>
  <c r="Q218" i="1"/>
  <c r="Q222" i="1"/>
  <c r="Q147" i="1"/>
  <c r="Q120" i="1"/>
  <c r="Q174" i="1"/>
  <c r="Q135" i="1"/>
  <c r="R434" i="1"/>
  <c r="Q9" i="1"/>
  <c r="Q221" i="1"/>
  <c r="Q66" i="1"/>
  <c r="Q105" i="1"/>
  <c r="Q48" i="1"/>
  <c r="Q220" i="1"/>
  <c r="Q141" i="1"/>
  <c r="Q214" i="1"/>
  <c r="Q266" i="1"/>
  <c r="Q212" i="1"/>
  <c r="Q76" i="1"/>
  <c r="Q144" i="1"/>
  <c r="Q242" i="1"/>
  <c r="Q184" i="1"/>
  <c r="Q295" i="1"/>
  <c r="Q238" i="1"/>
  <c r="Q267" i="1"/>
  <c r="Q43" i="1"/>
  <c r="Q195" i="1"/>
  <c r="Q236" i="1"/>
  <c r="Q165" i="1"/>
  <c r="Q132" i="1"/>
  <c r="Q208" i="1"/>
  <c r="Q11" i="1"/>
  <c r="Q259" i="1"/>
  <c r="Q191" i="1"/>
  <c r="Q63" i="1"/>
  <c r="Q232" i="1"/>
  <c r="Q57" i="1"/>
  <c r="Q91" i="1"/>
  <c r="Q32" i="1"/>
  <c r="Q270" i="1"/>
  <c r="Q272" i="1"/>
  <c r="Q133" i="1"/>
  <c r="Q166" i="1"/>
  <c r="Q65" i="1"/>
  <c r="Q33" i="1"/>
  <c r="Q156" i="1"/>
  <c r="Q249" i="1"/>
  <c r="Q154" i="1"/>
  <c r="Q24" i="1"/>
  <c r="Q19" i="1"/>
  <c r="Q27" i="1"/>
  <c r="Q125" i="1"/>
  <c r="Q115" i="1"/>
  <c r="Q167" i="1"/>
  <c r="Q137" i="1"/>
  <c r="Q152" i="1"/>
  <c r="Q74" i="1"/>
  <c r="R348" i="1"/>
  <c r="R327" i="1"/>
  <c r="Q229" i="1"/>
  <c r="Q40" i="1"/>
  <c r="Q273" i="1"/>
  <c r="Q124" i="1"/>
  <c r="Q240" i="1"/>
  <c r="Q257" i="1"/>
  <c r="Q126" i="1"/>
  <c r="Q30" i="1"/>
  <c r="Q277" i="1"/>
  <c r="Q20" i="1"/>
  <c r="Q45" i="1"/>
  <c r="Q180" i="1"/>
  <c r="Q211" i="1"/>
  <c r="Q162" i="1"/>
  <c r="Q246" i="1"/>
  <c r="Q13" i="1"/>
  <c r="Q131" i="1"/>
  <c r="Q37" i="1"/>
  <c r="Q130" i="1"/>
  <c r="Q102" i="1"/>
  <c r="Q10" i="1"/>
  <c r="Q200" i="1"/>
  <c r="Q248" i="1"/>
  <c r="Q99" i="1"/>
  <c r="Q90" i="1"/>
  <c r="Q149" i="1"/>
  <c r="Q169" i="1"/>
  <c r="Q189" i="1"/>
  <c r="Q71" i="1"/>
  <c r="Q26" i="1"/>
  <c r="Q370" i="1"/>
  <c r="Q81" i="1"/>
  <c r="Q104" i="1"/>
  <c r="Q247" i="1"/>
  <c r="Q164" i="1"/>
  <c r="Q140" i="1"/>
  <c r="Q59" i="1"/>
  <c r="Q31" i="1"/>
  <c r="Q142" i="1"/>
  <c r="Q263" i="1"/>
  <c r="Q12" i="1"/>
  <c r="Q260" i="1"/>
  <c r="Q425" i="1"/>
  <c r="Q42" i="1"/>
  <c r="Q271" i="1"/>
  <c r="Q122" i="1"/>
  <c r="Q179" i="1"/>
  <c r="Q204" i="1"/>
  <c r="Q172" i="1"/>
  <c r="Q205" i="1"/>
  <c r="Q100" i="1"/>
  <c r="Q111" i="1"/>
  <c r="Q68" i="1"/>
  <c r="Q245" i="1"/>
  <c r="Q55" i="1"/>
  <c r="Q119" i="1"/>
  <c r="Q82" i="1"/>
  <c r="Q170" i="1"/>
  <c r="Q53" i="1"/>
  <c r="Q265" i="1"/>
  <c r="Q60" i="1"/>
  <c r="Q157" i="1"/>
  <c r="Q241" i="1"/>
  <c r="Q127" i="1"/>
  <c r="Q193" i="1"/>
  <c r="Q225" i="1"/>
  <c r="Q51" i="1"/>
  <c r="Q251" i="1"/>
  <c r="Q50" i="1"/>
  <c r="Q6" i="1"/>
  <c r="Q47" i="1"/>
  <c r="Q250" i="1"/>
  <c r="Q219" i="1"/>
  <c r="Q114" i="1"/>
  <c r="Q299" i="1"/>
  <c r="R427" i="1"/>
  <c r="R323" i="1"/>
  <c r="Q64" i="1"/>
  <c r="Q98" i="1"/>
  <c r="Q23" i="1"/>
  <c r="Q80" i="1"/>
  <c r="Q112" i="1"/>
  <c r="Q129" i="1"/>
  <c r="Q235" i="1"/>
  <c r="Q192" i="1"/>
  <c r="Q203" i="1"/>
  <c r="Q103" i="1"/>
  <c r="Q143" i="1"/>
  <c r="Q255" i="1"/>
  <c r="Q254" i="1"/>
  <c r="Q70" i="1"/>
  <c r="Q106" i="1"/>
  <c r="Q202" i="1"/>
  <c r="Q116" i="1"/>
  <c r="Q161" i="1"/>
  <c r="Q252" i="1"/>
  <c r="Q196" i="1"/>
  <c r="Q128" i="1"/>
  <c r="Q15" i="1"/>
  <c r="Q228" i="1"/>
  <c r="Q183" i="1"/>
  <c r="Q56" i="1"/>
  <c r="Q198" i="1"/>
  <c r="Q213" i="1"/>
  <c r="Q244" i="1"/>
  <c r="Q178" i="1"/>
  <c r="Q268" i="1"/>
  <c r="Q72" i="1"/>
  <c r="Q92" i="1"/>
  <c r="Q88" i="1"/>
  <c r="Q41" i="1"/>
  <c r="Q168" i="1"/>
  <c r="Q7" i="1"/>
  <c r="Q96" i="1"/>
  <c r="Q93" i="1"/>
  <c r="Q22" i="1"/>
  <c r="E15" i="16"/>
  <c r="D414" i="1"/>
  <c r="D428" i="1"/>
  <c r="D182" i="1"/>
  <c r="D427" i="1"/>
  <c r="D423" i="1"/>
  <c r="D199" i="1"/>
  <c r="D237" i="1"/>
  <c r="D235" i="1"/>
  <c r="D236" i="1"/>
  <c r="D422" i="1"/>
  <c r="Q379" i="1"/>
  <c r="Q347" i="1"/>
  <c r="Q325" i="1"/>
  <c r="Q300" i="1"/>
  <c r="Q290" i="1"/>
  <c r="Q286" i="1"/>
  <c r="Q335" i="1"/>
  <c r="Q314" i="1"/>
  <c r="Q388" i="1"/>
  <c r="Q278" i="1"/>
  <c r="Q224" i="1"/>
  <c r="Q296" i="1"/>
  <c r="Q433" i="1"/>
  <c r="Q292" i="1"/>
  <c r="Q298" i="1"/>
  <c r="Q592" i="1"/>
  <c r="Q430" i="1"/>
  <c r="Q331" i="1"/>
  <c r="Q324" i="1"/>
  <c r="Q382" i="1"/>
  <c r="Q291" i="1"/>
  <c r="D389" i="1"/>
  <c r="D321" i="1"/>
  <c r="D293" i="1"/>
  <c r="D415" i="1"/>
  <c r="D345" i="1"/>
  <c r="D188" i="1"/>
  <c r="D225" i="1"/>
  <c r="D29" i="1"/>
  <c r="D292" i="1"/>
  <c r="D175" i="1"/>
  <c r="D256" i="1"/>
  <c r="D314" i="1"/>
  <c r="D245" i="1"/>
  <c r="D277" i="1"/>
  <c r="D286" i="1"/>
  <c r="D60" i="1"/>
  <c r="D224" i="1"/>
  <c r="D223" i="1"/>
  <c r="D161" i="1"/>
  <c r="D106" i="1"/>
  <c r="D105" i="1"/>
  <c r="D356" i="1"/>
  <c r="D390" i="1"/>
  <c r="D185" i="1"/>
  <c r="D153" i="1"/>
  <c r="D102" i="1"/>
  <c r="D341" i="1"/>
  <c r="D342" i="1"/>
  <c r="D247" i="1"/>
  <c r="D392" i="1"/>
  <c r="D154" i="1"/>
  <c r="D91" i="1"/>
  <c r="D324" i="1"/>
  <c r="D239" i="1"/>
  <c r="D347" i="1"/>
  <c r="D413" i="1"/>
  <c r="D344" i="1"/>
  <c r="D242" i="1"/>
  <c r="D6" i="1"/>
  <c r="D282" i="1"/>
  <c r="D7" i="1"/>
  <c r="D241" i="1"/>
  <c r="D348" i="1"/>
  <c r="D164" i="1"/>
  <c r="D165" i="1"/>
  <c r="D90" i="1"/>
  <c r="D259" i="1"/>
  <c r="D327" i="1"/>
  <c r="D76" i="1"/>
  <c r="D141" i="1"/>
  <c r="D262" i="1"/>
  <c r="D138" i="1"/>
  <c r="D160" i="1"/>
  <c r="D227" i="1"/>
  <c r="D134" i="1"/>
  <c r="D51" i="1"/>
  <c r="D383" i="1"/>
  <c r="D382" i="1"/>
  <c r="R270" i="1" l="1"/>
  <c r="R344" i="1"/>
  <c r="R227" i="1"/>
  <c r="R313" i="1"/>
  <c r="R282" i="1"/>
  <c r="R276" i="1"/>
  <c r="R317" i="1"/>
  <c r="R413" i="1"/>
  <c r="R343" i="1"/>
  <c r="D374" i="1" s="1"/>
  <c r="R392" i="1"/>
  <c r="R285" i="1"/>
  <c r="R315" i="1"/>
  <c r="R223" i="1"/>
  <c r="R328" i="1"/>
  <c r="R342" i="1"/>
  <c r="R88" i="1"/>
  <c r="R64" i="1"/>
  <c r="R90" i="1"/>
  <c r="R211" i="1"/>
  <c r="R240" i="1"/>
  <c r="D240" i="1" s="1"/>
  <c r="R259" i="1"/>
  <c r="R151" i="1"/>
  <c r="R121" i="1"/>
  <c r="R316" i="1"/>
  <c r="R278" i="1"/>
  <c r="R41" i="1"/>
  <c r="R263" i="1"/>
  <c r="R152" i="1"/>
  <c r="R65" i="1"/>
  <c r="R194" i="1"/>
  <c r="R274" i="1"/>
  <c r="R89" i="1"/>
  <c r="R290" i="1"/>
  <c r="R390" i="1"/>
  <c r="R324" i="1"/>
  <c r="R298" i="1"/>
  <c r="R224" i="1"/>
  <c r="R335" i="1"/>
  <c r="R325" i="1"/>
  <c r="D257" i="1" s="1"/>
  <c r="R331" i="1"/>
  <c r="R292" i="1"/>
  <c r="R286" i="1"/>
  <c r="R347" i="1"/>
  <c r="R425" i="1"/>
  <c r="R295" i="1"/>
  <c r="R262" i="1"/>
  <c r="R291" i="1"/>
  <c r="R430" i="1"/>
  <c r="R433" i="1"/>
  <c r="D754" i="1" s="1"/>
  <c r="R388" i="1"/>
  <c r="D540" i="1" s="1"/>
  <c r="R379" i="1"/>
  <c r="D538" i="1" s="1"/>
  <c r="R382" i="1"/>
  <c r="R592" i="1"/>
  <c r="G10" i="16" s="1"/>
  <c r="R296" i="1"/>
  <c r="R314" i="1"/>
  <c r="R300" i="1"/>
  <c r="R135" i="1"/>
  <c r="D593" i="1"/>
  <c r="D551" i="1"/>
  <c r="D755" i="1"/>
  <c r="D649" i="1"/>
  <c r="D552" i="1"/>
  <c r="D648" i="1"/>
  <c r="D650" i="1"/>
  <c r="D651" i="1"/>
  <c r="D796" i="1"/>
  <c r="D795" i="1"/>
  <c r="D518" i="1"/>
  <c r="D517" i="1"/>
  <c r="D142" i="1"/>
  <c r="D53" i="1"/>
  <c r="D144" i="1"/>
  <c r="D145" i="1"/>
  <c r="D52" i="1"/>
  <c r="D55" i="1"/>
  <c r="D54" i="1"/>
  <c r="D56" i="1"/>
  <c r="D143" i="1"/>
  <c r="D149" i="1"/>
  <c r="D22" i="1"/>
  <c r="D23" i="1"/>
  <c r="D592" i="1"/>
  <c r="D148" i="1"/>
  <c r="D202" i="1"/>
  <c r="D251" i="1"/>
  <c r="D249" i="1"/>
  <c r="D248" i="1"/>
  <c r="D87" i="1"/>
  <c r="D550" i="1"/>
  <c r="D434" i="1"/>
  <c r="D214" i="1"/>
  <c r="D86" i="1"/>
  <c r="D433" i="1"/>
  <c r="D549" i="1"/>
  <c r="D250" i="1"/>
  <c r="D57" i="1"/>
  <c r="D335" i="1"/>
  <c r="D229" i="1"/>
  <c r="D71" i="1"/>
  <c r="D19" i="1"/>
  <c r="D159" i="1"/>
  <c r="D195" i="1"/>
  <c r="D431" i="1"/>
  <c r="D429" i="1"/>
  <c r="D196" i="1"/>
  <c r="D430" i="1"/>
  <c r="J891" i="6"/>
  <c r="I891" i="6"/>
  <c r="J889" i="6"/>
  <c r="I889" i="6"/>
  <c r="J893" i="6"/>
  <c r="I893" i="6"/>
  <c r="J892" i="6"/>
  <c r="I892" i="6"/>
  <c r="J888" i="6"/>
  <c r="I888" i="6"/>
  <c r="J895" i="6"/>
  <c r="I895" i="6"/>
  <c r="J894" i="6"/>
  <c r="I894" i="6"/>
  <c r="J887" i="6"/>
  <c r="I887" i="6"/>
  <c r="J886" i="6"/>
  <c r="I886" i="6"/>
  <c r="J884" i="6"/>
  <c r="J883" i="6"/>
  <c r="I883" i="6"/>
  <c r="J882" i="6"/>
  <c r="I882" i="6"/>
  <c r="J881" i="6"/>
  <c r="I881" i="6"/>
  <c r="J880" i="6"/>
  <c r="I880" i="6"/>
  <c r="J879" i="6"/>
  <c r="I879" i="6"/>
  <c r="J878" i="6"/>
  <c r="I878" i="6"/>
  <c r="J877" i="6"/>
  <c r="I877" i="6"/>
  <c r="J876" i="6"/>
  <c r="I876" i="6"/>
  <c r="J875" i="6"/>
  <c r="I875" i="6"/>
  <c r="J874" i="6"/>
  <c r="I874" i="6"/>
  <c r="J873" i="6"/>
  <c r="I873" i="6"/>
  <c r="J872" i="6"/>
  <c r="I872" i="6"/>
  <c r="J871" i="6"/>
  <c r="I871" i="6"/>
  <c r="J867" i="6"/>
  <c r="I867" i="6"/>
  <c r="J852" i="6"/>
  <c r="I852" i="6"/>
  <c r="J851" i="6"/>
  <c r="I851" i="6"/>
  <c r="J850" i="6"/>
  <c r="I850" i="6"/>
  <c r="J848" i="6"/>
  <c r="I848" i="6"/>
  <c r="J847" i="6"/>
  <c r="I847" i="6"/>
  <c r="J846" i="6"/>
  <c r="I846" i="6"/>
  <c r="J845" i="6"/>
  <c r="I845" i="6"/>
  <c r="J844" i="6"/>
  <c r="I844" i="6"/>
  <c r="J843" i="6"/>
  <c r="I843" i="6"/>
  <c r="J842" i="6"/>
  <c r="I842" i="6"/>
  <c r="J836" i="6"/>
  <c r="I836" i="6"/>
  <c r="J837" i="6"/>
  <c r="I837" i="6"/>
  <c r="J835" i="6"/>
  <c r="I835" i="6"/>
  <c r="J838" i="6"/>
  <c r="I838" i="6"/>
  <c r="J840" i="6"/>
  <c r="I840" i="6"/>
  <c r="J830" i="6"/>
  <c r="I830" i="6"/>
  <c r="J829" i="6"/>
  <c r="I829" i="6"/>
  <c r="J828" i="6"/>
  <c r="I828" i="6"/>
  <c r="J825" i="6"/>
  <c r="I825" i="6"/>
  <c r="J821" i="6"/>
  <c r="I821" i="6"/>
  <c r="J820" i="6"/>
  <c r="I820" i="6"/>
  <c r="J819" i="6"/>
  <c r="I819" i="6"/>
  <c r="J818" i="6"/>
  <c r="I818" i="6"/>
  <c r="J817" i="6"/>
  <c r="I817" i="6"/>
  <c r="J816" i="6"/>
  <c r="I816" i="6"/>
  <c r="J815" i="6"/>
  <c r="I815" i="6"/>
  <c r="J814" i="6"/>
  <c r="I814" i="6"/>
  <c r="J813" i="6"/>
  <c r="I813" i="6"/>
  <c r="J811" i="6"/>
  <c r="I811" i="6"/>
  <c r="J810" i="6"/>
  <c r="I810" i="6"/>
  <c r="J809" i="6"/>
  <c r="I809" i="6"/>
  <c r="J808" i="6"/>
  <c r="I808" i="6"/>
  <c r="J804" i="6"/>
  <c r="I804" i="6"/>
  <c r="J803" i="6"/>
  <c r="I803" i="6"/>
  <c r="J806" i="6"/>
  <c r="I806" i="6"/>
  <c r="J805" i="6"/>
  <c r="I805" i="6"/>
  <c r="J802" i="6"/>
  <c r="I802" i="6"/>
  <c r="J807" i="6"/>
  <c r="I807" i="6"/>
  <c r="J801" i="6"/>
  <c r="I801" i="6"/>
  <c r="J800" i="6"/>
  <c r="I800" i="6"/>
  <c r="J799" i="6"/>
  <c r="I799" i="6"/>
  <c r="J798" i="6"/>
  <c r="I798" i="6"/>
  <c r="J797" i="6"/>
  <c r="I797" i="6"/>
  <c r="J796" i="6"/>
  <c r="I796" i="6"/>
  <c r="J795" i="6"/>
  <c r="I795" i="6"/>
  <c r="J794" i="6"/>
  <c r="I794" i="6"/>
  <c r="J793" i="6"/>
  <c r="I793" i="6"/>
  <c r="J792" i="6"/>
  <c r="I792" i="6"/>
  <c r="J791" i="6"/>
  <c r="I791" i="6"/>
  <c r="J790" i="6"/>
  <c r="I790" i="6"/>
  <c r="J789" i="6"/>
  <c r="I789" i="6"/>
  <c r="J788" i="6"/>
  <c r="I788" i="6"/>
  <c r="J787" i="6"/>
  <c r="I787" i="6"/>
  <c r="J786" i="6"/>
  <c r="I786" i="6"/>
  <c r="J785" i="6"/>
  <c r="I785" i="6"/>
  <c r="J784" i="6"/>
  <c r="I784" i="6"/>
  <c r="J783" i="6"/>
  <c r="I783" i="6"/>
  <c r="J782" i="6"/>
  <c r="I782" i="6"/>
  <c r="J781" i="6"/>
  <c r="I781" i="6"/>
  <c r="J779" i="6"/>
  <c r="I779" i="6"/>
  <c r="J778" i="6"/>
  <c r="I778" i="6"/>
  <c r="J777" i="6"/>
  <c r="I777" i="6"/>
  <c r="J773" i="6"/>
  <c r="I773" i="6"/>
  <c r="J772" i="6"/>
  <c r="I772" i="6"/>
  <c r="J775" i="6"/>
  <c r="I775" i="6"/>
  <c r="J774" i="6"/>
  <c r="I774" i="6"/>
  <c r="J771" i="6"/>
  <c r="I771" i="6"/>
  <c r="J776" i="6"/>
  <c r="I776" i="6"/>
  <c r="J770" i="6"/>
  <c r="I770" i="6"/>
  <c r="J769" i="6"/>
  <c r="I769" i="6"/>
  <c r="J768" i="6"/>
  <c r="I768" i="6"/>
  <c r="J767" i="6"/>
  <c r="I767" i="6"/>
  <c r="J766" i="6"/>
  <c r="I766" i="6"/>
  <c r="J765" i="6"/>
  <c r="I765" i="6"/>
  <c r="J764" i="6"/>
  <c r="I764" i="6"/>
  <c r="J763" i="6"/>
  <c r="I763" i="6"/>
  <c r="J762" i="6"/>
  <c r="I762" i="6"/>
  <c r="J761" i="6"/>
  <c r="I761" i="6"/>
  <c r="J760" i="6"/>
  <c r="I760" i="6"/>
  <c r="J759" i="6"/>
  <c r="I759" i="6"/>
  <c r="J758" i="6"/>
  <c r="I758" i="6"/>
  <c r="J757" i="6"/>
  <c r="I757" i="6"/>
  <c r="J756" i="6"/>
  <c r="I756" i="6"/>
  <c r="J755" i="6"/>
  <c r="I755" i="6"/>
  <c r="J754" i="6"/>
  <c r="I754" i="6"/>
  <c r="J753" i="6"/>
  <c r="I753" i="6"/>
  <c r="J750" i="6"/>
  <c r="I750" i="6"/>
  <c r="J749" i="6"/>
  <c r="I749" i="6"/>
  <c r="J748" i="6"/>
  <c r="I748" i="6"/>
  <c r="J747" i="6"/>
  <c r="I747" i="6"/>
  <c r="J746" i="6"/>
  <c r="I746" i="6"/>
  <c r="J744" i="6"/>
  <c r="I744" i="6"/>
  <c r="J743" i="6"/>
  <c r="I743" i="6"/>
  <c r="J737" i="6"/>
  <c r="I737" i="6"/>
  <c r="J736" i="6"/>
  <c r="I736" i="6"/>
  <c r="J739" i="6"/>
  <c r="I739" i="6"/>
  <c r="J738" i="6"/>
  <c r="I738" i="6"/>
  <c r="J735" i="6"/>
  <c r="I735" i="6"/>
  <c r="J741" i="6"/>
  <c r="I741" i="6"/>
  <c r="J740" i="6"/>
  <c r="I740" i="6"/>
  <c r="J734" i="6"/>
  <c r="I734" i="6"/>
  <c r="J733" i="6"/>
  <c r="I733" i="6"/>
  <c r="J732" i="6"/>
  <c r="I732" i="6"/>
  <c r="J731" i="6"/>
  <c r="I731" i="6"/>
  <c r="J730" i="6"/>
  <c r="I730" i="6"/>
  <c r="J729" i="6"/>
  <c r="I729" i="6"/>
  <c r="J728" i="6"/>
  <c r="I728" i="6"/>
  <c r="J727" i="6"/>
  <c r="I727" i="6"/>
  <c r="J726" i="6"/>
  <c r="I726" i="6"/>
  <c r="J725" i="6"/>
  <c r="I725" i="6"/>
  <c r="J724" i="6"/>
  <c r="I724" i="6"/>
  <c r="J723" i="6"/>
  <c r="I723" i="6"/>
  <c r="J722" i="6"/>
  <c r="I722" i="6"/>
  <c r="J721" i="6"/>
  <c r="I721" i="6"/>
  <c r="J720" i="6"/>
  <c r="I720" i="6"/>
  <c r="J719" i="6"/>
  <c r="I719" i="6"/>
  <c r="J718" i="6"/>
  <c r="I718" i="6"/>
  <c r="J717" i="6"/>
  <c r="I717" i="6"/>
  <c r="J716" i="6"/>
  <c r="I716" i="6"/>
  <c r="J715" i="6"/>
  <c r="I715" i="6"/>
  <c r="J710" i="6"/>
  <c r="I710" i="6"/>
  <c r="J709" i="6"/>
  <c r="I709" i="6"/>
  <c r="J712" i="6"/>
  <c r="I712" i="6"/>
  <c r="J711" i="6"/>
  <c r="I711" i="6"/>
  <c r="J708" i="6"/>
  <c r="I708" i="6"/>
  <c r="J714" i="6"/>
  <c r="I714" i="6"/>
  <c r="J713" i="6"/>
  <c r="I713" i="6"/>
  <c r="J707" i="6"/>
  <c r="I707" i="6"/>
  <c r="J706" i="6"/>
  <c r="I706" i="6"/>
  <c r="J705" i="6"/>
  <c r="I705" i="6"/>
  <c r="J704" i="6"/>
  <c r="I704" i="6"/>
  <c r="J703" i="6"/>
  <c r="I703" i="6"/>
  <c r="J702" i="6"/>
  <c r="I702" i="6"/>
  <c r="J701" i="6"/>
  <c r="I701" i="6"/>
  <c r="J700" i="6"/>
  <c r="I700" i="6"/>
  <c r="J699" i="6"/>
  <c r="I699" i="6"/>
  <c r="J698" i="6"/>
  <c r="I698" i="6"/>
  <c r="J697" i="6"/>
  <c r="I697" i="6"/>
  <c r="J696" i="6"/>
  <c r="I696" i="6"/>
  <c r="J695" i="6"/>
  <c r="I695" i="6"/>
  <c r="J694" i="6"/>
  <c r="I694" i="6"/>
  <c r="J693" i="6"/>
  <c r="I693" i="6"/>
  <c r="J692" i="6"/>
  <c r="I692" i="6"/>
  <c r="J691" i="6"/>
  <c r="I691" i="6"/>
  <c r="J687" i="6"/>
  <c r="I687" i="6"/>
  <c r="J686" i="6"/>
  <c r="I686" i="6"/>
  <c r="J689" i="6"/>
  <c r="I689" i="6"/>
  <c r="J688" i="6"/>
  <c r="I688" i="6"/>
  <c r="J685" i="6"/>
  <c r="I685" i="6"/>
  <c r="J690" i="6"/>
  <c r="I690" i="6"/>
  <c r="J684" i="6"/>
  <c r="I684" i="6"/>
  <c r="J683" i="6"/>
  <c r="I683" i="6"/>
  <c r="J681" i="6"/>
  <c r="I681" i="6"/>
  <c r="J677" i="6"/>
  <c r="I677" i="6"/>
  <c r="J676" i="6"/>
  <c r="I676" i="6"/>
  <c r="J679" i="6"/>
  <c r="I679" i="6"/>
  <c r="J678" i="6"/>
  <c r="I678" i="6"/>
  <c r="J675" i="6"/>
  <c r="I675" i="6"/>
  <c r="J680" i="6"/>
  <c r="I680" i="6"/>
  <c r="J674" i="6"/>
  <c r="I674" i="6"/>
  <c r="J673" i="6"/>
  <c r="I673" i="6"/>
  <c r="J672" i="6"/>
  <c r="I672" i="6"/>
  <c r="J671" i="6"/>
  <c r="I671" i="6"/>
  <c r="J670" i="6"/>
  <c r="I670" i="6"/>
  <c r="J669" i="6"/>
  <c r="I669" i="6"/>
  <c r="J668" i="6"/>
  <c r="I668" i="6"/>
  <c r="J667" i="6"/>
  <c r="I667" i="6"/>
  <c r="J666" i="6"/>
  <c r="I666" i="6"/>
  <c r="J665" i="6"/>
  <c r="I665" i="6"/>
  <c r="J664" i="6"/>
  <c r="I664" i="6"/>
  <c r="J663" i="6"/>
  <c r="I663" i="6"/>
  <c r="J662" i="6"/>
  <c r="I662" i="6"/>
  <c r="J661" i="6"/>
  <c r="I661" i="6"/>
  <c r="J660" i="6"/>
  <c r="I660" i="6"/>
  <c r="J659" i="6"/>
  <c r="I659" i="6"/>
  <c r="J658" i="6"/>
  <c r="I658" i="6"/>
  <c r="J657" i="6"/>
  <c r="I657" i="6"/>
  <c r="J656" i="6"/>
  <c r="I656" i="6"/>
  <c r="J655" i="6"/>
  <c r="I655" i="6"/>
  <c r="J654" i="6"/>
  <c r="I654" i="6"/>
  <c r="J653" i="6"/>
  <c r="I653" i="6"/>
  <c r="J652" i="6"/>
  <c r="I652" i="6"/>
  <c r="J651" i="6"/>
  <c r="I651" i="6"/>
  <c r="J650" i="6"/>
  <c r="I650" i="6"/>
  <c r="J649" i="6"/>
  <c r="I649" i="6"/>
  <c r="J648" i="6"/>
  <c r="I648" i="6"/>
  <c r="J647" i="6"/>
  <c r="I647" i="6"/>
  <c r="J646" i="6"/>
  <c r="I646" i="6"/>
  <c r="J645" i="6"/>
  <c r="I645" i="6"/>
  <c r="J644" i="6"/>
  <c r="I644" i="6"/>
  <c r="J643" i="6"/>
  <c r="I643" i="6"/>
  <c r="J642" i="6"/>
  <c r="I642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5" i="6"/>
  <c r="I635" i="6"/>
  <c r="J634" i="6"/>
  <c r="I634" i="6"/>
  <c r="J633" i="6"/>
  <c r="I633" i="6"/>
  <c r="J632" i="6"/>
  <c r="I632" i="6"/>
  <c r="J631" i="6"/>
  <c r="I631" i="6"/>
  <c r="J630" i="6"/>
  <c r="I630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23" i="6"/>
  <c r="I623" i="6"/>
  <c r="J622" i="6"/>
  <c r="I622" i="6"/>
  <c r="J621" i="6"/>
  <c r="I621" i="6"/>
  <c r="J610" i="6"/>
  <c r="I610" i="6"/>
  <c r="J609" i="6"/>
  <c r="I609" i="6"/>
  <c r="J612" i="6"/>
  <c r="I612" i="6"/>
  <c r="J611" i="6"/>
  <c r="I611" i="6"/>
  <c r="J608" i="6"/>
  <c r="I608" i="6"/>
  <c r="J620" i="6"/>
  <c r="I620" i="6"/>
  <c r="J619" i="6"/>
  <c r="I619" i="6"/>
  <c r="J618" i="6"/>
  <c r="I618" i="6"/>
  <c r="J617" i="6"/>
  <c r="I617" i="6"/>
  <c r="J616" i="6"/>
  <c r="I616" i="6"/>
  <c r="J615" i="6"/>
  <c r="I615" i="6"/>
  <c r="J614" i="6"/>
  <c r="I614" i="6"/>
  <c r="J613" i="6"/>
  <c r="I613" i="6"/>
  <c r="J607" i="6"/>
  <c r="I607" i="6"/>
  <c r="J606" i="6"/>
  <c r="I606" i="6"/>
  <c r="J605" i="6"/>
  <c r="I605" i="6"/>
  <c r="J604" i="6"/>
  <c r="I604" i="6"/>
  <c r="J603" i="6"/>
  <c r="I603" i="6"/>
  <c r="J602" i="6"/>
  <c r="I602" i="6"/>
  <c r="J601" i="6"/>
  <c r="I601" i="6"/>
  <c r="J595" i="6"/>
  <c r="I595" i="6"/>
  <c r="J594" i="6"/>
  <c r="I594" i="6"/>
  <c r="J597" i="6"/>
  <c r="I597" i="6"/>
  <c r="J596" i="6"/>
  <c r="I596" i="6"/>
  <c r="J600" i="6"/>
  <c r="I600" i="6"/>
  <c r="J599" i="6"/>
  <c r="I599" i="6"/>
  <c r="J598" i="6"/>
  <c r="I598" i="6"/>
  <c r="J593" i="6"/>
  <c r="I593" i="6"/>
  <c r="J592" i="6"/>
  <c r="I592" i="6"/>
  <c r="J591" i="6"/>
  <c r="I591" i="6"/>
  <c r="J590" i="6"/>
  <c r="I590" i="6"/>
  <c r="J589" i="6"/>
  <c r="I589" i="6"/>
  <c r="J588" i="6"/>
  <c r="I588" i="6"/>
  <c r="J587" i="6"/>
  <c r="I587" i="6"/>
  <c r="J586" i="6"/>
  <c r="I586" i="6"/>
  <c r="J585" i="6"/>
  <c r="I585" i="6"/>
  <c r="J584" i="6"/>
  <c r="I584" i="6"/>
  <c r="J580" i="6"/>
  <c r="I580" i="6"/>
  <c r="J583" i="6"/>
  <c r="I583" i="6"/>
  <c r="J582" i="6"/>
  <c r="I582" i="6"/>
  <c r="J581" i="6"/>
  <c r="I581" i="6"/>
  <c r="J579" i="6"/>
  <c r="I579" i="6"/>
  <c r="J578" i="6"/>
  <c r="I578" i="6"/>
  <c r="J570" i="6"/>
  <c r="I570" i="6"/>
  <c r="J569" i="6"/>
  <c r="I569" i="6"/>
  <c r="J572" i="6"/>
  <c r="I572" i="6"/>
  <c r="J571" i="6"/>
  <c r="I571" i="6"/>
  <c r="J577" i="6"/>
  <c r="I577" i="6"/>
  <c r="J576" i="6"/>
  <c r="I576" i="6"/>
  <c r="J575" i="6"/>
  <c r="I575" i="6"/>
  <c r="J574" i="6"/>
  <c r="I574" i="6"/>
  <c r="J573" i="6"/>
  <c r="I573" i="6"/>
  <c r="J568" i="6"/>
  <c r="I568" i="6"/>
  <c r="J566" i="6"/>
  <c r="I566" i="6"/>
  <c r="J565" i="6"/>
  <c r="I565" i="6"/>
  <c r="J564" i="6"/>
  <c r="I564" i="6"/>
  <c r="J563" i="6"/>
  <c r="I563" i="6"/>
  <c r="J562" i="6"/>
  <c r="I562" i="6"/>
  <c r="J561" i="6"/>
  <c r="I561" i="6"/>
  <c r="J560" i="6"/>
  <c r="I560" i="6"/>
  <c r="J559" i="6"/>
  <c r="I559" i="6"/>
  <c r="J558" i="6"/>
  <c r="I558" i="6"/>
  <c r="J557" i="6"/>
  <c r="I557" i="6"/>
  <c r="J556" i="6"/>
  <c r="I556" i="6"/>
  <c r="J555" i="6"/>
  <c r="I555" i="6"/>
  <c r="J554" i="6"/>
  <c r="I554" i="6"/>
  <c r="J545" i="6"/>
  <c r="I545" i="6"/>
  <c r="J544" i="6"/>
  <c r="I544" i="6"/>
  <c r="J547" i="6"/>
  <c r="I547" i="6"/>
  <c r="J546" i="6"/>
  <c r="I546" i="6"/>
  <c r="J553" i="6"/>
  <c r="I553" i="6"/>
  <c r="J552" i="6"/>
  <c r="I552" i="6"/>
  <c r="J551" i="6"/>
  <c r="I551" i="6"/>
  <c r="J550" i="6"/>
  <c r="I550" i="6"/>
  <c r="J549" i="6"/>
  <c r="I549" i="6"/>
  <c r="J548" i="6"/>
  <c r="I548" i="6"/>
  <c r="J543" i="6"/>
  <c r="I543" i="6"/>
  <c r="J542" i="6"/>
  <c r="I542" i="6"/>
  <c r="J541" i="6"/>
  <c r="I541" i="6"/>
  <c r="J540" i="6"/>
  <c r="I540" i="6"/>
  <c r="J533" i="6"/>
  <c r="I533" i="6"/>
  <c r="J532" i="6"/>
  <c r="I532" i="6"/>
  <c r="J535" i="6"/>
  <c r="I535" i="6"/>
  <c r="J534" i="6"/>
  <c r="I534" i="6"/>
  <c r="J539" i="6"/>
  <c r="I539" i="6"/>
  <c r="J538" i="6"/>
  <c r="I538" i="6"/>
  <c r="J537" i="6"/>
  <c r="I537" i="6"/>
  <c r="J536" i="6"/>
  <c r="I536" i="6"/>
  <c r="J531" i="6"/>
  <c r="I531" i="6"/>
  <c r="J530" i="6"/>
  <c r="I530" i="6"/>
  <c r="J528" i="6"/>
  <c r="I528" i="6"/>
  <c r="J527" i="6"/>
  <c r="I527" i="6"/>
  <c r="J526" i="6"/>
  <c r="I526" i="6"/>
  <c r="J525" i="6"/>
  <c r="I525" i="6"/>
  <c r="J524" i="6"/>
  <c r="I524" i="6"/>
  <c r="J523" i="6"/>
  <c r="I523" i="6"/>
  <c r="J522" i="6"/>
  <c r="I522" i="6"/>
  <c r="J521" i="6"/>
  <c r="I521" i="6"/>
  <c r="J520" i="6"/>
  <c r="I520" i="6"/>
  <c r="J519" i="6"/>
  <c r="I519" i="6"/>
  <c r="J518" i="6"/>
  <c r="I518" i="6"/>
  <c r="J517" i="6"/>
  <c r="I517" i="6"/>
  <c r="J516" i="6"/>
  <c r="I516" i="6"/>
  <c r="J515" i="6"/>
  <c r="I515" i="6"/>
  <c r="J506" i="6"/>
  <c r="I506" i="6"/>
  <c r="J505" i="6"/>
  <c r="I505" i="6"/>
  <c r="J508" i="6"/>
  <c r="I508" i="6"/>
  <c r="J507" i="6"/>
  <c r="I507" i="6"/>
  <c r="J514" i="6"/>
  <c r="I514" i="6"/>
  <c r="J513" i="6"/>
  <c r="I513" i="6"/>
  <c r="J512" i="6"/>
  <c r="I512" i="6"/>
  <c r="J511" i="6"/>
  <c r="I511" i="6"/>
  <c r="J510" i="6"/>
  <c r="I510" i="6"/>
  <c r="J509" i="6"/>
  <c r="I509" i="6"/>
  <c r="J503" i="6"/>
  <c r="I503" i="6"/>
  <c r="J502" i="6"/>
  <c r="I502" i="6"/>
  <c r="J501" i="6"/>
  <c r="I501" i="6"/>
  <c r="J500" i="6"/>
  <c r="I500" i="6"/>
  <c r="J493" i="6"/>
  <c r="I493" i="6"/>
  <c r="J492" i="6"/>
  <c r="I492" i="6"/>
  <c r="J495" i="6"/>
  <c r="I495" i="6"/>
  <c r="J494" i="6"/>
  <c r="I494" i="6"/>
  <c r="J499" i="6"/>
  <c r="I499" i="6"/>
  <c r="J498" i="6"/>
  <c r="I498" i="6"/>
  <c r="J497" i="6"/>
  <c r="I497" i="6"/>
  <c r="J496" i="6"/>
  <c r="I496" i="6"/>
  <c r="J491" i="6"/>
  <c r="I491" i="6"/>
  <c r="J490" i="6"/>
  <c r="I490" i="6"/>
  <c r="J489" i="6"/>
  <c r="I489" i="6"/>
  <c r="J488" i="6"/>
  <c r="I488" i="6"/>
  <c r="J487" i="6"/>
  <c r="I487" i="6"/>
  <c r="J486" i="6"/>
  <c r="I486" i="6"/>
  <c r="J485" i="6"/>
  <c r="I485" i="6"/>
  <c r="J484" i="6"/>
  <c r="I484" i="6"/>
  <c r="J483" i="6"/>
  <c r="I483" i="6"/>
  <c r="J482" i="6"/>
  <c r="I482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5" i="6"/>
  <c r="I475" i="6"/>
  <c r="J474" i="6"/>
  <c r="I474" i="6"/>
  <c r="J473" i="6"/>
  <c r="I473" i="6"/>
  <c r="J472" i="6"/>
  <c r="I472" i="6"/>
  <c r="J471" i="6"/>
  <c r="I471" i="6"/>
  <c r="J470" i="6"/>
  <c r="I470" i="6"/>
  <c r="J469" i="6"/>
  <c r="I469" i="6"/>
  <c r="J460" i="6"/>
  <c r="I460" i="6"/>
  <c r="J459" i="6"/>
  <c r="I459" i="6"/>
  <c r="J462" i="6"/>
  <c r="I462" i="6"/>
  <c r="J461" i="6"/>
  <c r="I461" i="6"/>
  <c r="J468" i="6"/>
  <c r="I468" i="6"/>
  <c r="J467" i="6"/>
  <c r="I467" i="6"/>
  <c r="J466" i="6"/>
  <c r="I466" i="6"/>
  <c r="J465" i="6"/>
  <c r="I465" i="6"/>
  <c r="J464" i="6"/>
  <c r="I464" i="6"/>
  <c r="J463" i="6"/>
  <c r="I463" i="6"/>
  <c r="J458" i="6"/>
  <c r="I458" i="6"/>
  <c r="J457" i="6"/>
  <c r="I457" i="6"/>
  <c r="J456" i="6"/>
  <c r="I456" i="6"/>
  <c r="J455" i="6"/>
  <c r="I455" i="6"/>
  <c r="J454" i="6"/>
  <c r="I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39" i="6"/>
  <c r="I439" i="6"/>
  <c r="J438" i="6"/>
  <c r="I438" i="6"/>
  <c r="J440" i="6"/>
  <c r="I440" i="6"/>
  <c r="J445" i="6"/>
  <c r="I445" i="6"/>
  <c r="J444" i="6"/>
  <c r="I444" i="6"/>
  <c r="J443" i="6"/>
  <c r="I443" i="6"/>
  <c r="J442" i="6"/>
  <c r="I442" i="6"/>
  <c r="J441" i="6"/>
  <c r="I441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14" i="6"/>
  <c r="I414" i="6"/>
  <c r="J413" i="6"/>
  <c r="I413" i="6"/>
  <c r="J416" i="6"/>
  <c r="I416" i="6"/>
  <c r="J415" i="6"/>
  <c r="I415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2" i="6"/>
  <c r="I412" i="6"/>
  <c r="J411" i="6"/>
  <c r="I411" i="6"/>
  <c r="J410" i="6"/>
  <c r="I410" i="6"/>
  <c r="J409" i="6"/>
  <c r="I409" i="6"/>
  <c r="J408" i="6"/>
  <c r="I408" i="6"/>
  <c r="J402" i="6"/>
  <c r="I402" i="6"/>
  <c r="J401" i="6"/>
  <c r="I401" i="6"/>
  <c r="J404" i="6"/>
  <c r="I404" i="6"/>
  <c r="J403" i="6"/>
  <c r="I403" i="6"/>
  <c r="J407" i="6"/>
  <c r="I407" i="6"/>
  <c r="J406" i="6"/>
  <c r="I406" i="6"/>
  <c r="J405" i="6"/>
  <c r="I405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78" i="6"/>
  <c r="I378" i="6"/>
  <c r="J377" i="6"/>
  <c r="I377" i="6"/>
  <c r="J380" i="6"/>
  <c r="I380" i="6"/>
  <c r="J379" i="6"/>
  <c r="I379" i="6"/>
  <c r="J384" i="6"/>
  <c r="I384" i="6"/>
  <c r="J383" i="6"/>
  <c r="I383" i="6"/>
  <c r="J382" i="6"/>
  <c r="I382" i="6"/>
  <c r="J381" i="6"/>
  <c r="I381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752" i="6"/>
  <c r="I752" i="6"/>
  <c r="J367" i="6"/>
  <c r="I367" i="6"/>
  <c r="J366" i="6"/>
  <c r="I366" i="6"/>
  <c r="J365" i="6"/>
  <c r="I365" i="6"/>
  <c r="J364" i="6"/>
  <c r="I364" i="6"/>
  <c r="J353" i="6"/>
  <c r="I353" i="6"/>
  <c r="J352" i="6"/>
  <c r="I352" i="6"/>
  <c r="J355" i="6"/>
  <c r="I355" i="6"/>
  <c r="J354" i="6"/>
  <c r="I35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7" i="6"/>
  <c r="I327" i="6"/>
  <c r="J328" i="6"/>
  <c r="I328" i="6"/>
  <c r="J319" i="6"/>
  <c r="I319" i="6"/>
  <c r="J321" i="6"/>
  <c r="I321" i="6"/>
  <c r="J320" i="6"/>
  <c r="I320" i="6"/>
  <c r="J326" i="6"/>
  <c r="I326" i="6"/>
  <c r="J325" i="6"/>
  <c r="I325" i="6"/>
  <c r="J324" i="6"/>
  <c r="I324" i="6"/>
  <c r="J323" i="6"/>
  <c r="I323" i="6"/>
  <c r="J322" i="6"/>
  <c r="I322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299" i="6"/>
  <c r="I299" i="6"/>
  <c r="J298" i="6"/>
  <c r="I298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3" i="6"/>
  <c r="I273" i="6"/>
  <c r="I279" i="6"/>
  <c r="J278" i="6"/>
  <c r="I278" i="6"/>
  <c r="J277" i="6"/>
  <c r="I277" i="6"/>
  <c r="J275" i="6"/>
  <c r="I275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0" i="6"/>
  <c r="I240" i="6"/>
  <c r="J239" i="6"/>
  <c r="I239" i="6"/>
  <c r="J238" i="6"/>
  <c r="I238" i="6"/>
  <c r="J237" i="6"/>
  <c r="I237" i="6"/>
  <c r="J236" i="6"/>
  <c r="I236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I5" i="6"/>
  <c r="J4" i="6"/>
  <c r="I4" i="6"/>
  <c r="J3" i="6"/>
  <c r="I3" i="6"/>
  <c r="J2" i="6"/>
  <c r="I2" i="6"/>
  <c r="B1" i="12"/>
  <c r="S2393" i="1" l="1"/>
  <c r="S2395" i="1"/>
  <c r="S2391" i="1"/>
  <c r="S2392" i="1"/>
  <c r="S2389" i="1"/>
  <c r="S2390" i="1"/>
  <c r="S2386" i="1"/>
  <c r="S2387" i="1"/>
  <c r="Y7" i="16"/>
  <c r="Y6" i="16"/>
  <c r="S2384" i="1"/>
  <c r="S2385" i="1"/>
  <c r="S2382" i="1"/>
  <c r="S2383" i="1"/>
  <c r="S2380" i="1"/>
  <c r="S2381" i="1"/>
  <c r="S2378" i="1"/>
  <c r="S2379" i="1"/>
  <c r="S2376" i="1"/>
  <c r="S2377" i="1"/>
  <c r="S2373" i="1"/>
  <c r="S2374" i="1"/>
  <c r="S2371" i="1"/>
  <c r="S2372" i="1"/>
  <c r="S2369" i="1"/>
  <c r="S2370" i="1"/>
  <c r="S2366" i="1"/>
  <c r="S2367" i="1"/>
  <c r="S2364" i="1"/>
  <c r="S2365" i="1"/>
  <c r="S2362" i="1"/>
  <c r="S2363" i="1"/>
  <c r="S2360" i="1"/>
  <c r="S2361" i="1"/>
  <c r="S2283" i="1"/>
  <c r="S2359" i="1"/>
  <c r="S2356" i="1"/>
  <c r="S2357" i="1"/>
  <c r="S2354" i="1"/>
  <c r="S2355" i="1"/>
  <c r="S2352" i="1"/>
  <c r="S2353" i="1"/>
  <c r="S2350" i="1"/>
  <c r="S2351" i="1"/>
  <c r="S2348" i="1"/>
  <c r="S2349" i="1"/>
  <c r="S2346" i="1"/>
  <c r="S2347" i="1"/>
  <c r="S2344" i="1"/>
  <c r="S2345" i="1"/>
  <c r="S2342" i="1"/>
  <c r="S2343" i="1"/>
  <c r="S2340" i="1"/>
  <c r="S2341" i="1"/>
  <c r="S2338" i="1"/>
  <c r="S2339" i="1"/>
  <c r="S2336" i="1"/>
  <c r="S2337" i="1"/>
  <c r="S2358" i="1"/>
  <c r="S2335" i="1"/>
  <c r="S2332" i="1"/>
  <c r="S2334" i="1"/>
  <c r="S2330" i="1"/>
  <c r="S2331" i="1"/>
  <c r="S2328" i="1"/>
  <c r="S2329" i="1"/>
  <c r="S2326" i="1"/>
  <c r="S2327" i="1"/>
  <c r="S2324" i="1"/>
  <c r="S2325" i="1"/>
  <c r="S2321" i="1"/>
  <c r="S2323" i="1"/>
  <c r="S2190" i="1"/>
  <c r="S2213" i="1"/>
  <c r="S2309" i="1"/>
  <c r="S2265" i="1"/>
  <c r="S2307" i="1"/>
  <c r="S2311" i="1"/>
  <c r="S2302" i="1"/>
  <c r="S2303" i="1"/>
  <c r="S2301" i="1"/>
  <c r="S2306" i="1"/>
  <c r="S2310" i="1"/>
  <c r="S2308" i="1"/>
  <c r="S2305" i="1"/>
  <c r="S2313" i="1"/>
  <c r="S2312" i="1"/>
  <c r="S2304" i="1"/>
  <c r="D5" i="16"/>
  <c r="S2235" i="1"/>
  <c r="S2241" i="1"/>
  <c r="W4" i="157"/>
  <c r="S2226" i="1"/>
  <c r="C5" i="16"/>
  <c r="S2228" i="1"/>
  <c r="S2225" i="1"/>
  <c r="S2229" i="1"/>
  <c r="S2222" i="1"/>
  <c r="S2209" i="1"/>
  <c r="S2216" i="1"/>
  <c r="B5" i="16"/>
  <c r="E10" i="16"/>
  <c r="B10" i="16"/>
  <c r="B9" i="16" s="1"/>
  <c r="D7" i="16"/>
  <c r="E5" i="16"/>
  <c r="H6" i="16"/>
  <c r="S7" i="16"/>
  <c r="F10" i="16"/>
  <c r="F9" i="16" s="1"/>
  <c r="F7" i="16"/>
  <c r="M7" i="16"/>
  <c r="U7" i="16"/>
  <c r="B7" i="16"/>
  <c r="K7" i="16"/>
  <c r="O7" i="16"/>
  <c r="W6" i="16"/>
  <c r="C7" i="16"/>
  <c r="F6" i="16"/>
  <c r="Q6" i="16"/>
  <c r="C6" i="16"/>
  <c r="E7" i="16"/>
  <c r="C10" i="16"/>
  <c r="C9" i="16" s="1"/>
  <c r="B6" i="16"/>
  <c r="J7" i="16"/>
  <c r="G6" i="16"/>
  <c r="L6" i="16"/>
  <c r="N6" i="16"/>
  <c r="P7" i="16"/>
  <c r="R7" i="16"/>
  <c r="T7" i="16"/>
  <c r="V7" i="16"/>
  <c r="X6" i="16"/>
  <c r="H5" i="16"/>
  <c r="D10" i="16"/>
  <c r="D17" i="16" s="1"/>
  <c r="F5" i="16"/>
  <c r="I7" i="16"/>
  <c r="I6" i="16"/>
  <c r="K6" i="16"/>
  <c r="D6" i="16"/>
  <c r="L7" i="16"/>
  <c r="N7" i="16"/>
  <c r="P6" i="16"/>
  <c r="R6" i="16"/>
  <c r="T6" i="16"/>
  <c r="V6" i="16"/>
  <c r="X7" i="16"/>
  <c r="G5" i="16"/>
  <c r="J6" i="16"/>
  <c r="G7" i="16"/>
  <c r="H7" i="16"/>
  <c r="E6" i="16"/>
  <c r="M6" i="16"/>
  <c r="O6" i="16"/>
  <c r="Q7" i="16"/>
  <c r="S6" i="16"/>
  <c r="U6" i="16"/>
  <c r="U8" i="16" s="1"/>
  <c r="W7" i="16"/>
  <c r="S2261" i="1"/>
  <c r="S2262" i="1"/>
  <c r="S2263" i="1"/>
  <c r="S2264" i="1"/>
  <c r="S2192" i="1"/>
  <c r="S2179" i="1"/>
  <c r="S2185" i="1"/>
  <c r="S2189" i="1"/>
  <c r="S2300" i="1"/>
  <c r="S2187" i="1"/>
  <c r="S2299" i="1"/>
  <c r="S2174" i="1"/>
  <c r="S2065" i="1"/>
  <c r="S2178" i="1"/>
  <c r="S2101" i="1"/>
  <c r="S2050" i="1"/>
  <c r="S2281" i="1"/>
  <c r="S2102" i="1"/>
  <c r="S2278" i="1"/>
  <c r="S2280" i="1"/>
  <c r="S2282" i="1"/>
  <c r="S2239" i="1"/>
  <c r="S2290" i="1"/>
  <c r="S2247" i="1"/>
  <c r="S2260" i="1"/>
  <c r="S2289" i="1"/>
  <c r="S2251" i="1"/>
  <c r="S2256" i="1"/>
  <c r="S2259" i="1"/>
  <c r="S2257" i="1"/>
  <c r="S2258" i="1"/>
  <c r="S2286" i="1"/>
  <c r="S2250" i="1"/>
  <c r="S2333" i="1"/>
  <c r="S2269" i="1"/>
  <c r="S2298" i="1"/>
  <c r="S2292" i="1"/>
  <c r="S2294" i="1"/>
  <c r="S2295" i="1"/>
  <c r="S2284" i="1"/>
  <c r="S2293" i="1"/>
  <c r="S2296" i="1"/>
  <c r="S2273" i="1"/>
  <c r="S2287" i="1"/>
  <c r="S2252" i="1"/>
  <c r="S2275" i="1"/>
  <c r="S2279" i="1"/>
  <c r="S2268" i="1"/>
  <c r="S2297" i="1"/>
  <c r="S2288" i="1"/>
  <c r="S2267" i="1"/>
  <c r="S2266" i="1"/>
  <c r="S2100" i="1"/>
  <c r="S2276" i="1"/>
  <c r="S2277" i="1"/>
  <c r="S2291" i="1"/>
  <c r="S2285" i="1"/>
  <c r="S2215" i="1"/>
  <c r="S2274" i="1"/>
  <c r="S2243" i="1"/>
  <c r="S2240" i="1"/>
  <c r="S2253" i="1"/>
  <c r="S2254" i="1"/>
  <c r="S2107" i="1"/>
  <c r="S2214" i="1"/>
  <c r="S2160" i="1"/>
  <c r="S2163" i="1"/>
  <c r="S2122" i="1"/>
  <c r="S2120" i="1"/>
  <c r="S2066" i="1"/>
  <c r="S2098" i="1"/>
  <c r="S2105" i="1"/>
  <c r="S2099" i="1"/>
  <c r="S2097" i="1"/>
  <c r="S2090" i="1"/>
  <c r="S2145" i="1"/>
  <c r="S2255" i="1"/>
  <c r="S2234" i="1"/>
  <c r="S2203" i="1"/>
  <c r="S2231" i="1"/>
  <c r="S2233" i="1"/>
  <c r="S2156" i="1"/>
  <c r="S2200" i="1"/>
  <c r="S2248" i="1"/>
  <c r="S2249" i="1"/>
  <c r="S2246" i="1"/>
  <c r="S2212" i="1"/>
  <c r="S2272" i="1"/>
  <c r="S2046" i="1"/>
  <c r="S2045" i="1"/>
  <c r="S2210" i="1"/>
  <c r="S2067" i="1"/>
  <c r="S2238" i="1"/>
  <c r="S2044" i="1"/>
  <c r="S2211" i="1"/>
  <c r="S2168" i="1"/>
  <c r="S2128" i="1"/>
  <c r="S2237" i="1"/>
  <c r="S2135" i="1"/>
  <c r="S2133" i="1"/>
  <c r="S2142" i="1"/>
  <c r="S2134" i="1"/>
  <c r="S2220" i="1"/>
  <c r="S2221" i="1"/>
  <c r="S2155" i="1"/>
  <c r="S2144" i="1"/>
  <c r="S2141" i="1"/>
  <c r="S2143" i="1"/>
  <c r="S2075" i="1"/>
  <c r="S2197" i="1"/>
  <c r="S2219" i="1"/>
  <c r="S2201" i="1"/>
  <c r="S2043" i="1"/>
  <c r="S2140" i="1"/>
  <c r="S1979" i="1"/>
  <c r="S2125" i="1"/>
  <c r="S2159" i="1"/>
  <c r="S2207" i="1"/>
  <c r="S2206" i="1"/>
  <c r="S2232" i="1"/>
  <c r="S2164" i="1"/>
  <c r="S2205" i="1"/>
  <c r="S2124" i="1"/>
  <c r="S2204" i="1"/>
  <c r="S2171" i="1"/>
  <c r="S2202" i="1"/>
  <c r="S2169" i="1"/>
  <c r="S2170" i="1"/>
  <c r="S2198" i="1"/>
  <c r="S2199" i="1"/>
  <c r="S2035" i="1"/>
  <c r="S2106" i="1"/>
  <c r="S2196" i="1"/>
  <c r="S2076" i="1"/>
  <c r="S2194" i="1"/>
  <c r="S2195" i="1"/>
  <c r="S2096" i="1"/>
  <c r="S2193" i="1"/>
  <c r="S2236" i="1"/>
  <c r="S2138" i="1"/>
  <c r="S2139" i="1"/>
  <c r="S2121" i="1"/>
  <c r="S1945" i="1"/>
  <c r="S2167" i="1"/>
  <c r="S2094" i="1"/>
  <c r="S1988" i="1"/>
  <c r="S2013" i="1"/>
  <c r="S2191" i="1"/>
  <c r="S2166" i="1"/>
  <c r="S1996" i="1"/>
  <c r="S2165" i="1"/>
  <c r="S2126" i="1"/>
  <c r="S1998" i="1"/>
  <c r="S1995" i="1"/>
  <c r="S2029" i="1"/>
  <c r="S2014" i="1"/>
  <c r="S2016" i="1"/>
  <c r="S2021" i="1"/>
  <c r="S2022" i="1"/>
  <c r="S2005" i="1"/>
  <c r="S2009" i="1"/>
  <c r="S2130" i="1"/>
  <c r="S1994" i="1"/>
  <c r="S2008" i="1"/>
  <c r="S2129" i="1"/>
  <c r="S1857" i="1"/>
  <c r="S1841" i="1"/>
  <c r="S2083" i="1"/>
  <c r="S1965" i="1"/>
  <c r="S1869" i="1"/>
  <c r="S1852" i="1"/>
  <c r="S2074" i="1"/>
  <c r="S1989" i="1"/>
  <c r="S2137" i="1"/>
  <c r="S2073" i="1"/>
  <c r="S1917" i="1"/>
  <c r="S1883" i="1"/>
  <c r="S2071" i="1"/>
  <c r="S1942" i="1"/>
  <c r="S1858" i="1"/>
  <c r="S2069" i="1"/>
  <c r="S2117" i="1"/>
  <c r="S2095" i="1"/>
  <c r="S2230" i="1"/>
  <c r="S2085" i="1"/>
  <c r="S2056" i="1"/>
  <c r="S2148" i="1"/>
  <c r="S2086" i="1"/>
  <c r="S2149" i="1"/>
  <c r="S2147" i="1"/>
  <c r="S2063" i="1"/>
  <c r="S2173" i="1"/>
  <c r="S2032" i="1"/>
  <c r="S2080" i="1"/>
  <c r="S1991" i="1"/>
  <c r="S1992" i="1"/>
  <c r="S2154" i="1"/>
  <c r="S1990" i="1"/>
  <c r="S2111" i="1"/>
  <c r="S2153" i="1"/>
  <c r="S2078" i="1"/>
  <c r="S2157" i="1"/>
  <c r="S2172" i="1"/>
  <c r="S2158" i="1"/>
  <c r="S1974" i="1"/>
  <c r="S2084" i="1"/>
  <c r="S1935" i="1"/>
  <c r="S2108" i="1"/>
  <c r="S1853" i="1"/>
  <c r="S2079" i="1"/>
  <c r="S1984" i="1"/>
  <c r="S2023" i="1"/>
  <c r="S2116" i="1"/>
  <c r="S2089" i="1"/>
  <c r="S2114" i="1"/>
  <c r="S2115" i="1"/>
  <c r="S2077" i="1"/>
  <c r="S2062" i="1"/>
  <c r="S2057" i="1"/>
  <c r="S1978" i="1"/>
  <c r="S2055" i="1"/>
  <c r="S2054" i="1"/>
  <c r="S1956" i="1"/>
  <c r="S1961" i="1"/>
  <c r="S1906" i="1"/>
  <c r="S2011" i="1"/>
  <c r="S1912" i="1"/>
  <c r="S1913" i="1"/>
  <c r="S1911" i="1"/>
  <c r="S1915" i="1"/>
  <c r="S1904" i="1"/>
  <c r="S1901" i="1"/>
  <c r="S1897" i="1"/>
  <c r="S1899" i="1"/>
  <c r="S1896" i="1"/>
  <c r="S1898" i="1"/>
  <c r="S1893" i="1"/>
  <c r="S1894" i="1"/>
  <c r="S1888" i="1"/>
  <c r="S1895" i="1"/>
  <c r="S1882" i="1"/>
  <c r="S1887" i="1"/>
  <c r="S2151" i="1"/>
  <c r="S2152" i="1"/>
  <c r="S2150" i="1"/>
  <c r="S1878" i="1"/>
  <c r="S1960" i="1"/>
  <c r="S1962" i="1"/>
  <c r="S1815" i="1"/>
  <c r="S1871" i="1"/>
  <c r="S1863" i="1"/>
  <c r="S1814" i="1"/>
  <c r="S1864" i="1"/>
  <c r="S1862" i="1"/>
  <c r="S1794" i="1"/>
  <c r="S1868" i="1"/>
  <c r="S1851" i="1"/>
  <c r="S1861" i="1"/>
  <c r="S1838" i="1"/>
  <c r="S1837" i="1"/>
  <c r="S1817" i="1"/>
  <c r="S1792" i="1"/>
  <c r="S2072" i="1"/>
  <c r="S1827" i="1"/>
  <c r="S1953" i="1"/>
  <c r="S1824" i="1"/>
  <c r="S1903" i="1"/>
  <c r="S1954" i="1"/>
  <c r="S1900" i="1"/>
  <c r="S1902" i="1"/>
  <c r="S2001" i="1"/>
  <c r="S1973" i="1"/>
  <c r="S1972" i="1"/>
  <c r="S2061" i="1"/>
  <c r="S2027" i="1"/>
  <c r="S2010" i="1"/>
  <c r="S1966" i="1"/>
  <c r="S2123" i="1"/>
  <c r="S2146" i="1"/>
  <c r="S1980" i="1"/>
  <c r="S2031" i="1"/>
  <c r="S1957" i="1"/>
  <c r="S1848" i="1"/>
  <c r="S1958" i="1"/>
  <c r="S1959" i="1"/>
  <c r="S1950" i="1"/>
  <c r="S1951" i="1"/>
  <c r="S1949" i="1"/>
  <c r="S1795" i="1"/>
  <c r="S2113" i="1"/>
  <c r="S1955" i="1"/>
  <c r="S1986" i="1"/>
  <c r="S1811" i="1"/>
  <c r="S1982" i="1"/>
  <c r="S1987" i="1"/>
  <c r="S1939" i="1"/>
  <c r="S1983" i="1"/>
  <c r="S1880" i="1"/>
  <c r="S1940" i="1"/>
  <c r="S1938" i="1"/>
  <c r="S2004" i="1"/>
  <c r="S1971" i="1"/>
  <c r="S1937" i="1"/>
  <c r="S1976" i="1"/>
  <c r="S1970" i="1"/>
  <c r="S2053" i="1"/>
  <c r="S2059" i="1"/>
  <c r="S1876" i="1"/>
  <c r="S2028" i="1"/>
  <c r="S1804" i="1"/>
  <c r="S1905" i="1"/>
  <c r="S1964" i="1"/>
  <c r="S1886" i="1"/>
  <c r="S2000" i="1"/>
  <c r="S1849" i="1"/>
  <c r="S1826" i="1"/>
  <c r="S1798" i="1"/>
  <c r="S1892" i="1"/>
  <c r="S1809" i="1"/>
  <c r="S1805" i="1"/>
  <c r="S2030" i="1"/>
  <c r="S1875" i="1"/>
  <c r="S1766" i="1"/>
  <c r="S1769" i="1"/>
  <c r="S1675" i="1"/>
  <c r="S1656" i="1"/>
  <c r="S2058" i="1"/>
  <c r="S1793" i="1"/>
  <c r="S2060" i="1"/>
  <c r="S1844" i="1"/>
  <c r="S1921" i="1"/>
  <c r="S1920" i="1"/>
  <c r="S1934" i="1"/>
  <c r="S1969" i="1"/>
  <c r="S1922" i="1"/>
  <c r="S1782" i="1"/>
  <c r="S1786" i="1"/>
  <c r="S1785" i="1"/>
  <c r="S1783" i="1"/>
  <c r="S1787" i="1"/>
  <c r="S1784" i="1"/>
  <c r="S1825" i="1"/>
  <c r="S1891" i="1"/>
  <c r="S1757" i="1"/>
  <c r="S1751" i="1"/>
  <c r="S1753" i="1"/>
  <c r="S1756" i="1"/>
  <c r="S1765" i="1"/>
  <c r="S1746" i="1"/>
  <c r="S1981" i="1"/>
  <c r="S1764" i="1"/>
  <c r="S1910" i="1"/>
  <c r="S1985" i="1"/>
  <c r="S1948" i="1"/>
  <c r="S1918" i="1"/>
  <c r="S1977" i="1"/>
  <c r="S1867" i="1"/>
  <c r="S1909" i="1"/>
  <c r="S1975" i="1"/>
  <c r="S1752" i="1"/>
  <c r="S1750" i="1"/>
  <c r="S1997" i="1"/>
  <c r="S2082" i="1"/>
  <c r="S1737" i="1"/>
  <c r="S1885" i="1"/>
  <c r="S1967" i="1"/>
  <c r="S2052" i="1"/>
  <c r="S1941" i="1"/>
  <c r="S1734" i="1"/>
  <c r="S1735" i="1"/>
  <c r="S1874" i="1"/>
  <c r="S1778" i="1"/>
  <c r="S1779" i="1"/>
  <c r="S1781" i="1"/>
  <c r="S1780" i="1"/>
  <c r="S1836" i="1"/>
  <c r="S1736" i="1"/>
  <c r="S1919" i="1"/>
  <c r="S1808" i="1"/>
  <c r="S1881" i="1"/>
  <c r="S1947" i="1"/>
  <c r="S1890" i="1"/>
  <c r="S1671" i="1"/>
  <c r="S1763" i="1"/>
  <c r="S1889" i="1"/>
  <c r="S1884" i="1"/>
  <c r="S1932" i="1"/>
  <c r="S1740" i="1"/>
  <c r="S1762" i="1"/>
  <c r="S1877" i="1"/>
  <c r="S1713" i="1"/>
  <c r="S1856" i="1"/>
  <c r="S1806" i="1"/>
  <c r="S1879" i="1"/>
  <c r="S1855" i="1"/>
  <c r="S1866" i="1"/>
  <c r="S1813" i="1"/>
  <c r="S1908" i="1"/>
  <c r="S1907" i="1"/>
  <c r="S1833" i="1"/>
  <c r="S1834" i="1"/>
  <c r="S1810" i="1"/>
  <c r="S1835" i="1"/>
  <c r="S1873" i="1"/>
  <c r="S1872" i="1"/>
  <c r="S1832" i="1"/>
  <c r="S1936" i="1"/>
  <c r="S1807" i="1"/>
  <c r="S1831" i="1"/>
  <c r="S1729" i="1"/>
  <c r="S1771" i="1"/>
  <c r="S1775" i="1"/>
  <c r="S1772" i="1"/>
  <c r="S1776" i="1"/>
  <c r="S1788" i="1"/>
  <c r="S1773" i="1"/>
  <c r="S1777" i="1"/>
  <c r="S1770" i="1"/>
  <c r="S1774" i="1"/>
  <c r="S1714" i="1"/>
  <c r="S1728" i="1"/>
  <c r="S1653" i="1"/>
  <c r="S1652" i="1"/>
  <c r="S1699" i="1"/>
  <c r="S1654" i="1"/>
  <c r="S1929" i="1"/>
  <c r="S1698" i="1"/>
  <c r="S1744" i="1"/>
  <c r="S1743" i="1"/>
  <c r="S1847" i="1"/>
  <c r="S1854" i="1"/>
  <c r="S1812" i="1"/>
  <c r="S1914" i="1"/>
  <c r="S1800" i="1"/>
  <c r="S1711" i="1"/>
  <c r="S1755" i="1"/>
  <c r="S1754" i="1"/>
  <c r="S1790" i="1"/>
  <c r="S1694" i="1"/>
  <c r="S1695" i="1"/>
  <c r="S1789" i="1"/>
  <c r="S1830" i="1"/>
  <c r="S1843" i="1"/>
  <c r="S1732" i="1"/>
  <c r="S1733" i="1"/>
  <c r="S1645" i="1"/>
  <c r="S1646" i="1"/>
  <c r="S1636" i="1"/>
  <c r="S1840" i="1"/>
  <c r="S1738" i="1"/>
  <c r="S1643" i="1"/>
  <c r="S1839" i="1"/>
  <c r="S1759" i="1"/>
  <c r="S1760" i="1"/>
  <c r="S1761" i="1"/>
  <c r="S1647" i="1"/>
  <c r="S1642" i="1"/>
  <c r="S1648" i="1"/>
  <c r="S1644" i="1"/>
  <c r="S1669" i="1"/>
  <c r="S1670" i="1"/>
  <c r="S1705" i="1"/>
  <c r="S1592" i="1"/>
  <c r="S1693" i="1"/>
  <c r="S1706" i="1"/>
  <c r="S1709" i="1"/>
  <c r="S1710" i="1"/>
  <c r="S1697" i="1"/>
  <c r="S1708" i="1"/>
  <c r="S1846" i="1"/>
  <c r="S1742" i="1"/>
  <c r="S1845" i="1"/>
  <c r="S1685" i="1"/>
  <c r="S1688" i="1"/>
  <c r="S1686" i="1"/>
  <c r="S1684" i="1"/>
  <c r="S1687" i="1"/>
  <c r="S1683" i="1"/>
  <c r="S1689" i="1"/>
  <c r="S1719" i="1"/>
  <c r="S1720" i="1"/>
  <c r="S1617" i="1"/>
  <c r="S1614" i="1"/>
  <c r="S1618" i="1"/>
  <c r="S1616" i="1"/>
  <c r="S1615" i="1"/>
  <c r="S1619" i="1"/>
  <c r="S1727" i="1"/>
  <c r="S1613" i="1"/>
  <c r="S1594" i="1"/>
  <c r="S1726" i="1"/>
  <c r="S1573" i="1"/>
  <c r="S1599" i="1"/>
  <c r="S1692" i="1"/>
  <c r="S1668" i="1"/>
  <c r="S1704" i="1"/>
  <c r="S1718" i="1"/>
  <c r="S1565" i="1"/>
  <c r="S1657" i="1"/>
  <c r="S1566" i="1"/>
  <c r="S1537" i="1"/>
  <c r="S1536" i="1"/>
  <c r="S1538" i="1"/>
  <c r="S1539" i="1"/>
  <c r="S1607" i="1"/>
  <c r="S1604" i="1"/>
  <c r="S1641" i="1"/>
  <c r="S1665" i="1"/>
  <c r="S1639" i="1"/>
  <c r="S1640" i="1"/>
  <c r="S1544" i="1"/>
  <c r="S1638" i="1"/>
  <c r="S1543" i="1"/>
  <c r="S1541" i="1"/>
  <c r="S1663" i="1"/>
  <c r="S1542" i="1"/>
  <c r="S1681" i="1"/>
  <c r="S1682" i="1"/>
  <c r="S1691" i="1"/>
  <c r="S1707" i="1"/>
  <c r="S1667" i="1"/>
  <c r="S1690" i="1"/>
  <c r="S1666" i="1"/>
  <c r="S1635" i="1"/>
  <c r="S1758" i="1"/>
  <c r="S1575" i="1"/>
  <c r="S1526" i="1"/>
  <c r="S1531" i="1"/>
  <c r="S1598" i="1"/>
  <c r="S1731" i="1"/>
  <c r="S1651" i="1"/>
  <c r="S1741" i="1"/>
  <c r="S1649" i="1"/>
  <c r="S1650" i="1"/>
  <c r="S1593" i="1"/>
  <c r="S1600" i="1"/>
  <c r="S1680" i="1"/>
  <c r="S1700" i="1"/>
  <c r="S1678" i="1"/>
  <c r="S1679" i="1"/>
  <c r="S1724" i="1"/>
  <c r="S1725" i="1"/>
  <c r="S1611" i="1"/>
  <c r="S1723" i="1"/>
  <c r="S1625" i="1"/>
  <c r="S1662" i="1"/>
  <c r="S1612" i="1"/>
  <c r="S1624" i="1"/>
  <c r="S1739" i="1"/>
  <c r="S1606" i="1"/>
  <c r="S1637" i="1"/>
  <c r="S1659" i="1"/>
  <c r="S1745" i="1"/>
  <c r="S1514" i="1"/>
  <c r="S1829" i="1"/>
  <c r="S1603" i="1"/>
  <c r="S1677" i="1"/>
  <c r="S1602" i="1"/>
  <c r="S1722" i="1"/>
  <c r="S1676" i="1"/>
  <c r="S1567" i="1"/>
  <c r="S1721" i="1"/>
  <c r="S1534" i="1"/>
  <c r="S1506" i="1"/>
  <c r="S1517" i="1"/>
  <c r="S1533" i="1"/>
  <c r="S1511" i="1"/>
  <c r="S1507" i="1"/>
  <c r="S1504" i="1"/>
  <c r="S1505" i="1"/>
  <c r="S1482" i="1"/>
  <c r="S1483" i="1"/>
  <c r="S1481" i="1"/>
  <c r="S1513" i="1"/>
  <c r="S1489" i="1"/>
  <c r="S1621" i="1"/>
  <c r="S1581" i="1"/>
  <c r="S1591" i="1"/>
  <c r="S1601" i="1"/>
  <c r="S1626" i="1"/>
  <c r="S1580" i="1"/>
  <c r="S1579" i="1"/>
  <c r="S1557" i="1"/>
  <c r="S1488" i="1"/>
  <c r="S1578" i="1"/>
  <c r="S1597" i="1"/>
  <c r="S1487" i="1"/>
  <c r="S1622" i="1"/>
  <c r="S1563" i="1"/>
  <c r="S1730" i="1"/>
  <c r="S1562" i="1"/>
  <c r="S1554" i="1"/>
  <c r="S1555" i="1"/>
  <c r="S1556" i="1"/>
  <c r="S1553" i="1"/>
  <c r="S1529" i="1"/>
  <c r="S1530" i="1"/>
  <c r="S1495" i="1"/>
  <c r="S1577" i="1"/>
  <c r="S1549" i="1"/>
  <c r="S1547" i="1"/>
  <c r="S1748" i="1"/>
  <c r="S1548" i="1"/>
  <c r="S1484" i="1"/>
  <c r="S1485" i="1"/>
  <c r="S1454" i="1"/>
  <c r="S1423" i="1"/>
  <c r="S1589" i="1"/>
  <c r="S1512" i="1"/>
  <c r="S1425" i="1"/>
  <c r="S1427" i="1"/>
  <c r="S1545" i="1"/>
  <c r="S1518" i="1"/>
  <c r="S1461" i="1"/>
  <c r="S1546" i="1"/>
  <c r="S1528" i="1"/>
  <c r="S1503" i="1"/>
  <c r="S1477" i="1"/>
  <c r="S1478" i="1"/>
  <c r="S1408" i="1"/>
  <c r="S1476" i="1"/>
  <c r="S1516" i="1"/>
  <c r="S1590" i="1"/>
  <c r="S1522" i="1"/>
  <c r="S1658" i="1"/>
  <c r="S1561" i="1"/>
  <c r="S1523" i="1"/>
  <c r="S1551" i="1"/>
  <c r="S1558" i="1"/>
  <c r="S1749" i="1"/>
  <c r="S1610" i="1"/>
  <c r="S1437" i="1"/>
  <c r="S1452" i="1"/>
  <c r="S1429" i="1"/>
  <c r="S1436" i="1"/>
  <c r="S1442" i="1"/>
  <c r="S1443" i="1"/>
  <c r="S1480" i="1"/>
  <c r="S1486" i="1"/>
  <c r="S1405" i="1"/>
  <c r="S1404" i="1"/>
  <c r="S1368" i="1"/>
  <c r="S1441" i="1"/>
  <c r="S1371" i="1"/>
  <c r="S1366" i="1"/>
  <c r="S1375" i="1"/>
  <c r="S1376" i="1"/>
  <c r="S1540" i="1"/>
  <c r="S1520" i="1"/>
  <c r="S1609" i="1"/>
  <c r="S1572" i="1"/>
  <c r="S1596" i="1"/>
  <c r="S1491" i="1"/>
  <c r="S1560" i="1"/>
  <c r="S1595" i="1"/>
  <c r="S1470" i="1"/>
  <c r="S1559" i="1"/>
  <c r="S1411" i="1"/>
  <c r="S1412" i="1"/>
  <c r="S1406" i="1"/>
  <c r="S1407" i="1"/>
  <c r="S1564" i="1"/>
  <c r="S1469" i="1"/>
  <c r="S1623" i="1"/>
  <c r="S1344" i="1"/>
  <c r="S1475" i="1"/>
  <c r="S1421" i="1"/>
  <c r="S1343" i="1"/>
  <c r="S1474" i="1"/>
  <c r="S1379" i="1"/>
  <c r="S1455" i="1"/>
  <c r="S1493" i="1"/>
  <c r="S1456" i="1"/>
  <c r="S1460" i="1"/>
  <c r="S1494" i="1"/>
  <c r="S1501" i="1"/>
  <c r="S1336" i="1"/>
  <c r="S1490" i="1"/>
  <c r="S1496" i="1"/>
  <c r="S1552" i="1"/>
  <c r="S1339" i="1"/>
  <c r="S1521" i="1"/>
  <c r="S1498" i="1"/>
  <c r="S1440" i="1"/>
  <c r="S1389" i="1"/>
  <c r="S1342" i="1"/>
  <c r="S1439" i="1"/>
  <c r="S1394" i="1"/>
  <c r="S1393" i="1"/>
  <c r="S1445" i="1"/>
  <c r="S1395" i="1"/>
  <c r="S1363" i="1"/>
  <c r="S1386" i="1"/>
  <c r="S1361" i="1"/>
  <c r="S1362" i="1"/>
  <c r="S1355" i="1"/>
  <c r="S1364" i="1"/>
  <c r="S1356" i="1"/>
  <c r="S1346" i="1"/>
  <c r="S1350" i="1"/>
  <c r="S1351" i="1"/>
  <c r="S1348" i="1"/>
  <c r="S1349" i="1"/>
  <c r="S1352" i="1"/>
  <c r="S1347" i="1"/>
  <c r="S1359" i="1"/>
  <c r="S1360" i="1"/>
  <c r="S1358" i="1"/>
  <c r="S1357" i="1"/>
  <c r="S1334" i="1"/>
  <c r="S1353" i="1"/>
  <c r="S1492" i="1"/>
  <c r="S1527" i="1"/>
  <c r="S1446" i="1"/>
  <c r="S1316" i="1"/>
  <c r="S1447" i="1"/>
  <c r="S1448" i="1"/>
  <c r="S1499" i="1"/>
  <c r="S1550" i="1"/>
  <c r="S1449" i="1"/>
  <c r="S1467" i="1"/>
  <c r="S1298" i="1"/>
  <c r="S1497" i="1"/>
  <c r="S1453" i="1"/>
  <c r="S1468" i="1"/>
  <c r="S1500" i="1"/>
  <c r="S1459" i="1"/>
  <c r="S1392" i="1"/>
  <c r="S1396" i="1"/>
  <c r="S1329" i="1"/>
  <c r="S1391" i="1"/>
  <c r="S1320" i="1"/>
  <c r="S1324" i="1"/>
  <c r="S1318" i="1"/>
  <c r="S1319" i="1"/>
  <c r="S1243" i="1"/>
  <c r="S1244" i="1"/>
  <c r="S1241" i="1"/>
  <c r="S1242" i="1"/>
  <c r="S1313" i="1"/>
  <c r="S1314" i="1"/>
  <c r="S1297" i="1"/>
  <c r="S1295" i="1"/>
  <c r="S1210" i="1"/>
  <c r="S1201" i="1"/>
  <c r="S1472" i="1"/>
  <c r="S1473" i="1"/>
  <c r="S1384" i="1"/>
  <c r="S1471" i="1"/>
  <c r="S1373" i="1"/>
  <c r="S1387" i="1"/>
  <c r="S1372" i="1"/>
  <c r="S1374" i="1"/>
  <c r="S1424" i="1"/>
  <c r="S1323" i="1"/>
  <c r="S1199" i="1"/>
  <c r="S1345" i="1"/>
  <c r="S1416" i="1"/>
  <c r="S1335" i="1"/>
  <c r="S1250" i="1"/>
  <c r="S1248" i="1"/>
  <c r="S1451" i="1"/>
  <c r="S1338" i="1"/>
  <c r="S1164" i="1"/>
  <c r="S1188" i="1"/>
  <c r="S1271" i="1"/>
  <c r="S1209" i="1"/>
  <c r="S1166" i="1"/>
  <c r="S1239" i="1"/>
  <c r="S1322" i="1"/>
  <c r="S1333" i="1"/>
  <c r="S1388" i="1"/>
  <c r="S1229" i="1"/>
  <c r="S1238" i="1"/>
  <c r="S1418" i="1"/>
  <c r="S1428" i="1"/>
  <c r="S1237" i="1"/>
  <c r="S1337" i="1"/>
  <c r="S1332" i="1"/>
  <c r="S1221" i="1"/>
  <c r="S1224" i="1"/>
  <c r="S1222" i="1"/>
  <c r="S1223" i="1"/>
  <c r="S1219" i="1"/>
  <c r="S1220" i="1"/>
  <c r="S1218" i="1"/>
  <c r="S1200" i="1"/>
  <c r="S1216" i="1"/>
  <c r="S1217" i="1"/>
  <c r="S1377" i="1"/>
  <c r="S1240" i="1"/>
  <c r="S1330" i="1"/>
  <c r="S1247" i="1"/>
  <c r="S1327" i="1"/>
  <c r="S1328" i="1"/>
  <c r="S1290" i="1"/>
  <c r="S1278" i="1"/>
  <c r="S1296" i="1"/>
  <c r="S1340" i="1"/>
  <c r="S1180" i="1"/>
  <c r="S1198" i="1"/>
  <c r="S1176" i="1"/>
  <c r="S1177" i="1"/>
  <c r="S1178" i="1"/>
  <c r="S1179" i="1"/>
  <c r="S1312" i="1"/>
  <c r="S1175" i="1"/>
  <c r="S1273" i="1"/>
  <c r="S1311" i="1"/>
  <c r="S1294" i="1"/>
  <c r="S1272" i="1"/>
  <c r="S1289" i="1"/>
  <c r="S1385" i="1"/>
  <c r="S1279" i="1"/>
  <c r="S1283" i="1"/>
  <c r="S1286" i="1"/>
  <c r="S1326" i="1"/>
  <c r="S1281" i="1"/>
  <c r="S1282" i="1"/>
  <c r="S1267" i="1"/>
  <c r="S1269" i="1"/>
  <c r="S1268" i="1"/>
  <c r="S1266" i="1"/>
  <c r="S1253" i="1"/>
  <c r="S1256" i="1"/>
  <c r="S1422" i="1"/>
  <c r="S1212" i="1"/>
  <c r="S1131" i="1"/>
  <c r="S1169" i="1"/>
  <c r="S1214" i="1"/>
  <c r="S1215" i="1"/>
  <c r="S1147" i="1"/>
  <c r="S1203" i="1"/>
  <c r="S1154" i="1"/>
  <c r="S1138" i="1"/>
  <c r="S1419" i="1"/>
  <c r="S1315" i="1"/>
  <c r="S1149" i="1"/>
  <c r="S1310" i="1"/>
  <c r="S1168" i="1"/>
  <c r="S1438" i="1"/>
  <c r="S1165" i="1"/>
  <c r="S1167" i="1"/>
  <c r="S1163" i="1"/>
  <c r="S1187" i="1"/>
  <c r="S1157" i="1"/>
  <c r="S1155" i="1"/>
  <c r="S1156" i="1"/>
  <c r="S1158" i="1"/>
  <c r="S1160" i="1"/>
  <c r="S1162" i="1"/>
  <c r="S1159" i="1"/>
  <c r="S1161" i="1"/>
  <c r="S1306" i="1"/>
  <c r="S1304" i="1"/>
  <c r="S1305" i="1"/>
  <c r="S1144" i="1"/>
  <c r="S1309" i="1"/>
  <c r="S1307" i="1"/>
  <c r="S1308" i="1"/>
  <c r="S1325" i="1"/>
  <c r="S1139" i="1"/>
  <c r="S1410" i="1"/>
  <c r="S1420" i="1"/>
  <c r="S1125" i="1"/>
  <c r="S1127" i="1"/>
  <c r="S1170" i="1"/>
  <c r="S1123" i="1"/>
  <c r="S1264" i="1"/>
  <c r="S1190" i="1"/>
  <c r="S1257" i="1"/>
  <c r="S1265" i="1"/>
  <c r="S1174" i="1"/>
  <c r="S1277" i="1"/>
  <c r="S1057" i="1"/>
  <c r="S1202" i="1"/>
  <c r="S1055" i="1"/>
  <c r="S1091" i="1"/>
  <c r="S1005" i="1"/>
  <c r="S1252" i="1"/>
  <c r="S1263" i="1"/>
  <c r="S1341" i="1"/>
  <c r="S1276" i="1"/>
  <c r="S1255" i="1"/>
  <c r="S1172" i="1"/>
  <c r="S1173" i="1"/>
  <c r="S1213" i="1"/>
  <c r="S1301" i="1"/>
  <c r="S1302" i="1"/>
  <c r="S1303" i="1"/>
  <c r="S1058" i="1"/>
  <c r="S1197" i="1"/>
  <c r="S1116" i="1"/>
  <c r="S1101" i="1"/>
  <c r="S1089" i="1"/>
  <c r="S1049" i="1"/>
  <c r="S1093" i="1"/>
  <c r="S1381" i="1"/>
  <c r="S1292" i="1"/>
  <c r="S1148" i="1"/>
  <c r="S1380" i="1"/>
  <c r="S1196" i="1"/>
  <c r="S1128" i="1"/>
  <c r="S1100" i="1"/>
  <c r="S1186" i="1"/>
  <c r="S1189" i="1"/>
  <c r="S28" i="1"/>
  <c r="S1096" i="1"/>
  <c r="S1270" i="1"/>
  <c r="S1150" i="1"/>
  <c r="S1191" i="1"/>
  <c r="S1254" i="1"/>
  <c r="S1235" i="1"/>
  <c r="S1444" i="1"/>
  <c r="S1141" i="1"/>
  <c r="S1204" i="1"/>
  <c r="S1287" i="1"/>
  <c r="S1054" i="1"/>
  <c r="S1181" i="1"/>
  <c r="S1262" i="1"/>
  <c r="S1258" i="1"/>
  <c r="S1134" i="1"/>
  <c r="S1133" i="1"/>
  <c r="S1280" i="1"/>
  <c r="S1153" i="1"/>
  <c r="S1288" i="1"/>
  <c r="S1185" i="1"/>
  <c r="S1251" i="1"/>
  <c r="S1053" i="1"/>
  <c r="S1211" i="1"/>
  <c r="S1236" i="1"/>
  <c r="S1171" i="1"/>
  <c r="S1135" i="1"/>
  <c r="S1434" i="1"/>
  <c r="S966" i="1"/>
  <c r="S1205" i="1"/>
  <c r="S1435" i="1"/>
  <c r="S1194" i="1"/>
  <c r="S1084" i="1"/>
  <c r="S1259" i="1"/>
  <c r="S1066" i="1"/>
  <c r="S1077" i="1"/>
  <c r="S1078" i="1"/>
  <c r="S1073" i="1"/>
  <c r="S1076" i="1"/>
  <c r="S1075" i="1"/>
  <c r="S1074" i="1"/>
  <c r="S965" i="1"/>
  <c r="S1068" i="1"/>
  <c r="S1028" i="1"/>
  <c r="S1136" i="1"/>
  <c r="S1034" i="1"/>
  <c r="S1035" i="1"/>
  <c r="S1046" i="1"/>
  <c r="S1040" i="1"/>
  <c r="S1045" i="1"/>
  <c r="S1037" i="1"/>
  <c r="S1044" i="1"/>
  <c r="S1038" i="1"/>
  <c r="S1042" i="1"/>
  <c r="S1043" i="1"/>
  <c r="S1033" i="1"/>
  <c r="S1041" i="1"/>
  <c r="S1071" i="1"/>
  <c r="S1072" i="1"/>
  <c r="S1193" i="1"/>
  <c r="S1274" i="1"/>
  <c r="S1137" i="1"/>
  <c r="S1132" i="1"/>
  <c r="S1121" i="1"/>
  <c r="S1275" i="1"/>
  <c r="S1152" i="1"/>
  <c r="S1417" i="1"/>
  <c r="S1099" i="1"/>
  <c r="S1151" i="1"/>
  <c r="S1117" i="1"/>
  <c r="S1118" i="1"/>
  <c r="S1087" i="1"/>
  <c r="S1088" i="1"/>
  <c r="S1285" i="1"/>
  <c r="S1192" i="1"/>
  <c r="S1113" i="1"/>
  <c r="S1115" i="1"/>
  <c r="S1103" i="1"/>
  <c r="S1108" i="1"/>
  <c r="S1111" i="1"/>
  <c r="S1433" i="1"/>
  <c r="S1260" i="1"/>
  <c r="S1261" i="1"/>
  <c r="S1184" i="1"/>
  <c r="S1130" i="1"/>
  <c r="S1182" i="1"/>
  <c r="S1183" i="1"/>
  <c r="S1146" i="1"/>
  <c r="S1106" i="1"/>
  <c r="S1129" i="1"/>
  <c r="S1102" i="1"/>
  <c r="S1105" i="1"/>
  <c r="S1299" i="1"/>
  <c r="S1300" i="1"/>
  <c r="S95" i="1"/>
  <c r="S1009" i="1"/>
  <c r="S976" i="1"/>
  <c r="S1206" i="1"/>
  <c r="S1065" i="1"/>
  <c r="S1097" i="1"/>
  <c r="S1104" i="1"/>
  <c r="S1064" i="1"/>
  <c r="S995" i="1"/>
  <c r="S1142" i="1"/>
  <c r="S1083" i="1"/>
  <c r="S984" i="1"/>
  <c r="S972" i="1"/>
  <c r="S994" i="1"/>
  <c r="S1012" i="1"/>
  <c r="S971" i="1"/>
  <c r="S1109" i="1"/>
  <c r="S1284" i="1"/>
  <c r="S1051" i="1"/>
  <c r="S945" i="1"/>
  <c r="S1021" i="1"/>
  <c r="S922" i="1"/>
  <c r="S1112" i="1"/>
  <c r="S1119" i="1"/>
  <c r="S1120" i="1"/>
  <c r="S2271" i="1"/>
  <c r="S963" i="1"/>
  <c r="S964" i="1"/>
  <c r="S961" i="1"/>
  <c r="S962" i="1"/>
  <c r="G17" i="16"/>
  <c r="G9" i="16"/>
  <c r="E17" i="16"/>
  <c r="E9" i="16"/>
  <c r="S938" i="1"/>
  <c r="S939" i="1"/>
  <c r="S1050" i="1"/>
  <c r="S1086" i="1"/>
  <c r="S944" i="1"/>
  <c r="S1023" i="1"/>
  <c r="S1070" i="1"/>
  <c r="S1036" i="1"/>
  <c r="S940" i="1"/>
  <c r="S1069" i="1"/>
  <c r="S870" i="1"/>
  <c r="S901" i="1"/>
  <c r="S906" i="1"/>
  <c r="S1004" i="1"/>
  <c r="S1063" i="1"/>
  <c r="S897" i="1"/>
  <c r="S1061" i="1"/>
  <c r="S1062" i="1"/>
  <c r="S1370" i="1"/>
  <c r="S1060" i="1"/>
  <c r="S1014" i="1"/>
  <c r="S1016" i="1"/>
  <c r="S956" i="1"/>
  <c r="S957" i="1"/>
  <c r="S1020" i="1"/>
  <c r="S958" i="1"/>
  <c r="S1114" i="1"/>
  <c r="S988" i="1"/>
  <c r="S959" i="1"/>
  <c r="S1022" i="1"/>
  <c r="S1080" i="1"/>
  <c r="S1382" i="1"/>
  <c r="S987" i="1"/>
  <c r="S1081" i="1"/>
  <c r="S973" i="1"/>
  <c r="S974" i="1"/>
  <c r="S1015" i="1"/>
  <c r="S1432" i="1"/>
  <c r="S1052" i="1"/>
  <c r="S1002" i="1"/>
  <c r="S1085" i="1"/>
  <c r="S857" i="1"/>
  <c r="S967" i="1"/>
  <c r="S862" i="1"/>
  <c r="S941" i="1"/>
  <c r="S898" i="1"/>
  <c r="S856" i="1"/>
  <c r="S882" i="1"/>
  <c r="S1024" i="1"/>
  <c r="S896" i="1"/>
  <c r="S913" i="1"/>
  <c r="S881" i="1"/>
  <c r="S1003" i="1"/>
  <c r="S915" i="1"/>
  <c r="S970" i="1"/>
  <c r="S1019" i="1"/>
  <c r="S977" i="1"/>
  <c r="S1001" i="1"/>
  <c r="S954" i="1"/>
  <c r="S955" i="1"/>
  <c r="S952" i="1"/>
  <c r="S953" i="1"/>
  <c r="S889" i="1"/>
  <c r="S899" i="1"/>
  <c r="S781" i="1"/>
  <c r="S884" i="1"/>
  <c r="S885" i="1"/>
  <c r="S888" i="1"/>
  <c r="S890" i="1"/>
  <c r="S891" i="1"/>
  <c r="S902" i="1"/>
  <c r="S895" i="1"/>
  <c r="S879" i="1"/>
  <c r="S886" i="1"/>
  <c r="S948" i="1"/>
  <c r="S947" i="1"/>
  <c r="S951" i="1"/>
  <c r="S946" i="1"/>
  <c r="S950" i="1"/>
  <c r="S949" i="1"/>
  <c r="S858" i="1"/>
  <c r="S1029" i="1"/>
  <c r="S1030" i="1"/>
  <c r="S854" i="1"/>
  <c r="S1007" i="1"/>
  <c r="S1008" i="1"/>
  <c r="S833" i="1"/>
  <c r="S1006" i="1"/>
  <c r="S880" i="1"/>
  <c r="S1010" i="1"/>
  <c r="S1095" i="1"/>
  <c r="S824" i="1"/>
  <c r="S1039" i="1"/>
  <c r="S1018" i="1"/>
  <c r="S1067" i="1"/>
  <c r="S1094" i="1"/>
  <c r="S1110" i="1"/>
  <c r="S930" i="1"/>
  <c r="S1107" i="1"/>
  <c r="S1079" i="1"/>
  <c r="S849" i="1"/>
  <c r="S914" i="1"/>
  <c r="S937" i="1"/>
  <c r="S917" i="1"/>
  <c r="S1082" i="1"/>
  <c r="S809" i="1"/>
  <c r="S810" i="1"/>
  <c r="S1032" i="1"/>
  <c r="S1025" i="1"/>
  <c r="S1011" i="1"/>
  <c r="S960" i="1"/>
  <c r="S820" i="1"/>
  <c r="S981" i="1"/>
  <c r="S821" i="1"/>
  <c r="S1013" i="1"/>
  <c r="S980" i="1"/>
  <c r="S823" i="1"/>
  <c r="S936" i="1"/>
  <c r="S928" i="1"/>
  <c r="S929" i="1"/>
  <c r="S979" i="1"/>
  <c r="S978" i="1"/>
  <c r="S851" i="1"/>
  <c r="S783" i="1"/>
  <c r="S918" i="1"/>
  <c r="S921" i="1"/>
  <c r="S794" i="1"/>
  <c r="S919" i="1"/>
  <c r="S746" i="1"/>
  <c r="S1059" i="1"/>
  <c r="S933" i="1"/>
  <c r="S924" i="1"/>
  <c r="S975" i="1"/>
  <c r="S782" i="1"/>
  <c r="S834" i="1"/>
  <c r="S920" i="1"/>
  <c r="S806" i="1"/>
  <c r="S798" i="1"/>
  <c r="S804" i="1"/>
  <c r="S801" i="1"/>
  <c r="S802" i="1"/>
  <c r="S797" i="1"/>
  <c r="S808" i="1"/>
  <c r="S986" i="1"/>
  <c r="S789" i="1"/>
  <c r="S841" i="1"/>
  <c r="S969" i="1"/>
  <c r="S968" i="1"/>
  <c r="S943" i="1"/>
  <c r="S793" i="1"/>
  <c r="S883" i="1"/>
  <c r="S847" i="1"/>
  <c r="S2270" i="1"/>
  <c r="S772" i="1"/>
  <c r="S846" i="1"/>
  <c r="S785" i="1"/>
  <c r="S771" i="1"/>
  <c r="S776" i="1"/>
  <c r="S780" i="1"/>
  <c r="S800" i="1"/>
  <c r="S777" i="1"/>
  <c r="S735" i="1"/>
  <c r="S799" i="1"/>
  <c r="S805" i="1"/>
  <c r="S778" i="1"/>
  <c r="S803" i="1"/>
  <c r="S770" i="1"/>
  <c r="S768" i="1"/>
  <c r="S769" i="1"/>
  <c r="S748" i="1"/>
  <c r="S853" i="1"/>
  <c r="S77" i="1"/>
  <c r="S749" i="1"/>
  <c r="S740" i="1"/>
  <c r="S743" i="1"/>
  <c r="S759" i="1"/>
  <c r="S739" i="1"/>
  <c r="S894" i="1"/>
  <c r="S873" i="1"/>
  <c r="S878" i="1"/>
  <c r="S865" i="1"/>
  <c r="S935" i="1"/>
  <c r="S852" i="1"/>
  <c r="S813" i="1"/>
  <c r="S872" i="1"/>
  <c r="S843" i="1"/>
  <c r="S713" i="1"/>
  <c r="S764" i="1"/>
  <c r="S767" i="1"/>
  <c r="S765" i="1"/>
  <c r="S766" i="1"/>
  <c r="S860" i="1"/>
  <c r="S982" i="1"/>
  <c r="S983" i="1"/>
  <c r="S925" i="1"/>
  <c r="S926" i="1"/>
  <c r="S927" i="1"/>
  <c r="S774" i="1"/>
  <c r="S905" i="1"/>
  <c r="S686" i="1"/>
  <c r="S698" i="1"/>
  <c r="S758" i="1"/>
  <c r="S807" i="1"/>
  <c r="S709" i="1"/>
  <c r="S731" i="1"/>
  <c r="S855" i="1"/>
  <c r="S871" i="1"/>
  <c r="S790" i="1"/>
  <c r="S826" i="1"/>
  <c r="S859" i="1"/>
  <c r="S828" i="1"/>
  <c r="S869" i="1"/>
  <c r="S752" i="1"/>
  <c r="S916" i="1"/>
  <c r="S792" i="1"/>
  <c r="S893" i="1"/>
  <c r="S892" i="1"/>
  <c r="S706" i="1"/>
  <c r="S707" i="1"/>
  <c r="S697" i="1"/>
  <c r="S695" i="1"/>
  <c r="S689" i="1"/>
  <c r="S694" i="1"/>
  <c r="S704" i="1"/>
  <c r="S904" i="1"/>
  <c r="S827" i="1"/>
  <c r="S705" i="1"/>
  <c r="S877" i="1"/>
  <c r="S903" i="1"/>
  <c r="S760" i="1"/>
  <c r="S934" i="1"/>
  <c r="S680" i="1"/>
  <c r="S703" i="1"/>
  <c r="S712" i="1"/>
  <c r="S658" i="1"/>
  <c r="S690" i="1"/>
  <c r="S812" i="1"/>
  <c r="S942" i="1"/>
  <c r="S811" i="1"/>
  <c r="S684" i="1"/>
  <c r="S825" i="1"/>
  <c r="S679" i="1"/>
  <c r="S788" i="1"/>
  <c r="S850" i="1"/>
  <c r="S832" i="1"/>
  <c r="S830" i="1"/>
  <c r="S831" i="1"/>
  <c r="S848" i="1"/>
  <c r="S762" i="1"/>
  <c r="S588" i="1"/>
  <c r="S670" i="1"/>
  <c r="S610" i="1"/>
  <c r="S844" i="1"/>
  <c r="S609" i="1"/>
  <c r="S608" i="1"/>
  <c r="S678" i="1"/>
  <c r="S829" i="1"/>
  <c r="S683" i="1"/>
  <c r="S681" i="1"/>
  <c r="S682" i="1"/>
  <c r="S726" i="1"/>
  <c r="S635" i="1"/>
  <c r="S727" i="1"/>
  <c r="S672" i="1"/>
  <c r="S725" i="1"/>
  <c r="S630" i="1"/>
  <c r="S657" i="1"/>
  <c r="S742" i="1"/>
  <c r="S708" i="1"/>
  <c r="S864" i="1"/>
  <c r="S863" i="1"/>
  <c r="S732" i="1"/>
  <c r="S634" i="1"/>
  <c r="S787" i="1"/>
  <c r="S900" i="1"/>
  <c r="S842" i="1"/>
  <c r="S721" i="1"/>
  <c r="S822" i="1"/>
  <c r="S819" i="1"/>
  <c r="S876" i="1"/>
  <c r="S668" i="1"/>
  <c r="S931" i="1"/>
  <c r="S565" i="1"/>
  <c r="S932" i="1"/>
  <c r="S874" i="1"/>
  <c r="S751" i="1"/>
  <c r="S717" i="1"/>
  <c r="S583" i="1"/>
  <c r="S750" i="1"/>
  <c r="S867" i="1"/>
  <c r="S761" i="1"/>
  <c r="S661" i="1"/>
  <c r="S866" i="1"/>
  <c r="S730" i="1"/>
  <c r="S662" i="1"/>
  <c r="S868" i="1"/>
  <c r="S722" i="1"/>
  <c r="S757" i="1"/>
  <c r="S671" i="1"/>
  <c r="S729" i="1"/>
  <c r="S728" i="1"/>
  <c r="S836" i="1"/>
  <c r="S647" i="1"/>
  <c r="S603" i="1"/>
  <c r="S602" i="1"/>
  <c r="S606" i="1"/>
  <c r="S633" i="1"/>
  <c r="S594" i="1"/>
  <c r="S557" i="1"/>
  <c r="S763" i="1"/>
  <c r="S688" i="1"/>
  <c r="S582" i="1"/>
  <c r="S835" i="1"/>
  <c r="S676" i="1"/>
  <c r="S554" i="1"/>
  <c r="S700" i="1"/>
  <c r="S747" i="1"/>
  <c r="S666" i="1"/>
  <c r="S669" i="1"/>
  <c r="S756" i="1"/>
  <c r="S791" i="1"/>
  <c r="S861" i="1"/>
  <c r="S693" i="1"/>
  <c r="S753" i="1"/>
  <c r="S555" i="1"/>
  <c r="S593" i="1"/>
  <c r="S692" i="1"/>
  <c r="S604" i="1"/>
  <c r="S537" i="1"/>
  <c r="S597" i="1"/>
  <c r="S584" i="1"/>
  <c r="S601" i="1"/>
  <c r="S586" i="1"/>
  <c r="S578" i="1"/>
  <c r="S579" i="1"/>
  <c r="S723" i="1"/>
  <c r="S724" i="1"/>
  <c r="S628" i="1"/>
  <c r="S542" i="1"/>
  <c r="S674" i="1"/>
  <c r="S685" i="1"/>
  <c r="S553" i="1"/>
  <c r="S614" i="1"/>
  <c r="S640" i="1"/>
  <c r="S619" i="1"/>
  <c r="S716" i="1"/>
  <c r="S641" i="1"/>
  <c r="S720" i="1"/>
  <c r="S715" i="1"/>
  <c r="S845" i="1"/>
  <c r="S539" i="1"/>
  <c r="S645" i="1"/>
  <c r="S496" i="1"/>
  <c r="S495" i="1"/>
  <c r="S711" i="1"/>
  <c r="S515" i="1"/>
  <c r="S508" i="1"/>
  <c r="S754" i="1"/>
  <c r="S652" i="1"/>
  <c r="S580" i="1"/>
  <c r="S581" i="1"/>
  <c r="S654" i="1"/>
  <c r="S599" i="1"/>
  <c r="S741" i="1"/>
  <c r="S607" i="1"/>
  <c r="S516" i="1"/>
  <c r="S755" i="1"/>
  <c r="S544" i="1"/>
  <c r="S533" i="1"/>
  <c r="S536" i="1"/>
  <c r="S535" i="1"/>
  <c r="S615" i="1"/>
  <c r="S534" i="1"/>
  <c r="S294" i="1"/>
  <c r="S605" i="1"/>
  <c r="S503" i="1"/>
  <c r="S500" i="1"/>
  <c r="S702" i="1"/>
  <c r="S498" i="1"/>
  <c r="S482" i="1"/>
  <c r="S687" i="1"/>
  <c r="S556" i="1"/>
  <c r="S701" i="1"/>
  <c r="S591" i="1"/>
  <c r="S664" i="1"/>
  <c r="S626" i="1"/>
  <c r="S637" i="1"/>
  <c r="S1017" i="1"/>
  <c r="S627" i="1"/>
  <c r="S646" i="1"/>
  <c r="S642" i="1"/>
  <c r="S710" i="1"/>
  <c r="S719" i="1"/>
  <c r="S718" i="1"/>
  <c r="S665" i="1"/>
  <c r="S585" i="1"/>
  <c r="S552" i="1"/>
  <c r="S795" i="1"/>
  <c r="S691" i="1"/>
  <c r="S639" i="1"/>
  <c r="S796" i="1"/>
  <c r="S638" i="1"/>
  <c r="S595" i="1"/>
  <c r="S504" i="1"/>
  <c r="S875" i="1"/>
  <c r="S643" i="1"/>
  <c r="S644" i="1"/>
  <c r="S545" i="1"/>
  <c r="S548" i="1"/>
  <c r="S653" i="1"/>
  <c r="S477" i="1"/>
  <c r="S649" i="1"/>
  <c r="S651" i="1"/>
  <c r="S613" i="1"/>
  <c r="S650" i="1"/>
  <c r="S596" i="1"/>
  <c r="S563" i="1"/>
  <c r="S483" i="1"/>
  <c r="S484" i="1"/>
  <c r="S469" i="1"/>
  <c r="S462" i="1"/>
  <c r="S502" i="1"/>
  <c r="S648" i="1"/>
  <c r="S468" i="1"/>
  <c r="S489" i="1"/>
  <c r="S460" i="1"/>
  <c r="S520" i="1"/>
  <c r="S420" i="1"/>
  <c r="S473" i="1"/>
  <c r="S474" i="1"/>
  <c r="S560" i="1"/>
  <c r="S667" i="1"/>
  <c r="S476" i="1"/>
  <c r="S543" i="1"/>
  <c r="S600" i="1"/>
  <c r="S475" i="1"/>
  <c r="S410" i="1"/>
  <c r="S411" i="1"/>
  <c r="S407" i="1"/>
  <c r="S412" i="1"/>
  <c r="S409" i="1"/>
  <c r="S432" i="1"/>
  <c r="S408" i="1"/>
  <c r="S459" i="1"/>
  <c r="S485" i="1"/>
  <c r="S517" i="1"/>
  <c r="S394" i="1"/>
  <c r="S546" i="1"/>
  <c r="S564" i="1"/>
  <c r="S467" i="1"/>
  <c r="S466" i="1"/>
  <c r="S465" i="1"/>
  <c r="S507" i="1"/>
  <c r="S464" i="1"/>
  <c r="S378" i="1"/>
  <c r="S470" i="1"/>
  <c r="S406" i="1"/>
  <c r="S417" i="1"/>
  <c r="S558" i="1"/>
  <c r="S359" i="1"/>
  <c r="S506" i="1"/>
  <c r="S449" i="1"/>
  <c r="S505" i="1"/>
  <c r="S562" i="1"/>
  <c r="S629" i="1"/>
  <c r="S518" i="1"/>
  <c r="S631" i="1"/>
  <c r="S632" i="1"/>
  <c r="S612" i="1"/>
  <c r="S501" i="1"/>
  <c r="S598" i="1"/>
  <c r="S393" i="1"/>
  <c r="S744" i="1"/>
  <c r="S527" i="1"/>
  <c r="S786" i="1"/>
  <c r="S402" i="1"/>
  <c r="S636" i="1"/>
  <c r="S490" i="1"/>
  <c r="S531" i="1"/>
  <c r="S401" i="1"/>
  <c r="S403" i="1"/>
  <c r="S499" i="1"/>
  <c r="S526" i="1"/>
  <c r="S551" i="1"/>
  <c r="S530" i="1"/>
  <c r="S491" i="1"/>
  <c r="S448" i="1"/>
  <c r="S385" i="1"/>
  <c r="S400" i="1"/>
  <c r="S310" i="1"/>
  <c r="S431" i="1"/>
  <c r="S457" i="1"/>
  <c r="S424" i="1"/>
  <c r="S487" i="1"/>
  <c r="S488" i="1"/>
  <c r="S481" i="1"/>
  <c r="S399" i="1"/>
  <c r="S541" i="1"/>
  <c r="S559" i="1"/>
  <c r="S363" i="1"/>
  <c r="S371" i="1"/>
  <c r="S362" i="1"/>
  <c r="S361" i="1"/>
  <c r="S442" i="1"/>
  <c r="S443" i="1"/>
  <c r="S372" i="1"/>
  <c r="S439" i="1"/>
  <c r="S617" i="1"/>
  <c r="S360" i="1"/>
  <c r="S497" i="1"/>
  <c r="S437" i="1"/>
  <c r="S337" i="1"/>
  <c r="S529" i="1"/>
  <c r="S445" i="1"/>
  <c r="S444" i="1"/>
  <c r="S561" i="1"/>
  <c r="S456" i="1"/>
  <c r="S540" i="1"/>
  <c r="S366" i="1"/>
  <c r="S367" i="1"/>
  <c r="S453" i="1"/>
  <c r="S418" i="1"/>
  <c r="S547" i="1"/>
  <c r="S451" i="1"/>
  <c r="S416" i="1"/>
  <c r="S355" i="1"/>
  <c r="S397" i="1"/>
  <c r="S340" i="1"/>
  <c r="S435" i="1"/>
  <c r="S452" i="1"/>
  <c r="S351" i="1"/>
  <c r="S352" i="1"/>
  <c r="S350" i="1"/>
  <c r="S349" i="1"/>
  <c r="S528" i="1"/>
  <c r="S441" i="1"/>
  <c r="S538" i="1"/>
  <c r="S336" i="1"/>
  <c r="S373" i="1"/>
  <c r="S423" i="1"/>
  <c r="S280" i="1"/>
  <c r="S302" i="1"/>
  <c r="S334" i="1"/>
  <c r="S525" i="1"/>
  <c r="S312" i="1"/>
  <c r="S396" i="1"/>
  <c r="S368" i="1"/>
  <c r="S440" i="1"/>
  <c r="S369" i="1"/>
  <c r="S346" i="1"/>
  <c r="S472" i="1"/>
  <c r="S405" i="1"/>
  <c r="S404" i="1"/>
  <c r="S471" i="1"/>
  <c r="S354" i="1"/>
  <c r="S353" i="1"/>
  <c r="S297" i="1"/>
  <c r="S387" i="1"/>
  <c r="S386" i="1"/>
  <c r="S660" i="1"/>
  <c r="S426" i="1"/>
  <c r="S293" i="1"/>
  <c r="S380" i="1"/>
  <c r="S415" i="1"/>
  <c r="S374" i="1"/>
  <c r="S389" i="1"/>
  <c r="S549" i="1"/>
  <c r="S391" i="1"/>
  <c r="S446" i="1"/>
  <c r="S550" i="1"/>
  <c r="S332" i="1"/>
  <c r="S447" i="1"/>
  <c r="S279" i="1"/>
  <c r="S284" i="1"/>
  <c r="S345" i="1"/>
  <c r="S377" i="1"/>
  <c r="S376" i="1"/>
  <c r="S326" i="1"/>
  <c r="S375" i="1"/>
  <c r="S283" i="1"/>
  <c r="S281" i="1"/>
  <c r="S356" i="1"/>
  <c r="S348" i="1"/>
  <c r="S282" i="1"/>
  <c r="S327" i="1"/>
  <c r="S347" i="1"/>
  <c r="S392" i="1"/>
  <c r="S344" i="1"/>
  <c r="S390" i="1"/>
  <c r="S434" i="1"/>
  <c r="S414" i="1"/>
  <c r="S429" i="1"/>
  <c r="S227" i="1"/>
  <c r="S262" i="1"/>
  <c r="S263" i="1"/>
  <c r="S240" i="1"/>
  <c r="S270" i="1"/>
  <c r="S291" i="1"/>
  <c r="S273" i="1"/>
  <c r="S328" i="1"/>
  <c r="S331" i="1"/>
  <c r="S364" i="1"/>
  <c r="S224" i="1"/>
  <c r="S413" i="1"/>
  <c r="S341" i="1"/>
  <c r="S339" i="1"/>
  <c r="S320" i="1"/>
  <c r="S427" i="1"/>
  <c r="S323" i="1"/>
  <c r="S384" i="1"/>
  <c r="S422" i="1"/>
  <c r="S296" i="1"/>
  <c r="S300" i="1"/>
  <c r="S335" i="1"/>
  <c r="S314" i="1"/>
  <c r="S430" i="1"/>
  <c r="S333" i="1"/>
  <c r="S325" i="1"/>
  <c r="S292" i="1"/>
  <c r="S269" i="1"/>
  <c r="S295" i="1"/>
  <c r="S343" i="1"/>
  <c r="S322" i="1"/>
  <c r="S313" i="1"/>
  <c r="S382" i="1"/>
  <c r="S288" i="1"/>
  <c r="S425" i="1"/>
  <c r="S290" i="1"/>
  <c r="S272" i="1"/>
  <c r="S271" i="1"/>
  <c r="S298" i="1"/>
  <c r="S388" i="1"/>
  <c r="S433" i="1"/>
  <c r="S592" i="1"/>
  <c r="S285" i="1"/>
  <c r="S197" i="1"/>
  <c r="S342" i="1"/>
  <c r="S223" i="1"/>
  <c r="S276" i="1"/>
  <c r="S379" i="1"/>
  <c r="S383" i="1"/>
  <c r="S330" i="1"/>
  <c r="S428" i="1"/>
  <c r="S286" i="1"/>
  <c r="S299" i="1"/>
  <c r="S278" i="1"/>
  <c r="S338" i="1"/>
  <c r="S370" i="1"/>
  <c r="J235" i="6"/>
  <c r="I130" i="6"/>
  <c r="I241" i="6"/>
  <c r="J241" i="6"/>
  <c r="I221" i="6"/>
  <c r="I884" i="6"/>
  <c r="F8" i="16" l="1"/>
  <c r="H8" i="16"/>
  <c r="G8" i="16"/>
  <c r="J8" i="16"/>
  <c r="K8" i="16"/>
  <c r="Y8" i="16"/>
  <c r="C8" i="16"/>
  <c r="O8" i="16"/>
  <c r="M8" i="16"/>
  <c r="D8" i="16"/>
  <c r="B8" i="16"/>
  <c r="V8" i="16"/>
  <c r="N8" i="16"/>
  <c r="Q8" i="16"/>
  <c r="L8" i="16"/>
  <c r="D9" i="16"/>
  <c r="F17" i="16"/>
  <c r="E8" i="16"/>
  <c r="R8" i="16"/>
  <c r="I8" i="16"/>
  <c r="P8" i="16"/>
  <c r="S8" i="16"/>
  <c r="W8" i="16"/>
  <c r="T8" i="16"/>
  <c r="X8" i="16"/>
  <c r="B16" i="16"/>
  <c r="B17" i="16" s="1"/>
  <c r="C16" i="16"/>
  <c r="C17" i="16" s="1"/>
  <c r="J130" i="6"/>
  <c r="J885" i="6" l="1"/>
  <c r="I885" i="6"/>
  <c r="J839" i="6" l="1"/>
  <c r="I839" i="6"/>
  <c r="J834" i="6" l="1"/>
  <c r="I834" i="6"/>
  <c r="J841" i="6" l="1"/>
  <c r="I841" i="6"/>
  <c r="J833" i="6" l="1"/>
  <c r="I833" i="6"/>
  <c r="J832" i="6" l="1"/>
  <c r="I832" i="6"/>
  <c r="J831" i="6" l="1"/>
  <c r="I831" i="6"/>
  <c r="J826" i="6" l="1"/>
  <c r="I826" i="6"/>
  <c r="J274" i="6"/>
  <c r="I274" i="6"/>
  <c r="J827" i="6"/>
  <c r="I827" i="6"/>
  <c r="J14" i="6" l="1"/>
  <c r="I14" i="6"/>
  <c r="J279" i="6" l="1"/>
  <c r="J43" i="6" l="1"/>
  <c r="I43" i="6"/>
  <c r="J84" i="6"/>
  <c r="I84" i="6"/>
  <c r="J85" i="6" l="1"/>
  <c r="I85" i="6"/>
  <c r="J5" i="6" l="1"/>
  <c r="J276" i="6" l="1"/>
  <c r="I276" i="6"/>
  <c r="J122" i="6" l="1"/>
  <c r="I122" i="6"/>
  <c r="J123" i="6" l="1"/>
  <c r="I123" i="6"/>
  <c r="I1130" i="6" l="1"/>
  <c r="F1130" i="6"/>
  <c r="J1130" i="6"/>
  <c r="F705" i="6"/>
  <c r="F732" i="6"/>
  <c r="F1132" i="6"/>
  <c r="F634" i="6"/>
  <c r="G13" i="15"/>
  <c r="F1096" i="6"/>
  <c r="F796" i="6"/>
  <c r="F1053" i="6"/>
  <c r="F529" i="6"/>
  <c r="F884" i="6"/>
  <c r="F662" i="6"/>
  <c r="F918" i="6"/>
  <c r="F832" i="6"/>
  <c r="C13" i="15"/>
  <c r="F760" i="6"/>
  <c r="F1023" i="6"/>
  <c r="J529" i="6"/>
  <c r="F642" i="6"/>
  <c r="D13" i="15"/>
  <c r="H13" i="15"/>
  <c r="I529" i="6"/>
  <c r="F13" i="15"/>
  <c r="F955" i="6"/>
  <c r="F992" i="6"/>
  <c r="F592" i="6"/>
  <c r="E13" i="15"/>
  <c r="B13" i="15"/>
  <c r="F669" i="6"/>
  <c r="F528" i="6"/>
  <c r="I1161" i="6" l="1"/>
  <c r="F1161" i="6"/>
  <c r="J116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4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6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18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0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1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2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<sst xmlns="http://schemas.openxmlformats.org/spreadsheetml/2006/main" count="13620" uniqueCount="2335">
  <si>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</si>
  <si>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</si>
  <si>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</si>
  <si>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</si>
  <si>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</si>
  <si>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</si>
  <si>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</si>
  <si>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</si>
  <si>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</si>
  <si>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</si>
  <si>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</si>
  <si>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</si>
  <si>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</si>
  <si>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</si>
  <si>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</si>
  <si>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</si>
  <si>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</si>
  <si>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</si>
  <si>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</si>
  <si>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</si>
  <si>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</si>
  <si>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</si>
  <si>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</si>
  <si>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</si>
  <si>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</si>
  <si>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</si>
  <si>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</si>
  <si>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</si>
  <si>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</si>
  <si>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</si>
  <si>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</si>
  <si>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</si>
  <si>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</si>
  <si>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</si>
  <si>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</si>
  <si>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</si>
  <si>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</si>
  <si>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</si>
  <si>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</si>
  <si>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</si>
  <si>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</si>
  <si>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</si>
  <si>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</si>
  <si>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</si>
  <si>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</si>
  <si>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</si>
  <si>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</si>
  <si>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</si>
  <si>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</si>
  <si>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</si>
  <si>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</si>
  <si>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</si>
  <si>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</si>
  <si>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</si>
  <si>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</si>
  <si>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</si>
  <si>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</si>
  <si>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</si>
  <si>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</si>
  <si>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</si>
  <si>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</si>
  <si>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</si>
  <si>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</si>
  <si>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</si>
  <si>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</si>
  <si>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</si>
  <si>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</si>
  <si>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</si>
  <si>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</si>
  <si>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</si>
  <si>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</si>
  <si>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</si>
  <si>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</si>
  <si>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</si>
  <si>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</si>
  <si>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EMT</t>
  </si>
  <si>
    <t>LOIX</t>
  </si>
  <si>
    <t>DISUIZA</t>
  </si>
  <si>
    <t>CASIO TIENDAS OFICIALES</t>
  </si>
  <si>
    <t>$ CAPITAL</t>
  </si>
  <si>
    <t>SALDO</t>
  </si>
  <si>
    <t>DETALLE</t>
  </si>
  <si>
    <t>PAGO</t>
  </si>
  <si>
    <t>GABRIEL JAIME BOTERO ARANGO</t>
  </si>
  <si>
    <t>SUBTOTAL</t>
  </si>
  <si>
    <t>IVA 19%</t>
  </si>
  <si>
    <t>Total</t>
  </si>
  <si>
    <t>Descuento sobre subtotal %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</si>
  <si>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</si>
  <si>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</si>
  <si>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</si>
  <si>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</si>
  <si>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</si>
  <si>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</si>
  <si>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</si>
  <si>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</si>
  <si>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</si>
  <si>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</si>
  <si>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</si>
  <si>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</si>
  <si>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</si>
  <si>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</si>
  <si>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CORREO</t>
  </si>
  <si>
    <t>FLASH - Abajo</t>
  </si>
  <si>
    <t>CUENTA BANCARIA</t>
  </si>
  <si>
    <t>new time BRIDGE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</si>
  <si>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</si>
  <si>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</si>
  <si>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</si>
  <si>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</si>
  <si>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</si>
  <si>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</si>
  <si>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</si>
  <si>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</si>
  <si>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</si>
  <si>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</si>
  <si>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</si>
  <si>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</si>
  <si>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</si>
  <si>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</si>
  <si>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</si>
  <si>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</si>
  <si>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</si>
  <si>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</si>
  <si>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</si>
  <si>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</si>
  <si>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</si>
  <si>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</si>
  <si>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</si>
  <si>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</si>
  <si>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</si>
  <si>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</si>
  <si>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</si>
  <si>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</si>
  <si>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bancolombia ah 91215970731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</si>
  <si>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</si>
  <si>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</si>
  <si>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</si>
  <si>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</si>
  <si>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</si>
  <si>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</si>
  <si>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</si>
  <si>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</si>
  <si>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</si>
  <si>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PV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</si>
  <si>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</si>
  <si>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</si>
  <si>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</si>
  <si>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</si>
  <si>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</si>
  <si>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</si>
  <si>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</si>
  <si>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</si>
  <si>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</si>
  <si>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</si>
  <si>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</si>
  <si>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</si>
  <si>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</si>
  <si>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</si>
  <si>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</si>
  <si>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</si>
  <si>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</si>
  <si>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</si>
  <si>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</si>
  <si>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</si>
  <si>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</si>
  <si>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</si>
  <si>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</si>
  <si>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SAYER - YERMIN</t>
  </si>
  <si>
    <t>JARLY SAS - JORGE ARREDONDO</t>
  </si>
  <si>
    <t>AJUSTE FIN DE MES</t>
  </si>
  <si>
    <t>KENEX POWERSONIC oct 2020</t>
  </si>
  <si>
    <t>intereses no pagados en 2020</t>
  </si>
  <si>
    <t>ajuste de cuentas con fernando</t>
  </si>
  <si>
    <t xml:space="preserve">Bancolombia AH 102-125 283-78 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</si>
  <si>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</si>
  <si>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</si>
  <si>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</si>
  <si>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</si>
  <si>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</si>
  <si>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</si>
  <si>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</si>
  <si>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</si>
  <si>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</si>
  <si>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</si>
  <si>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</si>
  <si>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</si>
  <si>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</si>
  <si>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</si>
  <si>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</si>
  <si>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</si>
  <si>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</si>
  <si>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</si>
  <si>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</si>
  <si>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</si>
  <si>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</si>
  <si>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</si>
  <si>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</si>
  <si>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</si>
  <si>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</si>
  <si>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</si>
  <si>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</si>
  <si>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</si>
  <si>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</si>
  <si>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</si>
  <si>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SO032015</t>
  </si>
  <si>
    <t>BANCOLOMBIA USD$ 2555170162</t>
  </si>
  <si>
    <t>SIMH</t>
  </si>
  <si>
    <t>electronicascanaresas@gmail.com;girlesa.ruiz@servipilas.com;joriescobar64@gmail.com</t>
  </si>
  <si>
    <t>facturasimh@simh.com.co;girlesa.ruiz@servipilas.com;joriescobar64@gmail.com</t>
  </si>
  <si>
    <t>ventas@ismartsas.com;girlesa.ruiz@servipilas.com;joriescobar64@gmail.com</t>
  </si>
  <si>
    <t>Pygimportadora@gmail.com;girlesa.ruiz@servipilas.com;joriescobar64@gmail.com</t>
  </si>
  <si>
    <t>davivienda cc 456369996909</t>
  </si>
  <si>
    <t>ZIONE - Andres Dario Ramirez Aristizabal</t>
  </si>
  <si>
    <t>MSL - Somonsing China</t>
  </si>
  <si>
    <t>asistente@mslcorporate.com.co;girlesa.ruiz@servipilas.com;joriescobar64@gmail.com</t>
  </si>
  <si>
    <t>plan vive girlesa semestre</t>
  </si>
  <si>
    <t>seguro colectivo</t>
  </si>
  <si>
    <t>bog.fa1@pressex.co;bog.fm1@pressex.co;kbaumgartner@pressex.co;girlesa.ruiz@servipilas.com;joriescobar64@gmail.com</t>
  </si>
  <si>
    <t>L2293</t>
  </si>
  <si>
    <t>O1003</t>
  </si>
  <si>
    <t>MUNDITONNER</t>
  </si>
  <si>
    <t>comercial@munditonner.com.co;girlesa.ruiz@servipilas.com;joriescobar64@gmail.com</t>
  </si>
  <si>
    <t>Movecargo - Sinoming china</t>
  </si>
  <si>
    <t>judy.torres@movecargo.co;girlesa.ruiz@servipilas.com;joriescobar64@gmail.com</t>
  </si>
  <si>
    <t>Pressex Logistics - tnr</t>
  </si>
  <si>
    <t xml:space="preserve">asistente@remarcalimitada.com;girlesa.ruiz@servipilas.com;joriescobar64@gmail.com
</t>
  </si>
  <si>
    <t>LOGIMEX TNR</t>
  </si>
  <si>
    <t>IMPUESTOS - TNR</t>
  </si>
  <si>
    <t>Pressex Logistics - casillero</t>
  </si>
  <si>
    <t>Pressex Logistics - montblanc</t>
  </si>
  <si>
    <t>aguadulce - sinming china</t>
  </si>
  <si>
    <t>MAXIPILAS</t>
  </si>
  <si>
    <t>mcastillo@kenextrading.com;agarcia@kenextrading.com;girlesa.ruiz@servipilas.com;joriescobar64@gmail.com</t>
  </si>
  <si>
    <t>BANCOLOMBIA USD$ 2555187392</t>
  </si>
  <si>
    <t>KENEX 53922 abr 21</t>
  </si>
  <si>
    <t>para pagar fossil</t>
  </si>
  <si>
    <t>cartera@aerosan.com;girlesa.ruiz@servipilas.com;joriescobar64@gmail.com</t>
  </si>
  <si>
    <t xml:space="preserve">bancolombia cc 388-991169-88 </t>
  </si>
  <si>
    <t>DMARIO</t>
  </si>
  <si>
    <t>DIAN IVA</t>
  </si>
  <si>
    <t>Pressex courier - casillero</t>
  </si>
  <si>
    <t>Pressex courier - Kenex</t>
  </si>
  <si>
    <t>Pressex courier - montblanc</t>
  </si>
  <si>
    <t>swizzeraux2@gmail.com;girlesa.ruiz@servipilas.com;joriescobar64@gmail.com</t>
  </si>
  <si>
    <t>IMPUESTOS - MONTBLANC</t>
  </si>
  <si>
    <t>LOGIMEX MONTBLANC</t>
  </si>
  <si>
    <t>JORGE ARREDONDO - JARLY SAS</t>
  </si>
  <si>
    <t>PROVECOL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</si>
  <si>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</si>
  <si>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</si>
  <si>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</si>
  <si>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</si>
  <si>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>TB PLUS</t>
  </si>
  <si>
    <t>??;girlesa.ruiz@servipilas.com;joriescobar64@gmail.com</t>
  </si>
  <si>
    <t>18/8/21 AJUSTE FIN DE MES</t>
  </si>
  <si>
    <t>STEREN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</si>
  <si>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</si>
  <si>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</si>
  <si>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</si>
  <si>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</si>
  <si>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2174 NC</t>
  </si>
  <si>
    <t>COMSISTEL</t>
  </si>
  <si>
    <t>BANCOLOMBIA corriente + ahorros</t>
  </si>
  <si>
    <t>FEF4320 NC7110</t>
  </si>
  <si>
    <t>MARIA MARTHA RAMIREZ ZULUAGA - JORGE ARREDONDO</t>
  </si>
  <si>
    <t>Pressex courier - tnr</t>
  </si>
  <si>
    <t>ALKOMPRAR</t>
  </si>
  <si>
    <t>consignado en la cuenta de daniel escobar</t>
  </si>
  <si>
    <t>juanzuluaga@ducon.com.co;girlesa.ruiz@servipilas.com;joriescobar64@gmail.com</t>
  </si>
  <si>
    <t>jarlysas@gmail.com;o.clockinternational@gmail.com;girlesa.ruiz@servipilas.com;joriescobar64@gmail.com</t>
  </si>
  <si>
    <t xml:space="preserve">Número Documento Aduanero
902020000147352 $698.85
</t>
  </si>
  <si>
    <t>BANCOLOMBIA USD$ 2555212532</t>
  </si>
  <si>
    <t>ALEX MARINO ENRIQUEZ</t>
  </si>
  <si>
    <t>alexenriquez73.ae@gmail.com;girlesa.ruiz@servipilas.com;joriescobar64@gmail.com;info@servipilas.com</t>
  </si>
  <si>
    <t xml:space="preserve">1234 - 285759 </t>
  </si>
  <si>
    <t>financiero@dmariocolombia.com;cartera@dmariocolombia.com.co;girlesa.ruiz@servipilas.com;joriescobar64@gmail.com</t>
  </si>
  <si>
    <t>aleja-1305agudelo@hotmail.com;provecol@une.net.co;girlesa.ruiz@servipilas.com;joriescobar64@gmail.com</t>
  </si>
  <si>
    <t xml:space="preserve">1236 - 285851 </t>
  </si>
  <si>
    <t>JYN TECHNOLOGY</t>
  </si>
  <si>
    <t>ventasonline@disantioquia.com.co;girlesa.ruiz@servipilas.com;joriescobar64@gmail.com</t>
  </si>
  <si>
    <t>COEXITO servipilas</t>
  </si>
  <si>
    <t>COMERCIALIZADORA DEL ESTE</t>
  </si>
  <si>
    <t>FVX9821</t>
  </si>
  <si>
    <t>1240 -CASILLERO</t>
  </si>
  <si>
    <t>1214 - CASILLERO</t>
  </si>
  <si>
    <t>1249 - A2013</t>
  </si>
  <si>
    <t>CARPA - CASILLERO</t>
  </si>
  <si>
    <t>CARPA - MONTBLANC</t>
  </si>
  <si>
    <t>CARPA - TNR</t>
  </si>
  <si>
    <t>ALPHA</t>
  </si>
  <si>
    <t>13E226510</t>
  </si>
  <si>
    <t>13E225854</t>
  </si>
  <si>
    <t>SANTA BARBARA DISTRONIK</t>
  </si>
  <si>
    <t>para pagar andres kairos</t>
  </si>
  <si>
    <t>DESEMBOLSO POR 75,700,687.87  Y COBRARON SEGURO POR 1,478,400</t>
  </si>
  <si>
    <t xml:space="preserve"> bateriasindustrialesbogota2@coexito.com.co;girlesa.ruiz@servipilas.com;joriescobar64@gmail.com</t>
  </si>
  <si>
    <t>ME503622</t>
  </si>
  <si>
    <t>lpena@tbplusenergy.com;girlesa.ruiz@servipilas.com;joriescobar64@gmail.com</t>
  </si>
  <si>
    <t>ME504135</t>
  </si>
  <si>
    <t>FVX10571</t>
  </si>
  <si>
    <t>FVX10572</t>
  </si>
  <si>
    <t>1272 - 286942</t>
  </si>
  <si>
    <t>1263 - A2044</t>
  </si>
  <si>
    <t>1277 - A2063</t>
  </si>
  <si>
    <t>1276 - A2063</t>
  </si>
  <si>
    <t>1278 - A2063</t>
  </si>
  <si>
    <t>FEV43134</t>
  </si>
  <si>
    <t>FVX10882</t>
  </si>
  <si>
    <t>1282 - A2095</t>
  </si>
  <si>
    <t>FVX9821 NC734</t>
  </si>
  <si>
    <t>873+875+878</t>
  </si>
  <si>
    <t>SP3862</t>
  </si>
  <si>
    <t>SI056191</t>
  </si>
  <si>
    <t>SI054623</t>
  </si>
  <si>
    <t>FESJ171529</t>
  </si>
  <si>
    <t>sd</t>
  </si>
  <si>
    <t>lc</t>
  </si>
  <si>
    <t>ml</t>
  </si>
  <si>
    <t>my</t>
  </si>
  <si>
    <t>CARPA - POWERSONIC</t>
  </si>
  <si>
    <t>1295 - SI054623 SI056191</t>
  </si>
  <si>
    <t>NC</t>
  </si>
  <si>
    <t>192 NC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</si>
  <si>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</si>
  <si>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</si>
  <si>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</si>
  <si>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</si>
  <si>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</si>
  <si>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</si>
  <si>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</si>
  <si>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</si>
  <si>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</si>
  <si>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</si>
  <si>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</si>
  <si>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</si>
  <si>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03MS3779</t>
  </si>
  <si>
    <t>03MS3718</t>
  </si>
  <si>
    <t>FE16558</t>
  </si>
  <si>
    <t>FE016093</t>
  </si>
  <si>
    <t>FESJ172676</t>
  </si>
  <si>
    <t>Abajo A TU MANO</t>
  </si>
  <si>
    <t>variedades.sfg@gmail.com;girlesa.ruiz@servipilas.com;joriescobar64@gmail.com</t>
  </si>
  <si>
    <t>Abajo ADRIANA ARISTIZABAL</t>
  </si>
  <si>
    <t>Abajo ALEKO</t>
  </si>
  <si>
    <t>Abajo ALEX DAVAL</t>
  </si>
  <si>
    <t>Abajo ALIEXPRESS</t>
  </si>
  <si>
    <t>Abajo ANDREA RAMIREZ</t>
  </si>
  <si>
    <t>Abajo audifonos</t>
  </si>
  <si>
    <t>Abajo AURELIO PILAS</t>
  </si>
  <si>
    <t>a2184</t>
  </si>
  <si>
    <t>1373 - 289692</t>
  </si>
  <si>
    <t>Abajo AVELINA</t>
  </si>
  <si>
    <t>Abajo CAJONES DE RELOJ</t>
  </si>
  <si>
    <t>Abajo cajones girlesa</t>
  </si>
  <si>
    <t>Abajo CARLOS MARIO BETANCUR</t>
  </si>
  <si>
    <t>Abajo CASILLERO</t>
  </si>
  <si>
    <t>a2220</t>
  </si>
  <si>
    <t>a2243</t>
  </si>
  <si>
    <t>a2282</t>
  </si>
  <si>
    <t>nb 288822</t>
  </si>
  <si>
    <t>Abajo COMERCIALIZADORA BYJ</t>
  </si>
  <si>
    <t>Abajo CONTADO</t>
  </si>
  <si>
    <t>of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</si>
  <si>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</si>
  <si>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</si>
  <si>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</si>
  <si>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</si>
  <si>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</si>
  <si>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</si>
  <si>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</si>
  <si>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3392 - consignacion</t>
  </si>
  <si>
    <t>Abajo Gasto Dotaciones Ohana</t>
  </si>
  <si>
    <t>Abajo GERMAN PALACIOS</t>
  </si>
  <si>
    <t>Abajo gloria bello</t>
  </si>
  <si>
    <t>Abajo Gloria Estrada</t>
  </si>
  <si>
    <t>gloritasz@gmail.com;girlesa.ruiz@servipilas.com;joriescobar64@gmail.com</t>
  </si>
  <si>
    <t>Abajo GLORIA SOTO</t>
  </si>
  <si>
    <t>Abajo GUSTAVO PULSOS</t>
  </si>
  <si>
    <t>a2257</t>
  </si>
  <si>
    <t>a2266</t>
  </si>
  <si>
    <t>a2284</t>
  </si>
  <si>
    <t>Abajo HERMANO DE KAIROS</t>
  </si>
  <si>
    <t>Abajo HUMBERTO ALVAREZ</t>
  </si>
  <si>
    <t>abajo innovatech</t>
  </si>
  <si>
    <t>Abajo INSTITUCIONALES</t>
  </si>
  <si>
    <t>Abajo IVA</t>
  </si>
  <si>
    <t>Abajo JORGE ARREDONDO - JARLY SAS</t>
  </si>
  <si>
    <t>Abajo KAIROS</t>
  </si>
  <si>
    <t>Abajo LA ESQUINA DEL MACHETE</t>
  </si>
  <si>
    <t>Abajo MEGARED</t>
  </si>
  <si>
    <t>daniel linio officex3 windowsx2</t>
  </si>
  <si>
    <t>a2256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</si>
  <si>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</si>
  <si>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</si>
  <si>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</si>
  <si>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</si>
  <si>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</si>
  <si>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</si>
  <si>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</si>
  <si>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</si>
  <si>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</si>
  <si>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</si>
  <si>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</si>
  <si>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</si>
  <si>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a2219</t>
  </si>
  <si>
    <t>Abajo SWIZZER REPUESTOS</t>
  </si>
  <si>
    <t>Abajo Tapabocas Juan Diego</t>
  </si>
  <si>
    <t>Abajo Termopack</t>
  </si>
  <si>
    <t>Abajo UNIVERSAL TIME</t>
  </si>
  <si>
    <t>882+883+885+887+888+889+890+893+894</t>
  </si>
  <si>
    <t>Abajo W CUERO</t>
  </si>
  <si>
    <t>Abajo YERMIN</t>
  </si>
  <si>
    <t>Abajo YOLANDA</t>
  </si>
  <si>
    <t>Abajo ZUMA</t>
  </si>
  <si>
    <t>11790 - 56143</t>
  </si>
  <si>
    <t>6124 - NC55</t>
  </si>
  <si>
    <t>1320 - A2158</t>
  </si>
  <si>
    <t>10117 NC</t>
  </si>
  <si>
    <t>1322 - 130713</t>
  </si>
  <si>
    <t>FI181033</t>
  </si>
  <si>
    <t>ME510858</t>
  </si>
  <si>
    <t>13E231864</t>
  </si>
  <si>
    <t>635 - nc45</t>
  </si>
  <si>
    <t>a2296</t>
  </si>
  <si>
    <t>FVX11935</t>
  </si>
  <si>
    <t>dua@cedesistemas.edu.co;girlesa.ruiz@servipilas.com;joriescobar64@gmail.com</t>
  </si>
  <si>
    <t>556 abono</t>
  </si>
  <si>
    <t>FV05662</t>
  </si>
  <si>
    <t>FV05947</t>
  </si>
  <si>
    <t>FV06798 - nc</t>
  </si>
  <si>
    <t>sfonnegra@nanicastation.com.co;facturas@nanicastation.com.co;girlesa.ruiz@servipilas.com;joriescobar64@gmail.com</t>
  </si>
  <si>
    <t>FE18323</t>
  </si>
  <si>
    <t>daniel guantes</t>
  </si>
  <si>
    <t>mobiliariomasproyectos@gmail.com;girlesa.ruiz@servipilas.com;joriescobar64@gmail.com</t>
  </si>
  <si>
    <t>vitrina lc</t>
  </si>
  <si>
    <t>66158 - descuento no aplicado</t>
  </si>
  <si>
    <t>FESJ173142</t>
  </si>
  <si>
    <t>FESJ174559</t>
  </si>
  <si>
    <t>a2289</t>
  </si>
  <si>
    <t>adelanto</t>
  </si>
  <si>
    <t>1363 - a2282</t>
  </si>
  <si>
    <t>SG1127</t>
  </si>
  <si>
    <t>FEI100050484</t>
  </si>
  <si>
    <t>FEI100050811</t>
  </si>
  <si>
    <t>FEV47234</t>
  </si>
  <si>
    <t>FEV47269</t>
  </si>
  <si>
    <t>daniel cintas termicas</t>
  </si>
  <si>
    <t>IFE34930</t>
  </si>
  <si>
    <t>IFE34930 - NC21144</t>
  </si>
  <si>
    <t>IFE34930 - NC21144 retencion por diferencia</t>
  </si>
  <si>
    <t>IFE35882</t>
  </si>
  <si>
    <t>FE17773</t>
  </si>
  <si>
    <t>a2268</t>
  </si>
  <si>
    <t>MDIS5.041.345</t>
  </si>
  <si>
    <t>272 - 130713</t>
  </si>
  <si>
    <t>270 - SI054623 SI056191</t>
  </si>
  <si>
    <t>287 - SI054623 SI056191</t>
  </si>
  <si>
    <t>271 - 286942</t>
  </si>
  <si>
    <t>MEGAMUNDO</t>
  </si>
  <si>
    <t>03MS4136</t>
  </si>
  <si>
    <t>1878591 - NC162178</t>
  </si>
  <si>
    <t>a2252</t>
  </si>
  <si>
    <t>MDIS5.041.328</t>
  </si>
  <si>
    <t>FEV44348</t>
  </si>
  <si>
    <t>FEV44716</t>
  </si>
  <si>
    <t>FEV45061</t>
  </si>
  <si>
    <t>24466 - nc53415</t>
  </si>
  <si>
    <t>1342 - a2243</t>
  </si>
  <si>
    <t>FE9151</t>
  </si>
  <si>
    <t>162642 NC</t>
  </si>
  <si>
    <t>RODRIGUEZ Y URBINA</t>
  </si>
  <si>
    <t>S02943 RU1280</t>
  </si>
  <si>
    <t>a2215</t>
  </si>
  <si>
    <t>1337 - a2220</t>
  </si>
  <si>
    <t>73279 abono</t>
  </si>
  <si>
    <t>ME506093</t>
  </si>
  <si>
    <t>ME506622</t>
  </si>
  <si>
    <t>ME506623</t>
  </si>
  <si>
    <t>ME507102</t>
  </si>
  <si>
    <t>ME507295</t>
  </si>
  <si>
    <t>13E233959</t>
  </si>
  <si>
    <t>FETU3052</t>
  </si>
  <si>
    <t>FEN-37015</t>
  </si>
  <si>
    <t>03MS3968</t>
  </si>
  <si>
    <t>13E233987</t>
  </si>
  <si>
    <t>FEI100054006</t>
  </si>
  <si>
    <t>NC119</t>
  </si>
  <si>
    <t>FEI100053907</t>
  </si>
  <si>
    <t>24007 - NC</t>
  </si>
  <si>
    <t>FEI100053411</t>
  </si>
  <si>
    <t>anticipo - 289692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</si>
  <si>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</si>
  <si>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</si>
  <si>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</si>
  <si>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</si>
  <si>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</si>
  <si>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</si>
  <si>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</si>
  <si>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</si>
  <si>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</si>
  <si>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</si>
  <si>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</si>
  <si>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</si>
  <si>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</si>
  <si>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</si>
  <si>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</si>
  <si>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</si>
  <si>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</si>
  <si>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</si>
  <si>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</si>
  <si>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</si>
  <si>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</si>
  <si>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</si>
  <si>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</si>
  <si>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</si>
  <si>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</si>
  <si>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</si>
  <si>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</si>
  <si>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</si>
  <si>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</si>
  <si>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</si>
  <si>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</si>
  <si>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</si>
  <si>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</si>
  <si>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</si>
  <si>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</si>
  <si>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</si>
  <si>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</si>
  <si>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</si>
  <si>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</si>
  <si>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>1278 saldo pendiente</t>
  </si>
  <si>
    <t xml:space="preserve">Abajo DANIEL ESCOBAR </t>
  </si>
  <si>
    <t xml:space="preserve">Abajo FONDO </t>
  </si>
  <si>
    <t>DAVIVIENDA ************6881</t>
  </si>
  <si>
    <t>DAVIVIENDA ************7029</t>
  </si>
  <si>
    <t xml:space="preserve">Abajo FERNANDO JIMENEZ </t>
  </si>
  <si>
    <t xml:space="preserve">Abajo CATALINA SANCHEZ </t>
  </si>
  <si>
    <t>DAVIVIENDA ************6699</t>
  </si>
  <si>
    <t>DAVIVIENDA ************6723</t>
  </si>
  <si>
    <t>DAVIVIENDA ************3174</t>
  </si>
  <si>
    <t xml:space="preserve">Abajo MARIANA </t>
  </si>
  <si>
    <t>DAVIVIENDA ************5872</t>
  </si>
  <si>
    <t xml:space="preserve">Abajo ALBA  </t>
  </si>
  <si>
    <t>kenex 53263 dic 2020</t>
  </si>
  <si>
    <t>Abajo PIEDAD ESCOBAR</t>
  </si>
  <si>
    <t>DAVIVIENDA ************0957</t>
  </si>
  <si>
    <t>Abajo CLAUDIA RUIZ</t>
  </si>
  <si>
    <t>DAVIVIENDA ************5098</t>
  </si>
  <si>
    <t xml:space="preserve">Abajo DON LUCIANO </t>
  </si>
  <si>
    <t>Abajo JORGE IVAN ESCOBAR</t>
  </si>
  <si>
    <t>jorge arredondo</t>
  </si>
  <si>
    <t>BANCOLOMBIA CESANTIAS</t>
  </si>
  <si>
    <t>palacio navideño</t>
  </si>
  <si>
    <t>mueble la central</t>
  </si>
  <si>
    <t>avelina</t>
  </si>
  <si>
    <t>amdres ramirez</t>
  </si>
  <si>
    <t>120k del 4x1000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</si>
  <si>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</si>
  <si>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</si>
  <si>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</si>
  <si>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</si>
  <si>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</si>
  <si>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</si>
  <si>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COP</t>
  </si>
  <si>
    <t>cuota extra</t>
  </si>
  <si>
    <t>a2316</t>
  </si>
  <si>
    <t>a2309</t>
  </si>
  <si>
    <t>75600 - NC</t>
  </si>
  <si>
    <t>FEV48225</t>
  </si>
  <si>
    <t>ME511329</t>
  </si>
  <si>
    <t>03MS4371</t>
  </si>
  <si>
    <t>334 - 289692</t>
  </si>
  <si>
    <t>COMERCIALIZADORA AVELINA</t>
  </si>
  <si>
    <t>avelinacomer@gmail.com;girlesa.ruiz@servipilas.com;joriescobar64@gmail.com</t>
  </si>
  <si>
    <t>FE11073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</si>
  <si>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</si>
  <si>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</si>
  <si>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</si>
  <si>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</si>
  <si>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</si>
  <si>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</si>
  <si>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</si>
  <si>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</si>
  <si>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</si>
  <si>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</si>
  <si>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</si>
  <si>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</si>
  <si>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DAVIVIENDA ************2127</t>
  </si>
  <si>
    <t>AJUSTE ABR20 2022</t>
  </si>
  <si>
    <t>pago de los uniformes</t>
  </si>
  <si>
    <t>FEV46356</t>
  </si>
  <si>
    <t>FETU3377</t>
  </si>
  <si>
    <t xml:space="preserve">SG1127 - NCE37 </t>
  </si>
  <si>
    <t>sandra.ospina@powest.com;girlesa.ruiz@servipilas.com;joriescobar64@gmail.com</t>
  </si>
  <si>
    <t>girlesa salud</t>
  </si>
  <si>
    <t>ME512097</t>
  </si>
  <si>
    <t>ME512055</t>
  </si>
  <si>
    <t>FETU3394</t>
  </si>
  <si>
    <t>FI184484</t>
  </si>
  <si>
    <t>SG1213</t>
  </si>
  <si>
    <t>FEI100060300</t>
  </si>
  <si>
    <t>a2331</t>
  </si>
  <si>
    <t>1387 - casillero</t>
  </si>
  <si>
    <t>42651 nd</t>
  </si>
  <si>
    <t>FESJ174856</t>
  </si>
  <si>
    <t>FEV48949</t>
  </si>
  <si>
    <t>FEV49144</t>
  </si>
  <si>
    <t>12378 a2346</t>
  </si>
  <si>
    <t>217 - 55161</t>
  </si>
  <si>
    <t>IFE37101</t>
  </si>
  <si>
    <t>FEI100061061</t>
  </si>
  <si>
    <t>FEI100060704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</si>
  <si>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</si>
  <si>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</si>
  <si>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</si>
  <si>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</si>
  <si>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</si>
  <si>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</si>
  <si>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</si>
  <si>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</si>
  <si>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</si>
  <si>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</si>
  <si>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</si>
  <si>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</si>
  <si>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</si>
  <si>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</si>
  <si>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</si>
  <si>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</si>
  <si>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</si>
  <si>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</si>
  <si>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</si>
  <si>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</si>
  <si>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</si>
  <si>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</si>
  <si>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</si>
  <si>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</si>
  <si>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</si>
  <si>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</si>
  <si>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</si>
  <si>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</si>
  <si>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</si>
  <si>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</si>
  <si>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</si>
  <si>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</si>
  <si>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</si>
  <si>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</si>
  <si>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</si>
  <si>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</si>
  <si>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comercial web X@</t>
  </si>
  <si>
    <t>molinos administración X@</t>
  </si>
  <si>
    <t>sapian X@</t>
  </si>
  <si>
    <t>vyp X@</t>
  </si>
  <si>
    <t>X@</t>
  </si>
  <si>
    <t>316 - 516143</t>
  </si>
  <si>
    <t>ofi</t>
  </si>
  <si>
    <t>03MS4520</t>
  </si>
  <si>
    <t>03MS4536</t>
  </si>
  <si>
    <t>anticipo - 51643</t>
  </si>
  <si>
    <t>oswaldo.alvarez@logimexsas.com;girlesa.ruiz@servipilas.com;joriescobar64@gmail.com;facturacion@servipilas.com</t>
  </si>
  <si>
    <t>03MS4549</t>
  </si>
  <si>
    <t>03MS4587</t>
  </si>
  <si>
    <t>FETU3522</t>
  </si>
  <si>
    <t>S63839</t>
  </si>
  <si>
    <t>S63559</t>
  </si>
  <si>
    <t>S64208</t>
  </si>
  <si>
    <t>S64207</t>
  </si>
  <si>
    <t>S62679</t>
  </si>
  <si>
    <t>S62399</t>
  </si>
  <si>
    <t>S63255</t>
  </si>
  <si>
    <t>S62976</t>
  </si>
  <si>
    <t>FEI100061061 - NC100009114</t>
  </si>
  <si>
    <t>FEI100061750</t>
  </si>
  <si>
    <t>a2363</t>
  </si>
  <si>
    <t>a2350</t>
  </si>
  <si>
    <t>a2349 - '28/05/2022</t>
  </si>
  <si>
    <t>Abajo SIMON MDE</t>
  </si>
  <si>
    <t>FEF4650</t>
  </si>
  <si>
    <t>gerencia@som-tec.com;girlesa.ruiz@servipilas.com;joriescobar64@gmail.com</t>
  </si>
  <si>
    <t>carlos.bohorquez@copapel.com;girlesa.ruiz@servipilas.com;joriescobar64@gmail.com</t>
  </si>
  <si>
    <t>FEV49928</t>
  </si>
  <si>
    <t>FEV50110</t>
  </si>
  <si>
    <t>FE017072</t>
  </si>
  <si>
    <t>daniel reloj daño mayorca</t>
  </si>
  <si>
    <t>BANCOLOMBIA USD$ 2555265132</t>
  </si>
  <si>
    <t>kenex 56143 mar 22</t>
  </si>
  <si>
    <t>wruiz@tsqsa.com;girlesa.ruiz@servipilas.com;joriescobar64@gmail.com</t>
  </si>
  <si>
    <t>anticipo coolers</t>
  </si>
  <si>
    <t>PREDIAL LA CENTRAL</t>
  </si>
  <si>
    <t xml:space="preserve"> 265 registro importador</t>
  </si>
  <si>
    <t>FETU3626</t>
  </si>
  <si>
    <t>salud clasico jorge girlesa</t>
  </si>
  <si>
    <t>ME514195</t>
  </si>
  <si>
    <t>FE19536</t>
  </si>
  <si>
    <t>FV-1917003 pc contabilidad</t>
  </si>
  <si>
    <t>NC11771</t>
  </si>
  <si>
    <t>FI192542</t>
  </si>
  <si>
    <t>ID-393</t>
  </si>
  <si>
    <t>FE1763</t>
  </si>
  <si>
    <t>FESJ177306</t>
  </si>
  <si>
    <t>FESJ178413</t>
  </si>
  <si>
    <t>13E244739</t>
  </si>
  <si>
    <t>13E244630</t>
  </si>
  <si>
    <t>Abajo NIA</t>
  </si>
  <si>
    <t>nc8608</t>
  </si>
  <si>
    <t>ND 10533</t>
  </si>
  <si>
    <t>DxPP NO APLICABLE</t>
  </si>
  <si>
    <t>mercadopago</t>
  </si>
  <si>
    <t>FESJ178720</t>
  </si>
  <si>
    <t>amazon a2388</t>
  </si>
  <si>
    <t>a2404</t>
  </si>
  <si>
    <t>TECNOSOLUCIONES X@</t>
  </si>
  <si>
    <t>S64600</t>
  </si>
  <si>
    <t>S65183</t>
  </si>
  <si>
    <t>S64901</t>
  </si>
  <si>
    <t>S64601</t>
  </si>
  <si>
    <t>1410 - a2404</t>
  </si>
  <si>
    <t>1411 - a2404 amazon</t>
  </si>
  <si>
    <t>daniel linio officex4</t>
  </si>
  <si>
    <t>2702 - 2385</t>
  </si>
  <si>
    <t>Facturas vencidas a cierre del mes</t>
  </si>
  <si>
    <t>3. borrar fechas de pago posteriores al cierre de mes esudiado</t>
  </si>
  <si>
    <t>cierre de mes</t>
  </si>
  <si>
    <t>dias de credito</t>
  </si>
  <si>
    <t>venc</t>
  </si>
  <si>
    <t>Columna1</t>
  </si>
  <si>
    <t>4. cambiar fecha de cierre de mes</t>
  </si>
  <si>
    <t>VENCIDA</t>
  </si>
  <si>
    <t>cartera@makingbusiness.com.co;tesoreria@makingbusiness.com.co;girlesa.ruiz@servipilas.com;joriescobar64@gmail.com</t>
  </si>
  <si>
    <t>int + 4x1000</t>
  </si>
  <si>
    <t>03MS4753</t>
  </si>
  <si>
    <t xml:space="preserve"> dsmazuera@widexcolombia.com;cartera@widexcolombia.com;girlesa.ruiz@servipilas.com;joriescobar64@gmail.com</t>
  </si>
  <si>
    <t>5158 racklo consignación</t>
  </si>
  <si>
    <t>daniel fuente de poder</t>
  </si>
  <si>
    <t>11 TECHNOLOGIES</t>
  </si>
  <si>
    <t>1421 - 291706 291707</t>
  </si>
  <si>
    <t>KINESIS</t>
  </si>
  <si>
    <t>Facturas@kinnesis.com;girlesa.ruiz@servipilas.com;joriescobar64@gmail.com</t>
  </si>
  <si>
    <t>FEK1398</t>
  </si>
  <si>
    <t>ME515188</t>
  </si>
  <si>
    <t>contabilidad@sandiego.com.co;girlesa.ruiz@servipilas.com;joriescobar64@gmail.com</t>
  </si>
  <si>
    <t>3362 unifrmes</t>
  </si>
  <si>
    <t>se pago el crdito de itaú y se abonó al de davivienda 2127</t>
  </si>
  <si>
    <t>FETU3767</t>
  </si>
  <si>
    <t>FEN51762</t>
  </si>
  <si>
    <t>ME515789</t>
  </si>
  <si>
    <t>ME515873</t>
  </si>
  <si>
    <t>ME515748</t>
  </si>
  <si>
    <t>03MS4816</t>
  </si>
  <si>
    <t>TECH1636</t>
  </si>
  <si>
    <t>1925429 celular mayorca</t>
  </si>
  <si>
    <t>FVX13110</t>
  </si>
  <si>
    <t>FVX13109</t>
  </si>
  <si>
    <t>13E246698</t>
  </si>
  <si>
    <t>ABAJO RODOLFO PARAMO X@</t>
  </si>
  <si>
    <t>Ruta para crear los pdf</t>
  </si>
  <si>
    <t>247 faltaron en el pago</t>
  </si>
  <si>
    <t>ajuste 22/6/22</t>
  </si>
  <si>
    <t>para pagar reforma de mayorca</t>
  </si>
  <si>
    <t>nc + RETENCIÓN</t>
  </si>
  <si>
    <t>por pago extra en la factura ME510858</t>
  </si>
  <si>
    <t>ND119</t>
  </si>
  <si>
    <t>valor extra descontado de la NC119</t>
  </si>
  <si>
    <t>IEO ASOCIADOS</t>
  </si>
  <si>
    <t>FEV51820</t>
  </si>
  <si>
    <t>IFE38403</t>
  </si>
  <si>
    <t>SG1410</t>
  </si>
  <si>
    <t>MDIS5.041.536</t>
  </si>
  <si>
    <t>MDIS5.041.526</t>
  </si>
  <si>
    <t>FET119167</t>
  </si>
  <si>
    <t>1429 - 291706 291707</t>
  </si>
  <si>
    <t>1426 - 291706 291707</t>
  </si>
  <si>
    <t>1604 a2423</t>
  </si>
  <si>
    <t>5277 a2418</t>
  </si>
  <si>
    <t>a2430</t>
  </si>
  <si>
    <t>291 a2416</t>
  </si>
  <si>
    <t>oficina jorge</t>
  </si>
  <si>
    <t>Abajo FREDY SERNA</t>
  </si>
  <si>
    <t>5498 a2417</t>
  </si>
  <si>
    <t>898+001+002+003+004+005+006+007+008+20 renata390</t>
  </si>
  <si>
    <t>ID-413</t>
  </si>
  <si>
    <t>CIDET X@</t>
  </si>
  <si>
    <t>DEVOLUCIÓN FV-3-6001</t>
  </si>
  <si>
    <t>kenex 54504 jul 21</t>
  </si>
  <si>
    <t>anticipo - 56405</t>
  </si>
  <si>
    <t>346 - 56405</t>
  </si>
  <si>
    <t>FE19536 - nc N1-11776</t>
  </si>
  <si>
    <t>FEI100060300 nc 100008974</t>
  </si>
  <si>
    <t>FESJ180515</t>
  </si>
  <si>
    <t>S66130</t>
  </si>
  <si>
    <t>S66129</t>
  </si>
  <si>
    <t>S65777</t>
  </si>
  <si>
    <t>S65506</t>
  </si>
  <si>
    <t>ME516774</t>
  </si>
  <si>
    <t>237 a2448</t>
  </si>
  <si>
    <t>03MS4900</t>
  </si>
  <si>
    <t>2822 a2443</t>
  </si>
  <si>
    <t>ME516651</t>
  </si>
  <si>
    <t>FETU3837</t>
  </si>
  <si>
    <t>658005 a2436</t>
  </si>
  <si>
    <t>a2449</t>
  </si>
  <si>
    <t>a2444</t>
  </si>
  <si>
    <t>a2446</t>
  </si>
  <si>
    <t>a2437</t>
  </si>
  <si>
    <t>FEV52130</t>
  </si>
  <si>
    <t>389 - 291707</t>
  </si>
  <si>
    <t>379 - 291706</t>
  </si>
  <si>
    <t>anticipo 291706</t>
  </si>
  <si>
    <t>anticipo 291707</t>
  </si>
  <si>
    <t>DILOY COLOMBIA</t>
  </si>
  <si>
    <t>tesoreria@cidet.org.co;girlesa.ruiz@servipilas.com;joriescobar64@gmail.com</t>
  </si>
  <si>
    <t>1432 - A2437 A2446</t>
  </si>
  <si>
    <t>BANCOLOMBIA USD$ 2555277122</t>
  </si>
  <si>
    <t>1. copiar y pegar toda la base de datos de la hoja F. proveedores</t>
  </si>
  <si>
    <t>COPAPEL X@</t>
  </si>
  <si>
    <t>a2405</t>
  </si>
  <si>
    <t>capital leasing</t>
  </si>
  <si>
    <t>intereses cuota 18/06/2022</t>
  </si>
  <si>
    <t>seguro cuota 18/06/2022</t>
  </si>
  <si>
    <t>prorroga seguro</t>
  </si>
  <si>
    <t>prorroga intereses</t>
  </si>
  <si>
    <t>capital leasing + prorrogas</t>
  </si>
  <si>
    <t>Ajuste 15/07/2022</t>
  </si>
  <si>
    <t>FVX11935 abono</t>
  </si>
  <si>
    <t>FI203501</t>
  </si>
  <si>
    <t>ME517744</t>
  </si>
  <si>
    <t>13E248669</t>
  </si>
  <si>
    <t>LUZ MYRIAM GIRALDO ZUMA</t>
  </si>
  <si>
    <t>LMGS789@HOTMAIL.COM;girlesa.ruiz@servipilas.com;joriescobar64@gmail.com</t>
  </si>
  <si>
    <t>APC X@</t>
  </si>
  <si>
    <t>22488 cooler la central y jorge andres</t>
  </si>
  <si>
    <t>daniel nevera mayorca</t>
  </si>
  <si>
    <t>Abajo MERCADOLIBRE X@</t>
  </si>
  <si>
    <t>DAVIVIENDA ************5062</t>
  </si>
  <si>
    <t>corporacion.trovemos@gmail.com;girlesa.ruiz@servipilas.com;joriescobar64@gmail.com</t>
  </si>
  <si>
    <t>COPORACION TROVEMOS X@</t>
  </si>
  <si>
    <t>ABAJO MEGARED</t>
  </si>
  <si>
    <t>syman07@hotmail.com;girlesa.ruiz@servipilas.com;joriescobar64@gmail.com</t>
  </si>
  <si>
    <t>SILLAS Y MANTENIMIENTOS X@</t>
  </si>
  <si>
    <t>NC12054</t>
  </si>
  <si>
    <t>Descuento sobre subtotal $2</t>
  </si>
  <si>
    <t>descuento sobre subtotal</t>
  </si>
  <si>
    <t>saldo extra pagado por el celular d emayorca</t>
  </si>
  <si>
    <t>lygonzalez@gmail.com;girlesa.ruiz@servipilas.com;joriescobar64@gmail.com</t>
  </si>
  <si>
    <t>FESJ181335</t>
  </si>
  <si>
    <t>03MS5005</t>
  </si>
  <si>
    <t>FI207753</t>
  </si>
  <si>
    <t>S66707</t>
  </si>
  <si>
    <t>S66477</t>
  </si>
  <si>
    <t>FEV53048</t>
  </si>
  <si>
    <t>a2486</t>
  </si>
  <si>
    <t>a2472</t>
  </si>
  <si>
    <t>1443 - a2472</t>
  </si>
  <si>
    <t>FE017521</t>
  </si>
  <si>
    <t>13E250625</t>
  </si>
  <si>
    <t>2396 megamundo - nc53</t>
  </si>
  <si>
    <t>300 a2478</t>
  </si>
  <si>
    <t>EL IMPERIO DIGITAL - YERMIN</t>
  </si>
  <si>
    <t>yermingg@hotmail.com;rubizulu@hotmail.com;girlesa.ruiz@servipilas.com;joriescobar64@gmail.com</t>
  </si>
  <si>
    <t>G:\Mi unidad\INFO\FACTURAS POR PAGAR\POR PAGAR compras\pagar</t>
  </si>
  <si>
    <t>jorge andres amazon</t>
  </si>
  <si>
    <t>prestados por alba</t>
  </si>
  <si>
    <t>daniel cargador</t>
  </si>
  <si>
    <t>para pagar vitrina mayorca</t>
  </si>
  <si>
    <t>anticipo - 57126</t>
  </si>
  <si>
    <t>413 - 57126</t>
  </si>
  <si>
    <t>se cruzó con una reparación de un reloj de don Ivan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</si>
  <si>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</si>
  <si>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</si>
  <si>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</si>
  <si>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iva</t>
  </si>
  <si>
    <t>FEV54013</t>
  </si>
  <si>
    <t>a2488</t>
  </si>
  <si>
    <t>1456 - a2488</t>
  </si>
  <si>
    <t>ME519126</t>
  </si>
  <si>
    <t>ME519375</t>
  </si>
  <si>
    <t>03MS5178</t>
  </si>
  <si>
    <t>MDIS5.041.590</t>
  </si>
  <si>
    <t>ID-441</t>
  </si>
  <si>
    <t>Nota: la formula no suma los porveedores con X@</t>
  </si>
  <si>
    <t>RE0065</t>
  </si>
  <si>
    <t>a2499</t>
  </si>
  <si>
    <t>PREDIaL 1003 TRIMESTRaL</t>
  </si>
  <si>
    <t>PREDIaL 2293 TRIMESTRaL</t>
  </si>
  <si>
    <t>a2046</t>
  </si>
  <si>
    <t>a2057 a2058</t>
  </si>
  <si>
    <t>a2078</t>
  </si>
  <si>
    <t>a2085</t>
  </si>
  <si>
    <t>a2086</t>
  </si>
  <si>
    <t>a2029</t>
  </si>
  <si>
    <t>a2115</t>
  </si>
  <si>
    <t>aRR FV05121</t>
  </si>
  <si>
    <t>aDM FV04843</t>
  </si>
  <si>
    <t>aRR 1835</t>
  </si>
  <si>
    <t>a2114</t>
  </si>
  <si>
    <t>a2156</t>
  </si>
  <si>
    <t>a2158</t>
  </si>
  <si>
    <t>aNTICIPO - SI054623 SI056191</t>
  </si>
  <si>
    <t>a2159</t>
  </si>
  <si>
    <t>a2161</t>
  </si>
  <si>
    <t>anticipo - 130713</t>
  </si>
  <si>
    <t>a2186</t>
  </si>
  <si>
    <t>a2196</t>
  </si>
  <si>
    <t>a2340</t>
  </si>
  <si>
    <t>95475513 RENOVaCIÓN</t>
  </si>
  <si>
    <t>a2374</t>
  </si>
  <si>
    <t>aS4596</t>
  </si>
  <si>
    <t>VITRINaS MaYORCa</t>
  </si>
  <si>
    <t>ELJ18742 TECLaDO OFICINa</t>
  </si>
  <si>
    <t>a2428</t>
  </si>
  <si>
    <t>a2447</t>
  </si>
  <si>
    <t>a2440</t>
  </si>
  <si>
    <t>a2465</t>
  </si>
  <si>
    <t>a2428 abono</t>
  </si>
  <si>
    <t>a2475</t>
  </si>
  <si>
    <t>FERIa SaNDIEGO</t>
  </si>
  <si>
    <t>hyr FERIa SaNDIEGO</t>
  </si>
  <si>
    <t>transporte VITRINaS MaYORCa</t>
  </si>
  <si>
    <t>esta entrega no la completaron por lo que acreditaron la cuenta de daniel, pero ya la empresa le había consignado, por lo que el valor queda a favor de la empresa.</t>
  </si>
  <si>
    <t>complementario jaime</t>
  </si>
  <si>
    <t>FEV54306</t>
  </si>
  <si>
    <t>ISMART ELECTRONICS X@</t>
  </si>
  <si>
    <t>IFE39801</t>
  </si>
  <si>
    <t>daniel licencia x3 windows</t>
  </si>
  <si>
    <t>SM2207</t>
  </si>
  <si>
    <t>SM2207 aBONO MITaD</t>
  </si>
  <si>
    <t>4% con base</t>
  </si>
  <si>
    <t>SM2255</t>
  </si>
  <si>
    <t>CAPITAL</t>
  </si>
  <si>
    <t>daniel cintas termicas x6</t>
  </si>
  <si>
    <t>daniel cargador x2</t>
  </si>
  <si>
    <t>ME520166</t>
  </si>
  <si>
    <t>ME520112</t>
  </si>
  <si>
    <t>FE-7435</t>
  </si>
  <si>
    <t>FI212206</t>
  </si>
  <si>
    <t>651- NC BGNC31</t>
  </si>
  <si>
    <t>FE017830</t>
  </si>
  <si>
    <t>FENL 34636</t>
  </si>
  <si>
    <t>IFE39970</t>
  </si>
  <si>
    <t>FEIN 29</t>
  </si>
  <si>
    <t>IFE 39709</t>
  </si>
  <si>
    <t>FEI100070454</t>
  </si>
  <si>
    <t>santiago.botero@apcmayorista.com;girlesa.ruiz@servipilas.com;joriescobar64@gmail.com</t>
  </si>
  <si>
    <t>3440 A2513</t>
  </si>
  <si>
    <t>536 A2508</t>
  </si>
  <si>
    <t>556 A2517</t>
  </si>
  <si>
    <t>A2518</t>
  </si>
  <si>
    <t>A2502</t>
  </si>
  <si>
    <t>A2501</t>
  </si>
  <si>
    <t>A2509</t>
  </si>
  <si>
    <t>23762 pc silvia uribe</t>
  </si>
  <si>
    <t>GRUPOINTER LLANTAS X@</t>
  </si>
  <si>
    <t>03MS5320</t>
  </si>
  <si>
    <t>3522 a2510</t>
  </si>
  <si>
    <t>3165 a2089</t>
  </si>
  <si>
    <t>3164 a2088</t>
  </si>
  <si>
    <t>3328 a2343</t>
  </si>
  <si>
    <t>3327 a2344</t>
  </si>
  <si>
    <t>3347 a2364</t>
  </si>
  <si>
    <t>3346 a2357</t>
  </si>
  <si>
    <t>3521 a2500</t>
  </si>
  <si>
    <t>3523 a2504</t>
  </si>
  <si>
    <t>FVX14146</t>
  </si>
  <si>
    <t>FVX14147</t>
  </si>
  <si>
    <t>INDUSTRIA ELECTRICA NEWLINE</t>
  </si>
  <si>
    <t>FENL 34848</t>
  </si>
  <si>
    <t>Abajo INVERSIONES ARCILA</t>
  </si>
  <si>
    <t>INVERSIONES ARCILA</t>
  </si>
  <si>
    <t>1263 a2044</t>
  </si>
  <si>
    <t>1249 a2013</t>
  </si>
  <si>
    <t>542117 a2012</t>
  </si>
  <si>
    <t>322830 a2012</t>
  </si>
  <si>
    <t>4366 a2023</t>
  </si>
  <si>
    <t>625 a2039</t>
  </si>
  <si>
    <t>323017 a2047</t>
  </si>
  <si>
    <t>1277 a2063</t>
  </si>
  <si>
    <t>1276 a2063</t>
  </si>
  <si>
    <t>1278 a2063</t>
  </si>
  <si>
    <t>4911 a2067</t>
  </si>
  <si>
    <t>6952 a2074</t>
  </si>
  <si>
    <t>4955 a2076</t>
  </si>
  <si>
    <t>4729 a2027</t>
  </si>
  <si>
    <t>1282 a2095</t>
  </si>
  <si>
    <t>4366 a2023 NC</t>
  </si>
  <si>
    <t>1424 a2147</t>
  </si>
  <si>
    <t>4901 a2143</t>
  </si>
  <si>
    <t>3532 a2145</t>
  </si>
  <si>
    <t>2531 a2145</t>
  </si>
  <si>
    <t>5053 a2146</t>
  </si>
  <si>
    <t>5051 a2140</t>
  </si>
  <si>
    <t>2245 a2112</t>
  </si>
  <si>
    <t>45531 a2160</t>
  </si>
  <si>
    <t>4986 a2170</t>
  </si>
  <si>
    <t>1454 a2163</t>
  </si>
  <si>
    <t>1320 a2158</t>
  </si>
  <si>
    <t>29746 a2168</t>
  </si>
  <si>
    <t>3393 a2166</t>
  </si>
  <si>
    <t>5106 a2164</t>
  </si>
  <si>
    <t>254 a2180</t>
  </si>
  <si>
    <t>5128 a2185</t>
  </si>
  <si>
    <t>7694 a2195</t>
  </si>
  <si>
    <t>04736 a2210</t>
  </si>
  <si>
    <t>3713 a2187</t>
  </si>
  <si>
    <t>1337 a2220</t>
  </si>
  <si>
    <t>260 a2233</t>
  </si>
  <si>
    <t>7889 a2242</t>
  </si>
  <si>
    <t>1342 a2243</t>
  </si>
  <si>
    <t>1504 a2246</t>
  </si>
  <si>
    <t>04741 a2210</t>
  </si>
  <si>
    <t>47476 a2258</t>
  </si>
  <si>
    <t>8404 a2271</t>
  </si>
  <si>
    <t>1363 a2282</t>
  </si>
  <si>
    <t>7694 a2195 abono</t>
  </si>
  <si>
    <t>8498 a2297</t>
  </si>
  <si>
    <t>48214 a2298</t>
  </si>
  <si>
    <t>270 a2300</t>
  </si>
  <si>
    <t>324035 a2323</t>
  </si>
  <si>
    <t>344381 a2323</t>
  </si>
  <si>
    <t>344382 a2323</t>
  </si>
  <si>
    <t>5581 a2351</t>
  </si>
  <si>
    <t>2146 a2334</t>
  </si>
  <si>
    <t>3091 a2336</t>
  </si>
  <si>
    <t>5800 a2355</t>
  </si>
  <si>
    <t>9012 a2362 - FE6526</t>
  </si>
  <si>
    <t>1562 a2366</t>
  </si>
  <si>
    <t>450 a2368</t>
  </si>
  <si>
    <t>467 a2368</t>
  </si>
  <si>
    <t>466 a2368</t>
  </si>
  <si>
    <t>72 a2376</t>
  </si>
  <si>
    <t>544822 a2387</t>
  </si>
  <si>
    <t>324299 a2386</t>
  </si>
  <si>
    <t>5332 a2384</t>
  </si>
  <si>
    <t>75600 abono</t>
  </si>
  <si>
    <t>3256 a2395</t>
  </si>
  <si>
    <t>872 a2391</t>
  </si>
  <si>
    <t>50061 a2394</t>
  </si>
  <si>
    <t>116 a2393</t>
  </si>
  <si>
    <t>277 a2342</t>
  </si>
  <si>
    <t>1410 a2404</t>
  </si>
  <si>
    <t>1411 a2404 amazon</t>
  </si>
  <si>
    <t>9160 a2381</t>
  </si>
  <si>
    <t>51070 a2442</t>
  </si>
  <si>
    <t>1838 a2439</t>
  </si>
  <si>
    <t>51121 a2441</t>
  </si>
  <si>
    <t>1432 a2437 a2446</t>
  </si>
  <si>
    <t>3460 a2452</t>
  </si>
  <si>
    <t>1958 a2461</t>
  </si>
  <si>
    <t>5600 a2458</t>
  </si>
  <si>
    <t>abono 9160 a2381</t>
  </si>
  <si>
    <t>1443 a2472</t>
  </si>
  <si>
    <t>3509 a2473</t>
  </si>
  <si>
    <t>277 a2466</t>
  </si>
  <si>
    <t>2424 a2487</t>
  </si>
  <si>
    <t>324710 a2476</t>
  </si>
  <si>
    <t>545560 a2477</t>
  </si>
  <si>
    <t>1456 a2488</t>
  </si>
  <si>
    <t>1662 a2497</t>
  </si>
  <si>
    <t>5765 a2425</t>
  </si>
  <si>
    <t>1460 - A2502</t>
  </si>
  <si>
    <t>1466 - A2509</t>
  </si>
  <si>
    <t>1465 - A2518</t>
  </si>
  <si>
    <t>1463 - A 2518</t>
  </si>
  <si>
    <t>1463 - A2518</t>
  </si>
  <si>
    <t>ajuste ago26/20222 con juan guillermo</t>
  </si>
  <si>
    <t>BIGTRONICA X@</t>
  </si>
  <si>
    <t>FEC3525</t>
  </si>
  <si>
    <t>FI213548</t>
  </si>
  <si>
    <t>facturado a girlesa, NO SE PAGO POR INCUMPLIMEINTO DE ARCOSISTEMAS 26/8/22</t>
  </si>
  <si>
    <t>NACIONAL DE PILAS PANASONIC</t>
  </si>
  <si>
    <t>TUSPILAS.CO</t>
  </si>
  <si>
    <t>FEV54715</t>
  </si>
  <si>
    <t>ME520808</t>
  </si>
  <si>
    <t>GRUPO ZAMBRANO</t>
  </si>
  <si>
    <t>logistic@grupozambrano.com;info@servipilas.com;girlesa.ruiz@servipilas.com;joriescobar64@gmail.com</t>
  </si>
  <si>
    <t>devolución</t>
  </si>
  <si>
    <t>1475 - 293703</t>
  </si>
  <si>
    <t xml:space="preserve">ME510858 NC </t>
  </si>
  <si>
    <t>ANTICIPO - 293703</t>
  </si>
  <si>
    <t>FETU 4267</t>
  </si>
  <si>
    <t>FETU4260 NC PEND</t>
  </si>
  <si>
    <t>FESJ182606</t>
  </si>
  <si>
    <t>ce</t>
  </si>
  <si>
    <t>mdedcnvi@bateriasduncan.com.co;girlesa.ruiz@servipilas.com;joriescobar64@gmail.com</t>
  </si>
  <si>
    <t>PSICOLOGA BEATRIZ FLOREZ X@</t>
  </si>
  <si>
    <t>004 286 48 021 Bancolombia ahorros</t>
  </si>
  <si>
    <t>horas seguridad y salud</t>
  </si>
  <si>
    <t>SM2359</t>
  </si>
  <si>
    <t> Giro financiado resi</t>
  </si>
  <si>
    <t>VIGENTE</t>
  </si>
  <si>
    <t>TOTAL</t>
  </si>
  <si>
    <t>CREDITO No.</t>
  </si>
  <si>
    <t>KENEX 55546 dic 21</t>
  </si>
  <si>
    <t>FV11848</t>
  </si>
  <si>
    <t>FV11567</t>
  </si>
  <si>
    <t>A2540</t>
  </si>
  <si>
    <t>A2526</t>
  </si>
  <si>
    <t>NCE 10771</t>
  </si>
  <si>
    <t>FE-438 - 293703</t>
  </si>
  <si>
    <t>FE-439 - 293703</t>
  </si>
  <si>
    <t>1473 - A2540</t>
  </si>
  <si>
    <t>1474 - STAR TIME 663839</t>
  </si>
  <si>
    <t>10242688219  Bancolombia ahorros</t>
  </si>
  <si>
    <t>E-8715</t>
  </si>
  <si>
    <t>FEV56126</t>
  </si>
  <si>
    <t>SE-699</t>
  </si>
  <si>
    <t>FV-1958954</t>
  </si>
  <si>
    <t>FEV56151</t>
  </si>
  <si>
    <t>FEV56198</t>
  </si>
  <si>
    <t>FE-267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</si>
  <si>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</si>
  <si>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</si>
  <si>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</si>
  <si>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</si>
  <si>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</si>
  <si>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</si>
  <si>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</si>
  <si>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lsierra@santajuana.com.co;girlesa.ruiz@servipilas.com;joriescobar64@gmail.com</t>
  </si>
  <si>
    <t>O1003 Cuota extra</t>
  </si>
  <si>
    <t>O1003 admon</t>
  </si>
  <si>
    <t>L2293 Admon</t>
  </si>
  <si>
    <t>L2293 Cuota extra</t>
  </si>
  <si>
    <t>AR 44446</t>
  </si>
  <si>
    <t>PM-4376</t>
  </si>
  <si>
    <t>A-2528</t>
  </si>
  <si>
    <t>A-2556</t>
  </si>
  <si>
    <t>A-2548</t>
  </si>
  <si>
    <t>FE22844</t>
  </si>
  <si>
    <t>A-2561</t>
  </si>
  <si>
    <t>A-2559</t>
  </si>
  <si>
    <t>A-2547</t>
  </si>
  <si>
    <t>A-2562</t>
  </si>
  <si>
    <t>A-2560</t>
  </si>
  <si>
    <t>A-2557</t>
  </si>
  <si>
    <t>ABAJO PULSOS</t>
  </si>
  <si>
    <t>A-2542</t>
  </si>
  <si>
    <t>Abajo Yolanda</t>
  </si>
  <si>
    <t>A-2539</t>
  </si>
  <si>
    <t>NC -126007 - FAC 1056755</t>
  </si>
  <si>
    <t>FEF4850</t>
  </si>
  <si>
    <t>FEF4849</t>
  </si>
  <si>
    <t>FE 1557</t>
  </si>
  <si>
    <t>FEI100074582</t>
  </si>
  <si>
    <t>FEF4867</t>
  </si>
  <si>
    <t>FEF4868</t>
  </si>
  <si>
    <t>4330 dólar</t>
  </si>
  <si>
    <t>AJUSTE FIN DE MES dólar 4330</t>
  </si>
  <si>
    <t>A 2541</t>
  </si>
  <si>
    <t>67300016442 CTA CTE Bancolombia</t>
  </si>
  <si>
    <t>24098035016 CTA Ahorros BCS</t>
  </si>
  <si>
    <t>00591647411 CTA CTE Bancolombia</t>
  </si>
  <si>
    <t>027010875 CTA CTE Banco Occidente</t>
  </si>
  <si>
    <t>A2572</t>
  </si>
  <si>
    <t>ABAJO NIA</t>
  </si>
  <si>
    <t>A 2571</t>
  </si>
  <si>
    <t>A 2568</t>
  </si>
  <si>
    <t>CED 1418</t>
  </si>
  <si>
    <t>A 2574</t>
  </si>
  <si>
    <t>A 2565</t>
  </si>
  <si>
    <t xml:space="preserve"> A 2566</t>
  </si>
  <si>
    <t>Abajo aleko</t>
  </si>
  <si>
    <t xml:space="preserve"> A 2567</t>
  </si>
  <si>
    <t>Abajo MEGAMUNDO</t>
  </si>
  <si>
    <t>ABAJO MEGAMUNDO</t>
  </si>
  <si>
    <t>A 2570</t>
  </si>
  <si>
    <t>Abajo MUÑECOS J.M.J</t>
  </si>
  <si>
    <t>ABAJO MUÑECOS J.M.J</t>
  </si>
  <si>
    <t>3357 A 2573</t>
  </si>
  <si>
    <t>NC37334- ME519580</t>
  </si>
  <si>
    <t>ME519580 ojo sf 1768102</t>
  </si>
  <si>
    <t>ME518920</t>
  </si>
  <si>
    <t>ME521476</t>
  </si>
  <si>
    <t>FORWARD 14000usd</t>
  </si>
  <si>
    <t>10312,31</t>
  </si>
  <si>
    <t>BANCOLOMBIA USD$ 2555300332</t>
  </si>
  <si>
    <t>KENEX 57126 JUL 22</t>
  </si>
  <si>
    <t>abajo CONTADO</t>
  </si>
  <si>
    <t>MOLINOS</t>
  </si>
  <si>
    <t>SANDIEGO</t>
  </si>
  <si>
    <t>MAYORCA</t>
  </si>
  <si>
    <t>LA CENTRAL</t>
  </si>
  <si>
    <t>PUERTA DEL NORTE</t>
  </si>
  <si>
    <t>INT02245</t>
  </si>
  <si>
    <t>FV12424</t>
  </si>
  <si>
    <t>FV12683</t>
  </si>
  <si>
    <t>INT02078</t>
  </si>
  <si>
    <t>FVX14542</t>
  </si>
  <si>
    <t>FVX14541</t>
  </si>
  <si>
    <t>ID-476</t>
  </si>
  <si>
    <t>HFE1-1059870</t>
  </si>
  <si>
    <t>SG1542</t>
  </si>
  <si>
    <t>SG1543</t>
  </si>
  <si>
    <t>SG1544</t>
  </si>
  <si>
    <t>SG1545</t>
  </si>
  <si>
    <t>SG1550</t>
  </si>
  <si>
    <t>ABAJO CASILLERO</t>
  </si>
  <si>
    <t>A-2579</t>
  </si>
  <si>
    <t>03MS5153</t>
  </si>
  <si>
    <t>ABAJO GUSTAVO PULSOS</t>
  </si>
  <si>
    <t>A-2583</t>
  </si>
  <si>
    <t>FECHA</t>
  </si>
  <si>
    <t>INTERESES</t>
  </si>
  <si>
    <t xml:space="preserve">PAGO </t>
  </si>
  <si>
    <t>VYP  P.A MERCURIO X@</t>
  </si>
  <si>
    <t>arrendamientos@vyp.com.co;girlesa.ruiz@servipilas.com;joriescobar64@gmail.com</t>
  </si>
  <si>
    <t>61100002255 Bancolombia corriente</t>
  </si>
  <si>
    <t>FEID26554</t>
  </si>
  <si>
    <t>BANCOLOMBIA CTA CTE # 60959261381</t>
  </si>
  <si>
    <t>1503A</t>
  </si>
  <si>
    <t>SP-6356</t>
  </si>
  <si>
    <t>FESJ183975</t>
  </si>
  <si>
    <t>S 19263 LO</t>
  </si>
  <si>
    <t>S 19295 OF</t>
  </si>
  <si>
    <t>AD 69248</t>
  </si>
  <si>
    <t>S 18983 Admon</t>
  </si>
  <si>
    <t>S 18941</t>
  </si>
  <si>
    <t>ZC 23775 FIBRA OPTICA</t>
  </si>
  <si>
    <t>FE 304411</t>
  </si>
  <si>
    <t>HFE1-1060463</t>
  </si>
  <si>
    <t>FV-1971530</t>
  </si>
  <si>
    <t>FETU4613</t>
  </si>
  <si>
    <t>01FE10466</t>
  </si>
  <si>
    <t>A-2602</t>
  </si>
  <si>
    <t>A-2601</t>
  </si>
  <si>
    <t>A-2603</t>
  </si>
  <si>
    <t>A-2593</t>
  </si>
  <si>
    <t>A-2600</t>
  </si>
  <si>
    <t>A-2563</t>
  </si>
  <si>
    <t>A-2599</t>
  </si>
  <si>
    <t>13E259235</t>
  </si>
  <si>
    <t>HFE1-1060863</t>
  </si>
  <si>
    <t>Abajo UNIFORMES</t>
  </si>
  <si>
    <t>abajo UNIFORMES</t>
  </si>
  <si>
    <t>XXX ABONO X 925500</t>
  </si>
  <si>
    <t>FI229400</t>
  </si>
  <si>
    <t>SE - 732</t>
  </si>
  <si>
    <t>FEV58063</t>
  </si>
  <si>
    <t>01FE10569</t>
  </si>
  <si>
    <t>HFE1-1061039</t>
  </si>
  <si>
    <t>FE24195</t>
  </si>
  <si>
    <t>FEI100077550</t>
  </si>
  <si>
    <t>A-2611</t>
  </si>
  <si>
    <t>A-2612</t>
  </si>
  <si>
    <t xml:space="preserve">AMERICAN INSAP INGENIERIA Y SERVICIOS </t>
  </si>
  <si>
    <t>FE-2692</t>
  </si>
  <si>
    <t>FE-2719</t>
  </si>
  <si>
    <t>AMERICAN INSAP INGENIERIA</t>
  </si>
  <si>
    <t>MDEC 12243</t>
  </si>
  <si>
    <t>IFE41948</t>
  </si>
  <si>
    <t>1762 A-2619</t>
  </si>
  <si>
    <t>03MS5833</t>
  </si>
  <si>
    <t>TP8670</t>
  </si>
  <si>
    <t>03MS5855</t>
  </si>
  <si>
    <t>A-2624</t>
  </si>
  <si>
    <t>A-2623</t>
  </si>
  <si>
    <t>efectivos+ megared</t>
  </si>
  <si>
    <t>VTA INSTUCIONALES</t>
  </si>
  <si>
    <t>4900 DÓLAR</t>
  </si>
  <si>
    <t>AJUSTE FIN DEMES</t>
  </si>
  <si>
    <t>FV13261 ADMON</t>
  </si>
  <si>
    <t>FV13501 ARRIEN</t>
  </si>
  <si>
    <t>BM 152 ARRIEN</t>
  </si>
  <si>
    <t>ID-502</t>
  </si>
  <si>
    <t>FN-79486</t>
  </si>
  <si>
    <t>NCE-180 ANTICIPO</t>
  </si>
  <si>
    <t>FE-8260</t>
  </si>
  <si>
    <t>FN-79479</t>
  </si>
  <si>
    <t>A-2621</t>
  </si>
  <si>
    <t>TP8674</t>
  </si>
  <si>
    <t>A-2620</t>
  </si>
  <si>
    <t>A-2633</t>
  </si>
  <si>
    <t>04764 A-2634</t>
  </si>
  <si>
    <t>FN-79476</t>
  </si>
  <si>
    <t xml:space="preserve">FE-478 2059829 </t>
  </si>
  <si>
    <t>15 CORRES 10 ARREDON</t>
  </si>
  <si>
    <t>inversiones arcila</t>
  </si>
  <si>
    <t>FE-285</t>
  </si>
  <si>
    <t>FESJ185324</t>
  </si>
  <si>
    <t>19648 ADMON</t>
  </si>
  <si>
    <t>19606 ADMON</t>
  </si>
  <si>
    <t>19927 EXTRA</t>
  </si>
  <si>
    <t>19959 EXTRA</t>
  </si>
  <si>
    <t>AD 69638</t>
  </si>
  <si>
    <t>SALDO A FAVOR</t>
  </si>
  <si>
    <t>AD 11791</t>
  </si>
  <si>
    <t>SP-6626</t>
  </si>
  <si>
    <t>IFE42554</t>
  </si>
  <si>
    <t>NC 2- 170 FAC 8322</t>
  </si>
  <si>
    <t>ABAJO BRIDGE</t>
  </si>
  <si>
    <t xml:space="preserve">3742 - 2656 </t>
  </si>
  <si>
    <t>A-2637</t>
  </si>
  <si>
    <t>A-2638</t>
  </si>
  <si>
    <t>PE-8322</t>
  </si>
  <si>
    <t>TP8698</t>
  </si>
  <si>
    <t>TP8714</t>
  </si>
  <si>
    <t>13E261398</t>
  </si>
  <si>
    <t>COEXITO x@</t>
  </si>
  <si>
    <t>FEF4970</t>
  </si>
  <si>
    <t>MDIS5.041.722</t>
  </si>
  <si>
    <t>MDIS5.041.735</t>
  </si>
  <si>
    <t>MDIS5.041.736</t>
  </si>
  <si>
    <t>13E261347</t>
  </si>
  <si>
    <t>FVX15613</t>
  </si>
  <si>
    <t>FVX15615</t>
  </si>
  <si>
    <t>ID-507</t>
  </si>
  <si>
    <t>PE-8384</t>
  </si>
  <si>
    <t>FENL 38099</t>
  </si>
  <si>
    <t>FE-8370</t>
  </si>
  <si>
    <t>SE-749</t>
  </si>
  <si>
    <t>NC-4572</t>
  </si>
  <si>
    <t>ME525956</t>
  </si>
  <si>
    <t>03MS5947</t>
  </si>
  <si>
    <t>03MS5963</t>
  </si>
  <si>
    <t>FE79</t>
  </si>
  <si>
    <t>FE80</t>
  </si>
  <si>
    <t>13E262952</t>
  </si>
  <si>
    <t>13E263248</t>
  </si>
  <si>
    <t>FE5499</t>
  </si>
  <si>
    <t>FN-79953</t>
  </si>
  <si>
    <t>ME527048</t>
  </si>
  <si>
    <t>FE-490</t>
  </si>
  <si>
    <t>dolar4900</t>
  </si>
  <si>
    <t>LC</t>
  </si>
  <si>
    <t>MY</t>
  </si>
  <si>
    <t>SD</t>
  </si>
  <si>
    <t>PN</t>
  </si>
  <si>
    <t>ML</t>
  </si>
  <si>
    <t>01/11/2022</t>
  </si>
  <si>
    <t>01/10/2022</t>
  </si>
  <si>
    <t>20269 ADMON</t>
  </si>
  <si>
    <t>20311 ADMON</t>
  </si>
  <si>
    <t>20625 EXTRA</t>
  </si>
  <si>
    <t>20593 EXTRA</t>
  </si>
  <si>
    <t>SP-6885</t>
  </si>
  <si>
    <t>AD 11995</t>
  </si>
  <si>
    <t>FV14096 ADMON</t>
  </si>
  <si>
    <t>14334 ARRI</t>
  </si>
  <si>
    <t>FE-293</t>
  </si>
  <si>
    <t>IMPORTACIONES EL NORTEÑO</t>
  </si>
  <si>
    <t>1104 NC</t>
  </si>
  <si>
    <t>FE83</t>
  </si>
  <si>
    <t>ANTICIPO FE-507</t>
  </si>
  <si>
    <t>FE-507</t>
  </si>
  <si>
    <t>FE-508</t>
  </si>
  <si>
    <t xml:space="preserve">ANTICIPO FE-478 2059829 </t>
  </si>
  <si>
    <t>ANTICIPO FE-508</t>
  </si>
  <si>
    <t>ANTICIPO FE-490</t>
  </si>
  <si>
    <t>TP8808</t>
  </si>
  <si>
    <t>13E265518</t>
  </si>
  <si>
    <t>13E265517</t>
  </si>
  <si>
    <t>13E265202</t>
  </si>
  <si>
    <t>DIEGO GIRALDO YEPES MUÑECOS</t>
  </si>
  <si>
    <t>ME528236</t>
  </si>
  <si>
    <t>ID-534</t>
  </si>
  <si>
    <t>FE-8566</t>
  </si>
  <si>
    <t>FE2448</t>
  </si>
  <si>
    <t>PE-8515</t>
  </si>
  <si>
    <t>TEMPEL COLOMBIA LTDA</t>
  </si>
  <si>
    <t>FE25513</t>
  </si>
  <si>
    <t>ABAJO KAIROS</t>
  </si>
  <si>
    <t>ABAJO ADRIANA ARISTIZABAL</t>
  </si>
  <si>
    <t>1063858 OJO TIENE DESCUENTO</t>
  </si>
  <si>
    <t>URIEL GOMEZ</t>
  </si>
  <si>
    <t>950 WALTER</t>
  </si>
  <si>
    <t>stabarbaradistronik@gmail.com</t>
  </si>
  <si>
    <t>KENEX 56405  abr 22</t>
  </si>
  <si>
    <t>A-2675</t>
  </si>
  <si>
    <t>A-2711</t>
  </si>
  <si>
    <t>A-2690</t>
  </si>
  <si>
    <t>A-2686</t>
  </si>
  <si>
    <t>A-2676</t>
  </si>
  <si>
    <t>A-2691</t>
  </si>
  <si>
    <t>ABAJO PYG</t>
  </si>
  <si>
    <t>A-2721</t>
  </si>
  <si>
    <t>A-2728</t>
  </si>
  <si>
    <t>SF</t>
  </si>
  <si>
    <t>jorge entrego 500 mil</t>
  </si>
  <si>
    <t>DÓLAR 4850</t>
  </si>
  <si>
    <t>CENTRAL</t>
  </si>
  <si>
    <t>PNORTE</t>
  </si>
  <si>
    <t>INSTITUCIONALES</t>
  </si>
  <si>
    <t>S. A FAVOR</t>
  </si>
  <si>
    <t>AD 12199</t>
  </si>
  <si>
    <t>BANCOLOMBIA USD$ 2555318542</t>
  </si>
  <si>
    <t>kenex57910 oct22 $3363.35 recursos propios</t>
  </si>
  <si>
    <t>ajuste</t>
  </si>
  <si>
    <t>AD70418</t>
  </si>
  <si>
    <t>20977 1003</t>
  </si>
  <si>
    <t>21289 1003</t>
  </si>
  <si>
    <t>20935 2293</t>
  </si>
  <si>
    <t>21257 2293</t>
  </si>
  <si>
    <t>FE308</t>
  </si>
  <si>
    <t>SP7157</t>
  </si>
  <si>
    <t>LQ-13286720</t>
  </si>
  <si>
    <t>FV14972</t>
  </si>
  <si>
    <t>FESJ188074</t>
  </si>
  <si>
    <t>BM 420</t>
  </si>
  <si>
    <t>ANTICIPO FE532</t>
  </si>
  <si>
    <t>DANIEL CHINA</t>
  </si>
  <si>
    <t>A-2779</t>
  </si>
  <si>
    <t>A-2763</t>
  </si>
  <si>
    <t>A-2773</t>
  </si>
  <si>
    <t>ABAJO CONTADO</t>
  </si>
  <si>
    <t>A-2770</t>
  </si>
  <si>
    <t>ABAJO UNIVERSAL TIME</t>
  </si>
  <si>
    <t>A-2467</t>
  </si>
  <si>
    <t>A-2772</t>
  </si>
  <si>
    <t>A-2781 ANDRES GARZON</t>
  </si>
  <si>
    <t>A-2771 ANDRES GARZON</t>
  </si>
  <si>
    <t>3909 A-2780</t>
  </si>
  <si>
    <t>A-2758</t>
  </si>
  <si>
    <t>13E269251 INSTITU</t>
  </si>
  <si>
    <t>CED 1658 ALMA</t>
  </si>
  <si>
    <t>1064478 INST Y ALMA</t>
  </si>
  <si>
    <t>1064335 ALMA</t>
  </si>
  <si>
    <t>1064417 INSTITU</t>
  </si>
  <si>
    <t>FE-8901 ALMA</t>
  </si>
  <si>
    <t>SE-800 ALMA</t>
  </si>
  <si>
    <t>FN-80793 ALMA</t>
  </si>
  <si>
    <t>03MS6364 ALMA</t>
  </si>
  <si>
    <t>FE108 ALMA</t>
  </si>
  <si>
    <t>SE-805 ALMA</t>
  </si>
  <si>
    <t>5200 ALMA</t>
  </si>
  <si>
    <t>2080 INSTITU</t>
  </si>
  <si>
    <t>NIDIA LUZ DUQUE DUQUE</t>
  </si>
  <si>
    <t>1463 ALMA</t>
  </si>
  <si>
    <t>DÓLAR 4680</t>
  </si>
  <si>
    <t>RE0163</t>
  </si>
  <si>
    <t>SERVI REFRIAIRE  X@</t>
  </si>
  <si>
    <t>FE1834</t>
  </si>
  <si>
    <t>NC172764</t>
  </si>
  <si>
    <t>62966 INSTITU</t>
  </si>
  <si>
    <t>03MS6416 ALMA</t>
  </si>
  <si>
    <t>03MS6433 ALMA</t>
  </si>
  <si>
    <t>PE8774 ALMA</t>
  </si>
  <si>
    <t>8739 ALMA</t>
  </si>
  <si>
    <t>Abajo BRIGHTSIDE</t>
  </si>
  <si>
    <t>Abajo brightside</t>
  </si>
  <si>
    <t>FE9031</t>
  </si>
  <si>
    <t>comercial web x@</t>
  </si>
  <si>
    <t>2007318 JAIME ARCILA</t>
  </si>
  <si>
    <t>2008811 MARICELA</t>
  </si>
  <si>
    <t>TP8929 ALMA</t>
  </si>
  <si>
    <t>IFE44170 ALMA/INSTI</t>
  </si>
  <si>
    <t>3758 ALMA</t>
  </si>
  <si>
    <t>742 ALMA</t>
  </si>
  <si>
    <t>748 ALMA</t>
  </si>
  <si>
    <t>11482 ALMA</t>
  </si>
  <si>
    <t>ME530902 ALMA</t>
  </si>
  <si>
    <t>AD14402</t>
  </si>
  <si>
    <t>AD70801</t>
  </si>
  <si>
    <t>S-21600 ADMON</t>
  </si>
  <si>
    <t>S-21642 ADMON</t>
  </si>
  <si>
    <t>S-21919 EXTRA</t>
  </si>
  <si>
    <t>S-21951 EXTRA</t>
  </si>
  <si>
    <t>15818 ADMON</t>
  </si>
  <si>
    <t>03463 INTERES</t>
  </si>
  <si>
    <t>03577 INTERES</t>
  </si>
  <si>
    <t>03464 INTERES</t>
  </si>
  <si>
    <t>MDI5041829 INSTI</t>
  </si>
  <si>
    <t>MDI5041828 INST</t>
  </si>
  <si>
    <t>DISTRIBUIDORA VAMOS</t>
  </si>
  <si>
    <t>distribuidoravamossas@gmail.com;girlesa.ruiz@servipilas.com;joriescobar64@gmail.com</t>
  </si>
  <si>
    <t>FE5245</t>
  </si>
  <si>
    <t>FE316</t>
  </si>
  <si>
    <t>SP7421</t>
  </si>
  <si>
    <t>2005328 TABLET AME</t>
  </si>
  <si>
    <t>FEF5090 ALMA</t>
  </si>
  <si>
    <t>FEF5097 ALMA</t>
  </si>
  <si>
    <t>TP8969 ALMA</t>
  </si>
  <si>
    <t xml:space="preserve">A-2814 </t>
  </si>
  <si>
    <t>A-2804</t>
  </si>
  <si>
    <t>A-2821</t>
  </si>
  <si>
    <t>A-2795</t>
  </si>
  <si>
    <t>A-2784</t>
  </si>
  <si>
    <t>A-2793</t>
  </si>
  <si>
    <t>A-2813</t>
  </si>
  <si>
    <t>ABONO</t>
  </si>
  <si>
    <t>253842 ALMA Y INSTI</t>
  </si>
  <si>
    <t>2017671 LA CLARA</t>
  </si>
  <si>
    <t>A-2825</t>
  </si>
  <si>
    <t>S05981</t>
  </si>
  <si>
    <t>KENEX 58088</t>
  </si>
  <si>
    <t>jessica.barrios@carpainternacional.com;girlesa.ruiz@servipilas.com;joriescobar64@gmail.com</t>
  </si>
  <si>
    <t>4880 DÓLAR</t>
  </si>
  <si>
    <t>AJUSTE TERMINO CREDITO</t>
  </si>
  <si>
    <t>BANCOLOMBIA USD$ 2555324112</t>
  </si>
  <si>
    <t>KENEX58088</t>
  </si>
  <si>
    <t>BANCOLOMBIA CESANTIAS 0568</t>
  </si>
  <si>
    <t>TC2664</t>
  </si>
  <si>
    <t>DAVIVIENDA ************5101</t>
  </si>
  <si>
    <t>FV16064</t>
  </si>
  <si>
    <t>PM-5979</t>
  </si>
  <si>
    <t>BM 555</t>
  </si>
  <si>
    <t>CED1725 ALMA</t>
  </si>
  <si>
    <t>FETU5427 ALMA</t>
  </si>
  <si>
    <t>03MS6709 ALMA</t>
  </si>
  <si>
    <t>03MS6656 ALMA</t>
  </si>
  <si>
    <t>FE-9462 ALMA</t>
  </si>
  <si>
    <t>FENL42050 INSTI</t>
  </si>
  <si>
    <t>MDIS5041862 INSTI</t>
  </si>
  <si>
    <t>CED1714 ALMA</t>
  </si>
  <si>
    <t>ID-588 ALMA</t>
  </si>
  <si>
    <t>1067089 INSTI</t>
  </si>
  <si>
    <t>1067039 ALMA</t>
  </si>
  <si>
    <t>1066883 ALMA</t>
  </si>
  <si>
    <t>A-2380</t>
  </si>
  <si>
    <t>A-2829</t>
  </si>
  <si>
    <t>A-2838</t>
  </si>
  <si>
    <t>XXX</t>
  </si>
  <si>
    <t>PE9046 ALMA/INSTITU</t>
  </si>
  <si>
    <t>01/01/2022</t>
  </si>
  <si>
    <t>01/02/2022</t>
  </si>
  <si>
    <t>01/03/2022</t>
  </si>
  <si>
    <t>01/04/2022</t>
  </si>
  <si>
    <t>01/05/2022</t>
  </si>
  <si>
    <t>01/06/2022</t>
  </si>
  <si>
    <t>01/07/2022</t>
  </si>
  <si>
    <t>01/08/2022</t>
  </si>
  <si>
    <t>01/09/2022</t>
  </si>
  <si>
    <t>01/12/2022</t>
  </si>
  <si>
    <t>28/02/2023</t>
  </si>
  <si>
    <t>31/01/2023</t>
  </si>
  <si>
    <t>PM-6303</t>
  </si>
  <si>
    <t>SP7688</t>
  </si>
  <si>
    <t>S-22588 CE</t>
  </si>
  <si>
    <t>S-22270 ADMON</t>
  </si>
  <si>
    <t>S-22620 CE</t>
  </si>
  <si>
    <t>S-22312 ADMON</t>
  </si>
  <si>
    <t>3820 INTE</t>
  </si>
  <si>
    <t>3821 INTE</t>
  </si>
  <si>
    <t>3696 INTE</t>
  </si>
  <si>
    <t>FV17010 ADMON</t>
  </si>
  <si>
    <t>FE324</t>
  </si>
  <si>
    <t>FETU5495</t>
  </si>
  <si>
    <t>AD12606</t>
  </si>
  <si>
    <t>fv16694 ARRI</t>
  </si>
  <si>
    <t>BM682 ARRI</t>
  </si>
  <si>
    <t>191639 ARRI</t>
  </si>
  <si>
    <t>192754 INTE</t>
  </si>
  <si>
    <t>12481 NC</t>
  </si>
  <si>
    <t>factura</t>
  </si>
  <si>
    <t>2079 INSTITU</t>
  </si>
  <si>
    <t>NC127696</t>
  </si>
  <si>
    <t>ANTICIPO 559-560</t>
  </si>
  <si>
    <t>03MS6817 ALMA</t>
  </si>
  <si>
    <t>29838 ALMA</t>
  </si>
  <si>
    <t>PE9073</t>
  </si>
  <si>
    <t>FB1702</t>
  </si>
  <si>
    <t>A-2851</t>
  </si>
  <si>
    <t>A-2824</t>
  </si>
  <si>
    <t>A-2845</t>
  </si>
  <si>
    <t>A-2850</t>
  </si>
  <si>
    <t>A-2852</t>
  </si>
  <si>
    <t>A-2828</t>
  </si>
  <si>
    <t>Abajo PULSOS</t>
  </si>
  <si>
    <t>A-2831</t>
  </si>
  <si>
    <t>ME533976</t>
  </si>
  <si>
    <t>ME534154</t>
  </si>
  <si>
    <t>PE9135</t>
  </si>
  <si>
    <t>FE5413</t>
  </si>
  <si>
    <t>13E275207</t>
  </si>
  <si>
    <t>NC100013385</t>
  </si>
  <si>
    <t xml:space="preserve">Abajo CARLOS MUÑOZ </t>
  </si>
  <si>
    <t>AJUSTE MAR15-23</t>
  </si>
  <si>
    <t>S-22984 OFI</t>
  </si>
  <si>
    <t>S-22942 LOC</t>
  </si>
  <si>
    <t>BM804</t>
  </si>
  <si>
    <t>FESJ193117</t>
  </si>
  <si>
    <t>FV17608 ARRI</t>
  </si>
  <si>
    <t>FV17862 ADMON</t>
  </si>
  <si>
    <t>INT04102 INTE</t>
  </si>
  <si>
    <t>INT04103 INTE</t>
  </si>
  <si>
    <t>INT04104 INTE</t>
  </si>
  <si>
    <t>SALDO PENDIE</t>
  </si>
  <si>
    <t>FE567</t>
  </si>
  <si>
    <t>FE 568</t>
  </si>
  <si>
    <t>ANTICIPO FE567-FE568</t>
  </si>
  <si>
    <t>dólar mar4700 promedio</t>
  </si>
  <si>
    <t>marzo</t>
  </si>
  <si>
    <t>INTERES INCLUYE PREDIAL</t>
  </si>
  <si>
    <t>31/03/2023</t>
  </si>
  <si>
    <t>jorge entrego 375 mil</t>
  </si>
  <si>
    <t>AD12815</t>
  </si>
  <si>
    <t>ANTICIPO FE564-565</t>
  </si>
  <si>
    <t>FE564</t>
  </si>
  <si>
    <t>FE565</t>
  </si>
  <si>
    <t>SP 7976</t>
  </si>
  <si>
    <t>FE 332</t>
  </si>
  <si>
    <t>AD 71570</t>
  </si>
  <si>
    <t xml:space="preserve">AD71187 </t>
  </si>
  <si>
    <t>TP9040 ALMA</t>
  </si>
  <si>
    <t>8217 ALMA</t>
  </si>
  <si>
    <t>TP8915 ALMA</t>
  </si>
  <si>
    <t>E 11393 instu</t>
  </si>
  <si>
    <t>FE-9627 ALMA</t>
  </si>
  <si>
    <t>FE28221 ALMA</t>
  </si>
  <si>
    <t>TP9056 ALMA</t>
  </si>
  <si>
    <r>
      <rPr>
        <b/>
        <sz val="12"/>
        <color rgb="FFFF0000"/>
        <rFont val="Calibri"/>
        <family val="2"/>
        <scheme val="minor"/>
      </rPr>
      <t>SF</t>
    </r>
    <r>
      <rPr>
        <b/>
        <sz val="12"/>
        <rFont val="Calibri"/>
        <family val="2"/>
        <scheme val="minor"/>
      </rPr>
      <t xml:space="preserve"> 13E274604 INST</t>
    </r>
  </si>
  <si>
    <t>13E274604 INST</t>
  </si>
  <si>
    <t>17155 ALMA</t>
  </si>
  <si>
    <t>13E275026 INST</t>
  </si>
  <si>
    <t>FEV65761 INSTI</t>
  </si>
  <si>
    <t>FEV65865 INSTI</t>
  </si>
  <si>
    <t>17401 ALMA</t>
  </si>
  <si>
    <t>FEF5166 ALMA</t>
  </si>
  <si>
    <t>17400 ALMA</t>
  </si>
  <si>
    <t>RUSBEL GIRALDO SERNA</t>
  </si>
  <si>
    <t>qyqomaira0321@hotmail.com;girlesa.ruiz@servipilas.com;joriescobar64@gmail.com</t>
  </si>
  <si>
    <t>E-505 ALMA</t>
  </si>
  <si>
    <t>ME534661 INSTITU</t>
  </si>
  <si>
    <t>03MS6956 ALMA</t>
  </si>
  <si>
    <t>03MS6878 ALMA</t>
  </si>
  <si>
    <t>412 A-2864</t>
  </si>
  <si>
    <t>10538 A-2865</t>
  </si>
  <si>
    <t>373 A-2878</t>
  </si>
  <si>
    <t>A-2867</t>
  </si>
  <si>
    <t>A-2854</t>
  </si>
  <si>
    <t>A-2866</t>
  </si>
  <si>
    <t>A-2871</t>
  </si>
  <si>
    <t>A-2868 multirelojes</t>
  </si>
  <si>
    <t>PM-6655</t>
  </si>
  <si>
    <t>15454 ADMON</t>
  </si>
  <si>
    <t>Abajo RUSBEL GIRALDO SERNA</t>
  </si>
  <si>
    <t>A-2885</t>
  </si>
  <si>
    <t>A-2870</t>
  </si>
  <si>
    <t>Abajo TECNOPILAS</t>
  </si>
  <si>
    <t>A-2883</t>
  </si>
  <si>
    <t>A-2884</t>
  </si>
  <si>
    <t>A-2881</t>
  </si>
  <si>
    <t>FE1061 ALMA</t>
  </si>
  <si>
    <t>TP9178 ALMA</t>
  </si>
  <si>
    <t>FE2657 ALMA</t>
  </si>
  <si>
    <t>TP9177 ALMA</t>
  </si>
  <si>
    <t>TP9126 ALMA</t>
  </si>
  <si>
    <t>13E277298 INSTITU</t>
  </si>
  <si>
    <t>1068856 INSTITU</t>
  </si>
  <si>
    <t>43209 INSTITU</t>
  </si>
  <si>
    <t>2035898 ALMA</t>
  </si>
  <si>
    <t>30170 ALMA</t>
  </si>
  <si>
    <t>30060 INSTITU</t>
  </si>
  <si>
    <t>30091 ALMA</t>
  </si>
  <si>
    <t>30106 INSTU</t>
  </si>
  <si>
    <t>82408 ALMA</t>
  </si>
  <si>
    <t>ME534716 ALMA</t>
  </si>
  <si>
    <t>ME535465 ALMA/INSTITU</t>
  </si>
  <si>
    <t>5662 ALMA</t>
  </si>
  <si>
    <t>GBYJ22 ALMA</t>
  </si>
  <si>
    <t>1069205 INSTITU</t>
  </si>
  <si>
    <t>1069198 INSTITU</t>
  </si>
  <si>
    <t>30201 ALMA</t>
  </si>
  <si>
    <t>13E277646</t>
  </si>
  <si>
    <t>FEF5196 ALMA</t>
  </si>
  <si>
    <t>1069199 INSTITU</t>
  </si>
  <si>
    <t>03MS7062 ALMA</t>
  </si>
  <si>
    <t>67050 INSTITU</t>
  </si>
  <si>
    <t>FEIN56 ALMA</t>
  </si>
  <si>
    <t>KINNESIS SOLUTIONS</t>
  </si>
  <si>
    <t>FEK1614 ALMA</t>
  </si>
  <si>
    <t xml:space="preserve">13E275206 </t>
  </si>
  <si>
    <t>dólar Abril 4700 promedio</t>
  </si>
  <si>
    <t>FV18718 ADMON</t>
  </si>
  <si>
    <t>FV18465 ARRI</t>
  </si>
  <si>
    <t>BM 924 ARRI</t>
  </si>
  <si>
    <t xml:space="preserve">AD71954 </t>
  </si>
  <si>
    <t>S-23327 LOC</t>
  </si>
  <si>
    <t>S-23369 OFI</t>
  </si>
  <si>
    <t>AD13022</t>
  </si>
  <si>
    <t>SP 8244</t>
  </si>
  <si>
    <t>FESJ194447</t>
  </si>
  <si>
    <t>FESJ194705</t>
  </si>
  <si>
    <t>30/04/2023</t>
  </si>
  <si>
    <t>FE343</t>
  </si>
  <si>
    <t>ANTICIPO595-596</t>
  </si>
  <si>
    <t>FE595</t>
  </si>
  <si>
    <t>FE596</t>
  </si>
  <si>
    <t>03MS7149 ALMA</t>
  </si>
  <si>
    <t>2. eliminar filas con fecha de facturación posteriores al cierre de mes estudiada</t>
  </si>
  <si>
    <t>A-2898</t>
  </si>
  <si>
    <t>A-2916</t>
  </si>
  <si>
    <t>A-2912</t>
  </si>
  <si>
    <t>A-2913</t>
  </si>
  <si>
    <t>FEID36697</t>
  </si>
  <si>
    <t>FE29304 ALMA</t>
  </si>
  <si>
    <t>1069729 INSTITU</t>
  </si>
  <si>
    <t>1069983  INSTITU</t>
  </si>
  <si>
    <t>1069984 INSTITU</t>
  </si>
  <si>
    <t>44048 INSTITU</t>
  </si>
  <si>
    <t>ANTICIPO597-598</t>
  </si>
  <si>
    <t>FE597</t>
  </si>
  <si>
    <t>FE598</t>
  </si>
  <si>
    <t>FE597-FE598 SF</t>
  </si>
  <si>
    <t>CED1787 ALMA</t>
  </si>
  <si>
    <t>FE49 ALMA</t>
  </si>
  <si>
    <t>FETU5774 ALMA</t>
  </si>
  <si>
    <t>8013 ALMA</t>
  </si>
  <si>
    <t>FE10010 ALMA</t>
  </si>
  <si>
    <t>NC10010 ALMA</t>
  </si>
  <si>
    <t>SE879 ALMA</t>
  </si>
  <si>
    <t>GBYJ31 ALMA</t>
  </si>
  <si>
    <t>NC4706</t>
  </si>
  <si>
    <t>FEID37014 INSTITU</t>
  </si>
  <si>
    <t>PM-6984</t>
  </si>
  <si>
    <t>DEVOLUCION</t>
  </si>
  <si>
    <t>A-2927</t>
  </si>
  <si>
    <t>A-2934</t>
  </si>
  <si>
    <t>A-2919</t>
  </si>
  <si>
    <t>A-2935</t>
  </si>
  <si>
    <t>A-2928</t>
  </si>
  <si>
    <t>45887 ALMA</t>
  </si>
  <si>
    <t>ABAJO LAURA CORREA</t>
  </si>
  <si>
    <t xml:space="preserve">13E280479 </t>
  </si>
  <si>
    <t>13E280480</t>
  </si>
  <si>
    <t>30500 INSTITU</t>
  </si>
  <si>
    <t>ID-607 ALMA</t>
  </si>
  <si>
    <t>dolar4560</t>
  </si>
  <si>
    <t>A-2950</t>
  </si>
  <si>
    <t>A-2938</t>
  </si>
  <si>
    <t>MP3404</t>
  </si>
  <si>
    <t>31/05/2023</t>
  </si>
  <si>
    <t>FESJ196109</t>
  </si>
  <si>
    <t>MDEC12582</t>
  </si>
  <si>
    <t>FV19572</t>
  </si>
  <si>
    <t>FV19314</t>
  </si>
  <si>
    <t>BM1055</t>
  </si>
  <si>
    <t>JORGE ENTREGO 675 MIL</t>
  </si>
  <si>
    <t>1069370 INSTITU</t>
  </si>
  <si>
    <t>871 ALMA</t>
  </si>
  <si>
    <t>TECH3150 ALMA</t>
  </si>
  <si>
    <t>041939 INSTITU</t>
  </si>
  <si>
    <t>ME538212 INSTITU</t>
  </si>
  <si>
    <t>FENL44685 INSTITU</t>
  </si>
  <si>
    <t>TP9364 ALMA</t>
  </si>
  <si>
    <t>ad13240</t>
  </si>
  <si>
    <t>SP8511</t>
  </si>
  <si>
    <t>AD72338</t>
  </si>
  <si>
    <t>FE352</t>
  </si>
  <si>
    <t>ABAJO SANTA MENSAJERIA</t>
  </si>
  <si>
    <t>FE 627</t>
  </si>
  <si>
    <t>ANTICIPO FE627-628</t>
  </si>
  <si>
    <t>FE 628</t>
  </si>
  <si>
    <t>PM-7280</t>
  </si>
  <si>
    <t>FE10046</t>
  </si>
  <si>
    <t>SALDO PENDIENTE</t>
  </si>
  <si>
    <t>S-23788 LOC</t>
  </si>
  <si>
    <t>S-23746 OFI</t>
  </si>
  <si>
    <t>ANTICIPO FE629-630</t>
  </si>
  <si>
    <t>FE 629</t>
  </si>
  <si>
    <t>FE 630</t>
  </si>
  <si>
    <t>83352 ALMA</t>
  </si>
  <si>
    <t>SE899 ALMA</t>
  </si>
  <si>
    <t>276716 ALMA</t>
  </si>
  <si>
    <t>30688 ALMA</t>
  </si>
  <si>
    <t>30743 ALMA</t>
  </si>
  <si>
    <t>30740 INSTITU</t>
  </si>
  <si>
    <t>44915 INSTITU</t>
  </si>
  <si>
    <t>1071505 INSTITU</t>
  </si>
  <si>
    <t>5041942 INSTITU</t>
  </si>
  <si>
    <t>FEOG53 ALMA</t>
  </si>
  <si>
    <t>TP9379 ALMA</t>
  </si>
  <si>
    <t>TP9380 ALMA</t>
  </si>
  <si>
    <t>A-29786</t>
  </si>
  <si>
    <t>A-2957</t>
  </si>
  <si>
    <t>ABAJO CRISTAL SUIZO</t>
  </si>
  <si>
    <t>A-2965</t>
  </si>
  <si>
    <t>A-2987</t>
  </si>
  <si>
    <t>ABAJO ZUMA</t>
  </si>
  <si>
    <t>A-2968</t>
  </si>
  <si>
    <t>A-2975</t>
  </si>
  <si>
    <t>A-2669</t>
  </si>
  <si>
    <t>A-2974</t>
  </si>
  <si>
    <t>A-2966</t>
  </si>
  <si>
    <t>A-2980</t>
  </si>
  <si>
    <t>TP9493 ALMA</t>
  </si>
  <si>
    <t>13E284391 INSTITU</t>
  </si>
  <si>
    <t>FEI100098909 ALMA</t>
  </si>
  <si>
    <t>10722011 INSTITU</t>
  </si>
  <si>
    <t>45150 INSTITU</t>
  </si>
  <si>
    <t>45157 INSTITU</t>
  </si>
  <si>
    <t>45480 INSTITU</t>
  </si>
  <si>
    <t>45456 INSTITU</t>
  </si>
  <si>
    <t>12612 ALMA</t>
  </si>
  <si>
    <t>30817 ALMA</t>
  </si>
  <si>
    <t>70448 INSTITU</t>
  </si>
  <si>
    <t>83496 ALMA</t>
  </si>
  <si>
    <t>539022 ALMA</t>
  </si>
  <si>
    <t>03MS7528 ALMA</t>
  </si>
  <si>
    <t>03MS7455 ALMA</t>
  </si>
  <si>
    <t>1070529 INSTITU</t>
  </si>
  <si>
    <t>SP8778</t>
  </si>
  <si>
    <t>AJUSTE DE CREDITO</t>
  </si>
  <si>
    <t>DÓLAR 4350</t>
  </si>
  <si>
    <t>DANIEL ALIEXPRESS</t>
  </si>
  <si>
    <t>30/06/2023</t>
  </si>
  <si>
    <t>BM1184</t>
  </si>
  <si>
    <t>AD13449</t>
  </si>
  <si>
    <t>S07325 INSTITU</t>
  </si>
  <si>
    <t>AD72721</t>
  </si>
  <si>
    <t>FE620B</t>
  </si>
  <si>
    <t>A-3005</t>
  </si>
  <si>
    <t>A-3003</t>
  </si>
  <si>
    <t xml:space="preserve">ABAJO ANDRES GARZON </t>
  </si>
  <si>
    <t>A-3004</t>
  </si>
  <si>
    <t>ANTICIPO FE652-653</t>
  </si>
  <si>
    <t>FE467 Registro importacion</t>
  </si>
  <si>
    <t>JORGE ENTREGO 720 MIL</t>
  </si>
  <si>
    <t>S-24178 OFI</t>
  </si>
  <si>
    <t>S-24137 LOC</t>
  </si>
  <si>
    <t>PM-7628</t>
  </si>
  <si>
    <t>TP9596 ALMA</t>
  </si>
  <si>
    <t>13E284411 INSTITU</t>
  </si>
  <si>
    <t>13E284408 INSTITU</t>
  </si>
  <si>
    <t>FE5797 ALMA</t>
  </si>
  <si>
    <t>1073107 INSTITU</t>
  </si>
  <si>
    <t>PE9683 ALMA</t>
  </si>
  <si>
    <t>46281 INSTITU</t>
  </si>
  <si>
    <t>FV-2068876 DUVAN</t>
  </si>
  <si>
    <t>FV-2068131 ALMA</t>
  </si>
  <si>
    <t>FV-2068109 ALMA</t>
  </si>
  <si>
    <t>31150 ALMA</t>
  </si>
  <si>
    <t>31088 INSTITU</t>
  </si>
  <si>
    <t>71081 INSTITU</t>
  </si>
  <si>
    <t>70826 INSTITU</t>
  </si>
  <si>
    <t>FE-10477 ALMA</t>
  </si>
  <si>
    <t>ME540248 ALMA</t>
  </si>
  <si>
    <t>NC40207 DEVOL</t>
  </si>
  <si>
    <t>539616 DEVOL</t>
  </si>
  <si>
    <t>FETU6148 ALMA</t>
  </si>
  <si>
    <t>GBYJ76 ALMA</t>
  </si>
  <si>
    <t>A-3027</t>
  </si>
  <si>
    <t>A-3030</t>
  </si>
  <si>
    <t>A-2995</t>
  </si>
  <si>
    <t>A-2994</t>
  </si>
  <si>
    <t>A-3002</t>
  </si>
  <si>
    <t>A-2993</t>
  </si>
  <si>
    <t>A-3007</t>
  </si>
  <si>
    <t>A-3010</t>
  </si>
  <si>
    <t>A-3020</t>
  </si>
  <si>
    <t>03MS7768 ALMA</t>
  </si>
  <si>
    <t>13E286009</t>
  </si>
  <si>
    <t>FE31138 ALMA</t>
  </si>
  <si>
    <t>TP9655 ALMA</t>
  </si>
  <si>
    <t>A-3039</t>
  </si>
  <si>
    <t>13E281035</t>
  </si>
  <si>
    <t>13E281034</t>
  </si>
  <si>
    <t>ME541369 INSTITU</t>
  </si>
  <si>
    <t>A-3032</t>
  </si>
  <si>
    <t>R824</t>
  </si>
  <si>
    <t>A-3045</t>
  </si>
  <si>
    <t>A-3050</t>
  </si>
  <si>
    <t>FEID40648 INSTITU</t>
  </si>
  <si>
    <t xml:space="preserve">IMPERIO DIGITAL - WILFER GOMEZ </t>
  </si>
  <si>
    <t>31237 ALMA</t>
  </si>
  <si>
    <t>ID-678 ALMA</t>
  </si>
  <si>
    <t>SG2069 ALMA</t>
  </si>
  <si>
    <t>FEV-71767 INSTITU</t>
  </si>
  <si>
    <t>13E286730</t>
  </si>
  <si>
    <t>13E286729</t>
  </si>
  <si>
    <t>31263 ALMA</t>
  </si>
  <si>
    <t>03MS7819 ALMA</t>
  </si>
  <si>
    <t>ME541924 ALMA/INST</t>
  </si>
  <si>
    <t>DOLar4350</t>
  </si>
  <si>
    <t>31/07/2023</t>
  </si>
  <si>
    <t>FV21098 ARRI</t>
  </si>
  <si>
    <t>FV21353 ADMON</t>
  </si>
  <si>
    <t>AM-1565 ADMON</t>
  </si>
  <si>
    <t>S-97816 ARRI</t>
  </si>
  <si>
    <t>A-3033</t>
  </si>
  <si>
    <t>A-3052</t>
  </si>
  <si>
    <t>A-3047</t>
  </si>
  <si>
    <t>A-3051</t>
  </si>
  <si>
    <t>SF FAC-284391</t>
  </si>
  <si>
    <t>A-3062</t>
  </si>
  <si>
    <t>1073930 INSTITU</t>
  </si>
  <si>
    <t>1861 ALMA</t>
  </si>
  <si>
    <t>72327 INSTITU</t>
  </si>
  <si>
    <t>72191 INSTITU</t>
  </si>
  <si>
    <t>4416 ALMA</t>
  </si>
  <si>
    <t>4 ALMA</t>
  </si>
  <si>
    <t>ND1306</t>
  </si>
  <si>
    <t>SURANI ALEJANDRA OSORIO FRANCO</t>
  </si>
  <si>
    <t>AD13656</t>
  </si>
  <si>
    <t>JORGE ENTREGO 370 MIL</t>
  </si>
  <si>
    <t>AD73103</t>
  </si>
  <si>
    <t>WORLD TRADE NEW VISION SAS</t>
  </si>
  <si>
    <t>PROFORMA</t>
  </si>
  <si>
    <t>FESJ98967</t>
  </si>
  <si>
    <t>FESJ197531</t>
  </si>
  <si>
    <t>BM1317</t>
  </si>
  <si>
    <t>PM-7902</t>
  </si>
  <si>
    <t>ANTICIPO</t>
  </si>
  <si>
    <t>S-24572 OFI</t>
  </si>
  <si>
    <t>S-24531 LOC</t>
  </si>
  <si>
    <t>FV-2079797 JAIME Y MARLON</t>
  </si>
  <si>
    <t>FV-2070318 ELIZA CEL</t>
  </si>
  <si>
    <t>SF lo devolvieron a la cta cte</t>
  </si>
  <si>
    <t>A-3078</t>
  </si>
  <si>
    <t>A-3071</t>
  </si>
  <si>
    <t>A-3070</t>
  </si>
  <si>
    <t xml:space="preserve">BATERIAS EL ROBLE </t>
  </si>
  <si>
    <t>BR5516 INSTITU</t>
  </si>
  <si>
    <t>FB2238 INSTITU</t>
  </si>
  <si>
    <t>TP9687 ALMA</t>
  </si>
  <si>
    <t>TP9821 ALMA</t>
  </si>
  <si>
    <t>FEID41525 INSTITU</t>
  </si>
  <si>
    <t>FE5972 ALMA</t>
  </si>
  <si>
    <t>5042020 INSTITU</t>
  </si>
  <si>
    <t>FVX18704 ALMA</t>
  </si>
  <si>
    <t>ID-694 ALMA</t>
  </si>
  <si>
    <t>1074188 INSTITU</t>
  </si>
  <si>
    <t>1074521 INSTITU</t>
  </si>
  <si>
    <t>FI294047 ALMA</t>
  </si>
  <si>
    <t>E-599 ALMA</t>
  </si>
  <si>
    <t>FE-11040 ALMA</t>
  </si>
  <si>
    <t>FE2161 INSTITU</t>
  </si>
  <si>
    <t>FE2159 ALMA</t>
  </si>
  <si>
    <t>ME542627 INSTITU</t>
  </si>
  <si>
    <t>ME542526 INSTITU</t>
  </si>
  <si>
    <t>03MS7991 ALMA</t>
  </si>
  <si>
    <t>03MS7954 ALMA</t>
  </si>
  <si>
    <t>EA-2490</t>
  </si>
  <si>
    <t>MUÑECOS - GRUPO ARISTIZABAL DUQUE</t>
  </si>
  <si>
    <t>DAVIVIENDA************6881</t>
  </si>
  <si>
    <t>GBYJ92 ALMA</t>
  </si>
  <si>
    <t>84643 ALMA</t>
  </si>
  <si>
    <t>FEI100106225</t>
  </si>
  <si>
    <t>FEI100106228</t>
  </si>
  <si>
    <t>FEV73382 INSTITU</t>
  </si>
  <si>
    <t>FV-2085477</t>
  </si>
  <si>
    <t>FEKM4476 ALMA</t>
  </si>
  <si>
    <t>PE9938 INSTITU</t>
  </si>
  <si>
    <t>1074997 INSTITU</t>
  </si>
  <si>
    <t>1074893 INSTITU</t>
  </si>
  <si>
    <t>FE32010 ALMA</t>
  </si>
  <si>
    <t>A-3088</t>
  </si>
  <si>
    <t>A-3100</t>
  </si>
  <si>
    <t>A-3096</t>
  </si>
  <si>
    <t>A-3094</t>
  </si>
  <si>
    <t>A-3092</t>
  </si>
  <si>
    <t>A-3097 2621</t>
  </si>
  <si>
    <t>A-3099 3074</t>
  </si>
  <si>
    <t>1073364 INSTITU</t>
  </si>
  <si>
    <t>31/08/2023</t>
  </si>
  <si>
    <t>FB2363 INSTITU</t>
  </si>
  <si>
    <t>SP9334</t>
  </si>
  <si>
    <t>SP9051</t>
  </si>
  <si>
    <t>AD13861</t>
  </si>
  <si>
    <t>AD73486</t>
  </si>
  <si>
    <t>interes de junio 2022 a junio de 2023</t>
  </si>
  <si>
    <t>FESJ00460</t>
  </si>
  <si>
    <t>ANTICIPO FE677</t>
  </si>
  <si>
    <t>ANTICIPO FE673</t>
  </si>
  <si>
    <t>ANTICIPO FE674</t>
  </si>
  <si>
    <t>FVE-216 INSTI</t>
  </si>
  <si>
    <t>4057 garantia</t>
  </si>
  <si>
    <t>PM-8282</t>
  </si>
  <si>
    <t>BM1446</t>
  </si>
  <si>
    <t>S-24930 LOC</t>
  </si>
  <si>
    <t>S-24971 OFI</t>
  </si>
  <si>
    <t>ABONO FEV73382 INSTITU</t>
  </si>
  <si>
    <t>MDIS5042067 INST</t>
  </si>
  <si>
    <t>MDIS5042035 INST</t>
  </si>
  <si>
    <t>74078 INSTITU</t>
  </si>
  <si>
    <t>298859 ALMA</t>
  </si>
  <si>
    <t>NC 50457</t>
  </si>
  <si>
    <t>SE-958 ALMA</t>
  </si>
  <si>
    <t>SE-970 ALMA</t>
  </si>
  <si>
    <t>NC BGNC43 ALMA</t>
  </si>
  <si>
    <t>ME544634 50/50</t>
  </si>
  <si>
    <t>FETU6398 ALMA</t>
  </si>
  <si>
    <t>FETU6489 ALMA</t>
  </si>
  <si>
    <t>03MS8205 ALMA</t>
  </si>
  <si>
    <t>1641 ALMA</t>
  </si>
  <si>
    <t>FEVT2758 ALMA</t>
  </si>
  <si>
    <t>ID-715 ALMA</t>
  </si>
  <si>
    <t>1075257 INSTITU</t>
  </si>
  <si>
    <t>1075975 INSTITU</t>
  </si>
  <si>
    <t>S07905 - RU3410</t>
  </si>
  <si>
    <t>JORGE ENTREGO 625 MIL</t>
  </si>
  <si>
    <t>75351 INSTITU</t>
  </si>
  <si>
    <t>75270 INSTITU</t>
  </si>
  <si>
    <t>75269 INSTITU</t>
  </si>
  <si>
    <t>75268 INSTITU</t>
  </si>
  <si>
    <t>FV-2085244 jorge andres</t>
  </si>
  <si>
    <t>ANTICIPO FE686</t>
  </si>
  <si>
    <t>FE686</t>
  </si>
  <si>
    <t>ANTICIPO FE685</t>
  </si>
  <si>
    <t>FE685</t>
  </si>
  <si>
    <t>FV22827 ARRI</t>
  </si>
  <si>
    <t>FV1969 ARRI</t>
  </si>
  <si>
    <t>FV22224 ADMON</t>
  </si>
  <si>
    <t>FV23078 ADMON</t>
  </si>
  <si>
    <t>INT05958 INTERES</t>
  </si>
  <si>
    <t>NC4842</t>
  </si>
  <si>
    <t>03MS8291 ALMA</t>
  </si>
  <si>
    <t>FI301712 ALMA</t>
  </si>
  <si>
    <t>31987 ALMA</t>
  </si>
  <si>
    <t>JOR268 ALMA</t>
  </si>
  <si>
    <t>IFE49923 INSTITU</t>
  </si>
  <si>
    <t>IFE49998 INSTITU</t>
  </si>
  <si>
    <t>1076559 INSTITU</t>
  </si>
  <si>
    <t>1076372 INSTITU</t>
  </si>
  <si>
    <t>TP10029 ALMA</t>
  </si>
  <si>
    <t>MDIS7040100 INSTITU</t>
  </si>
  <si>
    <t>FE3084 ALMA</t>
  </si>
  <si>
    <t>A-3111</t>
  </si>
  <si>
    <t>A-3115</t>
  </si>
  <si>
    <t>A-3106</t>
  </si>
  <si>
    <t>9794  A-3131</t>
  </si>
  <si>
    <t>A-3147</t>
  </si>
  <si>
    <t>A-3138</t>
  </si>
  <si>
    <t>A-3139</t>
  </si>
  <si>
    <t>A-3130</t>
  </si>
  <si>
    <t>6844 A-3146</t>
  </si>
  <si>
    <t>1732 A-3108</t>
  </si>
  <si>
    <t>3481 A-3136</t>
  </si>
  <si>
    <t>3313 A-3116</t>
  </si>
  <si>
    <t>A-3135</t>
  </si>
  <si>
    <t>A-3123</t>
  </si>
  <si>
    <t>A-3114</t>
  </si>
  <si>
    <t>A-3122</t>
  </si>
  <si>
    <t>A-3133</t>
  </si>
  <si>
    <t>ajuste de interes termino credito</t>
  </si>
  <si>
    <t>30/09/2023</t>
  </si>
  <si>
    <t>BM 1574</t>
  </si>
  <si>
    <t>AD73868</t>
  </si>
  <si>
    <t>AD14075</t>
  </si>
  <si>
    <t>SP9616</t>
  </si>
  <si>
    <t>ARL NUTRICION</t>
  </si>
  <si>
    <t>SANTIAGO ALARMAR</t>
  </si>
  <si>
    <t>PSICOLOGA</t>
  </si>
  <si>
    <t>ABAJO IVA</t>
  </si>
  <si>
    <t>HERIKA</t>
  </si>
  <si>
    <t>ILUX</t>
  </si>
  <si>
    <t>operaciones@ilux.com.co;girlesa.ruiz@servipilas.com;joriescobar64@gmail.com</t>
  </si>
  <si>
    <t>Estudio credito pn</t>
  </si>
  <si>
    <t>FESJ201881</t>
  </si>
  <si>
    <t xml:space="preserve">NO DESCUENTO </t>
  </si>
  <si>
    <t>aristiduque0428@gmail.com;girlesa.ruiz@servipilas.com;joriescobar64@gmail.com</t>
  </si>
  <si>
    <t>IVAN ALONSO ARISTIZABAL DUQUE</t>
  </si>
  <si>
    <t>EA-2969 ALMA</t>
  </si>
  <si>
    <t>PM-8554</t>
  </si>
  <si>
    <t>S-25362 OFI</t>
  </si>
  <si>
    <t>S-25321 LOC</t>
  </si>
  <si>
    <t>CTACOBRO1</t>
  </si>
  <si>
    <t>IVA ERIKA</t>
  </si>
  <si>
    <t>IVA JORGE A</t>
  </si>
  <si>
    <t>RICARDO SANCHEZ</t>
  </si>
  <si>
    <t>04789 ALMA</t>
  </si>
  <si>
    <t>FETS-1932 pulso ML</t>
  </si>
  <si>
    <t>IVA DUVAN</t>
  </si>
  <si>
    <t>IVA GIRLESA</t>
  </si>
  <si>
    <t>GLORIA DECLRACION</t>
  </si>
  <si>
    <t>A-3167</t>
  </si>
  <si>
    <t>A-3163</t>
  </si>
  <si>
    <t>FV-2092074 ALMA</t>
  </si>
  <si>
    <t>A-3168</t>
  </si>
  <si>
    <t xml:space="preserve">A-3159 </t>
  </si>
  <si>
    <t>ABAJO EFREN</t>
  </si>
  <si>
    <t>9629 A-3156</t>
  </si>
  <si>
    <t>FERNANDO CARMONA</t>
  </si>
  <si>
    <t>A-3160</t>
  </si>
  <si>
    <t>A-3173</t>
  </si>
  <si>
    <t>295 A-3169</t>
  </si>
  <si>
    <t>1930 A-3162</t>
  </si>
  <si>
    <t>F1818 A-3166</t>
  </si>
  <si>
    <t>A-3170</t>
  </si>
  <si>
    <t>TP10091 ALMA</t>
  </si>
  <si>
    <t>200E2296 INSTITU</t>
  </si>
  <si>
    <t>200E2780 INSTITU</t>
  </si>
  <si>
    <t>200E3179INSTITU</t>
  </si>
  <si>
    <t>CED1968 ALMA</t>
  </si>
  <si>
    <t>DISTRIBUIDORA GIRZABAL</t>
  </si>
  <si>
    <t>oag15@hotmail.com;girlesa.ruiz@servipilas.com;joriescobar64@gmail.com</t>
  </si>
  <si>
    <t>FEA509 ALMA</t>
  </si>
  <si>
    <t>FEOG189 ALMA</t>
  </si>
  <si>
    <t>FEOG190 ALMA</t>
  </si>
  <si>
    <t>1076873 INSTITU</t>
  </si>
  <si>
    <t>1077414 INSTITU</t>
  </si>
  <si>
    <t>ABAJO JAIME RENDON MUÑECOS</t>
  </si>
  <si>
    <t>PE 10235 ALMA</t>
  </si>
  <si>
    <t xml:space="preserve">PE 10237 ALMA </t>
  </si>
  <si>
    <t>PE 10304INSTITU</t>
  </si>
  <si>
    <t>13710 ALMA</t>
  </si>
  <si>
    <t>13576 ALMA</t>
  </si>
  <si>
    <t>76452 INSTITU</t>
  </si>
  <si>
    <t>305929 ALMA</t>
  </si>
  <si>
    <t>FE11461 ALMA</t>
  </si>
  <si>
    <t>ME546463 INSTITU</t>
  </si>
  <si>
    <t>ME547257 INSTITU</t>
  </si>
  <si>
    <t>FETU6656 ALMA</t>
  </si>
  <si>
    <t>03MS8479 ALMA</t>
  </si>
  <si>
    <t>1744 ALMA</t>
  </si>
  <si>
    <t>FV-2098733 ALMA</t>
  </si>
  <si>
    <t>qyqcolbatteries@gmail.com;girlesa.ruiz@servipilas.com;joriescobar64@gmail.com</t>
  </si>
  <si>
    <t>Q&amp;Q COLBATTERIES SAS</t>
  </si>
  <si>
    <t>FE2395</t>
  </si>
  <si>
    <t>FENL50243 INST</t>
  </si>
  <si>
    <t>FE6269 ALMA</t>
  </si>
  <si>
    <t>TERMINO CREDITO</t>
  </si>
  <si>
    <t>31/10/2023</t>
  </si>
  <si>
    <t>ANTICIPO FE701</t>
  </si>
  <si>
    <t>FE701</t>
  </si>
  <si>
    <t>SURGURO JORGE</t>
  </si>
  <si>
    <t>BM1709</t>
  </si>
  <si>
    <t>FV23946 ADMON</t>
  </si>
  <si>
    <t>FV23693 ARRI</t>
  </si>
  <si>
    <t>ANTICIPO FEOG198 ALM</t>
  </si>
  <si>
    <t>NC8012 FEOG198 ALMA</t>
  </si>
  <si>
    <t>FEOG216 ALMA</t>
  </si>
  <si>
    <t>SP9893</t>
  </si>
  <si>
    <t>AD74256</t>
  </si>
  <si>
    <t>AD14284</t>
  </si>
  <si>
    <t>ANTICIPO FEV502</t>
  </si>
  <si>
    <t>ANTICIPO FEV501</t>
  </si>
  <si>
    <t>FEV501 SD</t>
  </si>
  <si>
    <t>FEV502 OFIC</t>
  </si>
  <si>
    <t>S-25757 OFI</t>
  </si>
  <si>
    <t>S-25716 LOC</t>
  </si>
  <si>
    <t>A-3187</t>
  </si>
  <si>
    <t>A-3183</t>
  </si>
  <si>
    <t>7100 A-3199</t>
  </si>
  <si>
    <t>A-3188</t>
  </si>
  <si>
    <t>A-3185</t>
  </si>
  <si>
    <t>A-3195</t>
  </si>
  <si>
    <t>A-3196</t>
  </si>
  <si>
    <t>A-3182</t>
  </si>
  <si>
    <t>AMAZING TECH GROUP</t>
  </si>
  <si>
    <t>g_tech_group@outlook.es</t>
  </si>
  <si>
    <t>COMERCIALIZADRA JLS</t>
  </si>
  <si>
    <t>comercializadorajls@hotmail.com</t>
  </si>
  <si>
    <t>FENL50657 INST</t>
  </si>
  <si>
    <t>FEAT 21 ALMA</t>
  </si>
  <si>
    <t>ID-751 ALMA</t>
  </si>
  <si>
    <t>1078309 INSTITU</t>
  </si>
  <si>
    <t>1078178 INSTITU</t>
  </si>
  <si>
    <t>1078438 INSTI</t>
  </si>
  <si>
    <t>FE705</t>
  </si>
  <si>
    <t>ANTICIPO FE705</t>
  </si>
  <si>
    <t>2106699 ALMA</t>
  </si>
  <si>
    <t>2108154 SILVIA</t>
  </si>
  <si>
    <t>2110905 SILVIA</t>
  </si>
  <si>
    <t>03MS8603 ALMA</t>
  </si>
  <si>
    <t>PM-8907</t>
  </si>
  <si>
    <t>ELIZA NVERA</t>
  </si>
  <si>
    <t>sntiago alarmar</t>
  </si>
  <si>
    <t>FESJ203348</t>
  </si>
  <si>
    <t>ANTICIPO REOG244</t>
  </si>
  <si>
    <t>A-3209</t>
  </si>
  <si>
    <t>330772 DULCES</t>
  </si>
  <si>
    <t>EA-3222 ALMA</t>
  </si>
  <si>
    <t>EA-3223 ALMA</t>
  </si>
  <si>
    <t>1831*</t>
  </si>
  <si>
    <t>1832*</t>
  </si>
  <si>
    <t>IVA BEATRIZ</t>
  </si>
  <si>
    <t>IVA NIA</t>
  </si>
  <si>
    <t>GBYJ156 ALMA</t>
  </si>
  <si>
    <t>03MS8706 ALMA</t>
  </si>
  <si>
    <t>FETU6933 ALMA</t>
  </si>
  <si>
    <t>ME548935 INSTITU</t>
  </si>
  <si>
    <t>ME548885 ALMA</t>
  </si>
  <si>
    <t>FE11801 ALMA</t>
  </si>
  <si>
    <t>FE2430 ALMA</t>
  </si>
  <si>
    <t>FEV78262 INSTITU</t>
  </si>
  <si>
    <t>32468 INSTITU</t>
  </si>
  <si>
    <t>32479 ALMA</t>
  </si>
  <si>
    <t>NC13124 FACFE13576</t>
  </si>
  <si>
    <t>60425 ALMA</t>
  </si>
  <si>
    <t>60426 ALMA</t>
  </si>
  <si>
    <t>1079100 INSTITU</t>
  </si>
  <si>
    <t>1078699 INSTITU</t>
  </si>
  <si>
    <t>1079242 INSTITU</t>
  </si>
  <si>
    <t>SG2211 ALMA</t>
  </si>
  <si>
    <t>ID-765 ALMA</t>
  </si>
  <si>
    <t>FVX19679 ALMA</t>
  </si>
  <si>
    <t>FVX19676 ALMA</t>
  </si>
  <si>
    <t>FVX19699 ALMA</t>
  </si>
  <si>
    <t>MDIS5042180 INSTITU</t>
  </si>
  <si>
    <t>MDIS5042179 INSTITU</t>
  </si>
  <si>
    <t>FEOG198 ALMA 60</t>
  </si>
  <si>
    <t>FEOG244 ALMA 60</t>
  </si>
  <si>
    <t>FE332826 ALMA</t>
  </si>
  <si>
    <t>FEVT2796 ALMA</t>
  </si>
  <si>
    <t>TP10267 ALMA</t>
  </si>
  <si>
    <t>TP10290 ALMA</t>
  </si>
  <si>
    <t>FV-2115803 ALMA</t>
  </si>
  <si>
    <t>PE 10516 ALMA</t>
  </si>
  <si>
    <t>4557 A-3200</t>
  </si>
  <si>
    <t>F1913 A-3210</t>
  </si>
  <si>
    <t>7618 A-3206</t>
  </si>
  <si>
    <t>1979 A-3217</t>
  </si>
  <si>
    <t>A-3207</t>
  </si>
  <si>
    <t>4515 A-3211</t>
  </si>
  <si>
    <t>4530 A-3212</t>
  </si>
  <si>
    <t>695933 A-3198</t>
  </si>
  <si>
    <t>A-3201</t>
  </si>
  <si>
    <t>6297 A-3213</t>
  </si>
  <si>
    <t>A-3205</t>
  </si>
  <si>
    <t>4789 A-3202</t>
  </si>
  <si>
    <t>A-3181</t>
  </si>
  <si>
    <t>A-3186</t>
  </si>
  <si>
    <t>A-3197</t>
  </si>
  <si>
    <t>A-3204</t>
  </si>
  <si>
    <t>A-3208</t>
  </si>
  <si>
    <t>FE 714</t>
  </si>
  <si>
    <t>ANTICIPO FE714</t>
  </si>
  <si>
    <t>60425-60425</t>
  </si>
  <si>
    <t>ABONO CON CREDITO BCS3485</t>
  </si>
  <si>
    <t>ajuste TERMINO CREDITO</t>
  </si>
  <si>
    <t>CAJA SOCIAL 3485</t>
  </si>
  <si>
    <t>2118830 CEL JORGE</t>
  </si>
  <si>
    <t>HORAS EMPLADOS</t>
  </si>
  <si>
    <t>DEL 15 AL 30 NOV</t>
  </si>
  <si>
    <t>Pago 1 NOV de plan de celular familiar</t>
  </si>
  <si>
    <t>Pago 2 DIC  de plan de celular familiar</t>
  </si>
  <si>
    <t>1835*</t>
  </si>
  <si>
    <t>1836*</t>
  </si>
  <si>
    <t>1837*</t>
  </si>
  <si>
    <t>1841*</t>
  </si>
  <si>
    <t>IVA  silvia disantioquia</t>
  </si>
  <si>
    <t>IVA SILVIA mps</t>
  </si>
  <si>
    <t>1851*</t>
  </si>
  <si>
    <t>1850*</t>
  </si>
  <si>
    <t>1853*</t>
  </si>
  <si>
    <t>1854*</t>
  </si>
  <si>
    <t>30/11/2023</t>
  </si>
  <si>
    <t>Universidad Maricela</t>
  </si>
  <si>
    <t>BM1841</t>
  </si>
  <si>
    <t>FV24822 ADMON</t>
  </si>
  <si>
    <t>FV24567 ARRI</t>
  </si>
  <si>
    <t>FESJ204795</t>
  </si>
  <si>
    <t>AD14497</t>
  </si>
  <si>
    <t>SP10170</t>
  </si>
  <si>
    <t>S-26109 LOC</t>
  </si>
  <si>
    <t>S-26150 OFI</t>
  </si>
  <si>
    <t>PM-9143</t>
  </si>
  <si>
    <t>AD74638</t>
  </si>
  <si>
    <t xml:space="preserve">GASTOS VARIOS </t>
  </si>
  <si>
    <t>200E6514 INSTITU</t>
  </si>
  <si>
    <t>JS388 ALMA 90</t>
  </si>
  <si>
    <t>FE6841 INSTITU</t>
  </si>
  <si>
    <t>presicion en el tiempo</t>
  </si>
  <si>
    <t>A-3242</t>
  </si>
  <si>
    <t>A-3245</t>
  </si>
  <si>
    <t>FVX20281 ALMA</t>
  </si>
  <si>
    <t>FVX20309 ALMA</t>
  </si>
  <si>
    <t>FE35002 ALMA</t>
  </si>
  <si>
    <t>1079864 INSTITU</t>
  </si>
  <si>
    <t>32766 ALMA</t>
  </si>
  <si>
    <t>FV2123424 ALMA</t>
  </si>
  <si>
    <t>32866 ALMA</t>
  </si>
  <si>
    <t>FI316523 ALMA/INSTI</t>
  </si>
  <si>
    <t>FI317786 ALMA/INSTI</t>
  </si>
  <si>
    <t>FE12039 ALMA</t>
  </si>
  <si>
    <t>FE2394 ALMA</t>
  </si>
  <si>
    <t>ME550345 INSTITU</t>
  </si>
  <si>
    <t>A-3246</t>
  </si>
  <si>
    <t>1863*</t>
  </si>
  <si>
    <t>EA-3468 ALMA</t>
  </si>
  <si>
    <t>DVAD-103</t>
  </si>
  <si>
    <t>venta reloj jaime</t>
  </si>
  <si>
    <t>del 01 al 5 de dic</t>
  </si>
  <si>
    <t>86760 ALMA</t>
  </si>
  <si>
    <t>85276 ALMA</t>
  </si>
  <si>
    <t>2144 ALMA</t>
  </si>
  <si>
    <t>I.C. ELECTRONICS SAS</t>
  </si>
  <si>
    <t>icelectronicsmedellin@hotmail.com</t>
  </si>
  <si>
    <t>00100000445 cta bancolombia ahorros</t>
  </si>
  <si>
    <t>fe3619 ALMA</t>
  </si>
  <si>
    <t>DOGY2594 ALMA</t>
  </si>
  <si>
    <t>DOGY2589 ALMA</t>
  </si>
  <si>
    <t>FN86757 ALMA</t>
  </si>
  <si>
    <t>SE1041 ALMA</t>
  </si>
  <si>
    <t>E720 ALMA</t>
  </si>
  <si>
    <t>FV2126064 ALMA</t>
  </si>
  <si>
    <t>PE10732 ALMA</t>
  </si>
  <si>
    <t>1080343 INSTITU</t>
  </si>
  <si>
    <t>1079895 INSTITU</t>
  </si>
  <si>
    <t>FE35193 ALAMA</t>
  </si>
  <si>
    <t>ANTICIPO FEOG283</t>
  </si>
  <si>
    <t>FEOG283 ALMA</t>
  </si>
  <si>
    <t>FEOG278 ALMA</t>
  </si>
  <si>
    <t>FE6526 ALMA</t>
  </si>
  <si>
    <t>CEC2079 ALMA</t>
  </si>
  <si>
    <t xml:space="preserve">200E8659 </t>
  </si>
  <si>
    <t>TP10441 ALMA</t>
  </si>
  <si>
    <t>5042201 INSTITU</t>
  </si>
  <si>
    <t>4638 A-3247</t>
  </si>
  <si>
    <t>4639 A-3256</t>
  </si>
  <si>
    <t>A-3265</t>
  </si>
  <si>
    <t>A-3253</t>
  </si>
  <si>
    <t>A-3269</t>
  </si>
  <si>
    <t>71251 A-3267</t>
  </si>
  <si>
    <t xml:space="preserve">FN85236 </t>
  </si>
  <si>
    <t>03MS8945 ALMA</t>
  </si>
  <si>
    <t>03MS8944 ALMA</t>
  </si>
  <si>
    <t>FN86810 ALMA</t>
  </si>
  <si>
    <t>ABONO EN EFETIVO</t>
  </si>
  <si>
    <t>FE2511 ALMA</t>
  </si>
  <si>
    <t>ME 551997 ALMA</t>
  </si>
  <si>
    <t>A-3240</t>
  </si>
  <si>
    <t>A-3226</t>
  </si>
  <si>
    <t>551959 A-3230</t>
  </si>
  <si>
    <t>402 A-3271</t>
  </si>
  <si>
    <t>1786 A-3277</t>
  </si>
  <si>
    <t>33205 ALMA</t>
  </si>
  <si>
    <t>TP10499 ALMA</t>
  </si>
  <si>
    <t>TP10546 ALMA</t>
  </si>
  <si>
    <t>TP10521 ALMA</t>
  </si>
  <si>
    <t>1080927 INSTITU</t>
  </si>
  <si>
    <t>TARJ PARQU</t>
  </si>
  <si>
    <t>del 16 al 27 de dic</t>
  </si>
  <si>
    <t>PULSOS ALBEIRO</t>
  </si>
  <si>
    <t>8239 A-3239</t>
  </si>
  <si>
    <t>10134 A-3228</t>
  </si>
  <si>
    <t>A-3229</t>
  </si>
  <si>
    <t>A-3286</t>
  </si>
  <si>
    <t>A-3285</t>
  </si>
  <si>
    <t>MARCO MAYORGA</t>
  </si>
  <si>
    <t>FVE124</t>
  </si>
  <si>
    <t>FE-12324 ALMA</t>
  </si>
  <si>
    <t>FEOG309 ALMA</t>
  </si>
  <si>
    <t>ANTICIPO FEOG309</t>
  </si>
  <si>
    <t>FEV79828 INSTITU</t>
  </si>
  <si>
    <t>EFECTIVO</t>
  </si>
  <si>
    <t>Pago 3 ENE  de plan de celular familiar</t>
  </si>
  <si>
    <t>ANTICIPO 315688</t>
  </si>
  <si>
    <t>BONO UNIVERSIDAD DAYANA</t>
  </si>
  <si>
    <t>AD-75021</t>
  </si>
  <si>
    <t>FESJ206511</t>
  </si>
  <si>
    <t>FESJ206077</t>
  </si>
  <si>
    <t>SANTA JUANA (inversiones)</t>
  </si>
  <si>
    <t>BM1978</t>
  </si>
  <si>
    <t>FV25498</t>
  </si>
  <si>
    <t>Total2</t>
  </si>
  <si>
    <t>SF 13E274604 INST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</si>
</sst>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\ #,##0.00;[Red]\-&quot;$&quot;\ #,##0.00"/>
    <numFmt numFmtId="165" formatCode="&quot;£&quot;#,##0.00;[Red]\-&quot;£&quot;#,##0.00"/>
    <numFmt numFmtId="166" formatCode="&quot;$&quot;\ #,##0_);[Red]\(&quot;$&quot;\ #,##0\)"/>
    <numFmt numFmtId="167" formatCode="&quot;$&quot;#,##0;[Red]\-&quot;$&quot;#,##0"/>
    <numFmt numFmtId="168" formatCode="0.0%"/>
    <numFmt numFmtId="169" formatCode="dd\ &quot;de&quot;\ mmmm\ &quot;de&quot;\ yyyy"/>
    <numFmt numFmtId="170" formatCode="&quot;$&quot;#,##0.0;[Red]\-&quot;$&quot;#,##0.0"/>
    <numFmt numFmtId="171" formatCode="dd/mm/yyyy;@"/>
    <numFmt numFmtId="172" formatCode="&quot;$&quot;#,##0.00;[Red]\-&quot;$&quot;#,##0.00"/>
    <numFmt numFmtId="173" formatCode="_(&quot;$&quot;* #,##0_);_(&quot;$&quot;* \(#,##0\);_(&quot;$&quot;* &quot;-&quot;??_);_(@_)"/>
    <numFmt numFmtId="174" formatCode="dd/mm/yyyy"/>
    <numFmt numFmtId="175" formatCode="d/mm/yyyy"/>
  </numFmts>
  <fonts count="19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2"/>
      <color theme="1" tint="4.9989318521683403E-2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color rgb="FFFF00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i/>
      <sz val="12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color rgb="FFFF00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</font>
    <font>
      <b/>
      <sz val="12"/>
      <name val="Bell MT"/>
    </font>
  </fonts>
  <fills count="2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4D61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/>
    <xf numFmtId="0" fontId="18" fillId="0" borderId="0"/>
    <xf numFmtId="44" fontId="20" fillId="0" borderId="0" applyFont="0" applyFill="0" applyBorder="0" applyAlignment="0" applyProtection="0"/>
  </cellStyleXfs>
  <cellXfs count="429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6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66" fontId="12" fillId="0" borderId="0" xfId="0" applyNumberFormat="1" applyFont="1" applyAlignment="1">
      <alignment vertical="center"/>
    </xf>
    <xf numFmtId="0" fontId="12" fillId="4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6" fontId="12" fillId="4" borderId="0" xfId="0" applyNumberFormat="1" applyFont="1" applyFill="1" applyAlignment="1">
      <alignment vertical="center"/>
    </xf>
    <xf numFmtId="8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68" fontId="1" fillId="2" borderId="0" xfId="0" applyNumberFormat="1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1" fillId="4" borderId="0" xfId="0" applyFont="1" applyFill="1" applyAlignment="1">
      <alignment vertical="center"/>
    </xf>
    <xf numFmtId="8" fontId="5" fillId="0" borderId="0" xfId="0" applyNumberFormat="1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" fillId="4" borderId="0" xfId="0" applyFont="1" applyFill="1"/>
    <xf numFmtId="0" fontId="5" fillId="4" borderId="0" xfId="0" applyFont="1" applyFill="1" applyAlignment="1">
      <alignment vertical="center"/>
    </xf>
    <xf numFmtId="8" fontId="5" fillId="4" borderId="0" xfId="0" applyNumberFormat="1" applyFont="1" applyFill="1" applyAlignment="1">
      <alignment vertical="center"/>
    </xf>
    <xf numFmtId="8" fontId="6" fillId="4" borderId="0" xfId="0" applyNumberFormat="1" applyFont="1" applyFill="1" applyAlignment="1">
      <alignment vertical="center"/>
    </xf>
    <xf numFmtId="0" fontId="7" fillId="4" borderId="0" xfId="0" applyFont="1" applyFill="1" applyAlignment="1">
      <alignment vertical="center"/>
    </xf>
    <xf numFmtId="168" fontId="1" fillId="4" borderId="0" xfId="0" applyNumberFormat="1" applyFont="1" applyFill="1" applyAlignment="1">
      <alignment vertical="center"/>
    </xf>
    <xf numFmtId="6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left" vertical="center"/>
    </xf>
    <xf numFmtId="1" fontId="7" fillId="2" borderId="0" xfId="0" applyNumberFormat="1" applyFont="1" applyFill="1" applyAlignment="1">
      <alignment horizontal="left" vertical="center" wrapText="1"/>
    </xf>
    <xf numFmtId="1" fontId="7" fillId="4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vertical="center"/>
    </xf>
    <xf numFmtId="0" fontId="13" fillId="5" borderId="4" xfId="0" applyFont="1" applyFill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8" fontId="0" fillId="0" borderId="0" xfId="0" applyNumberFormat="1" applyAlignment="1">
      <alignment vertical="center"/>
    </xf>
    <xf numFmtId="0" fontId="15" fillId="6" borderId="0" xfId="0" applyFont="1" applyFill="1"/>
    <xf numFmtId="0" fontId="16" fillId="6" borderId="0" xfId="0" applyFont="1" applyFill="1"/>
    <xf numFmtId="0" fontId="16" fillId="5" borderId="0" xfId="0" applyFont="1" applyFill="1"/>
    <xf numFmtId="6" fontId="16" fillId="6" borderId="0" xfId="0" applyNumberFormat="1" applyFont="1" applyFill="1"/>
    <xf numFmtId="6" fontId="16" fillId="5" borderId="0" xfId="0" applyNumberFormat="1" applyFont="1" applyFill="1"/>
    <xf numFmtId="6" fontId="15" fillId="5" borderId="0" xfId="0" applyNumberFormat="1" applyFont="1" applyFill="1"/>
    <xf numFmtId="6" fontId="15" fillId="6" borderId="0" xfId="0" applyNumberFormat="1" applyFont="1" applyFill="1"/>
    <xf numFmtId="0" fontId="12" fillId="0" borderId="0" xfId="0" applyFont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6" fontId="0" fillId="0" borderId="0" xfId="0" applyNumberFormat="1" applyAlignment="1">
      <alignment vertical="center"/>
    </xf>
    <xf numFmtId="8" fontId="12" fillId="0" borderId="0" xfId="0" applyNumberFormat="1" applyFont="1" applyAlignment="1">
      <alignment vertical="center"/>
    </xf>
    <xf numFmtId="8" fontId="11" fillId="0" borderId="2" xfId="0" applyNumberFormat="1" applyFont="1" applyBorder="1" applyAlignment="1">
      <alignment horizontal="center" vertical="center" wrapText="1"/>
    </xf>
    <xf numFmtId="0" fontId="3" fillId="7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8" fontId="12" fillId="0" borderId="0" xfId="0" applyNumberFormat="1" applyFont="1" applyAlignment="1">
      <alignment vertical="center" wrapText="1"/>
    </xf>
    <xf numFmtId="14" fontId="0" fillId="0" borderId="0" xfId="0" applyNumberFormat="1" applyAlignment="1">
      <alignment vertical="center"/>
    </xf>
    <xf numFmtId="16" fontId="0" fillId="0" borderId="0" xfId="0" applyNumberFormat="1"/>
    <xf numFmtId="169" fontId="0" fillId="0" borderId="0" xfId="0" applyNumberFormat="1"/>
    <xf numFmtId="0" fontId="21" fillId="0" borderId="0" xfId="0" applyFont="1" applyAlignment="1">
      <alignment vertical="center"/>
    </xf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8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4" fontId="6" fillId="4" borderId="0" xfId="0" applyNumberFormat="1" applyFont="1" applyFill="1" applyAlignment="1">
      <alignment vertical="center"/>
    </xf>
    <xf numFmtId="14" fontId="6" fillId="0" borderId="0" xfId="0" applyNumberFormat="1" applyFont="1" applyAlignment="1">
      <alignment vertical="center"/>
    </xf>
    <xf numFmtId="170" fontId="7" fillId="0" borderId="0" xfId="0" applyNumberFormat="1" applyFont="1" applyAlignment="1">
      <alignment vertical="center"/>
    </xf>
    <xf numFmtId="8" fontId="1" fillId="4" borderId="0" xfId="0" applyNumberFormat="1" applyFont="1" applyFill="1" applyAlignment="1">
      <alignment vertical="center"/>
    </xf>
    <xf numFmtId="6" fontId="10" fillId="4" borderId="0" xfId="0" applyNumberFormat="1" applyFont="1" applyFill="1" applyAlignment="1">
      <alignment vertical="center"/>
    </xf>
    <xf numFmtId="6" fontId="0" fillId="0" borderId="0" xfId="0" applyNumberFormat="1"/>
    <xf numFmtId="10" fontId="1" fillId="0" borderId="0" xfId="0" applyNumberFormat="1" applyFont="1" applyAlignment="1">
      <alignment vertical="center"/>
    </xf>
    <xf numFmtId="10" fontId="7" fillId="4" borderId="0" xfId="0" applyNumberFormat="1" applyFont="1" applyFill="1" applyAlignment="1">
      <alignment vertical="center"/>
    </xf>
    <xf numFmtId="168" fontId="0" fillId="0" borderId="0" xfId="0" applyNumberFormat="1"/>
    <xf numFmtId="168" fontId="0" fillId="9" borderId="0" xfId="0" applyNumberFormat="1" applyFill="1"/>
    <xf numFmtId="0" fontId="0" fillId="9" borderId="0" xfId="0" applyFill="1"/>
    <xf numFmtId="6" fontId="0" fillId="9" borderId="0" xfId="0" applyNumberFormat="1" applyFill="1"/>
    <xf numFmtId="1" fontId="19" fillId="9" borderId="0" xfId="0" applyNumberFormat="1" applyFont="1" applyFill="1"/>
    <xf numFmtId="168" fontId="19" fillId="9" borderId="0" xfId="0" applyNumberFormat="1" applyFont="1" applyFill="1"/>
    <xf numFmtId="1" fontId="19" fillId="0" borderId="0" xfId="0" applyNumberFormat="1" applyFont="1"/>
    <xf numFmtId="1" fontId="7" fillId="9" borderId="0" xfId="0" applyNumberFormat="1" applyFont="1" applyFill="1" applyAlignment="1">
      <alignment horizontal="right" vertical="center" wrapText="1"/>
    </xf>
    <xf numFmtId="1" fontId="7" fillId="9" borderId="0" xfId="0" applyNumberFormat="1" applyFont="1" applyFill="1" applyAlignment="1">
      <alignment horizontal="center" vertical="center" wrapText="1"/>
    </xf>
    <xf numFmtId="6" fontId="7" fillId="9" borderId="0" xfId="0" applyNumberFormat="1" applyFont="1" applyFill="1" applyAlignment="1">
      <alignment horizontal="center" vertical="center" wrapText="1"/>
    </xf>
    <xf numFmtId="168" fontId="7" fillId="9" borderId="0" xfId="0" applyNumberFormat="1" applyFont="1" applyFill="1" applyAlignment="1">
      <alignment horizontal="center" vertical="center" wrapText="1"/>
    </xf>
    <xf numFmtId="1" fontId="7" fillId="9" borderId="0" xfId="0" applyNumberFormat="1" applyFont="1" applyFill="1" applyAlignment="1">
      <alignment horizontal="right" vertical="center"/>
    </xf>
    <xf numFmtId="1" fontId="7" fillId="9" borderId="0" xfId="0" applyNumberFormat="1" applyFont="1" applyFill="1" applyAlignment="1">
      <alignment vertical="center"/>
    </xf>
    <xf numFmtId="6" fontId="7" fillId="9" borderId="0" xfId="0" applyNumberFormat="1" applyFont="1" applyFill="1" applyAlignment="1">
      <alignment vertical="center"/>
    </xf>
    <xf numFmtId="168" fontId="7" fillId="9" borderId="0" xfId="0" applyNumberFormat="1" applyFont="1" applyFill="1" applyAlignment="1">
      <alignment vertical="center"/>
    </xf>
    <xf numFmtId="1" fontId="1" fillId="9" borderId="0" xfId="0" applyNumberFormat="1" applyFont="1" applyFill="1" applyAlignment="1">
      <alignment horizontal="right" vertical="center"/>
    </xf>
    <xf numFmtId="1" fontId="1" fillId="9" borderId="0" xfId="0" applyNumberFormat="1" applyFont="1" applyFill="1" applyAlignment="1">
      <alignment vertical="center"/>
    </xf>
    <xf numFmtId="6" fontId="1" fillId="9" borderId="0" xfId="0" applyNumberFormat="1" applyFont="1" applyFill="1" applyAlignment="1">
      <alignment vertical="center"/>
    </xf>
    <xf numFmtId="168" fontId="1" fillId="9" borderId="0" xfId="0" applyNumberFormat="1" applyFont="1" applyFill="1" applyAlignment="1">
      <alignment vertical="center"/>
    </xf>
    <xf numFmtId="14" fontId="22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1" fontId="24" fillId="9" borderId="0" xfId="0" applyNumberFormat="1" applyFont="1" applyFill="1" applyAlignment="1">
      <alignment horizontal="right" vertical="center"/>
    </xf>
    <xf numFmtId="1" fontId="24" fillId="9" borderId="0" xfId="0" applyNumberFormat="1" applyFont="1" applyFill="1" applyAlignment="1">
      <alignment vertical="center"/>
    </xf>
    <xf numFmtId="6" fontId="24" fillId="9" borderId="0" xfId="0" applyNumberFormat="1" applyFont="1" applyFill="1" applyAlignment="1">
      <alignment vertical="center"/>
    </xf>
    <xf numFmtId="168" fontId="24" fillId="9" borderId="0" xfId="0" applyNumberFormat="1" applyFont="1" applyFill="1" applyAlignment="1">
      <alignment vertical="center"/>
    </xf>
    <xf numFmtId="8" fontId="0" fillId="0" borderId="0" xfId="0" applyNumberFormat="1"/>
    <xf numFmtId="0" fontId="25" fillId="0" borderId="0" xfId="0" applyFont="1" applyAlignment="1">
      <alignment vertical="center"/>
    </xf>
    <xf numFmtId="0" fontId="17" fillId="0" borderId="0" xfId="1" applyFill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" fillId="10" borderId="0" xfId="0" applyFont="1" applyFill="1" applyAlignment="1">
      <alignment vertical="center"/>
    </xf>
    <xf numFmtId="8" fontId="3" fillId="10" borderId="0" xfId="0" applyNumberFormat="1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30" fillId="10" borderId="0" xfId="1" quotePrefix="1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" fontId="7" fillId="0" borderId="0" xfId="0" quotePrefix="1" applyNumberFormat="1" applyFont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14" fontId="12" fillId="4" borderId="0" xfId="0" applyNumberFormat="1" applyFont="1" applyFill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0" fillId="11" borderId="0" xfId="0" applyFill="1"/>
    <xf numFmtId="8" fontId="0" fillId="11" borderId="0" xfId="0" applyNumberFormat="1" applyFill="1"/>
    <xf numFmtId="1" fontId="0" fillId="0" borderId="0" xfId="0" applyNumberFormat="1"/>
    <xf numFmtId="14" fontId="0" fillId="11" borderId="0" xfId="0" applyNumberFormat="1" applyFill="1"/>
    <xf numFmtId="8" fontId="0" fillId="0" borderId="0" xfId="0" applyNumberFormat="1" applyAlignment="1">
      <alignment horizontal="left" wrapText="1"/>
    </xf>
    <xf numFmtId="14" fontId="22" fillId="11" borderId="6" xfId="0" applyNumberFormat="1" applyFont="1" applyFill="1" applyBorder="1" applyAlignment="1">
      <alignment horizontal="center" wrapText="1"/>
    </xf>
    <xf numFmtId="1" fontId="0" fillId="11" borderId="0" xfId="0" applyNumberFormat="1" applyFill="1"/>
    <xf numFmtId="171" fontId="0" fillId="11" borderId="0" xfId="0" applyNumberFormat="1" applyFill="1"/>
    <xf numFmtId="171" fontId="0" fillId="0" borderId="0" xfId="0" applyNumberFormat="1"/>
    <xf numFmtId="0" fontId="45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14" fontId="6" fillId="2" borderId="0" xfId="0" applyNumberFormat="1" applyFont="1" applyFill="1" applyAlignment="1">
      <alignment horizontal="center" vertical="center" wrapText="1"/>
    </xf>
    <xf numFmtId="0" fontId="0" fillId="0" borderId="10" xfId="0" applyBorder="1"/>
    <xf numFmtId="0" fontId="49" fillId="0" borderId="9" xfId="0" applyFont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50" fillId="0" borderId="0" xfId="1" applyFont="1" applyFill="1" applyAlignment="1">
      <alignment vertical="center"/>
    </xf>
    <xf numFmtId="172" fontId="7" fillId="0" borderId="0" xfId="0" applyNumberFormat="1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8" fontId="22" fillId="0" borderId="7" xfId="0" applyNumberFormat="1" applyFont="1" applyBorder="1" applyAlignment="1">
      <alignment vertical="center" wrapText="1"/>
    </xf>
    <xf numFmtId="0" fontId="53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13" fillId="12" borderId="4" xfId="0" applyFont="1" applyFill="1" applyBorder="1" applyAlignment="1">
      <alignment vertical="center" wrapText="1"/>
    </xf>
    <xf numFmtId="6" fontId="15" fillId="12" borderId="0" xfId="0" applyNumberFormat="1" applyFont="1" applyFill="1"/>
    <xf numFmtId="0" fontId="65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14" fontId="6" fillId="8" borderId="0" xfId="0" applyNumberFormat="1" applyFont="1" applyFill="1" applyAlignment="1">
      <alignment vertical="center"/>
    </xf>
    <xf numFmtId="164" fontId="0" fillId="0" borderId="0" xfId="0" applyNumberFormat="1"/>
    <xf numFmtId="166" fontId="12" fillId="8" borderId="0" xfId="0" applyNumberFormat="1" applyFont="1" applyFill="1" applyAlignment="1">
      <alignment vertical="center"/>
    </xf>
    <xf numFmtId="0" fontId="12" fillId="8" borderId="0" xfId="0" applyFont="1" applyFill="1" applyAlignment="1">
      <alignment vertical="center"/>
    </xf>
    <xf numFmtId="8" fontId="12" fillId="8" borderId="0" xfId="0" applyNumberFormat="1" applyFont="1" applyFill="1" applyAlignment="1">
      <alignment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vertical="center"/>
    </xf>
    <xf numFmtId="6" fontId="12" fillId="8" borderId="0" xfId="0" applyNumberFormat="1" applyFont="1" applyFill="1" applyAlignment="1">
      <alignment horizontal="center" vertical="center"/>
    </xf>
    <xf numFmtId="6" fontId="12" fillId="8" borderId="0" xfId="0" applyNumberFormat="1" applyFont="1" applyFill="1" applyAlignment="1">
      <alignment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164" fontId="19" fillId="0" borderId="0" xfId="0" applyNumberFormat="1" applyFont="1"/>
    <xf numFmtId="164" fontId="0" fillId="0" borderId="0" xfId="0" applyNumberFormat="1" applyAlignment="1">
      <alignment horizontal="center"/>
    </xf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19" fillId="0" borderId="0" xfId="0" applyFont="1"/>
    <xf numFmtId="0" fontId="17" fillId="0" borderId="0" xfId="1"/>
    <xf numFmtId="0" fontId="9" fillId="8" borderId="0" xfId="0" applyFont="1" applyFill="1" applyAlignment="1">
      <alignment vertical="center"/>
    </xf>
    <xf numFmtId="1" fontId="8" fillId="8" borderId="0" xfId="0" applyNumberFormat="1" applyFont="1" applyFill="1" applyAlignment="1">
      <alignment vertical="center"/>
    </xf>
    <xf numFmtId="1" fontId="5" fillId="8" borderId="0" xfId="0" applyNumberFormat="1" applyFont="1" applyFill="1" applyAlignment="1">
      <alignment horizontal="center" vertical="center"/>
    </xf>
    <xf numFmtId="8" fontId="5" fillId="8" borderId="0" xfId="0" applyNumberFormat="1" applyFont="1" applyFill="1" applyAlignment="1">
      <alignment vertical="center"/>
    </xf>
    <xf numFmtId="0" fontId="5" fillId="8" borderId="0" xfId="0" applyFont="1" applyFill="1" applyAlignment="1">
      <alignment vertical="center"/>
    </xf>
    <xf numFmtId="14" fontId="7" fillId="8" borderId="0" xfId="0" applyNumberFormat="1" applyFont="1" applyFill="1" applyAlignment="1">
      <alignment horizontal="left" vertical="center"/>
    </xf>
    <xf numFmtId="1" fontId="7" fillId="8" borderId="0" xfId="0" applyNumberFormat="1" applyFont="1" applyFill="1" applyAlignment="1">
      <alignment horizontal="left" vertical="center"/>
    </xf>
    <xf numFmtId="167" fontId="7" fillId="8" borderId="0" xfId="0" applyNumberFormat="1" applyFont="1" applyFill="1" applyAlignment="1">
      <alignment vertical="center"/>
    </xf>
    <xf numFmtId="167" fontId="1" fillId="8" borderId="0" xfId="0" applyNumberFormat="1" applyFont="1" applyFill="1" applyAlignment="1">
      <alignment vertical="center"/>
    </xf>
    <xf numFmtId="168" fontId="1" fillId="8" borderId="0" xfId="0" applyNumberFormat="1" applyFont="1" applyFill="1" applyAlignment="1">
      <alignment vertical="center"/>
    </xf>
    <xf numFmtId="10" fontId="1" fillId="8" borderId="0" xfId="0" applyNumberFormat="1" applyFont="1" applyFill="1" applyAlignment="1">
      <alignment vertical="center"/>
    </xf>
    <xf numFmtId="0" fontId="24" fillId="8" borderId="0" xfId="0" applyFont="1" applyFill="1" applyAlignment="1">
      <alignment vertical="center"/>
    </xf>
    <xf numFmtId="1" fontId="7" fillId="8" borderId="0" xfId="0" applyNumberFormat="1" applyFont="1" applyFill="1" applyAlignment="1">
      <alignment horizontal="center" vertical="center"/>
    </xf>
    <xf numFmtId="1" fontId="24" fillId="8" borderId="0" xfId="0" applyNumberFormat="1" applyFont="1" applyFill="1" applyAlignment="1">
      <alignment horizontal="right" vertical="center"/>
    </xf>
    <xf numFmtId="1" fontId="24" fillId="8" borderId="0" xfId="0" applyNumberFormat="1" applyFont="1" applyFill="1" applyAlignment="1">
      <alignment vertical="center"/>
    </xf>
    <xf numFmtId="6" fontId="24" fillId="8" borderId="0" xfId="0" applyNumberFormat="1" applyFont="1" applyFill="1" applyAlignment="1">
      <alignment vertical="center"/>
    </xf>
    <xf numFmtId="168" fontId="24" fillId="8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" fontId="1" fillId="8" borderId="0" xfId="0" applyNumberFormat="1" applyFont="1" applyFill="1" applyAlignment="1">
      <alignment horizontal="right" vertical="center"/>
    </xf>
    <xf numFmtId="1" fontId="1" fillId="8" borderId="0" xfId="0" applyNumberFormat="1" applyFont="1" applyFill="1" applyAlignment="1">
      <alignment vertical="center"/>
    </xf>
    <xf numFmtId="6" fontId="1" fillId="8" borderId="0" xfId="0" applyNumberFormat="1" applyFont="1" applyFill="1" applyAlignment="1">
      <alignment vertical="center"/>
    </xf>
    <xf numFmtId="0" fontId="1" fillId="8" borderId="0" xfId="0" applyFont="1" applyFill="1" applyAlignment="1">
      <alignment vertical="center"/>
    </xf>
    <xf numFmtId="0" fontId="79" fillId="0" borderId="0" xfId="0" applyFont="1" applyAlignment="1">
      <alignment vertical="center"/>
    </xf>
    <xf numFmtId="0" fontId="80" fillId="0" borderId="0" xfId="0" applyFont="1" applyAlignment="1">
      <alignment vertical="center"/>
    </xf>
    <xf numFmtId="0" fontId="12" fillId="10" borderId="0" xfId="0" applyFont="1" applyFill="1" applyAlignment="1">
      <alignment horizontal="left" vertical="center"/>
    </xf>
    <xf numFmtId="6" fontId="1" fillId="0" borderId="0" xfId="0" applyNumberFormat="1" applyFont="1" applyAlignment="1">
      <alignment vertical="center"/>
    </xf>
    <xf numFmtId="0" fontId="19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73" fontId="0" fillId="0" borderId="0" xfId="3" applyNumberFormat="1" applyFont="1" applyAlignment="1">
      <alignment horizontal="center"/>
    </xf>
    <xf numFmtId="14" fontId="81" fillId="8" borderId="0" xfId="0" applyNumberFormat="1" applyFont="1" applyFill="1" applyAlignment="1">
      <alignment horizontal="left" vertical="center"/>
    </xf>
    <xf numFmtId="14" fontId="81" fillId="0" borderId="0" xfId="0" applyNumberFormat="1" applyFont="1" applyAlignment="1">
      <alignment horizontal="left" vertical="center"/>
    </xf>
    <xf numFmtId="0" fontId="82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1" fontId="84" fillId="0" borderId="0" xfId="0" applyNumberFormat="1" applyFont="1" applyAlignment="1">
      <alignment horizontal="left" vertical="center"/>
    </xf>
    <xf numFmtId="14" fontId="12" fillId="14" borderId="0" xfId="0" applyNumberFormat="1" applyFont="1" applyFill="1" applyAlignment="1">
      <alignment vertical="center"/>
    </xf>
    <xf numFmtId="0" fontId="12" fillId="14" borderId="0" xfId="0" applyFont="1" applyFill="1" applyAlignment="1">
      <alignment horizontal="left" vertical="center"/>
    </xf>
    <xf numFmtId="166" fontId="12" fillId="14" borderId="0" xfId="0" applyNumberFormat="1" applyFont="1" applyFill="1" applyAlignment="1">
      <alignment vertical="center"/>
    </xf>
    <xf numFmtId="0" fontId="85" fillId="0" borderId="0" xfId="0" applyFont="1" applyAlignment="1">
      <alignment vertical="center"/>
    </xf>
    <xf numFmtId="0" fontId="86" fillId="0" borderId="0" xfId="0" applyFont="1" applyAlignment="1">
      <alignment vertic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1" fontId="81" fillId="8" borderId="0" xfId="0" applyNumberFormat="1" applyFont="1" applyFill="1" applyAlignment="1">
      <alignment horizontal="left" vertical="center"/>
    </xf>
    <xf numFmtId="1" fontId="81" fillId="0" borderId="0" xfId="0" applyNumberFormat="1" applyFont="1" applyAlignment="1">
      <alignment horizontal="left" vertical="center"/>
    </xf>
    <xf numFmtId="8" fontId="12" fillId="0" borderId="0" xfId="0" applyNumberFormat="1" applyFont="1" applyAlignment="1">
      <alignment horizontal="right" vertical="center"/>
    </xf>
    <xf numFmtId="0" fontId="91" fillId="0" borderId="0" xfId="0" applyFont="1" applyAlignment="1">
      <alignment vertical="center"/>
    </xf>
    <xf numFmtId="0" fontId="92" fillId="0" borderId="0" xfId="0" applyFont="1" applyAlignment="1">
      <alignment vertical="center"/>
    </xf>
    <xf numFmtId="0" fontId="93" fillId="0" borderId="0" xfId="0" applyFont="1" applyAlignment="1">
      <alignment vertical="center"/>
    </xf>
    <xf numFmtId="0" fontId="94" fillId="0" borderId="0" xfId="0" applyFont="1" applyAlignment="1">
      <alignment vertical="center"/>
    </xf>
    <xf numFmtId="1" fontId="81" fillId="15" borderId="0" xfId="0" applyNumberFormat="1" applyFont="1" applyFill="1" applyAlignment="1">
      <alignment horizontal="left" vertical="center"/>
    </xf>
    <xf numFmtId="0" fontId="95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166" fontId="12" fillId="4" borderId="0" xfId="0" applyNumberFormat="1" applyFont="1" applyFill="1" applyAlignment="1">
      <alignment vertical="center"/>
    </xf>
    <xf numFmtId="0" fontId="97" fillId="0" borderId="0" xfId="0" applyFont="1" applyAlignment="1">
      <alignment vertical="center"/>
    </xf>
    <xf numFmtId="0" fontId="98" fillId="0" borderId="0" xfId="0" applyFont="1" applyAlignment="1">
      <alignment vertical="center"/>
    </xf>
    <xf numFmtId="0" fontId="99" fillId="0" borderId="0" xfId="0" applyFont="1" applyAlignment="1">
      <alignment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vertical="center"/>
    </xf>
    <xf numFmtId="0" fontId="102" fillId="0" borderId="0" xfId="0" applyFont="1" applyAlignment="1">
      <alignment vertical="center"/>
    </xf>
    <xf numFmtId="0" fontId="103" fillId="0" borderId="0" xfId="0" applyFont="1" applyAlignment="1">
      <alignment vertical="center"/>
    </xf>
    <xf numFmtId="0" fontId="104" fillId="0" borderId="0" xfId="0" applyFont="1" applyAlignment="1">
      <alignment vertical="center"/>
    </xf>
    <xf numFmtId="0" fontId="105" fillId="0" borderId="0" xfId="0" applyFont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0" fontId="108" fillId="0" borderId="0" xfId="0" applyFont="1" applyAlignment="1">
      <alignment vertical="center"/>
    </xf>
    <xf numFmtId="0" fontId="109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2" fillId="0" borderId="0" xfId="0" applyFont="1" applyAlignment="1">
      <alignment vertical="center"/>
    </xf>
    <xf numFmtId="0" fontId="113" fillId="0" borderId="0" xfId="0" applyFont="1" applyAlignment="1">
      <alignment vertical="center"/>
    </xf>
    <xf numFmtId="0" fontId="114" fillId="0" borderId="0" xfId="0" applyFont="1" applyAlignment="1">
      <alignment vertical="center"/>
    </xf>
    <xf numFmtId="0" fontId="115" fillId="0" borderId="0" xfId="0" applyFont="1" applyAlignment="1">
      <alignment vertical="center"/>
    </xf>
    <xf numFmtId="0" fontId="116" fillId="0" borderId="0" xfId="0" applyFont="1" applyAlignment="1">
      <alignment vertical="center"/>
    </xf>
    <xf numFmtId="0" fontId="117" fillId="0" borderId="0" xfId="0" applyFont="1" applyAlignment="1">
      <alignment vertical="center"/>
    </xf>
    <xf numFmtId="0" fontId="118" fillId="0" borderId="0" xfId="0" applyFont="1" applyAlignment="1">
      <alignment vertical="center"/>
    </xf>
    <xf numFmtId="14" fontId="0" fillId="0" borderId="5" xfId="0" applyNumberFormat="1" applyBorder="1" applyAlignment="1">
      <alignment vertical="center"/>
    </xf>
    <xf numFmtId="165" fontId="12" fillId="4" borderId="0" xfId="0" applyNumberFormat="1" applyFont="1" applyFill="1" applyAlignment="1">
      <alignment vertical="center"/>
    </xf>
    <xf numFmtId="0" fontId="119" fillId="13" borderId="0" xfId="0" applyFont="1" applyFill="1" applyAlignment="1">
      <alignment horizontal="center" vertical="center" wrapText="1"/>
    </xf>
    <xf numFmtId="0" fontId="120" fillId="0" borderId="0" xfId="0" applyFont="1" applyAlignment="1">
      <alignment vertical="center"/>
    </xf>
    <xf numFmtId="0" fontId="121" fillId="0" borderId="0" xfId="0" applyFont="1" applyAlignment="1">
      <alignment vertical="center"/>
    </xf>
    <xf numFmtId="167" fontId="7" fillId="4" borderId="0" xfId="0" applyNumberFormat="1" applyFont="1" applyFill="1" applyAlignment="1">
      <alignment vertical="center"/>
    </xf>
    <xf numFmtId="0" fontId="122" fillId="0" borderId="0" xfId="0" applyFont="1" applyAlignment="1">
      <alignment vertical="center"/>
    </xf>
    <xf numFmtId="0" fontId="123" fillId="0" borderId="0" xfId="0" applyFont="1" applyAlignment="1">
      <alignment vertical="center"/>
    </xf>
    <xf numFmtId="14" fontId="6" fillId="16" borderId="0" xfId="0" applyNumberFormat="1" applyFont="1" applyFill="1" applyAlignment="1">
      <alignment vertical="center"/>
    </xf>
    <xf numFmtId="0" fontId="107" fillId="16" borderId="0" xfId="0" applyFont="1" applyFill="1" applyAlignment="1">
      <alignment vertical="center"/>
    </xf>
    <xf numFmtId="1" fontId="8" fillId="16" borderId="0" xfId="0" applyNumberFormat="1" applyFont="1" applyFill="1" applyAlignment="1">
      <alignment vertical="center"/>
    </xf>
    <xf numFmtId="1" fontId="5" fillId="16" borderId="0" xfId="0" applyNumberFormat="1" applyFont="1" applyFill="1" applyAlignment="1">
      <alignment horizontal="center" vertical="center"/>
    </xf>
    <xf numFmtId="8" fontId="5" fillId="16" borderId="0" xfId="0" applyNumberFormat="1" applyFont="1" applyFill="1" applyAlignment="1">
      <alignment vertical="center"/>
    </xf>
    <xf numFmtId="0" fontId="5" fillId="16" borderId="0" xfId="0" applyFont="1" applyFill="1" applyAlignment="1">
      <alignment vertical="center"/>
    </xf>
    <xf numFmtId="14" fontId="7" fillId="16" borderId="0" xfId="0" applyNumberFormat="1" applyFont="1" applyFill="1" applyAlignment="1">
      <alignment horizontal="left" vertical="center"/>
    </xf>
    <xf numFmtId="1" fontId="7" fillId="16" borderId="0" xfId="0" applyNumberFormat="1" applyFont="1" applyFill="1" applyAlignment="1">
      <alignment horizontal="left" vertical="center"/>
    </xf>
    <xf numFmtId="167" fontId="7" fillId="16" borderId="0" xfId="0" applyNumberFormat="1" applyFont="1" applyFill="1" applyAlignment="1">
      <alignment vertical="center"/>
    </xf>
    <xf numFmtId="167" fontId="1" fillId="16" borderId="0" xfId="0" applyNumberFormat="1" applyFont="1" applyFill="1" applyAlignment="1">
      <alignment vertical="center"/>
    </xf>
    <xf numFmtId="168" fontId="1" fillId="16" borderId="0" xfId="0" applyNumberFormat="1" applyFont="1" applyFill="1" applyAlignment="1">
      <alignment vertical="center"/>
    </xf>
    <xf numFmtId="10" fontId="1" fillId="16" borderId="0" xfId="0" applyNumberFormat="1" applyFont="1" applyFill="1" applyAlignment="1">
      <alignment vertical="center"/>
    </xf>
    <xf numFmtId="0" fontId="108" fillId="16" borderId="0" xfId="0" applyFont="1" applyFill="1" applyAlignment="1">
      <alignment vertical="center"/>
    </xf>
    <xf numFmtId="1" fontId="7" fillId="16" borderId="0" xfId="0" applyNumberFormat="1" applyFont="1" applyFill="1" applyAlignment="1">
      <alignment horizontal="center" vertical="center"/>
    </xf>
    <xf numFmtId="1" fontId="24" fillId="16" borderId="0" xfId="0" applyNumberFormat="1" applyFont="1" applyFill="1" applyAlignment="1">
      <alignment horizontal="right" vertical="center"/>
    </xf>
    <xf numFmtId="1" fontId="24" fillId="16" borderId="0" xfId="0" applyNumberFormat="1" applyFont="1" applyFill="1" applyAlignment="1">
      <alignment vertical="center"/>
    </xf>
    <xf numFmtId="6" fontId="24" fillId="16" borderId="0" xfId="0" applyNumberFormat="1" applyFont="1" applyFill="1" applyAlignment="1">
      <alignment vertical="center"/>
    </xf>
    <xf numFmtId="168" fontId="24" fillId="16" borderId="0" xfId="0" applyNumberFormat="1" applyFont="1" applyFill="1" applyAlignment="1">
      <alignment vertical="center"/>
    </xf>
    <xf numFmtId="0" fontId="3" fillId="16" borderId="0" xfId="0" applyFont="1" applyFill="1" applyAlignment="1">
      <alignment vertical="center"/>
    </xf>
    <xf numFmtId="1" fontId="1" fillId="16" borderId="0" xfId="0" applyNumberFormat="1" applyFont="1" applyFill="1" applyAlignment="1">
      <alignment horizontal="right" vertical="center"/>
    </xf>
    <xf numFmtId="1" fontId="1" fillId="16" borderId="0" xfId="0" applyNumberFormat="1" applyFont="1" applyFill="1" applyAlignment="1">
      <alignment vertical="center"/>
    </xf>
    <xf numFmtId="6" fontId="1" fillId="16" borderId="0" xfId="0" applyNumberFormat="1" applyFont="1" applyFill="1" applyAlignment="1">
      <alignment vertical="center"/>
    </xf>
    <xf numFmtId="0" fontId="1" fillId="16" borderId="0" xfId="0" applyFont="1" applyFill="1" applyAlignment="1">
      <alignment vertical="center"/>
    </xf>
    <xf numFmtId="0" fontId="124" fillId="0" borderId="0" xfId="0" applyFont="1" applyAlignment="1">
      <alignment vertical="center"/>
    </xf>
    <xf numFmtId="0" fontId="125" fillId="0" borderId="0" xfId="0" applyFont="1" applyAlignment="1">
      <alignment vertical="center"/>
    </xf>
    <xf numFmtId="0" fontId="126" fillId="0" borderId="0" xfId="0" applyFont="1" applyAlignment="1">
      <alignment vertical="center"/>
    </xf>
    <xf numFmtId="0" fontId="127" fillId="0" borderId="0" xfId="0" applyFont="1" applyAlignment="1">
      <alignment vertical="center"/>
    </xf>
    <xf numFmtId="0" fontId="128" fillId="0" borderId="0" xfId="0" applyFont="1" applyAlignment="1">
      <alignment vertical="center"/>
    </xf>
    <xf numFmtId="0" fontId="129" fillId="0" borderId="0" xfId="0" applyFont="1" applyAlignment="1">
      <alignment vertical="center"/>
    </xf>
    <xf numFmtId="0" fontId="130" fillId="0" borderId="0" xfId="0" applyFont="1" applyAlignment="1">
      <alignment vertical="center"/>
    </xf>
    <xf numFmtId="0" fontId="131" fillId="0" borderId="0" xfId="0" applyFont="1" applyAlignment="1">
      <alignment vertical="center"/>
    </xf>
    <xf numFmtId="0" fontId="132" fillId="0" borderId="0" xfId="0" applyFont="1" applyAlignment="1">
      <alignment vertical="center"/>
    </xf>
    <xf numFmtId="0" fontId="133" fillId="0" borderId="0" xfId="0" applyFont="1" applyAlignment="1">
      <alignment vertical="center"/>
    </xf>
    <xf numFmtId="14" fontId="6" fillId="4" borderId="0" xfId="0" applyNumberFormat="1" applyFont="1" applyFill="1" applyAlignment="1">
      <alignment vertical="center" wrapText="1"/>
    </xf>
    <xf numFmtId="0" fontId="134" fillId="0" borderId="0" xfId="0" applyFont="1" applyAlignment="1">
      <alignment vertical="center"/>
    </xf>
    <xf numFmtId="0" fontId="135" fillId="0" borderId="0" xfId="0" applyFont="1" applyAlignment="1">
      <alignment vertical="center"/>
    </xf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138" fillId="0" borderId="0" xfId="0" applyFont="1" applyAlignment="1">
      <alignment vertical="center"/>
    </xf>
    <xf numFmtId="1" fontId="7" fillId="17" borderId="0" xfId="0" applyNumberFormat="1" applyFont="1" applyFill="1" applyAlignment="1">
      <alignment horizontal="left" vertical="center"/>
    </xf>
    <xf numFmtId="0" fontId="139" fillId="0" borderId="0" xfId="0" applyFont="1" applyAlignment="1">
      <alignment vertical="center"/>
    </xf>
    <xf numFmtId="0" fontId="140" fillId="0" borderId="0" xfId="0" applyFont="1" applyAlignment="1">
      <alignment vertical="center"/>
    </xf>
    <xf numFmtId="0" fontId="141" fillId="0" borderId="0" xfId="0" applyFont="1" applyAlignment="1">
      <alignment vertical="center"/>
    </xf>
    <xf numFmtId="0" fontId="142" fillId="0" borderId="0" xfId="0" applyFont="1" applyAlignment="1">
      <alignment vertical="center"/>
    </xf>
    <xf numFmtId="0" fontId="143" fillId="0" borderId="0" xfId="0" applyFont="1" applyAlignment="1">
      <alignment vertical="center"/>
    </xf>
    <xf numFmtId="0" fontId="144" fillId="0" borderId="0" xfId="0" applyFont="1" applyAlignment="1">
      <alignment vertical="center"/>
    </xf>
    <xf numFmtId="0" fontId="145" fillId="0" borderId="0" xfId="0" applyFont="1" applyAlignment="1">
      <alignment vertical="center"/>
    </xf>
    <xf numFmtId="0" fontId="146" fillId="0" borderId="0" xfId="0" applyFont="1" applyAlignment="1">
      <alignment vertical="center"/>
    </xf>
    <xf numFmtId="0" fontId="148" fillId="0" borderId="0" xfId="0" applyFont="1" applyAlignment="1">
      <alignment vertical="center"/>
    </xf>
    <xf numFmtId="0" fontId="149" fillId="0" borderId="0" xfId="0" applyFont="1" applyAlignment="1">
      <alignment vertical="center"/>
    </xf>
    <xf numFmtId="167" fontId="84" fillId="0" borderId="0" xfId="0" applyNumberFormat="1" applyFont="1" applyAlignment="1">
      <alignment vertical="center"/>
    </xf>
    <xf numFmtId="167" fontId="147" fillId="0" borderId="0" xfId="0" applyNumberFormat="1" applyFont="1" applyAlignment="1">
      <alignment vertical="center"/>
    </xf>
    <xf numFmtId="0" fontId="150" fillId="0" borderId="0" xfId="0" applyFont="1" applyAlignment="1">
      <alignment vertical="center"/>
    </xf>
    <xf numFmtId="0" fontId="151" fillId="0" borderId="0" xfId="0" applyFont="1" applyAlignment="1">
      <alignment vertical="center"/>
    </xf>
    <xf numFmtId="0" fontId="152" fillId="0" borderId="0" xfId="0" applyFont="1" applyAlignment="1">
      <alignment vertical="center"/>
    </xf>
    <xf numFmtId="0" fontId="153" fillId="0" borderId="0" xfId="0" applyFont="1" applyAlignment="1">
      <alignment vertical="center"/>
    </xf>
    <xf numFmtId="166" fontId="12" fillId="0" borderId="0" xfId="0" applyNumberFormat="1" applyFont="1" applyAlignment="1">
      <alignment horizontal="left" vertical="center"/>
    </xf>
    <xf numFmtId="14" fontId="7" fillId="17" borderId="0" xfId="0" applyNumberFormat="1" applyFont="1" applyFill="1" applyAlignment="1">
      <alignment horizontal="left" vertical="center"/>
    </xf>
    <xf numFmtId="0" fontId="154" fillId="0" borderId="0" xfId="0" applyFont="1" applyAlignment="1">
      <alignment vertical="center"/>
    </xf>
    <xf numFmtId="0" fontId="155" fillId="0" borderId="0" xfId="0" applyFont="1" applyAlignment="1">
      <alignment vertical="center"/>
    </xf>
    <xf numFmtId="0" fontId="156" fillId="0" borderId="0" xfId="0" applyFont="1" applyAlignment="1">
      <alignment vertical="center"/>
    </xf>
    <xf numFmtId="0" fontId="157" fillId="0" borderId="0" xfId="0" applyFont="1" applyAlignment="1">
      <alignment vertical="center"/>
    </xf>
    <xf numFmtId="0" fontId="158" fillId="0" borderId="0" xfId="0" applyFont="1" applyAlignment="1">
      <alignment vertical="center"/>
    </xf>
    <xf numFmtId="0" fontId="159" fillId="0" borderId="0" xfId="0" applyFont="1" applyAlignment="1">
      <alignment vertical="center"/>
    </xf>
    <xf numFmtId="0" fontId="160" fillId="0" borderId="0" xfId="0" applyFont="1" applyAlignment="1">
      <alignment vertical="center"/>
    </xf>
    <xf numFmtId="0" fontId="161" fillId="0" borderId="0" xfId="0" applyFont="1" applyAlignment="1">
      <alignment vertical="center"/>
    </xf>
    <xf numFmtId="0" fontId="162" fillId="0" borderId="0" xfId="0" applyFont="1" applyAlignment="1">
      <alignment vertical="center"/>
    </xf>
    <xf numFmtId="0" fontId="163" fillId="0" borderId="0" xfId="0" applyFont="1" applyAlignment="1">
      <alignment vertical="center"/>
    </xf>
    <xf numFmtId="0" fontId="164" fillId="0" borderId="0" xfId="0" applyFont="1" applyAlignment="1">
      <alignment vertical="center"/>
    </xf>
    <xf numFmtId="0" fontId="165" fillId="0" borderId="0" xfId="0" applyFont="1" applyAlignment="1">
      <alignment vertical="center"/>
    </xf>
    <xf numFmtId="0" fontId="166" fillId="0" borderId="0" xfId="0" applyFont="1" applyAlignment="1">
      <alignment vertical="center"/>
    </xf>
    <xf numFmtId="0" fontId="167" fillId="0" borderId="0" xfId="0" applyFont="1" applyAlignment="1">
      <alignment vertical="center"/>
    </xf>
    <xf numFmtId="14" fontId="6" fillId="18" borderId="0" xfId="0" applyNumberFormat="1" applyFont="1" applyFill="1" applyAlignment="1">
      <alignment vertical="center"/>
    </xf>
    <xf numFmtId="14" fontId="7" fillId="18" borderId="0" xfId="0" applyNumberFormat="1" applyFont="1" applyFill="1" applyAlignment="1">
      <alignment horizontal="left" vertical="center"/>
    </xf>
    <xf numFmtId="1" fontId="7" fillId="18" borderId="0" xfId="0" applyNumberFormat="1" applyFont="1" applyFill="1" applyAlignment="1">
      <alignment horizontal="left" vertical="center"/>
    </xf>
    <xf numFmtId="167" fontId="7" fillId="18" borderId="0" xfId="0" applyNumberFormat="1" applyFont="1" applyFill="1" applyAlignment="1">
      <alignment vertical="center"/>
    </xf>
    <xf numFmtId="167" fontId="1" fillId="18" borderId="0" xfId="0" applyNumberFormat="1" applyFont="1" applyFill="1" applyAlignment="1">
      <alignment vertical="center"/>
    </xf>
    <xf numFmtId="168" fontId="1" fillId="18" borderId="0" xfId="0" applyNumberFormat="1" applyFont="1" applyFill="1" applyAlignment="1">
      <alignment vertical="center"/>
    </xf>
    <xf numFmtId="10" fontId="1" fillId="18" borderId="0" xfId="0" applyNumberFormat="1" applyFont="1" applyFill="1" applyAlignment="1">
      <alignment vertical="center"/>
    </xf>
    <xf numFmtId="0" fontId="168" fillId="0" borderId="0" xfId="0" applyFont="1" applyAlignment="1">
      <alignment vertical="center"/>
    </xf>
    <xf numFmtId="0" fontId="169" fillId="0" borderId="0" xfId="0" applyFont="1" applyAlignment="1">
      <alignment vertical="center"/>
    </xf>
    <xf numFmtId="0" fontId="170" fillId="0" borderId="0" xfId="0" applyFont="1" applyAlignment="1">
      <alignment vertical="center"/>
    </xf>
    <xf numFmtId="0" fontId="171" fillId="0" borderId="0" xfId="0" applyFont="1" applyAlignment="1">
      <alignment vertical="center"/>
    </xf>
    <xf numFmtId="0" fontId="172" fillId="0" borderId="0" xfId="0" applyFont="1" applyAlignment="1">
      <alignment vertical="center"/>
    </xf>
    <xf numFmtId="174" fontId="0" fillId="0" borderId="0" xfId="0" applyNumberFormat="1" applyAlignment="1">
      <alignment vertical="center"/>
    </xf>
    <xf numFmtId="0" fontId="173" fillId="0" borderId="0" xfId="0" applyFont="1" applyAlignment="1">
      <alignment vertical="center"/>
    </xf>
    <xf numFmtId="0" fontId="174" fillId="0" borderId="0" xfId="0" applyFont="1" applyAlignment="1">
      <alignment vertical="center"/>
    </xf>
    <xf numFmtId="0" fontId="175" fillId="0" borderId="0" xfId="0" applyFont="1" applyAlignment="1">
      <alignment vertical="center"/>
    </xf>
    <xf numFmtId="0" fontId="176" fillId="0" borderId="0" xfId="0" applyFont="1" applyAlignment="1">
      <alignment vertical="center"/>
    </xf>
    <xf numFmtId="0" fontId="177" fillId="0" borderId="0" xfId="0" applyFont="1" applyAlignment="1">
      <alignment vertical="center"/>
    </xf>
    <xf numFmtId="0" fontId="178" fillId="0" borderId="0" xfId="0" applyFont="1" applyAlignment="1">
      <alignment vertical="center"/>
    </xf>
    <xf numFmtId="8" fontId="22" fillId="8" borderId="8" xfId="0" applyNumberFormat="1" applyFont="1" applyFill="1" applyBorder="1" applyAlignment="1">
      <alignment vertical="center" wrapText="1"/>
    </xf>
    <xf numFmtId="0" fontId="179" fillId="0" borderId="0" xfId="0" applyFont="1" applyAlignment="1">
      <alignment vertical="center"/>
    </xf>
    <xf numFmtId="0" fontId="180" fillId="0" borderId="0" xfId="0" applyFont="1" applyAlignment="1">
      <alignment vertical="center"/>
    </xf>
    <xf numFmtId="0" fontId="181" fillId="0" borderId="0" xfId="0" applyFont="1" applyAlignment="1">
      <alignment vertical="center"/>
    </xf>
    <xf numFmtId="0" fontId="182" fillId="0" borderId="0" xfId="0" applyFont="1" applyAlignment="1">
      <alignment vertical="center"/>
    </xf>
    <xf numFmtId="0" fontId="183" fillId="0" borderId="0" xfId="0" applyFont="1" applyAlignment="1">
      <alignment vertical="center"/>
    </xf>
    <xf numFmtId="0" fontId="184" fillId="0" borderId="0" xfId="0" applyFont="1" applyAlignment="1">
      <alignment vertical="center"/>
    </xf>
    <xf numFmtId="0" fontId="185" fillId="0" borderId="0" xfId="0" applyFont="1" applyAlignment="1">
      <alignment vertical="center"/>
    </xf>
    <xf numFmtId="0" fontId="186" fillId="0" borderId="0" xfId="0" applyFont="1" applyAlignment="1">
      <alignment vertical="center"/>
    </xf>
    <xf numFmtId="0" fontId="187" fillId="0" borderId="0" xfId="0" applyFont="1" applyAlignment="1">
      <alignment vertical="center"/>
    </xf>
    <xf numFmtId="0" fontId="188" fillId="0" borderId="0" xfId="0" applyFont="1" applyAlignment="1">
      <alignment vertical="center"/>
    </xf>
    <xf numFmtId="0" fontId="189" fillId="0" borderId="0" xfId="0" applyFont="1" applyAlignment="1">
      <alignment vertical="center"/>
    </xf>
    <xf numFmtId="0" fontId="190" fillId="0" borderId="0" xfId="0" applyFont="1" applyAlignment="1">
      <alignment vertical="center"/>
    </xf>
    <xf numFmtId="166" fontId="12" fillId="19" borderId="0" xfId="0" applyNumberFormat="1" applyFont="1" applyFill="1" applyAlignment="1">
      <alignment vertical="center"/>
    </xf>
    <xf numFmtId="0" fontId="191" fillId="0" borderId="0" xfId="0" applyFont="1" applyAlignment="1">
      <alignment vertical="center"/>
    </xf>
    <xf numFmtId="0" fontId="192" fillId="0" borderId="0" xfId="0" applyFont="1" applyAlignment="1">
      <alignment vertical="center"/>
    </xf>
    <xf numFmtId="0" fontId="193" fillId="0" borderId="0" xfId="0" applyFont="1" applyAlignment="1">
      <alignment vertical="center"/>
    </xf>
    <xf numFmtId="0" fontId="194" fillId="0" borderId="0" xfId="0" applyFont="1" applyAlignment="1">
      <alignment vertical="center"/>
    </xf>
    <xf numFmtId="1" fontId="3" fillId="0" borderId="0" xfId="0" applyNumberFormat="1" applyFont="1" applyAlignment="1">
      <alignment horizontal="left" vertical="center" wrapText="1"/>
    </xf>
    <xf numFmtId="14" fontId="84" fillId="8" borderId="0" xfId="0" applyNumberFormat="1" applyFont="1" applyFill="1" applyAlignment="1">
      <alignment horizontal="left" vertical="center"/>
    </xf>
    <xf numFmtId="14" fontId="84" fillId="0" borderId="0" xfId="0" applyNumberFormat="1" applyFont="1" applyAlignment="1">
      <alignment horizontal="left" vertical="center"/>
    </xf>
    <xf numFmtId="167" fontId="19" fillId="0" borderId="0" xfId="0" applyNumberFormat="1" applyFont="1" applyAlignment="1">
      <alignment vertical="center"/>
    </xf>
    <xf numFmtId="0" fontId="195" fillId="0" borderId="0" xfId="0" applyFont="1" applyAlignment="1">
      <alignment vertical="center"/>
    </xf>
    <xf numFmtId="0" fontId="196" fillId="0" borderId="0" xfId="0" applyFont="1" applyAlignment="1">
      <alignment vertical="center"/>
    </xf>
    <xf numFmtId="0" fontId="197" fillId="0" borderId="0" xfId="0" applyFont="1" applyAlignment="1">
      <alignment vertical="center"/>
    </xf>
    <xf numFmtId="0" fontId="198" fillId="0" borderId="0" xfId="0" applyFont="1" applyAlignment="1">
      <alignment vertical="center"/>
    </xf>
    <xf numFmtId="0" fontId="0" fillId="20" borderId="0" xfId="0" applyFill="1"/>
    <xf numFmtId="0" fontId="5" fillId="20" borderId="0" xfId="0" applyFont="1" applyFill="1" applyAlignment="1">
      <alignment vertical="center"/>
    </xf>
    <xf numFmtId="14" fontId="6" fillId="20" borderId="0" xfId="0" applyNumberFormat="1" applyFont="1" applyFill="1" applyAlignment="1">
      <alignment vertical="center"/>
    </xf>
    <xf numFmtId="14" fontId="7" fillId="20" borderId="0" xfId="0" applyNumberFormat="1" applyFont="1" applyFill="1" applyAlignment="1">
      <alignment horizontal="left" vertical="center"/>
    </xf>
    <xf numFmtId="1" fontId="7" fillId="20" borderId="0" xfId="0" applyNumberFormat="1" applyFont="1" applyFill="1" applyAlignment="1">
      <alignment horizontal="left" vertical="center"/>
    </xf>
    <xf numFmtId="167" fontId="7" fillId="20" borderId="0" xfId="0" applyNumberFormat="1" applyFont="1" applyFill="1" applyAlignment="1">
      <alignment vertical="center"/>
    </xf>
    <xf numFmtId="167" fontId="1" fillId="20" borderId="0" xfId="0" applyNumberFormat="1" applyFont="1" applyFill="1" applyAlignment="1">
      <alignment vertical="center"/>
    </xf>
    <xf numFmtId="168" fontId="1" fillId="20" borderId="0" xfId="0" applyNumberFormat="1" applyFont="1" applyFill="1" applyAlignment="1">
      <alignment vertical="center"/>
    </xf>
    <xf numFmtId="10" fontId="1" fillId="20" borderId="0" xfId="0" applyNumberFormat="1" applyFont="1" applyFill="1" applyAlignment="1">
      <alignment vertical="center"/>
    </xf>
    <xf numFmtId="0" fontId="6" fillId="21" borderId="0" xfId="0" applyFont="1" applyFill="1" applyAlignment="1">
      <alignment horizontal="center" vertical="center" wrapText="1"/>
    </xf>
    <xf numFmtId="14" fontId="6" fillId="21" borderId="11" xfId="0" applyNumberFormat="1" applyFont="1" applyFill="1" applyBorder="1" applyAlignment="1">
      <alignment horizontal="center" vertical="center"/>
    </xf>
    <xf numFmtId="0" fontId="119" fillId="21" borderId="11" xfId="0" applyFont="1" applyFill="1" applyBorder="1" applyAlignment="1">
      <alignment horizontal="center" vertical="center" wrapText="1"/>
    </xf>
    <xf numFmtId="14" fontId="6" fillId="21" borderId="11" xfId="0" applyNumberFormat="1" applyFont="1" applyFill="1" applyBorder="1" applyAlignment="1">
      <alignment horizontal="center" vertical="center" wrapText="1"/>
    </xf>
    <xf numFmtId="1" fontId="7" fillId="21" borderId="11" xfId="0" applyNumberFormat="1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3" fillId="21" borderId="11" xfId="0" applyFont="1" applyFill="1" applyBorder="1" applyAlignment="1">
      <alignment horizontal="center" vertical="center" wrapText="1"/>
    </xf>
    <xf numFmtId="168" fontId="3" fillId="21" borderId="11" xfId="0" applyNumberFormat="1" applyFont="1" applyFill="1" applyBorder="1" applyAlignment="1">
      <alignment horizontal="center" vertical="center" wrapText="1"/>
    </xf>
    <xf numFmtId="0" fontId="7" fillId="21" borderId="12" xfId="0" applyFont="1" applyFill="1" applyBorder="1" applyAlignment="1">
      <alignment horizontal="center" vertical="center" wrapText="1"/>
    </xf>
    <xf numFmtId="0" fontId="19" fillId="21" borderId="0" xfId="0" applyFont="1" applyFill="1" applyAlignment="1">
      <alignment horizontal="center" vertical="center"/>
    </xf>
    <xf numFmtId="167" fontId="3" fillId="20" borderId="0" xfId="0" applyNumberFormat="1" applyFont="1" applyFill="1" applyAlignment="1">
      <alignment vertical="center"/>
    </xf>
    <xf numFmtId="167" fontId="7" fillId="20" borderId="11" xfId="0" applyNumberFormat="1" applyFont="1" applyFill="1" applyBorder="1" applyAlignment="1">
      <alignment vertical="center"/>
    </xf>
    <xf numFmtId="0" fontId="19" fillId="20" borderId="0" xfId="0" applyFont="1" applyFill="1"/>
    <xf numFmtId="0" fontId="0" fillId="21" borderId="0" xfId="0" applyFill="1"/>
    <xf numFmtId="167" fontId="7" fillId="21" borderId="11" xfId="0" applyNumberFormat="1" applyFont="1" applyFill="1" applyBorder="1" applyAlignment="1">
      <alignment vertical="center"/>
    </xf>
    <xf numFmtId="175" fontId="6" fillId="4" borderId="0" xfId="0" applyNumberFormat="1" applyFont="1" applyFill="1" applyAlignment="1">
      <alignment vertical="center"/>
    </xf>
    <xf numFmtId="8" fontId="22" fillId="0" borderId="7" xfId="0" applyNumberFormat="1" applyFont="1" applyBorder="1" applyAlignment="1">
      <alignment horizontal="center" vertical="center" wrapText="1"/>
    </xf>
    <xf numFmtId="8" fontId="22" fillId="0" borderId="8" xfId="0" applyNumberFormat="1" applyFont="1" applyBorder="1" applyAlignment="1">
      <alignment horizontal="center" vertical="center" wrapText="1"/>
    </xf>
  </cellXfs>
  <cellStyles count="4">
    <cellStyle name="Currency" xfId="3" builtinId="4"/>
    <cellStyle name="Hyperlink" xfId="1" builtinId="8"/>
    <cellStyle name="Normal" xfId="0" builtinId="0"/>
    <cellStyle name="Normal 2" xfId="2" xr:uid="{B02E93D6-0E93-4B55-B3EA-813C71BAF781}"/>
  </cellStyles>
  <dxfs count="231">
    <dxf>
      <numFmt numFmtId="12" formatCode="&quot;$&quot;#,##0.00_);[Red]\(&quot;$&quot;#,##0.00\)"/>
      <alignment horizontal="left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" formatCode="0"/>
    </dxf>
    <dxf>
      <numFmt numFmtId="12" formatCode="&quot;$&quot;#,##0.00_);[Red]\(&quot;$&quot;#,##0.00\)"/>
    </dxf>
    <dxf>
      <numFmt numFmtId="1" formatCode="0"/>
    </dxf>
    <dxf>
      <numFmt numFmtId="12" formatCode="&quot;$&quot;#,##0.00_);[Red]\(&quot;$&quot;#,##0.00\)"/>
    </dxf>
    <dxf>
      <font>
        <b/>
        <sz val="12"/>
        <color auto="1"/>
      </font>
      <numFmt numFmtId="167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75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75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74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0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75" formatCode="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75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8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8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0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0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5" formatCode="d/mm/yyyy"/>
      <fill>
        <patternFill patternType="solid">
          <fgColor indexed="64"/>
          <bgColor theme="0" tint="-0.149998474074526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5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m/d/yy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5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5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68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230"/>
    </tableStyle>
  </tableStyles>
  <colors>
    <mruColors>
      <color rgb="FF94D61E"/>
      <color rgb="FFD8CFE3"/>
      <color rgb="FF500000"/>
      <color rgb="FFE5E3E3"/>
      <color rgb="FFAB6D6D"/>
      <color rgb="FF6F3505"/>
      <color rgb="FF757171"/>
      <color rgb="FF860000"/>
      <color rgb="FF4D3A64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8</xdr:row>
      <xdr:rowOff>57150</xdr:rowOff>
    </xdr:from>
    <xdr:to>
      <xdr:col>11</xdr:col>
      <xdr:colOff>495301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105275" y="1512570"/>
          <a:ext cx="5023486" cy="301180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320" totalsRowShown="0" headerRowDxfId="205" dataDxfId="204">
  <autoFilter ref="A1:F320" xr:uid="{7ED95743-F75E-4CF1-ACE5-33EBA2B81EAE}">
    <filterColumn colId="0">
      <filters>
        <filter val="SANTA JUANA (jorge escobar) X@"/>
      </filters>
    </filterColumn>
  </autoFilter>
  <sortState xmlns:xlrd2="http://schemas.microsoft.com/office/spreadsheetml/2017/richdata2" ref="A2:F318">
    <sortCondition ref="A1:A318"/>
  </sortState>
  <tableColumns count="6">
    <tableColumn id="1" xr3:uid="{36A50E19-DC7A-4E16-BE4C-42C64333F9EA}" name="PROVEEDOR" dataDxfId="203"/>
    <tableColumn id="2" xr3:uid="{33B16C29-2DF5-45A1-87C1-48E44DFA4D60}" name="DIAS DE PLAZO" dataDxfId="202"/>
    <tableColumn id="3" xr3:uid="{FB09C725-92D2-4DCA-AB96-E3501A05815F}" name="IVA" dataDxfId="201"/>
    <tableColumn id="7" xr3:uid="{6DF6E84E-4497-42A2-A0FF-8BB736818592}" name="ID RETENCION" dataDxfId="200"/>
    <tableColumn id="5" xr3:uid="{C601C28E-77FB-4104-BEA3-CABF7F512A2B}" name="CORREO" dataDxfId="199"/>
    <tableColumn id="6" xr3:uid="{0898AD1E-5D0B-451F-AD5F-54E60AC27BC0}" name="CUENTA BANCARIA" dataDxfId="19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Z2398" totalsRowShown="0" headerRowDxfId="188" dataDxfId="187" tableBorderDxfId="186">
  <sortState xmlns:xlrd2="http://schemas.microsoft.com/office/spreadsheetml/2017/richdata2" ref="A370:Z2384">
    <sortCondition ref="G1:G2384"/>
  </sortState>
  <tableColumns count="26">
    <tableColumn id="13" xr3:uid="{00000000-0010-0000-0000-00000D000000}" name="Crédito / Contado" dataDxfId="185" totalsRowDxfId="184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183" totalsRowDxfId="182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181" totalsRowDxfId="180">
      <calculatedColumnFormula>+VLOOKUP(PROVEEDORES[[#This Row],[PROVEEDOR]],TERCEROS_INFO[#All],2,FALSE)</calculatedColumnFormula>
    </tableColumn>
    <tableColumn id="2" xr3:uid="{CA18640B-7586-4599-A1A6-79DD9C098ECB}" name="SALDO PROVEEDOR" dataDxfId="179" totalsRowDxfId="178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177" totalsRowDxfId="176"/>
    <tableColumn id="7" xr3:uid="{2C9B9FC6-B6FA-4691-B956-6773DF789E72}" name="CORREO" dataDxfId="175" totalsRowDxfId="174">
      <calculatedColumnFormula>+VLOOKUP(PROVEEDORES[[#This Row],[PROVEEDOR]],
                       Terceros!$A:$F,
                       5,
                       FALSE)</calculatedColumnFormula>
    </tableColumn>
    <tableColumn id="11" xr3:uid="{00000000-0010-0000-0000-00000B000000}" name="FECHA DE PAGO" dataDxfId="173" totalsRowDxfId="172"/>
    <tableColumn id="4" xr3:uid="{00000000-0010-0000-0000-000004000000}" name="PROVEEDOR" dataDxfId="171" totalsRowDxfId="170"/>
    <tableColumn id="1" xr3:uid="{00000000-0010-0000-0000-000001000000}" name="FECHA DE FACTURACIÓN" dataDxfId="169" totalsRowDxfId="168"/>
    <tableColumn id="3" xr3:uid="{00000000-0010-0000-0000-000003000000}" name="# DE FACTURA" dataDxfId="167" totalsRowDxfId="166"/>
    <tableColumn id="15" xr3:uid="{B1350CF4-DA6B-4294-A0DB-4FBB916B554A}" name="SUBTOTAL" dataDxfId="165" totalsRowDxfId="164"/>
    <tableColumn id="17" xr3:uid="{A79AB6A5-68EA-474F-A3FF-ABB7D1FAF67C}" name="descuento sobre subtotal" dataDxfId="163" totalsRowDxfId="162"/>
    <tableColumn id="16" xr3:uid="{32787828-8C20-41E0-97DF-12438EA779B5}" name="IVA 19%" dataDxfId="161" totalsRowDxfId="160">
      <calculatedColumnFormula>(PROVEEDORES[[#This Row],[SUBTOTAL]]-PROVEEDORES[[#This Row],[descuento sobre subtotal]])*VLOOKUP(PROVEEDORES[[#This Row],[PROVEEDOR]],TERCEROS_INFO[#All],3,FALSE)</calculatedColumnFormula>
    </tableColumn>
    <tableColumn id="18" xr3:uid="{810F2A6C-D445-432A-A959-F319CA671B12}" name="Descuento sobre subtotal %" dataDxfId="159" totalsRowDxfId="158"/>
    <tableColumn id="19" xr3:uid="{8E79B2DF-E4C8-4835-BA19-92575BA6D5A8}" name="Descuento sobre subtotal $2" dataDxfId="157" totalsRowDxfId="156">
      <calculatedColumnFormula>+PROVEEDORES[[#This Row],[Descuento sobre subtotal %]]*(PROVEEDORES[[#This Row],[SUBTOTAL]]-PROVEEDORES[[#This Row],[descuento sobre subtotal]])</calculatedColumnFormula>
    </tableColumn>
    <tableColumn id="5" xr3:uid="{509594F6-DB0D-451A-A2DA-90F348BFE23F}" name="Rete Fuente %" dataDxfId="155" totalsRowDxfId="154">
      <calculatedColumnFormula>+IF(PROVEEDORES[[#This Row],[SUBTOTAL]]&lt;PROVEEDORES[[#This Row],[base retencion]],0,PROVEEDORES[[#This Row],[retención aplicada]])</calculatedColumnFormula>
    </tableColumn>
    <tableColumn id="21" xr3:uid="{3708E46D-09DC-4E94-9398-61B753B43C10}" name="Rete Fuente $" dataDxfId="153" totalsRowDxfId="152">
      <calculatedColumnFormula>+PROVEEDORES[[#This Row],[Rete Fuente %]]*(PROVEEDORES[[#This Row],[SUBTOTAL]]-PROVEEDORES[[#This Row],[descuento sobre subtotal]])</calculatedColumnFormula>
    </tableColumn>
    <tableColumn id="22" xr3:uid="{BC400F1B-A204-41A6-A0A2-E831AD48252C}" name="Total" dataDxfId="151" totalsRowDxfId="150">
      <calculatedColumnFormula>+PROVEEDORES[[#This Row],[SUBTOTAL]]+PROVEEDORES[[#This Row],[IVA 19%]]-PROVEEDORES[[#This Row],[descuento sobre subtotal]]-PROVEEDORES[[#This Row],[Descuento sobre subtotal $2]]-PROVEEDORES[[#This Row],[Rete Fuente $]]</calculatedColumnFormula>
    </tableColumn>
    <tableColumn id="12" xr3:uid="{00000000-0010-0000-0000-00000C000000}" name="Estado de la factura" dataDxfId="149" totalsRowDxfId="148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8" xr3:uid="{BB24E7AB-03AF-45D0-8B8F-F77FB29B13AF}" name="días de vencimiento" dataDxfId="147" totalsRowDxfId="146">
      <calculatedColumnFormula>IF(PROVEEDORES[[#This Row],[FECHA DE PAGO]]=0,TODAY()-PROVEEDORES[[#This Row],[FECHA DE FACTURACIÓN]]-PROVEEDORES[[#This Row],[PLAZO Días]],0)</calculatedColumnFormula>
    </tableColumn>
    <tableColumn id="14" xr3:uid="{DD0F8145-67E4-4869-AF10-5FA647996A45}" name="ID RETENCION" dataDxfId="145" totalsRowDxfId="144">
      <calculatedColumnFormula>+VLOOKUP(PROVEEDORES[[#This Row],[PROVEEDOR]],Terceros!$A:$D,4,FALSE)</calculatedColumnFormula>
    </tableColumn>
    <tableColumn id="9" xr3:uid="{CF488130-1CA7-4C2E-A675-7C4B6C3241B2}" name="año facturado" dataDxfId="143" totalsRowDxfId="142">
      <calculatedColumnFormula>+YEAR(PROVEEDORES[[#This Row],[FECHA DE FACTURACIÓN]])</calculatedColumnFormula>
    </tableColumn>
    <tableColumn id="25" xr3:uid="{14878D9B-5127-4C97-AE59-B242D3DF8260}" name="indicador de columna" dataDxfId="141" totalsRowDxfId="140">
      <calculatedColumnFormula>+MATCH(PROVEEDORES[[#This Row],[año facturado]],Retenciones!$1:$1,0)</calculatedColumnFormula>
    </tableColumn>
    <tableColumn id="24" xr3:uid="{599BF99C-B1CB-4B80-A4D4-5CD439D15A2B}" name="base retencion" dataDxfId="139" totalsRowDxfId="138">
      <calculatedColumnFormula>+VLOOKUP(PROVEEDORES[[#This Row],[ID RETENCION]],Retenciones!$A$1:$O$25,PROVEEDORES[[#This Row],[indicador de columna]],FALSE)</calculatedColumnFormula>
    </tableColumn>
    <tableColumn id="26" xr3:uid="{0DFE0347-37D3-4F2D-A383-1AB170844AF8}" name="retención aplicada" dataDxfId="137" totalsRowDxfId="136">
      <calculatedColumnFormula>+VLOOKUP(PROVEEDORES[[#This Row],[ID RETENCION]],Retenciones!$A$1:$O$25,2,FALSE)</calculatedColumnFormula>
    </tableColumn>
    <tableColumn id="20" xr3:uid="{EDA8AC1A-A4E7-4B92-9589-74327F922EDA}" name="X@" dataDxfId="135" totalsRowDxfId="134">
      <calculatedColumnFormula>OR(COUNTIF(PROVEEDORES[[#This Row],[PROVEEDOR]],"*"&amp;'Palabra no opera'!$A$2&amp;"*"))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178" totalsRowShown="0" headerRowDxfId="88" dataDxfId="87" tableBorderDxfId="86">
  <autoFilter ref="A1:I178" xr:uid="{00000000-0009-0000-0100-000001000000}"/>
  <sortState xmlns:xlrd2="http://schemas.microsoft.com/office/spreadsheetml/2017/richdata2" ref="A2:I150">
    <sortCondition ref="D1:D150"/>
  </sortState>
  <tableColumns count="9">
    <tableColumn id="13" xr3:uid="{B42BD185-3F71-4F2C-AEA4-92B1BD04B885}" name="Crédito / Contado" dataDxfId="85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84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83">
      <calculatedColumnFormula>+VLOOKUP(PROVEEDORES3[[#This Row],[PROVEEDOR]],TERCEROS_INFO[[PROVEEDOR]:[CORREO]],5,FALSE)</calculatedColumnFormula>
    </tableColumn>
    <tableColumn id="11" xr3:uid="{574CCCB7-6404-4014-A7C4-E24B35C8242E}" name="FECHA DE PAGO" dataDxfId="82"/>
    <tableColumn id="4" xr3:uid="{2700B3B9-841F-4270-BE9A-B050B545D6DF}" name="PROVEEDOR" dataDxfId="81"/>
    <tableColumn id="1" xr3:uid="{B9637DF7-0F06-414E-8A02-470A0D288B88}" name="FECHA DE FACTURACIÓN" dataDxfId="80"/>
    <tableColumn id="3" xr3:uid="{10A8A101-FA0E-4186-AE5D-EF5556E9484A}" name="# DE FACTURA" dataDxfId="79"/>
    <tableColumn id="15" xr3:uid="{30CB4C40-8263-4421-A32D-17C764402102}" name="Total USD" dataDxfId="78"/>
    <tableColumn id="17" xr3:uid="{1392C75A-49B5-4F13-B7A2-4E0DF985E8DF}" name="COP" dataDxfId="77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1686" totalsRowShown="0" headerRowDxfId="73" dataDxfId="72">
  <autoFilter ref="A1:J1686" xr:uid="{00000000-000C-0000-FFFF-FFFF02000000}">
    <filterColumn colId="0">
      <filters>
        <dateGroupItem year="2023" month="12" dateTimeGrouping="month"/>
      </filters>
    </filterColumn>
  </autoFilter>
  <sortState xmlns:xlrd2="http://schemas.microsoft.com/office/spreadsheetml/2017/richdata2" ref="A1629:J1686">
    <sortCondition ref="B1:B1686"/>
  </sortState>
  <tableColumns count="10">
    <tableColumn id="1" xr3:uid="{00000000-0010-0000-0200-000001000000}" name="Fecha" dataDxfId="71" totalsRowDxfId="70"/>
    <tableColumn id="2" xr3:uid="{00000000-0010-0000-0200-000002000000}" name="PRESTAMO" dataDxfId="69" totalsRowDxfId="68"/>
    <tableColumn id="5" xr3:uid="{00000000-0010-0000-0200-000005000000}" name="$ CAPITAL" dataDxfId="67" totalsRowDxfId="66"/>
    <tableColumn id="6" xr3:uid="{00000000-0010-0000-0200-000006000000}" name="$ INTERESES" dataDxfId="65" totalsRowDxfId="64"/>
    <tableColumn id="13" xr3:uid="{AC18AAE4-5F2F-43AA-9096-028504347CEB}" name="PAGO" dataDxfId="63" totalsRowDxfId="62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61" totalsRowDxfId="60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59" totalsRowDxfId="58"/>
    <tableColumn id="10" xr3:uid="{00000000-0010-0000-0200-00000A000000}" name="VALOR EN DOLARES" dataDxfId="57" totalsRowDxfId="56"/>
    <tableColumn id="4" xr3:uid="{00000000-0010-0000-0200-000004000000}" name="ABONOS" dataDxfId="55" totalsRowDxfId="54">
      <calculatedColumnFormula>+IF(FINANCIACION[[#This Row],[$ CAPITAL]]&gt;0,FINANCIACION[[#This Row],[$ CAPITAL]])</calculatedColumnFormula>
    </tableColumn>
    <tableColumn id="11" xr3:uid="{00000000-0010-0000-0200-00000B000000}" name="Pagos del mes" dataDxfId="53" totalsRowDxfId="52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X59" totalsRowShown="0" headerRowDxfId="51" dataDxfId="50">
  <autoFilter ref="A1:X59" xr:uid="{0E1D4469-06DD-45C8-98F5-0FCFA256904B}"/>
  <sortState xmlns:xlrd2="http://schemas.microsoft.com/office/spreadsheetml/2017/richdata2" ref="A2:R58">
    <sortCondition ref="A1:A58"/>
  </sortState>
  <tableColumns count="24">
    <tableColumn id="1" xr3:uid="{352BFAB1-24B4-46D7-A59C-4164B96E8980}" name="PRESTAMO" dataDxfId="49"/>
    <tableColumn id="2" xr3:uid="{6EB76E51-9174-4C1E-BDF6-0A5B2C6DC493}" name="01/01/2022" dataDxfId="48">
      <calculatedColumnFormula>-SUMIFS(FINANCIACION[$ CAPITAL],
FINANCIACION[Fecha],"&lt;="&amp;EOMONTH(B$1,0),
FINANCIACION[PRESTAMO],$A2)</calculatedColumnFormula>
    </tableColumn>
    <tableColumn id="3" xr3:uid="{3D6D5452-192E-47A7-84EB-C9C03F4939B1}" name="01/02/2022" dataDxfId="47">
      <calculatedColumnFormula>-SUMIFS(FINANCIACION[$ CAPITAL],
FINANCIACION[Fecha],"&lt;="&amp;EOMONTH(C$1,0),
FINANCIACION[PRESTAMO],$A2)</calculatedColumnFormula>
    </tableColumn>
    <tableColumn id="5" xr3:uid="{F1AC7D11-29A5-4A81-A355-FA223C246E4E}" name="01/03/2022" dataDxfId="46">
      <calculatedColumnFormula>-SUMIFS(FINANCIACION[$ CAPITAL],
FINANCIACION[Fecha],"&lt;="&amp;EOMONTH(D$1,0),
FINANCIACION[PRESTAMO],$A2)</calculatedColumnFormula>
    </tableColumn>
    <tableColumn id="4" xr3:uid="{2474FA82-00FF-4C86-800E-0E396C761EDC}" name="01/04/2022" dataDxfId="45">
      <calculatedColumnFormula>-SUMIFS(FINANCIACION[$ CAPITAL],
FINANCIACION[Fecha],"&lt;="&amp;EOMONTH(E$1,0),
FINANCIACION[PRESTAMO],$A2)</calculatedColumnFormula>
    </tableColumn>
    <tableColumn id="6" xr3:uid="{F227FAF6-08CB-4A1D-95D3-EF3FA1CD69EE}" name="01/05/2022" dataDxfId="44">
      <calculatedColumnFormula>-SUMIFS(FINANCIACION[$ CAPITAL],
FINANCIACION[Fecha],"&lt;="&amp;EOMONTH(F$1,0),
FINANCIACION[PRESTAMO],$A2)</calculatedColumnFormula>
    </tableColumn>
    <tableColumn id="7" xr3:uid="{1570F9A1-DE1D-4B5E-96DC-FB103A917B6B}" name="01/06/2022" dataDxfId="43">
      <calculatedColumnFormula>-SUMIFS(FINANCIACION[$ CAPITAL],
FINANCIACION[Fecha],"&lt;="&amp;EOMONTH(G$1,0),
FINANCIACION[PRESTAMO],$A2)</calculatedColumnFormula>
    </tableColumn>
    <tableColumn id="8" xr3:uid="{D5B1AD3C-2BDA-4D91-8426-BF6882DF6ABD}" name="01/07/2022" dataDxfId="42">
      <calculatedColumnFormula>-SUMIFS(FINANCIACION[$ CAPITAL],
FINANCIACION[Fecha],"&lt;="&amp;EOMONTH(H$1,0),
FINANCIACION[PRESTAMO],$A2)</calculatedColumnFormula>
    </tableColumn>
    <tableColumn id="9" xr3:uid="{D21CD297-A565-4B47-BC91-A398EE542589}" name="01/08/2022" dataDxfId="41">
      <calculatedColumnFormula>-SUMIFS(FINANCIACION[$ CAPITAL],
FINANCIACION[Fecha],"&lt;="&amp;EOMONTH(I$1,0),
FINANCIACION[PRESTAMO],$A2)</calculatedColumnFormula>
    </tableColumn>
    <tableColumn id="10" xr3:uid="{C36D4EF1-39A4-402F-84AC-D48777714F6D}" name="01/09/2022" dataDxfId="40">
      <calculatedColumnFormula>-SUMIFS(FINANCIACION[$ CAPITAL],
FINANCIACION[Fecha],"&lt;="&amp;EOMONTH(J$1,0),
FINANCIACION[PRESTAMO],$A2)</calculatedColumnFormula>
    </tableColumn>
    <tableColumn id="12" xr3:uid="{47719FDB-3022-4CF3-9CDF-80E602874394}" name="01/10/2022" dataDxfId="39">
      <calculatedColumnFormula>-SUMIFS(FINANCIACION[$ CAPITAL],
FINANCIACION[Fecha],"&lt;="&amp;EOMONTH(K$1,0),
FINANCIACION[PRESTAMO],$A2)</calculatedColumnFormula>
    </tableColumn>
    <tableColumn id="11" xr3:uid="{7851B509-2228-4364-BE00-ED02B6ADC715}" name="01/11/2022" dataDxfId="38">
      <calculatedColumnFormula>-SUMIFS(FINANCIACION[$ CAPITAL],
FINANCIACION[Fecha],"&lt;="&amp;EOMONTH(L$1,0),
FINANCIACION[PRESTAMO],$A2)</calculatedColumnFormula>
    </tableColumn>
    <tableColumn id="13" xr3:uid="{58AC9E35-B0DA-4F5D-9881-0B4AB4BBDB33}" name="01/12/2022" dataDxfId="37">
      <calculatedColumnFormula>-SUMIFS(FINANCIACION[$ CAPITAL],
FINANCIACION[Fecha],"&lt;="&amp;EOMONTH(M$1,0),
FINANCIACION[PRESTAMO],$A2)</calculatedColumnFormula>
    </tableColumn>
    <tableColumn id="24" xr3:uid="{D722D2A9-2B00-4D16-B337-2CF6B32F22ED}" name="31/01/2023" dataDxfId="36">
      <calculatedColumnFormula>-SUMIFS(FINANCIACION[$ CAPITAL],
FINANCIACION[Fecha],"&lt;="&amp;EOMONTH(N$1,0),
FINANCIACION[PRESTAMO],$A2)</calculatedColumnFormula>
    </tableColumn>
    <tableColumn id="26" xr3:uid="{212E95CF-CAC5-4553-997E-1C7080475A98}" name="28/02/2023" dataDxfId="35">
      <calculatedColumnFormula>-SUMIFS(FINANCIACION[$ CAPITAL],
FINANCIACION[Fecha],"&lt;="&amp;EOMONTH(O$1,0),
FINANCIACION[PRESTAMO],$A2)</calculatedColumnFormula>
    </tableColumn>
    <tableColumn id="14" xr3:uid="{207C26E6-B20F-45BD-A9EB-0FAF20EF4CFC}" name="31/03/2023" dataDxfId="34">
      <calculatedColumnFormula>-SUMIFS(FINANCIACION[$ CAPITAL],
FINANCIACION[Fecha],"&lt;="&amp;EOMONTH(P$1,0),
FINANCIACION[PRESTAMO],$A2)</calculatedColumnFormula>
    </tableColumn>
    <tableColumn id="15" xr3:uid="{3AD20EC7-5105-4C7A-B492-F71660ABA361}" name="30/04/2023" dataDxfId="33">
      <calculatedColumnFormula>-SUMIFS(FINANCIACION[$ CAPITAL],
FINANCIACION[Fecha],"&lt;="&amp;EOMONTH(Q$1,0),
FINANCIACION[PRESTAMO],$A2)</calculatedColumnFormula>
    </tableColumn>
    <tableColumn id="16" xr3:uid="{0D870312-F1CA-4B1F-ABA1-605B1AE61490}" name="31/05/2023" dataDxfId="32">
      <calculatedColumnFormula>-SUMIFS(FINANCIACION[$ CAPITAL],
FINANCIACION[Fecha],"&lt;="&amp;EOMONTH(R$1,0),
FINANCIACION[PRESTAMO],$A2)</calculatedColumnFormula>
    </tableColumn>
    <tableColumn id="17" xr3:uid="{A5E9AE7A-7C9D-441C-A85A-348876D10C64}" name="30/06/2023" dataDxfId="31">
      <calculatedColumnFormula>-SUMIFS(FINANCIACION[$ CAPITAL],
FINANCIACION[Fecha],"&lt;="&amp;EOMONTH(S$1,0),
FINANCIACION[PRESTAMO],$A2)</calculatedColumnFormula>
    </tableColumn>
    <tableColumn id="18" xr3:uid="{E779DDCE-1B54-4715-BFA9-C4B958D827FA}" name="31/07/2023" dataDxfId="30">
      <calculatedColumnFormula>-SUMIFS(FINANCIACION[$ CAPITAL],
FINANCIACION[Fecha],"&lt;="&amp;EOMONTH(T$1,0),
FINANCIACION[PRESTAMO],$A2)</calculatedColumnFormula>
    </tableColumn>
    <tableColumn id="19" xr3:uid="{4DA99425-FB00-45D8-A036-CEA1D7190F43}" name="31/08/2023" dataDxfId="29">
      <calculatedColumnFormula>-SUMIFS(FINANCIACION[$ CAPITAL],
FINANCIACION[Fecha],"&lt;="&amp;EOMONTH(U$1,0),
FINANCIACION[PRESTAMO],$A2)</calculatedColumnFormula>
    </tableColumn>
    <tableColumn id="21" xr3:uid="{0D7966F1-E548-4E1F-AF2C-99FF8DD70E8F}" name="30/09/2023" dataDxfId="28">
      <calculatedColumnFormula>-SUMIFS(FINANCIACION[$ CAPITAL],
FINANCIACION[Fecha],"&lt;="&amp;EOMONTH(V$1,0),
FINANCIACION[PRESTAMO],$A2)</calculatedColumnFormula>
    </tableColumn>
    <tableColumn id="20" xr3:uid="{694A1EAA-2927-438C-8021-5E71443ADD66}" name="31/10/2023" dataDxfId="27">
      <calculatedColumnFormula>-SUMIFS(FINANCIACION[$ CAPITAL],
FINANCIACION[Fecha],"&lt;="&amp;EOMONTH(W$1,0),
FINANCIACION[PRESTAMO],$A2)</calculatedColumnFormula>
    </tableColumn>
    <tableColumn id="22" xr3:uid="{035697E2-6F2E-4613-9D3C-6042C2DA0AF5}" name="30/11/2023" dataDxfId="26">
      <calculatedColumnFormula>-SUMIFS(FINANCIACION[$ CAPITAL],
FINANCIACION[Fecha],"&lt;="&amp;EOMONTH(X$1,0),
FINANCIACION[PRESTAMO],$A2)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W2390" totalsRowShown="0">
  <autoFilter ref="A6:W2390" xr:uid="{73DB2F45-C381-47B2-8086-480DEE1C9502}">
    <filterColumn colId="22">
      <filters>
        <filter val="vencida"/>
      </filters>
    </filterColumn>
  </autoFilter>
  <sortState xmlns:xlrd2="http://schemas.microsoft.com/office/spreadsheetml/2017/richdata2" ref="A7:W2390">
    <sortCondition descending="1" ref="G6:G2390"/>
  </sortState>
  <tableColumns count="23">
    <tableColumn id="1" xr3:uid="{132C3118-3023-4B2F-96BC-F16058F7D256}" name="PLAZO Días" dataDxfId="22"/>
    <tableColumn id="2" xr3:uid="{EC2FA82B-2E14-4DCF-9EAD-2BACCB783CD8}" name="SALDO PROVEEDOR" dataDxfId="21"/>
    <tableColumn id="3" xr3:uid="{43A7058F-2ED1-4A27-AA72-06520D8322EE}" name="NOTAS" dataDxfId="20"/>
    <tableColumn id="4" xr3:uid="{60D859DF-64A4-4B14-BEA4-53EDC451A813}" name="CORREO" dataDxfId="19"/>
    <tableColumn id="5" xr3:uid="{454828DC-3C5A-4715-824B-B24F214C5E13}" name="FECHA DE PAGO" dataDxfId="18"/>
    <tableColumn id="6" xr3:uid="{611243B7-0D0B-43AA-B686-311F876022B1}" name="PROVEEDOR" dataDxfId="17"/>
    <tableColumn id="7" xr3:uid="{D855F350-1086-42A0-8EA3-7F25CD38C9D3}" name="FECHA DE FACTURACIÓN" dataDxfId="16"/>
    <tableColumn id="8" xr3:uid="{A47DA67B-9F1D-4774-868A-72372E5564B9}" name="# DE FACTURA" dataDxfId="15"/>
    <tableColumn id="9" xr3:uid="{EFE5C62A-0ACB-4DCD-8ECF-5EF13B6C5317}" name="SUBTOTAL" dataDxfId="14"/>
    <tableColumn id="10" xr3:uid="{F1AF051F-9A83-4E4B-A579-356CF6E1CC40}" name="descuento sobre subtotal" dataDxfId="13"/>
    <tableColumn id="11" xr3:uid="{8B4607B9-C44B-4133-85DE-013E69B20E93}" name="IVA 19%" dataDxfId="12"/>
    <tableColumn id="12" xr3:uid="{6A9D0E38-9470-494D-8871-9052119ECCAA}" name="Descuento sobre subtotal %" dataDxfId="11"/>
    <tableColumn id="13" xr3:uid="{B7846F5F-DCDC-455C-A820-B1866BD3DEF5}" name="Descuento sobre subtotal $2" dataDxfId="10"/>
    <tableColumn id="14" xr3:uid="{871D7124-3BAA-4827-B045-4443CA46B11E}" name="Rete Fuente %" dataDxfId="9"/>
    <tableColumn id="15" xr3:uid="{02032375-550C-45FC-AA0D-736EC726964B}" name="Rete Fuente $" dataDxfId="8"/>
    <tableColumn id="16" xr3:uid="{3FBB1F41-A526-42EA-A203-54ABBC239BBD}" name="Total" dataDxfId="7"/>
    <tableColumn id="24" xr3:uid="{7A743829-AEA0-45B6-966E-8D925966D2DE}" name="Estado de la factura" dataDxfId="6"/>
    <tableColumn id="25" xr3:uid="{B7BC761D-0768-4A9C-A5BF-420FDE6F9B67}" name="días de vencimiento" dataDxfId="5"/>
    <tableColumn id="23" xr3:uid="{0177C05A-981A-4D8C-8138-55A654CB25B0}" name="X@" dataDxfId="4">
      <calculatedColumnFormula>OR(COUNTIF(Tabla2[[#This Row],[PROVEEDOR]],"*"&amp;'Palabra no opera'!$A$2&amp;"*"))</calculatedColumnFormula>
    </tableColumn>
    <tableColumn id="17" xr3:uid="{DA71BCF1-93B0-47B9-A984-E2A41D7DDACE}" name="dias de credito" dataDxfId="3">
      <calculatedColumnFormula>+$W$5-Tabla2[[#This Row],[FECHA DE FACTURACIÓN]]</calculatedColumnFormula>
    </tableColumn>
    <tableColumn id="18" xr3:uid="{CF911DDE-F405-4380-86D1-ECA9628F67A6}" name="venc" dataDxfId="2">
      <calculatedColumnFormula>+IF(Tabla2[[#This Row],[dias de credito]]&gt;=Tabla2[[#This Row],[PLAZO Días]],"venc", "No venc")</calculatedColumnFormula>
    </tableColumn>
    <tableColumn id="19" xr3:uid="{8067E3DF-2FE9-4BF5-8CCB-1D20A2AD809A}" name="Columna1" dataDxfId="1">
      <calculatedColumnFormula>+IF(Tabla2[[#This Row],[FECHA DE PAGO]]&gt;0,"pagada","por pagar")</calculatedColumnFormula>
    </tableColumn>
    <tableColumn id="20" xr3:uid="{986FB463-3412-4AF8-ADC3-B64A4214F098}" name="VENCIDA" dataDxfId="0">
      <calculatedColumnFormula>+IF(AND(Tabla2[[#This Row],[venc]]="venc",Tabla2[[#This Row],[Columna1]]="por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sandra.ospina@powest.com;girlesa.ruiz@servipilas.com;joriescobar64@gmail.com" TargetMode="External"/><Relationship Id="rId26" Type="http://schemas.openxmlformats.org/officeDocument/2006/relationships/hyperlink" Target="mailto:cartera@makingbusiness.com.co;tesoreria@makingbusiness.com.co;girlesa.ruiz@servipilas.com;joriescobar64@gmail.com" TargetMode="External"/><Relationship Id="rId39" Type="http://schemas.openxmlformats.org/officeDocument/2006/relationships/hyperlink" Target="mailto:santiago.botero@apcmayorista.com;girlesa.ruiz@servipilas.com;joriescobar64@gmail.com" TargetMode="External"/><Relationship Id="rId21" Type="http://schemas.openxmlformats.org/officeDocument/2006/relationships/hyperlink" Target="mailto:oswaldo.alvarez@logimexsas.com;girlesa.ruiz@servipilas.com;joriescobar64@gmail.com;facturacion@servipilas.com" TargetMode="External"/><Relationship Id="rId34" Type="http://schemas.openxmlformats.org/officeDocument/2006/relationships/hyperlink" Target="mailto:LMGS789@HOTMAIL.COM;girlesa.ruiz@servipilas.com;joriescobar64@gmail.com" TargetMode="External"/><Relationship Id="rId42" Type="http://schemas.openxmlformats.org/officeDocument/2006/relationships/hyperlink" Target="mailto:mdedcnvi@bateriasduncan.com.co;girlesa.ruiz@servipilas.com;joriescobar64@gmail.com" TargetMode="External"/><Relationship Id="rId47" Type="http://schemas.openxmlformats.org/officeDocument/2006/relationships/hyperlink" Target="mailto:lsierra@santajuana.com.co;girlesa.ruiz@servipilas.com;joriescobar64@gmail.com" TargetMode="External"/><Relationship Id="rId50" Type="http://schemas.openxmlformats.org/officeDocument/2006/relationships/hyperlink" Target="mailto:UNIFORMES@" TargetMode="External"/><Relationship Id="rId55" Type="http://schemas.openxmlformats.org/officeDocument/2006/relationships/hyperlink" Target="mailto:qyqomaira0321@hotmail.com;girlesa.ruiz@servipilas.com;joriescobar64@gmail.com" TargetMode="External"/><Relationship Id="rId63" Type="http://schemas.openxmlformats.org/officeDocument/2006/relationships/hyperlink" Target="mailto:icelectronicsmedellin@hotmail.com" TargetMode="Externa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avelinacomer@gmail.com;girlesa.ruiz@servipilas.com;joriescobar64@gmail.com" TargetMode="External"/><Relationship Id="rId20" Type="http://schemas.openxmlformats.org/officeDocument/2006/relationships/hyperlink" Target="mailto:oswaldo.alvarez@logimexsas.com;girlesa.ruiz@servipilas.com;joriescobar64@gmail.com;facturacion@servipilas.com" TargetMode="External"/><Relationship Id="rId29" Type="http://schemas.openxmlformats.org/officeDocument/2006/relationships/hyperlink" Target="mailto:contabilidad@sandiego.com.co;girlesa.ruiz@servipilas.com;joriescobar64@gmail.com" TargetMode="External"/><Relationship Id="rId41" Type="http://schemas.openxmlformats.org/officeDocument/2006/relationships/hyperlink" Target="mailto:logistic@grupozambrano.com;info@servipilas.com;girlesa.ruiz@servipilas.com;joriescobar64@gmail.com" TargetMode="External"/><Relationship Id="rId54" Type="http://schemas.openxmlformats.org/officeDocument/2006/relationships/hyperlink" Target="mailto:qyqomaira0321@hotmail.com;girlesa.ruiz@servipilas.com;joriescobar64@gmail.com" TargetMode="External"/><Relationship Id="rId62" Type="http://schemas.openxmlformats.org/officeDocument/2006/relationships/hyperlink" Target="mailto:comercializadorajls@hotmail.com" TargetMode="Externa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1" Type="http://schemas.openxmlformats.org/officeDocument/2006/relationships/hyperlink" Target="mailto:alexenriquez73.ae@gmail.com;girlesa.ruiz@servipilas.com;joriescobar64@gmail.com;info@servipilas.com" TargetMode="External"/><Relationship Id="rId24" Type="http://schemas.openxmlformats.org/officeDocument/2006/relationships/hyperlink" Target="mailto:carlos.bohorquez@copapel.com;girlesa.ruiz@servipilas.com;joriescobar64@gmail.com" TargetMode="External"/><Relationship Id="rId32" Type="http://schemas.openxmlformats.org/officeDocument/2006/relationships/hyperlink" Target="mailto:tesoreria@cidet.org.co;girlesa.ruiz@servipilas.com;joriescobar64@gmail.com" TargetMode="External"/><Relationship Id="rId37" Type="http://schemas.openxmlformats.org/officeDocument/2006/relationships/hyperlink" Target="mailto:syman07@hotmail.com;girlesa.ruiz@servipilas.com;joriescobar64@gmail.com" TargetMode="External"/><Relationship Id="rId40" Type="http://schemas.openxmlformats.org/officeDocument/2006/relationships/hyperlink" Target="mailto:santiago.botero@apcmayorista.com;girlesa.ruiz@servipilas.com;joriescobar64@gmail.com" TargetMode="External"/><Relationship Id="rId45" Type="http://schemas.openxmlformats.org/officeDocument/2006/relationships/hyperlink" Target="mailto:yermingg@hotmail.com;girlesa.ruiz@servipilas.com;joriescobar64@gmail.com" TargetMode="External"/><Relationship Id="rId53" Type="http://schemas.openxmlformats.org/officeDocument/2006/relationships/hyperlink" Target="mailto:stabarbaradistronik@gmail.com;girlesa.ruiz@servipilas.com;joriescobar64@gmail.com" TargetMode="External"/><Relationship Id="rId58" Type="http://schemas.openxmlformats.org/officeDocument/2006/relationships/hyperlink" Target="mailto:aristiduque0428@gmail.com;girlesa.ruiz@servipilas.com;joriescobar64@gmail.com" TargetMode="External"/><Relationship Id="rId66" Type="http://schemas.openxmlformats.org/officeDocument/2006/relationships/table" Target="../tables/table1.xml"/><Relationship Id="rId5" Type="http://schemas.openxmlformats.org/officeDocument/2006/relationships/hyperlink" Target="mailto:lpena@tbplusenergy.com;girlesa.ruiz@servipilas.com;joriescobar64@gmail.com" TargetMode="External"/><Relationship Id="rId15" Type="http://schemas.openxmlformats.org/officeDocument/2006/relationships/hyperlink" Target="mailto:globalpowerc2018@gmail.com;girlesa.ruiz@servipilas.com;joriescobar64@gmail.com" TargetMode="External"/><Relationship Id="rId23" Type="http://schemas.openxmlformats.org/officeDocument/2006/relationships/hyperlink" Target="mailto:gerencia@som-tec.com;girlesa.ruiz@servipilas.com;joriescobar64@gmail.com" TargetMode="External"/><Relationship Id="rId28" Type="http://schemas.openxmlformats.org/officeDocument/2006/relationships/hyperlink" Target="mailto:Facturas@kinnesis.com;girlesa.ruiz@servipilas.com;joriescobar64@gmail.com" TargetMode="External"/><Relationship Id="rId36" Type="http://schemas.openxmlformats.org/officeDocument/2006/relationships/hyperlink" Target="mailto:cartera@ienewline.com;andres.arroyave@ienewline.com;girlesa.ruiz@servipilas.com;joriescobar64@gmail.com" TargetMode="External"/><Relationship Id="rId49" Type="http://schemas.openxmlformats.org/officeDocument/2006/relationships/hyperlink" Target="mailto:arrendamientos@vyp.com.co;girlesa.ruiz@servipilas.com;joriescobar64@gmail.com" TargetMode="External"/><Relationship Id="rId57" Type="http://schemas.openxmlformats.org/officeDocument/2006/relationships/hyperlink" Target="mailto:operaciones@ilux.com.co;girlesa.ruiz@servipilas.com;joriescobar64@gmail.com" TargetMode="External"/><Relationship Id="rId61" Type="http://schemas.openxmlformats.org/officeDocument/2006/relationships/hyperlink" Target="mailto:g_tech_group@outlook.es" TargetMode="External"/><Relationship Id="rId10" Type="http://schemas.openxmlformats.org/officeDocument/2006/relationships/hyperlink" Target="mailto:jessica.barrios@carpainternacional;girlesa.ruiz@servipilas.com;joriescobar64@gmail.com" TargetMode="External"/><Relationship Id="rId19" Type="http://schemas.openxmlformats.org/officeDocument/2006/relationships/hyperlink" Target="mailto:oswaldo.alvarez@logimexsas.com;girlesa.ruiz@servipilas.com;joriescobar64@gmail.com;facturacion@servipilas.com" TargetMode="External"/><Relationship Id="rId31" Type="http://schemas.openxmlformats.org/officeDocument/2006/relationships/hyperlink" Target="mailto:yermingg@hotmail.com;rubizulu@hotmail.com;girlesa.ruiz@servipilas.com;joriescobar64@gmail.com" TargetMode="External"/><Relationship Id="rId44" Type="http://schemas.openxmlformats.org/officeDocument/2006/relationships/hyperlink" Target="mailto:liauribe@une.net.co;girlesa.ruiz@servipilas.com;joriescobar64@gmail.com" TargetMode="External"/><Relationship Id="rId52" Type="http://schemas.openxmlformats.org/officeDocument/2006/relationships/hyperlink" Target="mailto:jessica.barrios@carpainternacional.com;girlesa.ruiz@servipilas.com;joriescobar64@gmail.com" TargetMode="External"/><Relationship Id="rId60" Type="http://schemas.openxmlformats.org/officeDocument/2006/relationships/hyperlink" Target="mailto:qyqcolbatteries@gmail.com;girlesa.ruiz@servipilas.com;joriescobar64@gmail.com" TargetMode="External"/><Relationship Id="rId65" Type="http://schemas.openxmlformats.org/officeDocument/2006/relationships/printerSettings" Target="../printerSettings/printerSettings3.bin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financiero@dmariocolombia.com;cartera@dmariocolombia.com.co;girlesa.ruiz@servipilas.com;joriescobar64@gmail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hyperlink" Target="mailto:oswaldo.alvarez@logimexsas.com;girlesa.ruiz@servipilas.com;joriescobar64@gmail.com;facturacion@servipilas.com" TargetMode="External"/><Relationship Id="rId27" Type="http://schemas.openxmlformats.org/officeDocument/2006/relationships/hyperlink" Target="mailto:cartera@makingbusiness.com.co;tesoreria@makingbusiness.com.co;girlesa.ruiz@servipilas.com;joriescobar64@gmail.com" TargetMode="External"/><Relationship Id="rId30" Type="http://schemas.openxmlformats.org/officeDocument/2006/relationships/hyperlink" Target="mailto:julian@ieosas.com;girlesa.ruiz@servipilas.com;joriescobar64@gmail.com" TargetMode="External"/><Relationship Id="rId35" Type="http://schemas.openxmlformats.org/officeDocument/2006/relationships/hyperlink" Target="mailto:corporacion.trovemos@gmail.com;girlesa.ruiz@servipilas.com;joriescobar64@gmail.com" TargetMode="External"/><Relationship Id="rId43" Type="http://schemas.openxmlformats.org/officeDocument/2006/relationships/hyperlink" Target="mailto:inspecciones@bomberossabaneta.com;girlesa.ruiz@servipilas.com;joriescobar64@gmail.com" TargetMode="External"/><Relationship Id="rId48" Type="http://schemas.openxmlformats.org/officeDocument/2006/relationships/hyperlink" Target="mailto:inspecciones@bomberossabaneta.com;girlesa.ruiz@servipilas.com;joriescobar64@gmail.com" TargetMode="External"/><Relationship Id="rId56" Type="http://schemas.openxmlformats.org/officeDocument/2006/relationships/hyperlink" Target="mailto:Facturas@kinnesis.com;girlesa.ruiz@servipilas.com;joriescobar64@gmail.com" TargetMode="External"/><Relationship Id="rId64" Type="http://schemas.openxmlformats.org/officeDocument/2006/relationships/hyperlink" Target="mailto:lsierra@santajuana.com.co;girlesa.ruiz@servipilas.com;joriescobar64@gmail.com" TargetMode="External"/><Relationship Id="rId8" Type="http://schemas.openxmlformats.org/officeDocument/2006/relationships/hyperlink" Target="mailto:jessica.barrios@carpainternacional.com;girlesa.ruiz@servipilas.com;joriescobar64@gmail.com" TargetMode="External"/><Relationship Id="rId51" Type="http://schemas.openxmlformats.org/officeDocument/2006/relationships/hyperlink" Target="mailto:distribuidoravamossas@gmail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12" Type="http://schemas.openxmlformats.org/officeDocument/2006/relationships/hyperlink" Target="mailto:jarlysas@gmail.com;o.clockinternational@gmail.com;girlesa.ruiz@servipilas.com;joriescobar64@gmail.com" TargetMode="External"/><Relationship Id="rId17" Type="http://schemas.openxmlformats.org/officeDocument/2006/relationships/hyperlink" Target="mailto:avelinacomer@gmail.com;girlesa.ruiz@servipilas.com;joriescobar64@gmail.com" TargetMode="External"/><Relationship Id="rId25" Type="http://schemas.openxmlformats.org/officeDocument/2006/relationships/hyperlink" Target="mailto:wruiz@tsqsa.com;girlesa.ruiz@servipilas.com;joriescobar64@gmail.com" TargetMode="External"/><Relationship Id="rId33" Type="http://schemas.openxmlformats.org/officeDocument/2006/relationships/hyperlink" Target="mailto:lygonzalez@gmail.com;girlesa.ruiz@servipilas.com;joriescobar64@gmail.com" TargetMode="External"/><Relationship Id="rId38" Type="http://schemas.openxmlformats.org/officeDocument/2006/relationships/hyperlink" Target="mailto:margaritadavid@hotmail.es;girlesa.ruiz@servipilas.com;joriescobar64@gmail.com;MERCADEO@servipilas.com" TargetMode="External"/><Relationship Id="rId46" Type="http://schemas.openxmlformats.org/officeDocument/2006/relationships/hyperlink" Target="mailto:santiago30m@hotmail.com;girlesa.ruiz@servipilas.com;joriescobar64@gmail.com" TargetMode="External"/><Relationship Id="rId59" Type="http://schemas.openxmlformats.org/officeDocument/2006/relationships/hyperlink" Target="mailto:oag15@hotmail.com;girlesa.ruiz@servipilas.com;joriescobar64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/>
  </sheetViews>
  <sheetFormatPr defaultColWidth="0" defaultRowHeight="12.75" customHeight="1" zeroHeight="1" x14ac:dyDescent="0.3"/>
  <cols>
    <col min="1" max="17" width="11.44140625" customWidth="1"/>
    <col min="18" max="19" width="11.44140625" hidden="1" customWidth="1"/>
  </cols>
  <sheetData>
    <row r="1" spans="7:14" ht="12.75" customHeight="1" x14ac:dyDescent="0.3"/>
    <row r="2" spans="7:14" ht="12.75" customHeight="1" x14ac:dyDescent="0.3">
      <c r="N2" s="60"/>
    </row>
    <row r="3" spans="7:14" ht="12.75" customHeight="1" x14ac:dyDescent="0.3"/>
    <row r="4" spans="7:14" ht="15" thickBot="1" x14ac:dyDescent="0.35"/>
    <row r="5" spans="7:14" ht="18.600000000000001" thickBot="1" x14ac:dyDescent="0.4">
      <c r="G5" s="152" t="s">
        <v>755</v>
      </c>
      <c r="H5" s="151"/>
      <c r="I5" s="151"/>
    </row>
    <row r="6" spans="7:14" ht="14.4" x14ac:dyDescent="0.3">
      <c r="G6" t="s">
        <v>859</v>
      </c>
    </row>
    <row r="7" spans="7:14" ht="14.4" x14ac:dyDescent="0.3"/>
    <row r="8" spans="7:14" ht="14.4" x14ac:dyDescent="0.3"/>
    <row r="9" spans="7:14" ht="14.4" x14ac:dyDescent="0.3"/>
    <row r="10" spans="7:14" ht="14.4" x14ac:dyDescent="0.3"/>
    <row r="11" spans="7:14" ht="14.4" x14ac:dyDescent="0.3"/>
    <row r="12" spans="7:14" ht="14.4" x14ac:dyDescent="0.3"/>
    <row r="13" spans="7:14" ht="14.4" x14ac:dyDescent="0.3"/>
    <row r="14" spans="7:14" ht="14.4" x14ac:dyDescent="0.3"/>
    <row r="15" spans="7:14" ht="14.4" x14ac:dyDescent="0.3"/>
    <row r="16" spans="7:14" ht="14.4" x14ac:dyDescent="0.3"/>
    <row r="17" spans="10:10" ht="14.4" x14ac:dyDescent="0.3"/>
    <row r="18" spans="10:10" ht="14.4" x14ac:dyDescent="0.3">
      <c r="J18" s="59"/>
    </row>
    <row r="19" spans="10:10" ht="14.4" x14ac:dyDescent="0.3"/>
    <row r="20" spans="10:10" ht="14.4" x14ac:dyDescent="0.3"/>
    <row r="21" spans="10:10" ht="14.4" x14ac:dyDescent="0.3"/>
    <row r="22" spans="10:10" ht="14.4" x14ac:dyDescent="0.3"/>
    <row r="23" spans="10:10" ht="14.4" x14ac:dyDescent="0.3"/>
    <row r="24" spans="10:10" ht="14.4" x14ac:dyDescent="0.3"/>
    <row r="25" spans="10:10" ht="14.4" x14ac:dyDescent="0.3"/>
    <row r="26" spans="10:10" ht="14.4" x14ac:dyDescent="0.3"/>
    <row r="27" spans="10:10" ht="14.4" x14ac:dyDescent="0.3"/>
    <row r="28" spans="10:10" ht="14.4" x14ac:dyDescent="0.3"/>
    <row r="29" spans="10:10" ht="14.4" x14ac:dyDescent="0.3"/>
    <row r="30" spans="10:10" ht="14.4" x14ac:dyDescent="0.3"/>
    <row r="31" spans="10:10" ht="14.4" x14ac:dyDescent="0.3"/>
    <row r="32" spans="10:10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hidden="1" x14ac:dyDescent="0.3"/>
    <row r="42" ht="12.75" customHeight="1" x14ac:dyDescent="0.3"/>
    <row r="43" ht="12.75" customHeight="1" x14ac:dyDescent="0.3"/>
    <row r="44" ht="12.75" customHeight="1" x14ac:dyDescent="0.3"/>
    <row r="45" ht="12.75" customHeight="1" x14ac:dyDescent="0.3"/>
    <row r="46" ht="12.75" customHeight="1" x14ac:dyDescent="0.3"/>
    <row r="47" ht="12.75" customHeight="1" x14ac:dyDescent="0.3"/>
    <row r="48" ht="12.75" customHeight="1" x14ac:dyDescent="0.3"/>
    <row r="49" ht="12.75" customHeight="1" x14ac:dyDescent="0.3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F18EE-E9AC-459F-858A-11A854C49E0C}">
  <sheetPr>
    <pageSetUpPr fitToPage="1"/>
  </sheetPr>
  <dimension ref="A1:N22"/>
  <sheetViews>
    <sheetView tabSelected="1" workbookViewId="0">
      <selection activeCell="C2" sqref="C2"/>
    </sheetView>
  </sheetViews>
  <sheetFormatPr defaultColWidth="11.5546875" defaultRowHeight="14.4" x14ac:dyDescent="0.3"/>
  <cols>
    <col min="1" max="1" width="10.88671875" customWidth="1"/>
    <col min="2" max="2" width="13.33203125" bestFit="1" customWidth="1"/>
    <col min="3" max="3" width="30.6640625" bestFit="1" customWidth="1"/>
    <col min="4" max="4" width="11.77734375" customWidth="1"/>
    <col min="5" max="5" width="11.21875" customWidth="1"/>
    <col min="6" max="6" width="10.77734375" customWidth="1"/>
    <col min="7" max="8" width="9.77734375" customWidth="1"/>
    <col min="9" max="9" width="9.88671875" customWidth="1"/>
    <col min="10" max="10" width="10.21875" customWidth="1"/>
    <col min="11" max="12" width="10.88671875" customWidth="1"/>
    <col min="13" max="13" width="11.77734375" bestFit="1" customWidth="1"/>
    <col min="14" max="14" width="8.77734375" customWidth="1"/>
  </cols>
  <sheetData>
    <row r="1" spans="1:14" ht="57.6" x14ac:dyDescent="0.3">
      <c r="A1" s="411" t="s">
        <v>102</v>
      </c>
      <c r="B1" s="412" t="s">
        <v>6</v>
      </c>
      <c r="C1" s="413" t="s">
        <v>3</v>
      </c>
      <c r="D1" s="414" t="s">
        <v>1</v>
      </c>
      <c r="E1" s="415" t="s">
        <v>2</v>
      </c>
      <c r="F1" s="416" t="s">
        <v>84</v>
      </c>
      <c r="G1" s="417" t="s">
        <v>841</v>
      </c>
      <c r="H1" s="416" t="s">
        <v>85</v>
      </c>
      <c r="I1" s="417" t="s">
        <v>87</v>
      </c>
      <c r="J1" s="417" t="s">
        <v>840</v>
      </c>
      <c r="K1" s="418" t="s">
        <v>89</v>
      </c>
      <c r="L1" s="417" t="s">
        <v>88</v>
      </c>
      <c r="M1" s="419" t="s">
        <v>86</v>
      </c>
      <c r="N1" s="420" t="s">
        <v>2333</v>
      </c>
    </row>
    <row r="2" spans="1:14" ht="15.6" x14ac:dyDescent="0.3">
      <c r="A2" s="403" t="s">
        <v>107</v>
      </c>
      <c r="B2" s="404">
        <v>45300</v>
      </c>
      <c r="C2" s="405" t="s">
        <v>401</v>
      </c>
      <c r="D2" s="404">
        <v>45261</v>
      </c>
      <c r="E2" s="406" t="s">
        <v>2314</v>
      </c>
      <c r="F2" s="407">
        <v>866000</v>
      </c>
      <c r="G2" s="407"/>
      <c r="H2" s="408">
        <v>0</v>
      </c>
      <c r="I2" s="409"/>
      <c r="J2" s="408">
        <v>0</v>
      </c>
      <c r="K2" s="410">
        <v>0</v>
      </c>
      <c r="L2" s="408">
        <v>0</v>
      </c>
      <c r="M2" s="407">
        <v>866000</v>
      </c>
      <c r="N2" s="402">
        <v>866000</v>
      </c>
    </row>
    <row r="3" spans="1:14" ht="15.6" x14ac:dyDescent="0.3">
      <c r="A3" s="403"/>
      <c r="B3" s="404"/>
      <c r="C3" s="405"/>
      <c r="D3" s="404"/>
      <c r="E3" s="406"/>
      <c r="F3" s="407"/>
      <c r="G3" s="407"/>
      <c r="H3" s="408"/>
      <c r="I3" s="409"/>
      <c r="J3" s="408"/>
      <c r="K3" s="410"/>
      <c r="L3" s="421" t="s">
        <v>86</v>
      </c>
      <c r="M3" s="422">
        <v>866000</v>
      </c>
      <c r="N3" s="402">
        <v>866000</v>
      </c>
    </row>
    <row r="4" spans="1:14" ht="15.6" x14ac:dyDescent="0.3">
      <c r="A4" s="403"/>
      <c r="B4" s="404"/>
      <c r="C4" s="405"/>
      <c r="D4" s="404"/>
      <c r="E4" s="406"/>
      <c r="F4" s="407"/>
      <c r="G4" s="407"/>
      <c r="H4" s="408"/>
      <c r="I4" s="409"/>
      <c r="J4" s="408"/>
      <c r="K4" s="410"/>
      <c r="L4" s="408"/>
      <c r="M4" s="407"/>
      <c r="N4" s="402"/>
    </row>
    <row r="5" spans="1:14" ht="15.6" x14ac:dyDescent="0.3">
      <c r="A5" s="403"/>
      <c r="B5" s="404"/>
      <c r="C5" s="405"/>
      <c r="D5" s="404"/>
      <c r="E5" s="406"/>
      <c r="F5" s="407"/>
      <c r="G5" s="407"/>
      <c r="H5" s="408"/>
      <c r="I5" s="409"/>
      <c r="J5" s="408"/>
      <c r="K5" s="410"/>
      <c r="L5" s="408"/>
      <c r="M5" s="407"/>
      <c r="N5" s="402"/>
    </row>
    <row r="6" spans="1:14" ht="57.6" x14ac:dyDescent="0.3">
      <c r="A6" s="411" t="s">
        <v>102</v>
      </c>
      <c r="B6" s="412" t="s">
        <v>6</v>
      </c>
      <c r="C6" s="413" t="s">
        <v>3</v>
      </c>
      <c r="D6" s="414" t="s">
        <v>1</v>
      </c>
      <c r="E6" s="415" t="s">
        <v>2</v>
      </c>
      <c r="F6" s="416" t="s">
        <v>84</v>
      </c>
      <c r="G6" s="417" t="s">
        <v>841</v>
      </c>
      <c r="H6" s="416" t="s">
        <v>85</v>
      </c>
      <c r="I6" s="417" t="s">
        <v>87</v>
      </c>
      <c r="J6" s="417" t="s">
        <v>840</v>
      </c>
      <c r="K6" s="418" t="s">
        <v>89</v>
      </c>
      <c r="L6" s="417" t="s">
        <v>88</v>
      </c>
      <c r="M6" s="419" t="s">
        <v>86</v>
      </c>
      <c r="N6" s="420" t="s">
        <v>2333</v>
      </c>
    </row>
    <row r="7" spans="1:14" ht="15.6" x14ac:dyDescent="0.3">
      <c r="A7" s="403" t="s">
        <v>368</v>
      </c>
      <c r="B7" s="404">
        <v>45300</v>
      </c>
      <c r="C7" s="405" t="s">
        <v>623</v>
      </c>
      <c r="D7" s="404">
        <v>45292</v>
      </c>
      <c r="E7" s="406" t="s">
        <v>2332</v>
      </c>
      <c r="F7" s="407">
        <v>3792544</v>
      </c>
      <c r="G7" s="407"/>
      <c r="H7" s="408">
        <v>720583.36</v>
      </c>
      <c r="I7" s="409"/>
      <c r="J7" s="408">
        <v>0</v>
      </c>
      <c r="K7" s="410">
        <v>0.04</v>
      </c>
      <c r="L7" s="408">
        <v>151701.76000000001</v>
      </c>
      <c r="M7" s="407">
        <v>4361425.6000000006</v>
      </c>
      <c r="N7" s="402">
        <v>4361426</v>
      </c>
    </row>
    <row r="8" spans="1:14" ht="15.6" x14ac:dyDescent="0.3">
      <c r="A8" s="403"/>
      <c r="B8" s="404"/>
      <c r="C8" s="405"/>
      <c r="D8" s="404"/>
      <c r="E8" s="406"/>
      <c r="F8" s="407"/>
      <c r="G8" s="407"/>
      <c r="H8" s="408"/>
      <c r="I8" s="409"/>
      <c r="J8" s="408"/>
      <c r="K8" s="410"/>
      <c r="L8" s="421" t="s">
        <v>86</v>
      </c>
      <c r="M8" s="422">
        <v>4361425.6000000006</v>
      </c>
      <c r="N8" s="402">
        <v>4361426</v>
      </c>
    </row>
    <row r="9" spans="1:14" ht="15.6" x14ac:dyDescent="0.3">
      <c r="A9" s="403"/>
      <c r="B9" s="404"/>
      <c r="C9" s="405"/>
      <c r="D9" s="404"/>
      <c r="E9" s="406"/>
      <c r="F9" s="407"/>
      <c r="G9" s="407"/>
      <c r="H9" s="408"/>
      <c r="I9" s="409"/>
      <c r="J9" s="408"/>
      <c r="K9" s="410"/>
      <c r="L9" s="408"/>
      <c r="M9" s="407"/>
      <c r="N9" s="402"/>
    </row>
    <row r="10" spans="1:14" ht="15.6" x14ac:dyDescent="0.3">
      <c r="A10" s="403"/>
      <c r="B10" s="404"/>
      <c r="C10" s="405"/>
      <c r="D10" s="404"/>
      <c r="E10" s="406"/>
      <c r="F10" s="407"/>
      <c r="G10" s="407"/>
      <c r="H10" s="408"/>
      <c r="I10" s="409"/>
      <c r="J10" s="408"/>
      <c r="K10" s="410"/>
      <c r="L10" s="408"/>
      <c r="M10" s="407"/>
      <c r="N10" s="402"/>
    </row>
    <row r="11" spans="1:14" ht="57.6" x14ac:dyDescent="0.3">
      <c r="A11" s="411" t="s">
        <v>102</v>
      </c>
      <c r="B11" s="412" t="s">
        <v>6</v>
      </c>
      <c r="C11" s="413" t="s">
        <v>3</v>
      </c>
      <c r="D11" s="414" t="s">
        <v>1</v>
      </c>
      <c r="E11" s="415" t="s">
        <v>2</v>
      </c>
      <c r="F11" s="416" t="s">
        <v>84</v>
      </c>
      <c r="G11" s="417" t="s">
        <v>841</v>
      </c>
      <c r="H11" s="416" t="s">
        <v>85</v>
      </c>
      <c r="I11" s="417" t="s">
        <v>87</v>
      </c>
      <c r="J11" s="417" t="s">
        <v>840</v>
      </c>
      <c r="K11" s="418" t="s">
        <v>89</v>
      </c>
      <c r="L11" s="417" t="s">
        <v>88</v>
      </c>
      <c r="M11" s="419" t="s">
        <v>86</v>
      </c>
      <c r="N11" s="420" t="s">
        <v>2333</v>
      </c>
    </row>
    <row r="12" spans="1:14" ht="15.6" x14ac:dyDescent="0.3">
      <c r="A12" s="403" t="s">
        <v>1116</v>
      </c>
      <c r="B12" s="404">
        <v>45300</v>
      </c>
      <c r="C12" s="405" t="s">
        <v>2330</v>
      </c>
      <c r="D12" s="404">
        <v>45292</v>
      </c>
      <c r="E12" s="406" t="s">
        <v>2329</v>
      </c>
      <c r="F12" s="407">
        <v>27605</v>
      </c>
      <c r="G12" s="407"/>
      <c r="H12" s="408">
        <v>5244.95</v>
      </c>
      <c r="I12" s="409"/>
      <c r="J12" s="408">
        <v>0</v>
      </c>
      <c r="K12" s="410">
        <v>0</v>
      </c>
      <c r="L12" s="408">
        <v>0</v>
      </c>
      <c r="M12" s="407">
        <v>32849.949999999997</v>
      </c>
      <c r="N12" s="402">
        <v>32850</v>
      </c>
    </row>
    <row r="13" spans="1:14" ht="15.6" x14ac:dyDescent="0.3">
      <c r="A13" s="403" t="s">
        <v>1116</v>
      </c>
      <c r="B13" s="404">
        <v>45300</v>
      </c>
      <c r="C13" s="405" t="s">
        <v>2330</v>
      </c>
      <c r="D13" s="404">
        <v>45292</v>
      </c>
      <c r="E13" s="406" t="s">
        <v>2328</v>
      </c>
      <c r="F13" s="407">
        <v>4394976</v>
      </c>
      <c r="G13" s="407"/>
      <c r="H13" s="408">
        <v>752248</v>
      </c>
      <c r="I13" s="409"/>
      <c r="J13" s="408">
        <v>0</v>
      </c>
      <c r="K13" s="410">
        <v>3.5000000000000003E-2</v>
      </c>
      <c r="L13" s="408">
        <v>138572</v>
      </c>
      <c r="M13" s="407">
        <v>5008652</v>
      </c>
      <c r="N13" s="402">
        <v>5008652</v>
      </c>
    </row>
    <row r="14" spans="1:14" ht="15.6" x14ac:dyDescent="0.3">
      <c r="A14" s="403"/>
      <c r="B14" s="404"/>
      <c r="C14" s="405"/>
      <c r="D14" s="404"/>
      <c r="E14" s="406"/>
      <c r="F14" s="407"/>
      <c r="G14" s="407"/>
      <c r="H14" s="408"/>
      <c r="I14" s="409"/>
      <c r="J14" s="408"/>
      <c r="K14" s="410"/>
      <c r="L14" s="421" t="s">
        <v>86</v>
      </c>
      <c r="M14" s="422">
        <v>5041501.95</v>
      </c>
      <c r="N14" s="402">
        <v>5041502</v>
      </c>
    </row>
    <row r="15" spans="1:14" ht="15.6" x14ac:dyDescent="0.3">
      <c r="A15" s="403"/>
      <c r="B15" s="404"/>
      <c r="C15" s="405"/>
      <c r="D15" s="404"/>
      <c r="E15" s="406"/>
      <c r="F15" s="407"/>
      <c r="G15" s="407"/>
      <c r="H15" s="408"/>
      <c r="I15" s="409"/>
      <c r="J15" s="408"/>
      <c r="K15" s="410"/>
      <c r="L15" s="408"/>
      <c r="M15" s="407"/>
      <c r="N15" s="402"/>
    </row>
    <row r="16" spans="1:14" ht="15.6" x14ac:dyDescent="0.3">
      <c r="A16" s="403"/>
      <c r="B16" s="404"/>
      <c r="C16" s="405"/>
      <c r="D16" s="404"/>
      <c r="E16" s="406"/>
      <c r="F16" s="407"/>
      <c r="G16" s="407"/>
      <c r="H16" s="408"/>
      <c r="I16" s="409"/>
      <c r="J16" s="408"/>
      <c r="K16" s="410"/>
      <c r="L16" s="408"/>
      <c r="M16" s="407"/>
      <c r="N16" s="402"/>
    </row>
    <row r="17" spans="1:14" ht="57.6" x14ac:dyDescent="0.3">
      <c r="A17" s="411" t="s">
        <v>102</v>
      </c>
      <c r="B17" s="412" t="s">
        <v>6</v>
      </c>
      <c r="C17" s="413" t="s">
        <v>3</v>
      </c>
      <c r="D17" s="414" t="s">
        <v>1</v>
      </c>
      <c r="E17" s="415" t="s">
        <v>2</v>
      </c>
      <c r="F17" s="416" t="s">
        <v>84</v>
      </c>
      <c r="G17" s="417" t="s">
        <v>841</v>
      </c>
      <c r="H17" s="416" t="s">
        <v>85</v>
      </c>
      <c r="I17" s="417" t="s">
        <v>87</v>
      </c>
      <c r="J17" s="417" t="s">
        <v>840</v>
      </c>
      <c r="K17" s="418" t="s">
        <v>89</v>
      </c>
      <c r="L17" s="417" t="s">
        <v>88</v>
      </c>
      <c r="M17" s="419" t="s">
        <v>86</v>
      </c>
      <c r="N17" s="420" t="s">
        <v>2333</v>
      </c>
    </row>
    <row r="18" spans="1:14" ht="15.6" x14ac:dyDescent="0.3">
      <c r="A18" s="403" t="s">
        <v>1203</v>
      </c>
      <c r="B18" s="404">
        <v>45300</v>
      </c>
      <c r="C18" s="405" t="s">
        <v>1202</v>
      </c>
      <c r="D18" s="404">
        <v>45292</v>
      </c>
      <c r="E18" s="406" t="s">
        <v>2331</v>
      </c>
      <c r="F18" s="407">
        <v>5350576</v>
      </c>
      <c r="G18" s="407"/>
      <c r="H18" s="408">
        <v>1016609</v>
      </c>
      <c r="I18" s="409"/>
      <c r="J18" s="408">
        <v>0</v>
      </c>
      <c r="K18" s="410">
        <v>0</v>
      </c>
      <c r="L18" s="408">
        <v>0</v>
      </c>
      <c r="M18" s="407">
        <v>6367185</v>
      </c>
      <c r="N18" s="402">
        <v>6367185</v>
      </c>
    </row>
    <row r="19" spans="1:14" ht="15.6" x14ac:dyDescent="0.3">
      <c r="A19" s="402"/>
      <c r="B19" s="402"/>
      <c r="C19" s="402"/>
      <c r="D19" s="402"/>
      <c r="E19" s="402"/>
      <c r="F19" s="402"/>
      <c r="G19" s="402"/>
      <c r="H19" s="402"/>
      <c r="I19" s="402"/>
      <c r="J19" s="402"/>
      <c r="K19" s="402"/>
      <c r="L19" s="423" t="s">
        <v>86</v>
      </c>
      <c r="M19" s="422">
        <v>6367185</v>
      </c>
      <c r="N19" s="402">
        <v>6367185</v>
      </c>
    </row>
    <row r="22" spans="1:14" ht="15.6" x14ac:dyDescent="0.3">
      <c r="A22" s="424"/>
      <c r="B22" s="424"/>
      <c r="C22" s="424"/>
      <c r="D22" s="424"/>
      <c r="E22" s="424"/>
      <c r="F22" s="424"/>
      <c r="G22" s="424"/>
      <c r="H22" s="424"/>
      <c r="I22" s="424"/>
      <c r="J22" s="424"/>
      <c r="K22" s="424"/>
      <c r="L22" s="424" t="s">
        <v>86</v>
      </c>
      <c r="M22" s="425">
        <v>16636112.550000001</v>
      </c>
      <c r="N22" s="424">
        <v>16636113</v>
      </c>
    </row>
  </sheetData>
  <sortState xmlns:xlrd2="http://schemas.microsoft.com/office/spreadsheetml/2017/richdata2" ref="A2:M18">
    <sortCondition ref="C1"/>
    <sortCondition ref="E1"/>
  </sortState>
  <dataValidations count="1">
    <dataValidation allowBlank="1" showInputMessage="1" showErrorMessage="1" error="Primero crea el proveedor en la hoja &quot;Proveedores&quot;." sqref="A1:M1 A6:M6 A11:M11 A17:M17" xr:uid="{04980A7B-71F1-4D16-A731-7724E128B80D}"/>
  </dataValidations>
  <pageMargins left="0.7" right="0.7" top="0.75" bottom="0.75" header="0.3" footer="0.3"/>
  <pageSetup scale="5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defaultColWidth="11.5546875" defaultRowHeight="14.4" x14ac:dyDescent="0.3"/>
  <cols>
    <col min="1" max="2" width="21.44140625" customWidth="1"/>
  </cols>
  <sheetData>
    <row r="1" spans="1:2" ht="25.8" x14ac:dyDescent="0.3">
      <c r="A1" s="1" t="s">
        <v>0</v>
      </c>
      <c r="B1" s="2">
        <f ca="1">TODAY()</f>
        <v>45300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>
      <selection activeCell="G3" sqref="G3"/>
    </sheetView>
  </sheetViews>
  <sheetFormatPr defaultColWidth="11.5546875" defaultRowHeight="14.4" x14ac:dyDescent="0.3"/>
  <cols>
    <col min="2" max="2" width="11.5546875" style="76"/>
    <col min="3" max="4" width="11.77734375" style="73" bestFit="1" customWidth="1"/>
    <col min="5" max="5" width="12.77734375" style="73" customWidth="1"/>
    <col min="6" max="15" width="12.5546875" customWidth="1"/>
  </cols>
  <sheetData>
    <row r="1" spans="1:15" s="82" customFormat="1" x14ac:dyDescent="0.3">
      <c r="A1" s="80" t="s">
        <v>576</v>
      </c>
      <c r="B1" s="81" t="s">
        <v>89</v>
      </c>
      <c r="C1" s="80">
        <v>2020</v>
      </c>
      <c r="D1" s="80">
        <v>2021</v>
      </c>
      <c r="E1" s="80">
        <v>2022</v>
      </c>
      <c r="F1" s="80">
        <v>2023</v>
      </c>
      <c r="G1" s="80">
        <v>2024</v>
      </c>
      <c r="H1" s="80">
        <v>2025</v>
      </c>
      <c r="I1" s="80">
        <v>2026</v>
      </c>
      <c r="J1" s="80">
        <v>2027</v>
      </c>
      <c r="K1" s="80">
        <v>2028</v>
      </c>
      <c r="L1" s="80">
        <v>2029</v>
      </c>
      <c r="M1" s="80">
        <v>2030</v>
      </c>
      <c r="N1" s="80">
        <v>2031</v>
      </c>
      <c r="O1" s="80">
        <v>2032</v>
      </c>
    </row>
    <row r="2" spans="1:15" x14ac:dyDescent="0.3">
      <c r="A2" s="78">
        <v>0</v>
      </c>
      <c r="B2" s="77">
        <v>0</v>
      </c>
      <c r="C2" s="79">
        <v>0</v>
      </c>
      <c r="D2" s="79">
        <v>0</v>
      </c>
      <c r="E2" s="79">
        <v>0</v>
      </c>
      <c r="F2" s="79">
        <v>0</v>
      </c>
      <c r="G2" s="79">
        <v>0</v>
      </c>
      <c r="H2" s="79"/>
      <c r="I2" s="79"/>
      <c r="J2" s="79"/>
      <c r="K2" s="79"/>
      <c r="L2" s="79"/>
      <c r="M2" s="79"/>
      <c r="N2" s="79"/>
      <c r="O2" s="79"/>
    </row>
    <row r="3" spans="1:15" x14ac:dyDescent="0.3">
      <c r="A3" s="78" t="s">
        <v>587</v>
      </c>
      <c r="B3" s="77">
        <v>0.01</v>
      </c>
      <c r="C3" s="79">
        <v>0</v>
      </c>
      <c r="D3" s="79">
        <v>0</v>
      </c>
      <c r="E3" s="79">
        <v>0</v>
      </c>
      <c r="F3" s="79">
        <v>0</v>
      </c>
      <c r="G3" s="79">
        <v>0</v>
      </c>
      <c r="H3" s="79"/>
      <c r="I3" s="79"/>
      <c r="J3" s="79"/>
      <c r="K3" s="79"/>
      <c r="L3" s="79"/>
      <c r="M3" s="79"/>
      <c r="N3" s="79"/>
      <c r="O3" s="79"/>
    </row>
    <row r="4" spans="1:15" x14ac:dyDescent="0.3">
      <c r="A4" s="78" t="s">
        <v>577</v>
      </c>
      <c r="B4" s="77">
        <v>0.01</v>
      </c>
      <c r="C4" s="79">
        <v>142000</v>
      </c>
      <c r="D4" s="79">
        <v>145000</v>
      </c>
      <c r="E4" s="79">
        <v>152000</v>
      </c>
      <c r="F4" s="79">
        <v>170000</v>
      </c>
      <c r="G4" s="79">
        <v>188000</v>
      </c>
      <c r="H4" s="79"/>
      <c r="I4" s="79"/>
      <c r="J4" s="79"/>
      <c r="K4" s="79"/>
      <c r="L4" s="79"/>
      <c r="M4" s="79"/>
      <c r="N4" s="79"/>
      <c r="O4" s="79"/>
    </row>
    <row r="5" spans="1:15" x14ac:dyDescent="0.3">
      <c r="A5" s="78" t="s">
        <v>578</v>
      </c>
      <c r="B5" s="77">
        <v>2.5000000000000001E-2</v>
      </c>
      <c r="C5" s="79">
        <v>961000</v>
      </c>
      <c r="D5" s="79">
        <v>980000</v>
      </c>
      <c r="E5" s="79">
        <v>1026000</v>
      </c>
      <c r="F5" s="79">
        <v>1145000</v>
      </c>
      <c r="G5" s="79">
        <v>1271000</v>
      </c>
      <c r="H5" s="79"/>
      <c r="I5" s="79"/>
      <c r="J5" s="79"/>
      <c r="K5" s="79"/>
      <c r="L5" s="79"/>
      <c r="M5" s="79"/>
      <c r="N5" s="79"/>
      <c r="O5" s="79"/>
    </row>
    <row r="6" spans="1:15" x14ac:dyDescent="0.3">
      <c r="A6" s="78" t="s">
        <v>579</v>
      </c>
      <c r="B6" s="77">
        <v>3.5000000000000003E-2</v>
      </c>
      <c r="C6" s="79">
        <v>0</v>
      </c>
      <c r="D6" s="79">
        <v>0</v>
      </c>
      <c r="E6" s="79">
        <v>0</v>
      </c>
      <c r="F6" s="79">
        <v>0</v>
      </c>
      <c r="G6" s="79">
        <v>0</v>
      </c>
      <c r="H6" s="79"/>
      <c r="I6" s="79"/>
      <c r="J6" s="79"/>
      <c r="K6" s="79"/>
      <c r="L6" s="79"/>
      <c r="M6" s="79"/>
      <c r="N6" s="79"/>
      <c r="O6" s="79"/>
    </row>
    <row r="7" spans="1:15" x14ac:dyDescent="0.3">
      <c r="A7" s="78" t="s">
        <v>580</v>
      </c>
      <c r="B7" s="77">
        <v>3.5000000000000003E-2</v>
      </c>
      <c r="C7" s="79">
        <v>961000</v>
      </c>
      <c r="D7" s="79">
        <v>980000</v>
      </c>
      <c r="E7" s="79">
        <v>1026000</v>
      </c>
      <c r="F7" s="79">
        <v>1145000</v>
      </c>
      <c r="G7" s="79">
        <v>1271000</v>
      </c>
      <c r="H7" s="79"/>
      <c r="I7" s="79"/>
      <c r="J7" s="79"/>
      <c r="K7" s="79"/>
      <c r="L7" s="79"/>
      <c r="M7" s="79"/>
      <c r="N7" s="79"/>
      <c r="O7" s="79"/>
    </row>
    <row r="8" spans="1:15" x14ac:dyDescent="0.3">
      <c r="A8" s="78" t="s">
        <v>581</v>
      </c>
      <c r="B8" s="77">
        <v>0.04</v>
      </c>
      <c r="C8" s="79">
        <v>0</v>
      </c>
      <c r="D8" s="79">
        <v>0</v>
      </c>
      <c r="E8" s="79">
        <v>0</v>
      </c>
      <c r="F8" s="79">
        <v>0</v>
      </c>
      <c r="G8" s="79">
        <v>0</v>
      </c>
      <c r="H8" s="79"/>
      <c r="I8" s="79"/>
      <c r="J8" s="79"/>
      <c r="K8" s="79"/>
      <c r="L8" s="79"/>
      <c r="M8" s="79"/>
      <c r="N8" s="79"/>
      <c r="O8" s="79"/>
    </row>
    <row r="9" spans="1:15" x14ac:dyDescent="0.3">
      <c r="A9" s="78" t="s">
        <v>926</v>
      </c>
      <c r="B9" s="77">
        <v>0.04</v>
      </c>
      <c r="C9" s="79">
        <v>0</v>
      </c>
      <c r="D9" s="79">
        <v>0</v>
      </c>
      <c r="E9" s="79">
        <v>150000</v>
      </c>
      <c r="F9" s="79">
        <v>170000</v>
      </c>
      <c r="G9" s="79">
        <v>188000</v>
      </c>
      <c r="H9" s="79"/>
      <c r="I9" s="79"/>
      <c r="J9" s="79"/>
      <c r="K9" s="79"/>
      <c r="L9" s="79"/>
      <c r="M9" s="79"/>
      <c r="N9" s="79"/>
      <c r="O9" s="79"/>
    </row>
    <row r="10" spans="1:15" x14ac:dyDescent="0.3">
      <c r="A10" s="78" t="s">
        <v>582</v>
      </c>
      <c r="B10" s="77">
        <v>0.11</v>
      </c>
      <c r="C10" s="79">
        <v>0</v>
      </c>
      <c r="D10" s="79">
        <v>0</v>
      </c>
      <c r="E10" s="79">
        <v>0</v>
      </c>
      <c r="F10" s="79">
        <v>0</v>
      </c>
      <c r="G10" s="79">
        <v>0</v>
      </c>
      <c r="H10" s="79"/>
      <c r="I10" s="79"/>
      <c r="J10" s="79"/>
      <c r="K10" s="79"/>
      <c r="L10" s="79"/>
      <c r="M10" s="79"/>
      <c r="N10" s="79"/>
      <c r="O10" s="79"/>
    </row>
    <row r="11" spans="1:15" x14ac:dyDescent="0.3">
      <c r="A11" s="78"/>
      <c r="B11" s="77"/>
      <c r="C11" s="79"/>
      <c r="D11" s="79"/>
      <c r="E11" s="79"/>
      <c r="F11" s="78"/>
      <c r="G11" s="79"/>
      <c r="H11" s="79"/>
      <c r="I11" s="79"/>
      <c r="J11" s="79"/>
      <c r="K11" s="79"/>
      <c r="L11" s="79"/>
      <c r="M11" s="79"/>
      <c r="N11" s="79"/>
      <c r="O11" s="79"/>
    </row>
    <row r="12" spans="1:15" x14ac:dyDescent="0.3">
      <c r="A12" s="78"/>
      <c r="B12" s="77"/>
      <c r="C12" s="79"/>
      <c r="D12" s="79"/>
      <c r="E12" s="79"/>
      <c r="F12" s="78"/>
      <c r="G12" s="79"/>
      <c r="H12" s="79"/>
      <c r="I12" s="79"/>
      <c r="J12" s="79"/>
      <c r="K12" s="79"/>
      <c r="L12" s="79"/>
      <c r="M12" s="79"/>
      <c r="N12" s="79"/>
      <c r="O12" s="79"/>
    </row>
    <row r="13" spans="1:15" x14ac:dyDescent="0.3">
      <c r="A13" s="78"/>
      <c r="B13" s="77"/>
      <c r="C13" s="79"/>
      <c r="D13" s="79"/>
      <c r="E13" s="79"/>
      <c r="F13" s="78"/>
      <c r="G13" s="79"/>
      <c r="H13" s="79"/>
      <c r="I13" s="79"/>
      <c r="J13" s="79"/>
      <c r="K13" s="79"/>
      <c r="L13" s="79"/>
      <c r="M13" s="79"/>
      <c r="N13" s="79"/>
      <c r="O13" s="79"/>
    </row>
    <row r="14" spans="1:15" x14ac:dyDescent="0.3">
      <c r="A14" s="78"/>
      <c r="B14" s="77"/>
      <c r="C14" s="79"/>
      <c r="D14" s="79"/>
      <c r="E14" s="79"/>
      <c r="F14" s="78"/>
      <c r="G14" s="79"/>
      <c r="H14" s="79"/>
      <c r="I14" s="79"/>
      <c r="J14" s="79"/>
      <c r="K14" s="79"/>
      <c r="L14" s="79"/>
      <c r="M14" s="79"/>
      <c r="N14" s="79"/>
      <c r="O14" s="79"/>
    </row>
    <row r="15" spans="1:15" x14ac:dyDescent="0.3">
      <c r="A15" s="78"/>
      <c r="B15" s="77"/>
      <c r="C15" s="79"/>
      <c r="D15" s="79"/>
      <c r="E15" s="79"/>
      <c r="F15" s="78"/>
      <c r="G15" s="79"/>
      <c r="H15" s="79"/>
      <c r="I15" s="79"/>
      <c r="J15" s="79"/>
      <c r="K15" s="79"/>
      <c r="L15" s="79"/>
      <c r="M15" s="79"/>
      <c r="N15" s="79"/>
      <c r="O15" s="79"/>
    </row>
    <row r="16" spans="1:15" x14ac:dyDescent="0.3">
      <c r="A16" s="78"/>
      <c r="B16" s="77"/>
      <c r="C16" s="79"/>
      <c r="D16" s="79"/>
      <c r="E16" s="79"/>
      <c r="F16" s="78"/>
      <c r="G16" s="79"/>
      <c r="H16" s="79"/>
      <c r="I16" s="79"/>
      <c r="J16" s="79"/>
      <c r="K16" s="79"/>
      <c r="L16" s="79"/>
      <c r="M16" s="79"/>
      <c r="N16" s="79"/>
      <c r="O16" s="79"/>
    </row>
    <row r="17" spans="1:15" x14ac:dyDescent="0.3">
      <c r="A17" s="78"/>
      <c r="B17" s="77"/>
      <c r="C17" s="79"/>
      <c r="D17" s="79"/>
      <c r="E17" s="79"/>
      <c r="F17" s="78"/>
      <c r="G17" s="79"/>
      <c r="H17" s="79"/>
      <c r="I17" s="79"/>
      <c r="J17" s="79"/>
      <c r="K17" s="79"/>
      <c r="L17" s="79"/>
      <c r="M17" s="79"/>
      <c r="N17" s="79"/>
      <c r="O17" s="79"/>
    </row>
    <row r="18" spans="1:15" x14ac:dyDescent="0.3">
      <c r="A18" s="78"/>
      <c r="B18" s="77"/>
      <c r="C18" s="79"/>
      <c r="D18" s="79"/>
      <c r="E18" s="79"/>
      <c r="F18" s="78"/>
      <c r="G18" s="79"/>
      <c r="H18" s="79"/>
      <c r="I18" s="79"/>
      <c r="J18" s="79"/>
      <c r="K18" s="79"/>
      <c r="L18" s="79"/>
      <c r="M18" s="79"/>
      <c r="N18" s="79"/>
      <c r="O18" s="79"/>
    </row>
    <row r="19" spans="1:15" x14ac:dyDescent="0.3">
      <c r="A19" s="78"/>
      <c r="B19" s="77"/>
      <c r="C19" s="79"/>
      <c r="D19" s="79"/>
      <c r="E19" s="79"/>
      <c r="F19" s="78"/>
      <c r="G19" s="79"/>
      <c r="H19" s="79"/>
      <c r="I19" s="79"/>
      <c r="J19" s="79"/>
      <c r="K19" s="79"/>
      <c r="L19" s="79"/>
      <c r="M19" s="79"/>
      <c r="N19" s="79"/>
      <c r="O19" s="79"/>
    </row>
    <row r="20" spans="1:15" x14ac:dyDescent="0.3">
      <c r="A20" s="78"/>
      <c r="B20" s="77"/>
      <c r="C20" s="79"/>
      <c r="D20" s="79"/>
      <c r="E20" s="79"/>
      <c r="F20" s="78"/>
      <c r="G20" s="79"/>
      <c r="H20" s="79"/>
      <c r="I20" s="79"/>
      <c r="J20" s="79"/>
      <c r="K20" s="79"/>
      <c r="L20" s="79"/>
      <c r="M20" s="79"/>
      <c r="N20" s="79"/>
      <c r="O20" s="79"/>
    </row>
    <row r="21" spans="1:15" x14ac:dyDescent="0.3">
      <c r="A21" s="78"/>
      <c r="B21" s="77"/>
      <c r="C21" s="79"/>
      <c r="D21" s="79"/>
      <c r="E21" s="79"/>
      <c r="F21" s="78"/>
      <c r="G21" s="79"/>
      <c r="H21" s="79"/>
      <c r="I21" s="79"/>
      <c r="J21" s="79"/>
      <c r="K21" s="79"/>
      <c r="L21" s="79"/>
      <c r="M21" s="79"/>
      <c r="N21" s="79"/>
      <c r="O21" s="79"/>
    </row>
    <row r="22" spans="1:15" x14ac:dyDescent="0.3">
      <c r="A22" s="78"/>
      <c r="B22" s="77"/>
      <c r="C22" s="79"/>
      <c r="D22" s="79"/>
      <c r="E22" s="79"/>
      <c r="F22" s="78"/>
      <c r="G22" s="79"/>
      <c r="H22" s="79"/>
      <c r="I22" s="79"/>
      <c r="J22" s="79"/>
      <c r="K22" s="79"/>
      <c r="L22" s="79"/>
      <c r="M22" s="79"/>
      <c r="N22" s="79"/>
      <c r="O22" s="79"/>
    </row>
    <row r="23" spans="1:15" x14ac:dyDescent="0.3">
      <c r="A23" s="78"/>
      <c r="B23" s="77"/>
      <c r="C23" s="79"/>
      <c r="D23" s="79"/>
      <c r="E23" s="79"/>
      <c r="F23" s="78"/>
      <c r="G23" s="79"/>
      <c r="H23" s="79"/>
      <c r="I23" s="79"/>
      <c r="J23" s="79"/>
      <c r="K23" s="79"/>
      <c r="L23" s="79"/>
      <c r="M23" s="79"/>
      <c r="N23" s="79"/>
      <c r="O23" s="79"/>
    </row>
    <row r="24" spans="1:15" x14ac:dyDescent="0.3">
      <c r="A24" s="78"/>
      <c r="B24" s="77"/>
      <c r="C24" s="79"/>
      <c r="D24" s="79"/>
      <c r="E24" s="79"/>
      <c r="F24" s="78"/>
      <c r="G24" s="79"/>
      <c r="H24" s="79"/>
      <c r="I24" s="79"/>
      <c r="J24" s="79"/>
      <c r="K24" s="79"/>
      <c r="L24" s="79"/>
      <c r="M24" s="79"/>
      <c r="N24" s="79"/>
      <c r="O24" s="79"/>
    </row>
    <row r="25" spans="1:15" x14ac:dyDescent="0.3">
      <c r="A25" s="78"/>
      <c r="B25" s="77"/>
      <c r="C25" s="79"/>
      <c r="D25" s="79"/>
      <c r="E25" s="79"/>
      <c r="F25" s="78"/>
      <c r="G25" s="79"/>
      <c r="H25" s="79"/>
      <c r="I25" s="79"/>
      <c r="J25" s="79"/>
      <c r="K25" s="79"/>
      <c r="L25" s="79"/>
      <c r="M25" s="79"/>
      <c r="N25" s="79"/>
      <c r="O25" s="7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320"/>
  <sheetViews>
    <sheetView workbookViewId="0">
      <selection activeCell="D320" sqref="D320"/>
    </sheetView>
  </sheetViews>
  <sheetFormatPr defaultColWidth="10.77734375" defaultRowHeight="21" customHeight="1" x14ac:dyDescent="0.3"/>
  <cols>
    <col min="1" max="1" width="33.44140625" style="41" customWidth="1"/>
    <col min="2" max="2" width="12.44140625" style="41" customWidth="1"/>
    <col min="3" max="3" width="9.5546875" style="41" customWidth="1"/>
    <col min="4" max="4" width="11.21875" style="102" customWidth="1"/>
    <col min="5" max="5" width="33.5546875" style="110" customWidth="1"/>
    <col min="6" max="6" width="27.5546875" style="41" customWidth="1"/>
    <col min="7" max="16384" width="10.77734375" style="41"/>
  </cols>
  <sheetData>
    <row r="1" spans="1:6" s="99" customFormat="1" ht="28.8" x14ac:dyDescent="0.3">
      <c r="A1" s="95" t="s">
        <v>3</v>
      </c>
      <c r="B1" s="96" t="s">
        <v>101</v>
      </c>
      <c r="C1" s="96" t="s">
        <v>29</v>
      </c>
      <c r="D1" s="97" t="s">
        <v>576</v>
      </c>
      <c r="E1" s="110" t="s">
        <v>102</v>
      </c>
      <c r="F1" s="98" t="s">
        <v>104</v>
      </c>
    </row>
    <row r="2" spans="1:6" s="11" customFormat="1" ht="21" hidden="1" customHeight="1" x14ac:dyDescent="0.3">
      <c r="A2" s="95" t="s">
        <v>734</v>
      </c>
      <c r="B2" s="100">
        <v>30</v>
      </c>
      <c r="C2" s="101">
        <v>0.19</v>
      </c>
      <c r="D2" s="102" t="s">
        <v>578</v>
      </c>
      <c r="E2" s="110"/>
      <c r="F2" s="41"/>
    </row>
    <row r="3" spans="1:6" s="11" customFormat="1" ht="21" hidden="1" customHeight="1" x14ac:dyDescent="0.3">
      <c r="A3" s="95" t="s">
        <v>64</v>
      </c>
      <c r="B3" s="100">
        <v>30</v>
      </c>
      <c r="C3" s="101">
        <v>0.19</v>
      </c>
      <c r="D3" s="102" t="s">
        <v>578</v>
      </c>
      <c r="E3" s="110" t="s">
        <v>107</v>
      </c>
      <c r="F3" s="41"/>
    </row>
    <row r="4" spans="1:6" s="11" customFormat="1" ht="21" hidden="1" customHeight="1" x14ac:dyDescent="0.3">
      <c r="A4" s="95" t="s">
        <v>493</v>
      </c>
      <c r="B4" s="100">
        <v>30</v>
      </c>
      <c r="C4" s="101">
        <v>0</v>
      </c>
      <c r="D4" s="102">
        <v>0</v>
      </c>
      <c r="E4" s="110" t="s">
        <v>107</v>
      </c>
      <c r="F4" s="41"/>
    </row>
    <row r="5" spans="1:6" s="11" customFormat="1" ht="21" hidden="1" customHeight="1" x14ac:dyDescent="0.3">
      <c r="A5" s="95" t="s">
        <v>341</v>
      </c>
      <c r="B5" s="100">
        <v>30</v>
      </c>
      <c r="C5" s="101">
        <v>0</v>
      </c>
      <c r="D5" s="102">
        <v>0</v>
      </c>
      <c r="E5" s="110" t="s">
        <v>325</v>
      </c>
      <c r="F5" s="41" t="s">
        <v>324</v>
      </c>
    </row>
    <row r="6" spans="1:6" s="11" customFormat="1" ht="21" hidden="1" customHeight="1" x14ac:dyDescent="0.3">
      <c r="A6" s="95" t="s">
        <v>494</v>
      </c>
      <c r="B6" s="100">
        <v>30</v>
      </c>
      <c r="C6" s="101">
        <v>0</v>
      </c>
      <c r="D6" s="102">
        <v>0</v>
      </c>
      <c r="E6" s="110" t="s">
        <v>107</v>
      </c>
      <c r="F6" s="41"/>
    </row>
    <row r="7" spans="1:6" s="11" customFormat="1" ht="21" hidden="1" customHeight="1" x14ac:dyDescent="0.3">
      <c r="A7" s="95" t="s">
        <v>343</v>
      </c>
      <c r="B7" s="100">
        <v>30</v>
      </c>
      <c r="C7" s="101">
        <v>0</v>
      </c>
      <c r="D7" s="102">
        <v>0</v>
      </c>
      <c r="E7" s="110" t="s">
        <v>342</v>
      </c>
      <c r="F7" s="41"/>
    </row>
    <row r="8" spans="1:6" s="11" customFormat="1" ht="21" hidden="1" customHeight="1" x14ac:dyDescent="0.3">
      <c r="A8" s="95" t="s">
        <v>495</v>
      </c>
      <c r="B8" s="100">
        <v>30</v>
      </c>
      <c r="C8" s="101">
        <v>0</v>
      </c>
      <c r="D8" s="102">
        <v>0</v>
      </c>
      <c r="E8" s="110" t="s">
        <v>107</v>
      </c>
      <c r="F8" s="41"/>
    </row>
    <row r="9" spans="1:6" s="11" customFormat="1" ht="21" hidden="1" customHeight="1" x14ac:dyDescent="0.3">
      <c r="A9" s="95" t="s">
        <v>345</v>
      </c>
      <c r="B9" s="100">
        <v>30</v>
      </c>
      <c r="C9" s="101">
        <v>0</v>
      </c>
      <c r="D9" s="102">
        <v>0</v>
      </c>
      <c r="E9" s="110" t="s">
        <v>107</v>
      </c>
      <c r="F9" s="41"/>
    </row>
    <row r="10" spans="1:6" s="11" customFormat="1" ht="21" hidden="1" customHeight="1" x14ac:dyDescent="0.3">
      <c r="A10" s="95" t="s">
        <v>346</v>
      </c>
      <c r="B10" s="100">
        <v>0</v>
      </c>
      <c r="C10" s="101">
        <v>0</v>
      </c>
      <c r="D10" s="102">
        <v>0</v>
      </c>
      <c r="E10" s="110"/>
      <c r="F10" s="41"/>
    </row>
    <row r="11" spans="1:6" s="11" customFormat="1" ht="21" hidden="1" customHeight="1" x14ac:dyDescent="0.3">
      <c r="A11" s="95" t="s">
        <v>347</v>
      </c>
      <c r="B11" s="100">
        <v>30</v>
      </c>
      <c r="C11" s="101">
        <v>0</v>
      </c>
      <c r="D11" s="102">
        <v>0</v>
      </c>
      <c r="E11" s="110"/>
      <c r="F11" s="41"/>
    </row>
    <row r="12" spans="1:6" s="11" customFormat="1" ht="21" hidden="1" customHeight="1" x14ac:dyDescent="0.3">
      <c r="A12" s="95" t="s">
        <v>1800</v>
      </c>
      <c r="B12" s="100">
        <v>30</v>
      </c>
      <c r="C12" s="101">
        <v>0</v>
      </c>
      <c r="D12" s="102">
        <v>0</v>
      </c>
      <c r="E12" s="155"/>
      <c r="F12" s="41"/>
    </row>
    <row r="13" spans="1:6" s="11" customFormat="1" ht="21" hidden="1" customHeight="1" x14ac:dyDescent="0.3">
      <c r="A13" s="95" t="s">
        <v>348</v>
      </c>
      <c r="B13" s="100">
        <v>30</v>
      </c>
      <c r="C13" s="101">
        <v>0</v>
      </c>
      <c r="D13" s="102">
        <v>0</v>
      </c>
      <c r="E13" s="110"/>
      <c r="F13" s="41"/>
    </row>
    <row r="14" spans="1:6" s="11" customFormat="1" ht="21" hidden="1" customHeight="1" x14ac:dyDescent="0.3">
      <c r="A14" s="95" t="s">
        <v>349</v>
      </c>
      <c r="B14" s="100">
        <v>30</v>
      </c>
      <c r="C14" s="101">
        <v>0</v>
      </c>
      <c r="D14" s="102">
        <v>0</v>
      </c>
      <c r="E14" s="110" t="s">
        <v>107</v>
      </c>
      <c r="F14" s="41"/>
    </row>
    <row r="15" spans="1:6" s="11" customFormat="1" ht="21" hidden="1" customHeight="1" x14ac:dyDescent="0.3">
      <c r="A15" s="95" t="s">
        <v>352</v>
      </c>
      <c r="B15" s="100">
        <v>30</v>
      </c>
      <c r="C15" s="101">
        <v>0</v>
      </c>
      <c r="D15" s="102">
        <v>0</v>
      </c>
      <c r="E15" s="110" t="s">
        <v>574</v>
      </c>
      <c r="F15" s="41"/>
    </row>
    <row r="16" spans="1:6" s="11" customFormat="1" ht="21" hidden="1" customHeight="1" x14ac:dyDescent="0.3">
      <c r="A16" s="95" t="s">
        <v>496</v>
      </c>
      <c r="B16" s="100">
        <v>30</v>
      </c>
      <c r="C16" s="101">
        <v>0</v>
      </c>
      <c r="D16" s="102">
        <v>0</v>
      </c>
      <c r="E16" s="110" t="s">
        <v>107</v>
      </c>
      <c r="F16" s="41"/>
    </row>
    <row r="17" spans="1:6" s="11" customFormat="1" ht="21" hidden="1" customHeight="1" x14ac:dyDescent="0.3">
      <c r="A17" s="95" t="s">
        <v>1287</v>
      </c>
      <c r="B17" s="100">
        <v>30</v>
      </c>
      <c r="C17" s="101">
        <v>0</v>
      </c>
      <c r="D17" s="102">
        <v>0</v>
      </c>
      <c r="E17" s="155"/>
      <c r="F17" s="41"/>
    </row>
    <row r="18" spans="1:6" s="11" customFormat="1" ht="21" hidden="1" customHeight="1" x14ac:dyDescent="0.3">
      <c r="A18" s="95" t="s">
        <v>1435</v>
      </c>
      <c r="B18" s="100">
        <v>30</v>
      </c>
      <c r="C18" s="101">
        <v>0</v>
      </c>
      <c r="D18" s="102">
        <v>0</v>
      </c>
      <c r="E18" s="155"/>
      <c r="F18" s="41"/>
    </row>
    <row r="19" spans="1:6" s="11" customFormat="1" ht="21" hidden="1" customHeight="1" x14ac:dyDescent="0.3">
      <c r="A19" s="95" t="s">
        <v>353</v>
      </c>
      <c r="B19" s="100">
        <v>30</v>
      </c>
      <c r="C19" s="101">
        <v>0</v>
      </c>
      <c r="D19" s="102">
        <v>0</v>
      </c>
      <c r="E19" s="110" t="s">
        <v>107</v>
      </c>
      <c r="F19" s="41"/>
    </row>
    <row r="20" spans="1:6" s="11" customFormat="1" ht="21" hidden="1" customHeight="1" x14ac:dyDescent="0.3">
      <c r="A20" s="95" t="s">
        <v>497</v>
      </c>
      <c r="B20" s="100">
        <v>30</v>
      </c>
      <c r="C20" s="101">
        <v>0</v>
      </c>
      <c r="D20" s="102">
        <v>0</v>
      </c>
      <c r="E20" s="110" t="s">
        <v>107</v>
      </c>
      <c r="F20" s="41"/>
    </row>
    <row r="21" spans="1:6" s="11" customFormat="1" ht="21" hidden="1" customHeight="1" x14ac:dyDescent="0.3">
      <c r="A21" s="95" t="s">
        <v>498</v>
      </c>
      <c r="B21" s="100">
        <v>30</v>
      </c>
      <c r="C21" s="101">
        <v>0</v>
      </c>
      <c r="D21" s="102">
        <v>0</v>
      </c>
      <c r="E21" s="110" t="s">
        <v>107</v>
      </c>
      <c r="F21" s="41"/>
    </row>
    <row r="22" spans="1:6" s="11" customFormat="1" ht="21" hidden="1" customHeight="1" x14ac:dyDescent="0.3">
      <c r="A22" s="95" t="s">
        <v>355</v>
      </c>
      <c r="B22" s="100">
        <v>10</v>
      </c>
      <c r="C22" s="101">
        <v>0</v>
      </c>
      <c r="D22" s="102">
        <v>0</v>
      </c>
      <c r="E22" s="110" t="s">
        <v>330</v>
      </c>
      <c r="F22" s="41"/>
    </row>
    <row r="23" spans="1:6" s="11" customFormat="1" ht="21" hidden="1" customHeight="1" x14ac:dyDescent="0.3">
      <c r="A23" s="95" t="s">
        <v>356</v>
      </c>
      <c r="B23" s="100">
        <v>30</v>
      </c>
      <c r="C23" s="101">
        <v>0</v>
      </c>
      <c r="D23" s="102">
        <v>0</v>
      </c>
      <c r="E23" s="110" t="s">
        <v>107</v>
      </c>
      <c r="F23" s="41"/>
    </row>
    <row r="24" spans="1:6" s="11" customFormat="1" ht="21" hidden="1" customHeight="1" x14ac:dyDescent="0.3">
      <c r="A24" s="95" t="s">
        <v>361</v>
      </c>
      <c r="B24" s="100">
        <v>30</v>
      </c>
      <c r="C24" s="101">
        <v>0</v>
      </c>
      <c r="D24" s="102">
        <v>0</v>
      </c>
      <c r="E24" s="110"/>
      <c r="F24" s="41"/>
    </row>
    <row r="25" spans="1:6" s="11" customFormat="1" ht="21" hidden="1" customHeight="1" x14ac:dyDescent="0.3">
      <c r="A25" s="95" t="s">
        <v>362</v>
      </c>
      <c r="B25" s="100">
        <v>30</v>
      </c>
      <c r="C25" s="101">
        <v>0</v>
      </c>
      <c r="D25" s="102">
        <v>0</v>
      </c>
      <c r="E25" s="110" t="s">
        <v>107</v>
      </c>
      <c r="F25" s="41"/>
    </row>
    <row r="26" spans="1:6" s="11" customFormat="1" ht="21" hidden="1" customHeight="1" x14ac:dyDescent="0.3">
      <c r="A26" s="95" t="s">
        <v>616</v>
      </c>
      <c r="B26" s="100">
        <v>30</v>
      </c>
      <c r="C26" s="101">
        <v>0</v>
      </c>
      <c r="D26" s="102">
        <v>0</v>
      </c>
      <c r="E26" s="110"/>
      <c r="F26" s="41"/>
    </row>
    <row r="27" spans="1:6" s="11" customFormat="1" ht="21" hidden="1" customHeight="1" x14ac:dyDescent="0.3">
      <c r="A27" s="95" t="s">
        <v>499</v>
      </c>
      <c r="B27" s="100">
        <v>30</v>
      </c>
      <c r="C27" s="101">
        <v>0</v>
      </c>
      <c r="D27" s="102">
        <v>0</v>
      </c>
      <c r="E27" s="110" t="s">
        <v>175</v>
      </c>
      <c r="F27" s="41"/>
    </row>
    <row r="28" spans="1:6" s="11" customFormat="1" ht="21" hidden="1" customHeight="1" x14ac:dyDescent="0.3">
      <c r="A28" s="95" t="s">
        <v>1762</v>
      </c>
      <c r="B28" s="100">
        <v>30</v>
      </c>
      <c r="C28" s="101">
        <v>0</v>
      </c>
      <c r="D28" s="102">
        <v>0</v>
      </c>
      <c r="E28" s="155"/>
      <c r="F28" s="41"/>
    </row>
    <row r="29" spans="1:6" s="11" customFormat="1" ht="21" hidden="1" customHeight="1" x14ac:dyDescent="0.3">
      <c r="A29" s="95" t="s">
        <v>364</v>
      </c>
      <c r="B29" s="100">
        <v>30</v>
      </c>
      <c r="C29" s="101">
        <v>0</v>
      </c>
      <c r="D29" s="102">
        <v>0</v>
      </c>
      <c r="E29" s="110" t="s">
        <v>254</v>
      </c>
      <c r="F29" s="41"/>
    </row>
    <row r="30" spans="1:6" s="11" customFormat="1" ht="21" hidden="1" customHeight="1" x14ac:dyDescent="0.3">
      <c r="A30" s="95" t="s">
        <v>365</v>
      </c>
      <c r="B30" s="100">
        <v>30</v>
      </c>
      <c r="C30" s="101">
        <v>0</v>
      </c>
      <c r="D30" s="102">
        <v>0</v>
      </c>
      <c r="E30" s="110"/>
      <c r="F30" s="41"/>
    </row>
    <row r="31" spans="1:6" s="11" customFormat="1" ht="21" hidden="1" customHeight="1" x14ac:dyDescent="0.3">
      <c r="A31" s="95" t="s">
        <v>366</v>
      </c>
      <c r="B31" s="100">
        <v>30</v>
      </c>
      <c r="C31" s="101">
        <v>0</v>
      </c>
      <c r="D31" s="102">
        <v>0</v>
      </c>
      <c r="E31" s="110"/>
      <c r="F31" s="41"/>
    </row>
    <row r="32" spans="1:6" s="11" customFormat="1" ht="21" hidden="1" customHeight="1" x14ac:dyDescent="0.3">
      <c r="A32" s="95" t="s">
        <v>614</v>
      </c>
      <c r="B32" s="100">
        <v>10</v>
      </c>
      <c r="C32" s="101">
        <v>0</v>
      </c>
      <c r="D32" s="102">
        <v>0</v>
      </c>
      <c r="E32" s="110" t="s">
        <v>332</v>
      </c>
      <c r="F32" s="41"/>
    </row>
    <row r="33" spans="1:6" s="11" customFormat="1" ht="21" hidden="1" customHeight="1" x14ac:dyDescent="0.3">
      <c r="A33" s="95" t="s">
        <v>367</v>
      </c>
      <c r="B33" s="100">
        <v>30</v>
      </c>
      <c r="C33" s="101">
        <v>0</v>
      </c>
      <c r="D33" s="102">
        <v>0</v>
      </c>
      <c r="E33" s="110"/>
      <c r="F33" s="41"/>
    </row>
    <row r="34" spans="1:6" s="11" customFormat="1" ht="21" hidden="1" customHeight="1" x14ac:dyDescent="0.3">
      <c r="A34" s="95" t="s">
        <v>369</v>
      </c>
      <c r="B34" s="100">
        <v>30</v>
      </c>
      <c r="C34" s="101">
        <v>0</v>
      </c>
      <c r="D34" s="102">
        <v>0</v>
      </c>
      <c r="E34" s="110" t="s">
        <v>107</v>
      </c>
      <c r="F34" s="41"/>
    </row>
    <row r="35" spans="1:6" s="11" customFormat="1" ht="21" hidden="1" customHeight="1" x14ac:dyDescent="0.3">
      <c r="A35" s="95" t="s">
        <v>370</v>
      </c>
      <c r="B35" s="100">
        <v>30</v>
      </c>
      <c r="C35" s="101">
        <v>0</v>
      </c>
      <c r="D35" s="102">
        <v>0</v>
      </c>
      <c r="E35" s="110" t="s">
        <v>107</v>
      </c>
      <c r="F35" s="41"/>
    </row>
    <row r="36" spans="1:6" s="11" customFormat="1" ht="21" hidden="1" customHeight="1" x14ac:dyDescent="0.3">
      <c r="A36" s="95" t="s">
        <v>500</v>
      </c>
      <c r="B36" s="100">
        <v>30</v>
      </c>
      <c r="C36" s="101">
        <v>0</v>
      </c>
      <c r="D36" s="102">
        <v>0</v>
      </c>
      <c r="E36" s="110" t="s">
        <v>107</v>
      </c>
      <c r="F36" s="41" t="s">
        <v>134</v>
      </c>
    </row>
    <row r="37" spans="1:6" s="11" customFormat="1" ht="21" hidden="1" customHeight="1" x14ac:dyDescent="0.3">
      <c r="A37" s="95" t="s">
        <v>501</v>
      </c>
      <c r="B37" s="100">
        <v>30</v>
      </c>
      <c r="C37" s="101">
        <v>0</v>
      </c>
      <c r="D37" s="102">
        <v>0</v>
      </c>
      <c r="E37" s="110"/>
      <c r="F37" s="41"/>
    </row>
    <row r="38" spans="1:6" s="11" customFormat="1" ht="21" hidden="1" customHeight="1" x14ac:dyDescent="0.3">
      <c r="A38" s="95" t="s">
        <v>502</v>
      </c>
      <c r="B38" s="100">
        <v>30</v>
      </c>
      <c r="C38" s="101">
        <v>0</v>
      </c>
      <c r="D38" s="102">
        <v>0</v>
      </c>
      <c r="E38" s="110" t="s">
        <v>107</v>
      </c>
      <c r="F38" s="41"/>
    </row>
    <row r="39" spans="1:6" s="11" customFormat="1" ht="21" hidden="1" customHeight="1" x14ac:dyDescent="0.3">
      <c r="A39" s="95" t="s">
        <v>503</v>
      </c>
      <c r="B39" s="100">
        <v>30</v>
      </c>
      <c r="C39" s="101">
        <v>0</v>
      </c>
      <c r="D39" s="102">
        <v>0</v>
      </c>
      <c r="E39" s="110" t="s">
        <v>107</v>
      </c>
      <c r="F39" s="41"/>
    </row>
    <row r="40" spans="1:6" s="11" customFormat="1" ht="21" hidden="1" customHeight="1" x14ac:dyDescent="0.3">
      <c r="A40" s="95" t="s">
        <v>504</v>
      </c>
      <c r="B40" s="100">
        <v>30</v>
      </c>
      <c r="C40" s="101">
        <v>0</v>
      </c>
      <c r="D40" s="102">
        <v>0</v>
      </c>
      <c r="E40" s="110" t="s">
        <v>107</v>
      </c>
      <c r="F40" s="41"/>
    </row>
    <row r="41" spans="1:6" s="11" customFormat="1" ht="21" hidden="1" customHeight="1" x14ac:dyDescent="0.3">
      <c r="A41" s="95" t="s">
        <v>777</v>
      </c>
      <c r="B41" s="100">
        <v>30</v>
      </c>
      <c r="C41" s="101">
        <v>0</v>
      </c>
      <c r="D41" s="102">
        <v>0</v>
      </c>
      <c r="E41" s="155"/>
      <c r="F41" s="41"/>
    </row>
    <row r="42" spans="1:6" s="11" customFormat="1" ht="21" hidden="1" customHeight="1" x14ac:dyDescent="0.3">
      <c r="A42" s="95" t="s">
        <v>373</v>
      </c>
      <c r="B42" s="100">
        <v>30</v>
      </c>
      <c r="C42" s="101">
        <v>0</v>
      </c>
      <c r="D42" s="102">
        <v>0</v>
      </c>
      <c r="E42" s="110" t="s">
        <v>678</v>
      </c>
      <c r="F42" s="41"/>
    </row>
    <row r="43" spans="1:6" s="11" customFormat="1" ht="21" hidden="1" customHeight="1" x14ac:dyDescent="0.3">
      <c r="A43" s="95" t="s">
        <v>505</v>
      </c>
      <c r="B43" s="100">
        <v>90</v>
      </c>
      <c r="C43" s="101">
        <v>0</v>
      </c>
      <c r="D43" s="102">
        <v>0</v>
      </c>
      <c r="E43" s="110" t="s">
        <v>107</v>
      </c>
      <c r="F43" s="41"/>
    </row>
    <row r="44" spans="1:6" s="11" customFormat="1" ht="21" hidden="1" customHeight="1" x14ac:dyDescent="0.3">
      <c r="A44" s="95" t="s">
        <v>375</v>
      </c>
      <c r="B44" s="100">
        <v>30</v>
      </c>
      <c r="C44" s="101">
        <v>0</v>
      </c>
      <c r="D44" s="102">
        <v>0</v>
      </c>
      <c r="E44" s="110"/>
      <c r="F44" s="41"/>
    </row>
    <row r="45" spans="1:6" s="11" customFormat="1" ht="21" hidden="1" customHeight="1" x14ac:dyDescent="0.3">
      <c r="A45" s="95" t="s">
        <v>377</v>
      </c>
      <c r="B45" s="100">
        <v>60</v>
      </c>
      <c r="C45" s="101">
        <v>0</v>
      </c>
      <c r="D45" s="102">
        <v>0</v>
      </c>
      <c r="E45" s="110" t="s">
        <v>376</v>
      </c>
      <c r="F45" s="41"/>
    </row>
    <row r="46" spans="1:6" s="11" customFormat="1" ht="21" hidden="1" customHeight="1" x14ac:dyDescent="0.3">
      <c r="A46" s="95" t="s">
        <v>378</v>
      </c>
      <c r="B46" s="100">
        <v>30</v>
      </c>
      <c r="C46" s="101">
        <v>0</v>
      </c>
      <c r="D46" s="102">
        <v>0</v>
      </c>
      <c r="E46" s="110" t="s">
        <v>107</v>
      </c>
      <c r="F46" s="41"/>
    </row>
    <row r="47" spans="1:6" s="11" customFormat="1" ht="21" hidden="1" customHeight="1" x14ac:dyDescent="0.3">
      <c r="A47" s="95" t="s">
        <v>506</v>
      </c>
      <c r="B47" s="100">
        <v>30</v>
      </c>
      <c r="C47" s="101">
        <v>0</v>
      </c>
      <c r="D47" s="102">
        <v>0</v>
      </c>
      <c r="E47" s="110"/>
      <c r="F47" s="41"/>
    </row>
    <row r="48" spans="1:6" s="11" customFormat="1" ht="21" hidden="1" customHeight="1" x14ac:dyDescent="0.3">
      <c r="A48" s="95" t="s">
        <v>382</v>
      </c>
      <c r="B48" s="100">
        <v>30</v>
      </c>
      <c r="C48" s="101">
        <v>0</v>
      </c>
      <c r="D48" s="102">
        <v>0</v>
      </c>
      <c r="E48" s="110" t="s">
        <v>107</v>
      </c>
      <c r="F48" s="41"/>
    </row>
    <row r="49" spans="1:6" s="11" customFormat="1" ht="21" hidden="1" customHeight="1" x14ac:dyDescent="0.3">
      <c r="A49" s="95" t="s">
        <v>383</v>
      </c>
      <c r="B49" s="100">
        <v>30</v>
      </c>
      <c r="C49" s="101">
        <v>0</v>
      </c>
      <c r="D49" s="102">
        <v>0</v>
      </c>
      <c r="E49" s="110" t="s">
        <v>107</v>
      </c>
      <c r="F49" s="41"/>
    </row>
    <row r="50" spans="1:6" s="11" customFormat="1" ht="21" hidden="1" customHeight="1" x14ac:dyDescent="0.3">
      <c r="A50" s="95" t="s">
        <v>507</v>
      </c>
      <c r="B50" s="100">
        <v>30</v>
      </c>
      <c r="C50" s="101">
        <v>0</v>
      </c>
      <c r="D50" s="102">
        <v>0</v>
      </c>
      <c r="E50" s="110" t="s">
        <v>184</v>
      </c>
      <c r="F50" s="41" t="s">
        <v>133</v>
      </c>
    </row>
    <row r="51" spans="1:6" s="11" customFormat="1" ht="21" hidden="1" customHeight="1" x14ac:dyDescent="0.3">
      <c r="A51" s="95" t="s">
        <v>385</v>
      </c>
      <c r="B51" s="100">
        <v>30</v>
      </c>
      <c r="C51" s="101">
        <v>0</v>
      </c>
      <c r="D51" s="102">
        <v>0</v>
      </c>
      <c r="E51" s="110"/>
      <c r="F51" s="41"/>
    </row>
    <row r="52" spans="1:6" s="11" customFormat="1" ht="21" hidden="1" customHeight="1" x14ac:dyDescent="0.3">
      <c r="A52" s="95" t="s">
        <v>966</v>
      </c>
      <c r="B52" s="100">
        <v>30</v>
      </c>
      <c r="C52" s="101">
        <v>0</v>
      </c>
      <c r="D52" s="102">
        <v>0</v>
      </c>
      <c r="E52" s="110" t="s">
        <v>176</v>
      </c>
      <c r="F52" s="96"/>
    </row>
    <row r="53" spans="1:6" s="11" customFormat="1" ht="21" hidden="1" customHeight="1" x14ac:dyDescent="0.3">
      <c r="A53" s="95" t="s">
        <v>386</v>
      </c>
      <c r="B53" s="100">
        <v>30</v>
      </c>
      <c r="C53" s="101">
        <v>0</v>
      </c>
      <c r="D53" s="102">
        <v>0</v>
      </c>
      <c r="E53" s="110"/>
      <c r="F53" s="41"/>
    </row>
    <row r="54" spans="1:6" s="11" customFormat="1" ht="21" hidden="1" customHeight="1" x14ac:dyDescent="0.3">
      <c r="A54" s="95" t="s">
        <v>2030</v>
      </c>
      <c r="B54" s="100">
        <v>0</v>
      </c>
      <c r="C54" s="101">
        <v>0</v>
      </c>
      <c r="D54" s="102">
        <v>0</v>
      </c>
      <c r="E54" s="155"/>
      <c r="F54" s="41"/>
    </row>
    <row r="55" spans="1:6" s="11" customFormat="1" ht="21" hidden="1" customHeight="1" x14ac:dyDescent="0.3">
      <c r="A55" s="95" t="s">
        <v>2078</v>
      </c>
      <c r="B55" s="100">
        <v>30</v>
      </c>
      <c r="C55" s="101">
        <v>0</v>
      </c>
      <c r="D55" s="102">
        <v>0</v>
      </c>
      <c r="E55" s="155"/>
      <c r="F55" s="41"/>
    </row>
    <row r="56" spans="1:6" s="11" customFormat="1" ht="21" hidden="1" customHeight="1" x14ac:dyDescent="0.3">
      <c r="A56" s="95" t="s">
        <v>387</v>
      </c>
      <c r="B56" s="100">
        <v>30</v>
      </c>
      <c r="C56" s="101">
        <v>0</v>
      </c>
      <c r="D56" s="102">
        <v>0</v>
      </c>
      <c r="E56" s="110" t="s">
        <v>270</v>
      </c>
      <c r="F56" s="41" t="s">
        <v>156</v>
      </c>
    </row>
    <row r="57" spans="1:6" s="11" customFormat="1" ht="21" hidden="1" customHeight="1" x14ac:dyDescent="0.3">
      <c r="A57" s="95" t="s">
        <v>508</v>
      </c>
      <c r="B57" s="100">
        <v>30</v>
      </c>
      <c r="C57" s="101">
        <v>0</v>
      </c>
      <c r="D57" s="102">
        <v>0</v>
      </c>
      <c r="E57" s="110" t="s">
        <v>107</v>
      </c>
      <c r="F57" s="41"/>
    </row>
    <row r="58" spans="1:6" s="11" customFormat="1" ht="21" hidden="1" customHeight="1" x14ac:dyDescent="0.3">
      <c r="A58" s="95" t="s">
        <v>388</v>
      </c>
      <c r="B58" s="100">
        <v>30</v>
      </c>
      <c r="C58" s="101">
        <v>0</v>
      </c>
      <c r="D58" s="102">
        <v>0</v>
      </c>
      <c r="E58" s="110" t="s">
        <v>107</v>
      </c>
      <c r="F58" s="41"/>
    </row>
    <row r="59" spans="1:6" s="11" customFormat="1" ht="21" hidden="1" customHeight="1" x14ac:dyDescent="0.3">
      <c r="A59" s="95" t="s">
        <v>509</v>
      </c>
      <c r="B59" s="100">
        <v>30</v>
      </c>
      <c r="C59" s="101">
        <v>0</v>
      </c>
      <c r="D59" s="102">
        <v>0</v>
      </c>
      <c r="E59" s="110" t="s">
        <v>107</v>
      </c>
      <c r="F59" s="41"/>
    </row>
    <row r="60" spans="1:6" s="11" customFormat="1" ht="21" hidden="1" customHeight="1" x14ac:dyDescent="0.3">
      <c r="A60" s="95" t="s">
        <v>389</v>
      </c>
      <c r="B60" s="100">
        <v>20</v>
      </c>
      <c r="C60" s="101">
        <v>0</v>
      </c>
      <c r="D60" s="102">
        <v>0</v>
      </c>
      <c r="E60" s="110"/>
      <c r="F60" s="41"/>
    </row>
    <row r="61" spans="1:6" s="11" customFormat="1" ht="21" hidden="1" customHeight="1" x14ac:dyDescent="0.3">
      <c r="A61" s="95" t="s">
        <v>510</v>
      </c>
      <c r="B61" s="100">
        <v>30</v>
      </c>
      <c r="C61" s="101">
        <v>0</v>
      </c>
      <c r="D61" s="102">
        <v>0</v>
      </c>
      <c r="E61" s="110" t="s">
        <v>107</v>
      </c>
      <c r="F61" s="41"/>
    </row>
    <row r="62" spans="1:6" s="11" customFormat="1" ht="21" hidden="1" customHeight="1" x14ac:dyDescent="0.3">
      <c r="A62" s="95" t="s">
        <v>1709</v>
      </c>
      <c r="B62" s="100">
        <v>30</v>
      </c>
      <c r="C62" s="101">
        <v>0</v>
      </c>
      <c r="D62" s="102">
        <v>0</v>
      </c>
      <c r="E62" s="155"/>
      <c r="F62" s="41"/>
    </row>
    <row r="63" spans="1:6" s="11" customFormat="1" ht="21" hidden="1" customHeight="1" x14ac:dyDescent="0.3">
      <c r="A63" s="95" t="s">
        <v>511</v>
      </c>
      <c r="B63" s="100">
        <v>30</v>
      </c>
      <c r="C63" s="101">
        <v>0</v>
      </c>
      <c r="D63" s="102">
        <v>0</v>
      </c>
      <c r="E63" s="110" t="s">
        <v>728</v>
      </c>
      <c r="F63" s="41"/>
    </row>
    <row r="64" spans="1:6" s="11" customFormat="1" ht="21" hidden="1" customHeight="1" x14ac:dyDescent="0.3">
      <c r="A64" s="95" t="s">
        <v>512</v>
      </c>
      <c r="B64" s="100">
        <v>30</v>
      </c>
      <c r="C64" s="101">
        <v>0</v>
      </c>
      <c r="D64" s="102">
        <v>0</v>
      </c>
      <c r="E64" s="110" t="s">
        <v>107</v>
      </c>
      <c r="F64" s="41"/>
    </row>
    <row r="65" spans="1:6" s="11" customFormat="1" ht="21" hidden="1" customHeight="1" x14ac:dyDescent="0.3">
      <c r="A65" s="95" t="s">
        <v>513</v>
      </c>
      <c r="B65" s="100">
        <v>30</v>
      </c>
      <c r="C65" s="101">
        <v>0</v>
      </c>
      <c r="D65" s="102">
        <v>0</v>
      </c>
      <c r="E65" s="110" t="s">
        <v>107</v>
      </c>
      <c r="F65" s="41"/>
    </row>
    <row r="66" spans="1:6" s="11" customFormat="1" ht="21" hidden="1" customHeight="1" x14ac:dyDescent="0.3">
      <c r="A66" s="95" t="s">
        <v>1161</v>
      </c>
      <c r="B66" s="100">
        <v>30</v>
      </c>
      <c r="C66" s="101">
        <v>0</v>
      </c>
      <c r="D66" s="102">
        <v>0</v>
      </c>
      <c r="E66" s="155"/>
      <c r="F66" s="41"/>
    </row>
    <row r="67" spans="1:6" s="11" customFormat="1" ht="21" hidden="1" customHeight="1" x14ac:dyDescent="0.3">
      <c r="A67" s="95" t="s">
        <v>390</v>
      </c>
      <c r="B67" s="100">
        <v>30</v>
      </c>
      <c r="C67" s="101">
        <v>0</v>
      </c>
      <c r="D67" s="102">
        <v>0</v>
      </c>
      <c r="E67" s="110" t="s">
        <v>107</v>
      </c>
      <c r="F67" s="41"/>
    </row>
    <row r="68" spans="1:6" s="11" customFormat="1" ht="21" hidden="1" customHeight="1" x14ac:dyDescent="0.3">
      <c r="A68" s="95" t="s">
        <v>832</v>
      </c>
      <c r="B68" s="100">
        <v>30</v>
      </c>
      <c r="C68" s="101">
        <v>0</v>
      </c>
      <c r="D68" s="102">
        <v>0</v>
      </c>
      <c r="E68" s="110" t="s">
        <v>107</v>
      </c>
      <c r="F68" s="41"/>
    </row>
    <row r="69" spans="1:6" s="11" customFormat="1" ht="21" hidden="1" customHeight="1" x14ac:dyDescent="0.3">
      <c r="A69" s="95" t="s">
        <v>394</v>
      </c>
      <c r="B69" s="100">
        <v>30</v>
      </c>
      <c r="C69" s="101">
        <v>0</v>
      </c>
      <c r="D69" s="102">
        <v>0</v>
      </c>
      <c r="E69" s="110" t="s">
        <v>258</v>
      </c>
      <c r="F69" s="41"/>
    </row>
    <row r="70" spans="1:6" s="11" customFormat="1" ht="21" hidden="1" customHeight="1" x14ac:dyDescent="0.3">
      <c r="A70" s="95" t="s">
        <v>395</v>
      </c>
      <c r="B70" s="100">
        <v>30</v>
      </c>
      <c r="C70" s="101">
        <v>0</v>
      </c>
      <c r="D70" s="102">
        <v>0</v>
      </c>
      <c r="E70" s="110"/>
      <c r="F70" s="41"/>
    </row>
    <row r="71" spans="1:6" s="11" customFormat="1" ht="21" hidden="1" customHeight="1" x14ac:dyDescent="0.3">
      <c r="A71" s="95" t="s">
        <v>514</v>
      </c>
      <c r="B71" s="100">
        <v>30</v>
      </c>
      <c r="C71" s="101">
        <v>0</v>
      </c>
      <c r="D71" s="102">
        <v>0</v>
      </c>
      <c r="E71" s="110" t="s">
        <v>107</v>
      </c>
      <c r="F71" s="41"/>
    </row>
    <row r="72" spans="1:6" s="11" customFormat="1" ht="21" hidden="1" customHeight="1" x14ac:dyDescent="0.3">
      <c r="A72" s="95" t="s">
        <v>1164</v>
      </c>
      <c r="B72" s="100">
        <v>30</v>
      </c>
      <c r="C72" s="101">
        <v>0</v>
      </c>
      <c r="D72" s="102">
        <v>0</v>
      </c>
      <c r="E72" s="155"/>
      <c r="F72" s="41"/>
    </row>
    <row r="73" spans="1:6" s="11" customFormat="1" ht="21" hidden="1" customHeight="1" x14ac:dyDescent="0.3">
      <c r="A73" s="95" t="s">
        <v>396</v>
      </c>
      <c r="B73" s="100">
        <v>30</v>
      </c>
      <c r="C73" s="101">
        <v>0</v>
      </c>
      <c r="D73" s="102">
        <v>0</v>
      </c>
      <c r="E73" s="110" t="s">
        <v>107</v>
      </c>
      <c r="F73" s="41" t="s">
        <v>138</v>
      </c>
    </row>
    <row r="74" spans="1:6" s="11" customFormat="1" ht="21" hidden="1" customHeight="1" x14ac:dyDescent="0.3">
      <c r="A74" s="95" t="s">
        <v>703</v>
      </c>
      <c r="B74" s="100">
        <v>30</v>
      </c>
      <c r="C74" s="101">
        <v>0</v>
      </c>
      <c r="D74" s="102">
        <v>0</v>
      </c>
      <c r="E74" s="110"/>
      <c r="F74" s="41"/>
    </row>
    <row r="75" spans="1:6" s="11" customFormat="1" ht="21" hidden="1" customHeight="1" x14ac:dyDescent="0.3">
      <c r="A75" s="95" t="s">
        <v>515</v>
      </c>
      <c r="B75" s="100">
        <v>30</v>
      </c>
      <c r="C75" s="101">
        <v>0</v>
      </c>
      <c r="D75" s="102">
        <v>0</v>
      </c>
      <c r="E75" s="110" t="s">
        <v>107</v>
      </c>
      <c r="F75" s="41"/>
    </row>
    <row r="76" spans="1:6" s="11" customFormat="1" ht="21" hidden="1" customHeight="1" x14ac:dyDescent="0.3">
      <c r="A76" s="95" t="s">
        <v>397</v>
      </c>
      <c r="B76" s="100">
        <v>30</v>
      </c>
      <c r="C76" s="101">
        <v>0</v>
      </c>
      <c r="D76" s="102">
        <v>0</v>
      </c>
      <c r="E76" s="110" t="s">
        <v>107</v>
      </c>
      <c r="F76" s="41"/>
    </row>
    <row r="77" spans="1:6" s="11" customFormat="1" ht="21" hidden="1" customHeight="1" x14ac:dyDescent="0.3">
      <c r="A77" s="95" t="s">
        <v>516</v>
      </c>
      <c r="B77" s="100">
        <v>30</v>
      </c>
      <c r="C77" s="101">
        <v>0</v>
      </c>
      <c r="D77" s="102">
        <v>0</v>
      </c>
      <c r="E77" s="110" t="s">
        <v>107</v>
      </c>
      <c r="F77" s="41"/>
    </row>
    <row r="78" spans="1:6" s="11" customFormat="1" ht="21" hidden="1" customHeight="1" x14ac:dyDescent="0.3">
      <c r="A78" s="95" t="s">
        <v>398</v>
      </c>
      <c r="B78" s="100">
        <v>30</v>
      </c>
      <c r="C78" s="101">
        <v>0</v>
      </c>
      <c r="D78" s="102">
        <v>0</v>
      </c>
      <c r="E78" s="110" t="s">
        <v>107</v>
      </c>
      <c r="F78" s="41"/>
    </row>
    <row r="79" spans="1:6" s="11" customFormat="1" ht="21" hidden="1" customHeight="1" x14ac:dyDescent="0.3">
      <c r="A79" s="95" t="s">
        <v>517</v>
      </c>
      <c r="B79" s="100">
        <v>30</v>
      </c>
      <c r="C79" s="101">
        <v>0</v>
      </c>
      <c r="D79" s="102">
        <v>0</v>
      </c>
      <c r="E79" s="110" t="s">
        <v>107</v>
      </c>
      <c r="F79" s="41"/>
    </row>
    <row r="80" spans="1:6" s="11" customFormat="1" ht="21" hidden="1" customHeight="1" x14ac:dyDescent="0.3">
      <c r="A80" s="95" t="s">
        <v>399</v>
      </c>
      <c r="B80" s="100">
        <v>30</v>
      </c>
      <c r="C80" s="101">
        <v>0</v>
      </c>
      <c r="D80" s="102">
        <v>0</v>
      </c>
      <c r="E80" s="110" t="s">
        <v>107</v>
      </c>
      <c r="F80" s="41"/>
    </row>
    <row r="81" spans="1:6" s="11" customFormat="1" ht="21" hidden="1" customHeight="1" x14ac:dyDescent="0.3">
      <c r="A81" s="95" t="s">
        <v>518</v>
      </c>
      <c r="B81" s="100">
        <v>30</v>
      </c>
      <c r="C81" s="101">
        <v>0</v>
      </c>
      <c r="D81" s="102">
        <v>0</v>
      </c>
      <c r="E81" s="110" t="s">
        <v>107</v>
      </c>
      <c r="F81" s="41"/>
    </row>
    <row r="82" spans="1:6" s="11" customFormat="1" ht="21" hidden="1" customHeight="1" x14ac:dyDescent="0.3">
      <c r="A82" s="95" t="s">
        <v>519</v>
      </c>
      <c r="B82" s="100">
        <v>30</v>
      </c>
      <c r="C82" s="101">
        <v>0</v>
      </c>
      <c r="D82" s="102">
        <v>0</v>
      </c>
      <c r="E82" s="110" t="s">
        <v>107</v>
      </c>
      <c r="F82" s="41"/>
    </row>
    <row r="83" spans="1:6" s="11" customFormat="1" ht="21" hidden="1" customHeight="1" x14ac:dyDescent="0.3">
      <c r="A83" s="95" t="s">
        <v>400</v>
      </c>
      <c r="B83" s="100">
        <v>30</v>
      </c>
      <c r="C83" s="101">
        <v>0</v>
      </c>
      <c r="D83" s="102">
        <v>0</v>
      </c>
      <c r="E83" s="110" t="s">
        <v>211</v>
      </c>
      <c r="F83" s="41"/>
    </row>
    <row r="84" spans="1:6" s="11" customFormat="1" ht="21" hidden="1" customHeight="1" x14ac:dyDescent="0.3">
      <c r="A84" s="95" t="s">
        <v>520</v>
      </c>
      <c r="B84" s="100">
        <v>30</v>
      </c>
      <c r="C84" s="101">
        <v>0</v>
      </c>
      <c r="D84" s="102">
        <v>0</v>
      </c>
      <c r="E84" s="110" t="s">
        <v>107</v>
      </c>
      <c r="F84" s="41"/>
    </row>
    <row r="85" spans="1:6" s="11" customFormat="1" ht="21" hidden="1" customHeight="1" x14ac:dyDescent="0.3">
      <c r="A85" s="95" t="s">
        <v>401</v>
      </c>
      <c r="B85" s="100">
        <v>30</v>
      </c>
      <c r="C85" s="101">
        <v>0</v>
      </c>
      <c r="D85" s="102">
        <v>0</v>
      </c>
      <c r="E85" s="110" t="s">
        <v>107</v>
      </c>
      <c r="F85" s="41"/>
    </row>
    <row r="86" spans="1:6" s="11" customFormat="1" ht="21" hidden="1" customHeight="1" x14ac:dyDescent="0.3">
      <c r="A86" s="95" t="s">
        <v>754</v>
      </c>
      <c r="B86" s="100">
        <v>0</v>
      </c>
      <c r="C86" s="101">
        <v>0</v>
      </c>
      <c r="D86" s="102">
        <v>0</v>
      </c>
      <c r="E86" s="110"/>
      <c r="F86" s="41"/>
    </row>
    <row r="87" spans="1:6" s="11" customFormat="1" ht="21" hidden="1" customHeight="1" x14ac:dyDescent="0.3">
      <c r="A87" s="95" t="s">
        <v>1622</v>
      </c>
      <c r="B87" s="100">
        <v>30</v>
      </c>
      <c r="C87" s="101">
        <v>0</v>
      </c>
      <c r="D87" s="102">
        <v>0</v>
      </c>
      <c r="E87" s="110" t="s">
        <v>1607</v>
      </c>
      <c r="F87" s="41"/>
    </row>
    <row r="88" spans="1:6" s="11" customFormat="1" ht="21" hidden="1" customHeight="1" x14ac:dyDescent="0.3">
      <c r="A88" s="95" t="s">
        <v>521</v>
      </c>
      <c r="B88" s="100">
        <v>30</v>
      </c>
      <c r="C88" s="101">
        <v>0</v>
      </c>
      <c r="D88" s="102">
        <v>0</v>
      </c>
      <c r="E88" s="110" t="s">
        <v>107</v>
      </c>
      <c r="F88" s="41"/>
    </row>
    <row r="89" spans="1:6" s="11" customFormat="1" ht="21" hidden="1" customHeight="1" x14ac:dyDescent="0.3">
      <c r="A89" s="95" t="s">
        <v>522</v>
      </c>
      <c r="B89" s="100">
        <v>30</v>
      </c>
      <c r="C89" s="101">
        <v>0</v>
      </c>
      <c r="D89" s="102">
        <v>0</v>
      </c>
      <c r="E89" s="110" t="s">
        <v>107</v>
      </c>
      <c r="F89" s="41"/>
    </row>
    <row r="90" spans="1:6" s="11" customFormat="1" ht="21" hidden="1" customHeight="1" x14ac:dyDescent="0.3">
      <c r="A90" s="95" t="s">
        <v>403</v>
      </c>
      <c r="B90" s="100">
        <v>30</v>
      </c>
      <c r="C90" s="101">
        <v>0</v>
      </c>
      <c r="D90" s="102">
        <v>0</v>
      </c>
      <c r="E90" s="110" t="s">
        <v>402</v>
      </c>
      <c r="F90" s="41"/>
    </row>
    <row r="91" spans="1:6" s="11" customFormat="1" ht="21" hidden="1" customHeight="1" x14ac:dyDescent="0.3">
      <c r="A91" s="95" t="s">
        <v>1736</v>
      </c>
      <c r="B91" s="100">
        <v>30</v>
      </c>
      <c r="C91" s="101">
        <v>0</v>
      </c>
      <c r="D91" s="102">
        <v>0</v>
      </c>
      <c r="E91" s="155"/>
      <c r="F91" s="41"/>
    </row>
    <row r="92" spans="1:6" s="11" customFormat="1" ht="21" hidden="1" customHeight="1" x14ac:dyDescent="0.3">
      <c r="A92" s="95" t="s">
        <v>676</v>
      </c>
      <c r="B92" s="100">
        <v>8</v>
      </c>
      <c r="C92" s="101">
        <v>0</v>
      </c>
      <c r="D92" s="102">
        <v>0</v>
      </c>
      <c r="E92" s="110"/>
      <c r="F92" s="41"/>
    </row>
    <row r="93" spans="1:6" s="11" customFormat="1" ht="21" hidden="1" customHeight="1" x14ac:dyDescent="0.3">
      <c r="A93" s="95" t="s">
        <v>523</v>
      </c>
      <c r="B93" s="100">
        <v>30</v>
      </c>
      <c r="C93" s="101">
        <v>0</v>
      </c>
      <c r="D93" s="102">
        <v>0</v>
      </c>
      <c r="E93" s="110" t="s">
        <v>107</v>
      </c>
      <c r="F93" s="41"/>
    </row>
    <row r="94" spans="1:6" s="11" customFormat="1" ht="21" hidden="1" customHeight="1" x14ac:dyDescent="0.3">
      <c r="A94" s="95" t="s">
        <v>524</v>
      </c>
      <c r="B94" s="100">
        <v>30</v>
      </c>
      <c r="C94" s="101">
        <v>0</v>
      </c>
      <c r="D94" s="102">
        <v>0</v>
      </c>
      <c r="E94" s="110" t="s">
        <v>107</v>
      </c>
      <c r="F94" s="41"/>
    </row>
    <row r="95" spans="1:6" s="11" customFormat="1" ht="21" hidden="1" customHeight="1" x14ac:dyDescent="0.3">
      <c r="A95" s="95" t="s">
        <v>404</v>
      </c>
      <c r="B95" s="100">
        <v>30</v>
      </c>
      <c r="C95" s="101">
        <v>0</v>
      </c>
      <c r="D95" s="102">
        <v>0</v>
      </c>
      <c r="E95" s="110" t="s">
        <v>107</v>
      </c>
      <c r="F95" s="41"/>
    </row>
    <row r="96" spans="1:6" s="11" customFormat="1" ht="21" hidden="1" customHeight="1" x14ac:dyDescent="0.3">
      <c r="A96" s="95" t="s">
        <v>406</v>
      </c>
      <c r="B96" s="100">
        <v>30</v>
      </c>
      <c r="C96" s="101">
        <v>0</v>
      </c>
      <c r="D96" s="102">
        <v>0</v>
      </c>
      <c r="E96" s="110" t="s">
        <v>244</v>
      </c>
      <c r="F96" s="41"/>
    </row>
    <row r="97" spans="1:6" s="11" customFormat="1" ht="21" hidden="1" customHeight="1" x14ac:dyDescent="0.3">
      <c r="A97" s="95" t="s">
        <v>407</v>
      </c>
      <c r="B97" s="100">
        <v>20</v>
      </c>
      <c r="C97" s="101">
        <v>0</v>
      </c>
      <c r="D97" s="102">
        <v>0</v>
      </c>
      <c r="E97" s="110"/>
      <c r="F97" s="41"/>
    </row>
    <row r="98" spans="1:6" s="11" customFormat="1" ht="21" hidden="1" customHeight="1" x14ac:dyDescent="0.3">
      <c r="A98" s="95" t="s">
        <v>525</v>
      </c>
      <c r="B98" s="100">
        <v>30</v>
      </c>
      <c r="C98" s="101">
        <v>0</v>
      </c>
      <c r="D98" s="102">
        <v>0</v>
      </c>
      <c r="E98" s="110" t="s">
        <v>107</v>
      </c>
      <c r="F98" s="41"/>
    </row>
    <row r="99" spans="1:6" s="11" customFormat="1" ht="21" hidden="1" customHeight="1" x14ac:dyDescent="0.3">
      <c r="A99" s="95" t="s">
        <v>526</v>
      </c>
      <c r="B99" s="100">
        <v>30</v>
      </c>
      <c r="C99" s="101">
        <v>0</v>
      </c>
      <c r="D99" s="102">
        <v>0</v>
      </c>
      <c r="E99" s="110" t="s">
        <v>107</v>
      </c>
      <c r="F99" s="41"/>
    </row>
    <row r="100" spans="1:6" s="11" customFormat="1" ht="21" hidden="1" customHeight="1" x14ac:dyDescent="0.3">
      <c r="A100" s="95" t="s">
        <v>1625</v>
      </c>
      <c r="B100" s="100">
        <v>30</v>
      </c>
      <c r="C100" s="101">
        <v>0</v>
      </c>
      <c r="D100" s="102">
        <v>0</v>
      </c>
      <c r="E100" s="155"/>
      <c r="F100" s="41"/>
    </row>
    <row r="101" spans="1:6" s="11" customFormat="1" ht="21" hidden="1" customHeight="1" x14ac:dyDescent="0.3">
      <c r="A101" s="95" t="s">
        <v>408</v>
      </c>
      <c r="B101" s="100">
        <v>30</v>
      </c>
      <c r="C101" s="101">
        <v>0</v>
      </c>
      <c r="D101" s="102">
        <v>0</v>
      </c>
      <c r="E101" s="110"/>
      <c r="F101" s="41"/>
    </row>
    <row r="102" spans="1:6" s="11" customFormat="1" ht="21" hidden="1" customHeight="1" x14ac:dyDescent="0.3">
      <c r="A102" s="95" t="s">
        <v>1230</v>
      </c>
      <c r="B102" s="100">
        <v>30</v>
      </c>
      <c r="C102" s="101">
        <v>0</v>
      </c>
      <c r="D102" s="102">
        <v>0</v>
      </c>
      <c r="E102" s="155"/>
      <c r="F102" s="41"/>
    </row>
    <row r="103" spans="1:6" s="11" customFormat="1" ht="21" hidden="1" customHeight="1" x14ac:dyDescent="0.3">
      <c r="A103" s="95" t="s">
        <v>409</v>
      </c>
      <c r="B103" s="100">
        <v>30</v>
      </c>
      <c r="C103" s="101">
        <v>0</v>
      </c>
      <c r="D103" s="102">
        <v>0</v>
      </c>
      <c r="E103" s="110" t="s">
        <v>107</v>
      </c>
      <c r="F103" s="41"/>
    </row>
    <row r="104" spans="1:6" s="11" customFormat="1" ht="21" hidden="1" customHeight="1" x14ac:dyDescent="0.3">
      <c r="A104" s="95" t="s">
        <v>527</v>
      </c>
      <c r="B104" s="100">
        <v>30</v>
      </c>
      <c r="C104" s="101">
        <v>0</v>
      </c>
      <c r="D104" s="102">
        <v>0</v>
      </c>
      <c r="E104" s="110" t="s">
        <v>107</v>
      </c>
      <c r="F104" s="41"/>
    </row>
    <row r="105" spans="1:6" s="11" customFormat="1" ht="21" hidden="1" customHeight="1" x14ac:dyDescent="0.3">
      <c r="A105" s="95" t="s">
        <v>528</v>
      </c>
      <c r="B105" s="100">
        <v>30</v>
      </c>
      <c r="C105" s="101">
        <v>0</v>
      </c>
      <c r="D105" s="102">
        <v>0</v>
      </c>
      <c r="E105" s="110" t="s">
        <v>107</v>
      </c>
      <c r="F105" s="41"/>
    </row>
    <row r="106" spans="1:6" s="11" customFormat="1" ht="21" hidden="1" customHeight="1" x14ac:dyDescent="0.3">
      <c r="A106" s="95" t="s">
        <v>411</v>
      </c>
      <c r="B106" s="100">
        <v>30</v>
      </c>
      <c r="C106" s="101">
        <v>0</v>
      </c>
      <c r="D106" s="102">
        <v>0</v>
      </c>
      <c r="E106" s="110" t="s">
        <v>254</v>
      </c>
      <c r="F106" s="41"/>
    </row>
    <row r="107" spans="1:6" s="11" customFormat="1" ht="21" hidden="1" customHeight="1" x14ac:dyDescent="0.3">
      <c r="A107" s="95" t="s">
        <v>529</v>
      </c>
      <c r="B107" s="100">
        <v>30</v>
      </c>
      <c r="C107" s="101">
        <v>0</v>
      </c>
      <c r="D107" s="102">
        <v>0</v>
      </c>
      <c r="E107" s="110" t="s">
        <v>177</v>
      </c>
      <c r="F107" s="41"/>
    </row>
    <row r="108" spans="1:6" s="11" customFormat="1" ht="21" hidden="1" customHeight="1" x14ac:dyDescent="0.3">
      <c r="A108" s="95" t="s">
        <v>412</v>
      </c>
      <c r="B108" s="100">
        <v>30</v>
      </c>
      <c r="C108" s="101">
        <v>0</v>
      </c>
      <c r="D108" s="102">
        <v>0</v>
      </c>
      <c r="E108" s="110" t="s">
        <v>177</v>
      </c>
      <c r="F108" s="41"/>
    </row>
    <row r="109" spans="1:6" s="11" customFormat="1" ht="21" hidden="1" customHeight="1" x14ac:dyDescent="0.3">
      <c r="A109" s="95" t="s">
        <v>413</v>
      </c>
      <c r="B109" s="100">
        <v>30</v>
      </c>
      <c r="C109" s="101">
        <v>0</v>
      </c>
      <c r="D109" s="102">
        <v>0</v>
      </c>
      <c r="E109" s="110"/>
      <c r="F109" s="41"/>
    </row>
    <row r="110" spans="1:6" s="11" customFormat="1" ht="21" hidden="1" customHeight="1" x14ac:dyDescent="0.3">
      <c r="A110" s="95" t="s">
        <v>414</v>
      </c>
      <c r="B110" s="100">
        <v>30</v>
      </c>
      <c r="C110" s="101">
        <v>0.19</v>
      </c>
      <c r="D110" s="102" t="s">
        <v>578</v>
      </c>
      <c r="E110" s="110"/>
      <c r="F110" s="41"/>
    </row>
    <row r="111" spans="1:6" s="11" customFormat="1" ht="21" hidden="1" customHeight="1" x14ac:dyDescent="0.3">
      <c r="A111" s="95" t="s">
        <v>56</v>
      </c>
      <c r="B111" s="100">
        <v>30</v>
      </c>
      <c r="C111" s="101">
        <v>0.19</v>
      </c>
      <c r="D111" s="102">
        <v>0</v>
      </c>
      <c r="E111" s="110" t="s">
        <v>237</v>
      </c>
      <c r="F111" s="41"/>
    </row>
    <row r="112" spans="1:6" s="11" customFormat="1" ht="21" hidden="1" customHeight="1" x14ac:dyDescent="0.3">
      <c r="A112" s="95" t="s">
        <v>231</v>
      </c>
      <c r="B112" s="100">
        <v>10</v>
      </c>
      <c r="C112" s="101">
        <v>0</v>
      </c>
      <c r="D112" s="102">
        <v>0</v>
      </c>
      <c r="E112" s="110"/>
      <c r="F112" s="41"/>
    </row>
    <row r="113" spans="1:6" s="11" customFormat="1" ht="21" hidden="1" customHeight="1" x14ac:dyDescent="0.3">
      <c r="A113" s="95" t="s">
        <v>252</v>
      </c>
      <c r="B113" s="100">
        <v>10</v>
      </c>
      <c r="C113" s="101">
        <v>0.19</v>
      </c>
      <c r="D113" s="102" t="s">
        <v>578</v>
      </c>
      <c r="E113" s="110" t="s">
        <v>251</v>
      </c>
      <c r="F113" s="41"/>
    </row>
    <row r="114" spans="1:6" s="11" customFormat="1" ht="21" hidden="1" customHeight="1" x14ac:dyDescent="0.3">
      <c r="A114" s="95" t="s">
        <v>204</v>
      </c>
      <c r="B114" s="100">
        <v>30</v>
      </c>
      <c r="C114" s="101">
        <v>0.19</v>
      </c>
      <c r="D114" s="102" t="s">
        <v>578</v>
      </c>
      <c r="E114" s="110"/>
      <c r="F114" s="41"/>
    </row>
    <row r="115" spans="1:6" s="11" customFormat="1" ht="21" hidden="1" customHeight="1" x14ac:dyDescent="0.3">
      <c r="A115" s="95" t="s">
        <v>273</v>
      </c>
      <c r="B115" s="100">
        <v>20</v>
      </c>
      <c r="C115" s="101">
        <v>0</v>
      </c>
      <c r="D115" s="102" t="s">
        <v>581</v>
      </c>
      <c r="E115" s="110" t="s">
        <v>274</v>
      </c>
      <c r="F115" s="41"/>
    </row>
    <row r="116" spans="1:6" s="11" customFormat="1" ht="21" hidden="1" customHeight="1" x14ac:dyDescent="0.3">
      <c r="A116" s="95" t="s">
        <v>267</v>
      </c>
      <c r="B116" s="100">
        <v>30</v>
      </c>
      <c r="C116" s="101">
        <v>0.19</v>
      </c>
      <c r="D116" s="102">
        <v>0</v>
      </c>
      <c r="E116" s="110"/>
      <c r="F116" s="41"/>
    </row>
    <row r="117" spans="1:6" s="11" customFormat="1" ht="21" hidden="1" customHeight="1" x14ac:dyDescent="0.3">
      <c r="A117" s="95" t="s">
        <v>617</v>
      </c>
      <c r="B117" s="100">
        <v>30</v>
      </c>
      <c r="C117" s="101">
        <v>0.19</v>
      </c>
      <c r="D117" s="102">
        <v>0</v>
      </c>
      <c r="E117" s="110" t="s">
        <v>143</v>
      </c>
      <c r="F117" s="41"/>
    </row>
    <row r="118" spans="1:6" s="11" customFormat="1" ht="21" hidden="1" customHeight="1" x14ac:dyDescent="0.3">
      <c r="A118" s="95" t="s">
        <v>290</v>
      </c>
      <c r="B118" s="100">
        <v>30</v>
      </c>
      <c r="C118" s="101">
        <v>0.19</v>
      </c>
      <c r="D118" s="102" t="s">
        <v>578</v>
      </c>
      <c r="E118" s="110"/>
      <c r="F118" s="41"/>
    </row>
    <row r="119" spans="1:6" s="11" customFormat="1" ht="21" hidden="1" customHeight="1" x14ac:dyDescent="0.3">
      <c r="A119" s="95" t="s">
        <v>2126</v>
      </c>
      <c r="B119" s="100">
        <v>30</v>
      </c>
      <c r="C119" s="101">
        <v>0.19</v>
      </c>
      <c r="D119" s="102" t="s">
        <v>578</v>
      </c>
      <c r="E119" s="110" t="s">
        <v>2127</v>
      </c>
      <c r="F119" s="41"/>
    </row>
    <row r="120" spans="1:6" s="11" customFormat="1" ht="21" hidden="1" customHeight="1" x14ac:dyDescent="0.3">
      <c r="A120" s="95" t="s">
        <v>1245</v>
      </c>
      <c r="B120" s="100">
        <v>30</v>
      </c>
      <c r="C120" s="101">
        <v>0.19</v>
      </c>
      <c r="D120" s="102" t="s">
        <v>578</v>
      </c>
      <c r="E120" s="155"/>
      <c r="F120" s="41"/>
    </row>
    <row r="121" spans="1:6" s="11" customFormat="1" ht="21" hidden="1" customHeight="1" x14ac:dyDescent="0.3">
      <c r="A121" s="95" t="s">
        <v>1242</v>
      </c>
      <c r="B121" s="100">
        <v>30</v>
      </c>
      <c r="C121" s="101">
        <v>0</v>
      </c>
      <c r="D121" s="102">
        <v>0</v>
      </c>
      <c r="E121" s="155"/>
      <c r="F121" s="41"/>
    </row>
    <row r="122" spans="1:6" s="11" customFormat="1" ht="21" hidden="1" customHeight="1" x14ac:dyDescent="0.3">
      <c r="A122" s="95" t="s">
        <v>20</v>
      </c>
      <c r="B122" s="100">
        <v>30</v>
      </c>
      <c r="C122" s="101">
        <v>0.19</v>
      </c>
      <c r="D122" s="102" t="s">
        <v>578</v>
      </c>
      <c r="E122" s="110" t="s">
        <v>135</v>
      </c>
      <c r="F122" s="41" t="s">
        <v>212</v>
      </c>
    </row>
    <row r="123" spans="1:6" s="11" customFormat="1" ht="21" hidden="1" customHeight="1" x14ac:dyDescent="0.3">
      <c r="A123" s="95" t="s">
        <v>21</v>
      </c>
      <c r="B123" s="100">
        <v>30</v>
      </c>
      <c r="C123" s="101">
        <v>0.19</v>
      </c>
      <c r="D123" s="102" t="s">
        <v>578</v>
      </c>
      <c r="E123" s="110" t="s">
        <v>942</v>
      </c>
      <c r="F123" s="41"/>
    </row>
    <row r="124" spans="1:6" s="11" customFormat="1" ht="21" hidden="1" customHeight="1" x14ac:dyDescent="0.3">
      <c r="A124" s="95" t="s">
        <v>829</v>
      </c>
      <c r="B124" s="100">
        <v>30</v>
      </c>
      <c r="C124" s="101">
        <v>0.19</v>
      </c>
      <c r="D124" s="102" t="s">
        <v>578</v>
      </c>
      <c r="E124" s="110" t="s">
        <v>942</v>
      </c>
      <c r="F124" s="41"/>
    </row>
    <row r="125" spans="1:6" s="11" customFormat="1" ht="21" hidden="1" customHeight="1" x14ac:dyDescent="0.3">
      <c r="A125" s="95" t="s">
        <v>618</v>
      </c>
      <c r="B125" s="100">
        <v>30</v>
      </c>
      <c r="C125" s="101">
        <v>0.19</v>
      </c>
      <c r="D125" s="102" t="s">
        <v>581</v>
      </c>
      <c r="E125" s="110"/>
      <c r="F125" s="41"/>
    </row>
    <row r="126" spans="1:6" s="11" customFormat="1" ht="21" hidden="1" customHeight="1" x14ac:dyDescent="0.3">
      <c r="A126" s="95" t="s">
        <v>1898</v>
      </c>
      <c r="B126" s="100">
        <v>0</v>
      </c>
      <c r="C126" s="101">
        <v>0.19</v>
      </c>
      <c r="D126" s="102" t="s">
        <v>578</v>
      </c>
      <c r="E126" s="155"/>
      <c r="F126" s="41"/>
    </row>
    <row r="127" spans="1:6" s="11" customFormat="1" ht="21" hidden="1" customHeight="1" x14ac:dyDescent="0.3">
      <c r="A127" s="95" t="s">
        <v>51</v>
      </c>
      <c r="B127" s="100">
        <v>30</v>
      </c>
      <c r="C127" s="101">
        <v>0.19</v>
      </c>
      <c r="D127" s="102" t="s">
        <v>578</v>
      </c>
      <c r="E127" s="110" t="s">
        <v>107</v>
      </c>
      <c r="F127" s="41"/>
    </row>
    <row r="128" spans="1:6" s="11" customFormat="1" ht="21" hidden="1" customHeight="1" x14ac:dyDescent="0.3">
      <c r="A128" s="95" t="s">
        <v>1064</v>
      </c>
      <c r="B128" s="100">
        <v>0</v>
      </c>
      <c r="C128" s="101">
        <v>0.19</v>
      </c>
      <c r="D128" s="102" t="s">
        <v>578</v>
      </c>
      <c r="E128" s="155" t="s">
        <v>143</v>
      </c>
      <c r="F128" s="41"/>
    </row>
    <row r="129" spans="1:6" s="11" customFormat="1" ht="21" hidden="1" customHeight="1" x14ac:dyDescent="0.3">
      <c r="A129" s="95" t="s">
        <v>619</v>
      </c>
      <c r="B129" s="100">
        <v>10</v>
      </c>
      <c r="C129" s="101">
        <v>0.19</v>
      </c>
      <c r="D129" s="102">
        <v>0</v>
      </c>
      <c r="E129" s="110"/>
      <c r="F129" s="41"/>
    </row>
    <row r="130" spans="1:6" s="11" customFormat="1" ht="21" hidden="1" customHeight="1" x14ac:dyDescent="0.3">
      <c r="A130" s="95" t="s">
        <v>620</v>
      </c>
      <c r="B130" s="100">
        <v>30</v>
      </c>
      <c r="C130" s="101">
        <v>0</v>
      </c>
      <c r="D130" s="102">
        <v>0</v>
      </c>
      <c r="E130" s="110" t="s">
        <v>178</v>
      </c>
      <c r="F130" s="41"/>
    </row>
    <row r="131" spans="1:6" s="11" customFormat="1" ht="21" hidden="1" customHeight="1" x14ac:dyDescent="0.3">
      <c r="A131" s="95" t="s">
        <v>620</v>
      </c>
      <c r="B131" s="100">
        <v>0</v>
      </c>
      <c r="C131" s="101">
        <v>0.19</v>
      </c>
      <c r="D131" s="102">
        <v>0</v>
      </c>
      <c r="E131" s="110" t="s">
        <v>178</v>
      </c>
      <c r="F131" s="41" t="s">
        <v>1101</v>
      </c>
    </row>
    <row r="132" spans="1:6" s="11" customFormat="1" ht="21" hidden="1" customHeight="1" x14ac:dyDescent="0.3">
      <c r="A132" s="95" t="s">
        <v>42</v>
      </c>
      <c r="B132" s="100">
        <v>30</v>
      </c>
      <c r="C132" s="101">
        <v>0.19</v>
      </c>
      <c r="D132" s="102" t="s">
        <v>578</v>
      </c>
      <c r="E132" s="110" t="s">
        <v>107</v>
      </c>
      <c r="F132" s="41"/>
    </row>
    <row r="133" spans="1:6" s="11" customFormat="1" ht="21" hidden="1" customHeight="1" x14ac:dyDescent="0.3">
      <c r="A133" s="95" t="s">
        <v>287</v>
      </c>
      <c r="B133" s="100">
        <v>60</v>
      </c>
      <c r="C133" s="101">
        <v>0</v>
      </c>
      <c r="D133" s="102">
        <v>0</v>
      </c>
      <c r="E133" s="110" t="s">
        <v>1482</v>
      </c>
      <c r="F133" s="41"/>
    </row>
    <row r="134" spans="1:6" s="11" customFormat="1" ht="21" hidden="1" customHeight="1" x14ac:dyDescent="0.3">
      <c r="A134" s="95" t="s">
        <v>288</v>
      </c>
      <c r="B134" s="100">
        <v>45</v>
      </c>
      <c r="C134" s="101">
        <v>0</v>
      </c>
      <c r="D134" s="102">
        <v>0</v>
      </c>
      <c r="E134" s="110" t="s">
        <v>1482</v>
      </c>
      <c r="F134" s="41"/>
    </row>
    <row r="135" spans="1:6" s="11" customFormat="1" ht="21" hidden="1" customHeight="1" x14ac:dyDescent="0.3">
      <c r="A135" s="95" t="s">
        <v>320</v>
      </c>
      <c r="B135" s="100">
        <v>45</v>
      </c>
      <c r="C135" s="101">
        <v>0</v>
      </c>
      <c r="D135" s="102">
        <v>0</v>
      </c>
      <c r="E135" s="110" t="s">
        <v>1482</v>
      </c>
      <c r="F135" s="41"/>
    </row>
    <row r="136" spans="1:6" s="11" customFormat="1" ht="21" hidden="1" customHeight="1" x14ac:dyDescent="0.3">
      <c r="A136" s="95" t="s">
        <v>289</v>
      </c>
      <c r="B136" s="100">
        <v>45</v>
      </c>
      <c r="C136" s="101">
        <v>0</v>
      </c>
      <c r="D136" s="102">
        <v>0</v>
      </c>
      <c r="E136" s="110" t="s">
        <v>1482</v>
      </c>
      <c r="F136" s="41"/>
    </row>
    <row r="137" spans="1:6" s="11" customFormat="1" ht="21" hidden="1" customHeight="1" x14ac:dyDescent="0.3">
      <c r="A137" s="95" t="s">
        <v>78</v>
      </c>
      <c r="B137" s="100">
        <v>30</v>
      </c>
      <c r="C137" s="101">
        <v>0.19</v>
      </c>
      <c r="D137" s="102" t="s">
        <v>578</v>
      </c>
      <c r="E137" s="110" t="s">
        <v>107</v>
      </c>
      <c r="F137" s="41"/>
    </row>
    <row r="138" spans="1:6" s="11" customFormat="1" ht="21" hidden="1" customHeight="1" x14ac:dyDescent="0.3">
      <c r="A138" s="95" t="s">
        <v>647</v>
      </c>
      <c r="B138" s="100">
        <v>20</v>
      </c>
      <c r="C138" s="101">
        <v>0</v>
      </c>
      <c r="D138" s="102">
        <v>0</v>
      </c>
      <c r="E138" s="110" t="s">
        <v>143</v>
      </c>
      <c r="F138" s="41"/>
    </row>
    <row r="139" spans="1:6" s="11" customFormat="1" ht="21" hidden="1" customHeight="1" x14ac:dyDescent="0.3">
      <c r="A139" s="95" t="s">
        <v>621</v>
      </c>
      <c r="B139" s="100">
        <v>90</v>
      </c>
      <c r="C139" s="101">
        <v>0</v>
      </c>
      <c r="D139" s="102" t="s">
        <v>579</v>
      </c>
      <c r="E139" s="110" t="s">
        <v>426</v>
      </c>
      <c r="F139" s="41"/>
    </row>
    <row r="140" spans="1:6" s="11" customFormat="1" ht="21" hidden="1" customHeight="1" x14ac:dyDescent="0.3">
      <c r="A140" s="95" t="s">
        <v>781</v>
      </c>
      <c r="B140" s="100">
        <v>30</v>
      </c>
      <c r="C140" s="101">
        <v>0</v>
      </c>
      <c r="D140" s="102">
        <v>0</v>
      </c>
      <c r="E140" s="110" t="s">
        <v>810</v>
      </c>
      <c r="F140" s="41"/>
    </row>
    <row r="141" spans="1:6" s="11" customFormat="1" ht="21" hidden="1" customHeight="1" x14ac:dyDescent="0.3">
      <c r="A141" s="95" t="s">
        <v>281</v>
      </c>
      <c r="B141" s="100">
        <v>30</v>
      </c>
      <c r="C141" s="101">
        <v>0.19</v>
      </c>
      <c r="D141" s="102">
        <v>0</v>
      </c>
      <c r="E141" s="110" t="s">
        <v>296</v>
      </c>
      <c r="F141" s="41"/>
    </row>
    <row r="142" spans="1:6" s="11" customFormat="1" ht="21" hidden="1" customHeight="1" x14ac:dyDescent="0.3">
      <c r="A142" s="95" t="s">
        <v>615</v>
      </c>
      <c r="B142" s="100">
        <v>30</v>
      </c>
      <c r="C142" s="101">
        <v>0.19</v>
      </c>
      <c r="D142" s="102">
        <v>0</v>
      </c>
      <c r="E142" s="110" t="s">
        <v>296</v>
      </c>
      <c r="F142" s="41"/>
    </row>
    <row r="143" spans="1:6" s="11" customFormat="1" ht="21" hidden="1" customHeight="1" x14ac:dyDescent="0.3">
      <c r="A143" s="95" t="s">
        <v>622</v>
      </c>
      <c r="B143" s="100">
        <v>0</v>
      </c>
      <c r="C143" s="101">
        <v>0.19</v>
      </c>
      <c r="D143" s="102">
        <v>0</v>
      </c>
      <c r="E143" s="110" t="s">
        <v>136</v>
      </c>
      <c r="F143" s="41" t="s">
        <v>108</v>
      </c>
    </row>
    <row r="144" spans="1:6" s="11" customFormat="1" ht="21" hidden="1" customHeight="1" x14ac:dyDescent="0.3">
      <c r="A144" s="95" t="s">
        <v>573</v>
      </c>
      <c r="B144" s="100">
        <v>30</v>
      </c>
      <c r="C144" s="101">
        <v>0.19</v>
      </c>
      <c r="D144" s="102">
        <v>0</v>
      </c>
      <c r="E144" s="110" t="s">
        <v>574</v>
      </c>
      <c r="F144" s="41"/>
    </row>
    <row r="145" spans="1:6" s="11" customFormat="1" ht="21" hidden="1" customHeight="1" x14ac:dyDescent="0.3">
      <c r="A145" s="95" t="s">
        <v>282</v>
      </c>
      <c r="B145" s="100">
        <v>30</v>
      </c>
      <c r="C145" s="101">
        <v>0.19</v>
      </c>
      <c r="D145" s="102" t="s">
        <v>578</v>
      </c>
      <c r="E145" s="110" t="s">
        <v>187</v>
      </c>
      <c r="F145" s="41"/>
    </row>
    <row r="146" spans="1:6" s="11" customFormat="1" ht="21" hidden="1" customHeight="1" x14ac:dyDescent="0.3">
      <c r="A146" s="95" t="s">
        <v>2128</v>
      </c>
      <c r="B146" s="100">
        <v>30</v>
      </c>
      <c r="C146" s="101">
        <v>0.19</v>
      </c>
      <c r="D146" s="102" t="s">
        <v>578</v>
      </c>
      <c r="E146" s="110" t="s">
        <v>2129</v>
      </c>
      <c r="F146" s="41"/>
    </row>
    <row r="147" spans="1:6" s="11" customFormat="1" ht="21" hidden="1" customHeight="1" x14ac:dyDescent="0.3">
      <c r="A147" s="95" t="s">
        <v>262</v>
      </c>
      <c r="B147" s="100">
        <v>30</v>
      </c>
      <c r="C147" s="101">
        <v>0.19</v>
      </c>
      <c r="D147" s="102" t="s">
        <v>578</v>
      </c>
      <c r="E147" s="110"/>
      <c r="F147" s="41"/>
    </row>
    <row r="148" spans="1:6" s="11" customFormat="1" ht="21" hidden="1" customHeight="1" x14ac:dyDescent="0.3">
      <c r="A148" s="95" t="s">
        <v>623</v>
      </c>
      <c r="B148" s="100">
        <v>30</v>
      </c>
      <c r="C148" s="101">
        <v>0.19</v>
      </c>
      <c r="D148" s="102" t="s">
        <v>581</v>
      </c>
      <c r="E148" s="110" t="s">
        <v>368</v>
      </c>
      <c r="F148" s="41"/>
    </row>
    <row r="149" spans="1:6" s="11" customFormat="1" ht="21" hidden="1" customHeight="1" x14ac:dyDescent="0.3">
      <c r="A149" s="95" t="s">
        <v>814</v>
      </c>
      <c r="B149" s="100">
        <v>30</v>
      </c>
      <c r="C149" s="101">
        <v>0.19</v>
      </c>
      <c r="D149" s="102">
        <v>0</v>
      </c>
      <c r="E149" s="110" t="s">
        <v>679</v>
      </c>
      <c r="F149" s="41"/>
    </row>
    <row r="150" spans="1:6" s="11" customFormat="1" ht="21" hidden="1" customHeight="1" x14ac:dyDescent="0.3">
      <c r="A150" s="95" t="s">
        <v>835</v>
      </c>
      <c r="B150" s="100">
        <v>0</v>
      </c>
      <c r="C150" s="101">
        <v>0.19</v>
      </c>
      <c r="D150" s="102">
        <v>0</v>
      </c>
      <c r="E150" s="110" t="s">
        <v>834</v>
      </c>
      <c r="F150" s="41"/>
    </row>
    <row r="151" spans="1:6" s="11" customFormat="1" ht="21" hidden="1" customHeight="1" x14ac:dyDescent="0.3">
      <c r="A151" s="95" t="s">
        <v>49</v>
      </c>
      <c r="B151" s="100">
        <v>30</v>
      </c>
      <c r="C151" s="101">
        <v>0.19</v>
      </c>
      <c r="D151" s="102" t="s">
        <v>578</v>
      </c>
      <c r="E151" s="110" t="s">
        <v>175</v>
      </c>
      <c r="F151" s="41" t="s">
        <v>238</v>
      </c>
    </row>
    <row r="152" spans="1:6" s="11" customFormat="1" ht="21" hidden="1" customHeight="1" x14ac:dyDescent="0.3">
      <c r="A152" s="95" t="s">
        <v>624</v>
      </c>
      <c r="B152" s="100">
        <v>30</v>
      </c>
      <c r="C152" s="101">
        <v>0.19</v>
      </c>
      <c r="D152" s="102" t="s">
        <v>578</v>
      </c>
      <c r="E152" s="110" t="s">
        <v>109</v>
      </c>
      <c r="F152" s="41"/>
    </row>
    <row r="153" spans="1:6" s="11" customFormat="1" ht="21" hidden="1" customHeight="1" x14ac:dyDescent="0.3">
      <c r="A153" s="95" t="s">
        <v>1350</v>
      </c>
      <c r="B153" s="100">
        <v>30</v>
      </c>
      <c r="C153" s="101">
        <v>0.19</v>
      </c>
      <c r="D153" s="102" t="s">
        <v>578</v>
      </c>
      <c r="E153" s="155"/>
      <c r="F153" s="41"/>
    </row>
    <row r="154" spans="1:6" s="11" customFormat="1" ht="21" hidden="1" customHeight="1" x14ac:dyDescent="0.3">
      <c r="A154" s="95" t="s">
        <v>809</v>
      </c>
      <c r="B154" s="100">
        <v>30</v>
      </c>
      <c r="C154" s="101">
        <v>0.19</v>
      </c>
      <c r="D154" s="102" t="s">
        <v>578</v>
      </c>
      <c r="E154" s="110" t="s">
        <v>843</v>
      </c>
      <c r="F154" s="41"/>
    </row>
    <row r="155" spans="1:6" s="11" customFormat="1" ht="21" hidden="1" customHeight="1" x14ac:dyDescent="0.3">
      <c r="A155" s="95" t="s">
        <v>625</v>
      </c>
      <c r="B155" s="100">
        <v>180</v>
      </c>
      <c r="C155" s="101">
        <v>0.19</v>
      </c>
      <c r="D155" s="102" t="s">
        <v>578</v>
      </c>
      <c r="E155" s="110" t="s">
        <v>280</v>
      </c>
      <c r="F155" s="41"/>
    </row>
    <row r="156" spans="1:6" s="11" customFormat="1" ht="21" hidden="1" customHeight="1" x14ac:dyDescent="0.3">
      <c r="A156" s="95" t="s">
        <v>2071</v>
      </c>
      <c r="B156" s="100">
        <v>30</v>
      </c>
      <c r="C156" s="101">
        <v>0.19</v>
      </c>
      <c r="D156" s="102" t="s">
        <v>578</v>
      </c>
      <c r="E156" s="110" t="s">
        <v>2072</v>
      </c>
      <c r="F156" s="41"/>
    </row>
    <row r="157" spans="1:6" s="11" customFormat="1" ht="21" hidden="1" customHeight="1" x14ac:dyDescent="0.3">
      <c r="A157" s="95" t="s">
        <v>1460</v>
      </c>
      <c r="B157" s="100">
        <v>30</v>
      </c>
      <c r="C157" s="101">
        <v>0.19</v>
      </c>
      <c r="D157" s="102" t="s">
        <v>578</v>
      </c>
      <c r="E157" s="110" t="s">
        <v>1461</v>
      </c>
      <c r="F157" s="41"/>
    </row>
    <row r="158" spans="1:6" s="11" customFormat="1" ht="21" hidden="1" customHeight="1" x14ac:dyDescent="0.3">
      <c r="A158" s="95" t="s">
        <v>77</v>
      </c>
      <c r="B158" s="100">
        <v>30</v>
      </c>
      <c r="C158" s="101">
        <v>0.19</v>
      </c>
      <c r="D158" s="102" t="s">
        <v>578</v>
      </c>
      <c r="E158" s="110" t="s">
        <v>686</v>
      </c>
      <c r="F158" s="41"/>
    </row>
    <row r="159" spans="1:6" s="11" customFormat="1" ht="21" hidden="1" customHeight="1" x14ac:dyDescent="0.3">
      <c r="A159" s="95" t="s">
        <v>239</v>
      </c>
      <c r="B159" s="100">
        <v>30</v>
      </c>
      <c r="C159" s="101">
        <v>0.19</v>
      </c>
      <c r="D159" s="102" t="s">
        <v>578</v>
      </c>
      <c r="E159" s="110" t="s">
        <v>276</v>
      </c>
      <c r="F159" s="41"/>
    </row>
    <row r="160" spans="1:6" s="11" customFormat="1" ht="21" hidden="1" customHeight="1" x14ac:dyDescent="0.3">
      <c r="A160" s="95" t="s">
        <v>626</v>
      </c>
      <c r="B160" s="100">
        <v>10</v>
      </c>
      <c r="C160" s="101">
        <v>0.19</v>
      </c>
      <c r="D160" s="102" t="s">
        <v>578</v>
      </c>
      <c r="E160" s="110" t="s">
        <v>269</v>
      </c>
      <c r="F160" s="41"/>
    </row>
    <row r="161" spans="1:6" s="11" customFormat="1" ht="21" hidden="1" customHeight="1" x14ac:dyDescent="0.3">
      <c r="A161" s="95" t="s">
        <v>24</v>
      </c>
      <c r="B161" s="100">
        <v>30</v>
      </c>
      <c r="C161" s="101">
        <v>0.19</v>
      </c>
      <c r="D161" s="102" t="s">
        <v>578</v>
      </c>
      <c r="E161" s="110" t="s">
        <v>1082</v>
      </c>
      <c r="F161" s="41" t="s">
        <v>1147</v>
      </c>
    </row>
    <row r="162" spans="1:6" s="11" customFormat="1" ht="21" hidden="1" customHeight="1" x14ac:dyDescent="0.3">
      <c r="A162" s="95" t="s">
        <v>12</v>
      </c>
      <c r="B162" s="100">
        <v>30</v>
      </c>
      <c r="C162" s="101">
        <v>0.19</v>
      </c>
      <c r="D162" s="102" t="s">
        <v>578</v>
      </c>
      <c r="E162" s="110" t="s">
        <v>179</v>
      </c>
      <c r="F162" s="41"/>
    </row>
    <row r="163" spans="1:6" s="11" customFormat="1" ht="21" hidden="1" customHeight="1" x14ac:dyDescent="0.3">
      <c r="A163" s="95" t="s">
        <v>857</v>
      </c>
      <c r="B163" s="100">
        <v>30</v>
      </c>
      <c r="C163" s="101">
        <v>0.19</v>
      </c>
      <c r="D163" s="102" t="s">
        <v>578</v>
      </c>
      <c r="E163" s="110" t="s">
        <v>858</v>
      </c>
      <c r="F163" s="41"/>
    </row>
    <row r="164" spans="1:6" s="11" customFormat="1" ht="21" hidden="1" customHeight="1" x14ac:dyDescent="0.3">
      <c r="A164" s="95" t="s">
        <v>141</v>
      </c>
      <c r="B164" s="100">
        <v>30</v>
      </c>
      <c r="C164" s="101">
        <v>0.19</v>
      </c>
      <c r="D164" s="102" t="s">
        <v>578</v>
      </c>
      <c r="E164" s="110" t="s">
        <v>208</v>
      </c>
      <c r="F164" s="41" t="s">
        <v>142</v>
      </c>
    </row>
    <row r="165" spans="1:6" s="11" customFormat="1" ht="21" hidden="1" customHeight="1" x14ac:dyDescent="0.3">
      <c r="A165" s="95" t="s">
        <v>37</v>
      </c>
      <c r="B165" s="100">
        <v>30</v>
      </c>
      <c r="C165" s="101">
        <v>0.19</v>
      </c>
      <c r="D165" s="102" t="s">
        <v>578</v>
      </c>
      <c r="E165" s="110" t="s">
        <v>107</v>
      </c>
      <c r="F165" s="41"/>
    </row>
    <row r="166" spans="1:6" s="11" customFormat="1" ht="21" hidden="1" customHeight="1" x14ac:dyDescent="0.3">
      <c r="A166" s="95" t="s">
        <v>75</v>
      </c>
      <c r="B166" s="100">
        <v>30</v>
      </c>
      <c r="C166" s="101">
        <v>0.19</v>
      </c>
      <c r="D166" s="102" t="s">
        <v>578</v>
      </c>
      <c r="E166" s="110" t="s">
        <v>107</v>
      </c>
      <c r="F166" s="41"/>
    </row>
    <row r="167" spans="1:6" s="11" customFormat="1" ht="21" hidden="1" customHeight="1" x14ac:dyDescent="0.3">
      <c r="A167" s="95" t="s">
        <v>46</v>
      </c>
      <c r="B167" s="100">
        <v>30</v>
      </c>
      <c r="C167" s="101">
        <v>0.19</v>
      </c>
      <c r="D167" s="102">
        <v>0</v>
      </c>
      <c r="E167" s="110" t="s">
        <v>180</v>
      </c>
      <c r="F167" s="41"/>
    </row>
    <row r="168" spans="1:6" s="11" customFormat="1" ht="21" hidden="1" customHeight="1" x14ac:dyDescent="0.3">
      <c r="A168" s="95" t="s">
        <v>50</v>
      </c>
      <c r="B168" s="100">
        <v>30</v>
      </c>
      <c r="C168" s="101">
        <v>0.19</v>
      </c>
      <c r="D168" s="102" t="s">
        <v>578</v>
      </c>
      <c r="E168" s="110" t="s">
        <v>107</v>
      </c>
      <c r="F168" s="41"/>
    </row>
    <row r="169" spans="1:6" s="11" customFormat="1" ht="21" hidden="1" customHeight="1" x14ac:dyDescent="0.3">
      <c r="A169" s="95" t="s">
        <v>48</v>
      </c>
      <c r="B169" s="100">
        <v>30</v>
      </c>
      <c r="C169" s="101">
        <v>0.19</v>
      </c>
      <c r="D169" s="102" t="s">
        <v>578</v>
      </c>
      <c r="E169" s="110" t="s">
        <v>107</v>
      </c>
      <c r="F169" s="41"/>
    </row>
    <row r="170" spans="1:6" s="11" customFormat="1" ht="21" hidden="1" customHeight="1" x14ac:dyDescent="0.3">
      <c r="A170" s="95" t="s">
        <v>58</v>
      </c>
      <c r="B170" s="100">
        <v>30</v>
      </c>
      <c r="C170" s="101">
        <v>0.19</v>
      </c>
      <c r="D170" s="102" t="s">
        <v>578</v>
      </c>
      <c r="E170" s="110" t="s">
        <v>107</v>
      </c>
      <c r="F170" s="41"/>
    </row>
    <row r="171" spans="1:6" s="11" customFormat="1" ht="21" hidden="1" customHeight="1" x14ac:dyDescent="0.3">
      <c r="A171" s="95" t="s">
        <v>52</v>
      </c>
      <c r="B171" s="100">
        <v>30</v>
      </c>
      <c r="C171" s="101">
        <v>0.19</v>
      </c>
      <c r="D171" s="102" t="s">
        <v>578</v>
      </c>
      <c r="E171" s="110" t="s">
        <v>107</v>
      </c>
      <c r="F171" s="41"/>
    </row>
    <row r="172" spans="1:6" s="11" customFormat="1" ht="21" hidden="1" customHeight="1" x14ac:dyDescent="0.3">
      <c r="A172" s="95" t="s">
        <v>57</v>
      </c>
      <c r="B172" s="100">
        <v>30</v>
      </c>
      <c r="C172" s="101">
        <v>0</v>
      </c>
      <c r="D172" s="102">
        <v>0</v>
      </c>
      <c r="E172" s="110" t="s">
        <v>181</v>
      </c>
      <c r="F172" s="41"/>
    </row>
    <row r="173" spans="1:6" s="11" customFormat="1" ht="21" hidden="1" customHeight="1" x14ac:dyDescent="0.3">
      <c r="A173" s="95" t="s">
        <v>103</v>
      </c>
      <c r="B173" s="100">
        <v>30</v>
      </c>
      <c r="C173" s="101">
        <v>0</v>
      </c>
      <c r="D173" s="102">
        <v>0</v>
      </c>
      <c r="E173" s="110" t="s">
        <v>181</v>
      </c>
      <c r="F173" s="41"/>
    </row>
    <row r="174" spans="1:6" s="11" customFormat="1" ht="21" hidden="1" customHeight="1" x14ac:dyDescent="0.3">
      <c r="A174" s="95" t="s">
        <v>111</v>
      </c>
      <c r="B174" s="100">
        <v>30</v>
      </c>
      <c r="C174" s="101">
        <v>0</v>
      </c>
      <c r="D174" s="102">
        <v>0</v>
      </c>
      <c r="E174" s="110" t="s">
        <v>181</v>
      </c>
      <c r="F174" s="41"/>
    </row>
    <row r="175" spans="1:6" s="11" customFormat="1" ht="21" hidden="1" customHeight="1" x14ac:dyDescent="0.3">
      <c r="A175" s="95" t="s">
        <v>68</v>
      </c>
      <c r="B175" s="100">
        <v>30</v>
      </c>
      <c r="C175" s="101">
        <v>0</v>
      </c>
      <c r="D175" s="102">
        <v>0</v>
      </c>
      <c r="E175" s="110" t="s">
        <v>181</v>
      </c>
      <c r="F175" s="41"/>
    </row>
    <row r="176" spans="1:6" s="11" customFormat="1" ht="21" hidden="1" customHeight="1" x14ac:dyDescent="0.3">
      <c r="A176" s="95" t="s">
        <v>71</v>
      </c>
      <c r="B176" s="100">
        <v>30</v>
      </c>
      <c r="C176" s="101">
        <v>0</v>
      </c>
      <c r="D176" s="102">
        <v>0</v>
      </c>
      <c r="E176" s="110" t="s">
        <v>181</v>
      </c>
      <c r="F176" s="41"/>
    </row>
    <row r="177" spans="1:6" s="11" customFormat="1" ht="21" hidden="1" customHeight="1" x14ac:dyDescent="0.3">
      <c r="A177" s="95" t="s">
        <v>59</v>
      </c>
      <c r="B177" s="100">
        <v>30</v>
      </c>
      <c r="C177" s="101">
        <v>0</v>
      </c>
      <c r="D177" s="102">
        <v>0</v>
      </c>
      <c r="E177" s="110" t="s">
        <v>181</v>
      </c>
      <c r="F177" s="41"/>
    </row>
    <row r="178" spans="1:6" s="11" customFormat="1" ht="21" hidden="1" customHeight="1" x14ac:dyDescent="0.3">
      <c r="A178" s="95" t="s">
        <v>60</v>
      </c>
      <c r="B178" s="100">
        <v>30</v>
      </c>
      <c r="C178" s="101">
        <v>0</v>
      </c>
      <c r="D178" s="102">
        <v>0</v>
      </c>
      <c r="E178" s="110" t="s">
        <v>181</v>
      </c>
      <c r="F178" s="41"/>
    </row>
    <row r="179" spans="1:6" s="11" customFormat="1" ht="21" hidden="1" customHeight="1" x14ac:dyDescent="0.3">
      <c r="A179" s="95" t="s">
        <v>90</v>
      </c>
      <c r="B179" s="100">
        <v>30</v>
      </c>
      <c r="C179" s="101">
        <v>0</v>
      </c>
      <c r="D179" s="102">
        <v>0</v>
      </c>
      <c r="E179" s="110" t="s">
        <v>181</v>
      </c>
      <c r="F179" s="41"/>
    </row>
    <row r="180" spans="1:6" s="11" customFormat="1" ht="21" hidden="1" customHeight="1" x14ac:dyDescent="0.3">
      <c r="A180" s="95" t="s">
        <v>91</v>
      </c>
      <c r="B180" s="100">
        <v>30</v>
      </c>
      <c r="C180" s="101">
        <v>0</v>
      </c>
      <c r="D180" s="102">
        <v>0</v>
      </c>
      <c r="E180" s="110" t="s">
        <v>181</v>
      </c>
      <c r="F180" s="41"/>
    </row>
    <row r="181" spans="1:6" s="11" customFormat="1" ht="21" hidden="1" customHeight="1" x14ac:dyDescent="0.3">
      <c r="A181" s="95" t="s">
        <v>22</v>
      </c>
      <c r="B181" s="100">
        <v>30</v>
      </c>
      <c r="C181" s="101">
        <v>0</v>
      </c>
      <c r="D181" s="102">
        <v>0</v>
      </c>
      <c r="E181" s="110" t="s">
        <v>181</v>
      </c>
      <c r="F181" s="41"/>
    </row>
    <row r="182" spans="1:6" s="11" customFormat="1" ht="21" hidden="1" customHeight="1" x14ac:dyDescent="0.3">
      <c r="A182" s="95" t="s">
        <v>83</v>
      </c>
      <c r="B182" s="100">
        <v>30</v>
      </c>
      <c r="C182" s="101">
        <v>0.19</v>
      </c>
      <c r="D182" s="102" t="s">
        <v>578</v>
      </c>
      <c r="E182" s="110" t="s">
        <v>107</v>
      </c>
      <c r="F182" s="41"/>
    </row>
    <row r="183" spans="1:6" s="11" customFormat="1" ht="21" hidden="1" customHeight="1" x14ac:dyDescent="0.3">
      <c r="A183" s="95" t="s">
        <v>2236</v>
      </c>
      <c r="B183" s="100">
        <v>0</v>
      </c>
      <c r="C183" s="101">
        <v>0</v>
      </c>
      <c r="D183" s="102">
        <v>0</v>
      </c>
      <c r="E183" s="155"/>
      <c r="F183" s="41"/>
    </row>
    <row r="184" spans="1:6" s="11" customFormat="1" ht="21" hidden="1" customHeight="1" x14ac:dyDescent="0.3">
      <c r="A184" s="95" t="s">
        <v>627</v>
      </c>
      <c r="B184" s="100">
        <v>10</v>
      </c>
      <c r="C184" s="101">
        <v>0.19</v>
      </c>
      <c r="D184" s="102">
        <v>0</v>
      </c>
      <c r="E184" s="110"/>
      <c r="F184" s="41"/>
    </row>
    <row r="185" spans="1:6" s="11" customFormat="1" ht="21" hidden="1" customHeight="1" x14ac:dyDescent="0.3">
      <c r="A185" s="95" t="s">
        <v>1072</v>
      </c>
      <c r="B185" s="100">
        <v>10</v>
      </c>
      <c r="C185" s="101">
        <v>0.19</v>
      </c>
      <c r="D185" s="102" t="s">
        <v>578</v>
      </c>
      <c r="E185" s="110" t="s">
        <v>1073</v>
      </c>
      <c r="F185" s="41"/>
    </row>
    <row r="186" spans="1:6" s="11" customFormat="1" ht="21" hidden="1" customHeight="1" x14ac:dyDescent="0.3">
      <c r="A186" s="95" t="s">
        <v>951</v>
      </c>
      <c r="B186" s="100">
        <v>60</v>
      </c>
      <c r="C186" s="101">
        <v>0.19</v>
      </c>
      <c r="D186" s="102">
        <v>0</v>
      </c>
      <c r="E186" s="110"/>
      <c r="F186" s="41"/>
    </row>
    <row r="187" spans="1:6" s="11" customFormat="1" ht="21" hidden="1" customHeight="1" x14ac:dyDescent="0.3">
      <c r="A187" s="95" t="s">
        <v>18</v>
      </c>
      <c r="B187" s="100">
        <v>30</v>
      </c>
      <c r="C187" s="101">
        <v>0.19</v>
      </c>
      <c r="D187" s="102" t="s">
        <v>578</v>
      </c>
      <c r="E187" s="110" t="s">
        <v>182</v>
      </c>
      <c r="F187" s="41" t="s">
        <v>1206</v>
      </c>
    </row>
    <row r="188" spans="1:6" s="11" customFormat="1" ht="21" hidden="1" customHeight="1" x14ac:dyDescent="0.3">
      <c r="A188" s="95" t="s">
        <v>2264</v>
      </c>
      <c r="B188" s="100">
        <v>30</v>
      </c>
      <c r="C188" s="101">
        <v>0.19</v>
      </c>
      <c r="D188" s="102" t="s">
        <v>578</v>
      </c>
      <c r="E188" s="110" t="s">
        <v>2265</v>
      </c>
      <c r="F188" s="41" t="s">
        <v>2266</v>
      </c>
    </row>
    <row r="189" spans="1:6" s="11" customFormat="1" ht="21" hidden="1" customHeight="1" x14ac:dyDescent="0.3">
      <c r="A189" s="95" t="s">
        <v>763</v>
      </c>
      <c r="B189" s="100">
        <v>30</v>
      </c>
      <c r="C189" s="101">
        <v>0.19</v>
      </c>
      <c r="D189" s="102" t="s">
        <v>578</v>
      </c>
      <c r="E189" s="110" t="s">
        <v>867</v>
      </c>
      <c r="F189" s="41"/>
    </row>
    <row r="190" spans="1:6" s="11" customFormat="1" ht="21" hidden="1" customHeight="1" x14ac:dyDescent="0.3">
      <c r="A190" s="95" t="s">
        <v>2032</v>
      </c>
      <c r="B190" s="100">
        <v>0</v>
      </c>
      <c r="C190" s="101">
        <v>0.19</v>
      </c>
      <c r="D190" s="102" t="s">
        <v>926</v>
      </c>
      <c r="E190" s="199" t="s">
        <v>2033</v>
      </c>
      <c r="F190" s="41"/>
    </row>
    <row r="191" spans="1:6" s="11" customFormat="1" ht="21" hidden="1" customHeight="1" x14ac:dyDescent="0.3">
      <c r="A191" s="95" t="s">
        <v>1850</v>
      </c>
      <c r="B191" s="100">
        <v>30</v>
      </c>
      <c r="C191" s="101">
        <v>0.19</v>
      </c>
      <c r="D191" s="102" t="s">
        <v>578</v>
      </c>
      <c r="E191" s="110" t="s">
        <v>177</v>
      </c>
      <c r="F191" s="41"/>
    </row>
    <row r="192" spans="1:6" s="11" customFormat="1" ht="21" hidden="1" customHeight="1" x14ac:dyDescent="0.3">
      <c r="A192" s="95" t="s">
        <v>327</v>
      </c>
      <c r="B192" s="100">
        <v>10</v>
      </c>
      <c r="C192" s="101">
        <v>0.19</v>
      </c>
      <c r="D192" s="102" t="s">
        <v>581</v>
      </c>
      <c r="E192" s="110" t="s">
        <v>328</v>
      </c>
      <c r="F192" s="41"/>
    </row>
    <row r="193" spans="1:6" s="11" customFormat="1" ht="21" hidden="1" customHeight="1" x14ac:dyDescent="0.3">
      <c r="A193" s="95" t="s">
        <v>1337</v>
      </c>
      <c r="B193" s="100">
        <v>30</v>
      </c>
      <c r="C193" s="101">
        <v>0.19</v>
      </c>
      <c r="D193" s="102">
        <v>0</v>
      </c>
      <c r="E193" s="155"/>
      <c r="F193" s="41"/>
    </row>
    <row r="194" spans="1:6" s="11" customFormat="1" ht="21" hidden="1" customHeight="1" x14ac:dyDescent="0.3">
      <c r="A194" s="95" t="s">
        <v>34</v>
      </c>
      <c r="B194" s="100">
        <v>30</v>
      </c>
      <c r="C194" s="101">
        <v>0.19</v>
      </c>
      <c r="D194" s="102" t="s">
        <v>578</v>
      </c>
      <c r="E194" s="110" t="s">
        <v>183</v>
      </c>
      <c r="F194" s="41"/>
    </row>
    <row r="195" spans="1:6" s="11" customFormat="1" ht="21" hidden="1" customHeight="1" x14ac:dyDescent="0.3">
      <c r="A195" s="95" t="s">
        <v>66</v>
      </c>
      <c r="B195" s="100">
        <v>30</v>
      </c>
      <c r="C195" s="101">
        <v>0</v>
      </c>
      <c r="D195" s="102">
        <v>0</v>
      </c>
      <c r="E195" s="110" t="s">
        <v>181</v>
      </c>
      <c r="F195" s="41"/>
    </row>
    <row r="196" spans="1:6" s="11" customFormat="1" ht="21" hidden="1" customHeight="1" x14ac:dyDescent="0.3">
      <c r="A196" s="95" t="s">
        <v>245</v>
      </c>
      <c r="B196" s="100">
        <v>30</v>
      </c>
      <c r="C196" s="101">
        <v>0</v>
      </c>
      <c r="D196" s="102">
        <v>0</v>
      </c>
      <c r="E196" s="110"/>
      <c r="F196" s="41"/>
    </row>
    <row r="197" spans="1:6" s="11" customFormat="1" ht="21" hidden="1" customHeight="1" x14ac:dyDescent="0.3">
      <c r="A197" s="95" t="s">
        <v>92</v>
      </c>
      <c r="B197" s="100">
        <v>30</v>
      </c>
      <c r="C197" s="101">
        <v>0</v>
      </c>
      <c r="D197" s="102">
        <v>0</v>
      </c>
      <c r="E197" s="110" t="s">
        <v>107</v>
      </c>
      <c r="F197" s="41"/>
    </row>
    <row r="198" spans="1:6" s="11" customFormat="1" ht="21" hidden="1" customHeight="1" x14ac:dyDescent="0.3">
      <c r="A198" s="95" t="s">
        <v>69</v>
      </c>
      <c r="B198" s="100">
        <v>30</v>
      </c>
      <c r="C198" s="101">
        <v>0</v>
      </c>
      <c r="D198" s="102">
        <v>0</v>
      </c>
      <c r="E198" s="110" t="s">
        <v>107</v>
      </c>
      <c r="F198" s="41"/>
    </row>
    <row r="199" spans="1:6" s="11" customFormat="1" ht="21" hidden="1" customHeight="1" x14ac:dyDescent="0.3">
      <c r="A199" s="95" t="s">
        <v>228</v>
      </c>
      <c r="B199" s="100">
        <v>10</v>
      </c>
      <c r="C199" s="101">
        <v>0</v>
      </c>
      <c r="D199" s="102">
        <v>0</v>
      </c>
      <c r="E199" s="110"/>
      <c r="F199" s="41"/>
    </row>
    <row r="200" spans="1:6" s="11" customFormat="1" ht="21" hidden="1" customHeight="1" x14ac:dyDescent="0.3">
      <c r="A200" s="95" t="s">
        <v>62</v>
      </c>
      <c r="B200" s="100">
        <v>30</v>
      </c>
      <c r="C200" s="101">
        <v>0</v>
      </c>
      <c r="D200" s="102">
        <v>0</v>
      </c>
      <c r="E200" s="110" t="s">
        <v>107</v>
      </c>
      <c r="F200" s="41"/>
    </row>
    <row r="201" spans="1:6" s="11" customFormat="1" ht="21" hidden="1" customHeight="1" x14ac:dyDescent="0.3">
      <c r="A201" s="95" t="s">
        <v>73</v>
      </c>
      <c r="B201" s="100">
        <v>30</v>
      </c>
      <c r="C201" s="101">
        <v>0</v>
      </c>
      <c r="D201" s="102">
        <v>0</v>
      </c>
      <c r="E201" s="110" t="s">
        <v>181</v>
      </c>
      <c r="F201" s="41"/>
    </row>
    <row r="202" spans="1:6" s="11" customFormat="1" ht="21" hidden="1" customHeight="1" x14ac:dyDescent="0.3">
      <c r="A202" s="95" t="s">
        <v>106</v>
      </c>
      <c r="B202" s="100">
        <v>30</v>
      </c>
      <c r="C202" s="101">
        <v>0</v>
      </c>
      <c r="D202" s="102">
        <v>0</v>
      </c>
      <c r="E202" s="110" t="s">
        <v>181</v>
      </c>
      <c r="F202" s="41"/>
    </row>
    <row r="203" spans="1:6" s="11" customFormat="1" ht="21" hidden="1" customHeight="1" x14ac:dyDescent="0.3">
      <c r="A203" s="95" t="s">
        <v>72</v>
      </c>
      <c r="B203" s="100">
        <v>30</v>
      </c>
      <c r="C203" s="101">
        <v>0</v>
      </c>
      <c r="D203" s="102">
        <v>0</v>
      </c>
      <c r="E203" s="110" t="s">
        <v>181</v>
      </c>
      <c r="F203" s="41"/>
    </row>
    <row r="204" spans="1:6" s="11" customFormat="1" ht="21" hidden="1" customHeight="1" x14ac:dyDescent="0.3">
      <c r="A204" s="95" t="s">
        <v>93</v>
      </c>
      <c r="B204" s="100">
        <v>30</v>
      </c>
      <c r="C204" s="101">
        <v>0</v>
      </c>
      <c r="D204" s="102">
        <v>0</v>
      </c>
      <c r="E204" s="110" t="s">
        <v>181</v>
      </c>
      <c r="F204" s="41"/>
    </row>
    <row r="205" spans="1:6" s="11" customFormat="1" ht="21" hidden="1" customHeight="1" x14ac:dyDescent="0.3">
      <c r="A205" s="95" t="s">
        <v>55</v>
      </c>
      <c r="B205" s="100">
        <v>30</v>
      </c>
      <c r="C205" s="101">
        <v>0</v>
      </c>
      <c r="D205" s="102">
        <v>0</v>
      </c>
      <c r="E205" s="110" t="s">
        <v>107</v>
      </c>
      <c r="F205" s="41"/>
    </row>
    <row r="206" spans="1:6" s="11" customFormat="1" ht="21" hidden="1" customHeight="1" x14ac:dyDescent="0.3">
      <c r="A206" s="95" t="s">
        <v>53</v>
      </c>
      <c r="B206" s="100">
        <v>30</v>
      </c>
      <c r="C206" s="101">
        <v>0</v>
      </c>
      <c r="D206" s="102">
        <v>0</v>
      </c>
      <c r="E206" s="110" t="s">
        <v>107</v>
      </c>
      <c r="F206" s="96"/>
    </row>
    <row r="207" spans="1:6" s="11" customFormat="1" ht="21" hidden="1" customHeight="1" x14ac:dyDescent="0.3">
      <c r="A207" s="95" t="s">
        <v>964</v>
      </c>
      <c r="B207" s="100">
        <v>30</v>
      </c>
      <c r="C207" s="101">
        <v>0.19</v>
      </c>
      <c r="D207" s="102">
        <v>0</v>
      </c>
      <c r="E207" s="110" t="s">
        <v>190</v>
      </c>
      <c r="F207" s="41"/>
    </row>
    <row r="208" spans="1:6" s="11" customFormat="1" ht="21" hidden="1" customHeight="1" x14ac:dyDescent="0.3">
      <c r="A208" s="95" t="s">
        <v>65</v>
      </c>
      <c r="B208" s="100">
        <v>30</v>
      </c>
      <c r="C208" s="101">
        <v>0.19</v>
      </c>
      <c r="D208" s="102" t="s">
        <v>578</v>
      </c>
      <c r="E208" s="110" t="s">
        <v>184</v>
      </c>
      <c r="F208" s="96"/>
    </row>
    <row r="209" spans="1:6" s="11" customFormat="1" ht="21" hidden="1" customHeight="1" x14ac:dyDescent="0.3">
      <c r="A209" s="95" t="s">
        <v>967</v>
      </c>
      <c r="B209" s="100">
        <v>30</v>
      </c>
      <c r="C209" s="101">
        <v>0</v>
      </c>
      <c r="D209" s="102" t="s">
        <v>577</v>
      </c>
      <c r="E209" s="110" t="s">
        <v>176</v>
      </c>
      <c r="F209" s="41"/>
    </row>
    <row r="210" spans="1:6" s="11" customFormat="1" ht="21" hidden="1" customHeight="1" x14ac:dyDescent="0.3">
      <c r="A210" s="95" t="s">
        <v>47</v>
      </c>
      <c r="B210" s="100">
        <v>30</v>
      </c>
      <c r="C210" s="101">
        <v>0.19</v>
      </c>
      <c r="D210" s="102" t="s">
        <v>578</v>
      </c>
      <c r="E210" s="110" t="s">
        <v>210</v>
      </c>
      <c r="F210" s="41" t="s">
        <v>1148</v>
      </c>
    </row>
    <row r="211" spans="1:6" s="11" customFormat="1" ht="21" hidden="1" customHeight="1" x14ac:dyDescent="0.3">
      <c r="A211" s="95" t="s">
        <v>921</v>
      </c>
      <c r="B211" s="100">
        <v>30</v>
      </c>
      <c r="C211" s="101">
        <v>0.19</v>
      </c>
      <c r="D211" s="102" t="s">
        <v>578</v>
      </c>
      <c r="E211" s="110" t="s">
        <v>210</v>
      </c>
      <c r="F211" s="41"/>
    </row>
    <row r="212" spans="1:6" s="11" customFormat="1" ht="21" hidden="1" customHeight="1" x14ac:dyDescent="0.3">
      <c r="A212" s="95" t="s">
        <v>2038</v>
      </c>
      <c r="B212" s="100">
        <v>30</v>
      </c>
      <c r="C212" s="101">
        <v>0.19</v>
      </c>
      <c r="D212" s="102" t="s">
        <v>578</v>
      </c>
      <c r="E212" s="110" t="s">
        <v>2037</v>
      </c>
      <c r="F212" s="41"/>
    </row>
    <row r="213" spans="1:6" s="11" customFormat="1" ht="21" hidden="1" customHeight="1" x14ac:dyDescent="0.3">
      <c r="A213" s="95" t="s">
        <v>169</v>
      </c>
      <c r="B213" s="100">
        <v>30</v>
      </c>
      <c r="C213" s="101">
        <v>0.19</v>
      </c>
      <c r="D213" s="102" t="s">
        <v>578</v>
      </c>
      <c r="E213" s="110" t="s">
        <v>270</v>
      </c>
      <c r="F213" s="41" t="s">
        <v>156</v>
      </c>
    </row>
    <row r="214" spans="1:6" s="11" customFormat="1" ht="21" hidden="1" customHeight="1" x14ac:dyDescent="0.3">
      <c r="A214" s="95" t="s">
        <v>247</v>
      </c>
      <c r="B214" s="100">
        <v>30</v>
      </c>
      <c r="C214" s="101">
        <v>0.19</v>
      </c>
      <c r="D214" s="102" t="s">
        <v>578</v>
      </c>
      <c r="E214" s="110" t="s">
        <v>270</v>
      </c>
      <c r="F214" s="41" t="s">
        <v>156</v>
      </c>
    </row>
    <row r="215" spans="1:6" s="11" customFormat="1" ht="21" hidden="1" customHeight="1" x14ac:dyDescent="0.3">
      <c r="A215" s="95" t="s">
        <v>279</v>
      </c>
      <c r="B215" s="100">
        <v>30</v>
      </c>
      <c r="C215" s="101">
        <v>0.19</v>
      </c>
      <c r="D215" s="102" t="s">
        <v>578</v>
      </c>
      <c r="E215" s="110" t="s">
        <v>431</v>
      </c>
      <c r="F215" s="41"/>
    </row>
    <row r="216" spans="1:6" s="11" customFormat="1" ht="21" hidden="1" customHeight="1" x14ac:dyDescent="0.3">
      <c r="A216" s="95" t="s">
        <v>126</v>
      </c>
      <c r="B216" s="100">
        <v>30</v>
      </c>
      <c r="C216" s="101">
        <v>0.19</v>
      </c>
      <c r="D216" s="102" t="s">
        <v>578</v>
      </c>
      <c r="E216" s="110"/>
      <c r="F216" s="41"/>
    </row>
    <row r="217" spans="1:6" s="11" customFormat="1" ht="21" hidden="1" customHeight="1" x14ac:dyDescent="0.3">
      <c r="A217" s="95" t="s">
        <v>31</v>
      </c>
      <c r="B217" s="100">
        <v>30</v>
      </c>
      <c r="C217" s="101">
        <v>0</v>
      </c>
      <c r="D217" s="102">
        <v>0</v>
      </c>
      <c r="E217" s="110" t="s">
        <v>233</v>
      </c>
      <c r="F217" s="41"/>
    </row>
    <row r="218" spans="1:6" s="11" customFormat="1" ht="21" hidden="1" customHeight="1" x14ac:dyDescent="0.3">
      <c r="A218" s="95" t="s">
        <v>736</v>
      </c>
      <c r="B218" s="100">
        <v>30</v>
      </c>
      <c r="C218" s="101">
        <v>0.19</v>
      </c>
      <c r="D218" s="102" t="s">
        <v>578</v>
      </c>
      <c r="E218" s="110" t="s">
        <v>737</v>
      </c>
      <c r="F218" s="41"/>
    </row>
    <row r="219" spans="1:6" s="11" customFormat="1" ht="21" hidden="1" customHeight="1" x14ac:dyDescent="0.3">
      <c r="A219" s="95" t="s">
        <v>1656</v>
      </c>
      <c r="B219" s="100">
        <v>30</v>
      </c>
      <c r="C219" s="101">
        <v>0.19</v>
      </c>
      <c r="D219" s="102" t="s">
        <v>578</v>
      </c>
      <c r="E219" s="110" t="s">
        <v>737</v>
      </c>
      <c r="F219" s="41"/>
    </row>
    <row r="220" spans="1:6" s="11" customFormat="1" ht="21" hidden="1" customHeight="1" x14ac:dyDescent="0.3">
      <c r="A220" s="95" t="s">
        <v>33</v>
      </c>
      <c r="B220" s="100">
        <v>30</v>
      </c>
      <c r="C220" s="101">
        <v>0.19</v>
      </c>
      <c r="D220" s="102" t="s">
        <v>578</v>
      </c>
      <c r="E220" s="110" t="s">
        <v>259</v>
      </c>
      <c r="F220" s="41"/>
    </row>
    <row r="221" spans="1:6" s="11" customFormat="1" ht="21" hidden="1" customHeight="1" x14ac:dyDescent="0.3">
      <c r="A221" s="95" t="s">
        <v>628</v>
      </c>
      <c r="B221" s="100">
        <v>30</v>
      </c>
      <c r="C221" s="101">
        <v>0</v>
      </c>
      <c r="D221" s="102">
        <v>0</v>
      </c>
      <c r="E221" s="110" t="s">
        <v>185</v>
      </c>
      <c r="F221" s="41"/>
    </row>
    <row r="222" spans="1:6" s="11" customFormat="1" ht="21" hidden="1" customHeight="1" x14ac:dyDescent="0.3">
      <c r="A222" s="95" t="s">
        <v>94</v>
      </c>
      <c r="B222" s="100">
        <v>30</v>
      </c>
      <c r="C222" s="101">
        <v>0.19</v>
      </c>
      <c r="D222" s="102">
        <v>0</v>
      </c>
      <c r="E222" s="110" t="s">
        <v>107</v>
      </c>
      <c r="F222" s="41"/>
    </row>
    <row r="223" spans="1:6" s="11" customFormat="1" ht="21" hidden="1" customHeight="1" x14ac:dyDescent="0.3">
      <c r="A223" s="95" t="s">
        <v>1109</v>
      </c>
      <c r="B223" s="100">
        <v>0</v>
      </c>
      <c r="C223" s="101">
        <v>0</v>
      </c>
      <c r="D223" s="102">
        <v>0</v>
      </c>
      <c r="E223" s="199" t="s">
        <v>1111</v>
      </c>
      <c r="F223" s="198" t="s">
        <v>1110</v>
      </c>
    </row>
    <row r="224" spans="1:6" s="11" customFormat="1" ht="21" hidden="1" customHeight="1" x14ac:dyDescent="0.3">
      <c r="A224" s="95" t="s">
        <v>629</v>
      </c>
      <c r="B224" s="100">
        <v>30</v>
      </c>
      <c r="C224" s="101">
        <v>0</v>
      </c>
      <c r="D224" s="102">
        <v>0</v>
      </c>
      <c r="E224" s="110"/>
      <c r="F224" s="41"/>
    </row>
    <row r="225" spans="1:6" s="11" customFormat="1" ht="21" hidden="1" customHeight="1" x14ac:dyDescent="0.3">
      <c r="A225" s="95" t="s">
        <v>95</v>
      </c>
      <c r="B225" s="100">
        <v>30</v>
      </c>
      <c r="C225" s="101">
        <v>0</v>
      </c>
      <c r="D225" s="102">
        <v>0</v>
      </c>
      <c r="E225" s="110" t="s">
        <v>659</v>
      </c>
      <c r="F225" s="41"/>
    </row>
    <row r="226" spans="1:6" s="11" customFormat="1" ht="21" hidden="1" customHeight="1" x14ac:dyDescent="0.3">
      <c r="A226" s="95" t="s">
        <v>246</v>
      </c>
      <c r="B226" s="100">
        <v>30</v>
      </c>
      <c r="C226" s="101">
        <v>0</v>
      </c>
      <c r="D226" s="102">
        <v>0</v>
      </c>
      <c r="E226" s="110" t="s">
        <v>659</v>
      </c>
      <c r="F226" s="41"/>
    </row>
    <row r="227" spans="1:6" s="11" customFormat="1" ht="21" hidden="1" customHeight="1" x14ac:dyDescent="0.3">
      <c r="A227" s="95" t="s">
        <v>335</v>
      </c>
      <c r="B227" s="100">
        <v>30</v>
      </c>
      <c r="C227" s="101">
        <v>0</v>
      </c>
      <c r="D227" s="102">
        <v>0</v>
      </c>
      <c r="E227" s="110" t="s">
        <v>659</v>
      </c>
      <c r="F227" s="41"/>
    </row>
    <row r="228" spans="1:6" s="11" customFormat="1" ht="21" hidden="1" customHeight="1" x14ac:dyDescent="0.3">
      <c r="A228" s="95" t="s">
        <v>227</v>
      </c>
      <c r="B228" s="100">
        <v>30</v>
      </c>
      <c r="C228" s="101">
        <v>0</v>
      </c>
      <c r="D228" s="102">
        <v>0</v>
      </c>
      <c r="E228" s="110" t="s">
        <v>659</v>
      </c>
      <c r="F228" s="41"/>
    </row>
    <row r="229" spans="1:6" s="11" customFormat="1" ht="21" hidden="1" customHeight="1" x14ac:dyDescent="0.3">
      <c r="A229" s="95" t="s">
        <v>76</v>
      </c>
      <c r="B229" s="100">
        <v>30</v>
      </c>
      <c r="C229" s="101">
        <v>0.19</v>
      </c>
      <c r="D229" s="102" t="s">
        <v>578</v>
      </c>
      <c r="E229" s="110" t="s">
        <v>186</v>
      </c>
      <c r="F229" s="41"/>
    </row>
    <row r="230" spans="1:6" s="11" customFormat="1" ht="21" hidden="1" customHeight="1" x14ac:dyDescent="0.3">
      <c r="A230" s="95" t="s">
        <v>827</v>
      </c>
      <c r="B230" s="100">
        <v>30</v>
      </c>
      <c r="C230" s="101">
        <v>0.19</v>
      </c>
      <c r="D230" s="102"/>
      <c r="E230" s="110" t="s">
        <v>828</v>
      </c>
      <c r="F230" s="41"/>
    </row>
    <row r="231" spans="1:6" s="11" customFormat="1" ht="21" hidden="1" customHeight="1" x14ac:dyDescent="0.3">
      <c r="A231" s="95" t="s">
        <v>648</v>
      </c>
      <c r="B231" s="100">
        <v>30</v>
      </c>
      <c r="C231" s="101">
        <v>0.19</v>
      </c>
      <c r="D231" s="102" t="s">
        <v>580</v>
      </c>
      <c r="E231" s="110" t="s">
        <v>434</v>
      </c>
      <c r="F231" s="41"/>
    </row>
    <row r="232" spans="1:6" s="11" customFormat="1" ht="21" hidden="1" customHeight="1" x14ac:dyDescent="0.3">
      <c r="A232" s="95" t="s">
        <v>32</v>
      </c>
      <c r="B232" s="100">
        <v>30</v>
      </c>
      <c r="C232" s="101">
        <v>0.19</v>
      </c>
      <c r="D232" s="102" t="s">
        <v>578</v>
      </c>
      <c r="E232" s="110" t="s">
        <v>728</v>
      </c>
      <c r="F232" s="41"/>
    </row>
    <row r="233" spans="1:6" s="11" customFormat="1" ht="21" hidden="1" customHeight="1" x14ac:dyDescent="0.3">
      <c r="A233" s="95" t="s">
        <v>265</v>
      </c>
      <c r="B233" s="100">
        <v>30</v>
      </c>
      <c r="C233" s="101">
        <v>0.19</v>
      </c>
      <c r="D233" s="102" t="s">
        <v>578</v>
      </c>
      <c r="E233" s="110" t="s">
        <v>270</v>
      </c>
      <c r="F233" s="41"/>
    </row>
    <row r="234" spans="1:6" s="11" customFormat="1" ht="21" hidden="1" customHeight="1" x14ac:dyDescent="0.3">
      <c r="A234" s="95" t="s">
        <v>630</v>
      </c>
      <c r="B234" s="100">
        <v>60</v>
      </c>
      <c r="C234" s="101">
        <v>0</v>
      </c>
      <c r="D234" s="102">
        <v>0</v>
      </c>
      <c r="E234" s="110"/>
      <c r="F234" s="41"/>
    </row>
    <row r="235" spans="1:6" s="11" customFormat="1" ht="21" hidden="1" customHeight="1" x14ac:dyDescent="0.3">
      <c r="A235" s="95" t="s">
        <v>232</v>
      </c>
      <c r="B235" s="100">
        <v>30</v>
      </c>
      <c r="C235" s="101">
        <v>0.19</v>
      </c>
      <c r="D235" s="102" t="s">
        <v>578</v>
      </c>
      <c r="E235" s="110"/>
      <c r="F235" s="41"/>
    </row>
    <row r="236" spans="1:6" s="11" customFormat="1" ht="21" hidden="1" customHeight="1" x14ac:dyDescent="0.3">
      <c r="A236" s="95" t="s">
        <v>96</v>
      </c>
      <c r="B236" s="100">
        <v>30</v>
      </c>
      <c r="C236" s="101">
        <v>0.19</v>
      </c>
      <c r="D236" s="102" t="s">
        <v>578</v>
      </c>
      <c r="E236" s="110" t="s">
        <v>107</v>
      </c>
      <c r="F236" s="41"/>
    </row>
    <row r="237" spans="1:6" s="11" customFormat="1" ht="21" hidden="1" customHeight="1" x14ac:dyDescent="0.3">
      <c r="A237" s="95" t="s">
        <v>459</v>
      </c>
      <c r="B237" s="100">
        <v>30</v>
      </c>
      <c r="C237" s="101">
        <v>0.19</v>
      </c>
      <c r="D237" s="102" t="s">
        <v>578</v>
      </c>
      <c r="E237" s="110" t="s">
        <v>187</v>
      </c>
      <c r="F237" s="41"/>
    </row>
    <row r="238" spans="1:6" s="11" customFormat="1" ht="21" hidden="1" customHeight="1" x14ac:dyDescent="0.3">
      <c r="A238" s="95" t="s">
        <v>257</v>
      </c>
      <c r="B238" s="100">
        <v>30</v>
      </c>
      <c r="C238" s="101">
        <v>0.19</v>
      </c>
      <c r="D238" s="102" t="s">
        <v>578</v>
      </c>
      <c r="E238" s="110" t="s">
        <v>258</v>
      </c>
      <c r="F238" s="41"/>
    </row>
    <row r="239" spans="1:6" s="11" customFormat="1" ht="21" hidden="1" customHeight="1" x14ac:dyDescent="0.3">
      <c r="A239" s="95" t="s">
        <v>631</v>
      </c>
      <c r="B239" s="100">
        <v>30</v>
      </c>
      <c r="C239" s="101">
        <v>0</v>
      </c>
      <c r="D239" s="102">
        <v>0</v>
      </c>
      <c r="E239" s="110" t="s">
        <v>393</v>
      </c>
      <c r="F239" s="41"/>
    </row>
    <row r="240" spans="1:6" s="11" customFormat="1" ht="21" hidden="1" customHeight="1" x14ac:dyDescent="0.3">
      <c r="A240" s="95" t="s">
        <v>27</v>
      </c>
      <c r="B240" s="100">
        <v>30</v>
      </c>
      <c r="C240" s="101">
        <v>0</v>
      </c>
      <c r="D240" s="102">
        <v>0</v>
      </c>
      <c r="E240" s="110" t="s">
        <v>107</v>
      </c>
      <c r="F240" s="41"/>
    </row>
    <row r="241" spans="1:6" s="11" customFormat="1" ht="21" hidden="1" customHeight="1" x14ac:dyDescent="0.3">
      <c r="A241" s="95" t="s">
        <v>223</v>
      </c>
      <c r="B241" s="100">
        <v>30</v>
      </c>
      <c r="C241" s="101">
        <v>0.19</v>
      </c>
      <c r="D241" s="102" t="s">
        <v>587</v>
      </c>
      <c r="E241" s="110" t="s">
        <v>224</v>
      </c>
      <c r="F241" s="41"/>
    </row>
    <row r="242" spans="1:6" s="11" customFormat="1" ht="21" hidden="1" customHeight="1" x14ac:dyDescent="0.3">
      <c r="A242" s="95" t="s">
        <v>632</v>
      </c>
      <c r="B242" s="100">
        <v>45</v>
      </c>
      <c r="C242" s="101">
        <v>0</v>
      </c>
      <c r="D242" s="102">
        <v>0</v>
      </c>
      <c r="E242" s="110"/>
      <c r="F242" s="41"/>
    </row>
    <row r="243" spans="1:6" s="11" customFormat="1" ht="21" hidden="1" customHeight="1" x14ac:dyDescent="0.3">
      <c r="A243" s="95" t="s">
        <v>17</v>
      </c>
      <c r="B243" s="100">
        <v>30</v>
      </c>
      <c r="C243" s="101">
        <v>0.19</v>
      </c>
      <c r="D243" s="102">
        <v>0</v>
      </c>
      <c r="E243" s="110" t="s">
        <v>188</v>
      </c>
      <c r="F243" s="41"/>
    </row>
    <row r="244" spans="1:6" s="11" customFormat="1" ht="21" hidden="1" customHeight="1" x14ac:dyDescent="0.3">
      <c r="A244" s="95" t="s">
        <v>214</v>
      </c>
      <c r="B244" s="100">
        <v>10</v>
      </c>
      <c r="C244" s="101">
        <v>0</v>
      </c>
      <c r="D244" s="102">
        <v>0</v>
      </c>
      <c r="E244" s="110" t="s">
        <v>215</v>
      </c>
      <c r="F244" s="41"/>
    </row>
    <row r="245" spans="1:6" s="11" customFormat="1" ht="21" hidden="1" customHeight="1" x14ac:dyDescent="0.3">
      <c r="A245" s="95" t="s">
        <v>221</v>
      </c>
      <c r="B245" s="100">
        <v>10</v>
      </c>
      <c r="C245" s="101">
        <v>0.19</v>
      </c>
      <c r="D245" s="102" t="s">
        <v>578</v>
      </c>
      <c r="E245" s="110" t="s">
        <v>222</v>
      </c>
      <c r="F245" s="41"/>
    </row>
    <row r="246" spans="1:6" s="11" customFormat="1" ht="21" hidden="1" customHeight="1" x14ac:dyDescent="0.3">
      <c r="A246" s="95" t="s">
        <v>633</v>
      </c>
      <c r="B246" s="100">
        <v>30</v>
      </c>
      <c r="C246" s="101">
        <v>0</v>
      </c>
      <c r="D246" s="102">
        <v>0</v>
      </c>
      <c r="E246" s="110"/>
      <c r="F246" s="41"/>
    </row>
    <row r="247" spans="1:6" s="11" customFormat="1" ht="21" hidden="1" customHeight="1" x14ac:dyDescent="0.3">
      <c r="A247" s="95" t="s">
        <v>1920</v>
      </c>
      <c r="B247" s="100">
        <v>30</v>
      </c>
      <c r="C247" s="101">
        <v>0.19</v>
      </c>
      <c r="D247" s="102" t="s">
        <v>578</v>
      </c>
      <c r="E247" s="155"/>
      <c r="F247" s="41"/>
    </row>
    <row r="248" spans="1:6" s="11" customFormat="1" ht="21" hidden="1" customHeight="1" x14ac:dyDescent="0.3">
      <c r="A248" s="95" t="s">
        <v>1068</v>
      </c>
      <c r="B248" s="100">
        <v>30</v>
      </c>
      <c r="C248" s="101">
        <v>0.19</v>
      </c>
      <c r="D248" s="102" t="s">
        <v>578</v>
      </c>
      <c r="E248" s="110" t="s">
        <v>189</v>
      </c>
      <c r="F248" s="41"/>
    </row>
    <row r="249" spans="1:6" s="11" customFormat="1" ht="21" hidden="1" customHeight="1" x14ac:dyDescent="0.3">
      <c r="A249" s="95" t="s">
        <v>97</v>
      </c>
      <c r="B249" s="100">
        <v>30</v>
      </c>
      <c r="C249" s="101">
        <v>0.19</v>
      </c>
      <c r="D249" s="102" t="s">
        <v>578</v>
      </c>
      <c r="E249" s="110" t="s">
        <v>203</v>
      </c>
      <c r="F249" s="41" t="s">
        <v>202</v>
      </c>
    </row>
    <row r="250" spans="1:6" s="11" customFormat="1" ht="21" hidden="1" customHeight="1" x14ac:dyDescent="0.3">
      <c r="A250" s="95" t="s">
        <v>19</v>
      </c>
      <c r="B250" s="100">
        <v>45</v>
      </c>
      <c r="C250" s="101">
        <v>0.19</v>
      </c>
      <c r="D250" s="102">
        <v>0</v>
      </c>
      <c r="E250" s="110" t="s">
        <v>594</v>
      </c>
      <c r="F250" s="41"/>
    </row>
    <row r="251" spans="1:6" s="11" customFormat="1" ht="21" hidden="1" customHeight="1" x14ac:dyDescent="0.3">
      <c r="A251" s="95" t="s">
        <v>1423</v>
      </c>
      <c r="B251" s="100">
        <v>30</v>
      </c>
      <c r="C251" s="101">
        <v>0.19</v>
      </c>
      <c r="D251" s="102" t="s">
        <v>578</v>
      </c>
      <c r="E251" s="155"/>
      <c r="F251" s="41"/>
    </row>
    <row r="252" spans="1:6" s="11" customFormat="1" ht="21" hidden="1" customHeight="1" x14ac:dyDescent="0.3">
      <c r="A252" s="95" t="s">
        <v>25</v>
      </c>
      <c r="B252" s="100">
        <v>30</v>
      </c>
      <c r="C252" s="101">
        <v>0.19</v>
      </c>
      <c r="D252" s="102" t="s">
        <v>580</v>
      </c>
      <c r="E252" s="110" t="s">
        <v>107</v>
      </c>
      <c r="F252" s="41"/>
    </row>
    <row r="253" spans="1:6" s="11" customFormat="1" ht="21" hidden="1" customHeight="1" x14ac:dyDescent="0.3">
      <c r="A253" s="95" t="s">
        <v>98</v>
      </c>
      <c r="B253" s="100">
        <v>30</v>
      </c>
      <c r="C253" s="101">
        <v>0.19</v>
      </c>
      <c r="D253" s="102" t="s">
        <v>580</v>
      </c>
      <c r="E253" s="110" t="s">
        <v>107</v>
      </c>
      <c r="F253" s="41"/>
    </row>
    <row r="254" spans="1:6" s="11" customFormat="1" ht="21" hidden="1" customHeight="1" x14ac:dyDescent="0.3">
      <c r="A254" s="95" t="s">
        <v>99</v>
      </c>
      <c r="B254" s="100">
        <v>30</v>
      </c>
      <c r="C254" s="101">
        <v>0.19</v>
      </c>
      <c r="D254" s="102" t="s">
        <v>580</v>
      </c>
      <c r="E254" s="110" t="s">
        <v>107</v>
      </c>
      <c r="F254" s="41"/>
    </row>
    <row r="255" spans="1:6" s="11" customFormat="1" ht="21" hidden="1" customHeight="1" x14ac:dyDescent="0.3">
      <c r="A255" s="95" t="s">
        <v>70</v>
      </c>
      <c r="B255" s="100">
        <v>30</v>
      </c>
      <c r="C255" s="101">
        <v>0.19</v>
      </c>
      <c r="D255" s="102" t="s">
        <v>580</v>
      </c>
      <c r="E255" s="110" t="s">
        <v>107</v>
      </c>
      <c r="F255" s="41"/>
    </row>
    <row r="256" spans="1:6" s="11" customFormat="1" ht="21" hidden="1" customHeight="1" x14ac:dyDescent="0.3">
      <c r="A256" s="95" t="s">
        <v>61</v>
      </c>
      <c r="B256" s="100">
        <v>30</v>
      </c>
      <c r="C256" s="101">
        <v>0.19</v>
      </c>
      <c r="D256" s="102" t="s">
        <v>580</v>
      </c>
      <c r="E256" s="110" t="s">
        <v>107</v>
      </c>
      <c r="F256" s="41"/>
    </row>
    <row r="257" spans="1:6" s="11" customFormat="1" ht="21" hidden="1" customHeight="1" x14ac:dyDescent="0.3">
      <c r="A257" s="95" t="s">
        <v>44</v>
      </c>
      <c r="B257" s="100">
        <v>30</v>
      </c>
      <c r="C257" s="101">
        <v>0.19</v>
      </c>
      <c r="D257" s="102" t="s">
        <v>580</v>
      </c>
      <c r="E257" s="110" t="s">
        <v>107</v>
      </c>
      <c r="F257" s="41"/>
    </row>
    <row r="258" spans="1:6" s="11" customFormat="1" ht="21" hidden="1" customHeight="1" x14ac:dyDescent="0.3">
      <c r="A258" s="95" t="s">
        <v>43</v>
      </c>
      <c r="B258" s="100">
        <v>30</v>
      </c>
      <c r="C258" s="101">
        <v>0.19</v>
      </c>
      <c r="D258" s="102" t="s">
        <v>580</v>
      </c>
      <c r="E258" s="110" t="s">
        <v>107</v>
      </c>
      <c r="F258" s="41"/>
    </row>
    <row r="259" spans="1:6" s="11" customFormat="1" ht="21" hidden="1" customHeight="1" x14ac:dyDescent="0.3">
      <c r="A259" s="95" t="s">
        <v>54</v>
      </c>
      <c r="B259" s="100">
        <v>30</v>
      </c>
      <c r="C259" s="101">
        <v>0.19</v>
      </c>
      <c r="D259" s="102" t="s">
        <v>580</v>
      </c>
      <c r="E259" s="110" t="s">
        <v>107</v>
      </c>
      <c r="F259" s="41"/>
    </row>
    <row r="260" spans="1:6" s="11" customFormat="1" ht="21" hidden="1" customHeight="1" x14ac:dyDescent="0.3">
      <c r="A260" s="95" t="s">
        <v>634</v>
      </c>
      <c r="B260" s="100">
        <v>18</v>
      </c>
      <c r="C260" s="101">
        <v>0</v>
      </c>
      <c r="D260" s="102">
        <v>0</v>
      </c>
      <c r="E260" s="110" t="s">
        <v>191</v>
      </c>
      <c r="F260" s="41"/>
    </row>
    <row r="261" spans="1:6" s="11" customFormat="1" ht="21" hidden="1" customHeight="1" x14ac:dyDescent="0.3">
      <c r="A261" s="95" t="s">
        <v>38</v>
      </c>
      <c r="B261" s="100">
        <v>30</v>
      </c>
      <c r="C261" s="101">
        <v>0</v>
      </c>
      <c r="D261" s="102">
        <v>0</v>
      </c>
      <c r="E261" s="110" t="s">
        <v>326</v>
      </c>
      <c r="F261" s="41"/>
    </row>
    <row r="262" spans="1:6" s="11" customFormat="1" ht="21" hidden="1" customHeight="1" x14ac:dyDescent="0.3">
      <c r="A262" s="95" t="s">
        <v>241</v>
      </c>
      <c r="B262" s="100">
        <v>20</v>
      </c>
      <c r="C262" s="101">
        <v>0</v>
      </c>
      <c r="D262" s="102" t="s">
        <v>577</v>
      </c>
      <c r="E262" s="110" t="s">
        <v>218</v>
      </c>
      <c r="F262" s="41"/>
    </row>
    <row r="263" spans="1:6" s="11" customFormat="1" ht="21" hidden="1" customHeight="1" x14ac:dyDescent="0.3">
      <c r="A263" s="95" t="s">
        <v>242</v>
      </c>
      <c r="B263" s="100">
        <v>20</v>
      </c>
      <c r="C263" s="101">
        <v>0</v>
      </c>
      <c r="D263" s="102" t="s">
        <v>577</v>
      </c>
      <c r="E263" s="110" t="s">
        <v>218</v>
      </c>
      <c r="F263" s="41"/>
    </row>
    <row r="264" spans="1:6" s="11" customFormat="1" ht="21" hidden="1" customHeight="1" x14ac:dyDescent="0.3">
      <c r="A264" s="95" t="s">
        <v>243</v>
      </c>
      <c r="B264" s="100">
        <v>20</v>
      </c>
      <c r="C264" s="101">
        <v>0</v>
      </c>
      <c r="D264" s="102" t="s">
        <v>577</v>
      </c>
      <c r="E264" s="110" t="s">
        <v>218</v>
      </c>
      <c r="F264" s="41"/>
    </row>
    <row r="265" spans="1:6" s="11" customFormat="1" ht="21" hidden="1" customHeight="1" x14ac:dyDescent="0.3">
      <c r="A265" s="95" t="s">
        <v>266</v>
      </c>
      <c r="B265" s="100">
        <v>20</v>
      </c>
      <c r="C265" s="101">
        <v>0</v>
      </c>
      <c r="D265" s="102" t="s">
        <v>577</v>
      </c>
      <c r="E265" s="110" t="s">
        <v>218</v>
      </c>
      <c r="F265" s="41"/>
    </row>
    <row r="266" spans="1:6" s="11" customFormat="1" ht="21" hidden="1" customHeight="1" x14ac:dyDescent="0.3">
      <c r="A266" s="95" t="s">
        <v>229</v>
      </c>
      <c r="B266" s="100">
        <v>20</v>
      </c>
      <c r="C266" s="101">
        <v>0.19</v>
      </c>
      <c r="D266" s="102" t="s">
        <v>581</v>
      </c>
      <c r="E266" s="110" t="s">
        <v>218</v>
      </c>
      <c r="F266" s="41"/>
    </row>
    <row r="267" spans="1:6" ht="21" hidden="1" customHeight="1" x14ac:dyDescent="0.3">
      <c r="A267" s="95" t="s">
        <v>230</v>
      </c>
      <c r="B267" s="100">
        <v>20</v>
      </c>
      <c r="C267" s="101">
        <v>0.19</v>
      </c>
      <c r="D267" s="102" t="s">
        <v>581</v>
      </c>
      <c r="E267" s="110" t="s">
        <v>218</v>
      </c>
    </row>
    <row r="268" spans="1:6" ht="21" hidden="1" customHeight="1" x14ac:dyDescent="0.3">
      <c r="A268" s="95" t="s">
        <v>225</v>
      </c>
      <c r="B268" s="100">
        <v>20</v>
      </c>
      <c r="C268" s="101">
        <v>0.19</v>
      </c>
      <c r="D268" s="102" t="s">
        <v>581</v>
      </c>
      <c r="E268" s="110" t="s">
        <v>218</v>
      </c>
    </row>
    <row r="269" spans="1:6" ht="21" hidden="1" customHeight="1" x14ac:dyDescent="0.3">
      <c r="A269" s="95" t="s">
        <v>635</v>
      </c>
      <c r="B269" s="100">
        <v>30</v>
      </c>
      <c r="C269" s="101">
        <v>0</v>
      </c>
      <c r="D269" s="102" t="s">
        <v>579</v>
      </c>
      <c r="E269" s="110" t="s">
        <v>260</v>
      </c>
    </row>
    <row r="270" spans="1:6" ht="21" hidden="1" customHeight="1" x14ac:dyDescent="0.3">
      <c r="A270" s="95" t="s">
        <v>248</v>
      </c>
      <c r="B270" s="100">
        <v>30</v>
      </c>
      <c r="C270" s="101">
        <v>0.19</v>
      </c>
      <c r="D270" s="102">
        <v>0</v>
      </c>
      <c r="E270" s="110" t="s">
        <v>277</v>
      </c>
    </row>
    <row r="271" spans="1:6" ht="21" hidden="1" customHeight="1" x14ac:dyDescent="0.3">
      <c r="A271" s="95" t="s">
        <v>1083</v>
      </c>
      <c r="B271" s="100">
        <v>0</v>
      </c>
      <c r="C271" s="101">
        <v>0</v>
      </c>
      <c r="D271" s="102">
        <v>0</v>
      </c>
      <c r="E271" s="155"/>
      <c r="F271" s="41" t="s">
        <v>1084</v>
      </c>
    </row>
    <row r="272" spans="1:6" ht="21" hidden="1" customHeight="1" x14ac:dyDescent="0.3">
      <c r="A272" s="95" t="s">
        <v>26</v>
      </c>
      <c r="B272" s="100">
        <v>30</v>
      </c>
      <c r="C272" s="101">
        <v>0.19</v>
      </c>
      <c r="D272" s="102" t="s">
        <v>578</v>
      </c>
      <c r="E272" s="110" t="s">
        <v>211</v>
      </c>
    </row>
    <row r="273" spans="1:6" ht="21" hidden="1" customHeight="1" x14ac:dyDescent="0.3">
      <c r="A273" s="95" t="s">
        <v>2094</v>
      </c>
      <c r="B273" s="100">
        <v>30</v>
      </c>
      <c r="C273" s="101">
        <v>0.19</v>
      </c>
      <c r="D273" s="102" t="s">
        <v>578</v>
      </c>
      <c r="E273" s="110" t="s">
        <v>2093</v>
      </c>
    </row>
    <row r="274" spans="1:6" ht="21" hidden="1" customHeight="1" x14ac:dyDescent="0.3">
      <c r="A274" s="95" t="s">
        <v>16</v>
      </c>
      <c r="B274" s="100">
        <v>30</v>
      </c>
      <c r="C274" s="101">
        <v>0.19</v>
      </c>
      <c r="D274" s="102" t="s">
        <v>578</v>
      </c>
      <c r="E274" s="110" t="s">
        <v>192</v>
      </c>
    </row>
    <row r="275" spans="1:6" ht="21" hidden="1" customHeight="1" x14ac:dyDescent="0.3">
      <c r="A275" s="95" t="s">
        <v>636</v>
      </c>
      <c r="B275" s="100">
        <v>30</v>
      </c>
      <c r="C275" s="101">
        <v>0.19</v>
      </c>
      <c r="D275" s="102" t="s">
        <v>582</v>
      </c>
      <c r="E275" s="110" t="s">
        <v>226</v>
      </c>
    </row>
    <row r="276" spans="1:6" ht="21" hidden="1" customHeight="1" x14ac:dyDescent="0.3">
      <c r="A276" s="95" t="s">
        <v>869</v>
      </c>
      <c r="B276" s="100">
        <v>10</v>
      </c>
      <c r="C276" s="101">
        <v>0.19</v>
      </c>
      <c r="D276" s="102" t="s">
        <v>581</v>
      </c>
      <c r="E276" s="110" t="s">
        <v>868</v>
      </c>
    </row>
    <row r="277" spans="1:6" ht="21" hidden="1" customHeight="1" x14ac:dyDescent="0.3">
      <c r="A277" s="95" t="s">
        <v>471</v>
      </c>
      <c r="B277" s="100">
        <v>30</v>
      </c>
      <c r="C277" s="101">
        <v>0.19</v>
      </c>
      <c r="D277" s="102" t="s">
        <v>578</v>
      </c>
    </row>
    <row r="278" spans="1:6" ht="20.100000000000001" hidden="1" customHeight="1" x14ac:dyDescent="0.3">
      <c r="A278" s="95" t="s">
        <v>63</v>
      </c>
      <c r="B278" s="100">
        <v>30</v>
      </c>
      <c r="C278" s="101">
        <v>0.19</v>
      </c>
      <c r="D278" s="102" t="s">
        <v>580</v>
      </c>
      <c r="E278" s="110" t="s">
        <v>107</v>
      </c>
    </row>
    <row r="279" spans="1:6" ht="21" hidden="1" customHeight="1" x14ac:dyDescent="0.3">
      <c r="A279" s="95" t="s">
        <v>1606</v>
      </c>
      <c r="B279" s="100">
        <v>30</v>
      </c>
      <c r="C279" s="101">
        <v>0.19</v>
      </c>
      <c r="D279" s="102" t="s">
        <v>578</v>
      </c>
      <c r="E279" s="110" t="s">
        <v>1607</v>
      </c>
    </row>
    <row r="280" spans="1:6" ht="21" hidden="1" customHeight="1" x14ac:dyDescent="0.3">
      <c r="A280" s="95" t="s">
        <v>637</v>
      </c>
      <c r="B280" s="100">
        <v>30</v>
      </c>
      <c r="C280" s="101">
        <v>0</v>
      </c>
      <c r="D280" s="102">
        <v>0</v>
      </c>
      <c r="E280" s="110" t="s">
        <v>740</v>
      </c>
    </row>
    <row r="281" spans="1:6" ht="21" hidden="1" customHeight="1" x14ac:dyDescent="0.3">
      <c r="A281" s="95" t="s">
        <v>293</v>
      </c>
      <c r="B281" s="100">
        <v>30</v>
      </c>
      <c r="C281" s="101">
        <v>0.19</v>
      </c>
      <c r="D281" s="102" t="s">
        <v>578</v>
      </c>
      <c r="E281" s="110" t="s">
        <v>402</v>
      </c>
    </row>
    <row r="282" spans="1:6" ht="21" customHeight="1" x14ac:dyDescent="0.3">
      <c r="A282" s="95" t="s">
        <v>638</v>
      </c>
      <c r="B282" s="100">
        <v>30</v>
      </c>
      <c r="C282" s="101">
        <v>0.19</v>
      </c>
      <c r="D282" s="102" t="s">
        <v>579</v>
      </c>
      <c r="E282" s="110" t="s">
        <v>1116</v>
      </c>
    </row>
    <row r="283" spans="1:6" ht="21" hidden="1" customHeight="1" x14ac:dyDescent="0.3">
      <c r="A283" s="95" t="s">
        <v>1113</v>
      </c>
      <c r="B283" s="100">
        <v>0</v>
      </c>
      <c r="C283" s="101">
        <v>0</v>
      </c>
      <c r="D283" s="102">
        <v>0</v>
      </c>
      <c r="E283" s="110" t="s">
        <v>1115</v>
      </c>
      <c r="F283" s="41" t="s">
        <v>1114</v>
      </c>
    </row>
    <row r="284" spans="1:6" ht="21" hidden="1" customHeight="1" x14ac:dyDescent="0.3">
      <c r="A284" s="95" t="s">
        <v>639</v>
      </c>
      <c r="B284" s="100">
        <v>30</v>
      </c>
      <c r="C284" s="101">
        <v>0.19</v>
      </c>
      <c r="D284" s="102" t="s">
        <v>579</v>
      </c>
      <c r="E284" s="110" t="s">
        <v>193</v>
      </c>
    </row>
    <row r="285" spans="1:6" ht="21" hidden="1" customHeight="1" x14ac:dyDescent="0.3">
      <c r="A285" s="95" t="s">
        <v>168</v>
      </c>
      <c r="B285" s="100">
        <v>30</v>
      </c>
      <c r="C285" s="101">
        <v>0.19</v>
      </c>
      <c r="D285" s="102" t="s">
        <v>578</v>
      </c>
      <c r="E285" s="110" t="s">
        <v>177</v>
      </c>
      <c r="F285" s="41" t="s">
        <v>174</v>
      </c>
    </row>
    <row r="286" spans="1:6" ht="21" hidden="1" customHeight="1" x14ac:dyDescent="0.3">
      <c r="A286" s="95" t="s">
        <v>640</v>
      </c>
      <c r="B286" s="100">
        <v>30</v>
      </c>
      <c r="C286" s="101">
        <v>0</v>
      </c>
      <c r="D286" s="102" t="s">
        <v>579</v>
      </c>
      <c r="E286" s="110" t="s">
        <v>194</v>
      </c>
    </row>
    <row r="287" spans="1:6" ht="21" hidden="1" customHeight="1" x14ac:dyDescent="0.3">
      <c r="A287" s="95" t="s">
        <v>1427</v>
      </c>
      <c r="B287" s="100">
        <v>30</v>
      </c>
      <c r="C287" s="101">
        <v>0.19</v>
      </c>
      <c r="D287" s="102" t="s">
        <v>578</v>
      </c>
      <c r="E287" s="155"/>
    </row>
    <row r="288" spans="1:6" ht="21" hidden="1" customHeight="1" x14ac:dyDescent="0.3">
      <c r="A288" s="95" t="s">
        <v>641</v>
      </c>
      <c r="B288" s="100">
        <v>30</v>
      </c>
      <c r="C288" s="101">
        <v>0.19</v>
      </c>
      <c r="D288" s="102" t="s">
        <v>579</v>
      </c>
    </row>
    <row r="289" spans="1:5" ht="21" hidden="1" customHeight="1" x14ac:dyDescent="0.3">
      <c r="A289" s="95" t="s">
        <v>838</v>
      </c>
      <c r="B289" s="100">
        <v>0</v>
      </c>
      <c r="C289" s="101">
        <v>0.19</v>
      </c>
      <c r="D289" s="102" t="s">
        <v>926</v>
      </c>
      <c r="E289" s="110" t="s">
        <v>837</v>
      </c>
    </row>
    <row r="290" spans="1:5" ht="21" hidden="1" customHeight="1" x14ac:dyDescent="0.3">
      <c r="A290" s="95" t="s">
        <v>207</v>
      </c>
      <c r="B290" s="100">
        <v>20</v>
      </c>
      <c r="C290" s="101">
        <v>0</v>
      </c>
      <c r="D290" s="102">
        <v>0</v>
      </c>
      <c r="E290" s="110" t="s">
        <v>209</v>
      </c>
    </row>
    <row r="291" spans="1:5" ht="21" hidden="1" customHeight="1" x14ac:dyDescent="0.3">
      <c r="A291" s="95" t="s">
        <v>124</v>
      </c>
      <c r="B291" s="100">
        <v>30</v>
      </c>
      <c r="C291" s="101">
        <v>0</v>
      </c>
      <c r="D291" s="102">
        <v>0</v>
      </c>
      <c r="E291" s="110" t="s">
        <v>125</v>
      </c>
    </row>
    <row r="292" spans="1:5" ht="21" hidden="1" customHeight="1" x14ac:dyDescent="0.3">
      <c r="A292" s="95" t="s">
        <v>30</v>
      </c>
      <c r="B292" s="100">
        <v>30</v>
      </c>
      <c r="C292" s="101">
        <v>0</v>
      </c>
      <c r="D292" s="102">
        <v>0</v>
      </c>
      <c r="E292" s="110" t="s">
        <v>195</v>
      </c>
    </row>
    <row r="293" spans="1:5" ht="21" hidden="1" customHeight="1" x14ac:dyDescent="0.3">
      <c r="A293" s="95" t="s">
        <v>39</v>
      </c>
      <c r="B293" s="100">
        <v>30</v>
      </c>
      <c r="C293" s="101">
        <v>0.19</v>
      </c>
      <c r="D293" s="102" t="s">
        <v>578</v>
      </c>
      <c r="E293" s="110" t="s">
        <v>196</v>
      </c>
    </row>
    <row r="294" spans="1:5" ht="21" hidden="1" customHeight="1" x14ac:dyDescent="0.3">
      <c r="A294" s="95" t="s">
        <v>100</v>
      </c>
      <c r="B294" s="100">
        <v>30</v>
      </c>
      <c r="C294" s="101">
        <v>0.19</v>
      </c>
      <c r="D294" s="102" t="s">
        <v>578</v>
      </c>
      <c r="E294" s="110" t="s">
        <v>107</v>
      </c>
    </row>
    <row r="295" spans="1:5" ht="21" hidden="1" customHeight="1" x14ac:dyDescent="0.3">
      <c r="A295" s="95" t="s">
        <v>15</v>
      </c>
      <c r="B295" s="100">
        <v>10</v>
      </c>
      <c r="C295" s="101">
        <v>0.19</v>
      </c>
      <c r="D295" s="102" t="s">
        <v>578</v>
      </c>
      <c r="E295" s="110" t="s">
        <v>107</v>
      </c>
    </row>
    <row r="296" spans="1:5" ht="21" hidden="1" customHeight="1" x14ac:dyDescent="0.3">
      <c r="A296" s="95" t="s">
        <v>9</v>
      </c>
      <c r="B296" s="100">
        <v>30</v>
      </c>
      <c r="C296" s="101">
        <v>0.19</v>
      </c>
      <c r="D296" s="102" t="s">
        <v>578</v>
      </c>
      <c r="E296" s="110" t="s">
        <v>197</v>
      </c>
    </row>
    <row r="297" spans="1:5" ht="21" hidden="1" customHeight="1" x14ac:dyDescent="0.3">
      <c r="A297" s="95" t="s">
        <v>256</v>
      </c>
      <c r="B297" s="100">
        <v>30</v>
      </c>
      <c r="C297" s="101">
        <v>0.19</v>
      </c>
      <c r="D297" s="102" t="s">
        <v>578</v>
      </c>
      <c r="E297" s="110" t="s">
        <v>254</v>
      </c>
    </row>
    <row r="298" spans="1:5" ht="21" hidden="1" customHeight="1" x14ac:dyDescent="0.3">
      <c r="A298" s="95" t="s">
        <v>642</v>
      </c>
      <c r="B298" s="100">
        <v>30</v>
      </c>
      <c r="C298" s="101">
        <v>0</v>
      </c>
      <c r="D298" s="102">
        <v>0</v>
      </c>
    </row>
    <row r="299" spans="1:5" ht="21" hidden="1" customHeight="1" x14ac:dyDescent="0.3">
      <c r="A299" s="95" t="s">
        <v>1879</v>
      </c>
      <c r="B299" s="100">
        <v>0</v>
      </c>
      <c r="C299" s="101">
        <v>0.19</v>
      </c>
      <c r="D299" s="102" t="s">
        <v>578</v>
      </c>
      <c r="E299" s="155"/>
    </row>
    <row r="300" spans="1:5" ht="21" hidden="1" customHeight="1" x14ac:dyDescent="0.3">
      <c r="A300" s="95" t="s">
        <v>643</v>
      </c>
      <c r="B300" s="100">
        <v>30</v>
      </c>
      <c r="C300" s="101">
        <v>0.19</v>
      </c>
      <c r="D300" s="102">
        <v>0</v>
      </c>
      <c r="E300" s="110" t="s">
        <v>109</v>
      </c>
    </row>
    <row r="301" spans="1:5" ht="21" hidden="1" customHeight="1" x14ac:dyDescent="0.3">
      <c r="A301" s="95" t="s">
        <v>253</v>
      </c>
      <c r="B301" s="100">
        <v>30</v>
      </c>
      <c r="C301" s="101">
        <v>0.19</v>
      </c>
      <c r="D301" s="102" t="s">
        <v>578</v>
      </c>
      <c r="E301" s="110" t="s">
        <v>298</v>
      </c>
    </row>
    <row r="302" spans="1:5" ht="21" hidden="1" customHeight="1" x14ac:dyDescent="0.3">
      <c r="A302" s="95" t="s">
        <v>711</v>
      </c>
      <c r="B302" s="100">
        <v>0</v>
      </c>
      <c r="C302" s="101">
        <v>0.19</v>
      </c>
      <c r="D302" s="102">
        <v>0</v>
      </c>
    </row>
    <row r="303" spans="1:5" ht="21" hidden="1" customHeight="1" x14ac:dyDescent="0.3">
      <c r="A303" s="95" t="s">
        <v>1356</v>
      </c>
      <c r="B303" s="100">
        <v>30</v>
      </c>
      <c r="C303" s="101">
        <v>0.19</v>
      </c>
      <c r="D303" s="102" t="s">
        <v>578</v>
      </c>
      <c r="E303" s="155"/>
    </row>
    <row r="304" spans="1:5" ht="21" hidden="1" customHeight="1" x14ac:dyDescent="0.3">
      <c r="A304" s="95" t="s">
        <v>28</v>
      </c>
      <c r="B304" s="100">
        <v>30</v>
      </c>
      <c r="C304" s="101">
        <v>0</v>
      </c>
      <c r="D304" s="102">
        <v>0</v>
      </c>
      <c r="E304" s="110" t="s">
        <v>107</v>
      </c>
    </row>
    <row r="305" spans="1:6" ht="21" hidden="1" customHeight="1" x14ac:dyDescent="0.3">
      <c r="A305" s="95" t="s">
        <v>45</v>
      </c>
      <c r="B305" s="100">
        <v>30</v>
      </c>
      <c r="C305" s="101">
        <v>0.19</v>
      </c>
      <c r="D305" s="102" t="s">
        <v>578</v>
      </c>
      <c r="E305" s="110" t="s">
        <v>107</v>
      </c>
    </row>
    <row r="306" spans="1:6" ht="21" hidden="1" customHeight="1" x14ac:dyDescent="0.3">
      <c r="A306" s="95" t="s">
        <v>644</v>
      </c>
      <c r="B306" s="100">
        <v>13</v>
      </c>
      <c r="C306" s="101">
        <v>0</v>
      </c>
      <c r="D306" s="102">
        <v>0</v>
      </c>
    </row>
    <row r="307" spans="1:6" ht="21" hidden="1" customHeight="1" x14ac:dyDescent="0.3">
      <c r="A307" s="95" t="s">
        <v>645</v>
      </c>
      <c r="B307" s="100">
        <v>30</v>
      </c>
      <c r="C307" s="101">
        <v>0</v>
      </c>
      <c r="D307" s="102">
        <v>0</v>
      </c>
      <c r="E307" s="110" t="s">
        <v>109</v>
      </c>
    </row>
    <row r="308" spans="1:6" ht="21" hidden="1" customHeight="1" x14ac:dyDescent="0.3">
      <c r="A308" s="95" t="s">
        <v>23</v>
      </c>
      <c r="B308" s="100">
        <v>30</v>
      </c>
      <c r="C308" s="101">
        <v>0</v>
      </c>
      <c r="D308" s="102">
        <v>0</v>
      </c>
      <c r="E308" s="110" t="s">
        <v>107</v>
      </c>
    </row>
    <row r="309" spans="1:6" ht="21" hidden="1" customHeight="1" x14ac:dyDescent="0.3">
      <c r="A309" s="95" t="s">
        <v>10</v>
      </c>
      <c r="B309" s="100">
        <v>45</v>
      </c>
      <c r="C309" s="101">
        <v>0.19</v>
      </c>
      <c r="D309" s="102">
        <v>0</v>
      </c>
      <c r="E309" s="110" t="s">
        <v>198</v>
      </c>
      <c r="F309" s="41" t="s">
        <v>1149</v>
      </c>
    </row>
    <row r="310" spans="1:6" ht="21" hidden="1" customHeight="1" x14ac:dyDescent="0.3">
      <c r="A310" s="95" t="s">
        <v>1069</v>
      </c>
      <c r="B310" s="100">
        <v>30</v>
      </c>
      <c r="C310" s="101">
        <v>0.19</v>
      </c>
      <c r="D310" s="102" t="s">
        <v>578</v>
      </c>
      <c r="E310" s="110" t="s">
        <v>199</v>
      </c>
    </row>
    <row r="311" spans="1:6" ht="21" hidden="1" customHeight="1" x14ac:dyDescent="0.3">
      <c r="A311" s="95" t="s">
        <v>14</v>
      </c>
      <c r="B311" s="100">
        <v>30</v>
      </c>
      <c r="C311" s="101">
        <v>0.19</v>
      </c>
      <c r="D311" s="102" t="s">
        <v>578</v>
      </c>
      <c r="E311" s="110" t="s">
        <v>200</v>
      </c>
    </row>
    <row r="312" spans="1:6" ht="21" hidden="1" customHeight="1" x14ac:dyDescent="0.3">
      <c r="A312" s="95" t="s">
        <v>74</v>
      </c>
      <c r="B312" s="100">
        <v>30</v>
      </c>
      <c r="C312" s="101">
        <v>0.19</v>
      </c>
      <c r="D312" s="102" t="s">
        <v>578</v>
      </c>
      <c r="E312" s="110" t="s">
        <v>107</v>
      </c>
    </row>
    <row r="313" spans="1:6" ht="21" hidden="1" customHeight="1" x14ac:dyDescent="0.3">
      <c r="A313" s="95" t="s">
        <v>1202</v>
      </c>
      <c r="B313" s="100">
        <v>10</v>
      </c>
      <c r="C313" s="101">
        <v>0</v>
      </c>
      <c r="D313" s="102">
        <v>0</v>
      </c>
      <c r="E313" s="110" t="s">
        <v>1203</v>
      </c>
      <c r="F313" s="41" t="s">
        <v>1204</v>
      </c>
    </row>
    <row r="314" spans="1:6" ht="21" hidden="1" customHeight="1" x14ac:dyDescent="0.3">
      <c r="A314" s="95" t="s">
        <v>646</v>
      </c>
      <c r="B314" s="100">
        <v>20</v>
      </c>
      <c r="C314" s="101">
        <v>0.19</v>
      </c>
      <c r="D314" s="102" t="s">
        <v>579</v>
      </c>
      <c r="E314" s="110" t="s">
        <v>201</v>
      </c>
    </row>
    <row r="315" spans="1:6" ht="21" hidden="1" customHeight="1" x14ac:dyDescent="0.3">
      <c r="A315" s="95" t="s">
        <v>11</v>
      </c>
      <c r="B315" s="100">
        <v>30</v>
      </c>
      <c r="C315" s="101">
        <v>0.19</v>
      </c>
      <c r="D315" s="102" t="s">
        <v>578</v>
      </c>
      <c r="E315" s="110" t="s">
        <v>731</v>
      </c>
      <c r="F315" s="41" t="s">
        <v>1150</v>
      </c>
    </row>
    <row r="316" spans="1:6" ht="21" hidden="1" customHeight="1" x14ac:dyDescent="0.3">
      <c r="A316" s="95" t="s">
        <v>1883</v>
      </c>
      <c r="B316" s="100">
        <v>0</v>
      </c>
      <c r="C316" s="101">
        <v>0.19</v>
      </c>
      <c r="D316" s="102" t="s">
        <v>582</v>
      </c>
      <c r="E316" s="155"/>
    </row>
    <row r="317" spans="1:6" ht="21" hidden="1" customHeight="1" x14ac:dyDescent="0.3">
      <c r="A317" s="95" t="s">
        <v>13</v>
      </c>
      <c r="B317" s="100">
        <v>30</v>
      </c>
      <c r="C317" s="101">
        <v>0.19</v>
      </c>
      <c r="D317" s="102" t="s">
        <v>578</v>
      </c>
      <c r="E317" s="110" t="s">
        <v>177</v>
      </c>
    </row>
    <row r="318" spans="1:6" ht="21" hidden="1" customHeight="1" x14ac:dyDescent="0.3">
      <c r="A318" s="95" t="s">
        <v>213</v>
      </c>
      <c r="B318" s="100">
        <v>30</v>
      </c>
      <c r="C318" s="101">
        <v>0.19</v>
      </c>
      <c r="D318" s="102" t="s">
        <v>578</v>
      </c>
    </row>
    <row r="319" spans="1:6" ht="21" hidden="1" customHeight="1" x14ac:dyDescent="0.3">
      <c r="A319" s="95" t="s">
        <v>2317</v>
      </c>
      <c r="B319" s="100">
        <v>30</v>
      </c>
      <c r="C319" s="101">
        <v>0.19</v>
      </c>
      <c r="D319" s="102" t="s">
        <v>578</v>
      </c>
      <c r="E319" s="155"/>
    </row>
    <row r="320" spans="1:6" ht="21" customHeight="1" x14ac:dyDescent="0.3">
      <c r="A320" s="95" t="s">
        <v>2330</v>
      </c>
      <c r="B320" s="100">
        <v>10</v>
      </c>
      <c r="C320" s="101">
        <v>0.19</v>
      </c>
      <c r="D320" s="102" t="s">
        <v>579</v>
      </c>
      <c r="E320" s="110" t="s">
        <v>1116</v>
      </c>
    </row>
  </sheetData>
  <conditionalFormatting sqref="A1:A320">
    <cfRule type="expression" dxfId="229" priority="22">
      <formula>$S1="Por pagar"</formula>
    </cfRule>
    <cfRule type="expression" dxfId="228" priority="23">
      <formula>$S1="Vencida"</formula>
    </cfRule>
    <cfRule type="expression" dxfId="227" priority="24">
      <formula>$S1="Pagada"</formula>
    </cfRule>
  </conditionalFormatting>
  <conditionalFormatting sqref="A227">
    <cfRule type="expression" dxfId="226" priority="19">
      <formula>$S227="Por pagar"</formula>
    </cfRule>
    <cfRule type="expression" dxfId="225" priority="20">
      <formula>$S227="Vencida"</formula>
    </cfRule>
    <cfRule type="expression" dxfId="224" priority="21">
      <formula>$S227="Pagada"</formula>
    </cfRule>
  </conditionalFormatting>
  <conditionalFormatting sqref="A239">
    <cfRule type="expression" dxfId="223" priority="16">
      <formula>$S239="Por pagar"</formula>
    </cfRule>
    <cfRule type="expression" dxfId="222" priority="17">
      <formula>$S239="Vencida"</formula>
    </cfRule>
    <cfRule type="expression" dxfId="221" priority="18">
      <formula>$S239="Pagada"</formula>
    </cfRule>
  </conditionalFormatting>
  <conditionalFormatting sqref="A241">
    <cfRule type="expression" dxfId="220" priority="13">
      <formula>$S241="Por pagar"</formula>
    </cfRule>
    <cfRule type="expression" dxfId="219" priority="14">
      <formula>$S241="Vencida"</formula>
    </cfRule>
    <cfRule type="expression" dxfId="218" priority="15">
      <formula>$S241="Pagada"</formula>
    </cfRule>
  </conditionalFormatting>
  <conditionalFormatting sqref="A244">
    <cfRule type="expression" dxfId="217" priority="10">
      <formula>$S244="Por pagar"</formula>
    </cfRule>
    <cfRule type="expression" dxfId="216" priority="11">
      <formula>$S244="Vencida"</formula>
    </cfRule>
    <cfRule type="expression" dxfId="215" priority="12">
      <formula>$S244="Pagada"</formula>
    </cfRule>
  </conditionalFormatting>
  <conditionalFormatting sqref="A247">
    <cfRule type="expression" dxfId="214" priority="7">
      <formula>$S247="Por pagar"</formula>
    </cfRule>
    <cfRule type="expression" dxfId="213" priority="8">
      <formula>$S247="Vencida"</formula>
    </cfRule>
    <cfRule type="expression" dxfId="212" priority="9">
      <formula>$S247="Pagada"</formula>
    </cfRule>
  </conditionalFormatting>
  <conditionalFormatting sqref="A250">
    <cfRule type="expression" dxfId="211" priority="4">
      <formula>$S250="Por pagar"</formula>
    </cfRule>
    <cfRule type="expression" dxfId="210" priority="5">
      <formula>$S250="Vencida"</formula>
    </cfRule>
    <cfRule type="expression" dxfId="209" priority="6">
      <formula>$S250="Pagada"</formula>
    </cfRule>
  </conditionalFormatting>
  <conditionalFormatting sqref="A254">
    <cfRule type="expression" dxfId="208" priority="1">
      <formula>$S254="Por pagar"</formula>
    </cfRule>
    <cfRule type="expression" dxfId="207" priority="2">
      <formula>$S254="Vencida"</formula>
    </cfRule>
    <cfRule type="expression" dxfId="206" priority="3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315" r:id="rId1" display="carloseuristika@hotmail.com;girlesa.ruiz@servipilas.com;joriescobar64@gmail.com" xr:uid="{561982AE-06ED-4F50-A56D-EE26D2CC75EE}"/>
    <hyperlink ref="E312" r:id="rId2" display="howardlondono@impocarga.com;oswaldo.alvarez@logimexsas.com;girlesa.ruiz@servipilas.com;joriescobar64@gmail.com" xr:uid="{FAA7D466-4997-45EB-951F-8361C0637145}"/>
    <hyperlink ref="E254" r:id="rId3" display="vcortes@power-sonic.com;alexander.baur@power-sonic.com;jirias@power-sonic.com;girlesa.ruiz@servipilas.com;joriescobar64@gmail.com;info@servipilas.com" xr:uid="{4E77A19D-4B3C-488C-9FBA-1EF577DE97F9}"/>
    <hyperlink ref="E311" r:id="rId4" display="jessica.barrios@carpainternacional;girlesa.ruiz@servipilas.com;joriescobar64@gmail.com" xr:uid="{ED4B35BD-DD15-49F7-AE9E-CB75C4F21A5A}"/>
    <hyperlink ref="E292" r:id="rId5" display="lpena@tbplusenergy.com;girlesa.ruiz@servipilas.com;joriescobar64@gmail.com" xr:uid="{2E0BF1B0-F7E1-4748-9780-C1F63208C01D}"/>
    <hyperlink ref="E132" r:id="rId6" display="jessica.barrios@carpainternacional;girlesa.ruiz@servipilas.com;joriescobar64@gmail.com" xr:uid="{00D1BA77-5CD7-41B8-9B30-D0FD87A6EDB3}"/>
    <hyperlink ref="E209" r:id="rId7" display="jmacias@nanicastation.com.co;facturas@nanicastation.com.co;girlesa.ruiz@servipilas.com;joriescobar64@gmail.com" xr:uid="{A30216ED-A36B-42B0-BBB8-8CB32EA27205}"/>
    <hyperlink ref="E133" r:id="rId8" xr:uid="{7249B88F-12EB-47AD-A1D5-CA4D648B62F8}"/>
    <hyperlink ref="E147" r:id="rId9" display="financiero@dmariocolombia.com;cartera@dmariocolombia.com.co;girlesa.ruiz@servipilas.com;joriescobar64@gmail.com" xr:uid="{CE62F396-7DD1-446B-834E-847DE56C5EAE}"/>
    <hyperlink ref="E127" r:id="rId10" display="jessica.barrios@carpainternacional;girlesa.ruiz@servipilas.com;joriescobar64@gmail.com" xr:uid="{1D84D8E0-3181-4565-AA6E-87BF9B04CCB7}"/>
    <hyperlink ref="E113" r:id="rId11" display="alexenriquez73.ae@gmail.com;girlesa.ruiz@servipilas.com;joriescobar64@gmail.com;info@servipilas.com" xr:uid="{DA082B31-23E6-4BC8-A2B1-606CD8D34C75}"/>
    <hyperlink ref="E208" r:id="rId12" display="jarlysas@gmail.com;o.clockinternational@gmail.com;girlesa.ruiz@servipilas.com;joriescobar64@gmail.com" xr:uid="{3F18548B-0AB9-4A3D-9F35-2549ECC305BF}"/>
    <hyperlink ref="E206" r:id="rId13" display="jarlysas@gmail.com;o.clockinternational@gmail.com;girlesa.ruiz@servipilas.com;joriescobar64@gmail.com" xr:uid="{3FB427FE-00DC-4C59-9D65-121EDF91ED6B}"/>
    <hyperlink ref="E52" r:id="rId14" display="jarlysas@gmail.com;o.clockinternational@gmail.com;girlesa.ruiz@servipilas.com;joriescobar64@gmail.com" xr:uid="{A2CA6E71-6063-46BD-933B-4C714D6DAB5A}"/>
    <hyperlink ref="E229" r:id="rId15" display="globalpowerc2018@gmail.com;girlesa.ruiz@servipilas.com;joriescobar64@gmail.com" xr:uid="{01663586-B004-457E-89DB-C9F486A2F704}"/>
    <hyperlink ref="E144" r:id="rId16" xr:uid="{4C45EAF0-13B8-4174-AAF4-89A4F2A92339}"/>
    <hyperlink ref="E15" r:id="rId17" xr:uid="{B08EE749-2121-4642-9E43-DD9DC668BA9E}"/>
    <hyperlink ref="E250" r:id="rId18" xr:uid="{83271EF2-8058-4E07-A6EC-F6CED024CC78}"/>
    <hyperlink ref="E225" r:id="rId19" xr:uid="{8C3B3A78-B040-4936-9A3E-C204B23F051F}"/>
    <hyperlink ref="E226" r:id="rId20" xr:uid="{6F05F03E-17C9-4CFC-8254-9AA96C300D6A}"/>
    <hyperlink ref="E227" r:id="rId21" xr:uid="{C23B24B4-200E-4E20-9C91-EB5A0651948C}"/>
    <hyperlink ref="E228" r:id="rId22" xr:uid="{DE9AC6FB-AF9C-49F1-86B5-12AC8FFF3497}"/>
    <hyperlink ref="E42" r:id="rId23" xr:uid="{ADC47169-530C-45C1-B633-264E44FE5354}"/>
    <hyperlink ref="E149" r:id="rId24" xr:uid="{9CDD4FC4-8A1C-49B9-AC5B-E6041A5B28F5}"/>
    <hyperlink ref="E158" r:id="rId25" xr:uid="{1A85D8CC-9E3F-41AB-92F0-450FD29F6C9E}"/>
    <hyperlink ref="E232" r:id="rId26" xr:uid="{FCCAEC71-E9AC-47BE-8E61-6A5FDEE410A3}"/>
    <hyperlink ref="E63" r:id="rId27" xr:uid="{482B179A-71A6-493A-8242-802ACBA0ACDA}"/>
    <hyperlink ref="E218" r:id="rId28" xr:uid="{892B025D-76B1-4625-9F33-C7C07F0C7974}"/>
    <hyperlink ref="E280" r:id="rId29" xr:uid="{BECB3A0A-E5B2-417B-A252-E17B96AED2CC}"/>
    <hyperlink ref="E189" r:id="rId30" xr:uid="{C3B034BC-1EE2-45FB-B930-AAD08ED4A45C}"/>
    <hyperlink ref="E163" r:id="rId31" xr:uid="{D4495511-4B1A-4CE4-83E4-90A6C47608B9}"/>
    <hyperlink ref="E140" r:id="rId32" xr:uid="{5AB5BF9C-5F01-4621-BECA-43745E906963}"/>
    <hyperlink ref="E154" r:id="rId33" xr:uid="{2478673F-B941-4863-8494-98C6008373EE}"/>
    <hyperlink ref="E230" r:id="rId34" xr:uid="{2509AEA1-249F-4F59-90A9-4BD6A04795FE}"/>
    <hyperlink ref="E150" r:id="rId35" xr:uid="{C858FF04-0DD3-4188-B427-8FCF0A6AB415}"/>
    <hyperlink ref="E207" r:id="rId36" xr:uid="{98B13428-3E35-430C-821C-D92A58607230}"/>
    <hyperlink ref="E289" r:id="rId37" xr:uid="{7BF8FC88-F0EC-4935-8F24-4C4B37502C4A}"/>
    <hyperlink ref="E276" r:id="rId38" xr:uid="{89B2FACD-60F6-4A54-A546-5FB11A9D582F}"/>
    <hyperlink ref="E124" r:id="rId39" xr:uid="{A134BC90-8D03-4867-B7DC-AE1A9E3F6D1E}"/>
    <hyperlink ref="E123" r:id="rId40" xr:uid="{21705948-D234-49D9-BF49-23B9F0C49E27}"/>
    <hyperlink ref="E185" r:id="rId41" xr:uid="{061934EE-7307-4B57-B0C7-ED8F7FBCB174}"/>
    <hyperlink ref="E161" r:id="rId42" xr:uid="{61F2F2B1-89E9-40D3-9CA1-820CB6B9601F}"/>
    <hyperlink ref="E131" r:id="rId43" xr:uid="{092582AB-2C50-4EC4-8BD7-2D5A0282CD0C}"/>
    <hyperlink ref="E223" r:id="rId44" xr:uid="{0136AA99-044C-40BD-BE85-CFB535272EBA}"/>
    <hyperlink ref="E317" r:id="rId45" xr:uid="{7992F441-764D-4CEA-8073-1C789250B204}"/>
    <hyperlink ref="E283" r:id="rId46" xr:uid="{33163C04-D759-49B5-B8DA-F7E5C0F8FA0D}"/>
    <hyperlink ref="E282" r:id="rId47" xr:uid="{BDB3EAA5-BE92-42C3-AF14-72EF78DC90C8}"/>
    <hyperlink ref="E130" r:id="rId48" xr:uid="{A80D6750-F999-4A9E-BF21-741A7356E0C1}"/>
    <hyperlink ref="E313" r:id="rId49" xr:uid="{2BD7A451-9290-4536-87BD-620F13E416AA}"/>
    <hyperlink ref="A102" r:id="rId50" display="UNIFORMES@" xr:uid="{85D855E3-E840-4304-BB1C-2A00B2BA648D}"/>
    <hyperlink ref="E157" r:id="rId51" xr:uid="{67AC581A-C186-4045-B8D9-F972F5C5D611}"/>
    <hyperlink ref="E123:E125" r:id="rId52" display="jessica.barrios@carpainternacional.com;girlesa.ruiz@servipilas.com;joriescobar64@gmail.com" xr:uid="{D7757A38-9B7B-4373-B638-73A9809F1AA8}"/>
    <hyperlink ref="E281" r:id="rId53" xr:uid="{85B64461-47FD-48E4-A11D-E0E18781AD17}"/>
    <hyperlink ref="E279" r:id="rId54" xr:uid="{0BD23B30-EFB0-4B05-8ADB-5D101A195A33}"/>
    <hyperlink ref="E87" r:id="rId55" xr:uid="{EF39B1D2-7792-4DB0-9D4F-82F6553A7642}"/>
    <hyperlink ref="E219" r:id="rId56" xr:uid="{4868193B-3AF0-4922-B114-B4386FC1E472}"/>
    <hyperlink ref="E190" r:id="rId57" xr:uid="{8A4D4B1E-76BB-446C-943F-56C97E313ECC}"/>
    <hyperlink ref="E212" r:id="rId58" xr:uid="{949B29E9-02C5-4EF8-A3AF-3E9B8B50C139}"/>
    <hyperlink ref="E156" r:id="rId59" xr:uid="{FAE033CE-D429-4C01-AEFF-D8B6364220C0}"/>
    <hyperlink ref="E273" r:id="rId60" xr:uid="{BA018914-29DB-43CA-A548-A04BBD3BE44C}"/>
    <hyperlink ref="E119" r:id="rId61" xr:uid="{8B7C0E63-B613-4AEE-BCE0-3D2547B71E8C}"/>
    <hyperlink ref="E146" r:id="rId62" xr:uid="{DF070CA9-F3B5-4C7D-8BA0-7C282F6B0E11}"/>
    <hyperlink ref="E188" r:id="rId63" xr:uid="{A1E31DC4-DF89-4E86-A1BF-BFC5FE41CB8F}"/>
    <hyperlink ref="E320" r:id="rId64" xr:uid="{EEA7AFCD-E0E1-4F93-9EBB-D6B75DFC87AF}"/>
  </hyperlinks>
  <pageMargins left="0.7" right="0.7" top="0.75" bottom="0.75" header="0.3" footer="0.3"/>
  <pageSetup paperSize="9" orientation="portrait" r:id="rId65"/>
  <tableParts count="1">
    <tablePart r:id="rId6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No coincide con las lista de retenciones de la hoja oculta &quot;Retenciones&quot;" xr:uid="{7EFC60C1-3A68-4D65-BDB3-5D707C2F985A}">
          <x14:formula1>
            <xm:f>Retenciones!$A$1:$A$25</xm:f>
          </x14:formula1>
          <xm:sqref>D2:D259 D275:D278 D272 D270 D266:D267 D263:D264 D318:D319</xm:sqref>
        </x14:dataValidation>
        <x14:dataValidation type="list" allowBlank="1" showInputMessage="1" showErrorMessage="1" xr:uid="{0B6EC51F-C8CD-49B9-A38C-2B4CB8C3A653}">
          <x14:formula1>
            <xm:f>Retenciones!$A:$A</xm:f>
          </x14:formula1>
          <xm:sqref>D1 D265 D260:D262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A2"/>
  <sheetViews>
    <sheetView workbookViewId="0"/>
  </sheetViews>
  <sheetFormatPr defaultColWidth="11.5546875" defaultRowHeight="14.4" x14ac:dyDescent="0.3"/>
  <cols>
    <col min="1" max="1" width="22" style="100" bestFit="1" customWidth="1"/>
  </cols>
  <sheetData>
    <row r="1" spans="1:1" x14ac:dyDescent="0.3">
      <c r="A1" s="118" t="s">
        <v>613</v>
      </c>
    </row>
    <row r="2" spans="1:1" x14ac:dyDescent="0.3">
      <c r="A2" s="119" t="s">
        <v>653</v>
      </c>
    </row>
  </sheetData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E2398"/>
  <sheetViews>
    <sheetView topLeftCell="C1" zoomScale="90" zoomScaleNormal="90" workbookViewId="0"/>
  </sheetViews>
  <sheetFormatPr defaultColWidth="0" defaultRowHeight="22.35" customHeight="1" x14ac:dyDescent="0.3"/>
  <cols>
    <col min="1" max="1" width="10" style="32" hidden="1" customWidth="1"/>
    <col min="2" max="2" width="15.5546875" style="38" hidden="1" customWidth="1"/>
    <col min="3" max="3" width="7.77734375" style="28" customWidth="1"/>
    <col min="4" max="4" width="15.77734375" style="29" hidden="1" customWidth="1"/>
    <col min="5" max="5" width="14.44140625" style="29" customWidth="1"/>
    <col min="6" max="6" width="9.5546875" style="29" hidden="1" customWidth="1"/>
    <col min="7" max="7" width="13.77734375" style="68" customWidth="1"/>
    <col min="8" max="8" width="38.77734375" style="29" customWidth="1"/>
    <col min="9" max="9" width="13.77734375" style="68" customWidth="1"/>
    <col min="10" max="10" width="17.21875" style="30" customWidth="1"/>
    <col min="11" max="11" width="17.77734375" style="30" customWidth="1"/>
    <col min="12" max="12" width="11.21875" style="37" bestFit="1" customWidth="1"/>
    <col min="13" max="13" width="13.77734375" style="31" bestFit="1" customWidth="1"/>
    <col min="14" max="14" width="9.77734375" style="31" customWidth="1"/>
    <col min="15" max="15" width="11.5546875" style="31" customWidth="1"/>
    <col min="16" max="16" width="10.21875" style="75" customWidth="1"/>
    <col min="17" max="17" width="15.44140625" style="27" customWidth="1"/>
    <col min="18" max="18" width="14.21875" style="24" customWidth="1"/>
    <col min="19" max="23" width="11.44140625" hidden="1" customWidth="1"/>
    <col min="24" max="24" width="15" hidden="1" customWidth="1"/>
    <col min="25" max="25" width="14.21875" style="64" hidden="1" customWidth="1"/>
    <col min="26" max="26" width="11.77734375" style="117" hidden="1" customWidth="1"/>
    <col min="27" max="27" width="14.21875" style="91" hidden="1" customWidth="1"/>
    <col min="28" max="29" width="14.21875" style="92" hidden="1" customWidth="1"/>
    <col min="30" max="30" width="14.21875" style="93" hidden="1" customWidth="1"/>
    <col min="31" max="31" width="14.21875" style="94" hidden="1" customWidth="1"/>
    <col min="32" max="16384" width="11.44140625" style="154" hidden="1"/>
  </cols>
  <sheetData>
    <row r="1" spans="1:31" s="153" customFormat="1" ht="62.25" customHeight="1" x14ac:dyDescent="0.3">
      <c r="A1" s="12" t="s">
        <v>8</v>
      </c>
      <c r="B1" s="12" t="s">
        <v>144</v>
      </c>
      <c r="C1" s="12" t="s">
        <v>4</v>
      </c>
      <c r="D1" s="13" t="s">
        <v>140</v>
      </c>
      <c r="E1" s="13" t="s">
        <v>5</v>
      </c>
      <c r="F1" s="13" t="s">
        <v>102</v>
      </c>
      <c r="G1" s="177" t="s">
        <v>6</v>
      </c>
      <c r="H1" s="279" t="s">
        <v>3</v>
      </c>
      <c r="I1" s="150" t="s">
        <v>1</v>
      </c>
      <c r="J1" s="36" t="s">
        <v>2</v>
      </c>
      <c r="K1" s="14" t="s">
        <v>84</v>
      </c>
      <c r="L1" s="15" t="s">
        <v>841</v>
      </c>
      <c r="M1" s="16" t="s">
        <v>85</v>
      </c>
      <c r="N1" s="15" t="s">
        <v>87</v>
      </c>
      <c r="O1" s="15" t="s">
        <v>840</v>
      </c>
      <c r="P1" s="17" t="s">
        <v>89</v>
      </c>
      <c r="Q1" s="15" t="s">
        <v>88</v>
      </c>
      <c r="R1" s="14" t="s">
        <v>86</v>
      </c>
      <c r="S1" s="18" t="s">
        <v>7</v>
      </c>
      <c r="T1" s="62" t="s">
        <v>492</v>
      </c>
      <c r="U1" s="83" t="s">
        <v>576</v>
      </c>
      <c r="V1" s="84" t="s">
        <v>583</v>
      </c>
      <c r="W1" s="84" t="s">
        <v>585</v>
      </c>
      <c r="X1" s="85" t="s">
        <v>584</v>
      </c>
      <c r="Y1" s="86" t="s">
        <v>586</v>
      </c>
      <c r="Z1" s="120" t="s">
        <v>653</v>
      </c>
      <c r="AA1" s="19"/>
      <c r="AB1" s="19"/>
      <c r="AC1" s="19"/>
      <c r="AD1" s="19"/>
      <c r="AE1" s="19"/>
    </row>
    <row r="2" spans="1:31" ht="22.35" customHeight="1" x14ac:dyDescent="0.3">
      <c r="A2" s="61" t="str">
        <f>+IF(PROVEEDORES[[#This Row],[FECHA DE PAGO]]=PROVEEDORES[[#This Row],[FECHA DE FACTURACIÓN]],"DE CONTADO","CRÉDITO")</f>
        <v>DE CONTADO</v>
      </c>
      <c r="B2" s="38" t="b">
        <f>+IF((PROVEEDORES[[#This Row],[FECHA DE PAGO]]-PROVEEDORES[[#This Row],[FECHA DE FACTURACIÓN]])&gt;PROVEEDORES[[#This Row],[PLAZO Días]],"PAGO VENCIDO")</f>
        <v>0</v>
      </c>
      <c r="C2" s="20">
        <f>+VLOOKUP(PROVEEDORES[[#This Row],[PROVEEDOR]],TERCEROS_INFO[#All],2,FALSE)</f>
        <v>30</v>
      </c>
      <c r="D2" s="25">
        <f>+SUMIFS(PROVEEDORES[Total],PROVEEDORES[PROVEEDOR],PROVEEDORES[[#This Row],[PROVEEDOR]],PROVEEDORES[FECHA DE PAGO],"")</f>
        <v>0</v>
      </c>
      <c r="E2" s="25"/>
      <c r="F2" s="56" t="str">
        <f>+VLOOKUP(PROVEEDORES[[#This Row],[PROVEEDOR]],
                       Terceros!$A:$F,
                       5,
                       FALSE)</f>
        <v/>
      </c>
      <c r="G2" s="68">
        <v>44562</v>
      </c>
      <c r="H2" s="26" t="s">
        <v>356</v>
      </c>
      <c r="I2" s="68">
        <v>44562</v>
      </c>
      <c r="J2" s="35" t="s">
        <v>890</v>
      </c>
      <c r="K2" s="21">
        <v>693200</v>
      </c>
      <c r="L2" s="21"/>
      <c r="M2" s="22">
        <f>(PROVEEDORES[[#This Row],[SUBTOTAL]]-PROVEEDORES[[#This Row],[descuento sobre subtotal]])*VLOOKUP(PROVEEDORES[[#This Row],[PROVEEDOR]],TERCEROS_INFO[#All],3,FALSE)</f>
        <v>0</v>
      </c>
      <c r="N2" s="23"/>
      <c r="O2" s="22">
        <f>+PROVEEDORES[[#This Row],[Descuento sobre subtotal %]]*(PROVEEDORES[[#This Row],[SUBTOTAL]]-PROVEEDORES[[#This Row],[descuento sobre subtotal]])</f>
        <v>0</v>
      </c>
      <c r="P2" s="74">
        <f>+IF(PROVEEDORES[[#This Row],[SUBTOTAL]]&lt;PROVEEDORES[[#This Row],[base retencion]],0,PROVEEDORES[[#This Row],[retención aplicada]])</f>
        <v>0</v>
      </c>
      <c r="Q2" s="22">
        <f>+PROVEEDORES[[#This Row],[Rete Fuente %]]*(PROVEEDORES[[#This Row],[SUBTOTAL]]-PROVEEDORES[[#This Row],[descuento sobre subtotal]])</f>
        <v>0</v>
      </c>
      <c r="R2" s="21">
        <v>693200</v>
      </c>
      <c r="S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63">
        <f ca="1">IF(PROVEEDORES[[#This Row],[FECHA DE PAGO]]=0,TODAY()-PROVEEDORES[[#This Row],[FECHA DE FACTURACIÓN]]-PROVEEDORES[[#This Row],[PLAZO Días]],0)</f>
        <v>0</v>
      </c>
      <c r="U2" s="87">
        <f>+VLOOKUP(PROVEEDORES[[#This Row],[PROVEEDOR]],Terceros!$A:$D,4,FALSE)</f>
        <v>0</v>
      </c>
      <c r="V2" s="88">
        <f>+YEAR(PROVEEDORES[[#This Row],[FECHA DE FACTURACIÓN]])</f>
        <v>2022</v>
      </c>
      <c r="W2" s="88">
        <f>+MATCH(PROVEEDORES[[#This Row],[año facturado]],Retenciones!$1:$1,0)</f>
        <v>5</v>
      </c>
      <c r="X2" s="89">
        <f>+VLOOKUP(PROVEEDORES[[#This Row],[ID RETENCION]],Retenciones!$A$1:$O$25,PROVEEDORES[[#This Row],[indicador de columna]],FALSE)</f>
        <v>0</v>
      </c>
      <c r="Y2" s="90">
        <f>+VLOOKUP(PROVEEDORES[[#This Row],[ID RETENCION]],Retenciones!$A$1:$O$25,2,FALSE)</f>
        <v>0</v>
      </c>
      <c r="Z2" s="116" t="b">
        <f>OR(COUNTIF(PROVEEDORES[[#This Row],[PROVEEDOR]],"*"&amp;'Palabra no opera'!$A$2&amp;"*"))</f>
        <v>0</v>
      </c>
      <c r="AA2" s="24"/>
      <c r="AB2" s="24"/>
      <c r="AC2" s="24"/>
      <c r="AD2" s="24"/>
      <c r="AE2" s="24"/>
    </row>
    <row r="3" spans="1:31" ht="22.35" customHeight="1" x14ac:dyDescent="0.3">
      <c r="A3" s="61" t="str">
        <f>+IF(PROVEEDORES[[#This Row],[FECHA DE PAGO]]=PROVEEDORES[[#This Row],[FECHA DE FACTURACIÓN]],"DE CONTADO","CRÉDITO")</f>
        <v>CRÉDITO</v>
      </c>
      <c r="B3" s="38" t="str">
        <f>+IF((PROVEEDORES[[#This Row],[FECHA DE PAGO]]-PROVEEDORES[[#This Row],[FECHA DE FACTURACIÓN]])&gt;PROVEEDORES[[#This Row],[PLAZO Días]],"PAGO VENCIDO")</f>
        <v>PAGO VENCIDO</v>
      </c>
      <c r="C3" s="20">
        <f>+VLOOKUP(PROVEEDORES[[#This Row],[PROVEEDOR]],TERCEROS_INFO[#All],2,FALSE)</f>
        <v>30</v>
      </c>
      <c r="D3" s="25">
        <f>+SUMIFS(PROVEEDORES[Total],PROVEEDORES[PROVEEDOR],PROVEEDORES[[#This Row],[PROVEEDOR]],PROVEEDORES[FECHA DE PAGO],"")</f>
        <v>0</v>
      </c>
      <c r="E3" s="25"/>
      <c r="F3" s="56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3" s="68">
        <v>44562</v>
      </c>
      <c r="H3" s="26" t="s">
        <v>34</v>
      </c>
      <c r="I3" s="68">
        <v>44433</v>
      </c>
      <c r="J3" s="35" t="s">
        <v>261</v>
      </c>
      <c r="K3" s="21">
        <v>0</v>
      </c>
      <c r="L3" s="21"/>
      <c r="M3" s="22">
        <f>(PROVEEDORES[[#This Row],[SUBTOTAL]]-PROVEEDORES[[#This Row],[descuento sobre subtotal]])*VLOOKUP(PROVEEDORES[[#This Row],[PROVEEDOR]],TERCEROS_INFO[#All],3,FALSE)</f>
        <v>0</v>
      </c>
      <c r="N3" s="23"/>
      <c r="O3" s="22">
        <f>+PROVEEDORES[[#This Row],[Descuento sobre subtotal %]]*(PROVEEDORES[[#This Row],[SUBTOTAL]]-PROVEEDORES[[#This Row],[descuento sobre subtotal]])</f>
        <v>0</v>
      </c>
      <c r="P3" s="74">
        <f>+IF(PROVEEDORES[[#This Row],[SUBTOTAL]]&lt;PROVEEDORES[[#This Row],[base retencion]],0,PROVEEDORES[[#This Row],[retención aplicada]])</f>
        <v>0</v>
      </c>
      <c r="Q3" s="22">
        <f>+PROVEEDORES[[#This Row],[Rete Fuente %]]*(PROVEEDORES[[#This Row],[SUBTOTAL]]-PROVEEDORES[[#This Row],[descuento sobre subtotal]])</f>
        <v>0</v>
      </c>
      <c r="R3" s="21">
        <v>-12185</v>
      </c>
      <c r="S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63">
        <f ca="1">IF(PROVEEDORES[[#This Row],[FECHA DE PAGO]]=0,TODAY()-PROVEEDORES[[#This Row],[FECHA DE FACTURACIÓN]]-PROVEEDORES[[#This Row],[PLAZO Días]],0)</f>
        <v>0</v>
      </c>
      <c r="U3" s="87" t="str">
        <f>+VLOOKUP(PROVEEDORES[[#This Row],[PROVEEDOR]],Terceros!$A:$D,4,FALSE)</f>
        <v>2,5% con base</v>
      </c>
      <c r="V3" s="88">
        <f>+YEAR(PROVEEDORES[[#This Row],[FECHA DE FACTURACIÓN]])</f>
        <v>2021</v>
      </c>
      <c r="W3" s="88">
        <f>+MATCH(PROVEEDORES[[#This Row],[año facturado]],Retenciones!$1:$1,0)</f>
        <v>4</v>
      </c>
      <c r="X3" s="89">
        <f>+VLOOKUP(PROVEEDORES[[#This Row],[ID RETENCION]],Retenciones!$A$1:$O$25,PROVEEDORES[[#This Row],[indicador de columna]],FALSE)</f>
        <v>980000</v>
      </c>
      <c r="Y3" s="90">
        <f>+VLOOKUP(PROVEEDORES[[#This Row],[ID RETENCION]],Retenciones!$A$1:$O$25,2,FALSE)</f>
        <v>2.5000000000000001E-2</v>
      </c>
      <c r="Z3" s="116" t="b">
        <f>OR(COUNTIF(PROVEEDORES[[#This Row],[PROVEEDOR]],"*"&amp;'Palabra no opera'!$A$2&amp;"*"))</f>
        <v>0</v>
      </c>
      <c r="AA3" s="24"/>
      <c r="AB3" s="24"/>
      <c r="AC3" s="24"/>
      <c r="AD3" s="24"/>
      <c r="AE3" s="24"/>
    </row>
    <row r="4" spans="1:31" ht="22.35" customHeight="1" x14ac:dyDescent="0.3">
      <c r="A4" s="61" t="str">
        <f>+IF(PROVEEDORES[[#This Row],[FECHA DE PAGO]]=PROVEEDORES[[#This Row],[FECHA DE FACTURACIÓN]],"DE CONTADO","CRÉDITO")</f>
        <v>CRÉDITO</v>
      </c>
      <c r="B4" s="38" t="str">
        <f>+IF((PROVEEDORES[[#This Row],[FECHA DE PAGO]]-PROVEEDORES[[#This Row],[FECHA DE FACTURACIÓN]])&gt;PROVEEDORES[[#This Row],[PLAZO Días]],"PAGO VENCIDO")</f>
        <v>PAGO VENCIDO</v>
      </c>
      <c r="C4" s="20">
        <f>+VLOOKUP(PROVEEDORES[[#This Row],[PROVEEDOR]],TERCEROS_INFO[#All],2,FALSE)</f>
        <v>30</v>
      </c>
      <c r="D4" s="25">
        <f>+SUMIFS(PROVEEDORES[Total],PROVEEDORES[PROVEEDOR],PROVEEDORES[[#This Row],[PROVEEDOR]],PROVEEDORES[FECHA DE PAGO],"")</f>
        <v>0</v>
      </c>
      <c r="E4" s="25"/>
      <c r="F4" s="56" t="str">
        <f>+VLOOKUP(PROVEEDORES[[#This Row],[PROVEEDOR]],
                       Terceros!$A:$F,
                       5,
                       FALSE)</f>
        <v/>
      </c>
      <c r="G4" s="68">
        <v>44565</v>
      </c>
      <c r="H4" s="26" t="s">
        <v>409</v>
      </c>
      <c r="I4" s="68">
        <v>44531</v>
      </c>
      <c r="J4" s="35" t="s">
        <v>311</v>
      </c>
      <c r="K4" s="21">
        <v>304800</v>
      </c>
      <c r="L4" s="21"/>
      <c r="M4" s="22">
        <v>0</v>
      </c>
      <c r="N4" s="23"/>
      <c r="O4" s="22">
        <v>0</v>
      </c>
      <c r="P4" s="74">
        <f>+IF(PROVEEDORES[[#This Row],[SUBTOTAL]]&lt;PROVEEDORES[[#This Row],[base retencion]],0,PROVEEDORES[[#This Row],[retención aplicada]])</f>
        <v>0</v>
      </c>
      <c r="Q4" s="22">
        <f>+PROVEEDORES[[#This Row],[Rete Fuente %]]*(PROVEEDORES[[#This Row],[SUBTOTAL]]-PROVEEDORES[[#This Row],[descuento sobre subtotal]])</f>
        <v>0</v>
      </c>
      <c r="R4" s="21">
        <v>304800</v>
      </c>
      <c r="S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63">
        <f ca="1">IF(PROVEEDORES[[#This Row],[FECHA DE PAGO]]=0,TODAY()-PROVEEDORES[[#This Row],[FECHA DE FACTURACIÓN]]-PROVEEDORES[[#This Row],[PLAZO Días]],0)</f>
        <v>0</v>
      </c>
      <c r="U4" s="87">
        <f>+VLOOKUP(PROVEEDORES[[#This Row],[PROVEEDOR]],Terceros!$A:$D,4,FALSE)</f>
        <v>0</v>
      </c>
      <c r="V4" s="88">
        <f>+YEAR(PROVEEDORES[[#This Row],[FECHA DE FACTURACIÓN]])</f>
        <v>2021</v>
      </c>
      <c r="W4" s="88">
        <f>+MATCH(PROVEEDORES[[#This Row],[año facturado]],Retenciones!$1:$1,0)</f>
        <v>4</v>
      </c>
      <c r="X4" s="89">
        <f>+VLOOKUP(PROVEEDORES[[#This Row],[ID RETENCION]],Retenciones!$A$1:$O$25,PROVEEDORES[[#This Row],[indicador de columna]],FALSE)</f>
        <v>0</v>
      </c>
      <c r="Y4" s="90">
        <f>+VLOOKUP(PROVEEDORES[[#This Row],[ID RETENCION]],Retenciones!$A$1:$O$25,2,FALSE)</f>
        <v>0</v>
      </c>
      <c r="Z4" s="116" t="b">
        <f>OR(COUNTIF(PROVEEDORES[[#This Row],[PROVEEDOR]],"*"&amp;'Palabra no opera'!$A$2&amp;"*"))</f>
        <v>0</v>
      </c>
      <c r="AA4" s="24"/>
      <c r="AB4" s="24"/>
      <c r="AC4" s="24"/>
      <c r="AD4" s="24"/>
      <c r="AE4" s="24"/>
    </row>
    <row r="5" spans="1:31" ht="22.35" customHeight="1" x14ac:dyDescent="0.3">
      <c r="A5" s="61" t="str">
        <f>+IF(PROVEEDORES[[#This Row],[FECHA DE PAGO]]=PROVEEDORES[[#This Row],[FECHA DE FACTURACIÓN]],"DE CONTADO","CRÉDITO")</f>
        <v>DE CONTADO</v>
      </c>
      <c r="B5" s="38" t="b">
        <f>+IF((PROVEEDORES[[#This Row],[FECHA DE PAGO]]-PROVEEDORES[[#This Row],[FECHA DE FACTURACIÓN]])&gt;PROVEEDORES[[#This Row],[PLAZO Días]],"PAGO VENCIDO")</f>
        <v>0</v>
      </c>
      <c r="C5" s="20">
        <f>+VLOOKUP(PROVEEDORES[[#This Row],[PROVEEDOR]],TERCEROS_INFO[#All],2,FALSE)</f>
        <v>30</v>
      </c>
      <c r="D5" s="25">
        <f>+SUMIFS(PROVEEDORES[Total],PROVEEDORES[PROVEEDOR],PROVEEDORES[[#This Row],[PROVEEDOR]],PROVEEDORES[FECHA DE PAGO],"")</f>
        <v>0</v>
      </c>
      <c r="E5" s="25"/>
      <c r="F5" s="56" t="str">
        <f>+VLOOKUP(PROVEEDORES[[#This Row],[PROVEEDOR]],
                       Terceros!$A:$F,
                       5,
                       FALSE)</f>
        <v/>
      </c>
      <c r="G5" s="68">
        <v>44565</v>
      </c>
      <c r="H5" s="26" t="s">
        <v>37</v>
      </c>
      <c r="I5" s="68">
        <v>44565</v>
      </c>
      <c r="J5" s="35">
        <v>13042</v>
      </c>
      <c r="K5" s="21">
        <v>42840</v>
      </c>
      <c r="L5" s="21"/>
      <c r="M5" s="22">
        <v>8139.6</v>
      </c>
      <c r="N5" s="23"/>
      <c r="O5" s="22">
        <v>0</v>
      </c>
      <c r="P5" s="74">
        <f>+IF(PROVEEDORES[[#This Row],[SUBTOTAL]]&lt;PROVEEDORES[[#This Row],[base retencion]],0,PROVEEDORES[[#This Row],[retención aplicada]])</f>
        <v>0</v>
      </c>
      <c r="Q5" s="22">
        <f>+PROVEEDORES[[#This Row],[Rete Fuente %]]*(PROVEEDORES[[#This Row],[SUBTOTAL]]-PROVEEDORES[[#This Row],[descuento sobre subtotal]])</f>
        <v>0</v>
      </c>
      <c r="R5" s="21">
        <v>50979.6</v>
      </c>
      <c r="S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63">
        <f ca="1">IF(PROVEEDORES[[#This Row],[FECHA DE PAGO]]=0,TODAY()-PROVEEDORES[[#This Row],[FECHA DE FACTURACIÓN]]-PROVEEDORES[[#This Row],[PLAZO Días]],0)</f>
        <v>0</v>
      </c>
      <c r="U5" s="87" t="str">
        <f>+VLOOKUP(PROVEEDORES[[#This Row],[PROVEEDOR]],Terceros!$A:$D,4,FALSE)</f>
        <v>2,5% con base</v>
      </c>
      <c r="V5" s="88">
        <f>+YEAR(PROVEEDORES[[#This Row],[FECHA DE FACTURACIÓN]])</f>
        <v>2022</v>
      </c>
      <c r="W5" s="88">
        <f>+MATCH(PROVEEDORES[[#This Row],[año facturado]],Retenciones!$1:$1,0)</f>
        <v>5</v>
      </c>
      <c r="X5" s="89">
        <f>+VLOOKUP(PROVEEDORES[[#This Row],[ID RETENCION]],Retenciones!$A$1:$O$25,PROVEEDORES[[#This Row],[indicador de columna]],FALSE)</f>
        <v>1026000</v>
      </c>
      <c r="Y5" s="90">
        <f>+VLOOKUP(PROVEEDORES[[#This Row],[ID RETENCION]],Retenciones!$A$1:$O$25,2,FALSE)</f>
        <v>2.5000000000000001E-2</v>
      </c>
      <c r="Z5" s="116" t="b">
        <f>OR(COUNTIF(PROVEEDORES[[#This Row],[PROVEEDOR]],"*"&amp;'Palabra no opera'!$A$2&amp;"*"))</f>
        <v>0</v>
      </c>
      <c r="AA5" s="24"/>
      <c r="AB5" s="24"/>
      <c r="AC5" s="24"/>
      <c r="AD5" s="24"/>
      <c r="AE5" s="24"/>
    </row>
    <row r="6" spans="1:31" ht="22.35" customHeight="1" x14ac:dyDescent="0.3">
      <c r="A6" s="61" t="str">
        <f>+IF(PROVEEDORES[[#This Row],[FECHA DE PAGO]]=PROVEEDORES[[#This Row],[FECHA DE FACTURACIÓN]],"DE CONTADO","CRÉDITO")</f>
        <v>CRÉDITO</v>
      </c>
      <c r="B6" s="38" t="str">
        <f>+IF((PROVEEDORES[[#This Row],[FECHA DE PAGO]]-PROVEEDORES[[#This Row],[FECHA DE FACTURACIÓN]])&gt;PROVEEDORES[[#This Row],[PLAZO Días]],"PAGO VENCIDO")</f>
        <v>PAGO VENCIDO</v>
      </c>
      <c r="C6" s="20">
        <f>+VLOOKUP(PROVEEDORES[[#This Row],[PROVEEDOR]],TERCEROS_INFO[#All],2,FALSE)</f>
        <v>30</v>
      </c>
      <c r="D6" s="25">
        <f>+SUMIFS(PROVEEDORES[Total],PROVEEDORES[PROVEEDOR],PROVEEDORES[[#This Row],[PROVEEDOR]],PROVEEDORES[FECHA DE PAGO],"")</f>
        <v>5480000</v>
      </c>
      <c r="E6" s="25"/>
      <c r="F6" s="56" t="str">
        <f>+VLOOKUP(PROVEEDORES[[#This Row],[PROVEEDOR]],
                       Terceros!$A:$F,
                       5,
                       FALSE)</f>
        <v/>
      </c>
      <c r="G6" s="68">
        <v>44567</v>
      </c>
      <c r="H6" s="26" t="s">
        <v>369</v>
      </c>
      <c r="I6" s="68">
        <v>44517</v>
      </c>
      <c r="J6" s="35" t="s">
        <v>972</v>
      </c>
      <c r="K6" s="21">
        <v>8659500</v>
      </c>
      <c r="L6" s="21"/>
      <c r="M6" s="22">
        <f>(PROVEEDORES[[#This Row],[SUBTOTAL]]-PROVEEDORES[[#This Row],[descuento sobre subtotal]])*VLOOKUP(PROVEEDORES[[#This Row],[PROVEEDOR]],TERCEROS_INFO[#All],3,FALSE)</f>
        <v>0</v>
      </c>
      <c r="N6" s="23"/>
      <c r="O6" s="22">
        <f>+PROVEEDORES[[#This Row],[Descuento sobre subtotal %]]*(PROVEEDORES[[#This Row],[SUBTOTAL]]-PROVEEDORES[[#This Row],[descuento sobre subtotal]])</f>
        <v>0</v>
      </c>
      <c r="P6" s="74">
        <f>+IF(PROVEEDORES[[#This Row],[SUBTOTAL]]&lt;PROVEEDORES[[#This Row],[base retencion]],0,PROVEEDORES[[#This Row],[retención aplicada]])</f>
        <v>0</v>
      </c>
      <c r="Q6" s="22">
        <f>+PROVEEDORES[[#This Row],[Rete Fuente %]]*(PROVEEDORES[[#This Row],[SUBTOTAL]]-PROVEEDORES[[#This Row],[descuento sobre subtotal]])</f>
        <v>0</v>
      </c>
      <c r="R6" s="21">
        <v>8659500</v>
      </c>
      <c r="S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63">
        <f ca="1">IF(PROVEEDORES[[#This Row],[FECHA DE PAGO]]=0,TODAY()-PROVEEDORES[[#This Row],[FECHA DE FACTURACIÓN]]-PROVEEDORES[[#This Row],[PLAZO Días]],0)</f>
        <v>0</v>
      </c>
      <c r="U6" s="87">
        <f>+VLOOKUP(PROVEEDORES[[#This Row],[PROVEEDOR]],Terceros!$A:$D,4,FALSE)</f>
        <v>0</v>
      </c>
      <c r="V6" s="88">
        <f>+YEAR(PROVEEDORES[[#This Row],[FECHA DE FACTURACIÓN]])</f>
        <v>2021</v>
      </c>
      <c r="W6" s="88">
        <f>+MATCH(PROVEEDORES[[#This Row],[año facturado]],Retenciones!$1:$1,0)</f>
        <v>4</v>
      </c>
      <c r="X6" s="89">
        <f>+VLOOKUP(PROVEEDORES[[#This Row],[ID RETENCION]],Retenciones!$A$1:$O$25,PROVEEDORES[[#This Row],[indicador de columna]],FALSE)</f>
        <v>0</v>
      </c>
      <c r="Y6" s="90">
        <f>+VLOOKUP(PROVEEDORES[[#This Row],[ID RETENCION]],Retenciones!$A$1:$O$25,2,FALSE)</f>
        <v>0</v>
      </c>
      <c r="Z6" s="116" t="b">
        <f>OR(COUNTIF(PROVEEDORES[[#This Row],[PROVEEDOR]],"*"&amp;'Palabra no opera'!$A$2&amp;"*"))</f>
        <v>0</v>
      </c>
      <c r="AA6" s="24"/>
      <c r="AB6" s="24"/>
      <c r="AC6" s="24"/>
      <c r="AD6" s="24"/>
      <c r="AE6" s="24"/>
    </row>
    <row r="7" spans="1:31" ht="22.35" customHeight="1" x14ac:dyDescent="0.3">
      <c r="A7" s="61" t="str">
        <f>+IF(PROVEEDORES[[#This Row],[FECHA DE PAGO]]=PROVEEDORES[[#This Row],[FECHA DE FACTURACIÓN]],"DE CONTADO","CRÉDITO")</f>
        <v>CRÉDITO</v>
      </c>
      <c r="B7" s="38" t="b">
        <f>+IF((PROVEEDORES[[#This Row],[FECHA DE PAGO]]-PROVEEDORES[[#This Row],[FECHA DE FACTURACIÓN]])&gt;PROVEEDORES[[#This Row],[PLAZO Días]],"PAGO VENCIDO")</f>
        <v>0</v>
      </c>
      <c r="C7" s="20">
        <f>+VLOOKUP(PROVEEDORES[[#This Row],[PROVEEDOR]],TERCEROS_INFO[#All],2,FALSE)</f>
        <v>30</v>
      </c>
      <c r="D7" s="25">
        <f>+SUMIFS(PROVEEDORES[Total],PROVEEDORES[PROVEEDOR],PROVEEDORES[[#This Row],[PROVEEDOR]],PROVEEDORES[FECHA DE PAGO],"")</f>
        <v>0</v>
      </c>
      <c r="E7" s="25"/>
      <c r="F7" s="56" t="str">
        <f>+VLOOKUP(PROVEEDORES[[#This Row],[PROVEEDOR]],
                       Terceros!$A:$F,
                       5,
                       FALSE)</f>
        <v/>
      </c>
      <c r="G7" s="68">
        <v>44567</v>
      </c>
      <c r="H7" s="26" t="s">
        <v>37</v>
      </c>
      <c r="I7" s="68">
        <v>44566</v>
      </c>
      <c r="J7" s="35" t="s">
        <v>983</v>
      </c>
      <c r="K7" s="21">
        <v>-190000</v>
      </c>
      <c r="L7" s="21"/>
      <c r="M7" s="22">
        <f>(PROVEEDORES[[#This Row],[SUBTOTAL]]-PROVEEDORES[[#This Row],[descuento sobre subtotal]])*VLOOKUP(PROVEEDORES[[#This Row],[PROVEEDOR]],TERCEROS_INFO[#All],3,FALSE)</f>
        <v>-36100</v>
      </c>
      <c r="N7" s="23"/>
      <c r="O7" s="22">
        <f>+PROVEEDORES[[#This Row],[Descuento sobre subtotal %]]*(PROVEEDORES[[#This Row],[SUBTOTAL]]-PROVEEDORES[[#This Row],[descuento sobre subtotal]])</f>
        <v>0</v>
      </c>
      <c r="P7" s="74">
        <f>+IF(PROVEEDORES[[#This Row],[SUBTOTAL]]&lt;PROVEEDORES[[#This Row],[base retencion]],0,PROVEEDORES[[#This Row],[retención aplicada]])</f>
        <v>0</v>
      </c>
      <c r="Q7" s="22">
        <f>+PROVEEDORES[[#This Row],[Rete Fuente %]]*(PROVEEDORES[[#This Row],[SUBTOTAL]]-PROVEEDORES[[#This Row],[descuento sobre subtotal]])</f>
        <v>0</v>
      </c>
      <c r="R7" s="21">
        <v>-190000</v>
      </c>
      <c r="S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63">
        <f ca="1">IF(PROVEEDORES[[#This Row],[FECHA DE PAGO]]=0,TODAY()-PROVEEDORES[[#This Row],[FECHA DE FACTURACIÓN]]-PROVEEDORES[[#This Row],[PLAZO Días]],0)</f>
        <v>0</v>
      </c>
      <c r="U7" s="87" t="str">
        <f>+VLOOKUP(PROVEEDORES[[#This Row],[PROVEEDOR]],Terceros!$A:$D,4,FALSE)</f>
        <v>2,5% con base</v>
      </c>
      <c r="V7" s="88">
        <f>+YEAR(PROVEEDORES[[#This Row],[FECHA DE FACTURACIÓN]])</f>
        <v>2022</v>
      </c>
      <c r="W7" s="88">
        <f>+MATCH(PROVEEDORES[[#This Row],[año facturado]],Retenciones!$1:$1,0)</f>
        <v>5</v>
      </c>
      <c r="X7" s="89">
        <f>+VLOOKUP(PROVEEDORES[[#This Row],[ID RETENCION]],Retenciones!$A$1:$O$25,PROVEEDORES[[#This Row],[indicador de columna]],FALSE)</f>
        <v>1026000</v>
      </c>
      <c r="Y7" s="90">
        <f>+VLOOKUP(PROVEEDORES[[#This Row],[ID RETENCION]],Retenciones!$A$1:$O$25,2,FALSE)</f>
        <v>2.5000000000000001E-2</v>
      </c>
      <c r="Z7" s="116" t="b">
        <f>OR(COUNTIF(PROVEEDORES[[#This Row],[PROVEEDOR]],"*"&amp;'Palabra no opera'!$A$2&amp;"*"))</f>
        <v>0</v>
      </c>
      <c r="AA7" s="24"/>
      <c r="AB7" s="24"/>
      <c r="AC7" s="24"/>
      <c r="AD7" s="24"/>
      <c r="AE7" s="24"/>
    </row>
    <row r="8" spans="1:31" ht="22.35" customHeight="1" x14ac:dyDescent="0.3">
      <c r="A8" s="61" t="str">
        <f>+IF(PROVEEDORES[[#This Row],[FECHA DE PAGO]]=PROVEEDORES[[#This Row],[FECHA DE FACTURACIÓN]],"DE CONTADO","CRÉDITO")</f>
        <v>CRÉDITO</v>
      </c>
      <c r="B8" s="38" t="str">
        <f>+IF((PROVEEDORES[[#This Row],[FECHA DE PAGO]]-PROVEEDORES[[#This Row],[FECHA DE FACTURACIÓN]])&gt;PROVEEDORES[[#This Row],[PLAZO Días]],"PAGO VENCIDO")</f>
        <v>PAGO VENCIDO</v>
      </c>
      <c r="C8" s="20">
        <f>+VLOOKUP(PROVEEDORES[[#This Row],[PROVEEDOR]],TERCEROS_INFO[#All],2,FALSE)</f>
        <v>90</v>
      </c>
      <c r="D8" s="25">
        <f>+SUMIFS(PROVEEDORES[Total],PROVEEDORES[PROVEEDOR],PROVEEDORES[[#This Row],[PROVEEDOR]],PROVEEDORES[FECHA DE PAGO],"")</f>
        <v>0</v>
      </c>
      <c r="E8" s="25"/>
      <c r="F8" s="56" t="str">
        <f>+VLOOKUP(PROVEEDORES[[#This Row],[PROVEEDOR]],
                       Terceros!$A:$F,
                       5,
                       FALSE)</f>
        <v/>
      </c>
      <c r="G8" s="68">
        <v>44567</v>
      </c>
      <c r="H8" s="26" t="s">
        <v>374</v>
      </c>
      <c r="I8" s="68">
        <v>44166</v>
      </c>
      <c r="J8" s="35"/>
      <c r="K8" s="21">
        <v>47205435</v>
      </c>
      <c r="L8" s="21"/>
      <c r="M8" s="22">
        <f>(PROVEEDORES[[#This Row],[SUBTOTAL]]-PROVEEDORES[[#This Row],[descuento sobre subtotal]])*VLOOKUP(PROVEEDORES[[#This Row],[PROVEEDOR]],TERCEROS_INFO[#All],3,FALSE)</f>
        <v>0</v>
      </c>
      <c r="N8" s="23"/>
      <c r="O8" s="22">
        <f>+PROVEEDORES[[#This Row],[Descuento sobre subtotal %]]*(PROVEEDORES[[#This Row],[SUBTOTAL]]-PROVEEDORES[[#This Row],[descuento sobre subtotal]])</f>
        <v>0</v>
      </c>
      <c r="P8" s="74">
        <f>+IF(PROVEEDORES[[#This Row],[SUBTOTAL]]&lt;PROVEEDORES[[#This Row],[base retencion]],0,PROVEEDORES[[#This Row],[retención aplicada]])</f>
        <v>0</v>
      </c>
      <c r="Q8" s="22">
        <f>+PROVEEDORES[[#This Row],[Rete Fuente %]]*(PROVEEDORES[[#This Row],[SUBTOTAL]]-PROVEEDORES[[#This Row],[descuento sobre subtotal]])</f>
        <v>0</v>
      </c>
      <c r="R8" s="21">
        <v>47205435</v>
      </c>
      <c r="S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63">
        <f ca="1">IF(PROVEEDORES[[#This Row],[FECHA DE PAGO]]=0,TODAY()-PROVEEDORES[[#This Row],[FECHA DE FACTURACIÓN]]-PROVEEDORES[[#This Row],[PLAZO Días]],0)</f>
        <v>0</v>
      </c>
      <c r="U8" s="87">
        <f>+VLOOKUP(PROVEEDORES[[#This Row],[PROVEEDOR]],Terceros!$A:$D,4,FALSE)</f>
        <v>0</v>
      </c>
      <c r="V8" s="88">
        <f>+YEAR(PROVEEDORES[[#This Row],[FECHA DE FACTURACIÓN]])</f>
        <v>2020</v>
      </c>
      <c r="W8" s="88">
        <f>+MATCH(PROVEEDORES[[#This Row],[año facturado]],Retenciones!$1:$1,0)</f>
        <v>3</v>
      </c>
      <c r="X8" s="89">
        <f>+VLOOKUP(PROVEEDORES[[#This Row],[ID RETENCION]],Retenciones!$A$1:$O$25,PROVEEDORES[[#This Row],[indicador de columna]],FALSE)</f>
        <v>0</v>
      </c>
      <c r="Y8" s="90">
        <f>+VLOOKUP(PROVEEDORES[[#This Row],[ID RETENCION]],Retenciones!$A$1:$O$25,2,FALSE)</f>
        <v>0</v>
      </c>
      <c r="Z8" s="116" t="b">
        <f>OR(COUNTIF(PROVEEDORES[[#This Row],[PROVEEDOR]],"*"&amp;'Palabra no opera'!$A$2&amp;"*"))</f>
        <v>0</v>
      </c>
      <c r="AA8" s="24"/>
      <c r="AB8" s="24"/>
      <c r="AC8" s="24"/>
      <c r="AD8" s="24"/>
      <c r="AE8" s="24"/>
    </row>
    <row r="9" spans="1:31" ht="22.35" customHeight="1" x14ac:dyDescent="0.3">
      <c r="A9" s="61" t="str">
        <f>+IF(PROVEEDORES[[#This Row],[FECHA DE PAGO]]=PROVEEDORES[[#This Row],[FECHA DE FACTURACIÓN]],"DE CONTADO","CRÉDITO")</f>
        <v>CRÉDITO</v>
      </c>
      <c r="B9" s="38" t="str">
        <f>+IF((PROVEEDORES[[#This Row],[FECHA DE PAGO]]-PROVEEDORES[[#This Row],[FECHA DE FACTURACIÓN]])&gt;PROVEEDORES[[#This Row],[PLAZO Días]],"PAGO VENCIDO")</f>
        <v>PAGO VENCIDO</v>
      </c>
      <c r="C9" s="20">
        <f>+VLOOKUP(PROVEEDORES[[#This Row],[PROVEEDOR]],TERCEROS_INFO[#All],2,FALSE)</f>
        <v>90</v>
      </c>
      <c r="D9" s="25">
        <f>+SUMIFS(PROVEEDORES[Total],PROVEEDORES[PROVEEDOR],PROVEEDORES[[#This Row],[PROVEEDOR]],PROVEEDORES[FECHA DE PAGO],"")</f>
        <v>0</v>
      </c>
      <c r="E9" s="25"/>
      <c r="F9" s="56" t="str">
        <f>+VLOOKUP(PROVEEDORES[[#This Row],[PROVEEDOR]],
                       Terceros!$A:$F,
                       5,
                       FALSE)</f>
        <v/>
      </c>
      <c r="G9" s="68">
        <v>44567</v>
      </c>
      <c r="H9" s="26" t="s">
        <v>374</v>
      </c>
      <c r="I9" s="68">
        <v>44196</v>
      </c>
      <c r="J9" s="35"/>
      <c r="K9" s="21">
        <v>-20009300</v>
      </c>
      <c r="L9" s="21"/>
      <c r="M9" s="22">
        <f>(PROVEEDORES[[#This Row],[SUBTOTAL]]-PROVEEDORES[[#This Row],[descuento sobre subtotal]])*VLOOKUP(PROVEEDORES[[#This Row],[PROVEEDOR]],TERCEROS_INFO[#All],3,FALSE)</f>
        <v>0</v>
      </c>
      <c r="N9" s="23"/>
      <c r="O9" s="22">
        <f>+PROVEEDORES[[#This Row],[Descuento sobre subtotal %]]*(PROVEEDORES[[#This Row],[SUBTOTAL]]-PROVEEDORES[[#This Row],[descuento sobre subtotal]])</f>
        <v>0</v>
      </c>
      <c r="P9" s="74">
        <f>+IF(PROVEEDORES[[#This Row],[SUBTOTAL]]&lt;PROVEEDORES[[#This Row],[base retencion]],0,PROVEEDORES[[#This Row],[retención aplicada]])</f>
        <v>0</v>
      </c>
      <c r="Q9" s="22">
        <f>+PROVEEDORES[[#This Row],[Rete Fuente %]]*(PROVEEDORES[[#This Row],[SUBTOTAL]]-PROVEEDORES[[#This Row],[descuento sobre subtotal]])</f>
        <v>0</v>
      </c>
      <c r="R9" s="21">
        <v>-20009300</v>
      </c>
      <c r="S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63">
        <f ca="1">IF(PROVEEDORES[[#This Row],[FECHA DE PAGO]]=0,TODAY()-PROVEEDORES[[#This Row],[FECHA DE FACTURACIÓN]]-PROVEEDORES[[#This Row],[PLAZO Días]],0)</f>
        <v>0</v>
      </c>
      <c r="U9" s="87">
        <f>+VLOOKUP(PROVEEDORES[[#This Row],[PROVEEDOR]],Terceros!$A:$D,4,FALSE)</f>
        <v>0</v>
      </c>
      <c r="V9" s="88">
        <f>+YEAR(PROVEEDORES[[#This Row],[FECHA DE FACTURACIÓN]])</f>
        <v>2020</v>
      </c>
      <c r="W9" s="88">
        <f>+MATCH(PROVEEDORES[[#This Row],[año facturado]],Retenciones!$1:$1,0)</f>
        <v>3</v>
      </c>
      <c r="X9" s="89">
        <f>+VLOOKUP(PROVEEDORES[[#This Row],[ID RETENCION]],Retenciones!$A$1:$O$25,PROVEEDORES[[#This Row],[indicador de columna]],FALSE)</f>
        <v>0</v>
      </c>
      <c r="Y9" s="90">
        <f>+VLOOKUP(PROVEEDORES[[#This Row],[ID RETENCION]],Retenciones!$A$1:$O$25,2,FALSE)</f>
        <v>0</v>
      </c>
      <c r="Z9" s="116" t="b">
        <f>OR(COUNTIF(PROVEEDORES[[#This Row],[PROVEEDOR]],"*"&amp;'Palabra no opera'!$A$2&amp;"*"))</f>
        <v>0</v>
      </c>
      <c r="AA9" s="24"/>
      <c r="AB9" s="24"/>
      <c r="AC9" s="24"/>
      <c r="AD9" s="24"/>
      <c r="AE9" s="24"/>
    </row>
    <row r="10" spans="1:31" ht="22.35" customHeight="1" x14ac:dyDescent="0.3">
      <c r="A10" s="61" t="str">
        <f>+IF(PROVEEDORES[[#This Row],[FECHA DE PAGO]]=PROVEEDORES[[#This Row],[FECHA DE FACTURACIÓN]],"DE CONTADO","CRÉDITO")</f>
        <v>CRÉDITO</v>
      </c>
      <c r="B10" s="38" t="str">
        <f>+IF((PROVEEDORES[[#This Row],[FECHA DE PAGO]]-PROVEEDORES[[#This Row],[FECHA DE FACTURACIÓN]])&gt;PROVEEDORES[[#This Row],[PLAZO Días]],"PAGO VENCIDO")</f>
        <v>PAGO VENCIDO</v>
      </c>
      <c r="C10" s="20">
        <f>+VLOOKUP(PROVEEDORES[[#This Row],[PROVEEDOR]],TERCEROS_INFO[#All],2,FALSE)</f>
        <v>90</v>
      </c>
      <c r="D10" s="25">
        <f>+SUMIFS(PROVEEDORES[Total],PROVEEDORES[PROVEEDOR],PROVEEDORES[[#This Row],[PROVEEDOR]],PROVEEDORES[FECHA DE PAGO],"")</f>
        <v>0</v>
      </c>
      <c r="E10" s="25"/>
      <c r="F10" s="56" t="str">
        <f>+VLOOKUP(PROVEEDORES[[#This Row],[PROVEEDOR]],
                       Terceros!$A:$F,
                       5,
                       FALSE)</f>
        <v/>
      </c>
      <c r="G10" s="68">
        <v>44567</v>
      </c>
      <c r="H10" s="26" t="s">
        <v>374</v>
      </c>
      <c r="I10" s="68">
        <v>44203</v>
      </c>
      <c r="J10" s="35"/>
      <c r="K10" s="21">
        <v>-5180200</v>
      </c>
      <c r="L10" s="21"/>
      <c r="M10" s="22">
        <f>(PROVEEDORES[[#This Row],[SUBTOTAL]]-PROVEEDORES[[#This Row],[descuento sobre subtotal]])*VLOOKUP(PROVEEDORES[[#This Row],[PROVEEDOR]],TERCEROS_INFO[#All],3,FALSE)</f>
        <v>0</v>
      </c>
      <c r="N10" s="23"/>
      <c r="O10" s="22">
        <f>+PROVEEDORES[[#This Row],[Descuento sobre subtotal %]]*(PROVEEDORES[[#This Row],[SUBTOTAL]]-PROVEEDORES[[#This Row],[descuento sobre subtotal]])</f>
        <v>0</v>
      </c>
      <c r="P10" s="74">
        <f>+IF(PROVEEDORES[[#This Row],[SUBTOTAL]]&lt;PROVEEDORES[[#This Row],[base retencion]],0,PROVEEDORES[[#This Row],[retención aplicada]])</f>
        <v>0</v>
      </c>
      <c r="Q10" s="22">
        <f>+PROVEEDORES[[#This Row],[Rete Fuente %]]*(PROVEEDORES[[#This Row],[SUBTOTAL]]-PROVEEDORES[[#This Row],[descuento sobre subtotal]])</f>
        <v>0</v>
      </c>
      <c r="R10" s="21">
        <v>-5180200</v>
      </c>
      <c r="S1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63">
        <f ca="1">IF(PROVEEDORES[[#This Row],[FECHA DE PAGO]]=0,TODAY()-PROVEEDORES[[#This Row],[FECHA DE FACTURACIÓN]]-PROVEEDORES[[#This Row],[PLAZO Días]],0)</f>
        <v>0</v>
      </c>
      <c r="U10" s="87">
        <f>+VLOOKUP(PROVEEDORES[[#This Row],[PROVEEDOR]],Terceros!$A:$D,4,FALSE)</f>
        <v>0</v>
      </c>
      <c r="V10" s="88">
        <f>+YEAR(PROVEEDORES[[#This Row],[FECHA DE FACTURACIÓN]])</f>
        <v>2021</v>
      </c>
      <c r="W10" s="88">
        <f>+MATCH(PROVEEDORES[[#This Row],[año facturado]],Retenciones!$1:$1,0)</f>
        <v>4</v>
      </c>
      <c r="X10" s="89">
        <f>+VLOOKUP(PROVEEDORES[[#This Row],[ID RETENCION]],Retenciones!$A$1:$O$25,PROVEEDORES[[#This Row],[indicador de columna]],FALSE)</f>
        <v>0</v>
      </c>
      <c r="Y10" s="90">
        <f>+VLOOKUP(PROVEEDORES[[#This Row],[ID RETENCION]],Retenciones!$A$1:$O$25,2,FALSE)</f>
        <v>0</v>
      </c>
      <c r="Z10" s="116" t="b">
        <f>OR(COUNTIF(PROVEEDORES[[#This Row],[PROVEEDOR]],"*"&amp;'Palabra no opera'!$A$2&amp;"*"))</f>
        <v>0</v>
      </c>
      <c r="AA10" s="24"/>
      <c r="AB10" s="24"/>
      <c r="AC10" s="24"/>
      <c r="AD10" s="24"/>
      <c r="AE10" s="24"/>
    </row>
    <row r="11" spans="1:31" ht="22.35" customHeight="1" x14ac:dyDescent="0.3">
      <c r="A11" s="61" t="str">
        <f>+IF(PROVEEDORES[[#This Row],[FECHA DE PAGO]]=PROVEEDORES[[#This Row],[FECHA DE FACTURACIÓN]],"DE CONTADO","CRÉDITO")</f>
        <v>CRÉDITO</v>
      </c>
      <c r="B11" s="38" t="b">
        <f>+IF((PROVEEDORES[[#This Row],[FECHA DE PAGO]]-PROVEEDORES[[#This Row],[FECHA DE FACTURACIÓN]])&gt;PROVEEDORES[[#This Row],[PLAZO Días]],"PAGO VENCIDO")</f>
        <v>0</v>
      </c>
      <c r="C11" s="20">
        <f>+VLOOKUP(PROVEEDORES[[#This Row],[PROVEEDOR]],TERCEROS_INFO[#All],2,FALSE)</f>
        <v>90</v>
      </c>
      <c r="D11" s="25">
        <f>+SUMIFS(PROVEEDORES[Total],PROVEEDORES[PROVEEDOR],PROVEEDORES[[#This Row],[PROVEEDOR]],PROVEEDORES[FECHA DE PAGO],"")</f>
        <v>0</v>
      </c>
      <c r="E11" s="25"/>
      <c r="F11" s="56" t="str">
        <f>+VLOOKUP(PROVEEDORES[[#This Row],[PROVEEDOR]],
                       Terceros!$A:$F,
                       5,
                       FALSE)</f>
        <v/>
      </c>
      <c r="G11" s="68">
        <v>44567</v>
      </c>
      <c r="H11" s="26" t="s">
        <v>374</v>
      </c>
      <c r="I11" s="68">
        <v>44561</v>
      </c>
      <c r="J11" s="35"/>
      <c r="K11" s="21">
        <v>-15184000</v>
      </c>
      <c r="L11" s="21"/>
      <c r="M11" s="22">
        <f>(PROVEEDORES[[#This Row],[SUBTOTAL]]-PROVEEDORES[[#This Row],[descuento sobre subtotal]])*VLOOKUP(PROVEEDORES[[#This Row],[PROVEEDOR]],TERCEROS_INFO[#All],3,FALSE)</f>
        <v>0</v>
      </c>
      <c r="N11" s="23"/>
      <c r="O11" s="22">
        <f>+PROVEEDORES[[#This Row],[Descuento sobre subtotal %]]*(PROVEEDORES[[#This Row],[SUBTOTAL]]-PROVEEDORES[[#This Row],[descuento sobre subtotal]])</f>
        <v>0</v>
      </c>
      <c r="P11" s="74">
        <f>+IF(PROVEEDORES[[#This Row],[SUBTOTAL]]&lt;PROVEEDORES[[#This Row],[base retencion]],0,PROVEEDORES[[#This Row],[retención aplicada]])</f>
        <v>0</v>
      </c>
      <c r="Q11" s="22">
        <f>+PROVEEDORES[[#This Row],[Rete Fuente %]]*(PROVEEDORES[[#This Row],[SUBTOTAL]]-PROVEEDORES[[#This Row],[descuento sobre subtotal]])</f>
        <v>0</v>
      </c>
      <c r="R11" s="21">
        <v>-15184000</v>
      </c>
      <c r="S1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63">
        <f ca="1">IF(PROVEEDORES[[#This Row],[FECHA DE PAGO]]=0,TODAY()-PROVEEDORES[[#This Row],[FECHA DE FACTURACIÓN]]-PROVEEDORES[[#This Row],[PLAZO Días]],0)</f>
        <v>0</v>
      </c>
      <c r="U11" s="87">
        <f>+VLOOKUP(PROVEEDORES[[#This Row],[PROVEEDOR]],Terceros!$A:$D,4,FALSE)</f>
        <v>0</v>
      </c>
      <c r="V11" s="88">
        <f>+YEAR(PROVEEDORES[[#This Row],[FECHA DE FACTURACIÓN]])</f>
        <v>2021</v>
      </c>
      <c r="W11" s="88">
        <f>+MATCH(PROVEEDORES[[#This Row],[año facturado]],Retenciones!$1:$1,0)</f>
        <v>4</v>
      </c>
      <c r="X11" s="89">
        <f>+VLOOKUP(PROVEEDORES[[#This Row],[ID RETENCION]],Retenciones!$A$1:$O$25,PROVEEDORES[[#This Row],[indicador de columna]],FALSE)</f>
        <v>0</v>
      </c>
      <c r="Y11" s="90">
        <f>+VLOOKUP(PROVEEDORES[[#This Row],[ID RETENCION]],Retenciones!$A$1:$O$25,2,FALSE)</f>
        <v>0</v>
      </c>
      <c r="Z11" s="116" t="b">
        <f>OR(COUNTIF(PROVEEDORES[[#This Row],[PROVEEDOR]],"*"&amp;'Palabra no opera'!$A$2&amp;"*"))</f>
        <v>0</v>
      </c>
      <c r="AA11" s="24"/>
      <c r="AB11" s="24"/>
      <c r="AC11" s="24"/>
      <c r="AD11" s="24"/>
      <c r="AE11" s="24"/>
    </row>
    <row r="12" spans="1:31" ht="22.35" customHeight="1" x14ac:dyDescent="0.3">
      <c r="A12" s="61" t="str">
        <f>+IF(PROVEEDORES[[#This Row],[FECHA DE PAGO]]=PROVEEDORES[[#This Row],[FECHA DE FACTURACIÓN]],"DE CONTADO","CRÉDITO")</f>
        <v>DE CONTADO</v>
      </c>
      <c r="B12" s="38" t="b">
        <f>+IF((PROVEEDORES[[#This Row],[FECHA DE PAGO]]-PROVEEDORES[[#This Row],[FECHA DE FACTURACIÓN]])&gt;PROVEEDORES[[#This Row],[PLAZO Días]],"PAGO VENCIDO")</f>
        <v>0</v>
      </c>
      <c r="C12" s="20">
        <f>+VLOOKUP(PROVEEDORES[[#This Row],[PROVEEDOR]],TERCEROS_INFO[#All],2,FALSE)</f>
        <v>90</v>
      </c>
      <c r="D12" s="25">
        <f>+SUMIFS(PROVEEDORES[Total],PROVEEDORES[PROVEEDOR],PROVEEDORES[[#This Row],[PROVEEDOR]],PROVEEDORES[FECHA DE PAGO],"")</f>
        <v>0</v>
      </c>
      <c r="E12" s="25"/>
      <c r="F12" s="56" t="str">
        <f>+VLOOKUP(PROVEEDORES[[#This Row],[PROVEEDOR]],
                       Terceros!$A:$F,
                       5,
                       FALSE)</f>
        <v/>
      </c>
      <c r="G12" s="68">
        <v>44567</v>
      </c>
      <c r="H12" s="26" t="s">
        <v>374</v>
      </c>
      <c r="I12" s="68">
        <v>44567</v>
      </c>
      <c r="J12" s="35"/>
      <c r="K12" s="21">
        <v>-6831935</v>
      </c>
      <c r="L12" s="21"/>
      <c r="M12" s="22">
        <f>(PROVEEDORES[[#This Row],[SUBTOTAL]]-PROVEEDORES[[#This Row],[descuento sobre subtotal]])*VLOOKUP(PROVEEDORES[[#This Row],[PROVEEDOR]],TERCEROS_INFO[#All],3,FALSE)</f>
        <v>0</v>
      </c>
      <c r="N12" s="23"/>
      <c r="O12" s="22">
        <f>+PROVEEDORES[[#This Row],[Descuento sobre subtotal %]]*(PROVEEDORES[[#This Row],[SUBTOTAL]]-PROVEEDORES[[#This Row],[descuento sobre subtotal]])</f>
        <v>0</v>
      </c>
      <c r="P12" s="74">
        <f>+IF(PROVEEDORES[[#This Row],[SUBTOTAL]]&lt;PROVEEDORES[[#This Row],[base retencion]],0,PROVEEDORES[[#This Row],[retención aplicada]])</f>
        <v>0</v>
      </c>
      <c r="Q12" s="22">
        <f>+PROVEEDORES[[#This Row],[Rete Fuente %]]*(PROVEEDORES[[#This Row],[SUBTOTAL]]-PROVEEDORES[[#This Row],[descuento sobre subtotal]])</f>
        <v>0</v>
      </c>
      <c r="R12" s="21">
        <v>650282</v>
      </c>
      <c r="S1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63">
        <f ca="1">IF(PROVEEDORES[[#This Row],[FECHA DE PAGO]]=0,TODAY()-PROVEEDORES[[#This Row],[FECHA DE FACTURACIÓN]]-PROVEEDORES[[#This Row],[PLAZO Días]],0)</f>
        <v>0</v>
      </c>
      <c r="U12" s="87">
        <f>+VLOOKUP(PROVEEDORES[[#This Row],[PROVEEDOR]],Terceros!$A:$D,4,FALSE)</f>
        <v>0</v>
      </c>
      <c r="V12" s="88">
        <f>+YEAR(PROVEEDORES[[#This Row],[FECHA DE FACTURACIÓN]])</f>
        <v>2022</v>
      </c>
      <c r="W12" s="88">
        <f>+MATCH(PROVEEDORES[[#This Row],[año facturado]],Retenciones!$1:$1,0)</f>
        <v>5</v>
      </c>
      <c r="X12" s="89">
        <f>+VLOOKUP(PROVEEDORES[[#This Row],[ID RETENCION]],Retenciones!$A$1:$O$25,PROVEEDORES[[#This Row],[indicador de columna]],FALSE)</f>
        <v>0</v>
      </c>
      <c r="Y12" s="90">
        <f>+VLOOKUP(PROVEEDORES[[#This Row],[ID RETENCION]],Retenciones!$A$1:$O$25,2,FALSE)</f>
        <v>0</v>
      </c>
      <c r="Z12" s="116" t="b">
        <f>OR(COUNTIF(PROVEEDORES[[#This Row],[PROVEEDOR]],"*"&amp;'Palabra no opera'!$A$2&amp;"*"))</f>
        <v>0</v>
      </c>
      <c r="AA12" s="24"/>
      <c r="AB12" s="24"/>
      <c r="AC12" s="24"/>
      <c r="AD12" s="24"/>
      <c r="AE12" s="24"/>
    </row>
    <row r="13" spans="1:31" ht="22.35" customHeight="1" x14ac:dyDescent="0.3">
      <c r="A13" s="61" t="str">
        <f>+IF(PROVEEDORES[[#This Row],[FECHA DE PAGO]]=PROVEEDORES[[#This Row],[FECHA DE FACTURACIÓN]],"DE CONTADO","CRÉDITO")</f>
        <v>DE CONTADO</v>
      </c>
      <c r="B13" s="38" t="b">
        <f>+IF((PROVEEDORES[[#This Row],[FECHA DE PAGO]]-PROVEEDORES[[#This Row],[FECHA DE FACTURACIÓN]])&gt;PROVEEDORES[[#This Row],[PLAZO Días]],"PAGO VENCIDO")</f>
        <v>0</v>
      </c>
      <c r="C13" s="20">
        <f>+VLOOKUP(PROVEEDORES[[#This Row],[PROVEEDOR]],TERCEROS_INFO[#All],2,FALSE)</f>
        <v>30</v>
      </c>
      <c r="D13" s="25">
        <f>+SUMIFS(PROVEEDORES[Total],PROVEEDORES[PROVEEDOR],PROVEEDORES[[#This Row],[PROVEEDOR]],PROVEEDORES[FECHA DE PAGO],"")</f>
        <v>0</v>
      </c>
      <c r="E13" s="25"/>
      <c r="F13" s="56" t="str">
        <f>+VLOOKUP(PROVEEDORES[[#This Row],[PROVEEDOR]],
                       Terceros!$A:$F,
                       5,
                       FALSE)</f>
        <v/>
      </c>
      <c r="G13" s="68">
        <v>44567</v>
      </c>
      <c r="H13" s="26" t="s">
        <v>390</v>
      </c>
      <c r="I13" s="68">
        <v>44567</v>
      </c>
      <c r="J13" s="35"/>
      <c r="K13" s="21">
        <v>1000000</v>
      </c>
      <c r="L13" s="21"/>
      <c r="M13" s="22">
        <v>0</v>
      </c>
      <c r="N13" s="23"/>
      <c r="O13" s="22">
        <v>349718</v>
      </c>
      <c r="P13" s="74">
        <f>+IF(PROVEEDORES[[#This Row],[SUBTOTAL]]&lt;PROVEEDORES[[#This Row],[base retencion]],0,PROVEEDORES[[#This Row],[retención aplicada]])</f>
        <v>0</v>
      </c>
      <c r="Q13" s="22">
        <f>+PROVEEDORES[[#This Row],[Rete Fuente %]]*(PROVEEDORES[[#This Row],[SUBTOTAL]]-PROVEEDORES[[#This Row],[descuento sobre subtotal]])</f>
        <v>0</v>
      </c>
      <c r="R13" s="21">
        <v>-6701435</v>
      </c>
      <c r="S1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63">
        <f ca="1">IF(PROVEEDORES[[#This Row],[FECHA DE PAGO]]=0,TODAY()-PROVEEDORES[[#This Row],[FECHA DE FACTURACIÓN]]-PROVEEDORES[[#This Row],[PLAZO Días]],0)</f>
        <v>0</v>
      </c>
      <c r="U13" s="87">
        <f>+VLOOKUP(PROVEEDORES[[#This Row],[PROVEEDOR]],Terceros!$A:$D,4,FALSE)</f>
        <v>0</v>
      </c>
      <c r="V13" s="88">
        <f>+YEAR(PROVEEDORES[[#This Row],[FECHA DE FACTURACIÓN]])</f>
        <v>2022</v>
      </c>
      <c r="W13" s="88">
        <f>+MATCH(PROVEEDORES[[#This Row],[año facturado]],Retenciones!$1:$1,0)</f>
        <v>5</v>
      </c>
      <c r="X13" s="89">
        <f>+VLOOKUP(PROVEEDORES[[#This Row],[ID RETENCION]],Retenciones!$A$1:$O$25,PROVEEDORES[[#This Row],[indicador de columna]],FALSE)</f>
        <v>0</v>
      </c>
      <c r="Y13" s="90">
        <f>+VLOOKUP(PROVEEDORES[[#This Row],[ID RETENCION]],Retenciones!$A$1:$O$25,2,FALSE)</f>
        <v>0</v>
      </c>
      <c r="Z13" s="116" t="b">
        <f>OR(COUNTIF(PROVEEDORES[[#This Row],[PROVEEDOR]],"*"&amp;'Palabra no opera'!$A$2&amp;"*"))</f>
        <v>0</v>
      </c>
      <c r="AA13" s="24"/>
      <c r="AB13" s="24"/>
      <c r="AC13" s="24"/>
      <c r="AD13" s="24"/>
      <c r="AE13" s="24"/>
    </row>
    <row r="14" spans="1:31" ht="22.35" customHeight="1" x14ac:dyDescent="0.3">
      <c r="A14" s="61" t="str">
        <f>+IF(PROVEEDORES[[#This Row],[FECHA DE PAGO]]=PROVEEDORES[[#This Row],[FECHA DE FACTURACIÓN]],"DE CONTADO","CRÉDITO")</f>
        <v>CRÉDITO</v>
      </c>
      <c r="B14" s="38" t="b">
        <f>+IF((PROVEEDORES[[#This Row],[FECHA DE PAGO]]-PROVEEDORES[[#This Row],[FECHA DE FACTURACIÓN]])&gt;PROVEEDORES[[#This Row],[PLAZO Días]],"PAGO VENCIDO")</f>
        <v>0</v>
      </c>
      <c r="C14" s="20">
        <f>+VLOOKUP(PROVEEDORES[[#This Row],[PROVEEDOR]],TERCEROS_INFO[#All],2,FALSE)</f>
        <v>30</v>
      </c>
      <c r="D14" s="25">
        <f>+SUMIFS(PROVEEDORES[Total],PROVEEDORES[PROVEEDOR],PROVEEDORES[[#This Row],[PROVEEDOR]],PROVEEDORES[FECHA DE PAGO],"")</f>
        <v>0</v>
      </c>
      <c r="E14" s="25"/>
      <c r="F14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4" s="68">
        <v>44567</v>
      </c>
      <c r="H14" s="26" t="s">
        <v>967</v>
      </c>
      <c r="I14" s="68">
        <v>44565</v>
      </c>
      <c r="J14" s="35">
        <v>192</v>
      </c>
      <c r="K14" s="21">
        <v>135000</v>
      </c>
      <c r="L14" s="21"/>
      <c r="M14" s="22">
        <f>(PROVEEDORES[[#This Row],[SUBTOTAL]]-PROVEEDORES[[#This Row],[descuento sobre subtotal]])*VLOOKUP(PROVEEDORES[[#This Row],[PROVEEDOR]],TERCEROS_INFO[#All],3,FALSE)</f>
        <v>0</v>
      </c>
      <c r="N14" s="23"/>
      <c r="O14" s="22">
        <f>+PROVEEDORES[[#This Row],[Descuento sobre subtotal %]]*(PROVEEDORES[[#This Row],[SUBTOTAL]]-PROVEEDORES[[#This Row],[descuento sobre subtotal]])</f>
        <v>0</v>
      </c>
      <c r="P14" s="74">
        <f>+IF(PROVEEDORES[[#This Row],[SUBTOTAL]]&lt;PROVEEDORES[[#This Row],[base retencion]],0,PROVEEDORES[[#This Row],[retención aplicada]])</f>
        <v>0</v>
      </c>
      <c r="Q14" s="22">
        <f>+PROVEEDORES[[#This Row],[Rete Fuente %]]*(PROVEEDORES[[#This Row],[SUBTOTAL]]-PROVEEDORES[[#This Row],[descuento sobre subtotal]])</f>
        <v>0</v>
      </c>
      <c r="R14" s="21">
        <v>135000</v>
      </c>
      <c r="S1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63">
        <f ca="1">IF(PROVEEDORES[[#This Row],[FECHA DE PAGO]]=0,TODAY()-PROVEEDORES[[#This Row],[FECHA DE FACTURACIÓN]]-PROVEEDORES[[#This Row],[PLAZO Días]],0)</f>
        <v>0</v>
      </c>
      <c r="U14" s="87" t="str">
        <f>+VLOOKUP(PROVEEDORES[[#This Row],[PROVEEDOR]],Terceros!$A:$D,4,FALSE)</f>
        <v>1% con base</v>
      </c>
      <c r="V14" s="88">
        <f>+YEAR(PROVEEDORES[[#This Row],[FECHA DE FACTURACIÓN]])</f>
        <v>2022</v>
      </c>
      <c r="W14" s="88">
        <f>+MATCH(PROVEEDORES[[#This Row],[año facturado]],Retenciones!$1:$1,0)</f>
        <v>5</v>
      </c>
      <c r="X14" s="89">
        <f>+VLOOKUP(PROVEEDORES[[#This Row],[ID RETENCION]],Retenciones!$A$1:$O$25,PROVEEDORES[[#This Row],[indicador de columna]],FALSE)</f>
        <v>152000</v>
      </c>
      <c r="Y14" s="90">
        <f>+VLOOKUP(PROVEEDORES[[#This Row],[ID RETENCION]],Retenciones!$A$1:$O$25,2,FALSE)</f>
        <v>0.01</v>
      </c>
      <c r="Z14" s="116" t="b">
        <f>OR(COUNTIF(PROVEEDORES[[#This Row],[PROVEEDOR]],"*"&amp;'Palabra no opera'!$A$2&amp;"*"))</f>
        <v>0</v>
      </c>
      <c r="AA14" s="24"/>
      <c r="AB14" s="24"/>
      <c r="AC14" s="24"/>
      <c r="AD14" s="24"/>
      <c r="AE14" s="24"/>
    </row>
    <row r="15" spans="1:31" ht="22.35" customHeight="1" x14ac:dyDescent="0.3">
      <c r="A15" s="61" t="str">
        <f>+IF(PROVEEDORES[[#This Row],[FECHA DE PAGO]]=PROVEEDORES[[#This Row],[FECHA DE FACTURACIÓN]],"DE CONTADO","CRÉDITO")</f>
        <v>DE CONTADO</v>
      </c>
      <c r="B15" s="38" t="b">
        <f>+IF((PROVEEDORES[[#This Row],[FECHA DE PAGO]]-PROVEEDORES[[#This Row],[FECHA DE FACTURACIÓN]])&gt;PROVEEDORES[[#This Row],[PLAZO Días]],"PAGO VENCIDO")</f>
        <v>0</v>
      </c>
      <c r="C15" s="20">
        <f>+VLOOKUP(PROVEEDORES[[#This Row],[PROVEEDOR]],TERCEROS_INFO[#All],2,FALSE)</f>
        <v>30</v>
      </c>
      <c r="D15" s="25">
        <f>+SUMIFS(PROVEEDORES[Total],PROVEEDORES[PROVEEDOR],PROVEEDORES[[#This Row],[PROVEEDOR]],PROVEEDORES[FECHA DE PAGO],"")</f>
        <v>0</v>
      </c>
      <c r="E15" s="25"/>
      <c r="F1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5" s="68">
        <v>44567</v>
      </c>
      <c r="H15" s="26" t="s">
        <v>967</v>
      </c>
      <c r="I15" s="68">
        <v>44567</v>
      </c>
      <c r="J15" s="35" t="s">
        <v>323</v>
      </c>
      <c r="K15" s="21">
        <v>-135000</v>
      </c>
      <c r="L15" s="21"/>
      <c r="M15" s="22">
        <f>(PROVEEDORES[[#This Row],[SUBTOTAL]]-PROVEEDORES[[#This Row],[descuento sobre subtotal]])*VLOOKUP(PROVEEDORES[[#This Row],[PROVEEDOR]],TERCEROS_INFO[#All],3,FALSE)</f>
        <v>0</v>
      </c>
      <c r="N15" s="23"/>
      <c r="O15" s="22">
        <f>+PROVEEDORES[[#This Row],[Descuento sobre subtotal %]]*(PROVEEDORES[[#This Row],[SUBTOTAL]]-PROVEEDORES[[#This Row],[descuento sobre subtotal]])</f>
        <v>0</v>
      </c>
      <c r="P15" s="74">
        <f>+IF(PROVEEDORES[[#This Row],[SUBTOTAL]]&lt;PROVEEDORES[[#This Row],[base retencion]],0,PROVEEDORES[[#This Row],[retención aplicada]])</f>
        <v>0</v>
      </c>
      <c r="Q15" s="22">
        <f>+PROVEEDORES[[#This Row],[Rete Fuente %]]*(PROVEEDORES[[#This Row],[SUBTOTAL]]-PROVEEDORES[[#This Row],[descuento sobre subtotal]])</f>
        <v>0</v>
      </c>
      <c r="R15" s="21">
        <v>-135000</v>
      </c>
      <c r="S1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63">
        <f ca="1">IF(PROVEEDORES[[#This Row],[FECHA DE PAGO]]=0,TODAY()-PROVEEDORES[[#This Row],[FECHA DE FACTURACIÓN]]-PROVEEDORES[[#This Row],[PLAZO Días]],0)</f>
        <v>0</v>
      </c>
      <c r="U15" s="87" t="str">
        <f>+VLOOKUP(PROVEEDORES[[#This Row],[PROVEEDOR]],Terceros!$A:$D,4,FALSE)</f>
        <v>1% con base</v>
      </c>
      <c r="V15" s="88">
        <f>+YEAR(PROVEEDORES[[#This Row],[FECHA DE FACTURACIÓN]])</f>
        <v>2022</v>
      </c>
      <c r="W15" s="88">
        <f>+MATCH(PROVEEDORES[[#This Row],[año facturado]],Retenciones!$1:$1,0)</f>
        <v>5</v>
      </c>
      <c r="X15" s="89">
        <f>+VLOOKUP(PROVEEDORES[[#This Row],[ID RETENCION]],Retenciones!$A$1:$O$25,PROVEEDORES[[#This Row],[indicador de columna]],FALSE)</f>
        <v>152000</v>
      </c>
      <c r="Y15" s="90">
        <f>+VLOOKUP(PROVEEDORES[[#This Row],[ID RETENCION]],Retenciones!$A$1:$O$25,2,FALSE)</f>
        <v>0.01</v>
      </c>
      <c r="Z15" s="116" t="b">
        <f>OR(COUNTIF(PROVEEDORES[[#This Row],[PROVEEDOR]],"*"&amp;'Palabra no opera'!$A$2&amp;"*"))</f>
        <v>0</v>
      </c>
      <c r="AA15" s="24"/>
      <c r="AB15" s="24"/>
      <c r="AC15" s="24"/>
      <c r="AD15" s="24"/>
      <c r="AE15" s="24"/>
    </row>
    <row r="16" spans="1:31" ht="22.35" customHeight="1" x14ac:dyDescent="0.3">
      <c r="A16" s="61" t="str">
        <f>+IF(PROVEEDORES[[#This Row],[FECHA DE PAGO]]=PROVEEDORES[[#This Row],[FECHA DE FACTURACIÓN]],"DE CONTADO","CRÉDITO")</f>
        <v>CRÉDITO</v>
      </c>
      <c r="B16" s="38" t="str">
        <f>+IF((PROVEEDORES[[#This Row],[FECHA DE PAGO]]-PROVEEDORES[[#This Row],[FECHA DE FACTURACIÓN]])&gt;PROVEEDORES[[#This Row],[PLAZO Días]],"PAGO VENCIDO")</f>
        <v>PAGO VENCIDO</v>
      </c>
      <c r="C16" s="20">
        <f>+VLOOKUP(PROVEEDORES[[#This Row],[PROVEEDOR]],TERCEROS_INFO[#All],2,FALSE)</f>
        <v>30</v>
      </c>
      <c r="D16" s="25">
        <f>+SUMIFS(PROVEEDORES[Total],PROVEEDORES[PROVEEDOR],PROVEEDORES[[#This Row],[PROVEEDOR]],PROVEEDORES[FECHA DE PAGO],"")</f>
        <v>0</v>
      </c>
      <c r="E16" s="25"/>
      <c r="F16" s="56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16" s="68">
        <v>44568</v>
      </c>
      <c r="H16" s="26" t="s">
        <v>341</v>
      </c>
      <c r="I16" s="68">
        <v>44525</v>
      </c>
      <c r="J16" s="35" t="s">
        <v>973</v>
      </c>
      <c r="K16" s="21">
        <v>990000</v>
      </c>
      <c r="L16" s="21"/>
      <c r="M16" s="22">
        <f>(PROVEEDORES[[#This Row],[SUBTOTAL]]-PROVEEDORES[[#This Row],[descuento sobre subtotal]])*VLOOKUP(PROVEEDORES[[#This Row],[PROVEEDOR]],TERCEROS_INFO[#All],3,FALSE)</f>
        <v>0</v>
      </c>
      <c r="N16" s="23"/>
      <c r="O16" s="22">
        <f>+PROVEEDORES[[#This Row],[Descuento sobre subtotal %]]*(PROVEEDORES[[#This Row],[SUBTOTAL]]-PROVEEDORES[[#This Row],[descuento sobre subtotal]])</f>
        <v>0</v>
      </c>
      <c r="P16" s="74">
        <f>+IF(PROVEEDORES[[#This Row],[SUBTOTAL]]&lt;PROVEEDORES[[#This Row],[base retencion]],0,PROVEEDORES[[#This Row],[retención aplicada]])</f>
        <v>0</v>
      </c>
      <c r="Q16" s="22">
        <f>+PROVEEDORES[[#This Row],[Rete Fuente %]]*(PROVEEDORES[[#This Row],[SUBTOTAL]]-PROVEEDORES[[#This Row],[descuento sobre subtotal]])</f>
        <v>0</v>
      </c>
      <c r="R16" s="21">
        <v>990000</v>
      </c>
      <c r="S1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63">
        <f ca="1">IF(PROVEEDORES[[#This Row],[FECHA DE PAGO]]=0,TODAY()-PROVEEDORES[[#This Row],[FECHA DE FACTURACIÓN]]-PROVEEDORES[[#This Row],[PLAZO Días]],0)</f>
        <v>0</v>
      </c>
      <c r="U16" s="87">
        <f>+VLOOKUP(PROVEEDORES[[#This Row],[PROVEEDOR]],Terceros!$A:$D,4,FALSE)</f>
        <v>0</v>
      </c>
      <c r="V16" s="88">
        <f>+YEAR(PROVEEDORES[[#This Row],[FECHA DE FACTURACIÓN]])</f>
        <v>2021</v>
      </c>
      <c r="W16" s="88">
        <f>+MATCH(PROVEEDORES[[#This Row],[año facturado]],Retenciones!$1:$1,0)</f>
        <v>4</v>
      </c>
      <c r="X16" s="89">
        <f>+VLOOKUP(PROVEEDORES[[#This Row],[ID RETENCION]],Retenciones!$A$1:$O$25,PROVEEDORES[[#This Row],[indicador de columna]],FALSE)</f>
        <v>0</v>
      </c>
      <c r="Y16" s="90">
        <f>+VLOOKUP(PROVEEDORES[[#This Row],[ID RETENCION]],Retenciones!$A$1:$O$25,2,FALSE)</f>
        <v>0</v>
      </c>
      <c r="Z16" s="116" t="b">
        <f>OR(COUNTIF(PROVEEDORES[[#This Row],[PROVEEDOR]],"*"&amp;'Palabra no opera'!$A$2&amp;"*"))</f>
        <v>0</v>
      </c>
      <c r="AA16" s="24"/>
      <c r="AB16" s="24"/>
      <c r="AC16" s="24"/>
      <c r="AD16" s="24"/>
      <c r="AE16" s="24"/>
    </row>
    <row r="17" spans="1:31" ht="22.35" customHeight="1" x14ac:dyDescent="0.3">
      <c r="A17" s="61" t="str">
        <f>+IF(PROVEEDORES[[#This Row],[FECHA DE PAGO]]=PROVEEDORES[[#This Row],[FECHA DE FACTURACIÓN]],"DE CONTADO","CRÉDITO")</f>
        <v>CRÉDITO</v>
      </c>
      <c r="B17" s="38" t="b">
        <f>+IF((PROVEEDORES[[#This Row],[FECHA DE PAGO]]-PROVEEDORES[[#This Row],[FECHA DE FACTURACIÓN]])&gt;PROVEEDORES[[#This Row],[PLAZO Días]],"PAGO VENCIDO")</f>
        <v>0</v>
      </c>
      <c r="C17" s="20">
        <f>+VLOOKUP(PROVEEDORES[[#This Row],[PROVEEDOR]],TERCEROS_INFO[#All],2,FALSE)</f>
        <v>30</v>
      </c>
      <c r="D17" s="25">
        <f>+SUMIFS(PROVEEDORES[Total],PROVEEDORES[PROVEEDOR],PROVEEDORES[[#This Row],[PROVEEDOR]],PROVEEDORES[FECHA DE PAGO],"")</f>
        <v>0</v>
      </c>
      <c r="E17" s="25"/>
      <c r="F17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7" s="68">
        <v>44568</v>
      </c>
      <c r="H17" s="26" t="s">
        <v>966</v>
      </c>
      <c r="I17" s="68">
        <v>44565</v>
      </c>
      <c r="J17" s="35">
        <v>319</v>
      </c>
      <c r="K17" s="21">
        <v>176000</v>
      </c>
      <c r="L17" s="21"/>
      <c r="M17" s="22">
        <f>(PROVEEDORES[[#This Row],[SUBTOTAL]]-PROVEEDORES[[#This Row],[descuento sobre subtotal]])*VLOOKUP(PROVEEDORES[[#This Row],[PROVEEDOR]],TERCEROS_INFO[#All],3,FALSE)</f>
        <v>0</v>
      </c>
      <c r="N17" s="23"/>
      <c r="O17" s="22">
        <f>+PROVEEDORES[[#This Row],[Descuento sobre subtotal %]]*(PROVEEDORES[[#This Row],[SUBTOTAL]]-PROVEEDORES[[#This Row],[descuento sobre subtotal]])</f>
        <v>0</v>
      </c>
      <c r="P17" s="74">
        <f>+IF(PROVEEDORES[[#This Row],[SUBTOTAL]]&lt;PROVEEDORES[[#This Row],[base retencion]],0,PROVEEDORES[[#This Row],[retención aplicada]])</f>
        <v>0</v>
      </c>
      <c r="Q17" s="22">
        <f>+PROVEEDORES[[#This Row],[Rete Fuente %]]*(PROVEEDORES[[#This Row],[SUBTOTAL]]-PROVEEDORES[[#This Row],[descuento sobre subtotal]])</f>
        <v>0</v>
      </c>
      <c r="R17" s="21">
        <v>125783.79000000001</v>
      </c>
      <c r="S1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63">
        <f ca="1">IF(PROVEEDORES[[#This Row],[FECHA DE PAGO]]=0,TODAY()-PROVEEDORES[[#This Row],[FECHA DE FACTURACIÓN]]-PROVEEDORES[[#This Row],[PLAZO Días]],0)</f>
        <v>0</v>
      </c>
      <c r="U17" s="87">
        <f>+VLOOKUP(PROVEEDORES[[#This Row],[PROVEEDOR]],Terceros!$A:$D,4,FALSE)</f>
        <v>0</v>
      </c>
      <c r="V17" s="88">
        <f>+YEAR(PROVEEDORES[[#This Row],[FECHA DE FACTURACIÓN]])</f>
        <v>2022</v>
      </c>
      <c r="W17" s="88">
        <f>+MATCH(PROVEEDORES[[#This Row],[año facturado]],Retenciones!$1:$1,0)</f>
        <v>5</v>
      </c>
      <c r="X17" s="89">
        <f>+VLOOKUP(PROVEEDORES[[#This Row],[ID RETENCION]],Retenciones!$A$1:$O$25,PROVEEDORES[[#This Row],[indicador de columna]],FALSE)</f>
        <v>0</v>
      </c>
      <c r="Y17" s="90">
        <f>+VLOOKUP(PROVEEDORES[[#This Row],[ID RETENCION]],Retenciones!$A$1:$O$25,2,FALSE)</f>
        <v>0</v>
      </c>
      <c r="Z17" s="116" t="b">
        <f>OR(COUNTIF(PROVEEDORES[[#This Row],[PROVEEDOR]],"*"&amp;'Palabra no opera'!$A$2&amp;"*"))</f>
        <v>0</v>
      </c>
      <c r="AA17" s="24"/>
      <c r="AB17" s="24"/>
      <c r="AC17" s="24"/>
      <c r="AD17" s="24"/>
      <c r="AE17" s="24"/>
    </row>
    <row r="18" spans="1:31" ht="22.35" customHeight="1" x14ac:dyDescent="0.3">
      <c r="A18" s="61" t="str">
        <f>+IF(PROVEEDORES[[#This Row],[FECHA DE PAGO]]=PROVEEDORES[[#This Row],[FECHA DE FACTURACIÓN]],"DE CONTADO","CRÉDITO")</f>
        <v>CRÉDITO</v>
      </c>
      <c r="B18" s="38" t="b">
        <f>+IF((PROVEEDORES[[#This Row],[FECHA DE PAGO]]-PROVEEDORES[[#This Row],[FECHA DE FACTURACIÓN]])&gt;PROVEEDORES[[#This Row],[PLAZO Días]],"PAGO VENCIDO")</f>
        <v>0</v>
      </c>
      <c r="C18" s="20">
        <f>+VLOOKUP(PROVEEDORES[[#This Row],[PROVEEDOR]],TERCEROS_INFO[#All],2,FALSE)</f>
        <v>30</v>
      </c>
      <c r="D18" s="25">
        <f>+SUMIFS(PROVEEDORES[Total],PROVEEDORES[PROVEEDOR],PROVEEDORES[[#This Row],[PROVEEDOR]],PROVEEDORES[FECHA DE PAGO],"")</f>
        <v>0</v>
      </c>
      <c r="E18" s="25"/>
      <c r="F18" s="56" t="str">
        <f>+VLOOKUP(PROVEEDORES[[#This Row],[PROVEEDOR]],
                       Terceros!$A:$F,
                       5,
                       FALSE)</f>
        <v/>
      </c>
      <c r="G18" s="68">
        <v>44568</v>
      </c>
      <c r="H18" s="26" t="s">
        <v>397</v>
      </c>
      <c r="I18" s="68">
        <v>44566</v>
      </c>
      <c r="J18" s="35"/>
      <c r="K18" s="21">
        <v>1411500</v>
      </c>
      <c r="L18" s="21"/>
      <c r="M18" s="22">
        <v>0</v>
      </c>
      <c r="N18" s="23"/>
      <c r="O18" s="22">
        <v>0</v>
      </c>
      <c r="P18" s="74">
        <f>+IF(PROVEEDORES[[#This Row],[SUBTOTAL]]&lt;PROVEEDORES[[#This Row],[base retencion]],0,PROVEEDORES[[#This Row],[retención aplicada]])</f>
        <v>0</v>
      </c>
      <c r="Q18" s="22">
        <f>+PROVEEDORES[[#This Row],[Rete Fuente %]]*(PROVEEDORES[[#This Row],[SUBTOTAL]]-PROVEEDORES[[#This Row],[descuento sobre subtotal]])</f>
        <v>0</v>
      </c>
      <c r="R18" s="21">
        <v>1411500</v>
      </c>
      <c r="S1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63">
        <f ca="1">IF(PROVEEDORES[[#This Row],[FECHA DE PAGO]]=0,TODAY()-PROVEEDORES[[#This Row],[FECHA DE FACTURACIÓN]]-PROVEEDORES[[#This Row],[PLAZO Días]],0)</f>
        <v>0</v>
      </c>
      <c r="U18" s="87">
        <f>+VLOOKUP(PROVEEDORES[[#This Row],[PROVEEDOR]],Terceros!$A:$D,4,FALSE)</f>
        <v>0</v>
      </c>
      <c r="V18" s="88">
        <f>+YEAR(PROVEEDORES[[#This Row],[FECHA DE FACTURACIÓN]])</f>
        <v>2022</v>
      </c>
      <c r="W18" s="88">
        <f>+MATCH(PROVEEDORES[[#This Row],[año facturado]],Retenciones!$1:$1,0)</f>
        <v>5</v>
      </c>
      <c r="X18" s="89">
        <f>+VLOOKUP(PROVEEDORES[[#This Row],[ID RETENCION]],Retenciones!$A$1:$O$25,PROVEEDORES[[#This Row],[indicador de columna]],FALSE)</f>
        <v>0</v>
      </c>
      <c r="Y18" s="90">
        <f>+VLOOKUP(PROVEEDORES[[#This Row],[ID RETENCION]],Retenciones!$A$1:$O$25,2,FALSE)</f>
        <v>0</v>
      </c>
      <c r="Z18" s="116" t="b">
        <f>OR(COUNTIF(PROVEEDORES[[#This Row],[PROVEEDOR]],"*"&amp;'Palabra no opera'!$A$2&amp;"*"))</f>
        <v>0</v>
      </c>
      <c r="AA18" s="24"/>
      <c r="AB18" s="24"/>
      <c r="AC18" s="24"/>
      <c r="AD18" s="24"/>
      <c r="AE18" s="24"/>
    </row>
    <row r="19" spans="1:31" ht="22.35" customHeight="1" x14ac:dyDescent="0.3">
      <c r="A19" s="61" t="str">
        <f>+IF(PROVEEDORES[[#This Row],[FECHA DE PAGO]]=PROVEEDORES[[#This Row],[FECHA DE FACTURACIÓN]],"DE CONTADO","CRÉDITO")</f>
        <v>CRÉDITO</v>
      </c>
      <c r="B19" s="38" t="str">
        <f>+IF((PROVEEDORES[[#This Row],[FECHA DE PAGO]]-PROVEEDORES[[#This Row],[FECHA DE FACTURACIÓN]])&gt;PROVEEDORES[[#This Row],[PLAZO Días]],"PAGO VENCIDO")</f>
        <v>PAGO VENCIDO</v>
      </c>
      <c r="C19" s="20">
        <f>+VLOOKUP(PROVEEDORES[[#This Row],[PROVEEDOR]],TERCEROS_INFO[#All],2,FALSE)</f>
        <v>30</v>
      </c>
      <c r="D19" s="25">
        <f>+SUMIFS(PROVEEDORES[Total],PROVEEDORES[PROVEEDOR],PROVEEDORES[[#This Row],[PROVEEDOR]],PROVEEDORES[FECHA DE PAGO],"")</f>
        <v>0</v>
      </c>
      <c r="E19" s="25"/>
      <c r="F19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9" s="68">
        <v>44568</v>
      </c>
      <c r="H19" s="26" t="s">
        <v>400</v>
      </c>
      <c r="I19" s="68">
        <v>44529</v>
      </c>
      <c r="J19" s="35" t="s">
        <v>884</v>
      </c>
      <c r="K19" s="21">
        <v>1678000</v>
      </c>
      <c r="L19" s="21"/>
      <c r="M19" s="22">
        <v>0</v>
      </c>
      <c r="N19" s="23"/>
      <c r="O19" s="22">
        <v>0</v>
      </c>
      <c r="P19" s="74">
        <f>+IF(PROVEEDORES[[#This Row],[SUBTOTAL]]&lt;PROVEEDORES[[#This Row],[base retencion]],0,PROVEEDORES[[#This Row],[retención aplicada]])</f>
        <v>0</v>
      </c>
      <c r="Q19" s="22">
        <f>+PROVEEDORES[[#This Row],[Rete Fuente %]]*(PROVEEDORES[[#This Row],[SUBTOTAL]]-PROVEEDORES[[#This Row],[descuento sobre subtotal]])</f>
        <v>0</v>
      </c>
      <c r="R19" s="21">
        <v>1678000</v>
      </c>
      <c r="S1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63">
        <f ca="1">IF(PROVEEDORES[[#This Row],[FECHA DE PAGO]]=0,TODAY()-PROVEEDORES[[#This Row],[FECHA DE FACTURACIÓN]]-PROVEEDORES[[#This Row],[PLAZO Días]],0)</f>
        <v>0</v>
      </c>
      <c r="U19" s="87">
        <f>+VLOOKUP(PROVEEDORES[[#This Row],[PROVEEDOR]],Terceros!$A:$D,4,FALSE)</f>
        <v>0</v>
      </c>
      <c r="V19" s="88">
        <f>+YEAR(PROVEEDORES[[#This Row],[FECHA DE FACTURACIÓN]])</f>
        <v>2021</v>
      </c>
      <c r="W19" s="88">
        <f>+MATCH(PROVEEDORES[[#This Row],[año facturado]],Retenciones!$1:$1,0)</f>
        <v>4</v>
      </c>
      <c r="X19" s="89">
        <f>+VLOOKUP(PROVEEDORES[[#This Row],[ID RETENCION]],Retenciones!$A$1:$O$25,PROVEEDORES[[#This Row],[indicador de columna]],FALSE)</f>
        <v>0</v>
      </c>
      <c r="Y19" s="90">
        <f>+VLOOKUP(PROVEEDORES[[#This Row],[ID RETENCION]],Retenciones!$A$1:$O$25,2,FALSE)</f>
        <v>0</v>
      </c>
      <c r="Z19" s="116" t="b">
        <f>OR(COUNTIF(PROVEEDORES[[#This Row],[PROVEEDOR]],"*"&amp;'Palabra no opera'!$A$2&amp;"*"))</f>
        <v>0</v>
      </c>
      <c r="AA19" s="24"/>
      <c r="AB19" s="24"/>
      <c r="AC19" s="24"/>
      <c r="AD19" s="24"/>
      <c r="AE19" s="24"/>
    </row>
    <row r="20" spans="1:31" ht="22.35" customHeight="1" x14ac:dyDescent="0.3">
      <c r="A20" s="61" t="str">
        <f>+IF(PROVEEDORES[[#This Row],[FECHA DE PAGO]]=PROVEEDORES[[#This Row],[FECHA DE FACTURACIÓN]],"DE CONTADO","CRÉDITO")</f>
        <v>CRÉDITO</v>
      </c>
      <c r="B20" s="38" t="str">
        <f>+IF((PROVEEDORES[[#This Row],[FECHA DE PAGO]]-PROVEEDORES[[#This Row],[FECHA DE FACTURACIÓN]])&gt;PROVEEDORES[[#This Row],[PLAZO Días]],"PAGO VENCIDO")</f>
        <v>PAGO VENCIDO</v>
      </c>
      <c r="C20" s="20">
        <f>+VLOOKUP(PROVEEDORES[[#This Row],[PROVEEDOR]],TERCEROS_INFO[#All],2,FALSE)</f>
        <v>30</v>
      </c>
      <c r="D20" s="25">
        <f>+SUMIFS(PROVEEDORES[Total],PROVEEDORES[PROVEEDOR],PROVEEDORES[[#This Row],[PROVEEDOR]],PROVEEDORES[FECHA DE PAGO],"")</f>
        <v>680000</v>
      </c>
      <c r="E20" s="25"/>
      <c r="F20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" s="68">
        <v>44568</v>
      </c>
      <c r="H20" s="26" t="s">
        <v>412</v>
      </c>
      <c r="I20" s="68">
        <v>44511</v>
      </c>
      <c r="J20" s="35" t="s">
        <v>970</v>
      </c>
      <c r="K20" s="21">
        <v>942000</v>
      </c>
      <c r="L20" s="21"/>
      <c r="M20" s="22">
        <v>0</v>
      </c>
      <c r="N20" s="23"/>
      <c r="O20" s="22">
        <v>0</v>
      </c>
      <c r="P20" s="74">
        <f>+IF(PROVEEDORES[[#This Row],[SUBTOTAL]]&lt;PROVEEDORES[[#This Row],[base retencion]],0,PROVEEDORES[[#This Row],[retención aplicada]])</f>
        <v>0</v>
      </c>
      <c r="Q20" s="22">
        <f>+PROVEEDORES[[#This Row],[Rete Fuente %]]*(PROVEEDORES[[#This Row],[SUBTOTAL]]-PROVEEDORES[[#This Row],[descuento sobre subtotal]])</f>
        <v>0</v>
      </c>
      <c r="R20" s="21">
        <v>942000</v>
      </c>
      <c r="S2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63">
        <f ca="1">IF(PROVEEDORES[[#This Row],[FECHA DE PAGO]]=0,TODAY()-PROVEEDORES[[#This Row],[FECHA DE FACTURACIÓN]]-PROVEEDORES[[#This Row],[PLAZO Días]],0)</f>
        <v>0</v>
      </c>
      <c r="U20" s="87">
        <f>+VLOOKUP(PROVEEDORES[[#This Row],[PROVEEDOR]],Terceros!$A:$D,4,FALSE)</f>
        <v>0</v>
      </c>
      <c r="V20" s="88">
        <f>+YEAR(PROVEEDORES[[#This Row],[FECHA DE FACTURACIÓN]])</f>
        <v>2021</v>
      </c>
      <c r="W20" s="88">
        <f>+MATCH(PROVEEDORES[[#This Row],[año facturado]],Retenciones!$1:$1,0)</f>
        <v>4</v>
      </c>
      <c r="X20" s="89">
        <f>+VLOOKUP(PROVEEDORES[[#This Row],[ID RETENCION]],Retenciones!$A$1:$O$25,PROVEEDORES[[#This Row],[indicador de columna]],FALSE)</f>
        <v>0</v>
      </c>
      <c r="Y20" s="90">
        <f>+VLOOKUP(PROVEEDORES[[#This Row],[ID RETENCION]],Retenciones!$A$1:$O$25,2,FALSE)</f>
        <v>0</v>
      </c>
      <c r="Z20" s="116" t="b">
        <f>OR(COUNTIF(PROVEEDORES[[#This Row],[PROVEEDOR]],"*"&amp;'Palabra no opera'!$A$2&amp;"*"))</f>
        <v>0</v>
      </c>
      <c r="AA20" s="24"/>
      <c r="AB20" s="24"/>
      <c r="AC20" s="24"/>
      <c r="AD20" s="24"/>
      <c r="AE20" s="24"/>
    </row>
    <row r="21" spans="1:31" ht="22.35" customHeight="1" x14ac:dyDescent="0.3">
      <c r="A21" s="61" t="str">
        <f>+IF(PROVEEDORES[[#This Row],[FECHA DE PAGO]]=PROVEEDORES[[#This Row],[FECHA DE FACTURACIÓN]],"DE CONTADO","CRÉDITO")</f>
        <v>CRÉDITO</v>
      </c>
      <c r="B21" s="38" t="str">
        <f>+IF((PROVEEDORES[[#This Row],[FECHA DE PAGO]]-PROVEEDORES[[#This Row],[FECHA DE FACTURACIÓN]])&gt;PROVEEDORES[[#This Row],[PLAZO Días]],"PAGO VENCIDO")</f>
        <v>PAGO VENCIDO</v>
      </c>
      <c r="C21" s="20">
        <f>+VLOOKUP(PROVEEDORES[[#This Row],[PROVEEDOR]],TERCEROS_INFO[#All],2,FALSE)</f>
        <v>30</v>
      </c>
      <c r="D21" s="25">
        <f>+SUMIFS(PROVEEDORES[Total],PROVEEDORES[PROVEEDOR],PROVEEDORES[[#This Row],[PROVEEDOR]],PROVEEDORES[FECHA DE PAGO],"")</f>
        <v>680000</v>
      </c>
      <c r="E21" s="25"/>
      <c r="F21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" s="68">
        <v>44568</v>
      </c>
      <c r="H21" s="26" t="s">
        <v>412</v>
      </c>
      <c r="I21" s="68">
        <v>44529</v>
      </c>
      <c r="J21" s="35" t="s">
        <v>974</v>
      </c>
      <c r="K21" s="21">
        <v>56250</v>
      </c>
      <c r="L21" s="21"/>
      <c r="M21" s="22">
        <v>0</v>
      </c>
      <c r="N21" s="23"/>
      <c r="O21" s="22">
        <v>0</v>
      </c>
      <c r="P21" s="74">
        <f>+IF(PROVEEDORES[[#This Row],[SUBTOTAL]]&lt;PROVEEDORES[[#This Row],[base retencion]],0,PROVEEDORES[[#This Row],[retención aplicada]])</f>
        <v>0</v>
      </c>
      <c r="Q21" s="22">
        <f>+PROVEEDORES[[#This Row],[Rete Fuente %]]*(PROVEEDORES[[#This Row],[SUBTOTAL]]-PROVEEDORES[[#This Row],[descuento sobre subtotal]])</f>
        <v>0</v>
      </c>
      <c r="R21" s="21">
        <v>56250</v>
      </c>
      <c r="S2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63">
        <f ca="1">IF(PROVEEDORES[[#This Row],[FECHA DE PAGO]]=0,TODAY()-PROVEEDORES[[#This Row],[FECHA DE FACTURACIÓN]]-PROVEEDORES[[#This Row],[PLAZO Días]],0)</f>
        <v>0</v>
      </c>
      <c r="U21" s="87">
        <f>+VLOOKUP(PROVEEDORES[[#This Row],[PROVEEDOR]],Terceros!$A:$D,4,FALSE)</f>
        <v>0</v>
      </c>
      <c r="V21" s="88">
        <f>+YEAR(PROVEEDORES[[#This Row],[FECHA DE FACTURACIÓN]])</f>
        <v>2021</v>
      </c>
      <c r="W21" s="88">
        <f>+MATCH(PROVEEDORES[[#This Row],[año facturado]],Retenciones!$1:$1,0)</f>
        <v>4</v>
      </c>
      <c r="X21" s="89">
        <f>+VLOOKUP(PROVEEDORES[[#This Row],[ID RETENCION]],Retenciones!$A$1:$O$25,PROVEEDORES[[#This Row],[indicador de columna]],FALSE)</f>
        <v>0</v>
      </c>
      <c r="Y21" s="90">
        <f>+VLOOKUP(PROVEEDORES[[#This Row],[ID RETENCION]],Retenciones!$A$1:$O$25,2,FALSE)</f>
        <v>0</v>
      </c>
      <c r="Z21" s="116" t="b">
        <f>OR(COUNTIF(PROVEEDORES[[#This Row],[PROVEEDOR]],"*"&amp;'Palabra no opera'!$A$2&amp;"*"))</f>
        <v>0</v>
      </c>
      <c r="AA21" s="24"/>
      <c r="AB21" s="24"/>
      <c r="AC21" s="24"/>
      <c r="AD21" s="24"/>
      <c r="AE21" s="24"/>
    </row>
    <row r="22" spans="1:31" ht="22.35" customHeight="1" x14ac:dyDescent="0.3">
      <c r="A22" s="61" t="str">
        <f>+IF(PROVEEDORES[[#This Row],[FECHA DE PAGO]]=PROVEEDORES[[#This Row],[FECHA DE FACTURACIÓN]],"DE CONTADO","CRÉDITO")</f>
        <v>CRÉDITO</v>
      </c>
      <c r="B22" s="38" t="str">
        <f>+IF((PROVEEDORES[[#This Row],[FECHA DE PAGO]]-PROVEEDORES[[#This Row],[FECHA DE FACTURACIÓN]])&gt;PROVEEDORES[[#This Row],[PLAZO Días]],"PAGO VENCIDO")</f>
        <v>PAGO VENCIDO</v>
      </c>
      <c r="C22" s="20">
        <f>+VLOOKUP(PROVEEDORES[[#This Row],[PROVEEDOR]],TERCEROS_INFO[#All],2,FALSE)</f>
        <v>30</v>
      </c>
      <c r="D22" s="25">
        <f>+SUMIFS(PROVEEDORES[Total],PROVEEDORES[PROVEEDOR],PROVEEDORES[[#This Row],[PROVEEDOR]],PROVEEDORES[FECHA DE PAGO],"")</f>
        <v>12030261.305</v>
      </c>
      <c r="E22" s="25"/>
      <c r="F22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2" s="68">
        <v>44568</v>
      </c>
      <c r="H22" s="26" t="s">
        <v>12</v>
      </c>
      <c r="I22" s="68">
        <v>44495</v>
      </c>
      <c r="J22" s="35" t="s">
        <v>310</v>
      </c>
      <c r="K22" s="21">
        <v>-124370</v>
      </c>
      <c r="L22" s="21"/>
      <c r="M22" s="22">
        <v>-23630.3</v>
      </c>
      <c r="N22" s="23"/>
      <c r="O22" s="22">
        <v>0</v>
      </c>
      <c r="P22" s="74">
        <f>+IF(PROVEEDORES[[#This Row],[SUBTOTAL]]&lt;PROVEEDORES[[#This Row],[base retencion]],0,PROVEEDORES[[#This Row],[retención aplicada]])</f>
        <v>0</v>
      </c>
      <c r="Q22" s="22">
        <f>+PROVEEDORES[[#This Row],[Rete Fuente %]]*(PROVEEDORES[[#This Row],[SUBTOTAL]]-PROVEEDORES[[#This Row],[descuento sobre subtotal]])</f>
        <v>0</v>
      </c>
      <c r="R22" s="21">
        <v>-148000.29999999999</v>
      </c>
      <c r="S2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63">
        <f ca="1">IF(PROVEEDORES[[#This Row],[FECHA DE PAGO]]=0,TODAY()-PROVEEDORES[[#This Row],[FECHA DE FACTURACIÓN]]-PROVEEDORES[[#This Row],[PLAZO Días]],0)</f>
        <v>0</v>
      </c>
      <c r="U22" s="87" t="str">
        <f>+VLOOKUP(PROVEEDORES[[#This Row],[PROVEEDOR]],Terceros!$A:$D,4,FALSE)</f>
        <v>2,5% con base</v>
      </c>
      <c r="V22" s="88">
        <f>+YEAR(PROVEEDORES[[#This Row],[FECHA DE FACTURACIÓN]])</f>
        <v>2021</v>
      </c>
      <c r="W22" s="88">
        <f>+MATCH(PROVEEDORES[[#This Row],[año facturado]],Retenciones!$1:$1,0)</f>
        <v>4</v>
      </c>
      <c r="X22" s="89">
        <f>+VLOOKUP(PROVEEDORES[[#This Row],[ID RETENCION]],Retenciones!$A$1:$O$25,PROVEEDORES[[#This Row],[indicador de columna]],FALSE)</f>
        <v>980000</v>
      </c>
      <c r="Y22" s="90">
        <f>+VLOOKUP(PROVEEDORES[[#This Row],[ID RETENCION]],Retenciones!$A$1:$O$25,2,FALSE)</f>
        <v>2.5000000000000001E-2</v>
      </c>
      <c r="Z22" s="116" t="b">
        <f>OR(COUNTIF(PROVEEDORES[[#This Row],[PROVEEDOR]],"*"&amp;'Palabra no opera'!$A$2&amp;"*"))</f>
        <v>0</v>
      </c>
      <c r="AA22" s="24"/>
      <c r="AB22" s="24"/>
      <c r="AC22" s="24"/>
      <c r="AD22" s="24"/>
      <c r="AE22" s="24"/>
    </row>
    <row r="23" spans="1:31" ht="22.35" customHeight="1" x14ac:dyDescent="0.3">
      <c r="A23" s="61" t="str">
        <f>+IF(PROVEEDORES[[#This Row],[FECHA DE PAGO]]=PROVEEDORES[[#This Row],[FECHA DE FACTURACIÓN]],"DE CONTADO","CRÉDITO")</f>
        <v>CRÉDITO</v>
      </c>
      <c r="B23" s="38" t="str">
        <f>+IF((PROVEEDORES[[#This Row],[FECHA DE PAGO]]-PROVEEDORES[[#This Row],[FECHA DE FACTURACIÓN]])&gt;PROVEEDORES[[#This Row],[PLAZO Días]],"PAGO VENCIDO")</f>
        <v>PAGO VENCIDO</v>
      </c>
      <c r="C23" s="20">
        <f>+VLOOKUP(PROVEEDORES[[#This Row],[PROVEEDOR]],TERCEROS_INFO[#All],2,FALSE)</f>
        <v>30</v>
      </c>
      <c r="D23" s="25">
        <f>+SUMIFS(PROVEEDORES[Total],PROVEEDORES[PROVEEDOR],PROVEEDORES[[#This Row],[PROVEEDOR]],PROVEEDORES[FECHA DE PAGO],"")</f>
        <v>12030261.305</v>
      </c>
      <c r="E23" s="25"/>
      <c r="F23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3" s="68">
        <v>44568</v>
      </c>
      <c r="H23" s="26" t="s">
        <v>12</v>
      </c>
      <c r="I23" s="68">
        <v>44495</v>
      </c>
      <c r="J23" s="35" t="s">
        <v>283</v>
      </c>
      <c r="K23" s="21">
        <v>12134469</v>
      </c>
      <c r="L23" s="21"/>
      <c r="M23" s="22">
        <v>2305549.11</v>
      </c>
      <c r="N23" s="23"/>
      <c r="O23" s="22">
        <v>0</v>
      </c>
      <c r="P23" s="74">
        <f>+IF(PROVEEDORES[[#This Row],[SUBTOTAL]]&lt;PROVEEDORES[[#This Row],[base retencion]],0,PROVEEDORES[[#This Row],[retención aplicada]])</f>
        <v>2.5000000000000001E-2</v>
      </c>
      <c r="Q23" s="22">
        <f>+PROVEEDORES[[#This Row],[Rete Fuente %]]*(PROVEEDORES[[#This Row],[SUBTOTAL]]-PROVEEDORES[[#This Row],[descuento sobre subtotal]])</f>
        <v>303361.72500000003</v>
      </c>
      <c r="R23" s="21">
        <v>14136656.385</v>
      </c>
      <c r="S2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63">
        <f ca="1">IF(PROVEEDORES[[#This Row],[FECHA DE PAGO]]=0,TODAY()-PROVEEDORES[[#This Row],[FECHA DE FACTURACIÓN]]-PROVEEDORES[[#This Row],[PLAZO Días]],0)</f>
        <v>0</v>
      </c>
      <c r="U23" s="87" t="str">
        <f>+VLOOKUP(PROVEEDORES[[#This Row],[PROVEEDOR]],Terceros!$A:$D,4,FALSE)</f>
        <v>2,5% con base</v>
      </c>
      <c r="V23" s="88">
        <f>+YEAR(PROVEEDORES[[#This Row],[FECHA DE FACTURACIÓN]])</f>
        <v>2021</v>
      </c>
      <c r="W23" s="88">
        <f>+MATCH(PROVEEDORES[[#This Row],[año facturado]],Retenciones!$1:$1,0)</f>
        <v>4</v>
      </c>
      <c r="X23" s="89">
        <f>+VLOOKUP(PROVEEDORES[[#This Row],[ID RETENCION]],Retenciones!$A$1:$O$25,PROVEEDORES[[#This Row],[indicador de columna]],FALSE)</f>
        <v>980000</v>
      </c>
      <c r="Y23" s="90">
        <f>+VLOOKUP(PROVEEDORES[[#This Row],[ID RETENCION]],Retenciones!$A$1:$O$25,2,FALSE)</f>
        <v>2.5000000000000001E-2</v>
      </c>
      <c r="Z23" s="116" t="b">
        <f>OR(COUNTIF(PROVEEDORES[[#This Row],[PROVEEDOR]],"*"&amp;'Palabra no opera'!$A$2&amp;"*"))</f>
        <v>0</v>
      </c>
      <c r="AA23" s="24"/>
      <c r="AB23" s="24"/>
      <c r="AC23" s="24"/>
      <c r="AD23" s="24"/>
      <c r="AE23" s="24"/>
    </row>
    <row r="24" spans="1:31" ht="22.35" customHeight="1" x14ac:dyDescent="0.3">
      <c r="A24" s="61" t="str">
        <f>+IF(PROVEEDORES[[#This Row],[FECHA DE PAGO]]=PROVEEDORES[[#This Row],[FECHA DE FACTURACIÓN]],"DE CONTADO","CRÉDITO")</f>
        <v>CRÉDITO</v>
      </c>
      <c r="B24" s="38" t="str">
        <f>+IF((PROVEEDORES[[#This Row],[FECHA DE PAGO]]-PROVEEDORES[[#This Row],[FECHA DE FACTURACIÓN]])&gt;PROVEEDORES[[#This Row],[PLAZO Días]],"PAGO VENCIDO")</f>
        <v>PAGO VENCIDO</v>
      </c>
      <c r="C24" s="20">
        <f>+VLOOKUP(PROVEEDORES[[#This Row],[PROVEEDOR]],TERCEROS_INFO[#All],2,FALSE)</f>
        <v>30</v>
      </c>
      <c r="D24" s="25">
        <f>+SUMIFS(PROVEEDORES[Total],PROVEEDORES[PROVEEDOR],PROVEEDORES[[#This Row],[PROVEEDOR]],PROVEEDORES[FECHA DE PAGO],"")</f>
        <v>0</v>
      </c>
      <c r="E24" s="25"/>
      <c r="F24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4" s="68">
        <v>44572</v>
      </c>
      <c r="H24" s="26" t="s">
        <v>38</v>
      </c>
      <c r="I24" s="68">
        <v>44531</v>
      </c>
      <c r="J24" s="35" t="s">
        <v>313</v>
      </c>
      <c r="K24" s="21">
        <v>5091096</v>
      </c>
      <c r="L24" s="21"/>
      <c r="M24" s="22">
        <f>(PROVEEDORES[[#This Row],[SUBTOTAL]]-PROVEEDORES[[#This Row],[descuento sobre subtotal]])*VLOOKUP(PROVEEDORES[[#This Row],[PROVEEDOR]],TERCEROS_INFO[#All],3,FALSE)</f>
        <v>0</v>
      </c>
      <c r="N24" s="23"/>
      <c r="O24" s="22">
        <f>+PROVEEDORES[[#This Row],[Descuento sobre subtotal %]]*(PROVEEDORES[[#This Row],[SUBTOTAL]]-PROVEEDORES[[#This Row],[descuento sobre subtotal]])</f>
        <v>0</v>
      </c>
      <c r="P24" s="74">
        <f>+IF(PROVEEDORES[[#This Row],[SUBTOTAL]]&lt;PROVEEDORES[[#This Row],[base retencion]],0,PROVEEDORES[[#This Row],[retención aplicada]])</f>
        <v>0</v>
      </c>
      <c r="Q24" s="22">
        <f>+PROVEEDORES[[#This Row],[Rete Fuente %]]*(PROVEEDORES[[#This Row],[SUBTOTAL]]-PROVEEDORES[[#This Row],[descuento sobre subtotal]])</f>
        <v>0</v>
      </c>
      <c r="R24" s="21">
        <v>5091096</v>
      </c>
      <c r="S2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63">
        <f ca="1">IF(PROVEEDORES[[#This Row],[FECHA DE PAGO]]=0,TODAY()-PROVEEDORES[[#This Row],[FECHA DE FACTURACIÓN]]-PROVEEDORES[[#This Row],[PLAZO Días]],0)</f>
        <v>0</v>
      </c>
      <c r="U24" s="87">
        <f>+VLOOKUP(PROVEEDORES[[#This Row],[PROVEEDOR]],Terceros!$A:$D,4,FALSE)</f>
        <v>0</v>
      </c>
      <c r="V24" s="88">
        <f>+YEAR(PROVEEDORES[[#This Row],[FECHA DE FACTURACIÓN]])</f>
        <v>2021</v>
      </c>
      <c r="W24" s="88">
        <f>+MATCH(PROVEEDORES[[#This Row],[año facturado]],Retenciones!$1:$1,0)</f>
        <v>4</v>
      </c>
      <c r="X24" s="89">
        <f>+VLOOKUP(PROVEEDORES[[#This Row],[ID RETENCION]],Retenciones!$A$1:$O$25,PROVEEDORES[[#This Row],[indicador de columna]],FALSE)</f>
        <v>0</v>
      </c>
      <c r="Y24" s="90">
        <f>+VLOOKUP(PROVEEDORES[[#This Row],[ID RETENCION]],Retenciones!$A$1:$O$25,2,FALSE)</f>
        <v>0</v>
      </c>
      <c r="Z24" s="116" t="b">
        <f>OR(COUNTIF(PROVEEDORES[[#This Row],[PROVEEDOR]],"*"&amp;'Palabra no opera'!$A$2&amp;"*"))</f>
        <v>0</v>
      </c>
      <c r="AA24" s="24"/>
      <c r="AB24" s="24"/>
      <c r="AC24" s="24"/>
      <c r="AD24" s="24"/>
      <c r="AE24" s="24"/>
    </row>
    <row r="25" spans="1:31" ht="22.35" customHeight="1" x14ac:dyDescent="0.3">
      <c r="A25" s="61" t="str">
        <f>+IF(PROVEEDORES[[#This Row],[FECHA DE PAGO]]=PROVEEDORES[[#This Row],[FECHA DE FACTURACIÓN]],"DE CONTADO","CRÉDITO")</f>
        <v>CRÉDITO</v>
      </c>
      <c r="B25" s="38" t="str">
        <f>+IF((PROVEEDORES[[#This Row],[FECHA DE PAGO]]-PROVEEDORES[[#This Row],[FECHA DE FACTURACIÓN]])&gt;PROVEEDORES[[#This Row],[PLAZO Días]],"PAGO VENCIDO")</f>
        <v>PAGO VENCIDO</v>
      </c>
      <c r="C25" s="20">
        <f>+VLOOKUP(PROVEEDORES[[#This Row],[PROVEEDOR]],TERCEROS_INFO[#All],2,FALSE)</f>
        <v>30</v>
      </c>
      <c r="D25" s="25">
        <f>+SUMIFS(PROVEEDORES[Total],PROVEEDORES[PROVEEDOR],PROVEEDORES[[#This Row],[PROVEEDOR]],PROVEEDORES[FECHA DE PAGO],"")</f>
        <v>0</v>
      </c>
      <c r="E25" s="25"/>
      <c r="F25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5" s="68">
        <v>44572</v>
      </c>
      <c r="H25" s="26" t="s">
        <v>38</v>
      </c>
      <c r="I25" s="68">
        <v>44531</v>
      </c>
      <c r="J25" s="35" t="s">
        <v>314</v>
      </c>
      <c r="K25" s="21">
        <v>22083872</v>
      </c>
      <c r="L25" s="21"/>
      <c r="M25" s="22">
        <f>(PROVEEDORES[[#This Row],[SUBTOTAL]]-PROVEEDORES[[#This Row],[descuento sobre subtotal]])*VLOOKUP(PROVEEDORES[[#This Row],[PROVEEDOR]],TERCEROS_INFO[#All],3,FALSE)</f>
        <v>0</v>
      </c>
      <c r="N25" s="23"/>
      <c r="O25" s="22">
        <f>+PROVEEDORES[[#This Row],[Descuento sobre subtotal %]]*(PROVEEDORES[[#This Row],[SUBTOTAL]]-PROVEEDORES[[#This Row],[descuento sobre subtotal]])</f>
        <v>0</v>
      </c>
      <c r="P25" s="74">
        <f>+IF(PROVEEDORES[[#This Row],[SUBTOTAL]]&lt;PROVEEDORES[[#This Row],[base retencion]],0,PROVEEDORES[[#This Row],[retención aplicada]])</f>
        <v>0</v>
      </c>
      <c r="Q25" s="22">
        <f>+PROVEEDORES[[#This Row],[Rete Fuente %]]*(PROVEEDORES[[#This Row],[SUBTOTAL]]-PROVEEDORES[[#This Row],[descuento sobre subtotal]])</f>
        <v>0</v>
      </c>
      <c r="R25" s="21">
        <v>22083872</v>
      </c>
      <c r="S2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63">
        <f ca="1">IF(PROVEEDORES[[#This Row],[FECHA DE PAGO]]=0,TODAY()-PROVEEDORES[[#This Row],[FECHA DE FACTURACIÓN]]-PROVEEDORES[[#This Row],[PLAZO Días]],0)</f>
        <v>0</v>
      </c>
      <c r="U25" s="87">
        <f>+VLOOKUP(PROVEEDORES[[#This Row],[PROVEEDOR]],Terceros!$A:$D,4,FALSE)</f>
        <v>0</v>
      </c>
      <c r="V25" s="88">
        <f>+YEAR(PROVEEDORES[[#This Row],[FECHA DE FACTURACIÓN]])</f>
        <v>2021</v>
      </c>
      <c r="W25" s="88">
        <f>+MATCH(PROVEEDORES[[#This Row],[año facturado]],Retenciones!$1:$1,0)</f>
        <v>4</v>
      </c>
      <c r="X25" s="89">
        <f>+VLOOKUP(PROVEEDORES[[#This Row],[ID RETENCION]],Retenciones!$A$1:$O$25,PROVEEDORES[[#This Row],[indicador de columna]],FALSE)</f>
        <v>0</v>
      </c>
      <c r="Y25" s="90">
        <f>+VLOOKUP(PROVEEDORES[[#This Row],[ID RETENCION]],Retenciones!$A$1:$O$25,2,FALSE)</f>
        <v>0</v>
      </c>
      <c r="Z25" s="116" t="b">
        <f>OR(COUNTIF(PROVEEDORES[[#This Row],[PROVEEDOR]],"*"&amp;'Palabra no opera'!$A$2&amp;"*"))</f>
        <v>0</v>
      </c>
      <c r="AA25" s="24"/>
      <c r="AB25" s="24"/>
      <c r="AC25" s="24"/>
      <c r="AD25" s="24"/>
      <c r="AE25" s="24"/>
    </row>
    <row r="26" spans="1:31" ht="22.35" customHeight="1" x14ac:dyDescent="0.3">
      <c r="A26" s="61" t="str">
        <f>+IF(PROVEEDORES[[#This Row],[FECHA DE PAGO]]=PROVEEDORES[[#This Row],[FECHA DE FACTURACIÓN]],"DE CONTADO","CRÉDITO")</f>
        <v>CRÉDITO</v>
      </c>
      <c r="B26" s="38" t="str">
        <f>+IF((PROVEEDORES[[#This Row],[FECHA DE PAGO]]-PROVEEDORES[[#This Row],[FECHA DE FACTURACIÓN]])&gt;PROVEEDORES[[#This Row],[PLAZO Días]],"PAGO VENCIDO")</f>
        <v>PAGO VENCIDO</v>
      </c>
      <c r="C26" s="20">
        <f>+VLOOKUP(PROVEEDORES[[#This Row],[PROVEEDOR]],TERCEROS_INFO[#All],2,FALSE)</f>
        <v>30</v>
      </c>
      <c r="D26" s="25">
        <f>+SUMIFS(PROVEEDORES[Total],PROVEEDORES[PROVEEDOR],PROVEEDORES[[#This Row],[PROVEEDOR]],PROVEEDORES[FECHA DE PAGO],"")</f>
        <v>0</v>
      </c>
      <c r="E26" s="25"/>
      <c r="F26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6" s="68">
        <v>44573</v>
      </c>
      <c r="H26" s="26" t="s">
        <v>387</v>
      </c>
      <c r="I26" s="68">
        <v>44539</v>
      </c>
      <c r="J26" s="35" t="s">
        <v>978</v>
      </c>
      <c r="K26" s="21">
        <v>9473700</v>
      </c>
      <c r="L26" s="21"/>
      <c r="M26" s="22">
        <v>0</v>
      </c>
      <c r="N26" s="23">
        <v>0.09</v>
      </c>
      <c r="O26" s="22">
        <v>852633</v>
      </c>
      <c r="P26" s="74">
        <f>+IF(PROVEEDORES[[#This Row],[SUBTOTAL]]&lt;PROVEEDORES[[#This Row],[base retencion]],0,PROVEEDORES[[#This Row],[retención aplicada]])</f>
        <v>0</v>
      </c>
      <c r="Q26" s="22">
        <f>+PROVEEDORES[[#This Row],[Rete Fuente %]]*(PROVEEDORES[[#This Row],[SUBTOTAL]]-PROVEEDORES[[#This Row],[descuento sobre subtotal]])</f>
        <v>0</v>
      </c>
      <c r="R26" s="21">
        <v>8621067</v>
      </c>
      <c r="S2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63">
        <f ca="1">IF(PROVEEDORES[[#This Row],[FECHA DE PAGO]]=0,TODAY()-PROVEEDORES[[#This Row],[FECHA DE FACTURACIÓN]]-PROVEEDORES[[#This Row],[PLAZO Días]],0)</f>
        <v>0</v>
      </c>
      <c r="U26" s="87">
        <f>+VLOOKUP(PROVEEDORES[[#This Row],[PROVEEDOR]],Terceros!$A:$D,4,FALSE)</f>
        <v>0</v>
      </c>
      <c r="V26" s="88">
        <f>+YEAR(PROVEEDORES[[#This Row],[FECHA DE FACTURACIÓN]])</f>
        <v>2021</v>
      </c>
      <c r="W26" s="88">
        <f>+MATCH(PROVEEDORES[[#This Row],[año facturado]],Retenciones!$1:$1,0)</f>
        <v>4</v>
      </c>
      <c r="X26" s="89">
        <f>+VLOOKUP(PROVEEDORES[[#This Row],[ID RETENCION]],Retenciones!$A$1:$O$25,PROVEEDORES[[#This Row],[indicador de columna]],FALSE)</f>
        <v>0</v>
      </c>
      <c r="Y26" s="90">
        <f>+VLOOKUP(PROVEEDORES[[#This Row],[ID RETENCION]],Retenciones!$A$1:$O$25,2,FALSE)</f>
        <v>0</v>
      </c>
      <c r="Z26" s="116" t="b">
        <f>OR(COUNTIF(PROVEEDORES[[#This Row],[PROVEEDOR]],"*"&amp;'Palabra no opera'!$A$2&amp;"*"))</f>
        <v>0</v>
      </c>
      <c r="AA26" s="24"/>
      <c r="AB26" s="24"/>
      <c r="AC26" s="24"/>
      <c r="AD26" s="24"/>
      <c r="AE26" s="24"/>
    </row>
    <row r="27" spans="1:31" ht="22.35" customHeight="1" x14ac:dyDescent="0.3">
      <c r="A27" s="61" t="str">
        <f>+IF(PROVEEDORES[[#This Row],[FECHA DE PAGO]]=PROVEEDORES[[#This Row],[FECHA DE FACTURACIÓN]],"DE CONTADO","CRÉDITO")</f>
        <v>CRÉDITO</v>
      </c>
      <c r="B27" s="38" t="str">
        <f>+IF((PROVEEDORES[[#This Row],[FECHA DE PAGO]]-PROVEEDORES[[#This Row],[FECHA DE FACTURACIÓN]])&gt;PROVEEDORES[[#This Row],[PLAZO Días]],"PAGO VENCIDO")</f>
        <v>PAGO VENCIDO</v>
      </c>
      <c r="C27" s="20">
        <f>+VLOOKUP(PROVEEDORES[[#This Row],[PROVEEDOR]],TERCEROS_INFO[#All],2,FALSE)</f>
        <v>10</v>
      </c>
      <c r="D27" s="25">
        <f>+SUMIFS(PROVEEDORES[Total],PROVEEDORES[PROVEEDOR],PROVEEDORES[[#This Row],[PROVEEDOR]],PROVEEDORES[FECHA DE PAGO],"")</f>
        <v>0</v>
      </c>
      <c r="E27" s="25"/>
      <c r="F27" s="56" t="str">
        <f>+VLOOKUP(PROVEEDORES[[#This Row],[PROVEEDOR]],
                       Terceros!$A:$F,
                       5,
                       FALSE)</f>
        <v>carloseuristika@hotmail.com;girlesa.ruiz@servipilas.com;joriescobar64@gmail.com</v>
      </c>
      <c r="G27" s="68">
        <v>44574</v>
      </c>
      <c r="H27" s="26" t="s">
        <v>355</v>
      </c>
      <c r="I27" s="68">
        <v>44562</v>
      </c>
      <c r="J27" s="35"/>
      <c r="K27" s="21">
        <v>1060000</v>
      </c>
      <c r="L27" s="21"/>
      <c r="M27" s="22">
        <f>(PROVEEDORES[[#This Row],[SUBTOTAL]]-PROVEEDORES[[#This Row],[descuento sobre subtotal]])*VLOOKUP(PROVEEDORES[[#This Row],[PROVEEDOR]],TERCEROS_INFO[#All],3,FALSE)</f>
        <v>0</v>
      </c>
      <c r="N27" s="23"/>
      <c r="O27" s="22">
        <f>+PROVEEDORES[[#This Row],[Descuento sobre subtotal %]]*(PROVEEDORES[[#This Row],[SUBTOTAL]]-PROVEEDORES[[#This Row],[descuento sobre subtotal]])</f>
        <v>0</v>
      </c>
      <c r="P27" s="74">
        <f>+IF(PROVEEDORES[[#This Row],[SUBTOTAL]]&lt;PROVEEDORES[[#This Row],[base retencion]],0,PROVEEDORES[[#This Row],[retención aplicada]])</f>
        <v>0</v>
      </c>
      <c r="Q27" s="22">
        <f>+PROVEEDORES[[#This Row],[Rete Fuente %]]*(PROVEEDORES[[#This Row],[SUBTOTAL]]-PROVEEDORES[[#This Row],[descuento sobre subtotal]])</f>
        <v>0</v>
      </c>
      <c r="R27" s="21">
        <v>1060000</v>
      </c>
      <c r="S2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63">
        <f ca="1">IF(PROVEEDORES[[#This Row],[FECHA DE PAGO]]=0,TODAY()-PROVEEDORES[[#This Row],[FECHA DE FACTURACIÓN]]-PROVEEDORES[[#This Row],[PLAZO Días]],0)</f>
        <v>0</v>
      </c>
      <c r="U27" s="87">
        <f>+VLOOKUP(PROVEEDORES[[#This Row],[PROVEEDOR]],Terceros!$A:$D,4,FALSE)</f>
        <v>0</v>
      </c>
      <c r="V27" s="88">
        <f>+YEAR(PROVEEDORES[[#This Row],[FECHA DE FACTURACIÓN]])</f>
        <v>2022</v>
      </c>
      <c r="W27" s="88">
        <f>+MATCH(PROVEEDORES[[#This Row],[año facturado]],Retenciones!$1:$1,0)</f>
        <v>5</v>
      </c>
      <c r="X27" s="89">
        <f>+VLOOKUP(PROVEEDORES[[#This Row],[ID RETENCION]],Retenciones!$A$1:$O$25,PROVEEDORES[[#This Row],[indicador de columna]],FALSE)</f>
        <v>0</v>
      </c>
      <c r="Y27" s="90">
        <f>+VLOOKUP(PROVEEDORES[[#This Row],[ID RETENCION]],Retenciones!$A$1:$O$25,2,FALSE)</f>
        <v>0</v>
      </c>
      <c r="Z27" s="116" t="b">
        <f>OR(COUNTIF(PROVEEDORES[[#This Row],[PROVEEDOR]],"*"&amp;'Palabra no opera'!$A$2&amp;"*"))</f>
        <v>0</v>
      </c>
      <c r="AA27" s="24"/>
      <c r="AB27" s="24"/>
      <c r="AC27" s="24"/>
      <c r="AD27" s="24"/>
      <c r="AE27" s="24"/>
    </row>
    <row r="28" spans="1:31" ht="22.35" customHeight="1" x14ac:dyDescent="0.3">
      <c r="A28" s="249" t="str">
        <f>+IF(PROVEEDORES[[#This Row],[FECHA DE PAGO]]=PROVEEDORES[[#This Row],[FECHA DE FACTURACIÓN]],"DE CONTADO","CRÉDITO")</f>
        <v>CRÉDITO</v>
      </c>
      <c r="B28" s="38" t="b">
        <f>+IF((PROVEEDORES[[#This Row],[FECHA DE PAGO]]-PROVEEDORES[[#This Row],[FECHA DE FACTURACIÓN]])&gt;PROVEEDORES[[#This Row],[PLAZO Días]],"PAGO VENCIDO")</f>
        <v>0</v>
      </c>
      <c r="C28" s="20">
        <f>+VLOOKUP(PROVEEDORES[[#This Row],[PROVEEDOR]],TERCEROS_INFO[#All],2,FALSE)</f>
        <v>30</v>
      </c>
      <c r="D28" s="25">
        <f>+SUMIFS(PROVEEDORES[Total],PROVEEDORES[PROVEEDOR],PROVEEDORES[[#This Row],[PROVEEDOR]],PROVEEDORES[FECHA DE PAGO],"")</f>
        <v>1316890.8900000001</v>
      </c>
      <c r="E28" s="25"/>
      <c r="F2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8" s="68">
        <v>44574</v>
      </c>
      <c r="H28" s="26" t="s">
        <v>17</v>
      </c>
      <c r="I28" s="68">
        <v>44900</v>
      </c>
      <c r="J28" s="35">
        <v>1990411</v>
      </c>
      <c r="K28" s="21">
        <v>1143000</v>
      </c>
      <c r="L28" s="21"/>
      <c r="M28" s="22">
        <f>(PROVEEDORES[[#This Row],[SUBTOTAL]]-PROVEEDORES[[#This Row],[descuento sobre subtotal]])*VLOOKUP(PROVEEDORES[[#This Row],[PROVEEDOR]],TERCEROS_INFO[#All],3,FALSE)</f>
        <v>217170</v>
      </c>
      <c r="N28" s="23"/>
      <c r="O28" s="22">
        <f>+PROVEEDORES[[#This Row],[Descuento sobre subtotal %]]*(PROVEEDORES[[#This Row],[SUBTOTAL]]-PROVEEDORES[[#This Row],[descuento sobre subtotal]])</f>
        <v>0</v>
      </c>
      <c r="P28" s="74">
        <f>+IF(PROVEEDORES[[#This Row],[SUBTOTAL]]&lt;PROVEEDORES[[#This Row],[base retencion]],0,PROVEEDORES[[#This Row],[retención aplicada]])</f>
        <v>0</v>
      </c>
      <c r="Q28" s="22">
        <f>+PROVEEDORES[[#This Row],[Rete Fuente %]]*(PROVEEDORES[[#This Row],[SUBTOTAL]]-PROVEEDORES[[#This Row],[descuento sobre subtotal]])</f>
        <v>0</v>
      </c>
      <c r="R28" s="21">
        <f>+PROVEEDORES[[#This Row],[SUBTOTAL]]+PROVEEDORES[[#This Row],[IVA 19%]]-PROVEEDORES[[#This Row],[descuento sobre subtotal]]-PROVEEDORES[[#This Row],[Descuento sobre subtotal $2]]-PROVEEDORES[[#This Row],[Rete Fuente $]]</f>
        <v>1360170</v>
      </c>
      <c r="S28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63">
        <f ca="1">IF(PROVEEDORES[[#This Row],[FECHA DE PAGO]]=0,TODAY()-PROVEEDORES[[#This Row],[FECHA DE FACTURACIÓN]]-PROVEEDORES[[#This Row],[PLAZO Días]],0)</f>
        <v>0</v>
      </c>
      <c r="U28" s="104">
        <f>+VLOOKUP(PROVEEDORES[[#This Row],[PROVEEDOR]],Terceros!$A:$D,4,FALSE)</f>
        <v>0</v>
      </c>
      <c r="V28" s="105">
        <f>+YEAR(PROVEEDORES[[#This Row],[FECHA DE FACTURACIÓN]])</f>
        <v>2022</v>
      </c>
      <c r="W28" s="105">
        <f>+MATCH(PROVEEDORES[[#This Row],[año facturado]],Retenciones!$1:$1,0)</f>
        <v>5</v>
      </c>
      <c r="X28" s="106">
        <f>+VLOOKUP(PROVEEDORES[[#This Row],[ID RETENCION]],Retenciones!$A$1:$O$25,PROVEEDORES[[#This Row],[indicador de columna]],FALSE)</f>
        <v>0</v>
      </c>
      <c r="Y28" s="107">
        <f>+VLOOKUP(PROVEEDORES[[#This Row],[ID RETENCION]],Retenciones!$A$1:$O$25,2,FALSE)</f>
        <v>0</v>
      </c>
      <c r="Z28" s="116" t="b">
        <f>OR(COUNTIF(PROVEEDORES[[#This Row],[PROVEEDOR]],"*"&amp;'Palabra no opera'!$A$2&amp;"*"))</f>
        <v>0</v>
      </c>
      <c r="AA28" s="24"/>
      <c r="AB28" s="24"/>
      <c r="AC28" s="24"/>
      <c r="AD28" s="24"/>
      <c r="AE28" s="24"/>
    </row>
    <row r="29" spans="1:31" ht="22.35" customHeight="1" x14ac:dyDescent="0.3">
      <c r="A29" s="61" t="str">
        <f>+IF(PROVEEDORES[[#This Row],[FECHA DE PAGO]]=PROVEEDORES[[#This Row],[FECHA DE FACTURACIÓN]],"DE CONTADO","CRÉDITO")</f>
        <v>CRÉDITO</v>
      </c>
      <c r="B29" s="38" t="b">
        <f>+IF((PROVEEDORES[[#This Row],[FECHA DE PAGO]]-PROVEEDORES[[#This Row],[FECHA DE FACTURACIÓN]])&gt;PROVEEDORES[[#This Row],[PLAZO Días]],"PAGO VENCIDO")</f>
        <v>0</v>
      </c>
      <c r="C29" s="20">
        <f>+VLOOKUP(PROVEEDORES[[#This Row],[PROVEEDOR]],TERCEROS_INFO[#All],2,FALSE)</f>
        <v>30</v>
      </c>
      <c r="D29" s="25">
        <f>+SUMIFS(PROVEEDORES[Total],PROVEEDORES[PROVEEDOR],PROVEEDORES[[#This Row],[PROVEEDOR]],PROVEEDORES[FECHA DE PAGO],"")</f>
        <v>1316890.8900000001</v>
      </c>
      <c r="E29" s="25"/>
      <c r="F29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9" s="68">
        <v>44575</v>
      </c>
      <c r="H29" s="26" t="s">
        <v>17</v>
      </c>
      <c r="I29" s="68">
        <v>44562</v>
      </c>
      <c r="J29" s="35">
        <v>1852120</v>
      </c>
      <c r="K29" s="21">
        <v>285600</v>
      </c>
      <c r="L29" s="21"/>
      <c r="M29" s="22">
        <f>(PROVEEDORES[[#This Row],[SUBTOTAL]]-PROVEEDORES[[#This Row],[descuento sobre subtotal]])*VLOOKUP(PROVEEDORES[[#This Row],[PROVEEDOR]],TERCEROS_INFO[#All],3,FALSE)</f>
        <v>54264</v>
      </c>
      <c r="N29" s="23"/>
      <c r="O29" s="22">
        <f>+PROVEEDORES[[#This Row],[Descuento sobre subtotal %]]*(PROVEEDORES[[#This Row],[SUBTOTAL]]-PROVEEDORES[[#This Row],[descuento sobre subtotal]])</f>
        <v>0</v>
      </c>
      <c r="P29" s="74">
        <f>+IF(PROVEEDORES[[#This Row],[SUBTOTAL]]&lt;PROVEEDORES[[#This Row],[base retencion]],0,PROVEEDORES[[#This Row],[retención aplicada]])</f>
        <v>0</v>
      </c>
      <c r="Q29" s="22">
        <f>+PROVEEDORES[[#This Row],[Rete Fuente %]]*(PROVEEDORES[[#This Row],[SUBTOTAL]]-PROVEEDORES[[#This Row],[descuento sobre subtotal]])</f>
        <v>0</v>
      </c>
      <c r="R29" s="21">
        <v>339864</v>
      </c>
      <c r="S2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63">
        <f ca="1">IF(PROVEEDORES[[#This Row],[FECHA DE PAGO]]=0,TODAY()-PROVEEDORES[[#This Row],[FECHA DE FACTURACIÓN]]-PROVEEDORES[[#This Row],[PLAZO Días]],0)</f>
        <v>0</v>
      </c>
      <c r="U29" s="87">
        <f>+VLOOKUP(PROVEEDORES[[#This Row],[PROVEEDOR]],Terceros!$A:$D,4,FALSE)</f>
        <v>0</v>
      </c>
      <c r="V29" s="88">
        <f>+YEAR(PROVEEDORES[[#This Row],[FECHA DE FACTURACIÓN]])</f>
        <v>2022</v>
      </c>
      <c r="W29" s="88">
        <f>+MATCH(PROVEEDORES[[#This Row],[año facturado]],Retenciones!$1:$1,0)</f>
        <v>5</v>
      </c>
      <c r="X29" s="89">
        <f>+VLOOKUP(PROVEEDORES[[#This Row],[ID RETENCION]],Retenciones!$A$1:$O$25,PROVEEDORES[[#This Row],[indicador de columna]],FALSE)</f>
        <v>0</v>
      </c>
      <c r="Y29" s="90">
        <f>+VLOOKUP(PROVEEDORES[[#This Row],[ID RETENCION]],Retenciones!$A$1:$O$25,2,FALSE)</f>
        <v>0</v>
      </c>
      <c r="Z29" s="116" t="b">
        <f>OR(COUNTIF(PROVEEDORES[[#This Row],[PROVEEDOR]],"*"&amp;'Palabra no opera'!$A$2&amp;"*"))</f>
        <v>0</v>
      </c>
      <c r="AA29" s="24"/>
      <c r="AB29" s="24"/>
      <c r="AC29" s="24"/>
      <c r="AD29" s="24"/>
      <c r="AE29" s="24"/>
    </row>
    <row r="30" spans="1:31" ht="22.35" customHeight="1" x14ac:dyDescent="0.3">
      <c r="A30" s="61" t="str">
        <f>+IF(PROVEEDORES[[#This Row],[FECHA DE PAGO]]=PROVEEDORES[[#This Row],[FECHA DE FACTURACIÓN]],"DE CONTADO","CRÉDITO")</f>
        <v>DE CONTADO</v>
      </c>
      <c r="B30" s="38" t="b">
        <f>+IF((PROVEEDORES[[#This Row],[FECHA DE PAGO]]-PROVEEDORES[[#This Row],[FECHA DE FACTURACIÓN]])&gt;PROVEEDORES[[#This Row],[PLAZO Días]],"PAGO VENCIDO")</f>
        <v>0</v>
      </c>
      <c r="C30" s="20">
        <f>+VLOOKUP(PROVEEDORES[[#This Row],[PROVEEDOR]],TERCEROS_INFO[#All],2,FALSE)</f>
        <v>30</v>
      </c>
      <c r="D30" s="25">
        <f>+SUMIFS(PROVEEDORES[Total],PROVEEDORES[PROVEEDOR],PROVEEDORES[[#This Row],[PROVEEDOR]],PROVEEDORES[FECHA DE PAGO],"")</f>
        <v>0</v>
      </c>
      <c r="E30" s="25"/>
      <c r="F30" s="56" t="str">
        <f>+VLOOKUP(PROVEEDORES[[#This Row],[PROVEEDOR]],
                       Terceros!$A:$F,
                       5,
                       FALSE)</f>
        <v/>
      </c>
      <c r="G30" s="68">
        <v>44575</v>
      </c>
      <c r="H30" s="26" t="s">
        <v>390</v>
      </c>
      <c r="I30" s="68">
        <v>44575</v>
      </c>
      <c r="J30" s="35"/>
      <c r="K30" s="21">
        <v>1000000</v>
      </c>
      <c r="L30" s="21"/>
      <c r="M30" s="22">
        <v>0</v>
      </c>
      <c r="N30" s="23"/>
      <c r="O30" s="22">
        <v>0</v>
      </c>
      <c r="P30" s="74">
        <f>+IF(PROVEEDORES[[#This Row],[SUBTOTAL]]&lt;PROVEEDORES[[#This Row],[base retencion]],0,PROVEEDORES[[#This Row],[retención aplicada]])</f>
        <v>0</v>
      </c>
      <c r="Q30" s="22">
        <f>+PROVEEDORES[[#This Row],[Rete Fuente %]]*(PROVEEDORES[[#This Row],[SUBTOTAL]]-PROVEEDORES[[#This Row],[descuento sobre subtotal]])</f>
        <v>0</v>
      </c>
      <c r="R30" s="21">
        <v>1000000</v>
      </c>
      <c r="S3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63">
        <f ca="1">IF(PROVEEDORES[[#This Row],[FECHA DE PAGO]]=0,TODAY()-PROVEEDORES[[#This Row],[FECHA DE FACTURACIÓN]]-PROVEEDORES[[#This Row],[PLAZO Días]],0)</f>
        <v>0</v>
      </c>
      <c r="U30" s="87">
        <f>+VLOOKUP(PROVEEDORES[[#This Row],[PROVEEDOR]],Terceros!$A:$D,4,FALSE)</f>
        <v>0</v>
      </c>
      <c r="V30" s="88">
        <f>+YEAR(PROVEEDORES[[#This Row],[FECHA DE FACTURACIÓN]])</f>
        <v>2022</v>
      </c>
      <c r="W30" s="88">
        <f>+MATCH(PROVEEDORES[[#This Row],[año facturado]],Retenciones!$1:$1,0)</f>
        <v>5</v>
      </c>
      <c r="X30" s="89">
        <f>+VLOOKUP(PROVEEDORES[[#This Row],[ID RETENCION]],Retenciones!$A$1:$O$25,PROVEEDORES[[#This Row],[indicador de columna]],FALSE)</f>
        <v>0</v>
      </c>
      <c r="Y30" s="90">
        <f>+VLOOKUP(PROVEEDORES[[#This Row],[ID RETENCION]],Retenciones!$A$1:$O$25,2,FALSE)</f>
        <v>0</v>
      </c>
      <c r="Z30" s="116" t="b">
        <f>OR(COUNTIF(PROVEEDORES[[#This Row],[PROVEEDOR]],"*"&amp;'Palabra no opera'!$A$2&amp;"*"))</f>
        <v>0</v>
      </c>
      <c r="AA30" s="24"/>
      <c r="AB30" s="24"/>
      <c r="AC30" s="24"/>
      <c r="AD30" s="24"/>
      <c r="AE30" s="24"/>
    </row>
    <row r="31" spans="1:31" ht="22.35" customHeight="1" x14ac:dyDescent="0.3">
      <c r="A31" s="61" t="str">
        <f>+IF(PROVEEDORES[[#This Row],[FECHA DE PAGO]]=PROVEEDORES[[#This Row],[FECHA DE FACTURACIÓN]],"DE CONTADO","CRÉDITO")</f>
        <v>CRÉDITO</v>
      </c>
      <c r="B31" s="38" t="str">
        <f>+IF((PROVEEDORES[[#This Row],[FECHA DE PAGO]]-PROVEEDORES[[#This Row],[FECHA DE FACTURACIÓN]])&gt;PROVEEDORES[[#This Row],[PLAZO Días]],"PAGO VENCIDO")</f>
        <v>PAGO VENCIDO</v>
      </c>
      <c r="C31" s="20">
        <f>+VLOOKUP(PROVEEDORES[[#This Row],[PROVEEDOR]],TERCEROS_INFO[#All],2,FALSE)</f>
        <v>30</v>
      </c>
      <c r="D31" s="25">
        <f>+SUMIFS(PROVEEDORES[Total],PROVEEDORES[PROVEEDOR],PROVEEDORES[[#This Row],[PROVEEDOR]],PROVEEDORES[FECHA DE PAGO],"")</f>
        <v>380979.69</v>
      </c>
      <c r="E31" s="25"/>
      <c r="F3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31" s="68">
        <v>44575</v>
      </c>
      <c r="H31" s="26" t="s">
        <v>615</v>
      </c>
      <c r="I31" s="68">
        <v>44516</v>
      </c>
      <c r="J31" s="35" t="s">
        <v>292</v>
      </c>
      <c r="K31" s="21">
        <v>2576302</v>
      </c>
      <c r="L31" s="21"/>
      <c r="M31" s="22">
        <v>489497.38</v>
      </c>
      <c r="N31" s="23"/>
      <c r="O31" s="22">
        <v>0</v>
      </c>
      <c r="P31" s="74">
        <f>+IF(PROVEEDORES[[#This Row],[SUBTOTAL]]&lt;PROVEEDORES[[#This Row],[base retencion]],0,PROVEEDORES[[#This Row],[retención aplicada]])</f>
        <v>0</v>
      </c>
      <c r="Q31" s="22">
        <f>+PROVEEDORES[[#This Row],[Rete Fuente %]]*(PROVEEDORES[[#This Row],[SUBTOTAL]]-PROVEEDORES[[#This Row],[descuento sobre subtotal]])</f>
        <v>0</v>
      </c>
      <c r="R31" s="21">
        <v>3065799.38</v>
      </c>
      <c r="S3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63">
        <f ca="1">IF(PROVEEDORES[[#This Row],[FECHA DE PAGO]]=0,TODAY()-PROVEEDORES[[#This Row],[FECHA DE FACTURACIÓN]]-PROVEEDORES[[#This Row],[PLAZO Días]],0)</f>
        <v>0</v>
      </c>
      <c r="U31" s="87">
        <f>+VLOOKUP(PROVEEDORES[[#This Row],[PROVEEDOR]],Terceros!$A:$D,4,FALSE)</f>
        <v>0</v>
      </c>
      <c r="V31" s="88">
        <f>+YEAR(PROVEEDORES[[#This Row],[FECHA DE FACTURACIÓN]])</f>
        <v>2021</v>
      </c>
      <c r="W31" s="88">
        <f>+MATCH(PROVEEDORES[[#This Row],[año facturado]],Retenciones!$1:$1,0)</f>
        <v>4</v>
      </c>
      <c r="X31" s="89">
        <f>+VLOOKUP(PROVEEDORES[[#This Row],[ID RETENCION]],Retenciones!$A$1:$O$25,PROVEEDORES[[#This Row],[indicador de columna]],FALSE)</f>
        <v>0</v>
      </c>
      <c r="Y31" s="90">
        <f>+VLOOKUP(PROVEEDORES[[#This Row],[ID RETENCION]],Retenciones!$A$1:$O$25,2,FALSE)</f>
        <v>0</v>
      </c>
      <c r="Z31" s="116" t="b">
        <f>OR(COUNTIF(PROVEEDORES[[#This Row],[PROVEEDOR]],"*"&amp;'Palabra no opera'!$A$2&amp;"*"))</f>
        <v>1</v>
      </c>
      <c r="AA31" s="24"/>
      <c r="AB31" s="24"/>
      <c r="AC31" s="24"/>
      <c r="AD31" s="24"/>
      <c r="AE31" s="24"/>
    </row>
    <row r="32" spans="1:31" ht="22.35" customHeight="1" x14ac:dyDescent="0.3">
      <c r="A32" s="61" t="str">
        <f>+IF(PROVEEDORES[[#This Row],[FECHA DE PAGO]]=PROVEEDORES[[#This Row],[FECHA DE FACTURACIÓN]],"DE CONTADO","CRÉDITO")</f>
        <v>CRÉDITO</v>
      </c>
      <c r="B32" s="38" t="str">
        <f>+IF((PROVEEDORES[[#This Row],[FECHA DE PAGO]]-PROVEEDORES[[#This Row],[FECHA DE FACTURACIÓN]])&gt;PROVEEDORES[[#This Row],[PLAZO Días]],"PAGO VENCIDO")</f>
        <v>PAGO VENCIDO</v>
      </c>
      <c r="C32" s="20">
        <f>+VLOOKUP(PROVEEDORES[[#This Row],[PROVEEDOR]],TERCEROS_INFO[#All],2,FALSE)</f>
        <v>30</v>
      </c>
      <c r="D32" s="25">
        <f>+SUMIFS(PROVEEDORES[Total],PROVEEDORES[PROVEEDOR],PROVEEDORES[[#This Row],[PROVEEDOR]],PROVEEDORES[FECHA DE PAGO],"")</f>
        <v>380979.69</v>
      </c>
      <c r="E32" s="25"/>
      <c r="F3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32" s="68">
        <v>44575</v>
      </c>
      <c r="H32" s="26" t="s">
        <v>615</v>
      </c>
      <c r="I32" s="68">
        <v>44519</v>
      </c>
      <c r="J32" s="35" t="s">
        <v>291</v>
      </c>
      <c r="K32" s="21">
        <v>6535284</v>
      </c>
      <c r="L32" s="21"/>
      <c r="M32" s="22">
        <v>1241703.96</v>
      </c>
      <c r="N32" s="23"/>
      <c r="O32" s="22">
        <v>0</v>
      </c>
      <c r="P32" s="74">
        <f>+IF(PROVEEDORES[[#This Row],[SUBTOTAL]]&lt;PROVEEDORES[[#This Row],[base retencion]],0,PROVEEDORES[[#This Row],[retención aplicada]])</f>
        <v>0</v>
      </c>
      <c r="Q32" s="22">
        <f>+PROVEEDORES[[#This Row],[Rete Fuente %]]*(PROVEEDORES[[#This Row],[SUBTOTAL]]-PROVEEDORES[[#This Row],[descuento sobre subtotal]])</f>
        <v>0</v>
      </c>
      <c r="R32" s="21">
        <v>7776987.96</v>
      </c>
      <c r="S3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63">
        <f ca="1">IF(PROVEEDORES[[#This Row],[FECHA DE PAGO]]=0,TODAY()-PROVEEDORES[[#This Row],[FECHA DE FACTURACIÓN]]-PROVEEDORES[[#This Row],[PLAZO Días]],0)</f>
        <v>0</v>
      </c>
      <c r="U32" s="87">
        <f>+VLOOKUP(PROVEEDORES[[#This Row],[PROVEEDOR]],Terceros!$A:$D,4,FALSE)</f>
        <v>0</v>
      </c>
      <c r="V32" s="88">
        <f>+YEAR(PROVEEDORES[[#This Row],[FECHA DE FACTURACIÓN]])</f>
        <v>2021</v>
      </c>
      <c r="W32" s="88">
        <f>+MATCH(PROVEEDORES[[#This Row],[año facturado]],Retenciones!$1:$1,0)</f>
        <v>4</v>
      </c>
      <c r="X32" s="89">
        <f>+VLOOKUP(PROVEEDORES[[#This Row],[ID RETENCION]],Retenciones!$A$1:$O$25,PROVEEDORES[[#This Row],[indicador de columna]],FALSE)</f>
        <v>0</v>
      </c>
      <c r="Y32" s="90">
        <f>+VLOOKUP(PROVEEDORES[[#This Row],[ID RETENCION]],Retenciones!$A$1:$O$25,2,FALSE)</f>
        <v>0</v>
      </c>
      <c r="Z32" s="116" t="b">
        <f>OR(COUNTIF(PROVEEDORES[[#This Row],[PROVEEDOR]],"*"&amp;'Palabra no opera'!$A$2&amp;"*"))</f>
        <v>1</v>
      </c>
      <c r="AA32" s="24"/>
      <c r="AB32" s="24"/>
      <c r="AC32" s="24"/>
      <c r="AD32" s="24"/>
      <c r="AE32" s="24"/>
    </row>
    <row r="33" spans="1:31" ht="22.35" customHeight="1" x14ac:dyDescent="0.3">
      <c r="A33" s="61" t="str">
        <f>+IF(PROVEEDORES[[#This Row],[FECHA DE PAGO]]=PROVEEDORES[[#This Row],[FECHA DE FACTURACIÓN]],"DE CONTADO","CRÉDITO")</f>
        <v>CRÉDITO</v>
      </c>
      <c r="B33" s="38" t="b">
        <f>+IF((PROVEEDORES[[#This Row],[FECHA DE PAGO]]-PROVEEDORES[[#This Row],[FECHA DE FACTURACIÓN]])&gt;PROVEEDORES[[#This Row],[PLAZO Días]],"PAGO VENCIDO")</f>
        <v>0</v>
      </c>
      <c r="C33" s="20">
        <f>+VLOOKUP(PROVEEDORES[[#This Row],[PROVEEDOR]],TERCEROS_INFO[#All],2,FALSE)</f>
        <v>10</v>
      </c>
      <c r="D33" s="25">
        <f>+SUMIFS(PROVEEDORES[Total],PROVEEDORES[PROVEEDOR],PROVEEDORES[[#This Row],[PROVEEDOR]],PROVEEDORES[FECHA DE PAGO],"")</f>
        <v>0</v>
      </c>
      <c r="E33" s="25"/>
      <c r="F33" s="56" t="str">
        <f>+VLOOKUP(PROVEEDORES[[#This Row],[PROVEEDOR]],
                       Terceros!$A:$F,
                       5,
                       FALSE)</f>
        <v>howardlondono@impocarga.com;oswaldo.alvarez@logimexsas.com;girlesa.ruiz@servipilas.com;joriescobar64@gmail.com</v>
      </c>
      <c r="G33" s="68">
        <v>44575</v>
      </c>
      <c r="H33" s="26" t="s">
        <v>327</v>
      </c>
      <c r="I33" s="68">
        <v>44574</v>
      </c>
      <c r="J33" s="35" t="s">
        <v>329</v>
      </c>
      <c r="K33" s="21">
        <v>3291827</v>
      </c>
      <c r="L33" s="21"/>
      <c r="M33" s="22">
        <f>(PROVEEDORES[[#This Row],[SUBTOTAL]]-PROVEEDORES[[#This Row],[descuento sobre subtotal]])*VLOOKUP(PROVEEDORES[[#This Row],[PROVEEDOR]],TERCEROS_INFO[#All],3,FALSE)</f>
        <v>625447.13</v>
      </c>
      <c r="N33" s="23"/>
      <c r="O33" s="22">
        <f>+PROVEEDORES[[#This Row],[Descuento sobre subtotal %]]*(PROVEEDORES[[#This Row],[SUBTOTAL]]-PROVEEDORES[[#This Row],[descuento sobre subtotal]])</f>
        <v>0</v>
      </c>
      <c r="P33" s="74">
        <f>+IF(PROVEEDORES[[#This Row],[SUBTOTAL]]&lt;PROVEEDORES[[#This Row],[base retencion]],0,PROVEEDORES[[#This Row],[retención aplicada]])</f>
        <v>0.04</v>
      </c>
      <c r="Q33" s="22">
        <f>+PROVEEDORES[[#This Row],[Rete Fuente %]]*(PROVEEDORES[[#This Row],[SUBTOTAL]]-PROVEEDORES[[#This Row],[descuento sobre subtotal]])</f>
        <v>131673.08000000002</v>
      </c>
      <c r="R33" s="21">
        <v>3917274.13</v>
      </c>
      <c r="S3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63">
        <f ca="1">IF(PROVEEDORES[[#This Row],[FECHA DE PAGO]]=0,TODAY()-PROVEEDORES[[#This Row],[FECHA DE FACTURACIÓN]]-PROVEEDORES[[#This Row],[PLAZO Días]],0)</f>
        <v>0</v>
      </c>
      <c r="U33" s="87" t="str">
        <f>+VLOOKUP(PROVEEDORES[[#This Row],[PROVEEDOR]],Terceros!$A:$D,4,FALSE)</f>
        <v>4% sin base</v>
      </c>
      <c r="V33" s="88">
        <f>+YEAR(PROVEEDORES[[#This Row],[FECHA DE FACTURACIÓN]])</f>
        <v>2022</v>
      </c>
      <c r="W33" s="88">
        <f>+MATCH(PROVEEDORES[[#This Row],[año facturado]],Retenciones!$1:$1,0)</f>
        <v>5</v>
      </c>
      <c r="X33" s="89">
        <f>+VLOOKUP(PROVEEDORES[[#This Row],[ID RETENCION]],Retenciones!$A$1:$O$25,PROVEEDORES[[#This Row],[indicador de columna]],FALSE)</f>
        <v>0</v>
      </c>
      <c r="Y33" s="90">
        <f>+VLOOKUP(PROVEEDORES[[#This Row],[ID RETENCION]],Retenciones!$A$1:$O$25,2,FALSE)</f>
        <v>0.04</v>
      </c>
      <c r="Z33" s="116" t="b">
        <f>OR(COUNTIF(PROVEEDORES[[#This Row],[PROVEEDOR]],"*"&amp;'Palabra no opera'!$A$2&amp;"*"))</f>
        <v>0</v>
      </c>
      <c r="AA33" s="24"/>
      <c r="AB33" s="24"/>
      <c r="AC33" s="24"/>
      <c r="AD33" s="24"/>
      <c r="AE33" s="24"/>
    </row>
    <row r="34" spans="1:31" ht="22.35" customHeight="1" x14ac:dyDescent="0.3">
      <c r="A34" s="61" t="str">
        <f>+IF(PROVEEDORES[[#This Row],[FECHA DE PAGO]]=PROVEEDORES[[#This Row],[FECHA DE FACTURACIÓN]],"DE CONTADO","CRÉDITO")</f>
        <v>CRÉDITO</v>
      </c>
      <c r="B34" s="38" t="b">
        <f>+IF((PROVEEDORES[[#This Row],[FECHA DE PAGO]]-PROVEEDORES[[#This Row],[FECHA DE FACTURACIÓN]])&gt;PROVEEDORES[[#This Row],[PLAZO Días]],"PAGO VENCIDO")</f>
        <v>0</v>
      </c>
      <c r="C34" s="20">
        <f>+VLOOKUP(PROVEEDORES[[#This Row],[PROVEEDOR]],TERCEROS_INFO[#All],2,FALSE)</f>
        <v>30</v>
      </c>
      <c r="D34" s="25">
        <f>+SUMIFS(PROVEEDORES[Total],PROVEEDORES[PROVEEDOR],PROVEEDORES[[#This Row],[PROVEEDOR]],PROVEEDORES[FECHA DE PAGO],"")</f>
        <v>352505.48</v>
      </c>
      <c r="E34" s="25"/>
      <c r="F34" s="56" t="str">
        <f>+VLOOKUP(PROVEEDORES[[#This Row],[PROVEEDOR]],
                       Terceros!$A:$F,
                       5,
                       FALSE)</f>
        <v>facturacion@losmolinos.com.co</v>
      </c>
      <c r="G34" s="68">
        <v>44575</v>
      </c>
      <c r="H34" s="26" t="s">
        <v>650</v>
      </c>
      <c r="I34" s="68">
        <v>44562</v>
      </c>
      <c r="J34" s="35">
        <v>65772</v>
      </c>
      <c r="K34" s="21">
        <v>329920.96000000002</v>
      </c>
      <c r="L34" s="21"/>
      <c r="M34" s="22">
        <f>(PROVEEDORES[[#This Row],[SUBTOTAL]]-PROVEEDORES[[#This Row],[descuento sobre subtotal]])*VLOOKUP(PROVEEDORES[[#This Row],[PROVEEDOR]],TERCEROS_INFO[#All],3,FALSE)</f>
        <v>0</v>
      </c>
      <c r="N34" s="23"/>
      <c r="O34" s="22">
        <f>+PROVEEDORES[[#This Row],[Descuento sobre subtotal %]]*(PROVEEDORES[[#This Row],[SUBTOTAL]]-PROVEEDORES[[#This Row],[descuento sobre subtotal]])</f>
        <v>0</v>
      </c>
      <c r="P34" s="74">
        <f>+IF(PROVEEDORES[[#This Row],[SUBTOTAL]]&lt;PROVEEDORES[[#This Row],[base retencion]],0,PROVEEDORES[[#This Row],[retención aplicada]])</f>
        <v>0</v>
      </c>
      <c r="Q34" s="22">
        <f>+PROVEEDORES[[#This Row],[Rete Fuente %]]*(PROVEEDORES[[#This Row],[SUBTOTAL]]-PROVEEDORES[[#This Row],[descuento sobre subtotal]])</f>
        <v>0</v>
      </c>
      <c r="R34" s="21">
        <v>329920.96000000002</v>
      </c>
      <c r="S3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63">
        <f ca="1">IF(PROVEEDORES[[#This Row],[FECHA DE PAGO]]=0,TODAY()-PROVEEDORES[[#This Row],[FECHA DE FACTURACIÓN]]-PROVEEDORES[[#This Row],[PLAZO Días]],0)</f>
        <v>0</v>
      </c>
      <c r="U34" s="87">
        <f>+VLOOKUP(PROVEEDORES[[#This Row],[PROVEEDOR]],Terceros!$A:$D,4,FALSE)</f>
        <v>0</v>
      </c>
      <c r="V34" s="88">
        <f>+YEAR(PROVEEDORES[[#This Row],[FECHA DE FACTURACIÓN]])</f>
        <v>2022</v>
      </c>
      <c r="W34" s="88">
        <f>+MATCH(PROVEEDORES[[#This Row],[año facturado]],Retenciones!$1:$1,0)</f>
        <v>5</v>
      </c>
      <c r="X34" s="89">
        <f>+VLOOKUP(PROVEEDORES[[#This Row],[ID RETENCION]],Retenciones!$A$1:$O$25,PROVEEDORES[[#This Row],[indicador de columna]],FALSE)</f>
        <v>0</v>
      </c>
      <c r="Y34" s="90">
        <f>+VLOOKUP(PROVEEDORES[[#This Row],[ID RETENCION]],Retenciones!$A$1:$O$25,2,FALSE)</f>
        <v>0</v>
      </c>
      <c r="Z34" s="116" t="b">
        <f>OR(COUNTIF(PROVEEDORES[[#This Row],[PROVEEDOR]],"*"&amp;'Palabra no opera'!$A$2&amp;"*"))</f>
        <v>1</v>
      </c>
      <c r="AA34" s="24"/>
      <c r="AB34" s="24"/>
      <c r="AC34" s="24"/>
      <c r="AD34" s="24"/>
      <c r="AE34" s="24"/>
    </row>
    <row r="35" spans="1:31" ht="22.35" customHeight="1" x14ac:dyDescent="0.3">
      <c r="A35" s="61" t="str">
        <f>+IF(PROVEEDORES[[#This Row],[FECHA DE PAGO]]=PROVEEDORES[[#This Row],[FECHA DE FACTURACIÓN]],"DE CONTADO","CRÉDITO")</f>
        <v>CRÉDITO</v>
      </c>
      <c r="B35" s="38" t="b">
        <f>+IF((PROVEEDORES[[#This Row],[FECHA DE PAGO]]-PROVEEDORES[[#This Row],[FECHA DE FACTURACIÓN]])&gt;PROVEEDORES[[#This Row],[PLAZO Días]],"PAGO VENCIDO")</f>
        <v>0</v>
      </c>
      <c r="C35" s="20">
        <f>+VLOOKUP(PROVEEDORES[[#This Row],[PROVEEDOR]],TERCEROS_INFO[#All],2,FALSE)</f>
        <v>30</v>
      </c>
      <c r="D35" s="25">
        <f>+SUMIFS(PROVEEDORES[Total],PROVEEDORES[PROVEEDOR],PROVEEDORES[[#This Row],[PROVEEDOR]],PROVEEDORES[FECHA DE PAGO],"")</f>
        <v>0</v>
      </c>
      <c r="E35" s="25"/>
      <c r="F3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5" s="68">
        <v>44575</v>
      </c>
      <c r="H35" s="26" t="s">
        <v>637</v>
      </c>
      <c r="I35" s="68">
        <v>44562</v>
      </c>
      <c r="J35" s="35">
        <v>12657</v>
      </c>
      <c r="K35" s="21">
        <v>800264</v>
      </c>
      <c r="L35" s="21"/>
      <c r="M35" s="22">
        <f>(PROVEEDORES[[#This Row],[SUBTOTAL]]-PROVEEDORES[[#This Row],[descuento sobre subtotal]])*VLOOKUP(PROVEEDORES[[#This Row],[PROVEEDOR]],TERCEROS_INFO[#All],3,FALSE)</f>
        <v>0</v>
      </c>
      <c r="N35" s="23"/>
      <c r="O35" s="22">
        <f>+PROVEEDORES[[#This Row],[Descuento sobre subtotal %]]*(PROVEEDORES[[#This Row],[SUBTOTAL]]-PROVEEDORES[[#This Row],[descuento sobre subtotal]])</f>
        <v>0</v>
      </c>
      <c r="P35" s="74">
        <f>+IF(PROVEEDORES[[#This Row],[SUBTOTAL]]&lt;PROVEEDORES[[#This Row],[base retencion]],0,PROVEEDORES[[#This Row],[retención aplicada]])</f>
        <v>0</v>
      </c>
      <c r="Q35" s="22">
        <f>+PROVEEDORES[[#This Row],[Rete Fuente %]]*(PROVEEDORES[[#This Row],[SUBTOTAL]]-PROVEEDORES[[#This Row],[descuento sobre subtotal]])</f>
        <v>0</v>
      </c>
      <c r="R35" s="21">
        <v>800264</v>
      </c>
      <c r="S3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63">
        <f ca="1">IF(PROVEEDORES[[#This Row],[FECHA DE PAGO]]=0,TODAY()-PROVEEDORES[[#This Row],[FECHA DE FACTURACIÓN]]-PROVEEDORES[[#This Row],[PLAZO Días]],0)</f>
        <v>0</v>
      </c>
      <c r="U35" s="87">
        <f>+VLOOKUP(PROVEEDORES[[#This Row],[PROVEEDOR]],Terceros!$A:$D,4,FALSE)</f>
        <v>0</v>
      </c>
      <c r="V35" s="88">
        <f>+YEAR(PROVEEDORES[[#This Row],[FECHA DE FACTURACIÓN]])</f>
        <v>2022</v>
      </c>
      <c r="W35" s="88">
        <f>+MATCH(PROVEEDORES[[#This Row],[año facturado]],Retenciones!$1:$1,0)</f>
        <v>5</v>
      </c>
      <c r="X35" s="89">
        <f>+VLOOKUP(PROVEEDORES[[#This Row],[ID RETENCION]],Retenciones!$A$1:$O$25,PROVEEDORES[[#This Row],[indicador de columna]],FALSE)</f>
        <v>0</v>
      </c>
      <c r="Y35" s="90">
        <f>+VLOOKUP(PROVEEDORES[[#This Row],[ID RETENCION]],Retenciones!$A$1:$O$25,2,FALSE)</f>
        <v>0</v>
      </c>
      <c r="Z35" s="116" t="b">
        <f>OR(COUNTIF(PROVEEDORES[[#This Row],[PROVEEDOR]],"*"&amp;'Palabra no opera'!$A$2&amp;"*"))</f>
        <v>1</v>
      </c>
      <c r="AA35" s="24"/>
      <c r="AB35" s="24"/>
      <c r="AC35" s="24"/>
      <c r="AD35" s="24"/>
      <c r="AE35" s="24"/>
    </row>
    <row r="36" spans="1:31" ht="22.35" customHeight="1" x14ac:dyDescent="0.3">
      <c r="A36" s="61" t="str">
        <f>+IF(PROVEEDORES[[#This Row],[FECHA DE PAGO]]=PROVEEDORES[[#This Row],[FECHA DE FACTURACIÓN]],"DE CONTADO","CRÉDITO")</f>
        <v>CRÉDITO</v>
      </c>
      <c r="B36" s="38" t="b">
        <f>+IF((PROVEEDORES[[#This Row],[FECHA DE PAGO]]-PROVEEDORES[[#This Row],[FECHA DE FACTURACIÓN]])&gt;PROVEEDORES[[#This Row],[PLAZO Días]],"PAGO VENCIDO")</f>
        <v>0</v>
      </c>
      <c r="C36" s="20">
        <f>+VLOOKUP(PROVEEDORES[[#This Row],[PROVEEDOR]],TERCEROS_INFO[#All],2,FALSE)</f>
        <v>30</v>
      </c>
      <c r="D36" s="25">
        <f>+SUMIFS(PROVEEDORES[Total],PROVEEDORES[PROVEEDOR],PROVEEDORES[[#This Row],[PROVEEDOR]],PROVEEDORES[FECHA DE PAGO],"")</f>
        <v>0</v>
      </c>
      <c r="E36" s="25"/>
      <c r="F3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6" s="68">
        <v>44575</v>
      </c>
      <c r="H36" s="26" t="s">
        <v>637</v>
      </c>
      <c r="I36" s="68">
        <v>44562</v>
      </c>
      <c r="J36" s="35">
        <v>12698</v>
      </c>
      <c r="K36" s="21">
        <v>818874</v>
      </c>
      <c r="L36" s="21"/>
      <c r="M36" s="22">
        <f>(PROVEEDORES[[#This Row],[SUBTOTAL]]-PROVEEDORES[[#This Row],[descuento sobre subtotal]])*VLOOKUP(PROVEEDORES[[#This Row],[PROVEEDOR]],TERCEROS_INFO[#All],3,FALSE)</f>
        <v>0</v>
      </c>
      <c r="N36" s="23"/>
      <c r="O36" s="22">
        <f>+PROVEEDORES[[#This Row],[Descuento sobre subtotal %]]*(PROVEEDORES[[#This Row],[SUBTOTAL]]-PROVEEDORES[[#This Row],[descuento sobre subtotal]])</f>
        <v>0</v>
      </c>
      <c r="P36" s="74">
        <f>+IF(PROVEEDORES[[#This Row],[SUBTOTAL]]&lt;PROVEEDORES[[#This Row],[base retencion]],0,PROVEEDORES[[#This Row],[retención aplicada]])</f>
        <v>0</v>
      </c>
      <c r="Q36" s="22">
        <f>+PROVEEDORES[[#This Row],[Rete Fuente %]]*(PROVEEDORES[[#This Row],[SUBTOTAL]]-PROVEEDORES[[#This Row],[descuento sobre subtotal]])</f>
        <v>0</v>
      </c>
      <c r="R36" s="21">
        <v>818874</v>
      </c>
      <c r="S3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63">
        <f ca="1">IF(PROVEEDORES[[#This Row],[FECHA DE PAGO]]=0,TODAY()-PROVEEDORES[[#This Row],[FECHA DE FACTURACIÓN]]-PROVEEDORES[[#This Row],[PLAZO Días]],0)</f>
        <v>0</v>
      </c>
      <c r="U36" s="87">
        <f>+VLOOKUP(PROVEEDORES[[#This Row],[PROVEEDOR]],Terceros!$A:$D,4,FALSE)</f>
        <v>0</v>
      </c>
      <c r="V36" s="88">
        <f>+YEAR(PROVEEDORES[[#This Row],[FECHA DE FACTURACIÓN]])</f>
        <v>2022</v>
      </c>
      <c r="W36" s="88">
        <f>+MATCH(PROVEEDORES[[#This Row],[año facturado]],Retenciones!$1:$1,0)</f>
        <v>5</v>
      </c>
      <c r="X36" s="89">
        <f>+VLOOKUP(PROVEEDORES[[#This Row],[ID RETENCION]],Retenciones!$A$1:$O$25,PROVEEDORES[[#This Row],[indicador de columna]],FALSE)</f>
        <v>0</v>
      </c>
      <c r="Y36" s="90">
        <f>+VLOOKUP(PROVEEDORES[[#This Row],[ID RETENCION]],Retenciones!$A$1:$O$25,2,FALSE)</f>
        <v>0</v>
      </c>
      <c r="Z36" s="116" t="b">
        <f>OR(COUNTIF(PROVEEDORES[[#This Row],[PROVEEDOR]],"*"&amp;'Palabra no opera'!$A$2&amp;"*"))</f>
        <v>1</v>
      </c>
      <c r="AA36" s="24"/>
      <c r="AB36" s="24"/>
      <c r="AC36" s="24"/>
      <c r="AD36" s="24"/>
      <c r="AE36" s="24"/>
    </row>
    <row r="37" spans="1:31" ht="22.35" customHeight="1" x14ac:dyDescent="0.3">
      <c r="A37" s="61" t="str">
        <f>+IF(PROVEEDORES[[#This Row],[FECHA DE PAGO]]=PROVEEDORES[[#This Row],[FECHA DE FACTURACIÓN]],"DE CONTADO","CRÉDITO")</f>
        <v>CRÉDITO</v>
      </c>
      <c r="B37" s="38" t="b">
        <f>+IF((PROVEEDORES[[#This Row],[FECHA DE PAGO]]-PROVEEDORES[[#This Row],[FECHA DE FACTURACIÓN]])&gt;PROVEEDORES[[#This Row],[PLAZO Días]],"PAGO VENCIDO")</f>
        <v>0</v>
      </c>
      <c r="C37" s="20">
        <f>+VLOOKUP(PROVEEDORES[[#This Row],[PROVEEDOR]],TERCEROS_INFO[#All],2,FALSE)</f>
        <v>30</v>
      </c>
      <c r="D37" s="25">
        <f>+SUMIFS(PROVEEDORES[Total],PROVEEDORES[PROVEEDOR],PROVEEDORES[[#This Row],[PROVEEDOR]],PROVEEDORES[FECHA DE PAGO],"")</f>
        <v>0</v>
      </c>
      <c r="E37" s="25"/>
      <c r="F37" s="56">
        <f>+VLOOKUP(PROVEEDORES[[#This Row],[PROVEEDOR]],
                       Terceros!$A:$F,
                       5,
                       FALSE)</f>
        <v>0</v>
      </c>
      <c r="G37" s="68">
        <v>44575</v>
      </c>
      <c r="H37" s="26" t="s">
        <v>642</v>
      </c>
      <c r="I37" s="68">
        <v>44562</v>
      </c>
      <c r="J37" s="35" t="s">
        <v>217</v>
      </c>
      <c r="K37" s="21">
        <v>313385</v>
      </c>
      <c r="L37" s="21"/>
      <c r="M37" s="22">
        <f>(PROVEEDORES[[#This Row],[SUBTOTAL]]-PROVEEDORES[[#This Row],[descuento sobre subtotal]])*VLOOKUP(PROVEEDORES[[#This Row],[PROVEEDOR]],TERCEROS_INFO[#All],3,FALSE)</f>
        <v>0</v>
      </c>
      <c r="N37" s="23"/>
      <c r="O37" s="22">
        <f>+PROVEEDORES[[#This Row],[Descuento sobre subtotal %]]*(PROVEEDORES[[#This Row],[SUBTOTAL]]-PROVEEDORES[[#This Row],[descuento sobre subtotal]])</f>
        <v>0</v>
      </c>
      <c r="P37" s="74">
        <f>+IF(PROVEEDORES[[#This Row],[SUBTOTAL]]&lt;PROVEEDORES[[#This Row],[base retencion]],0,PROVEEDORES[[#This Row],[retención aplicada]])</f>
        <v>0</v>
      </c>
      <c r="Q37" s="22">
        <f>+PROVEEDORES[[#This Row],[Rete Fuente %]]*(PROVEEDORES[[#This Row],[SUBTOTAL]]-PROVEEDORES[[#This Row],[descuento sobre subtotal]])</f>
        <v>0</v>
      </c>
      <c r="R37" s="21">
        <v>313385</v>
      </c>
      <c r="S3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63">
        <f ca="1">IF(PROVEEDORES[[#This Row],[FECHA DE PAGO]]=0,TODAY()-PROVEEDORES[[#This Row],[FECHA DE FACTURACIÓN]]-PROVEEDORES[[#This Row],[PLAZO Días]],0)</f>
        <v>0</v>
      </c>
      <c r="U37" s="87">
        <f>+VLOOKUP(PROVEEDORES[[#This Row],[PROVEEDOR]],Terceros!$A:$D,4,FALSE)</f>
        <v>0</v>
      </c>
      <c r="V37" s="88">
        <f>+YEAR(PROVEEDORES[[#This Row],[FECHA DE FACTURACIÓN]])</f>
        <v>2022</v>
      </c>
      <c r="W37" s="88">
        <f>+MATCH(PROVEEDORES[[#This Row],[año facturado]],Retenciones!$1:$1,0)</f>
        <v>5</v>
      </c>
      <c r="X37" s="89">
        <f>+VLOOKUP(PROVEEDORES[[#This Row],[ID RETENCION]],Retenciones!$A$1:$O$25,PROVEEDORES[[#This Row],[indicador de columna]],FALSE)</f>
        <v>0</v>
      </c>
      <c r="Y37" s="90">
        <f>+VLOOKUP(PROVEEDORES[[#This Row],[ID RETENCION]],Retenciones!$A$1:$O$25,2,FALSE)</f>
        <v>0</v>
      </c>
      <c r="Z37" s="116" t="b">
        <f>OR(COUNTIF(PROVEEDORES[[#This Row],[PROVEEDOR]],"*"&amp;'Palabra no opera'!$A$2&amp;"*"))</f>
        <v>1</v>
      </c>
      <c r="AA37" s="24"/>
      <c r="AB37" s="24"/>
      <c r="AC37" s="24"/>
      <c r="AD37" s="24"/>
      <c r="AE37" s="24"/>
    </row>
    <row r="38" spans="1:31" ht="22.35" customHeight="1" x14ac:dyDescent="0.3">
      <c r="A38" s="61" t="str">
        <f>+IF(PROVEEDORES[[#This Row],[FECHA DE PAGO]]=PROVEEDORES[[#This Row],[FECHA DE FACTURACIÓN]],"DE CONTADO","CRÉDITO")</f>
        <v>CRÉDITO</v>
      </c>
      <c r="B38" s="38" t="str">
        <f>+IF((PROVEEDORES[[#This Row],[FECHA DE PAGO]]-PROVEEDORES[[#This Row],[FECHA DE FACTURACIÓN]])&gt;PROVEEDORES[[#This Row],[PLAZO Días]],"PAGO VENCIDO")</f>
        <v>PAGO VENCIDO</v>
      </c>
      <c r="C38" s="20">
        <f>+VLOOKUP(PROVEEDORES[[#This Row],[PROVEEDOR]],TERCEROS_INFO[#All],2,FALSE)</f>
        <v>30</v>
      </c>
      <c r="D38" s="25">
        <f>+SUMIFS(PROVEEDORES[Total],PROVEEDORES[PROVEEDOR],PROVEEDORES[[#This Row],[PROVEEDOR]],PROVEEDORES[FECHA DE PAGO],"")</f>
        <v>121187115</v>
      </c>
      <c r="E38" s="25"/>
      <c r="F38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38" s="68">
        <v>44578</v>
      </c>
      <c r="H38" s="26" t="s">
        <v>31</v>
      </c>
      <c r="I38" s="68">
        <v>44531</v>
      </c>
      <c r="J38" s="35">
        <v>55546</v>
      </c>
      <c r="K38" s="21">
        <v>57896217.960000001</v>
      </c>
      <c r="L38" s="21"/>
      <c r="M38" s="22">
        <f>(PROVEEDORES[[#This Row],[SUBTOTAL]]-PROVEEDORES[[#This Row],[descuento sobre subtotal]])*VLOOKUP(PROVEEDORES[[#This Row],[PROVEEDOR]],TERCEROS_INFO[#All],3,FALSE)</f>
        <v>0</v>
      </c>
      <c r="N38" s="23"/>
      <c r="O38" s="22">
        <f>+PROVEEDORES[[#This Row],[Descuento sobre subtotal %]]*(PROVEEDORES[[#This Row],[SUBTOTAL]]-PROVEEDORES[[#This Row],[descuento sobre subtotal]])</f>
        <v>0</v>
      </c>
      <c r="P38" s="74">
        <f>+IF(PROVEEDORES[[#This Row],[SUBTOTAL]]&lt;PROVEEDORES[[#This Row],[base retencion]],0,PROVEEDORES[[#This Row],[retención aplicada]])</f>
        <v>0</v>
      </c>
      <c r="Q38" s="22">
        <f>+PROVEEDORES[[#This Row],[Rete Fuente %]]*(PROVEEDORES[[#This Row],[SUBTOTAL]]-PROVEEDORES[[#This Row],[descuento sobre subtotal]])</f>
        <v>0</v>
      </c>
      <c r="R38" s="21">
        <v>57896217.960000001</v>
      </c>
      <c r="S3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63">
        <f ca="1">IF(PROVEEDORES[[#This Row],[FECHA DE PAGO]]=0,TODAY()-PROVEEDORES[[#This Row],[FECHA DE FACTURACIÓN]]-PROVEEDORES[[#This Row],[PLAZO Días]],0)</f>
        <v>0</v>
      </c>
      <c r="U38" s="87">
        <f>+VLOOKUP(PROVEEDORES[[#This Row],[PROVEEDOR]],Terceros!$A:$D,4,FALSE)</f>
        <v>0</v>
      </c>
      <c r="V38" s="88">
        <f>+YEAR(PROVEEDORES[[#This Row],[FECHA DE FACTURACIÓN]])</f>
        <v>2021</v>
      </c>
      <c r="W38" s="88">
        <f>+MATCH(PROVEEDORES[[#This Row],[año facturado]],Retenciones!$1:$1,0)</f>
        <v>4</v>
      </c>
      <c r="X38" s="89">
        <f>+VLOOKUP(PROVEEDORES[[#This Row],[ID RETENCION]],Retenciones!$A$1:$O$25,PROVEEDORES[[#This Row],[indicador de columna]],FALSE)</f>
        <v>0</v>
      </c>
      <c r="Y38" s="90">
        <f>+VLOOKUP(PROVEEDORES[[#This Row],[ID RETENCION]],Retenciones!$A$1:$O$25,2,FALSE)</f>
        <v>0</v>
      </c>
      <c r="Z38" s="116" t="b">
        <f>OR(COUNTIF(PROVEEDORES[[#This Row],[PROVEEDOR]],"*"&amp;'Palabra no opera'!$A$2&amp;"*"))</f>
        <v>0</v>
      </c>
      <c r="AA38" s="24"/>
      <c r="AB38" s="24"/>
      <c r="AC38" s="24"/>
      <c r="AD38" s="24"/>
      <c r="AE38" s="24"/>
    </row>
    <row r="39" spans="1:31" ht="22.35" customHeight="1" x14ac:dyDescent="0.3">
      <c r="A39" s="61" t="str">
        <f>+IF(PROVEEDORES[[#This Row],[FECHA DE PAGO]]=PROVEEDORES[[#This Row],[FECHA DE FACTURACIÓN]],"DE CONTADO","CRÉDITO")</f>
        <v>CRÉDITO</v>
      </c>
      <c r="B39" s="38" t="b">
        <f>+IF((PROVEEDORES[[#This Row],[FECHA DE PAGO]]-PROVEEDORES[[#This Row],[FECHA DE FACTURACIÓN]])&gt;PROVEEDORES[[#This Row],[PLAZO Días]],"PAGO VENCIDO")</f>
        <v>0</v>
      </c>
      <c r="C39" s="20">
        <f>+VLOOKUP(PROVEEDORES[[#This Row],[PROVEEDOR]],TERCEROS_INFO[#All],2,FALSE)</f>
        <v>10</v>
      </c>
      <c r="D39" s="25">
        <f>+SUMIFS(PROVEEDORES[Total],PROVEEDORES[PROVEEDOR],PROVEEDORES[[#This Row],[PROVEEDOR]],PROVEEDORES[FECHA DE PAGO],"")</f>
        <v>0</v>
      </c>
      <c r="E39" s="25"/>
      <c r="F39" s="56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39" s="68">
        <v>44579</v>
      </c>
      <c r="H39" s="26" t="s">
        <v>614</v>
      </c>
      <c r="I39" s="68">
        <v>44574</v>
      </c>
      <c r="J39" s="35" t="s">
        <v>333</v>
      </c>
      <c r="K39" s="21">
        <v>372000</v>
      </c>
      <c r="L39" s="21"/>
      <c r="M39" s="22">
        <f>(PROVEEDORES[[#This Row],[SUBTOTAL]]-PROVEEDORES[[#This Row],[descuento sobre subtotal]])*VLOOKUP(PROVEEDORES[[#This Row],[PROVEEDOR]],TERCEROS_INFO[#All],3,FALSE)</f>
        <v>0</v>
      </c>
      <c r="N39" s="23"/>
      <c r="O39" s="22">
        <f>+PROVEEDORES[[#This Row],[Descuento sobre subtotal %]]*(PROVEEDORES[[#This Row],[SUBTOTAL]]-PROVEEDORES[[#This Row],[descuento sobre subtotal]])</f>
        <v>0</v>
      </c>
      <c r="P39" s="74">
        <f>+IF(PROVEEDORES[[#This Row],[SUBTOTAL]]&lt;PROVEEDORES[[#This Row],[base retencion]],0,PROVEEDORES[[#This Row],[retención aplicada]])</f>
        <v>0</v>
      </c>
      <c r="Q39" s="22">
        <f>+PROVEEDORES[[#This Row],[Rete Fuente %]]*(PROVEEDORES[[#This Row],[SUBTOTAL]]-PROVEEDORES[[#This Row],[descuento sobre subtotal]])</f>
        <v>0</v>
      </c>
      <c r="R39" s="21">
        <v>372</v>
      </c>
      <c r="S3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63">
        <f ca="1">IF(PROVEEDORES[[#This Row],[FECHA DE PAGO]]=0,TODAY()-PROVEEDORES[[#This Row],[FECHA DE FACTURACIÓN]]-PROVEEDORES[[#This Row],[PLAZO Días]],0)</f>
        <v>0</v>
      </c>
      <c r="U39" s="87">
        <f>+VLOOKUP(PROVEEDORES[[#This Row],[PROVEEDOR]],Terceros!$A:$D,4,FALSE)</f>
        <v>0</v>
      </c>
      <c r="V39" s="88">
        <f>+YEAR(PROVEEDORES[[#This Row],[FECHA DE FACTURACIÓN]])</f>
        <v>2022</v>
      </c>
      <c r="W39" s="88">
        <f>+MATCH(PROVEEDORES[[#This Row],[año facturado]],Retenciones!$1:$1,0)</f>
        <v>5</v>
      </c>
      <c r="X39" s="89">
        <f>+VLOOKUP(PROVEEDORES[[#This Row],[ID RETENCION]],Retenciones!$A$1:$O$25,PROVEEDORES[[#This Row],[indicador de columna]],FALSE)</f>
        <v>0</v>
      </c>
      <c r="Y39" s="90">
        <f>+VLOOKUP(PROVEEDORES[[#This Row],[ID RETENCION]],Retenciones!$A$1:$O$25,2,FALSE)</f>
        <v>0</v>
      </c>
      <c r="Z39" s="116" t="b">
        <f>OR(COUNTIF(PROVEEDORES[[#This Row],[PROVEEDOR]],"*"&amp;'Palabra no opera'!$A$2&amp;"*"))</f>
        <v>1</v>
      </c>
      <c r="AA39" s="24"/>
      <c r="AB39" s="24"/>
      <c r="AC39" s="24"/>
      <c r="AD39" s="24"/>
      <c r="AE39" s="24"/>
    </row>
    <row r="40" spans="1:31" ht="22.35" customHeight="1" x14ac:dyDescent="0.3">
      <c r="A40" s="61" t="str">
        <f>+IF(PROVEEDORES[[#This Row],[FECHA DE PAGO]]=PROVEEDORES[[#This Row],[FECHA DE FACTURACIÓN]],"DE CONTADO","CRÉDITO")</f>
        <v>CRÉDITO</v>
      </c>
      <c r="B40" s="38" t="b">
        <f>+IF((PROVEEDORES[[#This Row],[FECHA DE PAGO]]-PROVEEDORES[[#This Row],[FECHA DE FACTURACIÓN]])&gt;PROVEEDORES[[#This Row],[PLAZO Días]],"PAGO VENCIDO")</f>
        <v>0</v>
      </c>
      <c r="C40" s="20">
        <f>+VLOOKUP(PROVEEDORES[[#This Row],[PROVEEDOR]],TERCEROS_INFO[#All],2,FALSE)</f>
        <v>30</v>
      </c>
      <c r="D40" s="25">
        <f>+SUMIFS(PROVEEDORES[Total],PROVEEDORES[PROVEEDOR],PROVEEDORES[[#This Row],[PROVEEDOR]],PROVEEDORES[FECHA DE PAGO],"")</f>
        <v>0</v>
      </c>
      <c r="E40" s="25"/>
      <c r="F40" s="56" t="str">
        <f>+VLOOKUP(PROVEEDORES[[#This Row],[PROVEEDOR]],
                       Terceros!$A:$F,
                       5,
                       FALSE)</f>
        <v/>
      </c>
      <c r="G40" s="68">
        <v>44579</v>
      </c>
      <c r="H40" s="26" t="s">
        <v>92</v>
      </c>
      <c r="I40" s="68">
        <v>44578</v>
      </c>
      <c r="J40" s="35" t="s">
        <v>334</v>
      </c>
      <c r="K40" s="21">
        <v>6935000</v>
      </c>
      <c r="L40" s="21"/>
      <c r="M40" s="22">
        <f>(PROVEEDORES[[#This Row],[SUBTOTAL]]-PROVEEDORES[[#This Row],[descuento sobre subtotal]])*VLOOKUP(PROVEEDORES[[#This Row],[PROVEEDOR]],TERCEROS_INFO[#All],3,FALSE)</f>
        <v>0</v>
      </c>
      <c r="N40" s="23"/>
      <c r="O40" s="22">
        <f>+PROVEEDORES[[#This Row],[Descuento sobre subtotal %]]*(PROVEEDORES[[#This Row],[SUBTOTAL]]-PROVEEDORES[[#This Row],[descuento sobre subtotal]])</f>
        <v>0</v>
      </c>
      <c r="P40" s="74">
        <f>+IF(PROVEEDORES[[#This Row],[SUBTOTAL]]&lt;PROVEEDORES[[#This Row],[base retencion]],0,PROVEEDORES[[#This Row],[retención aplicada]])</f>
        <v>0</v>
      </c>
      <c r="Q40" s="22">
        <f>+PROVEEDORES[[#This Row],[Rete Fuente %]]*(PROVEEDORES[[#This Row],[SUBTOTAL]]-PROVEEDORES[[#This Row],[descuento sobre subtotal]])</f>
        <v>0</v>
      </c>
      <c r="R40" s="21">
        <v>6935000</v>
      </c>
      <c r="S4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63">
        <f ca="1">IF(PROVEEDORES[[#This Row],[FECHA DE PAGO]]=0,TODAY()-PROVEEDORES[[#This Row],[FECHA DE FACTURACIÓN]]-PROVEEDORES[[#This Row],[PLAZO Días]],0)</f>
        <v>0</v>
      </c>
      <c r="U40" s="87">
        <f>+VLOOKUP(PROVEEDORES[[#This Row],[PROVEEDOR]],Terceros!$A:$D,4,FALSE)</f>
        <v>0</v>
      </c>
      <c r="V40" s="88">
        <f>+YEAR(PROVEEDORES[[#This Row],[FECHA DE FACTURACIÓN]])</f>
        <v>2022</v>
      </c>
      <c r="W40" s="88">
        <f>+MATCH(PROVEEDORES[[#This Row],[año facturado]],Retenciones!$1:$1,0)</f>
        <v>5</v>
      </c>
      <c r="X40" s="89">
        <f>+VLOOKUP(PROVEEDORES[[#This Row],[ID RETENCION]],Retenciones!$A$1:$O$25,PROVEEDORES[[#This Row],[indicador de columna]],FALSE)</f>
        <v>0</v>
      </c>
      <c r="Y40" s="90">
        <f>+VLOOKUP(PROVEEDORES[[#This Row],[ID RETENCION]],Retenciones!$A$1:$O$25,2,FALSE)</f>
        <v>0</v>
      </c>
      <c r="Z40" s="116" t="b">
        <f>OR(COUNTIF(PROVEEDORES[[#This Row],[PROVEEDOR]],"*"&amp;'Palabra no opera'!$A$2&amp;"*"))</f>
        <v>0</v>
      </c>
      <c r="AA40" s="24"/>
      <c r="AB40" s="24"/>
      <c r="AC40" s="24"/>
      <c r="AD40" s="24"/>
      <c r="AE40" s="24"/>
    </row>
    <row r="41" spans="1:31" ht="22.35" customHeight="1" x14ac:dyDescent="0.3">
      <c r="A41" s="61" t="str">
        <f>+IF(PROVEEDORES[[#This Row],[FECHA DE PAGO]]=PROVEEDORES[[#This Row],[FECHA DE FACTURACIÓN]],"DE CONTADO","CRÉDITO")</f>
        <v>CRÉDITO</v>
      </c>
      <c r="B41" s="38" t="b">
        <f>+IF((PROVEEDORES[[#This Row],[FECHA DE PAGO]]-PROVEEDORES[[#This Row],[FECHA DE FACTURACIÓN]])&gt;PROVEEDORES[[#This Row],[PLAZO Días]],"PAGO VENCIDO")</f>
        <v>0</v>
      </c>
      <c r="C41" s="20">
        <f>+VLOOKUP(PROVEEDORES[[#This Row],[PROVEEDOR]],TERCEROS_INFO[#All],2,FALSE)</f>
        <v>30</v>
      </c>
      <c r="D41" s="25">
        <f>+SUMIFS(PROVEEDORES[Total],PROVEEDORES[PROVEEDOR],PROVEEDORES[[#This Row],[PROVEEDOR]],PROVEEDORES[FECHA DE PAGO],"")</f>
        <v>0</v>
      </c>
      <c r="E41" s="25"/>
      <c r="F41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1" s="68">
        <v>44579</v>
      </c>
      <c r="H41" s="26" t="s">
        <v>335</v>
      </c>
      <c r="I41" s="68">
        <v>44578</v>
      </c>
      <c r="J41" s="35" t="s">
        <v>897</v>
      </c>
      <c r="K41" s="21">
        <v>1776000</v>
      </c>
      <c r="L41" s="21"/>
      <c r="M41" s="22">
        <f>(PROVEEDORES[[#This Row],[SUBTOTAL]]-PROVEEDORES[[#This Row],[descuento sobre subtotal]])*VLOOKUP(PROVEEDORES[[#This Row],[PROVEEDOR]],TERCEROS_INFO[#All],3,FALSE)</f>
        <v>0</v>
      </c>
      <c r="N41" s="23"/>
      <c r="O41" s="22">
        <f>+PROVEEDORES[[#This Row],[Descuento sobre subtotal %]]*(PROVEEDORES[[#This Row],[SUBTOTAL]]-PROVEEDORES[[#This Row],[descuento sobre subtotal]])</f>
        <v>0</v>
      </c>
      <c r="P41" s="74">
        <f>+IF(PROVEEDORES[[#This Row],[SUBTOTAL]]&lt;PROVEEDORES[[#This Row],[base retencion]],0,PROVEEDORES[[#This Row],[retención aplicada]])</f>
        <v>0</v>
      </c>
      <c r="Q41" s="22">
        <f>+PROVEEDORES[[#This Row],[Rete Fuente %]]*(PROVEEDORES[[#This Row],[SUBTOTAL]]-PROVEEDORES[[#This Row],[descuento sobre subtotal]])</f>
        <v>0</v>
      </c>
      <c r="R41" s="21">
        <f>+PROVEEDORES[[#This Row],[SUBTOTAL]]+PROVEEDORES[[#This Row],[IVA 19%]]-PROVEEDORES[[#This Row],[descuento sobre subtotal]]-PROVEEDORES[[#This Row],[Descuento sobre subtotal $2]]-PROVEEDORES[[#This Row],[Rete Fuente $]]</f>
        <v>1776000</v>
      </c>
      <c r="S4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63">
        <f ca="1">IF(PROVEEDORES[[#This Row],[FECHA DE PAGO]]=0,TODAY()-PROVEEDORES[[#This Row],[FECHA DE FACTURACIÓN]]-PROVEEDORES[[#This Row],[PLAZO Días]],0)</f>
        <v>0</v>
      </c>
      <c r="U41" s="87">
        <f>+VLOOKUP(PROVEEDORES[[#This Row],[PROVEEDOR]],Terceros!$A:$D,4,FALSE)</f>
        <v>0</v>
      </c>
      <c r="V41" s="88">
        <f>+YEAR(PROVEEDORES[[#This Row],[FECHA DE FACTURACIÓN]])</f>
        <v>2022</v>
      </c>
      <c r="W41" s="88">
        <f>+MATCH(PROVEEDORES[[#This Row],[año facturado]],Retenciones!$1:$1,0)</f>
        <v>5</v>
      </c>
      <c r="X41" s="89">
        <f>+VLOOKUP(PROVEEDORES[[#This Row],[ID RETENCION]],Retenciones!$A$1:$O$25,PROVEEDORES[[#This Row],[indicador de columna]],FALSE)</f>
        <v>0</v>
      </c>
      <c r="Y41" s="90">
        <f>+VLOOKUP(PROVEEDORES[[#This Row],[ID RETENCION]],Retenciones!$A$1:$O$25,2,FALSE)</f>
        <v>0</v>
      </c>
      <c r="Z41" s="116" t="b">
        <f>OR(COUNTIF(PROVEEDORES[[#This Row],[PROVEEDOR]],"*"&amp;'Palabra no opera'!$A$2&amp;"*"))</f>
        <v>0</v>
      </c>
      <c r="AA41" s="24"/>
      <c r="AB41" s="24"/>
      <c r="AC41" s="24"/>
      <c r="AD41" s="24"/>
      <c r="AE41" s="24"/>
    </row>
    <row r="42" spans="1:31" ht="22.35" customHeight="1" x14ac:dyDescent="0.3">
      <c r="A42" s="61" t="str">
        <f>+IF(PROVEEDORES[[#This Row],[FECHA DE PAGO]]=PROVEEDORES[[#This Row],[FECHA DE FACTURACIÓN]],"DE CONTADO","CRÉDITO")</f>
        <v>CRÉDITO</v>
      </c>
      <c r="B42" s="38" t="str">
        <f>+IF((PROVEEDORES[[#This Row],[FECHA DE PAGO]]-PROVEEDORES[[#This Row],[FECHA DE FACTURACIÓN]])&gt;PROVEEDORES[[#This Row],[PLAZO Días]],"PAGO VENCIDO")</f>
        <v>PAGO VENCIDO</v>
      </c>
      <c r="C42" s="20">
        <f>+VLOOKUP(PROVEEDORES[[#This Row],[PROVEEDOR]],TERCEROS_INFO[#All],2,FALSE)</f>
        <v>13</v>
      </c>
      <c r="D42" s="25">
        <f>+SUMIFS(PROVEEDORES[Total],PROVEEDORES[PROVEEDOR],PROVEEDORES[[#This Row],[PROVEEDOR]],PROVEEDORES[FECHA DE PAGO],"")</f>
        <v>0</v>
      </c>
      <c r="E42" s="25"/>
      <c r="F42" s="56">
        <f>+VLOOKUP(PROVEEDORES[[#This Row],[PROVEEDOR]],
                       Terceros!$A:$F,
                       5,
                       FALSE)</f>
        <v>0</v>
      </c>
      <c r="G42" s="68">
        <v>44579</v>
      </c>
      <c r="H42" s="26" t="s">
        <v>644</v>
      </c>
      <c r="I42" s="68">
        <v>44562</v>
      </c>
      <c r="J42" s="35"/>
      <c r="K42" s="21">
        <v>944086</v>
      </c>
      <c r="L42" s="21"/>
      <c r="M42" s="22">
        <f>(PROVEEDORES[[#This Row],[SUBTOTAL]]-PROVEEDORES[[#This Row],[descuento sobre subtotal]])*VLOOKUP(PROVEEDORES[[#This Row],[PROVEEDOR]],TERCEROS_INFO[#All],3,FALSE)</f>
        <v>0</v>
      </c>
      <c r="N42" s="23"/>
      <c r="O42" s="22">
        <f>+PROVEEDORES[[#This Row],[Descuento sobre subtotal %]]*(PROVEEDORES[[#This Row],[SUBTOTAL]]-PROVEEDORES[[#This Row],[descuento sobre subtotal]])</f>
        <v>0</v>
      </c>
      <c r="P42" s="74">
        <f>+IF(PROVEEDORES[[#This Row],[SUBTOTAL]]&lt;PROVEEDORES[[#This Row],[base retencion]],0,PROVEEDORES[[#This Row],[retención aplicada]])</f>
        <v>0</v>
      </c>
      <c r="Q42" s="22">
        <f>+PROVEEDORES[[#This Row],[Rete Fuente %]]*(PROVEEDORES[[#This Row],[SUBTOTAL]]-PROVEEDORES[[#This Row],[descuento sobre subtotal]])</f>
        <v>0</v>
      </c>
      <c r="R42" s="21">
        <v>944086</v>
      </c>
      <c r="S4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63">
        <f ca="1">IF(PROVEEDORES[[#This Row],[FECHA DE PAGO]]=0,TODAY()-PROVEEDORES[[#This Row],[FECHA DE FACTURACIÓN]]-PROVEEDORES[[#This Row],[PLAZO Días]],0)</f>
        <v>0</v>
      </c>
      <c r="U42" s="87">
        <f>+VLOOKUP(PROVEEDORES[[#This Row],[PROVEEDOR]],Terceros!$A:$D,4,FALSE)</f>
        <v>0</v>
      </c>
      <c r="V42" s="88">
        <f>+YEAR(PROVEEDORES[[#This Row],[FECHA DE FACTURACIÓN]])</f>
        <v>2022</v>
      </c>
      <c r="W42" s="88">
        <f>+MATCH(PROVEEDORES[[#This Row],[año facturado]],Retenciones!$1:$1,0)</f>
        <v>5</v>
      </c>
      <c r="X42" s="89">
        <f>+VLOOKUP(PROVEEDORES[[#This Row],[ID RETENCION]],Retenciones!$A$1:$O$25,PROVEEDORES[[#This Row],[indicador de columna]],FALSE)</f>
        <v>0</v>
      </c>
      <c r="Y42" s="90">
        <f>+VLOOKUP(PROVEEDORES[[#This Row],[ID RETENCION]],Retenciones!$A$1:$O$25,2,FALSE)</f>
        <v>0</v>
      </c>
      <c r="Z42" s="116" t="b">
        <f>OR(COUNTIF(PROVEEDORES[[#This Row],[PROVEEDOR]],"*"&amp;'Palabra no opera'!$A$2&amp;"*"))</f>
        <v>1</v>
      </c>
      <c r="AA42" s="24"/>
      <c r="AB42" s="24"/>
      <c r="AC42" s="24"/>
      <c r="AD42" s="24"/>
      <c r="AE42" s="24"/>
    </row>
    <row r="43" spans="1:31" ht="22.35" customHeight="1" x14ac:dyDescent="0.3">
      <c r="A43" s="61" t="str">
        <f>+IF(PROVEEDORES[[#This Row],[FECHA DE PAGO]]=PROVEEDORES[[#This Row],[FECHA DE FACTURACIÓN]],"DE CONTADO","CRÉDITO")</f>
        <v>CRÉDITO</v>
      </c>
      <c r="B43" s="38" t="b">
        <f>+IF((PROVEEDORES[[#This Row],[FECHA DE PAGO]]-PROVEEDORES[[#This Row],[FECHA DE FACTURACIÓN]])&gt;PROVEEDORES[[#This Row],[PLAZO Días]],"PAGO VENCIDO")</f>
        <v>0</v>
      </c>
      <c r="C43" s="20">
        <f>+VLOOKUP(PROVEEDORES[[#This Row],[PROVEEDOR]],TERCEROS_INFO[#All],2,FALSE)</f>
        <v>30</v>
      </c>
      <c r="D43" s="25">
        <f>+SUMIFS(PROVEEDORES[Total],PROVEEDORES[PROVEEDOR],PROVEEDORES[[#This Row],[PROVEEDOR]],PROVEEDORES[FECHA DE PAGO],"")</f>
        <v>0</v>
      </c>
      <c r="E43" s="25"/>
      <c r="F43" s="56" t="str">
        <f>+VLOOKUP(PROVEEDORES[[#This Row],[PROVEEDOR]],
                       Terceros!$A:$F,
                       5,
                       FALSE)</f>
        <v/>
      </c>
      <c r="G43" s="68">
        <v>44580</v>
      </c>
      <c r="H43" s="26" t="s">
        <v>404</v>
      </c>
      <c r="I43" s="68">
        <v>44610</v>
      </c>
      <c r="J43" s="35" t="s">
        <v>405</v>
      </c>
      <c r="K43" s="21">
        <v>2516240</v>
      </c>
      <c r="L43" s="21"/>
      <c r="M43" s="22">
        <v>0</v>
      </c>
      <c r="N43" s="23"/>
      <c r="O43" s="22">
        <v>0</v>
      </c>
      <c r="P43" s="74">
        <f>+IF(PROVEEDORES[[#This Row],[SUBTOTAL]]&lt;PROVEEDORES[[#This Row],[base retencion]],0,PROVEEDORES[[#This Row],[retención aplicada]])</f>
        <v>0</v>
      </c>
      <c r="Q43" s="22">
        <f>+PROVEEDORES[[#This Row],[Rete Fuente %]]*(PROVEEDORES[[#This Row],[SUBTOTAL]]-PROVEEDORES[[#This Row],[descuento sobre subtotal]])</f>
        <v>0</v>
      </c>
      <c r="R43" s="21">
        <v>2516240</v>
      </c>
      <c r="S4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63">
        <f ca="1">IF(PROVEEDORES[[#This Row],[FECHA DE PAGO]]=0,TODAY()-PROVEEDORES[[#This Row],[FECHA DE FACTURACIÓN]]-PROVEEDORES[[#This Row],[PLAZO Días]],0)</f>
        <v>0</v>
      </c>
      <c r="U43" s="87">
        <f>+VLOOKUP(PROVEEDORES[[#This Row],[PROVEEDOR]],Terceros!$A:$D,4,FALSE)</f>
        <v>0</v>
      </c>
      <c r="V43" s="88">
        <f>+YEAR(PROVEEDORES[[#This Row],[FECHA DE FACTURACIÓN]])</f>
        <v>2022</v>
      </c>
      <c r="W43" s="88">
        <f>+MATCH(PROVEEDORES[[#This Row],[año facturado]],Retenciones!$1:$1,0)</f>
        <v>5</v>
      </c>
      <c r="X43" s="89">
        <f>+VLOOKUP(PROVEEDORES[[#This Row],[ID RETENCION]],Retenciones!$A$1:$O$25,PROVEEDORES[[#This Row],[indicador de columna]],FALSE)</f>
        <v>0</v>
      </c>
      <c r="Y43" s="90">
        <f>+VLOOKUP(PROVEEDORES[[#This Row],[ID RETENCION]],Retenciones!$A$1:$O$25,2,FALSE)</f>
        <v>0</v>
      </c>
      <c r="Z43" s="116" t="b">
        <f>OR(COUNTIF(PROVEEDORES[[#This Row],[PROVEEDOR]],"*"&amp;'Palabra no opera'!$A$2&amp;"*"))</f>
        <v>0</v>
      </c>
      <c r="AA43" s="24"/>
      <c r="AB43" s="24"/>
      <c r="AC43" s="24"/>
      <c r="AD43" s="24"/>
      <c r="AE43" s="24"/>
    </row>
    <row r="44" spans="1:31" ht="22.35" customHeight="1" x14ac:dyDescent="0.3">
      <c r="A44" s="61" t="str">
        <f>+IF(PROVEEDORES[[#This Row],[FECHA DE PAGO]]=PROVEEDORES[[#This Row],[FECHA DE FACTURACIÓN]],"DE CONTADO","CRÉDITO")</f>
        <v>CRÉDITO</v>
      </c>
      <c r="B44" s="38" t="b">
        <f>+IF((PROVEEDORES[[#This Row],[FECHA DE PAGO]]-PROVEEDORES[[#This Row],[FECHA DE FACTURACIÓN]])&gt;PROVEEDORES[[#This Row],[PLAZO Días]],"PAGO VENCIDO")</f>
        <v>0</v>
      </c>
      <c r="C44" s="20">
        <f>+VLOOKUP(PROVEEDORES[[#This Row],[PROVEEDOR]],TERCEROS_INFO[#All],2,FALSE)</f>
        <v>30</v>
      </c>
      <c r="D44" s="25">
        <f>+SUMIFS(PROVEEDORES[Total],PROVEEDORES[PROVEEDOR],PROVEEDORES[[#This Row],[PROVEEDOR]],PROVEEDORES[FECHA DE PAGO],"")</f>
        <v>0</v>
      </c>
      <c r="E44" s="25"/>
      <c r="F44" s="56" t="str">
        <f>+VLOOKUP(PROVEEDORES[[#This Row],[PROVEEDOR]],
                       Terceros!$A:$F,
                       5,
                       FALSE)</f>
        <v/>
      </c>
      <c r="G44" s="68">
        <v>44581</v>
      </c>
      <c r="H44" s="26" t="s">
        <v>356</v>
      </c>
      <c r="I44" s="68">
        <v>44576</v>
      </c>
      <c r="J44" s="35" t="s">
        <v>896</v>
      </c>
      <c r="K44" s="21">
        <v>2056000</v>
      </c>
      <c r="L44" s="21"/>
      <c r="M44" s="22">
        <f>(PROVEEDORES[[#This Row],[SUBTOTAL]]-PROVEEDORES[[#This Row],[descuento sobre subtotal]])*VLOOKUP(PROVEEDORES[[#This Row],[PROVEEDOR]],TERCEROS_INFO[#All],3,FALSE)</f>
        <v>0</v>
      </c>
      <c r="N44" s="23"/>
      <c r="O44" s="22">
        <f>+PROVEEDORES[[#This Row],[Descuento sobre subtotal %]]*(PROVEEDORES[[#This Row],[SUBTOTAL]]-PROVEEDORES[[#This Row],[descuento sobre subtotal]])</f>
        <v>0</v>
      </c>
      <c r="P44" s="74">
        <f>+IF(PROVEEDORES[[#This Row],[SUBTOTAL]]&lt;PROVEEDORES[[#This Row],[base retencion]],0,PROVEEDORES[[#This Row],[retención aplicada]])</f>
        <v>0</v>
      </c>
      <c r="Q44" s="22">
        <f>+PROVEEDORES[[#This Row],[Rete Fuente %]]*(PROVEEDORES[[#This Row],[SUBTOTAL]]-PROVEEDORES[[#This Row],[descuento sobre subtotal]])</f>
        <v>0</v>
      </c>
      <c r="R44" s="21">
        <v>2056000</v>
      </c>
      <c r="S4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63">
        <f ca="1">IF(PROVEEDORES[[#This Row],[FECHA DE PAGO]]=0,TODAY()-PROVEEDORES[[#This Row],[FECHA DE FACTURACIÓN]]-PROVEEDORES[[#This Row],[PLAZO Días]],0)</f>
        <v>0</v>
      </c>
      <c r="U44" s="87">
        <f>+VLOOKUP(PROVEEDORES[[#This Row],[PROVEEDOR]],Terceros!$A:$D,4,FALSE)</f>
        <v>0</v>
      </c>
      <c r="V44" s="88">
        <f>+YEAR(PROVEEDORES[[#This Row],[FECHA DE FACTURACIÓN]])</f>
        <v>2022</v>
      </c>
      <c r="W44" s="88">
        <f>+MATCH(PROVEEDORES[[#This Row],[año facturado]],Retenciones!$1:$1,0)</f>
        <v>5</v>
      </c>
      <c r="X44" s="89">
        <f>+VLOOKUP(PROVEEDORES[[#This Row],[ID RETENCION]],Retenciones!$A$1:$O$25,PROVEEDORES[[#This Row],[indicador de columna]],FALSE)</f>
        <v>0</v>
      </c>
      <c r="Y44" s="90">
        <f>+VLOOKUP(PROVEEDORES[[#This Row],[ID RETENCION]],Retenciones!$A$1:$O$25,2,FALSE)</f>
        <v>0</v>
      </c>
      <c r="Z44" s="116" t="b">
        <f>OR(COUNTIF(PROVEEDORES[[#This Row],[PROVEEDOR]],"*"&amp;'Palabra no opera'!$A$2&amp;"*"))</f>
        <v>0</v>
      </c>
      <c r="AA44" s="24"/>
      <c r="AB44" s="24"/>
      <c r="AC44" s="24"/>
      <c r="AD44" s="24"/>
      <c r="AE44" s="24"/>
    </row>
    <row r="45" spans="1:31" ht="22.35" customHeight="1" x14ac:dyDescent="0.3">
      <c r="A45" s="61" t="str">
        <f>+IF(PROVEEDORES[[#This Row],[FECHA DE PAGO]]=PROVEEDORES[[#This Row],[FECHA DE FACTURACIÓN]],"DE CONTADO","CRÉDITO")</f>
        <v>DE CONTADO</v>
      </c>
      <c r="B45" s="38" t="b">
        <f>+IF((PROVEEDORES[[#This Row],[FECHA DE PAGO]]-PROVEEDORES[[#This Row],[FECHA DE FACTURACIÓN]])&gt;PROVEEDORES[[#This Row],[PLAZO Días]],"PAGO VENCIDO")</f>
        <v>0</v>
      </c>
      <c r="C45" s="20">
        <f>+VLOOKUP(PROVEEDORES[[#This Row],[PROVEEDOR]],TERCEROS_INFO[#All],2,FALSE)</f>
        <v>30</v>
      </c>
      <c r="D45" s="25">
        <f>+SUMIFS(PROVEEDORES[Total],PROVEEDORES[PROVEEDOR],PROVEEDORES[[#This Row],[PROVEEDOR]],PROVEEDORES[FECHA DE PAGO],"")</f>
        <v>0</v>
      </c>
      <c r="E45" s="25"/>
      <c r="F45" s="56" t="str">
        <f>+VLOOKUP(PROVEEDORES[[#This Row],[PROVEEDOR]],
                       Terceros!$A:$F,
                       5,
                       FALSE)</f>
        <v/>
      </c>
      <c r="G45" s="68">
        <v>44581</v>
      </c>
      <c r="H45" s="26" t="s">
        <v>356</v>
      </c>
      <c r="I45" s="68">
        <v>44581</v>
      </c>
      <c r="J45" s="35" t="s">
        <v>898</v>
      </c>
      <c r="K45" s="21">
        <v>1920000</v>
      </c>
      <c r="L45" s="21"/>
      <c r="M45" s="22">
        <f>(PROVEEDORES[[#This Row],[SUBTOTAL]]-PROVEEDORES[[#This Row],[descuento sobre subtotal]])*VLOOKUP(PROVEEDORES[[#This Row],[PROVEEDOR]],TERCEROS_INFO[#All],3,FALSE)</f>
        <v>0</v>
      </c>
      <c r="N45" s="23"/>
      <c r="O45" s="22">
        <f>+PROVEEDORES[[#This Row],[Descuento sobre subtotal %]]*(PROVEEDORES[[#This Row],[SUBTOTAL]]-PROVEEDORES[[#This Row],[descuento sobre subtotal]])</f>
        <v>0</v>
      </c>
      <c r="P45" s="74">
        <f>+IF(PROVEEDORES[[#This Row],[SUBTOTAL]]&lt;PROVEEDORES[[#This Row],[base retencion]],0,PROVEEDORES[[#This Row],[retención aplicada]])</f>
        <v>0</v>
      </c>
      <c r="Q45" s="22">
        <f>+PROVEEDORES[[#This Row],[Rete Fuente %]]*(PROVEEDORES[[#This Row],[SUBTOTAL]]-PROVEEDORES[[#This Row],[descuento sobre subtotal]])</f>
        <v>0</v>
      </c>
      <c r="R45" s="21">
        <v>0</v>
      </c>
      <c r="S4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63">
        <f ca="1">IF(PROVEEDORES[[#This Row],[FECHA DE PAGO]]=0,TODAY()-PROVEEDORES[[#This Row],[FECHA DE FACTURACIÓN]]-PROVEEDORES[[#This Row],[PLAZO Días]],0)</f>
        <v>0</v>
      </c>
      <c r="U45" s="87">
        <f>+VLOOKUP(PROVEEDORES[[#This Row],[PROVEEDOR]],Terceros!$A:$D,4,FALSE)</f>
        <v>0</v>
      </c>
      <c r="V45" s="88">
        <f>+YEAR(PROVEEDORES[[#This Row],[FECHA DE FACTURACIÓN]])</f>
        <v>2022</v>
      </c>
      <c r="W45" s="88">
        <f>+MATCH(PROVEEDORES[[#This Row],[año facturado]],Retenciones!$1:$1,0)</f>
        <v>5</v>
      </c>
      <c r="X45" s="89">
        <f>+VLOOKUP(PROVEEDORES[[#This Row],[ID RETENCION]],Retenciones!$A$1:$O$25,PROVEEDORES[[#This Row],[indicador de columna]],FALSE)</f>
        <v>0</v>
      </c>
      <c r="Y45" s="90">
        <f>+VLOOKUP(PROVEEDORES[[#This Row],[ID RETENCION]],Retenciones!$A$1:$O$25,2,FALSE)</f>
        <v>0</v>
      </c>
      <c r="Z45" s="116" t="b">
        <f>OR(COUNTIF(PROVEEDORES[[#This Row],[PROVEEDOR]],"*"&amp;'Palabra no opera'!$A$2&amp;"*"))</f>
        <v>0</v>
      </c>
      <c r="AA45" s="24"/>
      <c r="AB45" s="24"/>
      <c r="AC45" s="24"/>
      <c r="AD45" s="24"/>
      <c r="AE45" s="24"/>
    </row>
    <row r="46" spans="1:31" ht="22.35" customHeight="1" x14ac:dyDescent="0.3">
      <c r="A46" s="61" t="str">
        <f>+IF(PROVEEDORES[[#This Row],[FECHA DE PAGO]]=PROVEEDORES[[#This Row],[FECHA DE FACTURACIÓN]],"DE CONTADO","CRÉDITO")</f>
        <v>DE CONTADO</v>
      </c>
      <c r="B46" s="38" t="b">
        <f>+IF((PROVEEDORES[[#This Row],[FECHA DE PAGO]]-PROVEEDORES[[#This Row],[FECHA DE FACTURACIÓN]])&gt;PROVEEDORES[[#This Row],[PLAZO Días]],"PAGO VENCIDO")</f>
        <v>0</v>
      </c>
      <c r="C46" s="20">
        <f>+VLOOKUP(PROVEEDORES[[#This Row],[PROVEEDOR]],TERCEROS_INFO[#All],2,FALSE)</f>
        <v>30</v>
      </c>
      <c r="D46" s="25">
        <f>+SUMIFS(PROVEEDORES[Total],PROVEEDORES[PROVEEDOR],PROVEEDORES[[#This Row],[PROVEEDOR]],PROVEEDORES[FECHA DE PAGO],"")</f>
        <v>0</v>
      </c>
      <c r="E46" s="25"/>
      <c r="F46" s="56" t="str">
        <f>+VLOOKUP(PROVEEDORES[[#This Row],[PROVEEDOR]],
                       Terceros!$A:$F,
                       5,
                       FALSE)</f>
        <v/>
      </c>
      <c r="G46" s="68">
        <v>44582</v>
      </c>
      <c r="H46" s="26" t="s">
        <v>390</v>
      </c>
      <c r="I46" s="68">
        <v>44582</v>
      </c>
      <c r="J46" s="35"/>
      <c r="K46" s="21">
        <v>1000000</v>
      </c>
      <c r="L46" s="21"/>
      <c r="M46" s="22">
        <v>0</v>
      </c>
      <c r="N46" s="23"/>
      <c r="O46" s="22">
        <v>0</v>
      </c>
      <c r="P46" s="74">
        <f>+IF(PROVEEDORES[[#This Row],[SUBTOTAL]]&lt;PROVEEDORES[[#This Row],[base retencion]],0,PROVEEDORES[[#This Row],[retención aplicada]])</f>
        <v>0</v>
      </c>
      <c r="Q46" s="22">
        <f>+PROVEEDORES[[#This Row],[Rete Fuente %]]*(PROVEEDORES[[#This Row],[SUBTOTAL]]-PROVEEDORES[[#This Row],[descuento sobre subtotal]])</f>
        <v>0</v>
      </c>
      <c r="R46" s="21">
        <v>1000000</v>
      </c>
      <c r="S4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63">
        <f ca="1">IF(PROVEEDORES[[#This Row],[FECHA DE PAGO]]=0,TODAY()-PROVEEDORES[[#This Row],[FECHA DE FACTURACIÓN]]-PROVEEDORES[[#This Row],[PLAZO Días]],0)</f>
        <v>0</v>
      </c>
      <c r="U46" s="87">
        <f>+VLOOKUP(PROVEEDORES[[#This Row],[PROVEEDOR]],Terceros!$A:$D,4,FALSE)</f>
        <v>0</v>
      </c>
      <c r="V46" s="88">
        <f>+YEAR(PROVEEDORES[[#This Row],[FECHA DE FACTURACIÓN]])</f>
        <v>2022</v>
      </c>
      <c r="W46" s="88">
        <f>+MATCH(PROVEEDORES[[#This Row],[año facturado]],Retenciones!$1:$1,0)</f>
        <v>5</v>
      </c>
      <c r="X46" s="89">
        <f>+VLOOKUP(PROVEEDORES[[#This Row],[ID RETENCION]],Retenciones!$A$1:$O$25,PROVEEDORES[[#This Row],[indicador de columna]],FALSE)</f>
        <v>0</v>
      </c>
      <c r="Y46" s="90">
        <f>+VLOOKUP(PROVEEDORES[[#This Row],[ID RETENCION]],Retenciones!$A$1:$O$25,2,FALSE)</f>
        <v>0</v>
      </c>
      <c r="Z46" s="116" t="b">
        <f>OR(COUNTIF(PROVEEDORES[[#This Row],[PROVEEDOR]],"*"&amp;'Palabra no opera'!$A$2&amp;"*"))</f>
        <v>0</v>
      </c>
      <c r="AA46" s="24"/>
      <c r="AB46" s="24"/>
      <c r="AC46" s="24"/>
      <c r="AD46" s="24"/>
      <c r="AE46" s="24"/>
    </row>
    <row r="47" spans="1:31" ht="22.35" customHeight="1" x14ac:dyDescent="0.3">
      <c r="A47" s="61" t="str">
        <f>+IF(PROVEEDORES[[#This Row],[FECHA DE PAGO]]=PROVEEDORES[[#This Row],[FECHA DE FACTURACIÓN]],"DE CONTADO","CRÉDITO")</f>
        <v>CRÉDITO</v>
      </c>
      <c r="B47" s="38" t="str">
        <f>+IF((PROVEEDORES[[#This Row],[FECHA DE PAGO]]-PROVEEDORES[[#This Row],[FECHA DE FACTURACIÓN]])&gt;PROVEEDORES[[#This Row],[PLAZO Días]],"PAGO VENCIDO")</f>
        <v>PAGO VENCIDO</v>
      </c>
      <c r="C47" s="20">
        <f>+VLOOKUP(PROVEEDORES[[#This Row],[PROVEEDOR]],TERCEROS_INFO[#All],2,FALSE)</f>
        <v>30</v>
      </c>
      <c r="D47" s="25">
        <f>+SUMIFS(PROVEEDORES[Total],PROVEEDORES[PROVEEDOR],PROVEEDORES[[#This Row],[PROVEEDOR]],PROVEEDORES[FECHA DE PAGO],"")</f>
        <v>17870934.149999999</v>
      </c>
      <c r="E47" s="25"/>
      <c r="F4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7" s="68">
        <v>44582</v>
      </c>
      <c r="H47" s="26" t="s">
        <v>18</v>
      </c>
      <c r="I47" s="68">
        <v>44540</v>
      </c>
      <c r="J47" s="35">
        <v>1047095</v>
      </c>
      <c r="K47" s="21">
        <v>5212873.47</v>
      </c>
      <c r="L47" s="21"/>
      <c r="M47" s="22">
        <v>990445.95929999999</v>
      </c>
      <c r="N47" s="23"/>
      <c r="O47" s="22">
        <v>0</v>
      </c>
      <c r="P47" s="74">
        <f>+IF(PROVEEDORES[[#This Row],[SUBTOTAL]]&lt;PROVEEDORES[[#This Row],[base retencion]],0,PROVEEDORES[[#This Row],[retención aplicada]])</f>
        <v>2.5000000000000001E-2</v>
      </c>
      <c r="Q47" s="22">
        <f>+PROVEEDORES[[#This Row],[Rete Fuente %]]*(PROVEEDORES[[#This Row],[SUBTOTAL]]-PROVEEDORES[[#This Row],[descuento sobre subtotal]])</f>
        <v>130321.83675</v>
      </c>
      <c r="R47" s="21">
        <v>6072997.5925500002</v>
      </c>
      <c r="S4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63">
        <f ca="1">IF(PROVEEDORES[[#This Row],[FECHA DE PAGO]]=0,TODAY()-PROVEEDORES[[#This Row],[FECHA DE FACTURACIÓN]]-PROVEEDORES[[#This Row],[PLAZO Días]],0)</f>
        <v>0</v>
      </c>
      <c r="U47" s="87" t="str">
        <f>+VLOOKUP(PROVEEDORES[[#This Row],[PROVEEDOR]],Terceros!$A:$D,4,FALSE)</f>
        <v>2,5% con base</v>
      </c>
      <c r="V47" s="88">
        <f>+YEAR(PROVEEDORES[[#This Row],[FECHA DE FACTURACIÓN]])</f>
        <v>2021</v>
      </c>
      <c r="W47" s="88">
        <f>+MATCH(PROVEEDORES[[#This Row],[año facturado]],Retenciones!$1:$1,0)</f>
        <v>4</v>
      </c>
      <c r="X47" s="89">
        <f>+VLOOKUP(PROVEEDORES[[#This Row],[ID RETENCION]],Retenciones!$A$1:$O$25,PROVEEDORES[[#This Row],[indicador de columna]],FALSE)</f>
        <v>980000</v>
      </c>
      <c r="Y47" s="90">
        <f>+VLOOKUP(PROVEEDORES[[#This Row],[ID RETENCION]],Retenciones!$A$1:$O$25,2,FALSE)</f>
        <v>2.5000000000000001E-2</v>
      </c>
      <c r="Z47" s="116" t="b">
        <f>OR(COUNTIF(PROVEEDORES[[#This Row],[PROVEEDOR]],"*"&amp;'Palabra no opera'!$A$2&amp;"*"))</f>
        <v>0</v>
      </c>
      <c r="AA47" s="24"/>
      <c r="AB47" s="24"/>
      <c r="AC47" s="24"/>
      <c r="AD47" s="24"/>
      <c r="AE47" s="24"/>
    </row>
    <row r="48" spans="1:31" ht="22.35" customHeight="1" x14ac:dyDescent="0.3">
      <c r="A48" s="61" t="str">
        <f>+IF(PROVEEDORES[[#This Row],[FECHA DE PAGO]]=PROVEEDORES[[#This Row],[FECHA DE FACTURACIÓN]],"DE CONTADO","CRÉDITO")</f>
        <v>DE CONTADO</v>
      </c>
      <c r="B48" s="38" t="b">
        <f>+IF((PROVEEDORES[[#This Row],[FECHA DE PAGO]]-PROVEEDORES[[#This Row],[FECHA DE FACTURACIÓN]])&gt;PROVEEDORES[[#This Row],[PLAZO Días]],"PAGO VENCIDO")</f>
        <v>0</v>
      </c>
      <c r="C48" s="20">
        <f>+VLOOKUP(PROVEEDORES[[#This Row],[PROVEEDOR]],TERCEROS_INFO[#All],2,FALSE)</f>
        <v>30</v>
      </c>
      <c r="D48" s="25">
        <f>+SUMIFS(PROVEEDORES[Total],PROVEEDORES[PROVEEDOR],PROVEEDORES[[#This Row],[PROVEEDOR]],PROVEEDORES[FECHA DE PAGO],"")</f>
        <v>0</v>
      </c>
      <c r="E48" s="25"/>
      <c r="F48" s="56" t="str">
        <f>+VLOOKUP(PROVEEDORES[[#This Row],[PROVEEDOR]],
                       Terceros!$A:$F,
                       5,
                       FALSE)</f>
        <v/>
      </c>
      <c r="G48" s="68">
        <v>44583</v>
      </c>
      <c r="H48" s="26" t="s">
        <v>353</v>
      </c>
      <c r="I48" s="68">
        <v>44583</v>
      </c>
      <c r="J48" s="35" t="s">
        <v>899</v>
      </c>
      <c r="K48" s="21">
        <v>510000</v>
      </c>
      <c r="L48" s="21"/>
      <c r="M48" s="22">
        <f>(PROVEEDORES[[#This Row],[SUBTOTAL]]-PROVEEDORES[[#This Row],[descuento sobre subtotal]])*VLOOKUP(PROVEEDORES[[#This Row],[PROVEEDOR]],TERCEROS_INFO[#All],3,FALSE)</f>
        <v>0</v>
      </c>
      <c r="N48" s="23"/>
      <c r="O48" s="22">
        <f>+PROVEEDORES[[#This Row],[Descuento sobre subtotal %]]*(PROVEEDORES[[#This Row],[SUBTOTAL]]-PROVEEDORES[[#This Row],[descuento sobre subtotal]])</f>
        <v>0</v>
      </c>
      <c r="P48" s="74">
        <f>+IF(PROVEEDORES[[#This Row],[SUBTOTAL]]&lt;PROVEEDORES[[#This Row],[base retencion]],0,PROVEEDORES[[#This Row],[retención aplicada]])</f>
        <v>0</v>
      </c>
      <c r="Q48" s="22">
        <f>+PROVEEDORES[[#This Row],[Rete Fuente %]]*(PROVEEDORES[[#This Row],[SUBTOTAL]]-PROVEEDORES[[#This Row],[descuento sobre subtotal]])</f>
        <v>0</v>
      </c>
      <c r="R48" s="21">
        <v>510000</v>
      </c>
      <c r="S4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63">
        <f ca="1">IF(PROVEEDORES[[#This Row],[FECHA DE PAGO]]=0,TODAY()-PROVEEDORES[[#This Row],[FECHA DE FACTURACIÓN]]-PROVEEDORES[[#This Row],[PLAZO Días]],0)</f>
        <v>0</v>
      </c>
      <c r="U48" s="87">
        <f>+VLOOKUP(PROVEEDORES[[#This Row],[PROVEEDOR]],Terceros!$A:$D,4,FALSE)</f>
        <v>0</v>
      </c>
      <c r="V48" s="88">
        <f>+YEAR(PROVEEDORES[[#This Row],[FECHA DE FACTURACIÓN]])</f>
        <v>2022</v>
      </c>
      <c r="W48" s="88">
        <f>+MATCH(PROVEEDORES[[#This Row],[año facturado]],Retenciones!$1:$1,0)</f>
        <v>5</v>
      </c>
      <c r="X48" s="89">
        <f>+VLOOKUP(PROVEEDORES[[#This Row],[ID RETENCION]],Retenciones!$A$1:$O$25,PROVEEDORES[[#This Row],[indicador de columna]],FALSE)</f>
        <v>0</v>
      </c>
      <c r="Y48" s="90">
        <f>+VLOOKUP(PROVEEDORES[[#This Row],[ID RETENCION]],Retenciones!$A$1:$O$25,2,FALSE)</f>
        <v>0</v>
      </c>
      <c r="Z48" s="116" t="b">
        <f>OR(COUNTIF(PROVEEDORES[[#This Row],[PROVEEDOR]],"*"&amp;'Palabra no opera'!$A$2&amp;"*"))</f>
        <v>0</v>
      </c>
      <c r="AA48" s="24"/>
      <c r="AB48" s="24"/>
      <c r="AC48" s="24"/>
      <c r="AD48" s="24"/>
      <c r="AE48" s="24"/>
    </row>
    <row r="49" spans="1:31" ht="22.35" customHeight="1" x14ac:dyDescent="0.3">
      <c r="A49" s="61" t="str">
        <f>+IF(PROVEEDORES[[#This Row],[FECHA DE PAGO]]=PROVEEDORES[[#This Row],[FECHA DE FACTURACIÓN]],"DE CONTADO","CRÉDITO")</f>
        <v>CRÉDITO</v>
      </c>
      <c r="B49" s="38" t="b">
        <f>+IF((PROVEEDORES[[#This Row],[FECHA DE PAGO]]-PROVEEDORES[[#This Row],[FECHA DE FACTURACIÓN]])&gt;PROVEEDORES[[#This Row],[PLAZO Días]],"PAGO VENCIDO")</f>
        <v>0</v>
      </c>
      <c r="C49" s="20">
        <f>+VLOOKUP(PROVEEDORES[[#This Row],[PROVEEDOR]],TERCEROS_INFO[#All],2,FALSE)</f>
        <v>30</v>
      </c>
      <c r="D49" s="25">
        <f>+SUMIFS(PROVEEDORES[Total],PROVEEDORES[PROVEEDOR],PROVEEDORES[[#This Row],[PROVEEDOR]],PROVEEDORES[FECHA DE PAGO],"")</f>
        <v>0</v>
      </c>
      <c r="E49" s="25"/>
      <c r="F49" s="56" t="str">
        <f>+VLOOKUP(PROVEEDORES[[#This Row],[PROVEEDOR]],
                       Terceros!$A:$F,
                       5,
                       FALSE)</f>
        <v/>
      </c>
      <c r="G49" s="68">
        <v>44585</v>
      </c>
      <c r="H49" s="26" t="s">
        <v>27</v>
      </c>
      <c r="I49" s="68">
        <v>44580</v>
      </c>
      <c r="J49" s="35">
        <v>130713</v>
      </c>
      <c r="K49" s="21">
        <v>8864000</v>
      </c>
      <c r="L49" s="21"/>
      <c r="M49" s="22">
        <f>(PROVEEDORES[[#This Row],[SUBTOTAL]]-PROVEEDORES[[#This Row],[descuento sobre subtotal]])*VLOOKUP(PROVEEDORES[[#This Row],[PROVEEDOR]],TERCEROS_INFO[#All],3,FALSE)</f>
        <v>0</v>
      </c>
      <c r="N49" s="23"/>
      <c r="O49" s="22">
        <f>+PROVEEDORES[[#This Row],[Descuento sobre subtotal %]]*(PROVEEDORES[[#This Row],[SUBTOTAL]]-PROVEEDORES[[#This Row],[descuento sobre subtotal]])</f>
        <v>0</v>
      </c>
      <c r="P49" s="74">
        <f>+IF(PROVEEDORES[[#This Row],[SUBTOTAL]]&lt;PROVEEDORES[[#This Row],[base retencion]],0,PROVEEDORES[[#This Row],[retención aplicada]])</f>
        <v>0</v>
      </c>
      <c r="Q49" s="22">
        <f>+PROVEEDORES[[#This Row],[Rete Fuente %]]*(PROVEEDORES[[#This Row],[SUBTOTAL]]-PROVEEDORES[[#This Row],[descuento sobre subtotal]])</f>
        <v>0</v>
      </c>
      <c r="R49" s="21">
        <v>8864000</v>
      </c>
      <c r="S4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63">
        <f ca="1">IF(PROVEEDORES[[#This Row],[FECHA DE PAGO]]=0,TODAY()-PROVEEDORES[[#This Row],[FECHA DE FACTURACIÓN]]-PROVEEDORES[[#This Row],[PLAZO Días]],0)</f>
        <v>0</v>
      </c>
      <c r="U49" s="87">
        <f>+VLOOKUP(PROVEEDORES[[#This Row],[PROVEEDOR]],Terceros!$A:$D,4,FALSE)</f>
        <v>0</v>
      </c>
      <c r="V49" s="88">
        <f>+YEAR(PROVEEDORES[[#This Row],[FECHA DE FACTURACIÓN]])</f>
        <v>2022</v>
      </c>
      <c r="W49" s="88">
        <f>+MATCH(PROVEEDORES[[#This Row],[año facturado]],Retenciones!$1:$1,0)</f>
        <v>5</v>
      </c>
      <c r="X49" s="89">
        <f>+VLOOKUP(PROVEEDORES[[#This Row],[ID RETENCION]],Retenciones!$A$1:$O$25,PROVEEDORES[[#This Row],[indicador de columna]],FALSE)</f>
        <v>0</v>
      </c>
      <c r="Y49" s="90">
        <f>+VLOOKUP(PROVEEDORES[[#This Row],[ID RETENCION]],Retenciones!$A$1:$O$25,2,FALSE)</f>
        <v>0</v>
      </c>
      <c r="Z49" s="116" t="b">
        <f>OR(COUNTIF(PROVEEDORES[[#This Row],[PROVEEDOR]],"*"&amp;'Palabra no opera'!$A$2&amp;"*"))</f>
        <v>0</v>
      </c>
      <c r="AA49" s="24"/>
      <c r="AB49" s="24"/>
      <c r="AC49" s="24"/>
      <c r="AD49" s="24"/>
      <c r="AE49" s="24"/>
    </row>
    <row r="50" spans="1:31" ht="22.35" customHeight="1" x14ac:dyDescent="0.3">
      <c r="A50" s="61" t="str">
        <f>+IF(PROVEEDORES[[#This Row],[FECHA DE PAGO]]=PROVEEDORES[[#This Row],[FECHA DE FACTURACIÓN]],"DE CONTADO","CRÉDITO")</f>
        <v>CRÉDITO</v>
      </c>
      <c r="B50" s="38" t="str">
        <f>+IF((PROVEEDORES[[#This Row],[FECHA DE PAGO]]-PROVEEDORES[[#This Row],[FECHA DE FACTURACIÓN]])&gt;PROVEEDORES[[#This Row],[PLAZO Días]],"PAGO VENCIDO")</f>
        <v>PAGO VENCIDO</v>
      </c>
      <c r="C50" s="20">
        <f>+VLOOKUP(PROVEEDORES[[#This Row],[PROVEEDOR]],TERCEROS_INFO[#All],2,FALSE)</f>
        <v>30</v>
      </c>
      <c r="D50" s="25">
        <f>+SUMIFS(PROVEEDORES[Total],PROVEEDORES[PROVEEDOR],PROVEEDORES[[#This Row],[PROVEEDOR]],PROVEEDORES[FECHA DE PAGO],"")</f>
        <v>2100000</v>
      </c>
      <c r="E50" s="25"/>
      <c r="F50" s="56" t="str">
        <f>+VLOOKUP(PROVEEDORES[[#This Row],[PROVEEDOR]],
                       Terceros!$A:$F,
                       5,
                       FALSE)</f>
        <v/>
      </c>
      <c r="G50" s="68">
        <v>44586</v>
      </c>
      <c r="H50" s="26" t="s">
        <v>349</v>
      </c>
      <c r="I50" s="68">
        <v>44552</v>
      </c>
      <c r="J50" s="35" t="s">
        <v>888</v>
      </c>
      <c r="K50" s="21">
        <v>2380000</v>
      </c>
      <c r="L50" s="21"/>
      <c r="M50" s="22">
        <f>(PROVEEDORES[[#This Row],[SUBTOTAL]]-PROVEEDORES[[#This Row],[descuento sobre subtotal]])*VLOOKUP(PROVEEDORES[[#This Row],[PROVEEDOR]],TERCEROS_INFO[#All],3,FALSE)</f>
        <v>0</v>
      </c>
      <c r="N50" s="23"/>
      <c r="O50" s="22">
        <f>+PROVEEDORES[[#This Row],[Descuento sobre subtotal %]]*(PROVEEDORES[[#This Row],[SUBTOTAL]]-PROVEEDORES[[#This Row],[descuento sobre subtotal]])</f>
        <v>0</v>
      </c>
      <c r="P50" s="74">
        <f>+IF(PROVEEDORES[[#This Row],[SUBTOTAL]]&lt;PROVEEDORES[[#This Row],[base retencion]],0,PROVEEDORES[[#This Row],[retención aplicada]])</f>
        <v>0</v>
      </c>
      <c r="Q50" s="22">
        <f>+PROVEEDORES[[#This Row],[Rete Fuente %]]*(PROVEEDORES[[#This Row],[SUBTOTAL]]-PROVEEDORES[[#This Row],[descuento sobre subtotal]])</f>
        <v>0</v>
      </c>
      <c r="R50" s="21">
        <v>2380000</v>
      </c>
      <c r="S5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63">
        <f ca="1">IF(PROVEEDORES[[#This Row],[FECHA DE PAGO]]=0,TODAY()-PROVEEDORES[[#This Row],[FECHA DE FACTURACIÓN]]-PROVEEDORES[[#This Row],[PLAZO Días]],0)</f>
        <v>0</v>
      </c>
      <c r="U50" s="87">
        <f>+VLOOKUP(PROVEEDORES[[#This Row],[PROVEEDOR]],Terceros!$A:$D,4,FALSE)</f>
        <v>0</v>
      </c>
      <c r="V50" s="88">
        <f>+YEAR(PROVEEDORES[[#This Row],[FECHA DE FACTURACIÓN]])</f>
        <v>2021</v>
      </c>
      <c r="W50" s="88">
        <f>+MATCH(PROVEEDORES[[#This Row],[año facturado]],Retenciones!$1:$1,0)</f>
        <v>4</v>
      </c>
      <c r="X50" s="89">
        <f>+VLOOKUP(PROVEEDORES[[#This Row],[ID RETENCION]],Retenciones!$A$1:$O$25,PROVEEDORES[[#This Row],[indicador de columna]],FALSE)</f>
        <v>0</v>
      </c>
      <c r="Y50" s="90">
        <f>+VLOOKUP(PROVEEDORES[[#This Row],[ID RETENCION]],Retenciones!$A$1:$O$25,2,FALSE)</f>
        <v>0</v>
      </c>
      <c r="Z50" s="116" t="b">
        <f>OR(COUNTIF(PROVEEDORES[[#This Row],[PROVEEDOR]],"*"&amp;'Palabra no opera'!$A$2&amp;"*"))</f>
        <v>0</v>
      </c>
      <c r="AA50" s="24"/>
      <c r="AB50" s="24"/>
      <c r="AC50" s="24"/>
      <c r="AD50" s="24"/>
      <c r="AE50" s="24"/>
    </row>
    <row r="51" spans="1:31" ht="22.35" customHeight="1" x14ac:dyDescent="0.3">
      <c r="A51" s="61" t="str">
        <f>+IF(PROVEEDORES[[#This Row],[FECHA DE PAGO]]=PROVEEDORES[[#This Row],[FECHA DE FACTURACIÓN]],"DE CONTADO","CRÉDITO")</f>
        <v>CRÉDITO</v>
      </c>
      <c r="B51" s="38" t="str">
        <f>+IF((PROVEEDORES[[#This Row],[FECHA DE PAGO]]-PROVEEDORES[[#This Row],[FECHA DE FACTURACIÓN]])&gt;PROVEEDORES[[#This Row],[PLAZO Días]],"PAGO VENCIDO")</f>
        <v>PAGO VENCIDO</v>
      </c>
      <c r="C51" s="20">
        <f>+VLOOKUP(PROVEEDORES[[#This Row],[PROVEEDOR]],TERCEROS_INFO[#All],2,FALSE)</f>
        <v>30</v>
      </c>
      <c r="D51" s="25">
        <f>+SUMIFS(PROVEEDORES[Total],PROVEEDORES[PROVEEDOR],PROVEEDORES[[#This Row],[PROVEEDOR]],PROVEEDORES[FECHA DE PAGO],"")</f>
        <v>0</v>
      </c>
      <c r="E51" s="25"/>
      <c r="F51" s="56" t="str">
        <f>+VLOOKUP(PROVEEDORES[[#This Row],[PROVEEDOR]],
                       Terceros!$A:$F,
                       5,
                       FALSE)</f>
        <v/>
      </c>
      <c r="G51" s="68">
        <v>44586</v>
      </c>
      <c r="H51" s="26" t="s">
        <v>388</v>
      </c>
      <c r="I51" s="68">
        <v>44552</v>
      </c>
      <c r="J51" s="35" t="s">
        <v>889</v>
      </c>
      <c r="K51" s="21">
        <v>4310000</v>
      </c>
      <c r="L51" s="21"/>
      <c r="M51" s="22">
        <v>0</v>
      </c>
      <c r="N51" s="23"/>
      <c r="O51" s="22">
        <v>0</v>
      </c>
      <c r="P51" s="74">
        <f>+IF(PROVEEDORES[[#This Row],[SUBTOTAL]]&lt;PROVEEDORES[[#This Row],[base retencion]],0,PROVEEDORES[[#This Row],[retención aplicada]])</f>
        <v>0</v>
      </c>
      <c r="Q51" s="22">
        <f>+PROVEEDORES[[#This Row],[Rete Fuente %]]*(PROVEEDORES[[#This Row],[SUBTOTAL]]-PROVEEDORES[[#This Row],[descuento sobre subtotal]])</f>
        <v>0</v>
      </c>
      <c r="R51" s="21">
        <v>4310000</v>
      </c>
      <c r="S5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63">
        <f ca="1">IF(PROVEEDORES[[#This Row],[FECHA DE PAGO]]=0,TODAY()-PROVEEDORES[[#This Row],[FECHA DE FACTURACIÓN]]-PROVEEDORES[[#This Row],[PLAZO Días]],0)</f>
        <v>0</v>
      </c>
      <c r="U51" s="87">
        <f>+VLOOKUP(PROVEEDORES[[#This Row],[PROVEEDOR]],Terceros!$A:$D,4,FALSE)</f>
        <v>0</v>
      </c>
      <c r="V51" s="88">
        <f>+YEAR(PROVEEDORES[[#This Row],[FECHA DE FACTURACIÓN]])</f>
        <v>2021</v>
      </c>
      <c r="W51" s="88">
        <f>+MATCH(PROVEEDORES[[#This Row],[año facturado]],Retenciones!$1:$1,0)</f>
        <v>4</v>
      </c>
      <c r="X51" s="89">
        <f>+VLOOKUP(PROVEEDORES[[#This Row],[ID RETENCION]],Retenciones!$A$1:$O$25,PROVEEDORES[[#This Row],[indicador de columna]],FALSE)</f>
        <v>0</v>
      </c>
      <c r="Y51" s="90">
        <f>+VLOOKUP(PROVEEDORES[[#This Row],[ID RETENCION]],Retenciones!$A$1:$O$25,2,FALSE)</f>
        <v>0</v>
      </c>
      <c r="Z51" s="116" t="b">
        <f>OR(COUNTIF(PROVEEDORES[[#This Row],[PROVEEDOR]],"*"&amp;'Palabra no opera'!$A$2&amp;"*"))</f>
        <v>0</v>
      </c>
      <c r="AA51" s="24"/>
      <c r="AB51" s="24"/>
      <c r="AC51" s="24"/>
      <c r="AD51" s="24"/>
      <c r="AE51" s="24"/>
    </row>
    <row r="52" spans="1:31" ht="22.35" customHeight="1" x14ac:dyDescent="0.3">
      <c r="A52" s="61" t="str">
        <f>+IF(PROVEEDORES[[#This Row],[FECHA DE PAGO]]=PROVEEDORES[[#This Row],[FECHA DE FACTURACIÓN]],"DE CONTADO","CRÉDITO")</f>
        <v>CRÉDITO</v>
      </c>
      <c r="B52" s="38" t="str">
        <f>+IF((PROVEEDORES[[#This Row],[FECHA DE PAGO]]-PROVEEDORES[[#This Row],[FECHA DE FACTURACIÓN]])&gt;PROVEEDORES[[#This Row],[PLAZO Días]],"PAGO VENCIDO")</f>
        <v>PAGO VENCIDO</v>
      </c>
      <c r="C52" s="20">
        <f>+VLOOKUP(PROVEEDORES[[#This Row],[PROVEEDOR]],TERCEROS_INFO[#All],2,FALSE)</f>
        <v>60</v>
      </c>
      <c r="D52" s="25">
        <f>+SUMIFS(PROVEEDORES[Total],PROVEEDORES[PROVEEDOR],PROVEEDORES[[#This Row],[PROVEEDOR]],PROVEEDORES[FECHA DE PAGO],"")</f>
        <v>395600</v>
      </c>
      <c r="E52" s="25"/>
      <c r="F5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2" s="68">
        <v>44586</v>
      </c>
      <c r="H52" s="26" t="s">
        <v>287</v>
      </c>
      <c r="I52" s="68">
        <v>44501</v>
      </c>
      <c r="J52" s="35" t="s">
        <v>968</v>
      </c>
      <c r="K52" s="21">
        <v>235200</v>
      </c>
      <c r="L52" s="21"/>
      <c r="M52" s="22">
        <v>0</v>
      </c>
      <c r="N52" s="23"/>
      <c r="O52" s="22">
        <v>0</v>
      </c>
      <c r="P52" s="74">
        <f>+IF(PROVEEDORES[[#This Row],[SUBTOTAL]]&lt;PROVEEDORES[[#This Row],[base retencion]],0,PROVEEDORES[[#This Row],[retención aplicada]])</f>
        <v>0</v>
      </c>
      <c r="Q52" s="22">
        <f>+PROVEEDORES[[#This Row],[Rete Fuente %]]*(PROVEEDORES[[#This Row],[SUBTOTAL]]-PROVEEDORES[[#This Row],[descuento sobre subtotal]])</f>
        <v>0</v>
      </c>
      <c r="R52" s="21">
        <v>235200</v>
      </c>
      <c r="S5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63">
        <f ca="1">IF(PROVEEDORES[[#This Row],[FECHA DE PAGO]]=0,TODAY()-PROVEEDORES[[#This Row],[FECHA DE FACTURACIÓN]]-PROVEEDORES[[#This Row],[PLAZO Días]],0)</f>
        <v>0</v>
      </c>
      <c r="U52" s="87">
        <f>+VLOOKUP(PROVEEDORES[[#This Row],[PROVEEDOR]],Terceros!$A:$D,4,FALSE)</f>
        <v>0</v>
      </c>
      <c r="V52" s="88">
        <f>+YEAR(PROVEEDORES[[#This Row],[FECHA DE FACTURACIÓN]])</f>
        <v>2021</v>
      </c>
      <c r="W52" s="88">
        <f>+MATCH(PROVEEDORES[[#This Row],[año facturado]],Retenciones!$1:$1,0)</f>
        <v>4</v>
      </c>
      <c r="X52" s="89">
        <f>+VLOOKUP(PROVEEDORES[[#This Row],[ID RETENCION]],Retenciones!$A$1:$O$25,PROVEEDORES[[#This Row],[indicador de columna]],FALSE)</f>
        <v>0</v>
      </c>
      <c r="Y52" s="90">
        <f>+VLOOKUP(PROVEEDORES[[#This Row],[ID RETENCION]],Retenciones!$A$1:$O$25,2,FALSE)</f>
        <v>0</v>
      </c>
      <c r="Z52" s="116" t="b">
        <f>OR(COUNTIF(PROVEEDORES[[#This Row],[PROVEEDOR]],"*"&amp;'Palabra no opera'!$A$2&amp;"*"))</f>
        <v>0</v>
      </c>
      <c r="AA52" s="24"/>
      <c r="AB52" s="24"/>
      <c r="AC52" s="24"/>
      <c r="AD52" s="24"/>
      <c r="AE52" s="24"/>
    </row>
    <row r="53" spans="1:31" ht="22.35" customHeight="1" x14ac:dyDescent="0.3">
      <c r="A53" s="61" t="str">
        <f>+IF(PROVEEDORES[[#This Row],[FECHA DE PAGO]]=PROVEEDORES[[#This Row],[FECHA DE FACTURACIÓN]],"DE CONTADO","CRÉDITO")</f>
        <v>CRÉDITO</v>
      </c>
      <c r="B53" s="38" t="str">
        <f>+IF((PROVEEDORES[[#This Row],[FECHA DE PAGO]]-PROVEEDORES[[#This Row],[FECHA DE FACTURACIÓN]])&gt;PROVEEDORES[[#This Row],[PLAZO Días]],"PAGO VENCIDO")</f>
        <v>PAGO VENCIDO</v>
      </c>
      <c r="C53" s="20">
        <f>+VLOOKUP(PROVEEDORES[[#This Row],[PROVEEDOR]],TERCEROS_INFO[#All],2,FALSE)</f>
        <v>60</v>
      </c>
      <c r="D53" s="25">
        <f>+SUMIFS(PROVEEDORES[Total],PROVEEDORES[PROVEEDOR],PROVEEDORES[[#This Row],[PROVEEDOR]],PROVEEDORES[FECHA DE PAGO],"")</f>
        <v>395600</v>
      </c>
      <c r="E53" s="25"/>
      <c r="F5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3" s="68">
        <v>44586</v>
      </c>
      <c r="H53" s="26" t="s">
        <v>287</v>
      </c>
      <c r="I53" s="68">
        <v>44510</v>
      </c>
      <c r="J53" s="35" t="s">
        <v>969</v>
      </c>
      <c r="K53" s="21">
        <v>285600</v>
      </c>
      <c r="L53" s="21"/>
      <c r="M53" s="22">
        <v>0</v>
      </c>
      <c r="N53" s="23"/>
      <c r="O53" s="22">
        <v>0</v>
      </c>
      <c r="P53" s="74">
        <f>+IF(PROVEEDORES[[#This Row],[SUBTOTAL]]&lt;PROVEEDORES[[#This Row],[base retencion]],0,PROVEEDORES[[#This Row],[retención aplicada]])</f>
        <v>0</v>
      </c>
      <c r="Q53" s="22">
        <f>+PROVEEDORES[[#This Row],[Rete Fuente %]]*(PROVEEDORES[[#This Row],[SUBTOTAL]]-PROVEEDORES[[#This Row],[descuento sobre subtotal]])</f>
        <v>0</v>
      </c>
      <c r="R53" s="21">
        <v>0</v>
      </c>
      <c r="S5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63">
        <f ca="1">IF(PROVEEDORES[[#This Row],[FECHA DE PAGO]]=0,TODAY()-PROVEEDORES[[#This Row],[FECHA DE FACTURACIÓN]]-PROVEEDORES[[#This Row],[PLAZO Días]],0)</f>
        <v>0</v>
      </c>
      <c r="U53" s="87">
        <f>+VLOOKUP(PROVEEDORES[[#This Row],[PROVEEDOR]],Terceros!$A:$D,4,FALSE)</f>
        <v>0</v>
      </c>
      <c r="V53" s="88">
        <f>+YEAR(PROVEEDORES[[#This Row],[FECHA DE FACTURACIÓN]])</f>
        <v>2021</v>
      </c>
      <c r="W53" s="88">
        <f>+MATCH(PROVEEDORES[[#This Row],[año facturado]],Retenciones!$1:$1,0)</f>
        <v>4</v>
      </c>
      <c r="X53" s="89">
        <f>+VLOOKUP(PROVEEDORES[[#This Row],[ID RETENCION]],Retenciones!$A$1:$O$25,PROVEEDORES[[#This Row],[indicador de columna]],FALSE)</f>
        <v>0</v>
      </c>
      <c r="Y53" s="90">
        <f>+VLOOKUP(PROVEEDORES[[#This Row],[ID RETENCION]],Retenciones!$A$1:$O$25,2,FALSE)</f>
        <v>0</v>
      </c>
      <c r="Z53" s="116" t="b">
        <f>OR(COUNTIF(PROVEEDORES[[#This Row],[PROVEEDOR]],"*"&amp;'Palabra no opera'!$A$2&amp;"*"))</f>
        <v>0</v>
      </c>
      <c r="AA53" s="24"/>
      <c r="AB53" s="24"/>
      <c r="AC53" s="24"/>
      <c r="AD53" s="24"/>
      <c r="AE53" s="24"/>
    </row>
    <row r="54" spans="1:31" ht="22.35" customHeight="1" x14ac:dyDescent="0.3">
      <c r="A54" s="61" t="str">
        <f>+IF(PROVEEDORES[[#This Row],[FECHA DE PAGO]]=PROVEEDORES[[#This Row],[FECHA DE FACTURACIÓN]],"DE CONTADO","CRÉDITO")</f>
        <v>CRÉDITO</v>
      </c>
      <c r="B54" s="38" t="b">
        <f>+IF((PROVEEDORES[[#This Row],[FECHA DE PAGO]]-PROVEEDORES[[#This Row],[FECHA DE FACTURACIÓN]])&gt;PROVEEDORES[[#This Row],[PLAZO Días]],"PAGO VENCIDO")</f>
        <v>0</v>
      </c>
      <c r="C54" s="20">
        <f>+VLOOKUP(PROVEEDORES[[#This Row],[PROVEEDOR]],TERCEROS_INFO[#All],2,FALSE)</f>
        <v>60</v>
      </c>
      <c r="D54" s="25">
        <f>+SUMIFS(PROVEEDORES[Total],PROVEEDORES[PROVEEDOR],PROVEEDORES[[#This Row],[PROVEEDOR]],PROVEEDORES[FECHA DE PAGO],"")</f>
        <v>395600</v>
      </c>
      <c r="E54" s="25"/>
      <c r="F5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4" s="68">
        <v>44586</v>
      </c>
      <c r="H54" s="26" t="s">
        <v>287</v>
      </c>
      <c r="I54" s="68">
        <v>44533</v>
      </c>
      <c r="J54" s="35" t="s">
        <v>975</v>
      </c>
      <c r="K54" s="21">
        <v>201600</v>
      </c>
      <c r="L54" s="21"/>
      <c r="M54" s="22">
        <v>0</v>
      </c>
      <c r="N54" s="23"/>
      <c r="O54" s="22">
        <v>0</v>
      </c>
      <c r="P54" s="74">
        <f>+IF(PROVEEDORES[[#This Row],[SUBTOTAL]]&lt;PROVEEDORES[[#This Row],[base retencion]],0,PROVEEDORES[[#This Row],[retención aplicada]])</f>
        <v>0</v>
      </c>
      <c r="Q54" s="22">
        <f>+PROVEEDORES[[#This Row],[Rete Fuente %]]*(PROVEEDORES[[#This Row],[SUBTOTAL]]-PROVEEDORES[[#This Row],[descuento sobre subtotal]])</f>
        <v>0</v>
      </c>
      <c r="R54" s="21">
        <v>201600</v>
      </c>
      <c r="S5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63">
        <f ca="1">IF(PROVEEDORES[[#This Row],[FECHA DE PAGO]]=0,TODAY()-PROVEEDORES[[#This Row],[FECHA DE FACTURACIÓN]]-PROVEEDORES[[#This Row],[PLAZO Días]],0)</f>
        <v>0</v>
      </c>
      <c r="U54" s="87">
        <f>+VLOOKUP(PROVEEDORES[[#This Row],[PROVEEDOR]],Terceros!$A:$D,4,FALSE)</f>
        <v>0</v>
      </c>
      <c r="V54" s="88">
        <f>+YEAR(PROVEEDORES[[#This Row],[FECHA DE FACTURACIÓN]])</f>
        <v>2021</v>
      </c>
      <c r="W54" s="88">
        <f>+MATCH(PROVEEDORES[[#This Row],[año facturado]],Retenciones!$1:$1,0)</f>
        <v>4</v>
      </c>
      <c r="X54" s="89">
        <f>+VLOOKUP(PROVEEDORES[[#This Row],[ID RETENCION]],Retenciones!$A$1:$O$25,PROVEEDORES[[#This Row],[indicador de columna]],FALSE)</f>
        <v>0</v>
      </c>
      <c r="Y54" s="90">
        <f>+VLOOKUP(PROVEEDORES[[#This Row],[ID RETENCION]],Retenciones!$A$1:$O$25,2,FALSE)</f>
        <v>0</v>
      </c>
      <c r="Z54" s="116" t="b">
        <f>OR(COUNTIF(PROVEEDORES[[#This Row],[PROVEEDOR]],"*"&amp;'Palabra no opera'!$A$2&amp;"*"))</f>
        <v>0</v>
      </c>
      <c r="AA54" s="24"/>
      <c r="AB54" s="24"/>
      <c r="AC54" s="24"/>
      <c r="AD54" s="24"/>
      <c r="AE54" s="24"/>
    </row>
    <row r="55" spans="1:31" ht="22.35" customHeight="1" x14ac:dyDescent="0.3">
      <c r="A55" s="61" t="str">
        <f>+IF(PROVEEDORES[[#This Row],[FECHA DE PAGO]]=PROVEEDORES[[#This Row],[FECHA DE FACTURACIÓN]],"DE CONTADO","CRÉDITO")</f>
        <v>CRÉDITO</v>
      </c>
      <c r="B55" s="38" t="b">
        <f>+IF((PROVEEDORES[[#This Row],[FECHA DE PAGO]]-PROVEEDORES[[#This Row],[FECHA DE FACTURACIÓN]])&gt;PROVEEDORES[[#This Row],[PLAZO Días]],"PAGO VENCIDO")</f>
        <v>0</v>
      </c>
      <c r="C55" s="20">
        <f>+VLOOKUP(PROVEEDORES[[#This Row],[PROVEEDOR]],TERCEROS_INFO[#All],2,FALSE)</f>
        <v>60</v>
      </c>
      <c r="D55" s="25">
        <f>+SUMIFS(PROVEEDORES[Total],PROVEEDORES[PROVEEDOR],PROVEEDORES[[#This Row],[PROVEEDOR]],PROVEEDORES[FECHA DE PAGO],"")</f>
        <v>395600</v>
      </c>
      <c r="E55" s="25"/>
      <c r="F5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5" s="68">
        <v>44586</v>
      </c>
      <c r="H55" s="26" t="s">
        <v>287</v>
      </c>
      <c r="I55" s="68">
        <v>44533</v>
      </c>
      <c r="J55" s="35" t="s">
        <v>976</v>
      </c>
      <c r="K55" s="21">
        <v>487200</v>
      </c>
      <c r="L55" s="21"/>
      <c r="M55" s="22">
        <v>0</v>
      </c>
      <c r="N55" s="23"/>
      <c r="O55" s="22">
        <v>0</v>
      </c>
      <c r="P55" s="74">
        <f>+IF(PROVEEDORES[[#This Row],[SUBTOTAL]]&lt;PROVEEDORES[[#This Row],[base retencion]],0,PROVEEDORES[[#This Row],[retención aplicada]])</f>
        <v>0</v>
      </c>
      <c r="Q55" s="22">
        <f>+PROVEEDORES[[#This Row],[Rete Fuente %]]*(PROVEEDORES[[#This Row],[SUBTOTAL]]-PROVEEDORES[[#This Row],[descuento sobre subtotal]])</f>
        <v>0</v>
      </c>
      <c r="R55" s="21">
        <v>487200</v>
      </c>
      <c r="S5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63">
        <f ca="1">IF(PROVEEDORES[[#This Row],[FECHA DE PAGO]]=0,TODAY()-PROVEEDORES[[#This Row],[FECHA DE FACTURACIÓN]]-PROVEEDORES[[#This Row],[PLAZO Días]],0)</f>
        <v>0</v>
      </c>
      <c r="U55" s="87">
        <f>+VLOOKUP(PROVEEDORES[[#This Row],[PROVEEDOR]],Terceros!$A:$D,4,FALSE)</f>
        <v>0</v>
      </c>
      <c r="V55" s="88">
        <f>+YEAR(PROVEEDORES[[#This Row],[FECHA DE FACTURACIÓN]])</f>
        <v>2021</v>
      </c>
      <c r="W55" s="88">
        <f>+MATCH(PROVEEDORES[[#This Row],[año facturado]],Retenciones!$1:$1,0)</f>
        <v>4</v>
      </c>
      <c r="X55" s="89">
        <f>+VLOOKUP(PROVEEDORES[[#This Row],[ID RETENCION]],Retenciones!$A$1:$O$25,PROVEEDORES[[#This Row],[indicador de columna]],FALSE)</f>
        <v>0</v>
      </c>
      <c r="Y55" s="90">
        <f>+VLOOKUP(PROVEEDORES[[#This Row],[ID RETENCION]],Retenciones!$A$1:$O$25,2,FALSE)</f>
        <v>0</v>
      </c>
      <c r="Z55" s="116" t="b">
        <f>OR(COUNTIF(PROVEEDORES[[#This Row],[PROVEEDOR]],"*"&amp;'Palabra no opera'!$A$2&amp;"*"))</f>
        <v>0</v>
      </c>
      <c r="AA55" s="24"/>
      <c r="AB55" s="24"/>
      <c r="AC55" s="24"/>
      <c r="AD55" s="24"/>
      <c r="AE55" s="24"/>
    </row>
    <row r="56" spans="1:31" ht="22.35" customHeight="1" x14ac:dyDescent="0.3">
      <c r="A56" s="61" t="str">
        <f>+IF(PROVEEDORES[[#This Row],[FECHA DE PAGO]]=PROVEEDORES[[#This Row],[FECHA DE FACTURACIÓN]],"DE CONTADO","CRÉDITO")</f>
        <v>CRÉDITO</v>
      </c>
      <c r="B56" s="38" t="b">
        <f>+IF((PROVEEDORES[[#This Row],[FECHA DE PAGO]]-PROVEEDORES[[#This Row],[FECHA DE FACTURACIÓN]])&gt;PROVEEDORES[[#This Row],[PLAZO Días]],"PAGO VENCIDO")</f>
        <v>0</v>
      </c>
      <c r="C56" s="20">
        <f>+VLOOKUP(PROVEEDORES[[#This Row],[PROVEEDOR]],TERCEROS_INFO[#All],2,FALSE)</f>
        <v>60</v>
      </c>
      <c r="D56" s="25">
        <f>+SUMIFS(PROVEEDORES[Total],PROVEEDORES[PROVEEDOR],PROVEEDORES[[#This Row],[PROVEEDOR]],PROVEEDORES[FECHA DE PAGO],"")</f>
        <v>395600</v>
      </c>
      <c r="E56" s="25"/>
      <c r="F5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" s="68">
        <v>44586</v>
      </c>
      <c r="H56" s="26" t="s">
        <v>287</v>
      </c>
      <c r="I56" s="68">
        <v>44537</v>
      </c>
      <c r="J56" s="35" t="s">
        <v>977</v>
      </c>
      <c r="K56" s="21">
        <v>252000</v>
      </c>
      <c r="L56" s="21"/>
      <c r="M56" s="22">
        <v>0</v>
      </c>
      <c r="N56" s="23"/>
      <c r="O56" s="22">
        <v>0</v>
      </c>
      <c r="P56" s="74">
        <f>+IF(PROVEEDORES[[#This Row],[SUBTOTAL]]&lt;PROVEEDORES[[#This Row],[base retencion]],0,PROVEEDORES[[#This Row],[retención aplicada]])</f>
        <v>0</v>
      </c>
      <c r="Q56" s="22">
        <f>+PROVEEDORES[[#This Row],[Rete Fuente %]]*(PROVEEDORES[[#This Row],[SUBTOTAL]]-PROVEEDORES[[#This Row],[descuento sobre subtotal]])</f>
        <v>0</v>
      </c>
      <c r="R56" s="21">
        <v>252000</v>
      </c>
      <c r="S5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63">
        <f ca="1">IF(PROVEEDORES[[#This Row],[FECHA DE PAGO]]=0,TODAY()-PROVEEDORES[[#This Row],[FECHA DE FACTURACIÓN]]-PROVEEDORES[[#This Row],[PLAZO Días]],0)</f>
        <v>0</v>
      </c>
      <c r="U56" s="87">
        <f>+VLOOKUP(PROVEEDORES[[#This Row],[PROVEEDOR]],Terceros!$A:$D,4,FALSE)</f>
        <v>0</v>
      </c>
      <c r="V56" s="88">
        <f>+YEAR(PROVEEDORES[[#This Row],[FECHA DE FACTURACIÓN]])</f>
        <v>2021</v>
      </c>
      <c r="W56" s="88">
        <f>+MATCH(PROVEEDORES[[#This Row],[año facturado]],Retenciones!$1:$1,0)</f>
        <v>4</v>
      </c>
      <c r="X56" s="89">
        <f>+VLOOKUP(PROVEEDORES[[#This Row],[ID RETENCION]],Retenciones!$A$1:$O$25,PROVEEDORES[[#This Row],[indicador de columna]],FALSE)</f>
        <v>0</v>
      </c>
      <c r="Y56" s="90">
        <f>+VLOOKUP(PROVEEDORES[[#This Row],[ID RETENCION]],Retenciones!$A$1:$O$25,2,FALSE)</f>
        <v>0</v>
      </c>
      <c r="Z56" s="116" t="b">
        <f>OR(COUNTIF(PROVEEDORES[[#This Row],[PROVEEDOR]],"*"&amp;'Palabra no opera'!$A$2&amp;"*"))</f>
        <v>0</v>
      </c>
      <c r="AA56" s="24"/>
      <c r="AB56" s="24"/>
      <c r="AC56" s="24"/>
      <c r="AD56" s="24"/>
      <c r="AE56" s="24"/>
    </row>
    <row r="57" spans="1:31" ht="22.35" customHeight="1" x14ac:dyDescent="0.3">
      <c r="A57" s="61" t="str">
        <f>+IF(PROVEEDORES[[#This Row],[FECHA DE PAGO]]=PROVEEDORES[[#This Row],[FECHA DE FACTURACIÓN]],"DE CONTADO","CRÉDITO")</f>
        <v>CRÉDITO</v>
      </c>
      <c r="B57" s="38" t="str">
        <f>+IF((PROVEEDORES[[#This Row],[FECHA DE PAGO]]-PROVEEDORES[[#This Row],[FECHA DE FACTURACIÓN]])&gt;PROVEEDORES[[#This Row],[PLAZO Días]],"PAGO VENCIDO")</f>
        <v>PAGO VENCIDO</v>
      </c>
      <c r="C57" s="20">
        <f>+VLOOKUP(PROVEEDORES[[#This Row],[PROVEEDOR]],TERCEROS_INFO[#All],2,FALSE)</f>
        <v>45</v>
      </c>
      <c r="D57" s="25">
        <f>+SUMIFS(PROVEEDORES[Total],PROVEEDORES[PROVEEDOR],PROVEEDORES[[#This Row],[PROVEEDOR]],PROVEEDORES[FECHA DE PAGO],"")</f>
        <v>3074500</v>
      </c>
      <c r="E57" s="25"/>
      <c r="F5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" s="68">
        <v>44586</v>
      </c>
      <c r="H57" s="26" t="s">
        <v>289</v>
      </c>
      <c r="I57" s="68">
        <v>44539</v>
      </c>
      <c r="J57" s="35" t="s">
        <v>302</v>
      </c>
      <c r="K57" s="21">
        <v>2352000</v>
      </c>
      <c r="L57" s="21"/>
      <c r="M57" s="22">
        <v>0</v>
      </c>
      <c r="N57" s="23"/>
      <c r="O57" s="22">
        <v>0</v>
      </c>
      <c r="P57" s="74">
        <f>+IF(PROVEEDORES[[#This Row],[SUBTOTAL]]&lt;PROVEEDORES[[#This Row],[base retencion]],0,PROVEEDORES[[#This Row],[retención aplicada]])</f>
        <v>0</v>
      </c>
      <c r="Q57" s="22">
        <f>+PROVEEDORES[[#This Row],[Rete Fuente %]]*(PROVEEDORES[[#This Row],[SUBTOTAL]]-PROVEEDORES[[#This Row],[descuento sobre subtotal]])</f>
        <v>0</v>
      </c>
      <c r="R57" s="21">
        <v>2352000</v>
      </c>
      <c r="S5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63">
        <f ca="1">IF(PROVEEDORES[[#This Row],[FECHA DE PAGO]]=0,TODAY()-PROVEEDORES[[#This Row],[FECHA DE FACTURACIÓN]]-PROVEEDORES[[#This Row],[PLAZO Días]],0)</f>
        <v>0</v>
      </c>
      <c r="U57" s="87">
        <f>+VLOOKUP(PROVEEDORES[[#This Row],[PROVEEDOR]],Terceros!$A:$D,4,FALSE)</f>
        <v>0</v>
      </c>
      <c r="V57" s="88">
        <f>+YEAR(PROVEEDORES[[#This Row],[FECHA DE FACTURACIÓN]])</f>
        <v>2021</v>
      </c>
      <c r="W57" s="88">
        <f>+MATCH(PROVEEDORES[[#This Row],[año facturado]],Retenciones!$1:$1,0)</f>
        <v>4</v>
      </c>
      <c r="X57" s="89">
        <f>+VLOOKUP(PROVEEDORES[[#This Row],[ID RETENCION]],Retenciones!$A$1:$O$25,PROVEEDORES[[#This Row],[indicador de columna]],FALSE)</f>
        <v>0</v>
      </c>
      <c r="Y57" s="90">
        <f>+VLOOKUP(PROVEEDORES[[#This Row],[ID RETENCION]],Retenciones!$A$1:$O$25,2,FALSE)</f>
        <v>0</v>
      </c>
      <c r="Z57" s="116" t="b">
        <f>OR(COUNTIF(PROVEEDORES[[#This Row],[PROVEEDOR]],"*"&amp;'Palabra no opera'!$A$2&amp;"*"))</f>
        <v>0</v>
      </c>
      <c r="AA57" s="24"/>
      <c r="AB57" s="24"/>
      <c r="AC57" s="24"/>
      <c r="AD57" s="24"/>
      <c r="AE57" s="24"/>
    </row>
    <row r="58" spans="1:31" ht="22.35" customHeight="1" x14ac:dyDescent="0.3">
      <c r="A58" s="61" t="str">
        <f>+IF(PROVEEDORES[[#This Row],[FECHA DE PAGO]]=PROVEEDORES[[#This Row],[FECHA DE FACTURACIÓN]],"DE CONTADO","CRÉDITO")</f>
        <v>DE CONTADO</v>
      </c>
      <c r="B58" s="38" t="b">
        <f>+IF((PROVEEDORES[[#This Row],[FECHA DE PAGO]]-PROVEEDORES[[#This Row],[FECHA DE FACTURACIÓN]])&gt;PROVEEDORES[[#This Row],[PLAZO Días]],"PAGO VENCIDO")</f>
        <v>0</v>
      </c>
      <c r="C58" s="20">
        <f>+VLOOKUP(PROVEEDORES[[#This Row],[PROVEEDOR]],TERCEROS_INFO[#All],2,FALSE)</f>
        <v>30</v>
      </c>
      <c r="D58" s="25">
        <f>+SUMIFS(PROVEEDORES[Total],PROVEEDORES[PROVEEDOR],PROVEEDORES[[#This Row],[PROVEEDOR]],PROVEEDORES[FECHA DE PAGO],"")</f>
        <v>0</v>
      </c>
      <c r="E58" s="25"/>
      <c r="F58" s="56" t="str">
        <f>+VLOOKUP(PROVEEDORES[[#This Row],[PROVEEDOR]],
                       Terceros!$A:$F,
                       5,
                       FALSE)</f>
        <v/>
      </c>
      <c r="G58" s="68">
        <v>44588</v>
      </c>
      <c r="H58" s="26" t="s">
        <v>370</v>
      </c>
      <c r="I58" s="68">
        <v>44588</v>
      </c>
      <c r="J58" s="35" t="s">
        <v>996</v>
      </c>
      <c r="K58" s="21">
        <v>280000</v>
      </c>
      <c r="L58" s="21"/>
      <c r="M58" s="22">
        <f>(PROVEEDORES[[#This Row],[SUBTOTAL]]-PROVEEDORES[[#This Row],[descuento sobre subtotal]])*VLOOKUP(PROVEEDORES[[#This Row],[PROVEEDOR]],TERCEROS_INFO[#All],3,FALSE)</f>
        <v>0</v>
      </c>
      <c r="N58" s="23"/>
      <c r="O58" s="22">
        <f>+PROVEEDORES[[#This Row],[Descuento sobre subtotal %]]*(PROVEEDORES[[#This Row],[SUBTOTAL]]-PROVEEDORES[[#This Row],[descuento sobre subtotal]])</f>
        <v>0</v>
      </c>
      <c r="P58" s="74">
        <f>+IF(PROVEEDORES[[#This Row],[SUBTOTAL]]&lt;PROVEEDORES[[#This Row],[base retencion]],0,PROVEEDORES[[#This Row],[retención aplicada]])</f>
        <v>0</v>
      </c>
      <c r="Q58" s="22">
        <f>+PROVEEDORES[[#This Row],[Rete Fuente %]]*(PROVEEDORES[[#This Row],[SUBTOTAL]]-PROVEEDORES[[#This Row],[descuento sobre subtotal]])</f>
        <v>0</v>
      </c>
      <c r="R58" s="21">
        <v>280000</v>
      </c>
      <c r="S5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63">
        <f ca="1">IF(PROVEEDORES[[#This Row],[FECHA DE PAGO]]=0,TODAY()-PROVEEDORES[[#This Row],[FECHA DE FACTURACIÓN]]-PROVEEDORES[[#This Row],[PLAZO Días]],0)</f>
        <v>0</v>
      </c>
      <c r="U58" s="87">
        <f>+VLOOKUP(PROVEEDORES[[#This Row],[PROVEEDOR]],Terceros!$A:$D,4,FALSE)</f>
        <v>0</v>
      </c>
      <c r="V58" s="88">
        <f>+YEAR(PROVEEDORES[[#This Row],[FECHA DE FACTURACIÓN]])</f>
        <v>2022</v>
      </c>
      <c r="W58" s="88">
        <f>+MATCH(PROVEEDORES[[#This Row],[año facturado]],Retenciones!$1:$1,0)</f>
        <v>5</v>
      </c>
      <c r="X58" s="89">
        <f>+VLOOKUP(PROVEEDORES[[#This Row],[ID RETENCION]],Retenciones!$A$1:$O$25,PROVEEDORES[[#This Row],[indicador de columna]],FALSE)</f>
        <v>0</v>
      </c>
      <c r="Y58" s="90">
        <f>+VLOOKUP(PROVEEDORES[[#This Row],[ID RETENCION]],Retenciones!$A$1:$O$25,2,FALSE)</f>
        <v>0</v>
      </c>
      <c r="Z58" s="116" t="b">
        <f>OR(COUNTIF(PROVEEDORES[[#This Row],[PROVEEDOR]],"*"&amp;'Palabra no opera'!$A$2&amp;"*"))</f>
        <v>0</v>
      </c>
      <c r="AA58" s="24"/>
      <c r="AB58" s="24"/>
      <c r="AC58" s="24"/>
      <c r="AD58" s="24"/>
      <c r="AE58" s="24"/>
    </row>
    <row r="59" spans="1:31" ht="22.35" customHeight="1" x14ac:dyDescent="0.3">
      <c r="A59" s="61" t="str">
        <f>+IF(PROVEEDORES[[#This Row],[FECHA DE PAGO]]=PROVEEDORES[[#This Row],[FECHA DE FACTURACIÓN]],"DE CONTADO","CRÉDITO")</f>
        <v>CRÉDITO</v>
      </c>
      <c r="B59" s="38" t="b">
        <f>+IF((PROVEEDORES[[#This Row],[FECHA DE PAGO]]-PROVEEDORES[[#This Row],[FECHA DE FACTURACIÓN]])&gt;PROVEEDORES[[#This Row],[PLAZO Días]],"PAGO VENCIDO")</f>
        <v>0</v>
      </c>
      <c r="C59" s="20">
        <f>+VLOOKUP(PROVEEDORES[[#This Row],[PROVEEDOR]],TERCEROS_INFO[#All],2,FALSE)</f>
        <v>30</v>
      </c>
      <c r="D59" s="25">
        <f>+SUMIFS(PROVEEDORES[Total],PROVEEDORES[PROVEEDOR],PROVEEDORES[[#This Row],[PROVEEDOR]],PROVEEDORES[FECHA DE PAGO],"")</f>
        <v>0</v>
      </c>
      <c r="E59" s="25"/>
      <c r="F59" s="56" t="str">
        <f>+VLOOKUP(PROVEEDORES[[#This Row],[PROVEEDOR]],
                       Terceros!$A:$F,
                       5,
                       FALSE)</f>
        <v/>
      </c>
      <c r="G59" s="68">
        <v>44588</v>
      </c>
      <c r="H59" s="26" t="s">
        <v>401</v>
      </c>
      <c r="I59" s="68">
        <v>44580</v>
      </c>
      <c r="J59" s="35" t="s">
        <v>990</v>
      </c>
      <c r="K59" s="21">
        <v>699000</v>
      </c>
      <c r="L59" s="21"/>
      <c r="M59" s="22">
        <v>0</v>
      </c>
      <c r="N59" s="23"/>
      <c r="O59" s="22">
        <v>0</v>
      </c>
      <c r="P59" s="74">
        <f>+IF(PROVEEDORES[[#This Row],[SUBTOTAL]]&lt;PROVEEDORES[[#This Row],[base retencion]],0,PROVEEDORES[[#This Row],[retención aplicada]])</f>
        <v>0</v>
      </c>
      <c r="Q59" s="22">
        <f>+PROVEEDORES[[#This Row],[Rete Fuente %]]*(PROVEEDORES[[#This Row],[SUBTOTAL]]-PROVEEDORES[[#This Row],[descuento sobre subtotal]])</f>
        <v>0</v>
      </c>
      <c r="R59" s="21">
        <v>699000</v>
      </c>
      <c r="S5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63">
        <f ca="1">IF(PROVEEDORES[[#This Row],[FECHA DE PAGO]]=0,TODAY()-PROVEEDORES[[#This Row],[FECHA DE FACTURACIÓN]]-PROVEEDORES[[#This Row],[PLAZO Días]],0)</f>
        <v>0</v>
      </c>
      <c r="U59" s="87">
        <f>+VLOOKUP(PROVEEDORES[[#This Row],[PROVEEDOR]],Terceros!$A:$D,4,FALSE)</f>
        <v>0</v>
      </c>
      <c r="V59" s="88">
        <f>+YEAR(PROVEEDORES[[#This Row],[FECHA DE FACTURACIÓN]])</f>
        <v>2022</v>
      </c>
      <c r="W59" s="88">
        <f>+MATCH(PROVEEDORES[[#This Row],[año facturado]],Retenciones!$1:$1,0)</f>
        <v>5</v>
      </c>
      <c r="X59" s="89">
        <f>+VLOOKUP(PROVEEDORES[[#This Row],[ID RETENCION]],Retenciones!$A$1:$O$25,PROVEEDORES[[#This Row],[indicador de columna]],FALSE)</f>
        <v>0</v>
      </c>
      <c r="Y59" s="90">
        <f>+VLOOKUP(PROVEEDORES[[#This Row],[ID RETENCION]],Retenciones!$A$1:$O$25,2,FALSE)</f>
        <v>0</v>
      </c>
      <c r="Z59" s="116" t="b">
        <f>OR(COUNTIF(PROVEEDORES[[#This Row],[PROVEEDOR]],"*"&amp;'Palabra no opera'!$A$2&amp;"*"))</f>
        <v>0</v>
      </c>
      <c r="AA59" s="24"/>
      <c r="AB59" s="24"/>
      <c r="AC59" s="24"/>
      <c r="AD59" s="24"/>
      <c r="AE59" s="24"/>
    </row>
    <row r="60" spans="1:31" ht="22.35" customHeight="1" x14ac:dyDescent="0.3">
      <c r="A60" s="61" t="str">
        <f>+IF(PROVEEDORES[[#This Row],[FECHA DE PAGO]]=PROVEEDORES[[#This Row],[FECHA DE FACTURACIÓN]],"DE CONTADO","CRÉDITO")</f>
        <v>CRÉDITO</v>
      </c>
      <c r="B60" s="38" t="str">
        <f>+IF((PROVEEDORES[[#This Row],[FECHA DE PAGO]]-PROVEEDORES[[#This Row],[FECHA DE FACTURACIÓN]])&gt;PROVEEDORES[[#This Row],[PLAZO Días]],"PAGO VENCIDO")</f>
        <v>PAGO VENCIDO</v>
      </c>
      <c r="C60" s="20">
        <f>+VLOOKUP(PROVEEDORES[[#This Row],[PROVEEDOR]],TERCEROS_INFO[#All],2,FALSE)</f>
        <v>30</v>
      </c>
      <c r="D60" s="25">
        <f>+SUMIFS(PROVEEDORES[Total],PROVEEDORES[PROVEEDOR],PROVEEDORES[[#This Row],[PROVEEDOR]],PROVEEDORES[FECHA DE PAGO],"")</f>
        <v>2773899.95</v>
      </c>
      <c r="E60" s="25"/>
      <c r="F60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60" s="68">
        <v>44588</v>
      </c>
      <c r="H60" s="26" t="s">
        <v>20</v>
      </c>
      <c r="I60" s="68">
        <v>44539</v>
      </c>
      <c r="J60" s="35">
        <v>5819</v>
      </c>
      <c r="K60" s="21">
        <v>1053853.1000000001</v>
      </c>
      <c r="L60" s="21"/>
      <c r="M60" s="22">
        <v>200232.08900000001</v>
      </c>
      <c r="N60" s="23"/>
      <c r="O60" s="22">
        <v>0</v>
      </c>
      <c r="P60" s="74">
        <f>+IF(PROVEEDORES[[#This Row],[SUBTOTAL]]&lt;PROVEEDORES[[#This Row],[base retencion]],0,PROVEEDORES[[#This Row],[retención aplicada]])</f>
        <v>2.5000000000000001E-2</v>
      </c>
      <c r="Q60" s="22">
        <f>+PROVEEDORES[[#This Row],[Rete Fuente %]]*(PROVEEDORES[[#This Row],[SUBTOTAL]]-PROVEEDORES[[#This Row],[descuento sobre subtotal]])</f>
        <v>26346.327500000003</v>
      </c>
      <c r="R60" s="21">
        <v>1227738.8615000001</v>
      </c>
      <c r="S6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63">
        <f ca="1">IF(PROVEEDORES[[#This Row],[FECHA DE PAGO]]=0,TODAY()-PROVEEDORES[[#This Row],[FECHA DE FACTURACIÓN]]-PROVEEDORES[[#This Row],[PLAZO Días]],0)</f>
        <v>0</v>
      </c>
      <c r="U60" s="87" t="str">
        <f>+VLOOKUP(PROVEEDORES[[#This Row],[PROVEEDOR]],Terceros!$A:$D,4,FALSE)</f>
        <v>2,5% con base</v>
      </c>
      <c r="V60" s="88">
        <f>+YEAR(PROVEEDORES[[#This Row],[FECHA DE FACTURACIÓN]])</f>
        <v>2021</v>
      </c>
      <c r="W60" s="88">
        <f>+MATCH(PROVEEDORES[[#This Row],[año facturado]],Retenciones!$1:$1,0)</f>
        <v>4</v>
      </c>
      <c r="X60" s="89">
        <f>+VLOOKUP(PROVEEDORES[[#This Row],[ID RETENCION]],Retenciones!$A$1:$O$25,PROVEEDORES[[#This Row],[indicador de columna]],FALSE)</f>
        <v>980000</v>
      </c>
      <c r="Y60" s="90">
        <f>+VLOOKUP(PROVEEDORES[[#This Row],[ID RETENCION]],Retenciones!$A$1:$O$25,2,FALSE)</f>
        <v>2.5000000000000001E-2</v>
      </c>
      <c r="Z60" s="116" t="b">
        <f>OR(COUNTIF(PROVEEDORES[[#This Row],[PROVEEDOR]],"*"&amp;'Palabra no opera'!$A$2&amp;"*"))</f>
        <v>0</v>
      </c>
      <c r="AA60" s="24"/>
      <c r="AB60" s="24"/>
      <c r="AC60" s="24"/>
      <c r="AD60" s="24"/>
      <c r="AE60" s="24"/>
    </row>
    <row r="61" spans="1:31" ht="22.35" customHeight="1" x14ac:dyDescent="0.3">
      <c r="A61" s="61" t="str">
        <f>+IF(PROVEEDORES[[#This Row],[FECHA DE PAGO]]=PROVEEDORES[[#This Row],[FECHA DE FACTURACIÓN]],"DE CONTADO","CRÉDITO")</f>
        <v>CRÉDITO</v>
      </c>
      <c r="B61" s="38" t="b">
        <f>+IF((PROVEEDORES[[#This Row],[FECHA DE PAGO]]-PROVEEDORES[[#This Row],[FECHA DE FACTURACIÓN]])&gt;PROVEEDORES[[#This Row],[PLAZO Días]],"PAGO VENCIDO")</f>
        <v>0</v>
      </c>
      <c r="C61" s="20">
        <f>+VLOOKUP(PROVEEDORES[[#This Row],[PROVEEDOR]],TERCEROS_INFO[#All],2,FALSE)</f>
        <v>30</v>
      </c>
      <c r="D61" s="25">
        <f>+SUMIFS(PROVEEDORES[Total],PROVEEDORES[PROVEEDOR],PROVEEDORES[[#This Row],[PROVEEDOR]],PROVEEDORES[FECHA DE PAGO],"")</f>
        <v>0</v>
      </c>
      <c r="E61" s="25"/>
      <c r="F6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1" s="68">
        <v>44588</v>
      </c>
      <c r="H61" s="26" t="s">
        <v>623</v>
      </c>
      <c r="I61" s="68">
        <v>44562</v>
      </c>
      <c r="J61" s="35" t="s">
        <v>892</v>
      </c>
      <c r="K61" s="21">
        <v>716544</v>
      </c>
      <c r="L61" s="21"/>
      <c r="M61" s="22">
        <v>136143.36000000002</v>
      </c>
      <c r="N61" s="23"/>
      <c r="O61" s="22">
        <v>0</v>
      </c>
      <c r="P61" s="74">
        <v>0</v>
      </c>
      <c r="Q61" s="22">
        <f>+PROVEEDORES[[#This Row],[Rete Fuente %]]*(PROVEEDORES[[#This Row],[SUBTOTAL]]-PROVEEDORES[[#This Row],[descuento sobre subtotal]])</f>
        <v>0</v>
      </c>
      <c r="R61" s="21">
        <v>852687.35999999999</v>
      </c>
      <c r="S6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63">
        <f ca="1">IF(PROVEEDORES[[#This Row],[FECHA DE PAGO]]=0,TODAY()-PROVEEDORES[[#This Row],[FECHA DE FACTURACIÓN]]-PROVEEDORES[[#This Row],[PLAZO Días]],0)</f>
        <v>0</v>
      </c>
      <c r="U61" s="87" t="str">
        <f>+VLOOKUP(PROVEEDORES[[#This Row],[PROVEEDOR]],Terceros!$A:$D,4,FALSE)</f>
        <v>4% sin base</v>
      </c>
      <c r="V61" s="88">
        <f>+YEAR(PROVEEDORES[[#This Row],[FECHA DE FACTURACIÓN]])</f>
        <v>2022</v>
      </c>
      <c r="W61" s="88">
        <f>+MATCH(PROVEEDORES[[#This Row],[año facturado]],Retenciones!$1:$1,0)</f>
        <v>5</v>
      </c>
      <c r="X61" s="89">
        <f>+VLOOKUP(PROVEEDORES[[#This Row],[ID RETENCION]],Retenciones!$A$1:$O$25,PROVEEDORES[[#This Row],[indicador de columna]],FALSE)</f>
        <v>0</v>
      </c>
      <c r="Y61" s="90">
        <f>+VLOOKUP(PROVEEDORES[[#This Row],[ID RETENCION]],Retenciones!$A$1:$O$25,2,FALSE)</f>
        <v>0.04</v>
      </c>
      <c r="Z61" s="116" t="b">
        <f>OR(COUNTIF(PROVEEDORES[[#This Row],[PROVEEDOR]],"*"&amp;'Palabra no opera'!$A$2&amp;"*"))</f>
        <v>1</v>
      </c>
      <c r="AA61" s="24"/>
      <c r="AB61" s="24"/>
      <c r="AC61" s="24"/>
      <c r="AD61" s="24"/>
      <c r="AE61" s="24"/>
    </row>
    <row r="62" spans="1:31" ht="22.35" customHeight="1" x14ac:dyDescent="0.3">
      <c r="A62" s="61" t="str">
        <f>+IF(PROVEEDORES[[#This Row],[FECHA DE PAGO]]=PROVEEDORES[[#This Row],[FECHA DE FACTURACIÓN]],"DE CONTADO","CRÉDITO")</f>
        <v>CRÉDITO</v>
      </c>
      <c r="B62" s="38" t="b">
        <f>+IF((PROVEEDORES[[#This Row],[FECHA DE PAGO]]-PROVEEDORES[[#This Row],[FECHA DE FACTURACIÓN]])&gt;PROVEEDORES[[#This Row],[PLAZO Días]],"PAGO VENCIDO")</f>
        <v>0</v>
      </c>
      <c r="C62" s="20">
        <f>+VLOOKUP(PROVEEDORES[[#This Row],[PROVEEDOR]],TERCEROS_INFO[#All],2,FALSE)</f>
        <v>30</v>
      </c>
      <c r="D62" s="25">
        <f>+SUMIFS(PROVEEDORES[Total],PROVEEDORES[PROVEEDOR],PROVEEDORES[[#This Row],[PROVEEDOR]],PROVEEDORES[FECHA DE PAGO],"")</f>
        <v>0</v>
      </c>
      <c r="E62" s="25"/>
      <c r="F6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2" s="68">
        <v>44588</v>
      </c>
      <c r="H62" s="26" t="s">
        <v>623</v>
      </c>
      <c r="I62" s="68">
        <v>44562</v>
      </c>
      <c r="J62" s="35" t="s">
        <v>891</v>
      </c>
      <c r="K62" s="21">
        <v>3061166</v>
      </c>
      <c r="L62" s="21"/>
      <c r="M62" s="22">
        <v>581621.54</v>
      </c>
      <c r="N62" s="23"/>
      <c r="O62" s="22">
        <v>0</v>
      </c>
      <c r="P62" s="74">
        <v>0</v>
      </c>
      <c r="Q62" s="22">
        <f>+PROVEEDORES[[#This Row],[Rete Fuente %]]*(PROVEEDORES[[#This Row],[SUBTOTAL]]-PROVEEDORES[[#This Row],[descuento sobre subtotal]])</f>
        <v>0</v>
      </c>
      <c r="R62" s="21">
        <v>3642787.54</v>
      </c>
      <c r="S6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63">
        <f ca="1">IF(PROVEEDORES[[#This Row],[FECHA DE PAGO]]=0,TODAY()-PROVEEDORES[[#This Row],[FECHA DE FACTURACIÓN]]-PROVEEDORES[[#This Row],[PLAZO Días]],0)</f>
        <v>0</v>
      </c>
      <c r="U62" s="87" t="str">
        <f>+VLOOKUP(PROVEEDORES[[#This Row],[PROVEEDOR]],Terceros!$A:$D,4,FALSE)</f>
        <v>4% sin base</v>
      </c>
      <c r="V62" s="88">
        <f>+YEAR(PROVEEDORES[[#This Row],[FECHA DE FACTURACIÓN]])</f>
        <v>2022</v>
      </c>
      <c r="W62" s="88">
        <f>+MATCH(PROVEEDORES[[#This Row],[año facturado]],Retenciones!$1:$1,0)</f>
        <v>5</v>
      </c>
      <c r="X62" s="89">
        <f>+VLOOKUP(PROVEEDORES[[#This Row],[ID RETENCION]],Retenciones!$A$1:$O$25,PROVEEDORES[[#This Row],[indicador de columna]],FALSE)</f>
        <v>0</v>
      </c>
      <c r="Y62" s="90">
        <f>+VLOOKUP(PROVEEDORES[[#This Row],[ID RETENCION]],Retenciones!$A$1:$O$25,2,FALSE)</f>
        <v>0.04</v>
      </c>
      <c r="Z62" s="116" t="b">
        <f>OR(COUNTIF(PROVEEDORES[[#This Row],[PROVEEDOR]],"*"&amp;'Palabra no opera'!$A$2&amp;"*"))</f>
        <v>1</v>
      </c>
      <c r="AA62" s="24"/>
      <c r="AB62" s="24"/>
      <c r="AC62" s="24"/>
      <c r="AD62" s="24"/>
      <c r="AE62" s="24"/>
    </row>
    <row r="63" spans="1:31" ht="22.35" customHeight="1" x14ac:dyDescent="0.3">
      <c r="A63" s="61" t="str">
        <f>+IF(PROVEEDORES[[#This Row],[FECHA DE PAGO]]=PROVEEDORES[[#This Row],[FECHA DE FACTURACIÓN]],"DE CONTADO","CRÉDITO")</f>
        <v>CRÉDITO</v>
      </c>
      <c r="B63" s="38" t="b">
        <f>+IF((PROVEEDORES[[#This Row],[FECHA DE PAGO]]-PROVEEDORES[[#This Row],[FECHA DE FACTURACIÓN]])&gt;PROVEEDORES[[#This Row],[PLAZO Días]],"PAGO VENCIDO")</f>
        <v>0</v>
      </c>
      <c r="C63" s="20">
        <f>+VLOOKUP(PROVEEDORES[[#This Row],[PROVEEDOR]],TERCEROS_INFO[#All],2,FALSE)</f>
        <v>30</v>
      </c>
      <c r="D63" s="25">
        <f>+SUMIFS(PROVEEDORES[Total],PROVEEDORES[PROVEEDOR],PROVEEDORES[[#This Row],[PROVEEDOR]],PROVEEDORES[FECHA DE PAGO],"")</f>
        <v>0</v>
      </c>
      <c r="E63" s="25"/>
      <c r="F63" s="56">
        <f>+VLOOKUP(PROVEEDORES[[#This Row],[PROVEEDOR]],
                       Terceros!$A:$F,
                       5,
                       FALSE)</f>
        <v>0</v>
      </c>
      <c r="G63" s="68">
        <v>44588</v>
      </c>
      <c r="H63" s="26" t="s">
        <v>245</v>
      </c>
      <c r="I63" s="68">
        <v>44587</v>
      </c>
      <c r="J63" s="35">
        <v>130713</v>
      </c>
      <c r="K63" s="21">
        <v>1874000</v>
      </c>
      <c r="L63" s="21"/>
      <c r="M63" s="22">
        <f>(PROVEEDORES[[#This Row],[SUBTOTAL]]-PROVEEDORES[[#This Row],[descuento sobre subtotal]])*VLOOKUP(PROVEEDORES[[#This Row],[PROVEEDOR]],TERCEROS_INFO[#All],3,FALSE)</f>
        <v>0</v>
      </c>
      <c r="N63" s="23"/>
      <c r="O63" s="22">
        <f>+PROVEEDORES[[#This Row],[Descuento sobre subtotal %]]*(PROVEEDORES[[#This Row],[SUBTOTAL]]-PROVEEDORES[[#This Row],[descuento sobre subtotal]])</f>
        <v>0</v>
      </c>
      <c r="P63" s="74">
        <f>+IF(PROVEEDORES[[#This Row],[SUBTOTAL]]&lt;PROVEEDORES[[#This Row],[base retencion]],0,PROVEEDORES[[#This Row],[retención aplicada]])</f>
        <v>0</v>
      </c>
      <c r="Q63" s="22">
        <f>+PROVEEDORES[[#This Row],[Rete Fuente %]]*(PROVEEDORES[[#This Row],[SUBTOTAL]]-PROVEEDORES[[#This Row],[descuento sobre subtotal]])</f>
        <v>0</v>
      </c>
      <c r="R63" s="21">
        <v>1874000</v>
      </c>
      <c r="S6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63">
        <f ca="1">IF(PROVEEDORES[[#This Row],[FECHA DE PAGO]]=0,TODAY()-PROVEEDORES[[#This Row],[FECHA DE FACTURACIÓN]]-PROVEEDORES[[#This Row],[PLAZO Días]],0)</f>
        <v>0</v>
      </c>
      <c r="U63" s="87">
        <f>+VLOOKUP(PROVEEDORES[[#This Row],[PROVEEDOR]],Terceros!$A:$D,4,FALSE)</f>
        <v>0</v>
      </c>
      <c r="V63" s="88">
        <f>+YEAR(PROVEEDORES[[#This Row],[FECHA DE FACTURACIÓN]])</f>
        <v>2022</v>
      </c>
      <c r="W63" s="88">
        <f>+MATCH(PROVEEDORES[[#This Row],[año facturado]],Retenciones!$1:$1,0)</f>
        <v>5</v>
      </c>
      <c r="X63" s="89">
        <f>+VLOOKUP(PROVEEDORES[[#This Row],[ID RETENCION]],Retenciones!$A$1:$O$25,PROVEEDORES[[#This Row],[indicador de columna]],FALSE)</f>
        <v>0</v>
      </c>
      <c r="Y63" s="90">
        <f>+VLOOKUP(PROVEEDORES[[#This Row],[ID RETENCION]],Retenciones!$A$1:$O$25,2,FALSE)</f>
        <v>0</v>
      </c>
      <c r="Z63" s="116" t="b">
        <f>OR(COUNTIF(PROVEEDORES[[#This Row],[PROVEEDOR]],"*"&amp;'Palabra no opera'!$A$2&amp;"*"))</f>
        <v>0</v>
      </c>
      <c r="AA63" s="24"/>
      <c r="AB63" s="24"/>
      <c r="AC63" s="24"/>
      <c r="AD63" s="24"/>
      <c r="AE63" s="24"/>
    </row>
    <row r="64" spans="1:31" ht="22.35" customHeight="1" x14ac:dyDescent="0.3">
      <c r="A64" s="61" t="str">
        <f>+IF(PROVEEDORES[[#This Row],[FECHA DE PAGO]]=PROVEEDORES[[#This Row],[FECHA DE FACTURACIÓN]],"DE CONTADO","CRÉDITO")</f>
        <v>CRÉDITO</v>
      </c>
      <c r="B64" s="38" t="b">
        <f>+IF((PROVEEDORES[[#This Row],[FECHA DE PAGO]]-PROVEEDORES[[#This Row],[FECHA DE FACTURACIÓN]])&gt;PROVEEDORES[[#This Row],[PLAZO Días]],"PAGO VENCIDO")</f>
        <v>0</v>
      </c>
      <c r="C64" s="20">
        <f>+VLOOKUP(PROVEEDORES[[#This Row],[PROVEEDOR]],TERCEROS_INFO[#All],2,FALSE)</f>
        <v>30</v>
      </c>
      <c r="D64" s="25">
        <f>+SUMIFS(PROVEEDORES[Total],PROVEEDORES[PROVEEDOR],PROVEEDORES[[#This Row],[PROVEEDOR]],PROVEEDORES[FECHA DE PAGO],"")</f>
        <v>0</v>
      </c>
      <c r="E64" s="25"/>
      <c r="F64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64" s="68">
        <v>44588</v>
      </c>
      <c r="H64" s="26" t="s">
        <v>628</v>
      </c>
      <c r="I64" s="68">
        <v>44562</v>
      </c>
      <c r="J64" s="35">
        <v>9719</v>
      </c>
      <c r="K64" s="21">
        <v>1904519</v>
      </c>
      <c r="L64" s="21"/>
      <c r="M64" s="22">
        <f>(PROVEEDORES[[#This Row],[SUBTOTAL]]-PROVEEDORES[[#This Row],[descuento sobre subtotal]])*VLOOKUP(PROVEEDORES[[#This Row],[PROVEEDOR]],TERCEROS_INFO[#All],3,FALSE)</f>
        <v>0</v>
      </c>
      <c r="N64" s="23"/>
      <c r="O64" s="22">
        <f>+PROVEEDORES[[#This Row],[Descuento sobre subtotal %]]*(PROVEEDORES[[#This Row],[SUBTOTAL]]-PROVEEDORES[[#This Row],[descuento sobre subtotal]])</f>
        <v>0</v>
      </c>
      <c r="P64" s="74">
        <f>+IF(PROVEEDORES[[#This Row],[SUBTOTAL]]&lt;PROVEEDORES[[#This Row],[base retencion]],0,PROVEEDORES[[#This Row],[retención aplicada]])</f>
        <v>0</v>
      </c>
      <c r="Q64" s="22">
        <f>+PROVEEDORES[[#This Row],[Rete Fuente %]]*(PROVEEDORES[[#This Row],[SUBTOTAL]]-PROVEEDORES[[#This Row],[descuento sobre subtotal]])</f>
        <v>0</v>
      </c>
      <c r="R64" s="21">
        <f>+PROVEEDORES[[#This Row],[SUBTOTAL]]+PROVEEDORES[[#This Row],[IVA 19%]]-PROVEEDORES[[#This Row],[descuento sobre subtotal]]-PROVEEDORES[[#This Row],[Descuento sobre subtotal $2]]-PROVEEDORES[[#This Row],[Rete Fuente $]]</f>
        <v>1904519</v>
      </c>
      <c r="S6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63">
        <f ca="1">IF(PROVEEDORES[[#This Row],[FECHA DE PAGO]]=0,TODAY()-PROVEEDORES[[#This Row],[FECHA DE FACTURACIÓN]]-PROVEEDORES[[#This Row],[PLAZO Días]],0)</f>
        <v>0</v>
      </c>
      <c r="U64" s="87">
        <f>+VLOOKUP(PROVEEDORES[[#This Row],[PROVEEDOR]],Terceros!$A:$D,4,FALSE)</f>
        <v>0</v>
      </c>
      <c r="V64" s="88">
        <f>+YEAR(PROVEEDORES[[#This Row],[FECHA DE FACTURACIÓN]])</f>
        <v>2022</v>
      </c>
      <c r="W64" s="88">
        <f>+MATCH(PROVEEDORES[[#This Row],[año facturado]],Retenciones!$1:$1,0)</f>
        <v>5</v>
      </c>
      <c r="X64" s="89">
        <f>+VLOOKUP(PROVEEDORES[[#This Row],[ID RETENCION]],Retenciones!$A$1:$O$25,PROVEEDORES[[#This Row],[indicador de columna]],FALSE)</f>
        <v>0</v>
      </c>
      <c r="Y64" s="90">
        <f>+VLOOKUP(PROVEEDORES[[#This Row],[ID RETENCION]],Retenciones!$A$1:$O$25,2,FALSE)</f>
        <v>0</v>
      </c>
      <c r="Z64" s="116" t="b">
        <f>OR(COUNTIF(PROVEEDORES[[#This Row],[PROVEEDOR]],"*"&amp;'Palabra no opera'!$A$2&amp;"*"))</f>
        <v>1</v>
      </c>
      <c r="AA64" s="24"/>
      <c r="AB64" s="24"/>
      <c r="AC64" s="24"/>
      <c r="AD64" s="24"/>
      <c r="AE64" s="24"/>
    </row>
    <row r="65" spans="1:31" ht="22.35" customHeight="1" x14ac:dyDescent="0.3">
      <c r="A65" s="61" t="str">
        <f>+IF(PROVEEDORES[[#This Row],[FECHA DE PAGO]]=PROVEEDORES[[#This Row],[FECHA DE FACTURACIÓN]],"DE CONTADO","CRÉDITO")</f>
        <v>CRÉDITO</v>
      </c>
      <c r="B65" s="38" t="b">
        <f>+IF((PROVEEDORES[[#This Row],[FECHA DE PAGO]]-PROVEEDORES[[#This Row],[FECHA DE FACTURACIÓN]])&gt;PROVEEDORES[[#This Row],[PLAZO Días]],"PAGO VENCIDO")</f>
        <v>0</v>
      </c>
      <c r="C65" s="20">
        <f>+VLOOKUP(PROVEEDORES[[#This Row],[PROVEEDOR]],TERCEROS_INFO[#All],2,FALSE)</f>
        <v>30</v>
      </c>
      <c r="D65" s="25">
        <f>+SUMIFS(PROVEEDORES[Total],PROVEEDORES[PROVEEDOR],PROVEEDORES[[#This Row],[PROVEEDOR]],PROVEEDORES[FECHA DE PAGO],"")</f>
        <v>0</v>
      </c>
      <c r="E65" s="25"/>
      <c r="F65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65" s="68">
        <v>44588</v>
      </c>
      <c r="H65" s="26" t="s">
        <v>246</v>
      </c>
      <c r="I65" s="68">
        <v>44587</v>
      </c>
      <c r="J65" s="35" t="s">
        <v>900</v>
      </c>
      <c r="K65" s="21">
        <v>1919000</v>
      </c>
      <c r="L65" s="21"/>
      <c r="M65" s="22">
        <f>(PROVEEDORES[[#This Row],[SUBTOTAL]]-PROVEEDORES[[#This Row],[descuento sobre subtotal]])*VLOOKUP(PROVEEDORES[[#This Row],[PROVEEDOR]],TERCEROS_INFO[#All],3,FALSE)</f>
        <v>0</v>
      </c>
      <c r="N65" s="23"/>
      <c r="O65" s="22">
        <f>+PROVEEDORES[[#This Row],[Descuento sobre subtotal %]]*(PROVEEDORES[[#This Row],[SUBTOTAL]]-PROVEEDORES[[#This Row],[descuento sobre subtotal]])</f>
        <v>0</v>
      </c>
      <c r="P65" s="74">
        <f>+IF(PROVEEDORES[[#This Row],[SUBTOTAL]]&lt;PROVEEDORES[[#This Row],[base retencion]],0,PROVEEDORES[[#This Row],[retención aplicada]])</f>
        <v>0</v>
      </c>
      <c r="Q65" s="22">
        <f>+PROVEEDORES[[#This Row],[Rete Fuente %]]*(PROVEEDORES[[#This Row],[SUBTOTAL]]-PROVEEDORES[[#This Row],[descuento sobre subtotal]])</f>
        <v>0</v>
      </c>
      <c r="R65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6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63">
        <f ca="1">IF(PROVEEDORES[[#This Row],[FECHA DE PAGO]]=0,TODAY()-PROVEEDORES[[#This Row],[FECHA DE FACTURACIÓN]]-PROVEEDORES[[#This Row],[PLAZO Días]],0)</f>
        <v>0</v>
      </c>
      <c r="U65" s="87">
        <f>+VLOOKUP(PROVEEDORES[[#This Row],[PROVEEDOR]],Terceros!$A:$D,4,FALSE)</f>
        <v>0</v>
      </c>
      <c r="V65" s="88">
        <f>+YEAR(PROVEEDORES[[#This Row],[FECHA DE FACTURACIÓN]])</f>
        <v>2022</v>
      </c>
      <c r="W65" s="88">
        <f>+MATCH(PROVEEDORES[[#This Row],[año facturado]],Retenciones!$1:$1,0)</f>
        <v>5</v>
      </c>
      <c r="X65" s="89">
        <f>+VLOOKUP(PROVEEDORES[[#This Row],[ID RETENCION]],Retenciones!$A$1:$O$25,PROVEEDORES[[#This Row],[indicador de columna]],FALSE)</f>
        <v>0</v>
      </c>
      <c r="Y65" s="90">
        <f>+VLOOKUP(PROVEEDORES[[#This Row],[ID RETENCION]],Retenciones!$A$1:$O$25,2,FALSE)</f>
        <v>0</v>
      </c>
      <c r="Z65" s="116" t="b">
        <f>OR(COUNTIF(PROVEEDORES[[#This Row],[PROVEEDOR]],"*"&amp;'Palabra no opera'!$A$2&amp;"*"))</f>
        <v>0</v>
      </c>
      <c r="AA65" s="24"/>
      <c r="AB65" s="24"/>
      <c r="AC65" s="24"/>
      <c r="AD65" s="24"/>
      <c r="AE65" s="24"/>
    </row>
    <row r="66" spans="1:31" ht="22.35" customHeight="1" x14ac:dyDescent="0.3">
      <c r="A66" s="61" t="str">
        <f>+IF(PROVEEDORES[[#This Row],[FECHA DE PAGO]]=PROVEEDORES[[#This Row],[FECHA DE FACTURACIÓN]],"DE CONTADO","CRÉDITO")</f>
        <v>CRÉDITO</v>
      </c>
      <c r="B66" s="38" t="b">
        <f>+IF((PROVEEDORES[[#This Row],[FECHA DE PAGO]]-PROVEEDORES[[#This Row],[FECHA DE FACTURACIÓN]])&gt;PROVEEDORES[[#This Row],[PLAZO Días]],"PAGO VENCIDO")</f>
        <v>0</v>
      </c>
      <c r="C66" s="20">
        <f>+VLOOKUP(PROVEEDORES[[#This Row],[PROVEEDOR]],TERCEROS_INFO[#All],2,FALSE)</f>
        <v>30</v>
      </c>
      <c r="D66" s="25">
        <f>+SUMIFS(PROVEEDORES[Total],PROVEEDORES[PROVEEDOR],PROVEEDORES[[#This Row],[PROVEEDOR]],PROVEEDORES[FECHA DE PAGO],"")</f>
        <v>0</v>
      </c>
      <c r="E66" s="25"/>
      <c r="F66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66" s="68">
        <v>44588</v>
      </c>
      <c r="H66" s="26" t="s">
        <v>635</v>
      </c>
      <c r="I66" s="68">
        <v>44562</v>
      </c>
      <c r="J66" s="35" t="s">
        <v>893</v>
      </c>
      <c r="K66" s="21">
        <v>2789636</v>
      </c>
      <c r="L66" s="21"/>
      <c r="M66" s="22">
        <f>(PROVEEDORES[[#This Row],[SUBTOTAL]]-PROVEEDORES[[#This Row],[descuento sobre subtotal]])*VLOOKUP(PROVEEDORES[[#This Row],[PROVEEDOR]],TERCEROS_INFO[#All],3,FALSE)</f>
        <v>0</v>
      </c>
      <c r="N66" s="23"/>
      <c r="O66" s="22">
        <f>+PROVEEDORES[[#This Row],[Descuento sobre subtotal %]]*(PROVEEDORES[[#This Row],[SUBTOTAL]]-PROVEEDORES[[#This Row],[descuento sobre subtotal]])</f>
        <v>0</v>
      </c>
      <c r="P66" s="74">
        <f>+IF(PROVEEDORES[[#This Row],[SUBTOTAL]]&lt;PROVEEDORES[[#This Row],[base retencion]],0,PROVEEDORES[[#This Row],[retención aplicada]])</f>
        <v>3.5000000000000003E-2</v>
      </c>
      <c r="Q66" s="22">
        <f>+PROVEEDORES[[#This Row],[Rete Fuente %]]*(PROVEEDORES[[#This Row],[SUBTOTAL]]-PROVEEDORES[[#This Row],[descuento sobre subtotal]])</f>
        <v>97637.260000000009</v>
      </c>
      <c r="R66" s="21">
        <v>2691998.74</v>
      </c>
      <c r="S6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63">
        <f ca="1">IF(PROVEEDORES[[#This Row],[FECHA DE PAGO]]=0,TODAY()-PROVEEDORES[[#This Row],[FECHA DE FACTURACIÓN]]-PROVEEDORES[[#This Row],[PLAZO Días]],0)</f>
        <v>0</v>
      </c>
      <c r="U66" s="87" t="str">
        <f>+VLOOKUP(PROVEEDORES[[#This Row],[PROVEEDOR]],Terceros!$A:$D,4,FALSE)</f>
        <v>3,5% sin base</v>
      </c>
      <c r="V66" s="88">
        <f>+YEAR(PROVEEDORES[[#This Row],[FECHA DE FACTURACIÓN]])</f>
        <v>2022</v>
      </c>
      <c r="W66" s="88">
        <f>+MATCH(PROVEEDORES[[#This Row],[año facturado]],Retenciones!$1:$1,0)</f>
        <v>5</v>
      </c>
      <c r="X66" s="89">
        <f>+VLOOKUP(PROVEEDORES[[#This Row],[ID RETENCION]],Retenciones!$A$1:$O$25,PROVEEDORES[[#This Row],[indicador de columna]],FALSE)</f>
        <v>0</v>
      </c>
      <c r="Y66" s="90">
        <f>+VLOOKUP(PROVEEDORES[[#This Row],[ID RETENCION]],Retenciones!$A$1:$O$25,2,FALSE)</f>
        <v>3.5000000000000003E-2</v>
      </c>
      <c r="Z66" s="116" t="b">
        <f>OR(COUNTIF(PROVEEDORES[[#This Row],[PROVEEDOR]],"*"&amp;'Palabra no opera'!$A$2&amp;"*"))</f>
        <v>1</v>
      </c>
      <c r="AA66" s="24"/>
      <c r="AB66" s="24"/>
      <c r="AC66" s="24"/>
      <c r="AD66" s="24"/>
      <c r="AE66" s="24"/>
    </row>
    <row r="67" spans="1:31" ht="22.35" customHeight="1" x14ac:dyDescent="0.3">
      <c r="A67" s="61" t="str">
        <f>+IF(PROVEEDORES[[#This Row],[FECHA DE PAGO]]=PROVEEDORES[[#This Row],[FECHA DE FACTURACIÓN]],"DE CONTADO","CRÉDITO")</f>
        <v>CRÉDITO</v>
      </c>
      <c r="B67" s="38" t="b">
        <f>+IF((PROVEEDORES[[#This Row],[FECHA DE PAGO]]-PROVEEDORES[[#This Row],[FECHA DE FACTURACIÓN]])&gt;PROVEEDORES[[#This Row],[PLAZO Días]],"PAGO VENCIDO")</f>
        <v>0</v>
      </c>
      <c r="C67" s="20">
        <f>+VLOOKUP(PROVEEDORES[[#This Row],[PROVEEDOR]],TERCEROS_INFO[#All],2,FALSE)</f>
        <v>30</v>
      </c>
      <c r="D67" s="25">
        <f>+SUMIFS(PROVEEDORES[Total],PROVEEDORES[PROVEEDOR],PROVEEDORES[[#This Row],[PROVEEDOR]],PROVEEDORES[FECHA DE PAGO],"")</f>
        <v>0</v>
      </c>
      <c r="E67" s="25"/>
      <c r="F67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67" s="68">
        <v>44588</v>
      </c>
      <c r="H67" s="26" t="s">
        <v>638</v>
      </c>
      <c r="I67" s="68">
        <v>44562</v>
      </c>
      <c r="J67" s="35" t="s">
        <v>340</v>
      </c>
      <c r="K67" s="21">
        <v>20664</v>
      </c>
      <c r="L67" s="21"/>
      <c r="M67" s="22">
        <f>(PROVEEDORES[[#This Row],[SUBTOTAL]]-PROVEEDORES[[#This Row],[descuento sobre subtotal]])*VLOOKUP(PROVEEDORES[[#This Row],[PROVEEDOR]],TERCEROS_INFO[#All],3,FALSE)</f>
        <v>3926.16</v>
      </c>
      <c r="N67" s="23"/>
      <c r="O67" s="22">
        <f>+PROVEEDORES[[#This Row],[Descuento sobre subtotal %]]*(PROVEEDORES[[#This Row],[SUBTOTAL]]-PROVEEDORES[[#This Row],[descuento sobre subtotal]])</f>
        <v>0</v>
      </c>
      <c r="P67" s="74">
        <f>+IF(PROVEEDORES[[#This Row],[SUBTOTAL]]&lt;PROVEEDORES[[#This Row],[base retencion]],0,PROVEEDORES[[#This Row],[retención aplicada]])</f>
        <v>3.5000000000000003E-2</v>
      </c>
      <c r="Q67" s="22">
        <f>+PROVEEDORES[[#This Row],[Rete Fuente %]]*(PROVEEDORES[[#This Row],[SUBTOTAL]]-PROVEEDORES[[#This Row],[descuento sobre subtotal]])</f>
        <v>723.24000000000012</v>
      </c>
      <c r="R67" s="21">
        <v>20664</v>
      </c>
      <c r="S6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63">
        <f ca="1">IF(PROVEEDORES[[#This Row],[FECHA DE PAGO]]=0,TODAY()-PROVEEDORES[[#This Row],[FECHA DE FACTURACIÓN]]-PROVEEDORES[[#This Row],[PLAZO Días]],0)</f>
        <v>0</v>
      </c>
      <c r="U67" s="87" t="str">
        <f>+VLOOKUP(PROVEEDORES[[#This Row],[PROVEEDOR]],Terceros!$A:$D,4,FALSE)</f>
        <v>3,5% sin base</v>
      </c>
      <c r="V67" s="88">
        <f>+YEAR(PROVEEDORES[[#This Row],[FECHA DE FACTURACIÓN]])</f>
        <v>2022</v>
      </c>
      <c r="W67" s="88">
        <f>+MATCH(PROVEEDORES[[#This Row],[año facturado]],Retenciones!$1:$1,0)</f>
        <v>5</v>
      </c>
      <c r="X67" s="89">
        <f>+VLOOKUP(PROVEEDORES[[#This Row],[ID RETENCION]],Retenciones!$A$1:$O$25,PROVEEDORES[[#This Row],[indicador de columna]],FALSE)</f>
        <v>0</v>
      </c>
      <c r="Y67" s="90">
        <f>+VLOOKUP(PROVEEDORES[[#This Row],[ID RETENCION]],Retenciones!$A$1:$O$25,2,FALSE)</f>
        <v>3.5000000000000003E-2</v>
      </c>
      <c r="Z67" s="116" t="b">
        <f>OR(COUNTIF(PROVEEDORES[[#This Row],[PROVEEDOR]],"*"&amp;'Palabra no opera'!$A$2&amp;"*"))</f>
        <v>1</v>
      </c>
      <c r="AA67" s="24"/>
      <c r="AB67" s="24"/>
      <c r="AC67" s="24"/>
      <c r="AD67" s="24"/>
      <c r="AE67" s="24"/>
    </row>
    <row r="68" spans="1:31" ht="22.35" customHeight="1" x14ac:dyDescent="0.3">
      <c r="A68" s="61" t="str">
        <f>+IF(PROVEEDORES[[#This Row],[FECHA DE PAGO]]=PROVEEDORES[[#This Row],[FECHA DE FACTURACIÓN]],"DE CONTADO","CRÉDITO")</f>
        <v>CRÉDITO</v>
      </c>
      <c r="B68" s="38" t="b">
        <f>+IF((PROVEEDORES[[#This Row],[FECHA DE PAGO]]-PROVEEDORES[[#This Row],[FECHA DE FACTURACIÓN]])&gt;PROVEEDORES[[#This Row],[PLAZO Días]],"PAGO VENCIDO")</f>
        <v>0</v>
      </c>
      <c r="C68" s="20">
        <f>+VLOOKUP(PROVEEDORES[[#This Row],[PROVEEDOR]],TERCEROS_INFO[#All],2,FALSE)</f>
        <v>30</v>
      </c>
      <c r="D68" s="25">
        <f>+SUMIFS(PROVEEDORES[Total],PROVEEDORES[PROVEEDOR],PROVEEDORES[[#This Row],[PROVEEDOR]],PROVEEDORES[FECHA DE PAGO],"")</f>
        <v>0</v>
      </c>
      <c r="E68" s="25"/>
      <c r="F68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68" s="68">
        <v>44588</v>
      </c>
      <c r="H68" s="26" t="s">
        <v>638</v>
      </c>
      <c r="I68" s="68">
        <v>44562</v>
      </c>
      <c r="J68" s="35" t="s">
        <v>315</v>
      </c>
      <c r="K68" s="21">
        <v>3937653</v>
      </c>
      <c r="L68" s="21"/>
      <c r="M68" s="22">
        <f>(PROVEEDORES[[#This Row],[SUBTOTAL]]-PROVEEDORES[[#This Row],[descuento sobre subtotal]])*VLOOKUP(PROVEEDORES[[#This Row],[PROVEEDOR]],TERCEROS_INFO[#All],3,FALSE)</f>
        <v>748154.07000000007</v>
      </c>
      <c r="N68" s="23"/>
      <c r="O68" s="22">
        <f>+PROVEEDORES[[#This Row],[Descuento sobre subtotal %]]*(PROVEEDORES[[#This Row],[SUBTOTAL]]-PROVEEDORES[[#This Row],[descuento sobre subtotal]])</f>
        <v>0</v>
      </c>
      <c r="P68" s="74">
        <f>+IF(PROVEEDORES[[#This Row],[SUBTOTAL]]&lt;PROVEEDORES[[#This Row],[base retencion]],0,PROVEEDORES[[#This Row],[retención aplicada]])</f>
        <v>3.5000000000000003E-2</v>
      </c>
      <c r="Q68" s="22">
        <f>+PROVEEDORES[[#This Row],[Rete Fuente %]]*(PROVEEDORES[[#This Row],[SUBTOTAL]]-PROVEEDORES[[#This Row],[descuento sobre subtotal]])</f>
        <v>137817.85500000001</v>
      </c>
      <c r="R68" s="21">
        <v>3799835.145</v>
      </c>
      <c r="S6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63">
        <f ca="1">IF(PROVEEDORES[[#This Row],[FECHA DE PAGO]]=0,TODAY()-PROVEEDORES[[#This Row],[FECHA DE FACTURACIÓN]]-PROVEEDORES[[#This Row],[PLAZO Días]],0)</f>
        <v>0</v>
      </c>
      <c r="U68" s="87" t="str">
        <f>+VLOOKUP(PROVEEDORES[[#This Row],[PROVEEDOR]],Terceros!$A:$D,4,FALSE)</f>
        <v>3,5% sin base</v>
      </c>
      <c r="V68" s="88">
        <f>+YEAR(PROVEEDORES[[#This Row],[FECHA DE FACTURACIÓN]])</f>
        <v>2022</v>
      </c>
      <c r="W68" s="88">
        <f>+MATCH(PROVEEDORES[[#This Row],[año facturado]],Retenciones!$1:$1,0)</f>
        <v>5</v>
      </c>
      <c r="X68" s="89">
        <f>+VLOOKUP(PROVEEDORES[[#This Row],[ID RETENCION]],Retenciones!$A$1:$O$25,PROVEEDORES[[#This Row],[indicador de columna]],FALSE)</f>
        <v>0</v>
      </c>
      <c r="Y68" s="90">
        <f>+VLOOKUP(PROVEEDORES[[#This Row],[ID RETENCION]],Retenciones!$A$1:$O$25,2,FALSE)</f>
        <v>3.5000000000000003E-2</v>
      </c>
      <c r="Z68" s="116" t="b">
        <f>OR(COUNTIF(PROVEEDORES[[#This Row],[PROVEEDOR]],"*"&amp;'Palabra no opera'!$A$2&amp;"*"))</f>
        <v>1</v>
      </c>
      <c r="AA68" s="24"/>
      <c r="AB68" s="24"/>
      <c r="AC68" s="24"/>
      <c r="AD68" s="24"/>
      <c r="AE68" s="24"/>
    </row>
    <row r="69" spans="1:31" ht="22.35" customHeight="1" x14ac:dyDescent="0.3">
      <c r="A69" s="61" t="str">
        <f>+IF(PROVEEDORES[[#This Row],[FECHA DE PAGO]]=PROVEEDORES[[#This Row],[FECHA DE FACTURACIÓN]],"DE CONTADO","CRÉDITO")</f>
        <v>CRÉDITO</v>
      </c>
      <c r="B69" s="38" t="b">
        <f>+IF((PROVEEDORES[[#This Row],[FECHA DE PAGO]]-PROVEEDORES[[#This Row],[FECHA DE FACTURACIÓN]])&gt;PROVEEDORES[[#This Row],[PLAZO Días]],"PAGO VENCIDO")</f>
        <v>0</v>
      </c>
      <c r="C69" s="20">
        <f>+VLOOKUP(PROVEEDORES[[#This Row],[PROVEEDOR]],TERCEROS_INFO[#All],2,FALSE)</f>
        <v>30</v>
      </c>
      <c r="D69" s="25">
        <f>+SUMIFS(PROVEEDORES[Total],PROVEEDORES[PROVEEDOR],PROVEEDORES[[#This Row],[PROVEEDOR]],PROVEEDORES[FECHA DE PAGO],"")</f>
        <v>0</v>
      </c>
      <c r="E69" s="25"/>
      <c r="F69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69" s="68">
        <v>44588</v>
      </c>
      <c r="H69" s="26" t="s">
        <v>651</v>
      </c>
      <c r="I69" s="68">
        <v>44562</v>
      </c>
      <c r="J69" s="35" t="s">
        <v>312</v>
      </c>
      <c r="K69" s="21">
        <v>214622</v>
      </c>
      <c r="L69" s="21"/>
      <c r="M69" s="22">
        <f>(PROVEEDORES[[#This Row],[SUBTOTAL]]-PROVEEDORES[[#This Row],[descuento sobre subtotal]])*VLOOKUP(PROVEEDORES[[#This Row],[PROVEEDOR]],TERCEROS_INFO[#All],3,FALSE)</f>
        <v>40778.18</v>
      </c>
      <c r="N69" s="23"/>
      <c r="O69" s="22">
        <f>+PROVEEDORES[[#This Row],[Descuento sobre subtotal %]]*(PROVEEDORES[[#This Row],[SUBTOTAL]]-PROVEEDORES[[#This Row],[descuento sobre subtotal]])</f>
        <v>0</v>
      </c>
      <c r="P69" s="74">
        <f>+IF(PROVEEDORES[[#This Row],[SUBTOTAL]]&lt;PROVEEDORES[[#This Row],[base retencion]],0,PROVEEDORES[[#This Row],[retención aplicada]])</f>
        <v>3.5000000000000003E-2</v>
      </c>
      <c r="Q69" s="22">
        <f>+PROVEEDORES[[#This Row],[Rete Fuente %]]*(PROVEEDORES[[#This Row],[SUBTOTAL]]-PROVEEDORES[[#This Row],[descuento sobre subtotal]])</f>
        <v>7511.77</v>
      </c>
      <c r="R69" s="21">
        <v>247888.41</v>
      </c>
      <c r="S6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63">
        <f ca="1">IF(PROVEEDORES[[#This Row],[FECHA DE PAGO]]=0,TODAY()-PROVEEDORES[[#This Row],[FECHA DE FACTURACIÓN]]-PROVEEDORES[[#This Row],[PLAZO Días]],0)</f>
        <v>0</v>
      </c>
      <c r="U69" s="87" t="str">
        <f>+VLOOKUP(PROVEEDORES[[#This Row],[PROVEEDOR]],Terceros!$A:$D,4,FALSE)</f>
        <v>3,5% sin base</v>
      </c>
      <c r="V69" s="88">
        <f>+YEAR(PROVEEDORES[[#This Row],[FECHA DE FACTURACIÓN]])</f>
        <v>2022</v>
      </c>
      <c r="W69" s="88">
        <f>+MATCH(PROVEEDORES[[#This Row],[año facturado]],Retenciones!$1:$1,0)</f>
        <v>5</v>
      </c>
      <c r="X69" s="89">
        <f>+VLOOKUP(PROVEEDORES[[#This Row],[ID RETENCION]],Retenciones!$A$1:$O$25,PROVEEDORES[[#This Row],[indicador de columna]],FALSE)</f>
        <v>0</v>
      </c>
      <c r="Y69" s="90">
        <f>+VLOOKUP(PROVEEDORES[[#This Row],[ID RETENCION]],Retenciones!$A$1:$O$25,2,FALSE)</f>
        <v>3.5000000000000003E-2</v>
      </c>
      <c r="Z69" s="116" t="b">
        <f>OR(COUNTIF(PROVEEDORES[[#This Row],[PROVEEDOR]],"*"&amp;'Palabra no opera'!$A$2&amp;"*"))</f>
        <v>1</v>
      </c>
      <c r="AA69" s="24"/>
      <c r="AB69" s="24"/>
      <c r="AC69" s="24"/>
      <c r="AD69" s="24"/>
      <c r="AE69" s="24"/>
    </row>
    <row r="70" spans="1:31" ht="22.35" customHeight="1" x14ac:dyDescent="0.3">
      <c r="A70" s="61" t="str">
        <f>+IF(PROVEEDORES[[#This Row],[FECHA DE PAGO]]=PROVEEDORES[[#This Row],[FECHA DE FACTURACIÓN]],"DE CONTADO","CRÉDITO")</f>
        <v>CRÉDITO</v>
      </c>
      <c r="B70" s="38" t="str">
        <f>+IF((PROVEEDORES[[#This Row],[FECHA DE PAGO]]-PROVEEDORES[[#This Row],[FECHA DE FACTURACIÓN]])&gt;PROVEEDORES[[#This Row],[PLAZO Días]],"PAGO VENCIDO")</f>
        <v>PAGO VENCIDO</v>
      </c>
      <c r="C70" s="20">
        <f>+VLOOKUP(PROVEEDORES[[#This Row],[PROVEEDOR]],TERCEROS_INFO[#All],2,FALSE)</f>
        <v>20</v>
      </c>
      <c r="D70" s="25">
        <f>+SUMIFS(PROVEEDORES[Total],PROVEEDORES[PROVEEDOR],PROVEEDORES[[#This Row],[PROVEEDOR]],PROVEEDORES[FECHA DE PAGO],"")</f>
        <v>0</v>
      </c>
      <c r="E70" s="25"/>
      <c r="F70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70" s="68">
        <v>44588</v>
      </c>
      <c r="H70" s="26" t="s">
        <v>652</v>
      </c>
      <c r="I70" s="68">
        <v>44562</v>
      </c>
      <c r="J70" s="35">
        <v>41630</v>
      </c>
      <c r="K70" s="21">
        <v>4430000</v>
      </c>
      <c r="L70" s="21"/>
      <c r="M70" s="22">
        <v>841700</v>
      </c>
      <c r="N70" s="23"/>
      <c r="O70" s="22">
        <f>+PROVEEDORES[[#This Row],[Descuento sobre subtotal %]]*(PROVEEDORES[[#This Row],[SUBTOTAL]]-PROVEEDORES[[#This Row],[descuento sobre subtotal]])</f>
        <v>0</v>
      </c>
      <c r="P70" s="74">
        <f>+IF(PROVEEDORES[[#This Row],[SUBTOTAL]]&lt;PROVEEDORES[[#This Row],[base retencion]],0,PROVEEDORES[[#This Row],[retención aplicada]])</f>
        <v>3.5000000000000003E-2</v>
      </c>
      <c r="Q70" s="22">
        <f>+PROVEEDORES[[#This Row],[Rete Fuente %]]*(PROVEEDORES[[#This Row],[SUBTOTAL]]-PROVEEDORES[[#This Row],[descuento sobre subtotal]])</f>
        <v>155050.00000000003</v>
      </c>
      <c r="R70" s="21">
        <v>5116650</v>
      </c>
      <c r="S7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63">
        <f ca="1">IF(PROVEEDORES[[#This Row],[FECHA DE PAGO]]=0,TODAY()-PROVEEDORES[[#This Row],[FECHA DE FACTURACIÓN]]-PROVEEDORES[[#This Row],[PLAZO Días]],0)</f>
        <v>0</v>
      </c>
      <c r="U70" s="87" t="str">
        <f>+VLOOKUP(PROVEEDORES[[#This Row],[PROVEEDOR]],Terceros!$A:$D,4,FALSE)</f>
        <v>3,5% sin base</v>
      </c>
      <c r="V70" s="88">
        <f>+YEAR(PROVEEDORES[[#This Row],[FECHA DE FACTURACIÓN]])</f>
        <v>2022</v>
      </c>
      <c r="W70" s="88">
        <f>+MATCH(PROVEEDORES[[#This Row],[año facturado]],Retenciones!$1:$1,0)</f>
        <v>5</v>
      </c>
      <c r="X70" s="89">
        <f>+VLOOKUP(PROVEEDORES[[#This Row],[ID RETENCION]],Retenciones!$A$1:$O$25,PROVEEDORES[[#This Row],[indicador de columna]],FALSE)</f>
        <v>0</v>
      </c>
      <c r="Y70" s="90">
        <f>+VLOOKUP(PROVEEDORES[[#This Row],[ID RETENCION]],Retenciones!$A$1:$O$25,2,FALSE)</f>
        <v>3.5000000000000003E-2</v>
      </c>
      <c r="Z70" s="117" t="b">
        <f>OR(COUNTIF(PROVEEDORES[[#This Row],[PROVEEDOR]],"*"&amp;'Palabra no opera'!$A$2&amp;"*"))</f>
        <v>1</v>
      </c>
      <c r="AA70" s="24"/>
      <c r="AB70" s="24"/>
      <c r="AC70" s="24"/>
      <c r="AD70" s="24"/>
      <c r="AE70" s="24"/>
    </row>
    <row r="71" spans="1:31" ht="22.35" customHeight="1" x14ac:dyDescent="0.3">
      <c r="A71" s="61" t="str">
        <f>+IF(PROVEEDORES[[#This Row],[FECHA DE PAGO]]=PROVEEDORES[[#This Row],[FECHA DE FACTURACIÓN]],"DE CONTADO","CRÉDITO")</f>
        <v>CRÉDITO</v>
      </c>
      <c r="B71" s="38" t="str">
        <f>+IF((PROVEEDORES[[#This Row],[FECHA DE PAGO]]-PROVEEDORES[[#This Row],[FECHA DE FACTURACIÓN]])&gt;PROVEEDORES[[#This Row],[PLAZO Días]],"PAGO VENCIDO")</f>
        <v>PAGO VENCIDO</v>
      </c>
      <c r="C71" s="20">
        <f>+VLOOKUP(PROVEEDORES[[#This Row],[PROVEEDOR]],TERCEROS_INFO[#All],2,FALSE)</f>
        <v>30</v>
      </c>
      <c r="D71" s="25">
        <f>+SUMIFS(PROVEEDORES[Total],PROVEEDORES[PROVEEDOR],PROVEEDORES[[#This Row],[PROVEEDOR]],PROVEEDORES[FECHA DE PAGO],"")</f>
        <v>0</v>
      </c>
      <c r="E71" s="25"/>
      <c r="F71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71" s="68">
        <v>44592</v>
      </c>
      <c r="H71" s="26" t="s">
        <v>400</v>
      </c>
      <c r="I71" s="68">
        <v>44551</v>
      </c>
      <c r="J71" s="35" t="s">
        <v>887</v>
      </c>
      <c r="K71" s="21">
        <v>105000</v>
      </c>
      <c r="L71" s="21"/>
      <c r="M71" s="22">
        <v>0</v>
      </c>
      <c r="N71" s="23"/>
      <c r="O71" s="22">
        <v>0</v>
      </c>
      <c r="P71" s="74">
        <f>+IF(PROVEEDORES[[#This Row],[SUBTOTAL]]&lt;PROVEEDORES[[#This Row],[base retencion]],0,PROVEEDORES[[#This Row],[retención aplicada]])</f>
        <v>0</v>
      </c>
      <c r="Q71" s="22">
        <f>+PROVEEDORES[[#This Row],[Rete Fuente %]]*(PROVEEDORES[[#This Row],[SUBTOTAL]]-PROVEEDORES[[#This Row],[descuento sobre subtotal]])</f>
        <v>0</v>
      </c>
      <c r="R71" s="21">
        <v>105000</v>
      </c>
      <c r="S7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63">
        <f ca="1">IF(PROVEEDORES[[#This Row],[FECHA DE PAGO]]=0,TODAY()-PROVEEDORES[[#This Row],[FECHA DE FACTURACIÓN]]-PROVEEDORES[[#This Row],[PLAZO Días]],0)</f>
        <v>0</v>
      </c>
      <c r="U71" s="87">
        <f>+VLOOKUP(PROVEEDORES[[#This Row],[PROVEEDOR]],Terceros!$A:$D,4,FALSE)</f>
        <v>0</v>
      </c>
      <c r="V71" s="88">
        <f>+YEAR(PROVEEDORES[[#This Row],[FECHA DE FACTURACIÓN]])</f>
        <v>2021</v>
      </c>
      <c r="W71" s="88">
        <f>+MATCH(PROVEEDORES[[#This Row],[año facturado]],Retenciones!$1:$1,0)</f>
        <v>4</v>
      </c>
      <c r="X71" s="89">
        <f>+VLOOKUP(PROVEEDORES[[#This Row],[ID RETENCION]],Retenciones!$A$1:$O$25,PROVEEDORES[[#This Row],[indicador de columna]],FALSE)</f>
        <v>0</v>
      </c>
      <c r="Y71" s="90">
        <f>+VLOOKUP(PROVEEDORES[[#This Row],[ID RETENCION]],Retenciones!$A$1:$O$25,2,FALSE)</f>
        <v>0</v>
      </c>
      <c r="Z71" s="116" t="b">
        <f>OR(COUNTIF(PROVEEDORES[[#This Row],[PROVEEDOR]],"*"&amp;'Palabra no opera'!$A$2&amp;"*"))</f>
        <v>0</v>
      </c>
      <c r="AA71" s="24"/>
      <c r="AB71" s="24"/>
      <c r="AC71" s="24"/>
      <c r="AD71" s="24"/>
      <c r="AE71" s="24"/>
    </row>
    <row r="72" spans="1:31" ht="22.35" customHeight="1" x14ac:dyDescent="0.3">
      <c r="A72" s="61" t="str">
        <f>+IF(PROVEEDORES[[#This Row],[FECHA DE PAGO]]=PROVEEDORES[[#This Row],[FECHA DE FACTURACIÓN]],"DE CONTADO","CRÉDITO")</f>
        <v>CRÉDITO</v>
      </c>
      <c r="B72" s="38" t="str">
        <f>+IF((PROVEEDORES[[#This Row],[FECHA DE PAGO]]-PROVEEDORES[[#This Row],[FECHA DE FACTURACIÓN]])&gt;PROVEEDORES[[#This Row],[PLAZO Días]],"PAGO VENCIDO")</f>
        <v>PAGO VENCIDO</v>
      </c>
      <c r="C72" s="20">
        <f>+VLOOKUP(PROVEEDORES[[#This Row],[PROVEEDOR]],TERCEROS_INFO[#All],2,FALSE)</f>
        <v>30</v>
      </c>
      <c r="D72" s="25">
        <f>+SUMIFS(PROVEEDORES[Total],PROVEEDORES[PROVEEDOR],PROVEEDORES[[#This Row],[PROVEEDOR]],PROVEEDORES[FECHA DE PAGO],"")</f>
        <v>0</v>
      </c>
      <c r="E72" s="25"/>
      <c r="F72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72" s="68">
        <v>44592</v>
      </c>
      <c r="H72" s="26" t="s">
        <v>403</v>
      </c>
      <c r="I72" s="68">
        <v>44540</v>
      </c>
      <c r="J72" s="35" t="s">
        <v>979</v>
      </c>
      <c r="K72" s="21">
        <v>700000</v>
      </c>
      <c r="L72" s="21"/>
      <c r="M72" s="22">
        <v>0</v>
      </c>
      <c r="N72" s="23"/>
      <c r="O72" s="22">
        <v>0</v>
      </c>
      <c r="P72" s="74">
        <f>+IF(PROVEEDORES[[#This Row],[SUBTOTAL]]&lt;PROVEEDORES[[#This Row],[base retencion]],0,PROVEEDORES[[#This Row],[retención aplicada]])</f>
        <v>0</v>
      </c>
      <c r="Q72" s="22">
        <f>+PROVEEDORES[[#This Row],[Rete Fuente %]]*(PROVEEDORES[[#This Row],[SUBTOTAL]]-PROVEEDORES[[#This Row],[descuento sobre subtotal]])</f>
        <v>0</v>
      </c>
      <c r="R72" s="21">
        <v>700000</v>
      </c>
      <c r="S7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63">
        <f ca="1">IF(PROVEEDORES[[#This Row],[FECHA DE PAGO]]=0,TODAY()-PROVEEDORES[[#This Row],[FECHA DE FACTURACIÓN]]-PROVEEDORES[[#This Row],[PLAZO Días]],0)</f>
        <v>0</v>
      </c>
      <c r="U72" s="87">
        <f>+VLOOKUP(PROVEEDORES[[#This Row],[PROVEEDOR]],Terceros!$A:$D,4,FALSE)</f>
        <v>0</v>
      </c>
      <c r="V72" s="88">
        <f>+YEAR(PROVEEDORES[[#This Row],[FECHA DE FACTURACIÓN]])</f>
        <v>2021</v>
      </c>
      <c r="W72" s="88">
        <f>+MATCH(PROVEEDORES[[#This Row],[año facturado]],Retenciones!$1:$1,0)</f>
        <v>4</v>
      </c>
      <c r="X72" s="89">
        <f>+VLOOKUP(PROVEEDORES[[#This Row],[ID RETENCION]],Retenciones!$A$1:$O$25,PROVEEDORES[[#This Row],[indicador de columna]],FALSE)</f>
        <v>0</v>
      </c>
      <c r="Y72" s="90">
        <f>+VLOOKUP(PROVEEDORES[[#This Row],[ID RETENCION]],Retenciones!$A$1:$O$25,2,FALSE)</f>
        <v>0</v>
      </c>
      <c r="Z72" s="116" t="b">
        <f>OR(COUNTIF(PROVEEDORES[[#This Row],[PROVEEDOR]],"*"&amp;'Palabra no opera'!$A$2&amp;"*"))</f>
        <v>0</v>
      </c>
      <c r="AA72" s="24"/>
      <c r="AB72" s="24"/>
      <c r="AC72" s="24"/>
      <c r="AD72" s="24"/>
      <c r="AE72" s="24"/>
    </row>
    <row r="73" spans="1:31" ht="22.35" customHeight="1" x14ac:dyDescent="0.3">
      <c r="A73" s="61" t="str">
        <f>+IF(PROVEEDORES[[#This Row],[FECHA DE PAGO]]=PROVEEDORES[[#This Row],[FECHA DE FACTURACIÓN]],"DE CONTADO","CRÉDITO")</f>
        <v>CRÉDITO</v>
      </c>
      <c r="B73" s="38" t="str">
        <f>+IF((PROVEEDORES[[#This Row],[FECHA DE PAGO]]-PROVEEDORES[[#This Row],[FECHA DE FACTURACIÓN]])&gt;PROVEEDORES[[#This Row],[PLAZO Días]],"PAGO VENCIDO")</f>
        <v>PAGO VENCIDO</v>
      </c>
      <c r="C73" s="20">
        <f>+VLOOKUP(PROVEEDORES[[#This Row],[PROVEEDOR]],TERCEROS_INFO[#All],2,FALSE)</f>
        <v>30</v>
      </c>
      <c r="D73" s="25">
        <f>+SUMIFS(PROVEEDORES[Total],PROVEEDORES[PROVEEDOR],PROVEEDORES[[#This Row],[PROVEEDOR]],PROVEEDORES[FECHA DE PAGO],"")</f>
        <v>0</v>
      </c>
      <c r="E73" s="25"/>
      <c r="F73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73" s="68">
        <v>44592</v>
      </c>
      <c r="H73" s="26" t="s">
        <v>247</v>
      </c>
      <c r="I73" s="68">
        <v>44539</v>
      </c>
      <c r="J73" s="35">
        <v>111</v>
      </c>
      <c r="K73" s="21">
        <v>21679100</v>
      </c>
      <c r="L73" s="21"/>
      <c r="M73" s="22">
        <f>(PROVEEDORES[[#This Row],[SUBTOTAL]]-PROVEEDORES[[#This Row],[descuento sobre subtotal]])*VLOOKUP(PROVEEDORES[[#This Row],[PROVEEDOR]],TERCEROS_INFO[#All],3,FALSE)</f>
        <v>4119029</v>
      </c>
      <c r="N73" s="23">
        <v>0.09</v>
      </c>
      <c r="O73" s="22">
        <f>+PROVEEDORES[[#This Row],[Descuento sobre subtotal %]]*(PROVEEDORES[[#This Row],[SUBTOTAL]]-PROVEEDORES[[#This Row],[descuento sobre subtotal]])</f>
        <v>1951119</v>
      </c>
      <c r="P73" s="74">
        <f>+IF(PROVEEDORES[[#This Row],[SUBTOTAL]]&lt;PROVEEDORES[[#This Row],[base retencion]],0,PROVEEDORES[[#This Row],[retención aplicada]])</f>
        <v>2.5000000000000001E-2</v>
      </c>
      <c r="Q73" s="22">
        <f>+PROVEEDORES[[#This Row],[Rete Fuente %]]*(PROVEEDORES[[#This Row],[SUBTOTAL]]-PROVEEDORES[[#This Row],[descuento sobre subtotal]])</f>
        <v>541977.5</v>
      </c>
      <c r="R73" s="21">
        <v>23305032.5</v>
      </c>
      <c r="S7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63">
        <f ca="1">IF(PROVEEDORES[[#This Row],[FECHA DE PAGO]]=0,TODAY()-PROVEEDORES[[#This Row],[FECHA DE FACTURACIÓN]]-PROVEEDORES[[#This Row],[PLAZO Días]],0)</f>
        <v>0</v>
      </c>
      <c r="U73" s="87" t="str">
        <f>+VLOOKUP(PROVEEDORES[[#This Row],[PROVEEDOR]],Terceros!$A:$D,4,FALSE)</f>
        <v>2,5% con base</v>
      </c>
      <c r="V73" s="88">
        <f>+YEAR(PROVEEDORES[[#This Row],[FECHA DE FACTURACIÓN]])</f>
        <v>2021</v>
      </c>
      <c r="W73" s="88">
        <f>+MATCH(PROVEEDORES[[#This Row],[año facturado]],Retenciones!$1:$1,0)</f>
        <v>4</v>
      </c>
      <c r="X73" s="89">
        <f>+VLOOKUP(PROVEEDORES[[#This Row],[ID RETENCION]],Retenciones!$A$1:$O$25,PROVEEDORES[[#This Row],[indicador de columna]],FALSE)</f>
        <v>980000</v>
      </c>
      <c r="Y73" s="90">
        <f>+VLOOKUP(PROVEEDORES[[#This Row],[ID RETENCION]],Retenciones!$A$1:$O$25,2,FALSE)</f>
        <v>2.5000000000000001E-2</v>
      </c>
      <c r="Z73" s="116" t="b">
        <f>OR(COUNTIF(PROVEEDORES[[#This Row],[PROVEEDOR]],"*"&amp;'Palabra no opera'!$A$2&amp;"*"))</f>
        <v>0</v>
      </c>
      <c r="AA73" s="24"/>
      <c r="AB73" s="24"/>
      <c r="AC73" s="24"/>
      <c r="AD73" s="24"/>
      <c r="AE73" s="24"/>
    </row>
    <row r="74" spans="1:31" ht="22.35" customHeight="1" x14ac:dyDescent="0.3">
      <c r="A74" s="61" t="str">
        <f>+IF(PROVEEDORES[[#This Row],[FECHA DE PAGO]]=PROVEEDORES[[#This Row],[FECHA DE FACTURACIÓN]],"DE CONTADO","CRÉDITO")</f>
        <v>DE CONTADO</v>
      </c>
      <c r="B74" s="38" t="b">
        <f>+IF((PROVEEDORES[[#This Row],[FECHA DE PAGO]]-PROVEEDORES[[#This Row],[FECHA DE FACTURACIÓN]])&gt;PROVEEDORES[[#This Row],[PLAZO Días]],"PAGO VENCIDO")</f>
        <v>0</v>
      </c>
      <c r="C74" s="20">
        <f>+VLOOKUP(PROVEEDORES[[#This Row],[PROVEEDOR]],TERCEROS_INFO[#All],2,FALSE)</f>
        <v>30</v>
      </c>
      <c r="D74" s="25">
        <f>+SUMIFS(PROVEEDORES[Total],PROVEEDORES[PROVEEDOR],PROVEEDORES[[#This Row],[PROVEEDOR]],PROVEEDORES[FECHA DE PAGO],"")</f>
        <v>0</v>
      </c>
      <c r="E74" s="25"/>
      <c r="F74" s="56" t="str">
        <f>+VLOOKUP(PROVEEDORES[[#This Row],[PROVEEDOR]],
                       Terceros!$A:$F,
                       5,
                       FALSE)</f>
        <v/>
      </c>
      <c r="G74" s="68">
        <v>44593</v>
      </c>
      <c r="H74" s="26" t="s">
        <v>390</v>
      </c>
      <c r="I74" s="68">
        <v>44593</v>
      </c>
      <c r="J74" s="35"/>
      <c r="K74" s="21">
        <v>1000000</v>
      </c>
      <c r="L74" s="21"/>
      <c r="M74" s="22">
        <v>0</v>
      </c>
      <c r="N74" s="23"/>
      <c r="O74" s="22">
        <v>0</v>
      </c>
      <c r="P74" s="74">
        <f>+IF(PROVEEDORES[[#This Row],[SUBTOTAL]]&lt;PROVEEDORES[[#This Row],[base retencion]],0,PROVEEDORES[[#This Row],[retención aplicada]])</f>
        <v>0</v>
      </c>
      <c r="Q74" s="22">
        <f>+PROVEEDORES[[#This Row],[Rete Fuente %]]*(PROVEEDORES[[#This Row],[SUBTOTAL]]-PROVEEDORES[[#This Row],[descuento sobre subtotal]])</f>
        <v>0</v>
      </c>
      <c r="R74" s="21">
        <v>0</v>
      </c>
      <c r="S7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63">
        <f ca="1">IF(PROVEEDORES[[#This Row],[FECHA DE PAGO]]=0,TODAY()-PROVEEDORES[[#This Row],[FECHA DE FACTURACIÓN]]-PROVEEDORES[[#This Row],[PLAZO Días]],0)</f>
        <v>0</v>
      </c>
      <c r="U74" s="87">
        <f>+VLOOKUP(PROVEEDORES[[#This Row],[PROVEEDOR]],Terceros!$A:$D,4,FALSE)</f>
        <v>0</v>
      </c>
      <c r="V74" s="88">
        <f>+YEAR(PROVEEDORES[[#This Row],[FECHA DE FACTURACIÓN]])</f>
        <v>2022</v>
      </c>
      <c r="W74" s="88">
        <f>+MATCH(PROVEEDORES[[#This Row],[año facturado]],Retenciones!$1:$1,0)</f>
        <v>5</v>
      </c>
      <c r="X74" s="89">
        <f>+VLOOKUP(PROVEEDORES[[#This Row],[ID RETENCION]],Retenciones!$A$1:$O$25,PROVEEDORES[[#This Row],[indicador de columna]],FALSE)</f>
        <v>0</v>
      </c>
      <c r="Y74" s="90">
        <f>+VLOOKUP(PROVEEDORES[[#This Row],[ID RETENCION]],Retenciones!$A$1:$O$25,2,FALSE)</f>
        <v>0</v>
      </c>
      <c r="Z74" s="116" t="b">
        <f>OR(COUNTIF(PROVEEDORES[[#This Row],[PROVEEDOR]],"*"&amp;'Palabra no opera'!$A$2&amp;"*"))</f>
        <v>0</v>
      </c>
      <c r="AA74" s="24"/>
      <c r="AB74" s="24"/>
      <c r="AC74" s="24"/>
      <c r="AD74" s="24"/>
      <c r="AE74" s="24"/>
    </row>
    <row r="75" spans="1:31" ht="22.35" customHeight="1" x14ac:dyDescent="0.3">
      <c r="A75" s="61" t="str">
        <f>+IF(PROVEEDORES[[#This Row],[FECHA DE PAGO]]=PROVEEDORES[[#This Row],[FECHA DE FACTURACIÓN]],"DE CONTADO","CRÉDITO")</f>
        <v>CRÉDITO</v>
      </c>
      <c r="B75" s="38" t="str">
        <f>+IF((PROVEEDORES[[#This Row],[FECHA DE PAGO]]-PROVEEDORES[[#This Row],[FECHA DE FACTURACIÓN]])&gt;PROVEEDORES[[#This Row],[PLAZO Días]],"PAGO VENCIDO")</f>
        <v>PAGO VENCIDO</v>
      </c>
      <c r="C75" s="20">
        <f>+VLOOKUP(PROVEEDORES[[#This Row],[PROVEEDOR]],TERCEROS_INFO[#All],2,FALSE)</f>
        <v>30</v>
      </c>
      <c r="D75" s="25">
        <f>+SUMIFS(PROVEEDORES[Total],PROVEEDORES[PROVEEDOR],PROVEEDORES[[#This Row],[PROVEEDOR]],PROVEEDORES[FECHA DE PAGO],"")</f>
        <v>0</v>
      </c>
      <c r="E75" s="25"/>
      <c r="F75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75" s="68">
        <v>44593</v>
      </c>
      <c r="H75" s="26" t="s">
        <v>394</v>
      </c>
      <c r="I75" s="68">
        <v>44562</v>
      </c>
      <c r="J75" s="35" t="s">
        <v>890</v>
      </c>
      <c r="K75" s="21">
        <v>1400000</v>
      </c>
      <c r="L75" s="21"/>
      <c r="M75" s="22">
        <v>0</v>
      </c>
      <c r="N75" s="23"/>
      <c r="O75" s="22">
        <v>0</v>
      </c>
      <c r="P75" s="74">
        <f>+IF(PROVEEDORES[[#This Row],[SUBTOTAL]]&lt;PROVEEDORES[[#This Row],[base retencion]],0,PROVEEDORES[[#This Row],[retención aplicada]])</f>
        <v>0</v>
      </c>
      <c r="Q75" s="22">
        <f>+PROVEEDORES[[#This Row],[Rete Fuente %]]*(PROVEEDORES[[#This Row],[SUBTOTAL]]-PROVEEDORES[[#This Row],[descuento sobre subtotal]])</f>
        <v>0</v>
      </c>
      <c r="R75" s="21">
        <v>1400000</v>
      </c>
      <c r="S7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63">
        <f ca="1">IF(PROVEEDORES[[#This Row],[FECHA DE PAGO]]=0,TODAY()-PROVEEDORES[[#This Row],[FECHA DE FACTURACIÓN]]-PROVEEDORES[[#This Row],[PLAZO Días]],0)</f>
        <v>0</v>
      </c>
      <c r="U75" s="87">
        <f>+VLOOKUP(PROVEEDORES[[#This Row],[PROVEEDOR]],Terceros!$A:$D,4,FALSE)</f>
        <v>0</v>
      </c>
      <c r="V75" s="88">
        <f>+YEAR(PROVEEDORES[[#This Row],[FECHA DE FACTURACIÓN]])</f>
        <v>2022</v>
      </c>
      <c r="W75" s="88">
        <f>+MATCH(PROVEEDORES[[#This Row],[año facturado]],Retenciones!$1:$1,0)</f>
        <v>5</v>
      </c>
      <c r="X75" s="89">
        <f>+VLOOKUP(PROVEEDORES[[#This Row],[ID RETENCION]],Retenciones!$A$1:$O$25,PROVEEDORES[[#This Row],[indicador de columna]],FALSE)</f>
        <v>0</v>
      </c>
      <c r="Y75" s="90">
        <f>+VLOOKUP(PROVEEDORES[[#This Row],[ID RETENCION]],Retenciones!$A$1:$O$25,2,FALSE)</f>
        <v>0</v>
      </c>
      <c r="Z75" s="116" t="b">
        <f>OR(COUNTIF(PROVEEDORES[[#This Row],[PROVEEDOR]],"*"&amp;'Palabra no opera'!$A$2&amp;"*"))</f>
        <v>0</v>
      </c>
      <c r="AA75" s="24"/>
      <c r="AB75" s="24"/>
      <c r="AC75" s="24"/>
      <c r="AD75" s="24"/>
      <c r="AE75" s="24"/>
    </row>
    <row r="76" spans="1:31" ht="22.35" customHeight="1" x14ac:dyDescent="0.3">
      <c r="A76" s="61" t="str">
        <f>+IF(PROVEEDORES[[#This Row],[FECHA DE PAGO]]=PROVEEDORES[[#This Row],[FECHA DE FACTURACIÓN]],"DE CONTADO","CRÉDITO")</f>
        <v>CRÉDITO</v>
      </c>
      <c r="B76" s="38" t="b">
        <f>+IF((PROVEEDORES[[#This Row],[FECHA DE PAGO]]-PROVEEDORES[[#This Row],[FECHA DE FACTURACIÓN]])&gt;PROVEEDORES[[#This Row],[PLAZO Días]],"PAGO VENCIDO")</f>
        <v>0</v>
      </c>
      <c r="C76" s="20">
        <f>+VLOOKUP(PROVEEDORES[[#This Row],[PROVEEDOR]],TERCEROS_INFO[#All],2,FALSE)</f>
        <v>30</v>
      </c>
      <c r="D76" s="25">
        <f>+SUMIFS(PROVEEDORES[Total],PROVEEDORES[PROVEEDOR],PROVEEDORES[[#This Row],[PROVEEDOR]],PROVEEDORES[FECHA DE PAGO],"")</f>
        <v>0</v>
      </c>
      <c r="E76" s="25"/>
      <c r="F76" s="56">
        <f>+VLOOKUP(PROVEEDORES[[#This Row],[PROVEEDOR]],
                       Terceros!$A:$F,
                       5,
                       FALSE)</f>
        <v>0</v>
      </c>
      <c r="G76" s="68">
        <v>44594</v>
      </c>
      <c r="H76" s="26" t="s">
        <v>413</v>
      </c>
      <c r="I76" s="68">
        <v>44589</v>
      </c>
      <c r="J76" s="35" t="s">
        <v>998</v>
      </c>
      <c r="K76" s="21">
        <v>3418000</v>
      </c>
      <c r="L76" s="21"/>
      <c r="M76" s="22">
        <v>0</v>
      </c>
      <c r="N76" s="23"/>
      <c r="O76" s="22">
        <v>0</v>
      </c>
      <c r="P76" s="74">
        <f>+IF(PROVEEDORES[[#This Row],[SUBTOTAL]]&lt;PROVEEDORES[[#This Row],[base retencion]],0,PROVEEDORES[[#This Row],[retención aplicada]])</f>
        <v>0</v>
      </c>
      <c r="Q76" s="22">
        <f>+PROVEEDORES[[#This Row],[Rete Fuente %]]*(PROVEEDORES[[#This Row],[SUBTOTAL]]-PROVEEDORES[[#This Row],[descuento sobre subtotal]])</f>
        <v>0</v>
      </c>
      <c r="R76" s="21">
        <v>3418000</v>
      </c>
      <c r="S7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63">
        <f ca="1">IF(PROVEEDORES[[#This Row],[FECHA DE PAGO]]=0,TODAY()-PROVEEDORES[[#This Row],[FECHA DE FACTURACIÓN]]-PROVEEDORES[[#This Row],[PLAZO Días]],0)</f>
        <v>0</v>
      </c>
      <c r="U76" s="87">
        <f>+VLOOKUP(PROVEEDORES[[#This Row],[PROVEEDOR]],Terceros!$A:$D,4,FALSE)</f>
        <v>0</v>
      </c>
      <c r="V76" s="88">
        <f>+YEAR(PROVEEDORES[[#This Row],[FECHA DE FACTURACIÓN]])</f>
        <v>2022</v>
      </c>
      <c r="W76" s="88">
        <f>+MATCH(PROVEEDORES[[#This Row],[año facturado]],Retenciones!$1:$1,0)</f>
        <v>5</v>
      </c>
      <c r="X76" s="89">
        <f>+VLOOKUP(PROVEEDORES[[#This Row],[ID RETENCION]],Retenciones!$A$1:$O$25,PROVEEDORES[[#This Row],[indicador de columna]],FALSE)</f>
        <v>0</v>
      </c>
      <c r="Y76" s="90">
        <f>+VLOOKUP(PROVEEDORES[[#This Row],[ID RETENCION]],Retenciones!$A$1:$O$25,2,FALSE)</f>
        <v>0</v>
      </c>
      <c r="Z76" s="116" t="b">
        <f>OR(COUNTIF(PROVEEDORES[[#This Row],[PROVEEDOR]],"*"&amp;'Palabra no opera'!$A$2&amp;"*"))</f>
        <v>0</v>
      </c>
      <c r="AA76" s="24"/>
      <c r="AB76" s="24"/>
      <c r="AC76" s="24"/>
      <c r="AD76" s="24"/>
      <c r="AE76" s="24"/>
    </row>
    <row r="77" spans="1:31" ht="22.35" customHeight="1" x14ac:dyDescent="0.3">
      <c r="A77" s="186" t="str">
        <f>+IF(PROVEEDORES[[#This Row],[FECHA DE PAGO]]=PROVEEDORES[[#This Row],[FECHA DE FACTURACIÓN]],"DE CONTADO","CRÉDITO")</f>
        <v>CRÉDITO</v>
      </c>
      <c r="B77" s="38" t="b">
        <f>+IF((PROVEEDORES[[#This Row],[FECHA DE PAGO]]-PROVEEDORES[[#This Row],[FECHA DE FACTURACIÓN]])&gt;PROVEEDORES[[#This Row],[PLAZO Días]],"PAGO VENCIDO")</f>
        <v>0</v>
      </c>
      <c r="C77" s="20">
        <f>+VLOOKUP(PROVEEDORES[[#This Row],[PROVEEDOR]],TERCEROS_INFO[#All],2,FALSE)</f>
        <v>30</v>
      </c>
      <c r="D77" s="25">
        <f>+SUMIFS(PROVEEDORES[Total],PROVEEDORES[PROVEEDOR],PROVEEDORES[[#This Row],[PROVEEDOR]],PROVEEDORES[FECHA DE PAGO],"")</f>
        <v>0</v>
      </c>
      <c r="E77" s="25"/>
      <c r="F77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77" s="68">
        <v>44594</v>
      </c>
      <c r="H77" s="26" t="s">
        <v>227</v>
      </c>
      <c r="I77" s="68">
        <v>44805</v>
      </c>
      <c r="J77" s="35" t="s">
        <v>1077</v>
      </c>
      <c r="K77" s="21">
        <v>1876000</v>
      </c>
      <c r="L77" s="21"/>
      <c r="M77" s="22">
        <f>(PROVEEDORES[[#This Row],[SUBTOTAL]]-PROVEEDORES[[#This Row],[descuento sobre subtotal]])*VLOOKUP(PROVEEDORES[[#This Row],[PROVEEDOR]],TERCEROS_INFO[#All],3,FALSE)</f>
        <v>0</v>
      </c>
      <c r="N77" s="23"/>
      <c r="O77" s="22">
        <f>+PROVEEDORES[[#This Row],[Descuento sobre subtotal %]]*(PROVEEDORES[[#This Row],[SUBTOTAL]]-PROVEEDORES[[#This Row],[descuento sobre subtotal]])</f>
        <v>0</v>
      </c>
      <c r="P77" s="74">
        <f>+IF(PROVEEDORES[[#This Row],[SUBTOTAL]]&lt;PROVEEDORES[[#This Row],[base retencion]],0,PROVEEDORES[[#This Row],[retención aplicada]])</f>
        <v>0</v>
      </c>
      <c r="Q77" s="22">
        <f>+PROVEEDORES[[#This Row],[Rete Fuente %]]*(PROVEEDORES[[#This Row],[SUBTOTAL]]-PROVEEDORES[[#This Row],[descuento sobre subtotal]])</f>
        <v>0</v>
      </c>
      <c r="R77" s="21">
        <f>+PROVEEDORES[[#This Row],[SUBTOTAL]]+PROVEEDORES[[#This Row],[IVA 19%]]-PROVEEDORES[[#This Row],[descuento sobre subtotal]]-PROVEEDORES[[#This Row],[Descuento sobre subtotal $2]]-PROVEEDORES[[#This Row],[Rete Fuente $]]</f>
        <v>1876000</v>
      </c>
      <c r="S77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63">
        <f ca="1">IF(PROVEEDORES[[#This Row],[FECHA DE PAGO]]=0,TODAY()-PROVEEDORES[[#This Row],[FECHA DE FACTURACIÓN]]-PROVEEDORES[[#This Row],[PLAZO Días]],0)</f>
        <v>0</v>
      </c>
      <c r="U77" s="104">
        <f>+VLOOKUP(PROVEEDORES[[#This Row],[PROVEEDOR]],Terceros!$A:$D,4,FALSE)</f>
        <v>0</v>
      </c>
      <c r="V77" s="105">
        <f>+YEAR(PROVEEDORES[[#This Row],[FECHA DE FACTURACIÓN]])</f>
        <v>2022</v>
      </c>
      <c r="W77" s="105">
        <f>+MATCH(PROVEEDORES[[#This Row],[año facturado]],Retenciones!$1:$1,0)</f>
        <v>5</v>
      </c>
      <c r="X77" s="106">
        <f>+VLOOKUP(PROVEEDORES[[#This Row],[ID RETENCION]],Retenciones!$A$1:$O$25,PROVEEDORES[[#This Row],[indicador de columna]],FALSE)</f>
        <v>0</v>
      </c>
      <c r="Y77" s="107">
        <f>+VLOOKUP(PROVEEDORES[[#This Row],[ID RETENCION]],Retenciones!$A$1:$O$25,2,FALSE)</f>
        <v>0</v>
      </c>
      <c r="Z77" s="116" t="b">
        <f>OR(COUNTIF(PROVEEDORES[[#This Row],[PROVEEDOR]],"*"&amp;'Palabra no opera'!$A$2&amp;"*"))</f>
        <v>0</v>
      </c>
      <c r="AA77" s="24"/>
      <c r="AB77" s="24"/>
      <c r="AC77" s="24"/>
      <c r="AD77" s="24"/>
      <c r="AE77" s="24"/>
    </row>
    <row r="78" spans="1:31" ht="22.35" customHeight="1" x14ac:dyDescent="0.3">
      <c r="A78" s="61" t="str">
        <f>+IF(PROVEEDORES[[#This Row],[FECHA DE PAGO]]=PROVEEDORES[[#This Row],[FECHA DE FACTURACIÓN]],"DE CONTADO","CRÉDITO")</f>
        <v>CRÉDITO</v>
      </c>
      <c r="B78" s="38" t="b">
        <f>+IF((PROVEEDORES[[#This Row],[FECHA DE PAGO]]-PROVEEDORES[[#This Row],[FECHA DE FACTURACIÓN]])&gt;PROVEEDORES[[#This Row],[PLAZO Días]],"PAGO VENCIDO")</f>
        <v>0</v>
      </c>
      <c r="C78" s="20">
        <f>+VLOOKUP(PROVEEDORES[[#This Row],[PROVEEDOR]],TERCEROS_INFO[#All],2,FALSE)</f>
        <v>30</v>
      </c>
      <c r="D78" s="25">
        <f>+SUMIFS(PROVEEDORES[Total],PROVEEDORES[PROVEEDOR],PROVEEDORES[[#This Row],[PROVEEDOR]],PROVEEDORES[FECHA DE PAGO],"")</f>
        <v>0</v>
      </c>
      <c r="E78" s="25"/>
      <c r="F78" s="56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78" s="68">
        <v>44595</v>
      </c>
      <c r="H78" s="26" t="s">
        <v>640</v>
      </c>
      <c r="I78" s="68">
        <v>44593</v>
      </c>
      <c r="J78" s="35">
        <v>805</v>
      </c>
      <c r="K78" s="21">
        <v>239200</v>
      </c>
      <c r="L78" s="21"/>
      <c r="M78" s="22">
        <f>(PROVEEDORES[[#This Row],[SUBTOTAL]]-PROVEEDORES[[#This Row],[descuento sobre subtotal]])*VLOOKUP(PROVEEDORES[[#This Row],[PROVEEDOR]],TERCEROS_INFO[#All],3,FALSE)</f>
        <v>0</v>
      </c>
      <c r="N78" s="23"/>
      <c r="O78" s="22">
        <f>+PROVEEDORES[[#This Row],[Descuento sobre subtotal %]]*(PROVEEDORES[[#This Row],[SUBTOTAL]]-PROVEEDORES[[#This Row],[descuento sobre subtotal]])</f>
        <v>0</v>
      </c>
      <c r="P78" s="74">
        <f>+IF(PROVEEDORES[[#This Row],[SUBTOTAL]]&lt;PROVEEDORES[[#This Row],[base retencion]],0,PROVEEDORES[[#This Row],[retención aplicada]])</f>
        <v>3.5000000000000003E-2</v>
      </c>
      <c r="Q78" s="22">
        <f>+PROVEEDORES[[#This Row],[Rete Fuente %]]*(PROVEEDORES[[#This Row],[SUBTOTAL]]-PROVEEDORES[[#This Row],[descuento sobre subtotal]])</f>
        <v>8372</v>
      </c>
      <c r="R78" s="21">
        <v>0</v>
      </c>
      <c r="S7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63">
        <f ca="1">IF(PROVEEDORES[[#This Row],[FECHA DE PAGO]]=0,TODAY()-PROVEEDORES[[#This Row],[FECHA DE FACTURACIÓN]]-PROVEEDORES[[#This Row],[PLAZO Días]],0)</f>
        <v>0</v>
      </c>
      <c r="U78" s="87" t="str">
        <f>+VLOOKUP(PROVEEDORES[[#This Row],[PROVEEDOR]],Terceros!$A:$D,4,FALSE)</f>
        <v>3,5% sin base</v>
      </c>
      <c r="V78" s="88">
        <f>+YEAR(PROVEEDORES[[#This Row],[FECHA DE FACTURACIÓN]])</f>
        <v>2022</v>
      </c>
      <c r="W78" s="88">
        <f>+MATCH(PROVEEDORES[[#This Row],[año facturado]],Retenciones!$1:$1,0)</f>
        <v>5</v>
      </c>
      <c r="X78" s="89">
        <f>+VLOOKUP(PROVEEDORES[[#This Row],[ID RETENCION]],Retenciones!$A$1:$O$25,PROVEEDORES[[#This Row],[indicador de columna]],FALSE)</f>
        <v>0</v>
      </c>
      <c r="Y78" s="90">
        <f>+VLOOKUP(PROVEEDORES[[#This Row],[ID RETENCION]],Retenciones!$A$1:$O$25,2,FALSE)</f>
        <v>3.5000000000000003E-2</v>
      </c>
      <c r="Z78" s="116" t="b">
        <f>OR(COUNTIF(PROVEEDORES[[#This Row],[PROVEEDOR]],"*"&amp;'Palabra no opera'!$A$2&amp;"*"))</f>
        <v>1</v>
      </c>
      <c r="AA78" s="24"/>
      <c r="AB78" s="24"/>
      <c r="AC78" s="24"/>
      <c r="AD78" s="24"/>
      <c r="AE78" s="24"/>
    </row>
    <row r="79" spans="1:31" ht="22.35" customHeight="1" x14ac:dyDescent="0.3">
      <c r="A79" s="61" t="str">
        <f>+IF(PROVEEDORES[[#This Row],[FECHA DE PAGO]]=PROVEEDORES[[#This Row],[FECHA DE FACTURACIÓN]],"DE CONTADO","CRÉDITO")</f>
        <v>DE CONTADO</v>
      </c>
      <c r="B79" s="38" t="b">
        <f>+IF((PROVEEDORES[[#This Row],[FECHA DE PAGO]]-PROVEEDORES[[#This Row],[FECHA DE FACTURACIÓN]])&gt;PROVEEDORES[[#This Row],[PLAZO Días]],"PAGO VENCIDO")</f>
        <v>0</v>
      </c>
      <c r="C79" s="20">
        <f>+VLOOKUP(PROVEEDORES[[#This Row],[PROVEEDOR]],TERCEROS_INFO[#All],2,FALSE)</f>
        <v>30</v>
      </c>
      <c r="D79" s="25">
        <f>+SUMIFS(PROVEEDORES[Total],PROVEEDORES[PROVEEDOR],PROVEEDORES[[#This Row],[PROVEEDOR]],PROVEEDORES[FECHA DE PAGO],"")</f>
        <v>0</v>
      </c>
      <c r="E79" s="25"/>
      <c r="F79" s="56" t="str">
        <f>+VLOOKUP(PROVEEDORES[[#This Row],[PROVEEDOR]],
                       Terceros!$A:$F,
                       5,
                       FALSE)</f>
        <v/>
      </c>
      <c r="G79" s="68">
        <v>44600</v>
      </c>
      <c r="H79" s="26" t="s">
        <v>378</v>
      </c>
      <c r="I79" s="68">
        <v>44600</v>
      </c>
      <c r="J79" s="35" t="s">
        <v>902</v>
      </c>
      <c r="K79" s="21">
        <v>1000000</v>
      </c>
      <c r="L79" s="21"/>
      <c r="M79" s="22">
        <f>(PROVEEDORES[[#This Row],[SUBTOTAL]]-PROVEEDORES[[#This Row],[descuento sobre subtotal]])*VLOOKUP(PROVEEDORES[[#This Row],[PROVEEDOR]],TERCEROS_INFO[#All],3,FALSE)</f>
        <v>0</v>
      </c>
      <c r="N79" s="23"/>
      <c r="O79" s="22">
        <f>+PROVEEDORES[[#This Row],[Descuento sobre subtotal %]]*(PROVEEDORES[[#This Row],[SUBTOTAL]]-PROVEEDORES[[#This Row],[descuento sobre subtotal]])</f>
        <v>0</v>
      </c>
      <c r="P79" s="74">
        <f>+IF(PROVEEDORES[[#This Row],[SUBTOTAL]]&lt;PROVEEDORES[[#This Row],[base retencion]],0,PROVEEDORES[[#This Row],[retención aplicada]])</f>
        <v>0</v>
      </c>
      <c r="Q79" s="22">
        <f>+PROVEEDORES[[#This Row],[Rete Fuente %]]*(PROVEEDORES[[#This Row],[SUBTOTAL]]-PROVEEDORES[[#This Row],[descuento sobre subtotal]])</f>
        <v>0</v>
      </c>
      <c r="R79" s="21">
        <v>1000000</v>
      </c>
      <c r="S7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63">
        <f ca="1">IF(PROVEEDORES[[#This Row],[FECHA DE PAGO]]=0,TODAY()-PROVEEDORES[[#This Row],[FECHA DE FACTURACIÓN]]-PROVEEDORES[[#This Row],[PLAZO Días]],0)</f>
        <v>0</v>
      </c>
      <c r="U79" s="87">
        <f>+VLOOKUP(PROVEEDORES[[#This Row],[PROVEEDOR]],Terceros!$A:$D,4,FALSE)</f>
        <v>0</v>
      </c>
      <c r="V79" s="88">
        <f>+YEAR(PROVEEDORES[[#This Row],[FECHA DE FACTURACIÓN]])</f>
        <v>2022</v>
      </c>
      <c r="W79" s="88">
        <f>+MATCH(PROVEEDORES[[#This Row],[año facturado]],Retenciones!$1:$1,0)</f>
        <v>5</v>
      </c>
      <c r="X79" s="89">
        <f>+VLOOKUP(PROVEEDORES[[#This Row],[ID RETENCION]],Retenciones!$A$1:$O$25,PROVEEDORES[[#This Row],[indicador de columna]],FALSE)</f>
        <v>0</v>
      </c>
      <c r="Y79" s="90">
        <f>+VLOOKUP(PROVEEDORES[[#This Row],[ID RETENCION]],Retenciones!$A$1:$O$25,2,FALSE)</f>
        <v>0</v>
      </c>
      <c r="Z79" s="116" t="b">
        <f>OR(COUNTIF(PROVEEDORES[[#This Row],[PROVEEDOR]],"*"&amp;'Palabra no opera'!$A$2&amp;"*"))</f>
        <v>0</v>
      </c>
      <c r="AA79" s="24"/>
      <c r="AB79" s="24"/>
      <c r="AC79" s="24"/>
      <c r="AD79" s="24"/>
      <c r="AE79" s="24"/>
    </row>
    <row r="80" spans="1:31" ht="22.35" customHeight="1" x14ac:dyDescent="0.3">
      <c r="A80" s="61" t="str">
        <f>+IF(PROVEEDORES[[#This Row],[FECHA DE PAGO]]=PROVEEDORES[[#This Row],[FECHA DE FACTURACIÓN]],"DE CONTADO","CRÉDITO")</f>
        <v>DE CONTADO</v>
      </c>
      <c r="B80" s="38" t="b">
        <f>+IF((PROVEEDORES[[#This Row],[FECHA DE PAGO]]-PROVEEDORES[[#This Row],[FECHA DE FACTURACIÓN]])&gt;PROVEEDORES[[#This Row],[PLAZO Días]],"PAGO VENCIDO")</f>
        <v>0</v>
      </c>
      <c r="C80" s="20">
        <f>+VLOOKUP(PROVEEDORES[[#This Row],[PROVEEDOR]],TERCEROS_INFO[#All],2,FALSE)</f>
        <v>30</v>
      </c>
      <c r="D80" s="25">
        <f>+SUMIFS(PROVEEDORES[Total],PROVEEDORES[PROVEEDOR],PROVEEDORES[[#This Row],[PROVEEDOR]],PROVEEDORES[FECHA DE PAGO],"")</f>
        <v>0</v>
      </c>
      <c r="E80" s="25"/>
      <c r="F80" s="56" t="str">
        <f>+VLOOKUP(PROVEEDORES[[#This Row],[PROVEEDOR]],
                       Terceros!$A:$F,
                       5,
                       FALSE)</f>
        <v/>
      </c>
      <c r="G80" s="68">
        <v>44600</v>
      </c>
      <c r="H80" s="26" t="s">
        <v>390</v>
      </c>
      <c r="I80" s="68">
        <v>44600</v>
      </c>
      <c r="J80" s="35"/>
      <c r="K80" s="21">
        <v>2000000</v>
      </c>
      <c r="L80" s="21"/>
      <c r="M80" s="22">
        <v>0</v>
      </c>
      <c r="N80" s="23"/>
      <c r="O80" s="22">
        <v>0</v>
      </c>
      <c r="P80" s="74">
        <f>+IF(PROVEEDORES[[#This Row],[SUBTOTAL]]&lt;PROVEEDORES[[#This Row],[base retencion]],0,PROVEEDORES[[#This Row],[retención aplicada]])</f>
        <v>0</v>
      </c>
      <c r="Q80" s="22">
        <f>+PROVEEDORES[[#This Row],[Rete Fuente %]]*(PROVEEDORES[[#This Row],[SUBTOTAL]]-PROVEEDORES[[#This Row],[descuento sobre subtotal]])</f>
        <v>0</v>
      </c>
      <c r="R80" s="21">
        <v>2000000</v>
      </c>
      <c r="S8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63">
        <f ca="1">IF(PROVEEDORES[[#This Row],[FECHA DE PAGO]]=0,TODAY()-PROVEEDORES[[#This Row],[FECHA DE FACTURACIÓN]]-PROVEEDORES[[#This Row],[PLAZO Días]],0)</f>
        <v>0</v>
      </c>
      <c r="U80" s="87">
        <f>+VLOOKUP(PROVEEDORES[[#This Row],[PROVEEDOR]],Terceros!$A:$D,4,FALSE)</f>
        <v>0</v>
      </c>
      <c r="V80" s="88">
        <f>+YEAR(PROVEEDORES[[#This Row],[FECHA DE FACTURACIÓN]])</f>
        <v>2022</v>
      </c>
      <c r="W80" s="88">
        <f>+MATCH(PROVEEDORES[[#This Row],[año facturado]],Retenciones!$1:$1,0)</f>
        <v>5</v>
      </c>
      <c r="X80" s="89">
        <f>+VLOOKUP(PROVEEDORES[[#This Row],[ID RETENCION]],Retenciones!$A$1:$O$25,PROVEEDORES[[#This Row],[indicador de columna]],FALSE)</f>
        <v>0</v>
      </c>
      <c r="Y80" s="90">
        <f>+VLOOKUP(PROVEEDORES[[#This Row],[ID RETENCION]],Retenciones!$A$1:$O$25,2,FALSE)</f>
        <v>0</v>
      </c>
      <c r="Z80" s="116" t="b">
        <f>OR(COUNTIF(PROVEEDORES[[#This Row],[PROVEEDOR]],"*"&amp;'Palabra no opera'!$A$2&amp;"*"))</f>
        <v>0</v>
      </c>
      <c r="AA80" s="24"/>
      <c r="AB80" s="24"/>
      <c r="AC80" s="24"/>
      <c r="AD80" s="24"/>
      <c r="AE80" s="24"/>
    </row>
    <row r="81" spans="1:31" ht="22.35" customHeight="1" x14ac:dyDescent="0.3">
      <c r="A81" s="61" t="str">
        <f>+IF(PROVEEDORES[[#This Row],[FECHA DE PAGO]]=PROVEEDORES[[#This Row],[FECHA DE FACTURACIÓN]],"DE CONTADO","CRÉDITO")</f>
        <v>CRÉDITO</v>
      </c>
      <c r="B81" s="38" t="str">
        <f>+IF((PROVEEDORES[[#This Row],[FECHA DE PAGO]]-PROVEEDORES[[#This Row],[FECHA DE FACTURACIÓN]])&gt;PROVEEDORES[[#This Row],[PLAZO Días]],"PAGO VENCIDO")</f>
        <v>PAGO VENCIDO</v>
      </c>
      <c r="C81" s="20">
        <f>+VLOOKUP(PROVEEDORES[[#This Row],[PROVEEDOR]],TERCEROS_INFO[#All],2,FALSE)</f>
        <v>30</v>
      </c>
      <c r="D81" s="25">
        <f>+SUMIFS(PROVEEDORES[Total],PROVEEDORES[PROVEEDOR],PROVEEDORES[[#This Row],[PROVEEDOR]],PROVEEDORES[FECHA DE PAGO],"")</f>
        <v>0</v>
      </c>
      <c r="E81" s="25"/>
      <c r="F81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81" s="68">
        <v>44600</v>
      </c>
      <c r="H81" s="26" t="s">
        <v>394</v>
      </c>
      <c r="I81" s="68">
        <v>44567</v>
      </c>
      <c r="J81" s="35" t="s">
        <v>984</v>
      </c>
      <c r="K81" s="21">
        <v>1350000</v>
      </c>
      <c r="L81" s="21"/>
      <c r="M81" s="22">
        <v>0</v>
      </c>
      <c r="N81" s="23"/>
      <c r="O81" s="22">
        <v>0</v>
      </c>
      <c r="P81" s="74">
        <f>+IF(PROVEEDORES[[#This Row],[SUBTOTAL]]&lt;PROVEEDORES[[#This Row],[base retencion]],0,PROVEEDORES[[#This Row],[retención aplicada]])</f>
        <v>0</v>
      </c>
      <c r="Q81" s="22">
        <f>+PROVEEDORES[[#This Row],[Rete Fuente %]]*(PROVEEDORES[[#This Row],[SUBTOTAL]]-PROVEEDORES[[#This Row],[descuento sobre subtotal]])</f>
        <v>0</v>
      </c>
      <c r="R81" s="21">
        <v>1350000</v>
      </c>
      <c r="S8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63">
        <f ca="1">IF(PROVEEDORES[[#This Row],[FECHA DE PAGO]]=0,TODAY()-PROVEEDORES[[#This Row],[FECHA DE FACTURACIÓN]]-PROVEEDORES[[#This Row],[PLAZO Días]],0)</f>
        <v>0</v>
      </c>
      <c r="U81" s="87">
        <f>+VLOOKUP(PROVEEDORES[[#This Row],[PROVEEDOR]],Terceros!$A:$D,4,FALSE)</f>
        <v>0</v>
      </c>
      <c r="V81" s="88">
        <f>+YEAR(PROVEEDORES[[#This Row],[FECHA DE FACTURACIÓN]])</f>
        <v>2022</v>
      </c>
      <c r="W81" s="88">
        <f>+MATCH(PROVEEDORES[[#This Row],[año facturado]],Retenciones!$1:$1,0)</f>
        <v>5</v>
      </c>
      <c r="X81" s="89">
        <f>+VLOOKUP(PROVEEDORES[[#This Row],[ID RETENCION]],Retenciones!$A$1:$O$25,PROVEEDORES[[#This Row],[indicador de columna]],FALSE)</f>
        <v>0</v>
      </c>
      <c r="Y81" s="90">
        <f>+VLOOKUP(PROVEEDORES[[#This Row],[ID RETENCION]],Retenciones!$A$1:$O$25,2,FALSE)</f>
        <v>0</v>
      </c>
      <c r="Z81" s="116" t="b">
        <f>OR(COUNTIF(PROVEEDORES[[#This Row],[PROVEEDOR]],"*"&amp;'Palabra no opera'!$A$2&amp;"*"))</f>
        <v>0</v>
      </c>
      <c r="AA81" s="24"/>
      <c r="AB81" s="24"/>
      <c r="AC81" s="24"/>
      <c r="AD81" s="24"/>
      <c r="AE81" s="24"/>
    </row>
    <row r="82" spans="1:31" ht="22.35" customHeight="1" x14ac:dyDescent="0.3">
      <c r="A82" s="61" t="str">
        <f>+IF(PROVEEDORES[[#This Row],[FECHA DE PAGO]]=PROVEEDORES[[#This Row],[FECHA DE FACTURACIÓN]],"DE CONTADO","CRÉDITO")</f>
        <v>CRÉDITO</v>
      </c>
      <c r="B82" s="38" t="str">
        <f>+IF((PROVEEDORES[[#This Row],[FECHA DE PAGO]]-PROVEEDORES[[#This Row],[FECHA DE FACTURACIÓN]])&gt;PROVEEDORES[[#This Row],[PLAZO Días]],"PAGO VENCIDO")</f>
        <v>PAGO VENCIDO</v>
      </c>
      <c r="C82" s="20">
        <f>+VLOOKUP(PROVEEDORES[[#This Row],[PROVEEDOR]],TERCEROS_INFO[#All],2,FALSE)</f>
        <v>30</v>
      </c>
      <c r="D82" s="25">
        <f>+SUMIFS(PROVEEDORES[Total],PROVEEDORES[PROVEEDOR],PROVEEDORES[[#This Row],[PROVEEDOR]],PROVEEDORES[FECHA DE PAGO],"")</f>
        <v>0</v>
      </c>
      <c r="E82" s="25"/>
      <c r="F82" s="56" t="str">
        <f>+VLOOKUP(PROVEEDORES[[#This Row],[PROVEEDOR]],
                       Terceros!$A:$F,
                       5,
                       FALSE)</f>
        <v/>
      </c>
      <c r="G82" s="68">
        <v>44600</v>
      </c>
      <c r="H82" s="26" t="s">
        <v>396</v>
      </c>
      <c r="I82" s="68">
        <v>44552</v>
      </c>
      <c r="J82" s="35" t="s">
        <v>981</v>
      </c>
      <c r="K82" s="21">
        <v>112000</v>
      </c>
      <c r="L82" s="21"/>
      <c r="M82" s="22">
        <v>0</v>
      </c>
      <c r="N82" s="23"/>
      <c r="O82" s="22">
        <v>0</v>
      </c>
      <c r="P82" s="74">
        <f>+IF(PROVEEDORES[[#This Row],[SUBTOTAL]]&lt;PROVEEDORES[[#This Row],[base retencion]],0,PROVEEDORES[[#This Row],[retención aplicada]])</f>
        <v>0</v>
      </c>
      <c r="Q82" s="22">
        <f>+PROVEEDORES[[#This Row],[Rete Fuente %]]*(PROVEEDORES[[#This Row],[SUBTOTAL]]-PROVEEDORES[[#This Row],[descuento sobre subtotal]])</f>
        <v>0</v>
      </c>
      <c r="R82" s="21">
        <v>112000</v>
      </c>
      <c r="S8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63">
        <f ca="1">IF(PROVEEDORES[[#This Row],[FECHA DE PAGO]]=0,TODAY()-PROVEEDORES[[#This Row],[FECHA DE FACTURACIÓN]]-PROVEEDORES[[#This Row],[PLAZO Días]],0)</f>
        <v>0</v>
      </c>
      <c r="U82" s="87">
        <f>+VLOOKUP(PROVEEDORES[[#This Row],[PROVEEDOR]],Terceros!$A:$D,4,FALSE)</f>
        <v>0</v>
      </c>
      <c r="V82" s="88">
        <f>+YEAR(PROVEEDORES[[#This Row],[FECHA DE FACTURACIÓN]])</f>
        <v>2021</v>
      </c>
      <c r="W82" s="88">
        <f>+MATCH(PROVEEDORES[[#This Row],[año facturado]],Retenciones!$1:$1,0)</f>
        <v>4</v>
      </c>
      <c r="X82" s="89">
        <f>+VLOOKUP(PROVEEDORES[[#This Row],[ID RETENCION]],Retenciones!$A$1:$O$25,PROVEEDORES[[#This Row],[indicador de columna]],FALSE)</f>
        <v>0</v>
      </c>
      <c r="Y82" s="90">
        <f>+VLOOKUP(PROVEEDORES[[#This Row],[ID RETENCION]],Retenciones!$A$1:$O$25,2,FALSE)</f>
        <v>0</v>
      </c>
      <c r="Z82" s="116" t="b">
        <f>OR(COUNTIF(PROVEEDORES[[#This Row],[PROVEEDOR]],"*"&amp;'Palabra no opera'!$A$2&amp;"*"))</f>
        <v>0</v>
      </c>
      <c r="AA82" s="24"/>
      <c r="AB82" s="24"/>
      <c r="AC82" s="24"/>
      <c r="AD82" s="24"/>
      <c r="AE82" s="24"/>
    </row>
    <row r="83" spans="1:31" ht="22.35" customHeight="1" x14ac:dyDescent="0.3">
      <c r="A83" s="61" t="str">
        <f>+IF(PROVEEDORES[[#This Row],[FECHA DE PAGO]]=PROVEEDORES[[#This Row],[FECHA DE FACTURACIÓN]],"DE CONTADO","CRÉDITO")</f>
        <v>CRÉDITO</v>
      </c>
      <c r="B83" s="38" t="str">
        <f>+IF((PROVEEDORES[[#This Row],[FECHA DE PAGO]]-PROVEEDORES[[#This Row],[FECHA DE FACTURACIÓN]])&gt;PROVEEDORES[[#This Row],[PLAZO Días]],"PAGO VENCIDO")</f>
        <v>PAGO VENCIDO</v>
      </c>
      <c r="C83" s="20">
        <f>+VLOOKUP(PROVEEDORES[[#This Row],[PROVEEDOR]],TERCEROS_INFO[#All],2,FALSE)</f>
        <v>30</v>
      </c>
      <c r="D83" s="25">
        <f>+SUMIFS(PROVEEDORES[Total],PROVEEDORES[PROVEEDOR],PROVEEDORES[[#This Row],[PROVEEDOR]],PROVEEDORES[FECHA DE PAGO],"")</f>
        <v>0</v>
      </c>
      <c r="E83" s="25"/>
      <c r="F83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83" s="68">
        <v>44600</v>
      </c>
      <c r="H83" s="26" t="s">
        <v>33</v>
      </c>
      <c r="I83" s="68">
        <v>44527</v>
      </c>
      <c r="J83" s="35">
        <v>1728</v>
      </c>
      <c r="K83" s="21">
        <v>9365300</v>
      </c>
      <c r="L83" s="21"/>
      <c r="M83" s="22">
        <f>(PROVEEDORES[[#This Row],[SUBTOTAL]]-PROVEEDORES[[#This Row],[descuento sobre subtotal]])*VLOOKUP(PROVEEDORES[[#This Row],[PROVEEDOR]],TERCEROS_INFO[#All],3,FALSE)</f>
        <v>1779407</v>
      </c>
      <c r="N83" s="23"/>
      <c r="O83" s="22">
        <f>+PROVEEDORES[[#This Row],[Descuento sobre subtotal %]]*(PROVEEDORES[[#This Row],[SUBTOTAL]]-PROVEEDORES[[#This Row],[descuento sobre subtotal]])</f>
        <v>0</v>
      </c>
      <c r="P83" s="74">
        <f>+IF(PROVEEDORES[[#This Row],[SUBTOTAL]]&lt;PROVEEDORES[[#This Row],[base retencion]],0,PROVEEDORES[[#This Row],[retención aplicada]])</f>
        <v>2.5000000000000001E-2</v>
      </c>
      <c r="Q83" s="22">
        <f>+PROVEEDORES[[#This Row],[Rete Fuente %]]*(PROVEEDORES[[#This Row],[SUBTOTAL]]-PROVEEDORES[[#This Row],[descuento sobre subtotal]])</f>
        <v>234132.5</v>
      </c>
      <c r="R83" s="21">
        <v>10910574.5</v>
      </c>
      <c r="S8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63">
        <f ca="1">IF(PROVEEDORES[[#This Row],[FECHA DE PAGO]]=0,TODAY()-PROVEEDORES[[#This Row],[FECHA DE FACTURACIÓN]]-PROVEEDORES[[#This Row],[PLAZO Días]],0)</f>
        <v>0</v>
      </c>
      <c r="U83" s="87" t="str">
        <f>+VLOOKUP(PROVEEDORES[[#This Row],[PROVEEDOR]],Terceros!$A:$D,4,FALSE)</f>
        <v>2,5% con base</v>
      </c>
      <c r="V83" s="88">
        <f>+YEAR(PROVEEDORES[[#This Row],[FECHA DE FACTURACIÓN]])</f>
        <v>2021</v>
      </c>
      <c r="W83" s="88">
        <f>+MATCH(PROVEEDORES[[#This Row],[año facturado]],Retenciones!$1:$1,0)</f>
        <v>4</v>
      </c>
      <c r="X83" s="89">
        <f>+VLOOKUP(PROVEEDORES[[#This Row],[ID RETENCION]],Retenciones!$A$1:$O$25,PROVEEDORES[[#This Row],[indicador de columna]],FALSE)</f>
        <v>980000</v>
      </c>
      <c r="Y83" s="90">
        <f>+VLOOKUP(PROVEEDORES[[#This Row],[ID RETENCION]],Retenciones!$A$1:$O$25,2,FALSE)</f>
        <v>2.5000000000000001E-2</v>
      </c>
      <c r="Z83" s="116" t="b">
        <f>OR(COUNTIF(PROVEEDORES[[#This Row],[PROVEEDOR]],"*"&amp;'Palabra no opera'!$A$2&amp;"*"))</f>
        <v>0</v>
      </c>
      <c r="AA83" s="24"/>
      <c r="AB83" s="24"/>
      <c r="AC83" s="24"/>
      <c r="AD83" s="24"/>
      <c r="AE83" s="24"/>
    </row>
    <row r="84" spans="1:31" ht="22.35" customHeight="1" x14ac:dyDescent="0.3">
      <c r="A84" s="61" t="str">
        <f>+IF(PROVEEDORES[[#This Row],[FECHA DE PAGO]]=PROVEEDORES[[#This Row],[FECHA DE FACTURACIÓN]],"DE CONTADO","CRÉDITO")</f>
        <v>CRÉDITO</v>
      </c>
      <c r="B84" s="38" t="str">
        <f>+IF((PROVEEDORES[[#This Row],[FECHA DE PAGO]]-PROVEEDORES[[#This Row],[FECHA DE FACTURACIÓN]])&gt;PROVEEDORES[[#This Row],[PLAZO Días]],"PAGO VENCIDO")</f>
        <v>PAGO VENCIDO</v>
      </c>
      <c r="C84" s="20">
        <f>+VLOOKUP(PROVEEDORES[[#This Row],[PROVEEDOR]],TERCEROS_INFO[#All],2,FALSE)</f>
        <v>30</v>
      </c>
      <c r="D84" s="25">
        <f>+SUMIFS(PROVEEDORES[Total],PROVEEDORES[PROVEEDOR],PROVEEDORES[[#This Row],[PROVEEDOR]],PROVEEDORES[FECHA DE PAGO],"")</f>
        <v>0</v>
      </c>
      <c r="E84" s="25"/>
      <c r="F84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4" s="68">
        <v>44600</v>
      </c>
      <c r="H84" s="26" t="s">
        <v>248</v>
      </c>
      <c r="I84" s="68">
        <v>44533</v>
      </c>
      <c r="J84" s="35" t="s">
        <v>470</v>
      </c>
      <c r="K84" s="21">
        <v>-4503132.55</v>
      </c>
      <c r="L84" s="21"/>
      <c r="M84" s="22">
        <f>(PROVEEDORES[[#This Row],[SUBTOTAL]]-PROVEEDORES[[#This Row],[descuento sobre subtotal]])*VLOOKUP(PROVEEDORES[[#This Row],[PROVEEDOR]],TERCEROS_INFO[#All],3,FALSE)</f>
        <v>-855595.18449999997</v>
      </c>
      <c r="N84" s="23"/>
      <c r="O84" s="22">
        <f>+PROVEEDORES[[#This Row],[Descuento sobre subtotal %]]*(PROVEEDORES[[#This Row],[SUBTOTAL]]-PROVEEDORES[[#This Row],[descuento sobre subtotal]])</f>
        <v>0</v>
      </c>
      <c r="P84" s="74">
        <f>+IF(PROVEEDORES[[#This Row],[SUBTOTAL]]&lt;PROVEEDORES[[#This Row],[base retencion]],0,PROVEEDORES[[#This Row],[retención aplicada]])</f>
        <v>0</v>
      </c>
      <c r="Q84" s="22">
        <f>+PROVEEDORES[[#This Row],[Rete Fuente %]]*(PROVEEDORES[[#This Row],[SUBTOTAL]]-PROVEEDORES[[#This Row],[descuento sobre subtotal]])</f>
        <v>0</v>
      </c>
      <c r="R84" s="21">
        <v>-4503132.55</v>
      </c>
      <c r="S8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63">
        <f ca="1">IF(PROVEEDORES[[#This Row],[FECHA DE PAGO]]=0,TODAY()-PROVEEDORES[[#This Row],[FECHA DE FACTURACIÓN]]-PROVEEDORES[[#This Row],[PLAZO Días]],0)</f>
        <v>0</v>
      </c>
      <c r="U84" s="87">
        <f>+VLOOKUP(PROVEEDORES[[#This Row],[PROVEEDOR]],Terceros!$A:$D,4,FALSE)</f>
        <v>0</v>
      </c>
      <c r="V84" s="88">
        <f>+YEAR(PROVEEDORES[[#This Row],[FECHA DE FACTURACIÓN]])</f>
        <v>2021</v>
      </c>
      <c r="W84" s="88">
        <f>+MATCH(PROVEEDORES[[#This Row],[año facturado]],Retenciones!$1:$1,0)</f>
        <v>4</v>
      </c>
      <c r="X84" s="89">
        <f>+VLOOKUP(PROVEEDORES[[#This Row],[ID RETENCION]],Retenciones!$A$1:$O$25,PROVEEDORES[[#This Row],[indicador de columna]],FALSE)</f>
        <v>0</v>
      </c>
      <c r="Y84" s="90">
        <f>+VLOOKUP(PROVEEDORES[[#This Row],[ID RETENCION]],Retenciones!$A$1:$O$25,2,FALSE)</f>
        <v>0</v>
      </c>
      <c r="Z84" s="116" t="b">
        <f>OR(COUNTIF(PROVEEDORES[[#This Row],[PROVEEDOR]],"*"&amp;'Palabra no opera'!$A$2&amp;"*"))</f>
        <v>0</v>
      </c>
      <c r="AA84" s="24"/>
      <c r="AB84" s="24"/>
      <c r="AC84" s="24"/>
      <c r="AD84" s="24"/>
      <c r="AE84" s="24"/>
    </row>
    <row r="85" spans="1:31" ht="22.35" customHeight="1" x14ac:dyDescent="0.3">
      <c r="A85" s="61" t="str">
        <f>+IF(PROVEEDORES[[#This Row],[FECHA DE PAGO]]=PROVEEDORES[[#This Row],[FECHA DE FACTURACIÓN]],"DE CONTADO","CRÉDITO")</f>
        <v>CRÉDITO</v>
      </c>
      <c r="B85" s="38" t="b">
        <f>+IF((PROVEEDORES[[#This Row],[FECHA DE PAGO]]-PROVEEDORES[[#This Row],[FECHA DE FACTURACIÓN]])&gt;PROVEEDORES[[#This Row],[PLAZO Días]],"PAGO VENCIDO")</f>
        <v>0</v>
      </c>
      <c r="C85" s="20">
        <f>+VLOOKUP(PROVEEDORES[[#This Row],[PROVEEDOR]],TERCEROS_INFO[#All],2,FALSE)</f>
        <v>30</v>
      </c>
      <c r="D85" s="25">
        <f>+SUMIFS(PROVEEDORES[Total],PROVEEDORES[PROVEEDOR],PROVEEDORES[[#This Row],[PROVEEDOR]],PROVEEDORES[FECHA DE PAGO],"")</f>
        <v>0</v>
      </c>
      <c r="E85" s="25"/>
      <c r="F85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5" s="68">
        <v>44600</v>
      </c>
      <c r="H85" s="26" t="s">
        <v>248</v>
      </c>
      <c r="I85" s="68">
        <v>44574</v>
      </c>
      <c r="J85" s="35">
        <v>162642</v>
      </c>
      <c r="K85" s="21">
        <v>4279357</v>
      </c>
      <c r="L85" s="21">
        <v>107523</v>
      </c>
      <c r="M85" s="22">
        <f>(PROVEEDORES[[#This Row],[SUBTOTAL]]-PROVEEDORES[[#This Row],[descuento sobre subtotal]])*VLOOKUP(PROVEEDORES[[#This Row],[PROVEEDOR]],TERCEROS_INFO[#All],3,FALSE)</f>
        <v>792648.46</v>
      </c>
      <c r="N85" s="23"/>
      <c r="O85" s="22">
        <f>+PROVEEDORES[[#This Row],[Descuento sobre subtotal %]]*(PROVEEDORES[[#This Row],[SUBTOTAL]]-PROVEEDORES[[#This Row],[descuento sobre subtotal]])</f>
        <v>0</v>
      </c>
      <c r="P85" s="74">
        <f>+IF(PROVEEDORES[[#This Row],[SUBTOTAL]]&lt;PROVEEDORES[[#This Row],[base retencion]],0,PROVEEDORES[[#This Row],[retención aplicada]])</f>
        <v>0</v>
      </c>
      <c r="Q85" s="22">
        <f>+PROVEEDORES[[#This Row],[Rete Fuente %]]*(PROVEEDORES[[#This Row],[SUBTOTAL]]-PROVEEDORES[[#This Row],[descuento sobre subtotal]])</f>
        <v>0</v>
      </c>
      <c r="R85" s="21">
        <v>4984911.83</v>
      </c>
      <c r="S8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63">
        <f ca="1">IF(PROVEEDORES[[#This Row],[FECHA DE PAGO]]=0,TODAY()-PROVEEDORES[[#This Row],[FECHA DE FACTURACIÓN]]-PROVEEDORES[[#This Row],[PLAZO Días]],0)</f>
        <v>0</v>
      </c>
      <c r="U85" s="87">
        <f>+VLOOKUP(PROVEEDORES[[#This Row],[PROVEEDOR]],Terceros!$A:$D,4,FALSE)</f>
        <v>0</v>
      </c>
      <c r="V85" s="88">
        <f>+YEAR(PROVEEDORES[[#This Row],[FECHA DE FACTURACIÓN]])</f>
        <v>2022</v>
      </c>
      <c r="W85" s="88">
        <f>+MATCH(PROVEEDORES[[#This Row],[año facturado]],Retenciones!$1:$1,0)</f>
        <v>5</v>
      </c>
      <c r="X85" s="89">
        <f>+VLOOKUP(PROVEEDORES[[#This Row],[ID RETENCION]],Retenciones!$A$1:$O$25,PROVEEDORES[[#This Row],[indicador de columna]],FALSE)</f>
        <v>0</v>
      </c>
      <c r="Y85" s="90">
        <f>+VLOOKUP(PROVEEDORES[[#This Row],[ID RETENCION]],Retenciones!$A$1:$O$25,2,FALSE)</f>
        <v>0</v>
      </c>
      <c r="Z85" s="116" t="b">
        <f>OR(COUNTIF(PROVEEDORES[[#This Row],[PROVEEDOR]],"*"&amp;'Palabra no opera'!$A$2&amp;"*"))</f>
        <v>0</v>
      </c>
      <c r="AA85" s="24"/>
      <c r="AB85" s="24"/>
      <c r="AC85" s="24"/>
      <c r="AD85" s="24"/>
      <c r="AE85" s="24"/>
    </row>
    <row r="86" spans="1:31" ht="22.35" customHeight="1" x14ac:dyDescent="0.3">
      <c r="A86" s="61" t="str">
        <f>+IF(PROVEEDORES[[#This Row],[FECHA DE PAGO]]=PROVEEDORES[[#This Row],[FECHA DE FACTURACIÓN]],"DE CONTADO","CRÉDITO")</f>
        <v>CRÉDITO</v>
      </c>
      <c r="B86" s="38" t="str">
        <f>+IF((PROVEEDORES[[#This Row],[FECHA DE PAGO]]-PROVEEDORES[[#This Row],[FECHA DE FACTURACIÓN]])&gt;PROVEEDORES[[#This Row],[PLAZO Días]],"PAGO VENCIDO")</f>
        <v>PAGO VENCIDO</v>
      </c>
      <c r="C86" s="20">
        <f>+VLOOKUP(PROVEEDORES[[#This Row],[PROVEEDOR]],TERCEROS_INFO[#All],2,FALSE)</f>
        <v>45</v>
      </c>
      <c r="D86" s="25">
        <f>+SUMIFS(PROVEEDORES[Total],PROVEEDORES[PROVEEDOR],PROVEEDORES[[#This Row],[PROVEEDOR]],PROVEEDORES[FECHA DE PAGO],"")</f>
        <v>8072960</v>
      </c>
      <c r="E86" s="25"/>
      <c r="F86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6" s="68">
        <v>44600</v>
      </c>
      <c r="H86" s="26" t="s">
        <v>10</v>
      </c>
      <c r="I86" s="68">
        <v>44532</v>
      </c>
      <c r="J86" s="35" t="s">
        <v>297</v>
      </c>
      <c r="K86" s="21">
        <v>420000</v>
      </c>
      <c r="L86" s="21"/>
      <c r="M86" s="22">
        <f>(PROVEEDORES[[#This Row],[SUBTOTAL]]-PROVEEDORES[[#This Row],[descuento sobre subtotal]])*VLOOKUP(PROVEEDORES[[#This Row],[PROVEEDOR]],TERCEROS_INFO[#All],3,FALSE)</f>
        <v>79800</v>
      </c>
      <c r="N86" s="23"/>
      <c r="O86" s="22">
        <f>+PROVEEDORES[[#This Row],[Descuento sobre subtotal %]]*(PROVEEDORES[[#This Row],[SUBTOTAL]]-PROVEEDORES[[#This Row],[descuento sobre subtotal]])</f>
        <v>0</v>
      </c>
      <c r="P86" s="74">
        <f>+IF(PROVEEDORES[[#This Row],[SUBTOTAL]]&lt;PROVEEDORES[[#This Row],[base retencion]],0,PROVEEDORES[[#This Row],[retención aplicada]])</f>
        <v>0</v>
      </c>
      <c r="Q86" s="22">
        <f>+PROVEEDORES[[#This Row],[Rete Fuente %]]*(PROVEEDORES[[#This Row],[SUBTOTAL]]-PROVEEDORES[[#This Row],[descuento sobre subtotal]])</f>
        <v>0</v>
      </c>
      <c r="R86" s="21">
        <v>499800</v>
      </c>
      <c r="S8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63">
        <f ca="1">IF(PROVEEDORES[[#This Row],[FECHA DE PAGO]]=0,TODAY()-PROVEEDORES[[#This Row],[FECHA DE FACTURACIÓN]]-PROVEEDORES[[#This Row],[PLAZO Días]],0)</f>
        <v>0</v>
      </c>
      <c r="U86" s="87">
        <f>+VLOOKUP(PROVEEDORES[[#This Row],[PROVEEDOR]],Terceros!$A:$D,4,FALSE)</f>
        <v>0</v>
      </c>
      <c r="V86" s="88">
        <f>+YEAR(PROVEEDORES[[#This Row],[FECHA DE FACTURACIÓN]])</f>
        <v>2021</v>
      </c>
      <c r="W86" s="88">
        <f>+MATCH(PROVEEDORES[[#This Row],[año facturado]],Retenciones!$1:$1,0)</f>
        <v>4</v>
      </c>
      <c r="X86" s="89">
        <f>+VLOOKUP(PROVEEDORES[[#This Row],[ID RETENCION]],Retenciones!$A$1:$O$25,PROVEEDORES[[#This Row],[indicador de columna]],FALSE)</f>
        <v>0</v>
      </c>
      <c r="Y86" s="90">
        <f>+VLOOKUP(PROVEEDORES[[#This Row],[ID RETENCION]],Retenciones!$A$1:$O$25,2,FALSE)</f>
        <v>0</v>
      </c>
      <c r="Z86" s="116" t="b">
        <f>OR(COUNTIF(PROVEEDORES[[#This Row],[PROVEEDOR]],"*"&amp;'Palabra no opera'!$A$2&amp;"*"))</f>
        <v>0</v>
      </c>
      <c r="AA86" s="24"/>
      <c r="AB86" s="24"/>
      <c r="AC86" s="24"/>
      <c r="AD86" s="24"/>
      <c r="AE86" s="24"/>
    </row>
    <row r="87" spans="1:31" ht="22.35" customHeight="1" x14ac:dyDescent="0.3">
      <c r="A87" s="61" t="str">
        <f>+IF(PROVEEDORES[[#This Row],[FECHA DE PAGO]]=PROVEEDORES[[#This Row],[FECHA DE FACTURACIÓN]],"DE CONTADO","CRÉDITO")</f>
        <v>CRÉDITO</v>
      </c>
      <c r="B87" s="38" t="str">
        <f>+IF((PROVEEDORES[[#This Row],[FECHA DE PAGO]]-PROVEEDORES[[#This Row],[FECHA DE FACTURACIÓN]])&gt;PROVEEDORES[[#This Row],[PLAZO Días]],"PAGO VENCIDO")</f>
        <v>PAGO VENCIDO</v>
      </c>
      <c r="C87" s="20">
        <f>+VLOOKUP(PROVEEDORES[[#This Row],[PROVEEDOR]],TERCEROS_INFO[#All],2,FALSE)</f>
        <v>45</v>
      </c>
      <c r="D87" s="25">
        <f>+SUMIFS(PROVEEDORES[Total],PROVEEDORES[PROVEEDOR],PROVEEDORES[[#This Row],[PROVEEDOR]],PROVEEDORES[FECHA DE PAGO],"")</f>
        <v>8072960</v>
      </c>
      <c r="E87" s="25"/>
      <c r="F87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7" s="68">
        <v>44600</v>
      </c>
      <c r="H87" s="26" t="s">
        <v>10</v>
      </c>
      <c r="I87" s="68">
        <v>44540</v>
      </c>
      <c r="J87" s="35" t="s">
        <v>299</v>
      </c>
      <c r="K87" s="21">
        <v>770000</v>
      </c>
      <c r="L87" s="21"/>
      <c r="M87" s="22">
        <f>(PROVEEDORES[[#This Row],[SUBTOTAL]]-PROVEEDORES[[#This Row],[descuento sobre subtotal]])*VLOOKUP(PROVEEDORES[[#This Row],[PROVEEDOR]],TERCEROS_INFO[#All],3,FALSE)</f>
        <v>146300</v>
      </c>
      <c r="N87" s="23"/>
      <c r="O87" s="22">
        <f>+PROVEEDORES[[#This Row],[Descuento sobre subtotal %]]*(PROVEEDORES[[#This Row],[SUBTOTAL]]-PROVEEDORES[[#This Row],[descuento sobre subtotal]])</f>
        <v>0</v>
      </c>
      <c r="P87" s="74">
        <f>+IF(PROVEEDORES[[#This Row],[SUBTOTAL]]&lt;PROVEEDORES[[#This Row],[base retencion]],0,PROVEEDORES[[#This Row],[retención aplicada]])</f>
        <v>0</v>
      </c>
      <c r="Q87" s="22">
        <f>+PROVEEDORES[[#This Row],[Rete Fuente %]]*(PROVEEDORES[[#This Row],[SUBTOTAL]]-PROVEEDORES[[#This Row],[descuento sobre subtotal]])</f>
        <v>0</v>
      </c>
      <c r="R87" s="21">
        <v>916300</v>
      </c>
      <c r="S8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63">
        <f ca="1">IF(PROVEEDORES[[#This Row],[FECHA DE PAGO]]=0,TODAY()-PROVEEDORES[[#This Row],[FECHA DE FACTURACIÓN]]-PROVEEDORES[[#This Row],[PLAZO Días]],0)</f>
        <v>0</v>
      </c>
      <c r="U87" s="87">
        <f>+VLOOKUP(PROVEEDORES[[#This Row],[PROVEEDOR]],Terceros!$A:$D,4,FALSE)</f>
        <v>0</v>
      </c>
      <c r="V87" s="88">
        <f>+YEAR(PROVEEDORES[[#This Row],[FECHA DE FACTURACIÓN]])</f>
        <v>2021</v>
      </c>
      <c r="W87" s="88">
        <f>+MATCH(PROVEEDORES[[#This Row],[año facturado]],Retenciones!$1:$1,0)</f>
        <v>4</v>
      </c>
      <c r="X87" s="89">
        <f>+VLOOKUP(PROVEEDORES[[#This Row],[ID RETENCION]],Retenciones!$A$1:$O$25,PROVEEDORES[[#This Row],[indicador de columna]],FALSE)</f>
        <v>0</v>
      </c>
      <c r="Y87" s="90">
        <f>+VLOOKUP(PROVEEDORES[[#This Row],[ID RETENCION]],Retenciones!$A$1:$O$25,2,FALSE)</f>
        <v>0</v>
      </c>
      <c r="Z87" s="116" t="b">
        <f>OR(COUNTIF(PROVEEDORES[[#This Row],[PROVEEDOR]],"*"&amp;'Palabra no opera'!$A$2&amp;"*"))</f>
        <v>0</v>
      </c>
      <c r="AA87" s="24"/>
      <c r="AB87" s="24"/>
      <c r="AC87" s="24"/>
      <c r="AD87" s="24"/>
      <c r="AE87" s="24"/>
    </row>
    <row r="88" spans="1:31" ht="22.35" customHeight="1" x14ac:dyDescent="0.3">
      <c r="A88" s="61" t="str">
        <f>+IF(PROVEEDORES[[#This Row],[FECHA DE PAGO]]=PROVEEDORES[[#This Row],[FECHA DE FACTURACIÓN]],"DE CONTADO","CRÉDITO")</f>
        <v>CRÉDITO</v>
      </c>
      <c r="B88" s="38" t="b">
        <f>+IF((PROVEEDORES[[#This Row],[FECHA DE PAGO]]-PROVEEDORES[[#This Row],[FECHA DE FACTURACIÓN]])&gt;PROVEEDORES[[#This Row],[PLAZO Días]],"PAGO VENCIDO")</f>
        <v>0</v>
      </c>
      <c r="C88" s="20">
        <f>+VLOOKUP(PROVEEDORES[[#This Row],[PROVEEDOR]],TERCEROS_INFO[#All],2,FALSE)</f>
        <v>30</v>
      </c>
      <c r="D88" s="25">
        <f>+SUMIFS(PROVEEDORES[Total],PROVEEDORES[PROVEEDOR],PROVEEDORES[[#This Row],[PROVEEDOR]],PROVEEDORES[FECHA DE PAGO],"")</f>
        <v>0</v>
      </c>
      <c r="E88" s="25"/>
      <c r="F8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8" s="68">
        <v>44602</v>
      </c>
      <c r="H88" s="26" t="s">
        <v>246</v>
      </c>
      <c r="I88" s="68">
        <v>44596</v>
      </c>
      <c r="J88" s="35" t="s">
        <v>455</v>
      </c>
      <c r="K88" s="21">
        <v>3400</v>
      </c>
      <c r="L88" s="21"/>
      <c r="M88" s="22">
        <f>(PROVEEDORES[[#This Row],[SUBTOTAL]]-PROVEEDORES[[#This Row],[descuento sobre subtotal]])*VLOOKUP(PROVEEDORES[[#This Row],[PROVEEDOR]],TERCEROS_INFO[#All],3,FALSE)</f>
        <v>0</v>
      </c>
      <c r="N88" s="23"/>
      <c r="O88" s="22">
        <f>+PROVEEDORES[[#This Row],[Descuento sobre subtotal %]]*(PROVEEDORES[[#This Row],[SUBTOTAL]]-PROVEEDORES[[#This Row],[descuento sobre subtotal]])</f>
        <v>0</v>
      </c>
      <c r="P88" s="74">
        <f>+IF(PROVEEDORES[[#This Row],[SUBTOTAL]]&lt;PROVEEDORES[[#This Row],[base retencion]],0,PROVEEDORES[[#This Row],[retención aplicada]])</f>
        <v>0</v>
      </c>
      <c r="Q88" s="22">
        <f>+PROVEEDORES[[#This Row],[Rete Fuente %]]*(PROVEEDORES[[#This Row],[SUBTOTAL]]-PROVEEDORES[[#This Row],[descuento sobre subtotal]])</f>
        <v>0</v>
      </c>
      <c r="R88" s="21">
        <f>+PROVEEDORES[[#This Row],[SUBTOTAL]]+PROVEEDORES[[#This Row],[IVA 19%]]-PROVEEDORES[[#This Row],[descuento sobre subtotal]]-PROVEEDORES[[#This Row],[Descuento sobre subtotal $2]]-PROVEEDORES[[#This Row],[Rete Fuente $]]</f>
        <v>3400</v>
      </c>
      <c r="S8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63">
        <f ca="1">IF(PROVEEDORES[[#This Row],[FECHA DE PAGO]]=0,TODAY()-PROVEEDORES[[#This Row],[FECHA DE FACTURACIÓN]]-PROVEEDORES[[#This Row],[PLAZO Días]],0)</f>
        <v>0</v>
      </c>
      <c r="U88" s="87">
        <f>+VLOOKUP(PROVEEDORES[[#This Row],[PROVEEDOR]],Terceros!$A:$D,4,FALSE)</f>
        <v>0</v>
      </c>
      <c r="V88" s="88">
        <f>+YEAR(PROVEEDORES[[#This Row],[FECHA DE FACTURACIÓN]])</f>
        <v>2022</v>
      </c>
      <c r="W88" s="88">
        <f>+MATCH(PROVEEDORES[[#This Row],[año facturado]],Retenciones!$1:$1,0)</f>
        <v>5</v>
      </c>
      <c r="X88" s="89">
        <f>+VLOOKUP(PROVEEDORES[[#This Row],[ID RETENCION]],Retenciones!$A$1:$O$25,PROVEEDORES[[#This Row],[indicador de columna]],FALSE)</f>
        <v>0</v>
      </c>
      <c r="Y88" s="90">
        <f>+VLOOKUP(PROVEEDORES[[#This Row],[ID RETENCION]],Retenciones!$A$1:$O$25,2,FALSE)</f>
        <v>0</v>
      </c>
      <c r="Z88" s="116" t="b">
        <f>OR(COUNTIF(PROVEEDORES[[#This Row],[PROVEEDOR]],"*"&amp;'Palabra no opera'!$A$2&amp;"*"))</f>
        <v>0</v>
      </c>
      <c r="AA88" s="24"/>
      <c r="AB88" s="24"/>
      <c r="AC88" s="24"/>
      <c r="AD88" s="24"/>
      <c r="AE88" s="24"/>
    </row>
    <row r="89" spans="1:31" ht="22.35" customHeight="1" x14ac:dyDescent="0.3">
      <c r="A89" s="61" t="str">
        <f>+IF(PROVEEDORES[[#This Row],[FECHA DE PAGO]]=PROVEEDORES[[#This Row],[FECHA DE FACTURACIÓN]],"DE CONTADO","CRÉDITO")</f>
        <v>CRÉDITO</v>
      </c>
      <c r="B89" s="38" t="b">
        <f>+IF((PROVEEDORES[[#This Row],[FECHA DE PAGO]]-PROVEEDORES[[#This Row],[FECHA DE FACTURACIÓN]])&gt;PROVEEDORES[[#This Row],[PLAZO Días]],"PAGO VENCIDO")</f>
        <v>0</v>
      </c>
      <c r="C89" s="20">
        <f>+VLOOKUP(PROVEEDORES[[#This Row],[PROVEEDOR]],TERCEROS_INFO[#All],2,FALSE)</f>
        <v>30</v>
      </c>
      <c r="D89" s="25">
        <f>+SUMIFS(PROVEEDORES[Total],PROVEEDORES[PROVEEDOR],PROVEEDORES[[#This Row],[PROVEEDOR]],PROVEEDORES[FECHA DE PAGO],"")</f>
        <v>0</v>
      </c>
      <c r="E89" s="25"/>
      <c r="F8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9" s="68">
        <v>44602</v>
      </c>
      <c r="H89" s="26" t="s">
        <v>335</v>
      </c>
      <c r="I89" s="68">
        <v>44592</v>
      </c>
      <c r="J89" s="35" t="s">
        <v>456</v>
      </c>
      <c r="K89" s="21">
        <v>253315.8</v>
      </c>
      <c r="L89" s="21"/>
      <c r="M89" s="22">
        <f>(PROVEEDORES[[#This Row],[SUBTOTAL]]-PROVEEDORES[[#This Row],[descuento sobre subtotal]])*VLOOKUP(PROVEEDORES[[#This Row],[PROVEEDOR]],TERCEROS_INFO[#All],3,FALSE)</f>
        <v>0</v>
      </c>
      <c r="N89" s="23"/>
      <c r="O89" s="22">
        <f>+PROVEEDORES[[#This Row],[Descuento sobre subtotal %]]*(PROVEEDORES[[#This Row],[SUBTOTAL]]-PROVEEDORES[[#This Row],[descuento sobre subtotal]])</f>
        <v>0</v>
      </c>
      <c r="P89" s="74">
        <f>+IF(PROVEEDORES[[#This Row],[SUBTOTAL]]&lt;PROVEEDORES[[#This Row],[base retencion]],0,PROVEEDORES[[#This Row],[retención aplicada]])</f>
        <v>0</v>
      </c>
      <c r="Q89" s="22">
        <f>+PROVEEDORES[[#This Row],[Rete Fuente %]]*(PROVEEDORES[[#This Row],[SUBTOTAL]]-PROVEEDORES[[#This Row],[descuento sobre subtotal]])</f>
        <v>0</v>
      </c>
      <c r="R89" s="21">
        <f>+PROVEEDORES[[#This Row],[SUBTOTAL]]+PROVEEDORES[[#This Row],[IVA 19%]]-PROVEEDORES[[#This Row],[descuento sobre subtotal]]-PROVEEDORES[[#This Row],[Descuento sobre subtotal $2]]-PROVEEDORES[[#This Row],[Rete Fuente $]]</f>
        <v>253315.8</v>
      </c>
      <c r="S8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63">
        <f ca="1">IF(PROVEEDORES[[#This Row],[FECHA DE PAGO]]=0,TODAY()-PROVEEDORES[[#This Row],[FECHA DE FACTURACIÓN]]-PROVEEDORES[[#This Row],[PLAZO Días]],0)</f>
        <v>0</v>
      </c>
      <c r="U89" s="87">
        <f>+VLOOKUP(PROVEEDORES[[#This Row],[PROVEEDOR]],Terceros!$A:$D,4,FALSE)</f>
        <v>0</v>
      </c>
      <c r="V89" s="88">
        <f>+YEAR(PROVEEDORES[[#This Row],[FECHA DE FACTURACIÓN]])</f>
        <v>2022</v>
      </c>
      <c r="W89" s="88">
        <f>+MATCH(PROVEEDORES[[#This Row],[año facturado]],Retenciones!$1:$1,0)</f>
        <v>5</v>
      </c>
      <c r="X89" s="89">
        <f>+VLOOKUP(PROVEEDORES[[#This Row],[ID RETENCION]],Retenciones!$A$1:$O$25,PROVEEDORES[[#This Row],[indicador de columna]],FALSE)</f>
        <v>0</v>
      </c>
      <c r="Y89" s="90">
        <f>+VLOOKUP(PROVEEDORES[[#This Row],[ID RETENCION]],Retenciones!$A$1:$O$25,2,FALSE)</f>
        <v>0</v>
      </c>
      <c r="Z89" s="116" t="b">
        <f>OR(COUNTIF(PROVEEDORES[[#This Row],[PROVEEDOR]],"*"&amp;'Palabra no opera'!$A$2&amp;"*"))</f>
        <v>0</v>
      </c>
      <c r="AA89" s="24"/>
      <c r="AB89" s="24"/>
      <c r="AC89" s="24"/>
      <c r="AD89" s="24"/>
      <c r="AE89" s="24"/>
    </row>
    <row r="90" spans="1:31" ht="22.35" customHeight="1" x14ac:dyDescent="0.3">
      <c r="A90" s="61" t="str">
        <f>+IF(PROVEEDORES[[#This Row],[FECHA DE PAGO]]=PROVEEDORES[[#This Row],[FECHA DE FACTURACIÓN]],"DE CONTADO","CRÉDITO")</f>
        <v>CRÉDITO</v>
      </c>
      <c r="B90" s="38" t="b">
        <f>+IF((PROVEEDORES[[#This Row],[FECHA DE PAGO]]-PROVEEDORES[[#This Row],[FECHA DE FACTURACIÓN]])&gt;PROVEEDORES[[#This Row],[PLAZO Días]],"PAGO VENCIDO")</f>
        <v>0</v>
      </c>
      <c r="C90" s="20">
        <f>+VLOOKUP(PROVEEDORES[[#This Row],[PROVEEDOR]],TERCEROS_INFO[#All],2,FALSE)</f>
        <v>30</v>
      </c>
      <c r="D90" s="25">
        <f>+SUMIFS(PROVEEDORES[Total],PROVEEDORES[PROVEEDOR],PROVEEDORES[[#This Row],[PROVEEDOR]],PROVEEDORES[FECHA DE PAGO],"")</f>
        <v>0</v>
      </c>
      <c r="E90" s="25"/>
      <c r="F90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90" s="68">
        <v>44602</v>
      </c>
      <c r="H90" s="26" t="s">
        <v>227</v>
      </c>
      <c r="I90" s="68">
        <v>44593</v>
      </c>
      <c r="J90" s="35" t="s">
        <v>458</v>
      </c>
      <c r="K90" s="21">
        <v>3402</v>
      </c>
      <c r="L90" s="21"/>
      <c r="M90" s="22">
        <f>(PROVEEDORES[[#This Row],[SUBTOTAL]]-PROVEEDORES[[#This Row],[descuento sobre subtotal]])*VLOOKUP(PROVEEDORES[[#This Row],[PROVEEDOR]],TERCEROS_INFO[#All],3,FALSE)</f>
        <v>0</v>
      </c>
      <c r="N90" s="23"/>
      <c r="O90" s="22">
        <f>+PROVEEDORES[[#This Row],[Descuento sobre subtotal %]]*(PROVEEDORES[[#This Row],[SUBTOTAL]]-PROVEEDORES[[#This Row],[descuento sobre subtotal]])</f>
        <v>0</v>
      </c>
      <c r="P90" s="74">
        <f>+IF(PROVEEDORES[[#This Row],[SUBTOTAL]]&lt;PROVEEDORES[[#This Row],[base retencion]],0,PROVEEDORES[[#This Row],[retención aplicada]])</f>
        <v>0</v>
      </c>
      <c r="Q90" s="22">
        <f>+PROVEEDORES[[#This Row],[Rete Fuente %]]*(PROVEEDORES[[#This Row],[SUBTOTAL]]-PROVEEDORES[[#This Row],[descuento sobre subtotal]])</f>
        <v>0</v>
      </c>
      <c r="R90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9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63">
        <f ca="1">IF(PROVEEDORES[[#This Row],[FECHA DE PAGO]]=0,TODAY()-PROVEEDORES[[#This Row],[FECHA DE FACTURACIÓN]]-PROVEEDORES[[#This Row],[PLAZO Días]],0)</f>
        <v>0</v>
      </c>
      <c r="U90" s="87">
        <f>+VLOOKUP(PROVEEDORES[[#This Row],[PROVEEDOR]],Terceros!$A:$D,4,FALSE)</f>
        <v>0</v>
      </c>
      <c r="V90" s="88">
        <f>+YEAR(PROVEEDORES[[#This Row],[FECHA DE FACTURACIÓN]])</f>
        <v>2022</v>
      </c>
      <c r="W90" s="88">
        <f>+MATCH(PROVEEDORES[[#This Row],[año facturado]],Retenciones!$1:$1,0)</f>
        <v>5</v>
      </c>
      <c r="X90" s="89">
        <f>+VLOOKUP(PROVEEDORES[[#This Row],[ID RETENCION]],Retenciones!$A$1:$O$25,PROVEEDORES[[#This Row],[indicador de columna]],FALSE)</f>
        <v>0</v>
      </c>
      <c r="Y90" s="90">
        <f>+VLOOKUP(PROVEEDORES[[#This Row],[ID RETENCION]],Retenciones!$A$1:$O$25,2,FALSE)</f>
        <v>0</v>
      </c>
      <c r="Z90" s="116" t="b">
        <f>OR(COUNTIF(PROVEEDORES[[#This Row],[PROVEEDOR]],"*"&amp;'Palabra no opera'!$A$2&amp;"*"))</f>
        <v>0</v>
      </c>
      <c r="AA90" s="24"/>
      <c r="AB90" s="24"/>
      <c r="AC90" s="24"/>
      <c r="AD90" s="24"/>
      <c r="AE90" s="24"/>
    </row>
    <row r="91" spans="1:31" ht="22.35" customHeight="1" x14ac:dyDescent="0.3">
      <c r="A91" s="61" t="str">
        <f>+IF(PROVEEDORES[[#This Row],[FECHA DE PAGO]]=PROVEEDORES[[#This Row],[FECHA DE FACTURACIÓN]],"DE CONTADO","CRÉDITO")</f>
        <v>CRÉDITO</v>
      </c>
      <c r="B91" s="38" t="str">
        <f>+IF((PROVEEDORES[[#This Row],[FECHA DE PAGO]]-PROVEEDORES[[#This Row],[FECHA DE FACTURACIÓN]])&gt;PROVEEDORES[[#This Row],[PLAZO Días]],"PAGO VENCIDO")</f>
        <v>PAGO VENCIDO</v>
      </c>
      <c r="C91" s="20">
        <f>+VLOOKUP(PROVEEDORES[[#This Row],[PROVEEDOR]],TERCEROS_INFO[#All],2,FALSE)</f>
        <v>30</v>
      </c>
      <c r="D91" s="25">
        <f>+SUMIFS(PROVEEDORES[Total],PROVEEDORES[PROVEEDOR],PROVEEDORES[[#This Row],[PROVEEDOR]],PROVEEDORES[FECHA DE PAGO],"")</f>
        <v>18444236.894999996</v>
      </c>
      <c r="E91" s="25"/>
      <c r="F9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91" s="68">
        <v>44602</v>
      </c>
      <c r="H91" s="26" t="s">
        <v>11</v>
      </c>
      <c r="I91" s="68">
        <v>44567</v>
      </c>
      <c r="J91" s="35" t="s">
        <v>337</v>
      </c>
      <c r="K91" s="21">
        <v>2776134</v>
      </c>
      <c r="L91" s="21"/>
      <c r="M91" s="22">
        <v>527465.46</v>
      </c>
      <c r="N91" s="23"/>
      <c r="O91" s="22">
        <f>+PROVEEDORES[[#This Row],[Descuento sobre subtotal %]]*(PROVEEDORES[[#This Row],[SUBTOTAL]]-PROVEEDORES[[#This Row],[descuento sobre subtotal]])</f>
        <v>0</v>
      </c>
      <c r="P91" s="74">
        <f>+IF(PROVEEDORES[[#This Row],[SUBTOTAL]]&lt;PROVEEDORES[[#This Row],[base retencion]],0,PROVEEDORES[[#This Row],[retención aplicada]])</f>
        <v>2.5000000000000001E-2</v>
      </c>
      <c r="Q91" s="22">
        <f>+PROVEEDORES[[#This Row],[Rete Fuente %]]*(PROVEEDORES[[#This Row],[SUBTOTAL]]-PROVEEDORES[[#This Row],[descuento sobre subtotal]])</f>
        <v>69403.350000000006</v>
      </c>
      <c r="R91" s="21">
        <v>3234196.11</v>
      </c>
      <c r="S9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63">
        <f ca="1">IF(PROVEEDORES[[#This Row],[FECHA DE PAGO]]=0,TODAY()-PROVEEDORES[[#This Row],[FECHA DE FACTURACIÓN]]-PROVEEDORES[[#This Row],[PLAZO Días]],0)</f>
        <v>0</v>
      </c>
      <c r="U91" s="87" t="str">
        <f>+VLOOKUP(PROVEEDORES[[#This Row],[PROVEEDOR]],Terceros!$A:$D,4,FALSE)</f>
        <v>2,5% con base</v>
      </c>
      <c r="V91" s="88">
        <f>+YEAR(PROVEEDORES[[#This Row],[FECHA DE FACTURACIÓN]])</f>
        <v>2022</v>
      </c>
      <c r="W91" s="88">
        <f>+MATCH(PROVEEDORES[[#This Row],[año facturado]],Retenciones!$1:$1,0)</f>
        <v>5</v>
      </c>
      <c r="X91" s="89">
        <f>+VLOOKUP(PROVEEDORES[[#This Row],[ID RETENCION]],Retenciones!$A$1:$O$25,PROVEEDORES[[#This Row],[indicador de columna]],FALSE)</f>
        <v>1026000</v>
      </c>
      <c r="Y91" s="90">
        <f>+VLOOKUP(PROVEEDORES[[#This Row],[ID RETENCION]],Retenciones!$A$1:$O$25,2,FALSE)</f>
        <v>2.5000000000000001E-2</v>
      </c>
      <c r="Z91" s="117" t="b">
        <f>OR(COUNTIF(PROVEEDORES[[#This Row],[PROVEEDOR]],"*"&amp;'Palabra no opera'!$A$2&amp;"*"))</f>
        <v>0</v>
      </c>
      <c r="AA91" s="24"/>
      <c r="AB91" s="24"/>
      <c r="AC91" s="24"/>
      <c r="AD91" s="24"/>
      <c r="AE91" s="24"/>
    </row>
    <row r="92" spans="1:31" ht="22.35" customHeight="1" x14ac:dyDescent="0.3">
      <c r="A92" s="61" t="str">
        <f>+IF(PROVEEDORES[[#This Row],[FECHA DE PAGO]]=PROVEEDORES[[#This Row],[FECHA DE FACTURACIÓN]],"DE CONTADO","CRÉDITO")</f>
        <v>CRÉDITO</v>
      </c>
      <c r="B92" s="38" t="b">
        <f>+IF((PROVEEDORES[[#This Row],[FECHA DE PAGO]]-PROVEEDORES[[#This Row],[FECHA DE FACTURACIÓN]])&gt;PROVEEDORES[[#This Row],[PLAZO Días]],"PAGO VENCIDO")</f>
        <v>0</v>
      </c>
      <c r="C92" s="20">
        <f>+VLOOKUP(PROVEEDORES[[#This Row],[PROVEEDOR]],TERCEROS_INFO[#All],2,FALSE)</f>
        <v>13</v>
      </c>
      <c r="D92" s="25">
        <f>+SUMIFS(PROVEEDORES[Total],PROVEEDORES[PROVEEDOR],PROVEEDORES[[#This Row],[PROVEEDOR]],PROVEEDORES[FECHA DE PAGO],"")</f>
        <v>0</v>
      </c>
      <c r="E92" s="25"/>
      <c r="F92" s="56">
        <f>+VLOOKUP(PROVEEDORES[[#This Row],[PROVEEDOR]],
                       Terceros!$A:$F,
                       5,
                       FALSE)</f>
        <v>0</v>
      </c>
      <c r="G92" s="68">
        <v>44603</v>
      </c>
      <c r="H92" s="26" t="s">
        <v>644</v>
      </c>
      <c r="I92" s="68">
        <v>44593</v>
      </c>
      <c r="J92" s="35"/>
      <c r="K92" s="21">
        <v>945022</v>
      </c>
      <c r="L92" s="21"/>
      <c r="M92" s="22">
        <f>(PROVEEDORES[[#This Row],[SUBTOTAL]]-PROVEEDORES[[#This Row],[descuento sobre subtotal]])*VLOOKUP(PROVEEDORES[[#This Row],[PROVEEDOR]],TERCEROS_INFO[#All],3,FALSE)</f>
        <v>0</v>
      </c>
      <c r="N92" s="23"/>
      <c r="O92" s="22">
        <f>+PROVEEDORES[[#This Row],[Descuento sobre subtotal %]]*(PROVEEDORES[[#This Row],[SUBTOTAL]]-PROVEEDORES[[#This Row],[descuento sobre subtotal]])</f>
        <v>0</v>
      </c>
      <c r="P92" s="74">
        <f>+IF(PROVEEDORES[[#This Row],[SUBTOTAL]]&lt;PROVEEDORES[[#This Row],[base retencion]],0,PROVEEDORES[[#This Row],[retención aplicada]])</f>
        <v>0</v>
      </c>
      <c r="Q92" s="22">
        <f>+PROVEEDORES[[#This Row],[Rete Fuente %]]*(PROVEEDORES[[#This Row],[SUBTOTAL]]-PROVEEDORES[[#This Row],[descuento sobre subtotal]])</f>
        <v>0</v>
      </c>
      <c r="R92" s="21">
        <v>945022</v>
      </c>
      <c r="S9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63">
        <f ca="1">IF(PROVEEDORES[[#This Row],[FECHA DE PAGO]]=0,TODAY()-PROVEEDORES[[#This Row],[FECHA DE FACTURACIÓN]]-PROVEEDORES[[#This Row],[PLAZO Días]],0)</f>
        <v>0</v>
      </c>
      <c r="U92" s="87">
        <f>+VLOOKUP(PROVEEDORES[[#This Row],[PROVEEDOR]],Terceros!$A:$D,4,FALSE)</f>
        <v>0</v>
      </c>
      <c r="V92" s="88">
        <f>+YEAR(PROVEEDORES[[#This Row],[FECHA DE FACTURACIÓN]])</f>
        <v>2022</v>
      </c>
      <c r="W92" s="88">
        <f>+MATCH(PROVEEDORES[[#This Row],[año facturado]],Retenciones!$1:$1,0)</f>
        <v>5</v>
      </c>
      <c r="X92" s="89">
        <f>+VLOOKUP(PROVEEDORES[[#This Row],[ID RETENCION]],Retenciones!$A$1:$O$25,PROVEEDORES[[#This Row],[indicador de columna]],FALSE)</f>
        <v>0</v>
      </c>
      <c r="Y92" s="90">
        <f>+VLOOKUP(PROVEEDORES[[#This Row],[ID RETENCION]],Retenciones!$A$1:$O$25,2,FALSE)</f>
        <v>0</v>
      </c>
      <c r="Z92" s="116" t="b">
        <f>OR(COUNTIF(PROVEEDORES[[#This Row],[PROVEEDOR]],"*"&amp;'Palabra no opera'!$A$2&amp;"*"))</f>
        <v>1</v>
      </c>
      <c r="AA92" s="24"/>
      <c r="AB92" s="24"/>
      <c r="AC92" s="24"/>
      <c r="AD92" s="24"/>
      <c r="AE92" s="24"/>
    </row>
    <row r="93" spans="1:31" ht="22.35" customHeight="1" x14ac:dyDescent="0.3">
      <c r="A93" s="61" t="str">
        <f>+IF(PROVEEDORES[[#This Row],[FECHA DE PAGO]]=PROVEEDORES[[#This Row],[FECHA DE FACTURACIÓN]],"DE CONTADO","CRÉDITO")</f>
        <v>CRÉDITO</v>
      </c>
      <c r="B93" s="38" t="b">
        <f>+IF((PROVEEDORES[[#This Row],[FECHA DE PAGO]]-PROVEEDORES[[#This Row],[FECHA DE FACTURACIÓN]])&gt;PROVEEDORES[[#This Row],[PLAZO Días]],"PAGO VENCIDO")</f>
        <v>0</v>
      </c>
      <c r="C93" s="20">
        <f>+VLOOKUP(PROVEEDORES[[#This Row],[PROVEEDOR]],TERCEROS_INFO[#All],2,FALSE)</f>
        <v>30</v>
      </c>
      <c r="D93" s="25">
        <f>+SUMIFS(PROVEEDORES[Total],PROVEEDORES[PROVEEDOR],PROVEEDORES[[#This Row],[PROVEEDOR]],PROVEEDORES[FECHA DE PAGO],"")</f>
        <v>2100000</v>
      </c>
      <c r="E93" s="25"/>
      <c r="F93" s="56" t="str">
        <f>+VLOOKUP(PROVEEDORES[[#This Row],[PROVEEDOR]],
                       Terceros!$A:$F,
                       5,
                       FALSE)</f>
        <v/>
      </c>
      <c r="G93" s="68">
        <v>44606</v>
      </c>
      <c r="H93" s="26" t="s">
        <v>349</v>
      </c>
      <c r="I93" s="68">
        <v>44576</v>
      </c>
      <c r="J93" s="35" t="s">
        <v>894</v>
      </c>
      <c r="K93" s="21">
        <v>560000</v>
      </c>
      <c r="L93" s="21"/>
      <c r="M93" s="22">
        <f>(PROVEEDORES[[#This Row],[SUBTOTAL]]-PROVEEDORES[[#This Row],[descuento sobre subtotal]])*VLOOKUP(PROVEEDORES[[#This Row],[PROVEEDOR]],TERCEROS_INFO[#All],3,FALSE)</f>
        <v>0</v>
      </c>
      <c r="N93" s="23"/>
      <c r="O93" s="22">
        <f>+PROVEEDORES[[#This Row],[Descuento sobre subtotal %]]*(PROVEEDORES[[#This Row],[SUBTOTAL]]-PROVEEDORES[[#This Row],[descuento sobre subtotal]])</f>
        <v>0</v>
      </c>
      <c r="P93" s="74">
        <f>+IF(PROVEEDORES[[#This Row],[SUBTOTAL]]&lt;PROVEEDORES[[#This Row],[base retencion]],0,PROVEEDORES[[#This Row],[retención aplicada]])</f>
        <v>0</v>
      </c>
      <c r="Q93" s="22">
        <f>+PROVEEDORES[[#This Row],[Rete Fuente %]]*(PROVEEDORES[[#This Row],[SUBTOTAL]]-PROVEEDORES[[#This Row],[descuento sobre subtotal]])</f>
        <v>0</v>
      </c>
      <c r="R93" s="21">
        <v>560000</v>
      </c>
      <c r="S9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63">
        <f ca="1">IF(PROVEEDORES[[#This Row],[FECHA DE PAGO]]=0,TODAY()-PROVEEDORES[[#This Row],[FECHA DE FACTURACIÓN]]-PROVEEDORES[[#This Row],[PLAZO Días]],0)</f>
        <v>0</v>
      </c>
      <c r="U93" s="87">
        <f>+VLOOKUP(PROVEEDORES[[#This Row],[PROVEEDOR]],Terceros!$A:$D,4,FALSE)</f>
        <v>0</v>
      </c>
      <c r="V93" s="88">
        <f>+YEAR(PROVEEDORES[[#This Row],[FECHA DE FACTURACIÓN]])</f>
        <v>2022</v>
      </c>
      <c r="W93" s="88">
        <f>+MATCH(PROVEEDORES[[#This Row],[año facturado]],Retenciones!$1:$1,0)</f>
        <v>5</v>
      </c>
      <c r="X93" s="89">
        <f>+VLOOKUP(PROVEEDORES[[#This Row],[ID RETENCION]],Retenciones!$A$1:$O$25,PROVEEDORES[[#This Row],[indicador de columna]],FALSE)</f>
        <v>0</v>
      </c>
      <c r="Y93" s="90">
        <f>+VLOOKUP(PROVEEDORES[[#This Row],[ID RETENCION]],Retenciones!$A$1:$O$25,2,FALSE)</f>
        <v>0</v>
      </c>
      <c r="Z93" s="116" t="b">
        <f>OR(COUNTIF(PROVEEDORES[[#This Row],[PROVEEDOR]],"*"&amp;'Palabra no opera'!$A$2&amp;"*"))</f>
        <v>0</v>
      </c>
      <c r="AA93" s="24"/>
      <c r="AB93" s="24"/>
      <c r="AC93" s="24"/>
      <c r="AD93" s="24"/>
      <c r="AE93" s="24"/>
    </row>
    <row r="94" spans="1:31" ht="22.35" customHeight="1" x14ac:dyDescent="0.3">
      <c r="A94" s="61" t="str">
        <f>+IF(PROVEEDORES[[#This Row],[FECHA DE PAGO]]=PROVEEDORES[[#This Row],[FECHA DE FACTURACIÓN]],"DE CONTADO","CRÉDITO")</f>
        <v>CRÉDITO</v>
      </c>
      <c r="B94" s="38" t="b">
        <f>+IF((PROVEEDORES[[#This Row],[FECHA DE PAGO]]-PROVEEDORES[[#This Row],[FECHA DE FACTURACIÓN]])&gt;PROVEEDORES[[#This Row],[PLAZO Días]],"PAGO VENCIDO")</f>
        <v>0</v>
      </c>
      <c r="C94" s="20">
        <f>+VLOOKUP(PROVEEDORES[[#This Row],[PROVEEDOR]],TERCEROS_INFO[#All],2,FALSE)</f>
        <v>30</v>
      </c>
      <c r="D94" s="25">
        <f>+SUMIFS(PROVEEDORES[Total],PROVEEDORES[PROVEEDOR],PROVEEDORES[[#This Row],[PROVEEDOR]],PROVEEDORES[FECHA DE PAGO],"")</f>
        <v>2100000</v>
      </c>
      <c r="E94" s="25"/>
      <c r="F94" s="56" t="str">
        <f>+VLOOKUP(PROVEEDORES[[#This Row],[PROVEEDOR]],
                       Terceros!$A:$F,
                       5,
                       FALSE)</f>
        <v/>
      </c>
      <c r="G94" s="68">
        <v>44606</v>
      </c>
      <c r="H94" s="26" t="s">
        <v>349</v>
      </c>
      <c r="I94" s="68">
        <v>44576</v>
      </c>
      <c r="J94" s="35" t="s">
        <v>895</v>
      </c>
      <c r="K94" s="21">
        <v>1306000</v>
      </c>
      <c r="L94" s="21"/>
      <c r="M94" s="22">
        <f>(PROVEEDORES[[#This Row],[SUBTOTAL]]-PROVEEDORES[[#This Row],[descuento sobre subtotal]])*VLOOKUP(PROVEEDORES[[#This Row],[PROVEEDOR]],TERCEROS_INFO[#All],3,FALSE)</f>
        <v>0</v>
      </c>
      <c r="N94" s="23"/>
      <c r="O94" s="22">
        <f>+PROVEEDORES[[#This Row],[Descuento sobre subtotal %]]*(PROVEEDORES[[#This Row],[SUBTOTAL]]-PROVEEDORES[[#This Row],[descuento sobre subtotal]])</f>
        <v>0</v>
      </c>
      <c r="P94" s="74">
        <f>+IF(PROVEEDORES[[#This Row],[SUBTOTAL]]&lt;PROVEEDORES[[#This Row],[base retencion]],0,PROVEEDORES[[#This Row],[retención aplicada]])</f>
        <v>0</v>
      </c>
      <c r="Q94" s="22">
        <f>+PROVEEDORES[[#This Row],[Rete Fuente %]]*(PROVEEDORES[[#This Row],[SUBTOTAL]]-PROVEEDORES[[#This Row],[descuento sobre subtotal]])</f>
        <v>0</v>
      </c>
      <c r="R94" s="21">
        <v>1306000</v>
      </c>
      <c r="S9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63">
        <f ca="1">IF(PROVEEDORES[[#This Row],[FECHA DE PAGO]]=0,TODAY()-PROVEEDORES[[#This Row],[FECHA DE FACTURACIÓN]]-PROVEEDORES[[#This Row],[PLAZO Días]],0)</f>
        <v>0</v>
      </c>
      <c r="U94" s="87">
        <f>+VLOOKUP(PROVEEDORES[[#This Row],[PROVEEDOR]],Terceros!$A:$D,4,FALSE)</f>
        <v>0</v>
      </c>
      <c r="V94" s="88">
        <f>+YEAR(PROVEEDORES[[#This Row],[FECHA DE FACTURACIÓN]])</f>
        <v>2022</v>
      </c>
      <c r="W94" s="88">
        <f>+MATCH(PROVEEDORES[[#This Row],[año facturado]],Retenciones!$1:$1,0)</f>
        <v>5</v>
      </c>
      <c r="X94" s="89">
        <f>+VLOOKUP(PROVEEDORES[[#This Row],[ID RETENCION]],Retenciones!$A$1:$O$25,PROVEEDORES[[#This Row],[indicador de columna]],FALSE)</f>
        <v>0</v>
      </c>
      <c r="Y94" s="90">
        <f>+VLOOKUP(PROVEEDORES[[#This Row],[ID RETENCION]],Retenciones!$A$1:$O$25,2,FALSE)</f>
        <v>0</v>
      </c>
      <c r="Z94" s="116" t="b">
        <f>OR(COUNTIF(PROVEEDORES[[#This Row],[PROVEEDOR]],"*"&amp;'Palabra no opera'!$A$2&amp;"*"))</f>
        <v>0</v>
      </c>
      <c r="AA94" s="24"/>
      <c r="AB94" s="24"/>
      <c r="AC94" s="24"/>
      <c r="AD94" s="24"/>
      <c r="AE94" s="24"/>
    </row>
    <row r="95" spans="1:31" ht="22.35" customHeight="1" x14ac:dyDescent="0.3">
      <c r="A95" s="240" t="str">
        <f>+IF(PROVEEDORES[[#This Row],[FECHA DE PAGO]]=PROVEEDORES[[#This Row],[FECHA DE FACTURACIÓN]],"DE CONTADO","CRÉDITO")</f>
        <v>CRÉDITO</v>
      </c>
      <c r="B95" s="38" t="b">
        <f>+IF((PROVEEDORES[[#This Row],[FECHA DE PAGO]]-PROVEEDORES[[#This Row],[FECHA DE FACTURACIÓN]])&gt;PROVEEDORES[[#This Row],[PLAZO Días]],"PAGO VENCIDO")</f>
        <v>0</v>
      </c>
      <c r="C95" s="20">
        <f>+VLOOKUP(PROVEEDORES[[#This Row],[PROVEEDOR]],TERCEROS_INFO[#All],2,FALSE)</f>
        <v>30</v>
      </c>
      <c r="D95" s="25">
        <f>+SUMIFS(PROVEEDORES[Total],PROVEEDORES[PROVEEDOR],PROVEEDORES[[#This Row],[PROVEEDOR]],PROVEEDORES[FECHA DE PAGO],"")</f>
        <v>4282200</v>
      </c>
      <c r="E95" s="25"/>
      <c r="F95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5" s="68">
        <v>44607</v>
      </c>
      <c r="H95" s="26" t="s">
        <v>406</v>
      </c>
      <c r="I95" s="68">
        <v>44882</v>
      </c>
      <c r="J95" s="251" t="s">
        <v>1288</v>
      </c>
      <c r="K95" s="21">
        <v>340000</v>
      </c>
      <c r="L95" s="21"/>
      <c r="M95" s="22">
        <f>(PROVEEDORES[[#This Row],[SUBTOTAL]]-PROVEEDORES[[#This Row],[descuento sobre subtotal]])*VLOOKUP(PROVEEDORES[[#This Row],[PROVEEDOR]],TERCEROS_INFO[#All],3,FALSE)</f>
        <v>0</v>
      </c>
      <c r="N95" s="23"/>
      <c r="O95" s="22">
        <f>+PROVEEDORES[[#This Row],[Descuento sobre subtotal %]]*(PROVEEDORES[[#This Row],[SUBTOTAL]]-PROVEEDORES[[#This Row],[descuento sobre subtotal]])</f>
        <v>0</v>
      </c>
      <c r="P95" s="74">
        <f>+IF(PROVEEDORES[[#This Row],[SUBTOTAL]]&lt;PROVEEDORES[[#This Row],[base retencion]],0,PROVEEDORES[[#This Row],[retención aplicada]])</f>
        <v>0</v>
      </c>
      <c r="Q95" s="22">
        <f>+PROVEEDORES[[#This Row],[Rete Fuente %]]*(PROVEEDORES[[#This Row],[SUBTOTAL]]-PROVEEDORES[[#This Row],[descuento sobre subtotal]])</f>
        <v>0</v>
      </c>
      <c r="R95" s="21">
        <f>+PROVEEDORES[[#This Row],[SUBTOTAL]]+PROVEEDORES[[#This Row],[IVA 19%]]-PROVEEDORES[[#This Row],[descuento sobre subtotal]]-PROVEEDORES[[#This Row],[Descuento sobre subtotal $2]]-PROVEEDORES[[#This Row],[Rete Fuente $]]</f>
        <v>340000</v>
      </c>
      <c r="S95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63">
        <f ca="1">IF(PROVEEDORES[[#This Row],[FECHA DE PAGO]]=0,TODAY()-PROVEEDORES[[#This Row],[FECHA DE FACTURACIÓN]]-PROVEEDORES[[#This Row],[PLAZO Días]],0)</f>
        <v>0</v>
      </c>
      <c r="U95" s="104">
        <f>+VLOOKUP(PROVEEDORES[[#This Row],[PROVEEDOR]],Terceros!$A:$D,4,FALSE)</f>
        <v>0</v>
      </c>
      <c r="V95" s="105">
        <f>+YEAR(PROVEEDORES[[#This Row],[FECHA DE FACTURACIÓN]])</f>
        <v>2022</v>
      </c>
      <c r="W95" s="105">
        <f>+MATCH(PROVEEDORES[[#This Row],[año facturado]],Retenciones!$1:$1,0)</f>
        <v>5</v>
      </c>
      <c r="X95" s="106">
        <f>+VLOOKUP(PROVEEDORES[[#This Row],[ID RETENCION]],Retenciones!$A$1:$O$25,PROVEEDORES[[#This Row],[indicador de columna]],FALSE)</f>
        <v>0</v>
      </c>
      <c r="Y95" s="107">
        <f>+VLOOKUP(PROVEEDORES[[#This Row],[ID RETENCION]],Retenciones!$A$1:$O$25,2,FALSE)</f>
        <v>0</v>
      </c>
      <c r="Z95" s="116" t="b">
        <f>OR(COUNTIF(PROVEEDORES[[#This Row],[PROVEEDOR]],"*"&amp;'Palabra no opera'!$A$2&amp;"*"))</f>
        <v>0</v>
      </c>
      <c r="AA95" s="24"/>
      <c r="AB95" s="24"/>
      <c r="AC95" s="24"/>
      <c r="AD95" s="24"/>
      <c r="AE95" s="24"/>
    </row>
    <row r="96" spans="1:31" ht="22.35" customHeight="1" x14ac:dyDescent="0.3">
      <c r="A96" s="61" t="str">
        <f>+IF(PROVEEDORES[[#This Row],[FECHA DE PAGO]]=PROVEEDORES[[#This Row],[FECHA DE FACTURACIÓN]],"DE CONTADO","CRÉDITO")</f>
        <v>CRÉDITO</v>
      </c>
      <c r="B96" s="38" t="b">
        <f>+IF((PROVEEDORES[[#This Row],[FECHA DE PAGO]]-PROVEEDORES[[#This Row],[FECHA DE FACTURACIÓN]])&gt;PROVEEDORES[[#This Row],[PLAZO Días]],"PAGO VENCIDO")</f>
        <v>0</v>
      </c>
      <c r="C96" s="20">
        <f>+VLOOKUP(PROVEEDORES[[#This Row],[PROVEEDOR]],TERCEROS_INFO[#All],2,FALSE)</f>
        <v>30</v>
      </c>
      <c r="D96" s="25">
        <f>+SUMIFS(PROVEEDORES[Total],PROVEEDORES[PROVEEDOR],PROVEEDORES[[#This Row],[PROVEEDOR]],PROVEEDORES[FECHA DE PAGO],"")</f>
        <v>352505.48</v>
      </c>
      <c r="E96" s="25"/>
      <c r="F96" s="56" t="str">
        <f>+VLOOKUP(PROVEEDORES[[#This Row],[PROVEEDOR]],
                       Terceros!$A:$F,
                       5,
                       FALSE)</f>
        <v>facturacion@losmolinos.com.co</v>
      </c>
      <c r="G96" s="68">
        <v>44607</v>
      </c>
      <c r="H96" s="26" t="s">
        <v>650</v>
      </c>
      <c r="I96" s="68">
        <v>44593</v>
      </c>
      <c r="J96" s="35">
        <v>66158</v>
      </c>
      <c r="K96" s="21">
        <v>284467</v>
      </c>
      <c r="L96" s="21"/>
      <c r="M96" s="22">
        <f>(PROVEEDORES[[#This Row],[SUBTOTAL]]-PROVEEDORES[[#This Row],[descuento sobre subtotal]])*VLOOKUP(PROVEEDORES[[#This Row],[PROVEEDOR]],TERCEROS_INFO[#All],3,FALSE)</f>
        <v>0</v>
      </c>
      <c r="N96" s="23"/>
      <c r="O96" s="22">
        <f>+PROVEEDORES[[#This Row],[Descuento sobre subtotal %]]*(PROVEEDORES[[#This Row],[SUBTOTAL]]-PROVEEDORES[[#This Row],[descuento sobre subtotal]])</f>
        <v>0</v>
      </c>
      <c r="P96" s="74">
        <f>+IF(PROVEEDORES[[#This Row],[SUBTOTAL]]&lt;PROVEEDORES[[#This Row],[base retencion]],0,PROVEEDORES[[#This Row],[retención aplicada]])</f>
        <v>0</v>
      </c>
      <c r="Q96" s="22">
        <f>+PROVEEDORES[[#This Row],[Rete Fuente %]]*(PROVEEDORES[[#This Row],[SUBTOTAL]]-PROVEEDORES[[#This Row],[descuento sobre subtotal]])</f>
        <v>0</v>
      </c>
      <c r="R96" s="21">
        <v>284467</v>
      </c>
      <c r="S9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63">
        <f ca="1">IF(PROVEEDORES[[#This Row],[FECHA DE PAGO]]=0,TODAY()-PROVEEDORES[[#This Row],[FECHA DE FACTURACIÓN]]-PROVEEDORES[[#This Row],[PLAZO Días]],0)</f>
        <v>0</v>
      </c>
      <c r="U96" s="87">
        <f>+VLOOKUP(PROVEEDORES[[#This Row],[PROVEEDOR]],Terceros!$A:$D,4,FALSE)</f>
        <v>0</v>
      </c>
      <c r="V96" s="88">
        <f>+YEAR(PROVEEDORES[[#This Row],[FECHA DE FACTURACIÓN]])</f>
        <v>2022</v>
      </c>
      <c r="W96" s="88">
        <f>+MATCH(PROVEEDORES[[#This Row],[año facturado]],Retenciones!$1:$1,0)</f>
        <v>5</v>
      </c>
      <c r="X96" s="89">
        <f>+VLOOKUP(PROVEEDORES[[#This Row],[ID RETENCION]],Retenciones!$A$1:$O$25,PROVEEDORES[[#This Row],[indicador de columna]],FALSE)</f>
        <v>0</v>
      </c>
      <c r="Y96" s="90">
        <f>+VLOOKUP(PROVEEDORES[[#This Row],[ID RETENCION]],Retenciones!$A$1:$O$25,2,FALSE)</f>
        <v>0</v>
      </c>
      <c r="Z96" s="116" t="b">
        <f>OR(COUNTIF(PROVEEDORES[[#This Row],[PROVEEDOR]],"*"&amp;'Palabra no opera'!$A$2&amp;"*"))</f>
        <v>1</v>
      </c>
      <c r="AA96" s="24"/>
      <c r="AB96" s="24"/>
      <c r="AC96" s="24"/>
      <c r="AD96" s="24"/>
      <c r="AE96" s="24"/>
    </row>
    <row r="97" spans="1:31" ht="22.35" customHeight="1" x14ac:dyDescent="0.3">
      <c r="A97" s="61" t="str">
        <f>+IF(PROVEEDORES[[#This Row],[FECHA DE PAGO]]=PROVEEDORES[[#This Row],[FECHA DE FACTURACIÓN]],"DE CONTADO","CRÉDITO")</f>
        <v>CRÉDITO</v>
      </c>
      <c r="B97" s="38" t="b">
        <f>+IF((PROVEEDORES[[#This Row],[FECHA DE PAGO]]-PROVEEDORES[[#This Row],[FECHA DE FACTURACIÓN]])&gt;PROVEEDORES[[#This Row],[PLAZO Días]],"PAGO VENCIDO")</f>
        <v>0</v>
      </c>
      <c r="C97" s="20">
        <f>+VLOOKUP(PROVEEDORES[[#This Row],[PROVEEDOR]],TERCEROS_INFO[#All],2,FALSE)</f>
        <v>30</v>
      </c>
      <c r="D97" s="25">
        <f>+SUMIFS(PROVEEDORES[Total],PROVEEDORES[PROVEEDOR],PROVEEDORES[[#This Row],[PROVEEDOR]],PROVEEDORES[FECHA DE PAGO],"")</f>
        <v>0</v>
      </c>
      <c r="E97" s="25"/>
      <c r="F97" s="56">
        <f>+VLOOKUP(PROVEEDORES[[#This Row],[PROVEEDOR]],
                       Terceros!$A:$F,
                       5,
                       FALSE)</f>
        <v>0</v>
      </c>
      <c r="G97" s="68">
        <v>44607</v>
      </c>
      <c r="H97" s="26" t="s">
        <v>642</v>
      </c>
      <c r="I97" s="68">
        <v>44593</v>
      </c>
      <c r="J97" s="35" t="s">
        <v>217</v>
      </c>
      <c r="K97" s="21">
        <v>313385</v>
      </c>
      <c r="L97" s="21"/>
      <c r="M97" s="22">
        <f>(PROVEEDORES[[#This Row],[SUBTOTAL]]-PROVEEDORES[[#This Row],[descuento sobre subtotal]])*VLOOKUP(PROVEEDORES[[#This Row],[PROVEEDOR]],TERCEROS_INFO[#All],3,FALSE)</f>
        <v>0</v>
      </c>
      <c r="N97" s="23"/>
      <c r="O97" s="22">
        <f>+PROVEEDORES[[#This Row],[Descuento sobre subtotal %]]*(PROVEEDORES[[#This Row],[SUBTOTAL]]-PROVEEDORES[[#This Row],[descuento sobre subtotal]])</f>
        <v>0</v>
      </c>
      <c r="P97" s="74">
        <f>+IF(PROVEEDORES[[#This Row],[SUBTOTAL]]&lt;PROVEEDORES[[#This Row],[base retencion]],0,PROVEEDORES[[#This Row],[retención aplicada]])</f>
        <v>0</v>
      </c>
      <c r="Q97" s="22">
        <f>+PROVEEDORES[[#This Row],[Rete Fuente %]]*(PROVEEDORES[[#This Row],[SUBTOTAL]]-PROVEEDORES[[#This Row],[descuento sobre subtotal]])</f>
        <v>0</v>
      </c>
      <c r="R97" s="21">
        <v>313385</v>
      </c>
      <c r="S9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63">
        <f ca="1">IF(PROVEEDORES[[#This Row],[FECHA DE PAGO]]=0,TODAY()-PROVEEDORES[[#This Row],[FECHA DE FACTURACIÓN]]-PROVEEDORES[[#This Row],[PLAZO Días]],0)</f>
        <v>0</v>
      </c>
      <c r="U97" s="87">
        <f>+VLOOKUP(PROVEEDORES[[#This Row],[PROVEEDOR]],Terceros!$A:$D,4,FALSE)</f>
        <v>0</v>
      </c>
      <c r="V97" s="88">
        <f>+YEAR(PROVEEDORES[[#This Row],[FECHA DE FACTURACIÓN]])</f>
        <v>2022</v>
      </c>
      <c r="W97" s="88">
        <f>+MATCH(PROVEEDORES[[#This Row],[año facturado]],Retenciones!$1:$1,0)</f>
        <v>5</v>
      </c>
      <c r="X97" s="89">
        <f>+VLOOKUP(PROVEEDORES[[#This Row],[ID RETENCION]],Retenciones!$A$1:$O$25,PROVEEDORES[[#This Row],[indicador de columna]],FALSE)</f>
        <v>0</v>
      </c>
      <c r="Y97" s="90">
        <f>+VLOOKUP(PROVEEDORES[[#This Row],[ID RETENCION]],Retenciones!$A$1:$O$25,2,FALSE)</f>
        <v>0</v>
      </c>
      <c r="Z97" s="116" t="b">
        <f>OR(COUNTIF(PROVEEDORES[[#This Row],[PROVEEDOR]],"*"&amp;'Palabra no opera'!$A$2&amp;"*"))</f>
        <v>1</v>
      </c>
      <c r="AA97" s="24"/>
      <c r="AB97" s="24"/>
      <c r="AC97" s="24"/>
      <c r="AD97" s="24"/>
      <c r="AE97" s="24"/>
    </row>
    <row r="98" spans="1:31" ht="22.35" customHeight="1" x14ac:dyDescent="0.3">
      <c r="A98" s="61" t="str">
        <f>+IF(PROVEEDORES[[#This Row],[FECHA DE PAGO]]=PROVEEDORES[[#This Row],[FECHA DE FACTURACIÓN]],"DE CONTADO","CRÉDITO")</f>
        <v>CRÉDITO</v>
      </c>
      <c r="B98" s="38" t="b">
        <f>+IF((PROVEEDORES[[#This Row],[FECHA DE PAGO]]-PROVEEDORES[[#This Row],[FECHA DE FACTURACIÓN]])&gt;PROVEEDORES[[#This Row],[PLAZO Días]],"PAGO VENCIDO")</f>
        <v>0</v>
      </c>
      <c r="C98" s="20">
        <f>+VLOOKUP(PROVEEDORES[[#This Row],[PROVEEDOR]],TERCEROS_INFO[#All],2,FALSE)</f>
        <v>30</v>
      </c>
      <c r="D98" s="25">
        <f>+SUMIFS(PROVEEDORES[Total],PROVEEDORES[PROVEEDOR],PROVEEDORES[[#This Row],[PROVEEDOR]],PROVEEDORES[FECHA DE PAGO],"")</f>
        <v>0</v>
      </c>
      <c r="E98" s="25"/>
      <c r="F98" s="56" t="str">
        <f>+VLOOKUP(PROVEEDORES[[#This Row],[PROVEEDOR]],
                       Terceros!$A:$F,
                       5,
                       FALSE)</f>
        <v>PSE</v>
      </c>
      <c r="G98" s="68">
        <v>44607</v>
      </c>
      <c r="H98" s="26" t="s">
        <v>645</v>
      </c>
      <c r="I98" s="68">
        <v>44593</v>
      </c>
      <c r="J98" s="35"/>
      <c r="K98" s="21">
        <v>326243</v>
      </c>
      <c r="L98" s="21"/>
      <c r="M98" s="22">
        <f>(PROVEEDORES[[#This Row],[SUBTOTAL]]-PROVEEDORES[[#This Row],[descuento sobre subtotal]])*VLOOKUP(PROVEEDORES[[#This Row],[PROVEEDOR]],TERCEROS_INFO[#All],3,FALSE)</f>
        <v>0</v>
      </c>
      <c r="N98" s="23"/>
      <c r="O98" s="22">
        <f>+PROVEEDORES[[#This Row],[Descuento sobre subtotal %]]*(PROVEEDORES[[#This Row],[SUBTOTAL]]-PROVEEDORES[[#This Row],[descuento sobre subtotal]])</f>
        <v>0</v>
      </c>
      <c r="P98" s="74">
        <f>+IF(PROVEEDORES[[#This Row],[SUBTOTAL]]&lt;PROVEEDORES[[#This Row],[base retencion]],0,PROVEEDORES[[#This Row],[retención aplicada]])</f>
        <v>0</v>
      </c>
      <c r="Q98" s="22">
        <f>+PROVEEDORES[[#This Row],[Rete Fuente %]]*(PROVEEDORES[[#This Row],[SUBTOTAL]]-PROVEEDORES[[#This Row],[descuento sobre subtotal]])</f>
        <v>0</v>
      </c>
      <c r="R98" s="21">
        <v>326243</v>
      </c>
      <c r="S9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63">
        <f ca="1">IF(PROVEEDORES[[#This Row],[FECHA DE PAGO]]=0,TODAY()-PROVEEDORES[[#This Row],[FECHA DE FACTURACIÓN]]-PROVEEDORES[[#This Row],[PLAZO Días]],0)</f>
        <v>0</v>
      </c>
      <c r="U98" s="87">
        <f>+VLOOKUP(PROVEEDORES[[#This Row],[PROVEEDOR]],Terceros!$A:$D,4,FALSE)</f>
        <v>0</v>
      </c>
      <c r="V98" s="88">
        <f>+YEAR(PROVEEDORES[[#This Row],[FECHA DE FACTURACIÓN]])</f>
        <v>2022</v>
      </c>
      <c r="W98" s="88">
        <f>+MATCH(PROVEEDORES[[#This Row],[año facturado]],Retenciones!$1:$1,0)</f>
        <v>5</v>
      </c>
      <c r="X98" s="89">
        <f>+VLOOKUP(PROVEEDORES[[#This Row],[ID RETENCION]],Retenciones!$A$1:$O$25,PROVEEDORES[[#This Row],[indicador de columna]],FALSE)</f>
        <v>0</v>
      </c>
      <c r="Y98" s="90">
        <f>+VLOOKUP(PROVEEDORES[[#This Row],[ID RETENCION]],Retenciones!$A$1:$O$25,2,FALSE)</f>
        <v>0</v>
      </c>
      <c r="Z98" s="116" t="b">
        <f>OR(COUNTIF(PROVEEDORES[[#This Row],[PROVEEDOR]],"*"&amp;'Palabra no opera'!$A$2&amp;"*"))</f>
        <v>1</v>
      </c>
      <c r="AA98" s="24"/>
      <c r="AB98" s="24"/>
      <c r="AC98" s="24"/>
      <c r="AD98" s="24"/>
      <c r="AE98" s="24"/>
    </row>
    <row r="99" spans="1:31" ht="22.35" customHeight="1" x14ac:dyDescent="0.3">
      <c r="A99" s="61" t="str">
        <f>+IF(PROVEEDORES[[#This Row],[FECHA DE PAGO]]=PROVEEDORES[[#This Row],[FECHA DE FACTURACIÓN]],"DE CONTADO","CRÉDITO")</f>
        <v>CRÉDITO</v>
      </c>
      <c r="B99" s="38" t="b">
        <f>+IF((PROVEEDORES[[#This Row],[FECHA DE PAGO]]-PROVEEDORES[[#This Row],[FECHA DE FACTURACIÓN]])&gt;PROVEEDORES[[#This Row],[PLAZO Días]],"PAGO VENCIDO")</f>
        <v>0</v>
      </c>
      <c r="C99" s="20">
        <f>+VLOOKUP(PROVEEDORES[[#This Row],[PROVEEDOR]],TERCEROS_INFO[#All],2,FALSE)</f>
        <v>30</v>
      </c>
      <c r="D99" s="25">
        <f>+SUMIFS(PROVEEDORES[Total],PROVEEDORES[PROVEEDOR],PROVEEDORES[[#This Row],[PROVEEDOR]],PROVEEDORES[FECHA DE PAGO],"")</f>
        <v>0</v>
      </c>
      <c r="E99" s="25"/>
      <c r="F99" s="56" t="str">
        <f>+VLOOKUP(PROVEEDORES[[#This Row],[PROVEEDOR]],
                       Terceros!$A:$F,
                       5,
                       FALSE)</f>
        <v/>
      </c>
      <c r="G99" s="68">
        <v>44608</v>
      </c>
      <c r="H99" s="26" t="s">
        <v>356</v>
      </c>
      <c r="I99" s="68">
        <v>44607</v>
      </c>
      <c r="J99" s="35" t="s">
        <v>357</v>
      </c>
      <c r="K99" s="21">
        <v>5363000</v>
      </c>
      <c r="L99" s="21"/>
      <c r="M99" s="22">
        <f>(PROVEEDORES[[#This Row],[SUBTOTAL]]-PROVEEDORES[[#This Row],[descuento sobre subtotal]])*VLOOKUP(PROVEEDORES[[#This Row],[PROVEEDOR]],TERCEROS_INFO[#All],3,FALSE)</f>
        <v>0</v>
      </c>
      <c r="N99" s="23"/>
      <c r="O99" s="22">
        <f>+PROVEEDORES[[#This Row],[Descuento sobre subtotal %]]*(PROVEEDORES[[#This Row],[SUBTOTAL]]-PROVEEDORES[[#This Row],[descuento sobre subtotal]])</f>
        <v>0</v>
      </c>
      <c r="P99" s="74">
        <f>+IF(PROVEEDORES[[#This Row],[SUBTOTAL]]&lt;PROVEEDORES[[#This Row],[base retencion]],0,PROVEEDORES[[#This Row],[retención aplicada]])</f>
        <v>0</v>
      </c>
      <c r="Q99" s="22">
        <f>+PROVEEDORES[[#This Row],[Rete Fuente %]]*(PROVEEDORES[[#This Row],[SUBTOTAL]]-PROVEEDORES[[#This Row],[descuento sobre subtotal]])</f>
        <v>0</v>
      </c>
      <c r="R99" s="21">
        <v>5363000</v>
      </c>
      <c r="S9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63">
        <f ca="1">IF(PROVEEDORES[[#This Row],[FECHA DE PAGO]]=0,TODAY()-PROVEEDORES[[#This Row],[FECHA DE FACTURACIÓN]]-PROVEEDORES[[#This Row],[PLAZO Días]],0)</f>
        <v>0</v>
      </c>
      <c r="U99" s="87">
        <f>+VLOOKUP(PROVEEDORES[[#This Row],[PROVEEDOR]],Terceros!$A:$D,4,FALSE)</f>
        <v>0</v>
      </c>
      <c r="V99" s="88">
        <f>+YEAR(PROVEEDORES[[#This Row],[FECHA DE FACTURACIÓN]])</f>
        <v>2022</v>
      </c>
      <c r="W99" s="88">
        <f>+MATCH(PROVEEDORES[[#This Row],[año facturado]],Retenciones!$1:$1,0)</f>
        <v>5</v>
      </c>
      <c r="X99" s="89">
        <f>+VLOOKUP(PROVEEDORES[[#This Row],[ID RETENCION]],Retenciones!$A$1:$O$25,PROVEEDORES[[#This Row],[indicador de columna]],FALSE)</f>
        <v>0</v>
      </c>
      <c r="Y99" s="90">
        <f>+VLOOKUP(PROVEEDORES[[#This Row],[ID RETENCION]],Retenciones!$A$1:$O$25,2,FALSE)</f>
        <v>0</v>
      </c>
      <c r="Z99" s="116" t="b">
        <f>OR(COUNTIF(PROVEEDORES[[#This Row],[PROVEEDOR]],"*"&amp;'Palabra no opera'!$A$2&amp;"*"))</f>
        <v>0</v>
      </c>
      <c r="AA99" s="24"/>
      <c r="AB99" s="24"/>
      <c r="AC99" s="24"/>
      <c r="AD99" s="24"/>
      <c r="AE99" s="24"/>
    </row>
    <row r="100" spans="1:31" ht="22.35" customHeight="1" x14ac:dyDescent="0.3">
      <c r="A100" s="61" t="str">
        <f>+IF(PROVEEDORES[[#This Row],[FECHA DE PAGO]]=PROVEEDORES[[#This Row],[FECHA DE FACTURACIÓN]],"DE CONTADO","CRÉDITO")</f>
        <v>CRÉDITO</v>
      </c>
      <c r="B100" s="38" t="str">
        <f>+IF((PROVEEDORES[[#This Row],[FECHA DE PAGO]]-PROVEEDORES[[#This Row],[FECHA DE FACTURACIÓN]])&gt;PROVEEDORES[[#This Row],[PLAZO Días]],"PAGO VENCIDO")</f>
        <v>PAGO VENCIDO</v>
      </c>
      <c r="C100" s="20">
        <f>+VLOOKUP(PROVEEDORES[[#This Row],[PROVEEDOR]],TERCEROS_INFO[#All],2,FALSE)</f>
        <v>30</v>
      </c>
      <c r="D100" s="25">
        <f>+SUMIFS(PROVEEDORES[Total],PROVEEDORES[PROVEEDOR],PROVEEDORES[[#This Row],[PROVEEDOR]],PROVEEDORES[FECHA DE PAGO],"")</f>
        <v>0</v>
      </c>
      <c r="E100" s="25"/>
      <c r="F100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00" s="68">
        <v>44608</v>
      </c>
      <c r="H100" s="26" t="s">
        <v>967</v>
      </c>
      <c r="I100" s="68">
        <v>44567</v>
      </c>
      <c r="J100" s="35" t="s">
        <v>322</v>
      </c>
      <c r="K100" s="21">
        <v>-37730</v>
      </c>
      <c r="L100" s="21"/>
      <c r="M100" s="22">
        <f>(PROVEEDORES[[#This Row],[SUBTOTAL]]-PROVEEDORES[[#This Row],[descuento sobre subtotal]])*VLOOKUP(PROVEEDORES[[#This Row],[PROVEEDOR]],TERCEROS_INFO[#All],3,FALSE)</f>
        <v>0</v>
      </c>
      <c r="N100" s="23"/>
      <c r="O100" s="22">
        <f>+PROVEEDORES[[#This Row],[Descuento sobre subtotal %]]*(PROVEEDORES[[#This Row],[SUBTOTAL]]-PROVEEDORES[[#This Row],[descuento sobre subtotal]])</f>
        <v>0</v>
      </c>
      <c r="P100" s="74">
        <f>+IF(PROVEEDORES[[#This Row],[SUBTOTAL]]&lt;PROVEEDORES[[#This Row],[base retencion]],0,PROVEEDORES[[#This Row],[retención aplicada]])</f>
        <v>0</v>
      </c>
      <c r="Q100" s="22">
        <f>+PROVEEDORES[[#This Row],[Rete Fuente %]]*(PROVEEDORES[[#This Row],[SUBTOTAL]]-PROVEEDORES[[#This Row],[descuento sobre subtotal]])</f>
        <v>0</v>
      </c>
      <c r="R100" s="21">
        <v>-37730</v>
      </c>
      <c r="S10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63">
        <f ca="1">IF(PROVEEDORES[[#This Row],[FECHA DE PAGO]]=0,TODAY()-PROVEEDORES[[#This Row],[FECHA DE FACTURACIÓN]]-PROVEEDORES[[#This Row],[PLAZO Días]],0)</f>
        <v>0</v>
      </c>
      <c r="U100" s="87" t="str">
        <f>+VLOOKUP(PROVEEDORES[[#This Row],[PROVEEDOR]],Terceros!$A:$D,4,FALSE)</f>
        <v>1% con base</v>
      </c>
      <c r="V100" s="88">
        <f>+YEAR(PROVEEDORES[[#This Row],[FECHA DE FACTURACIÓN]])</f>
        <v>2022</v>
      </c>
      <c r="W100" s="88">
        <f>+MATCH(PROVEEDORES[[#This Row],[año facturado]],Retenciones!$1:$1,0)</f>
        <v>5</v>
      </c>
      <c r="X100" s="89">
        <f>+VLOOKUP(PROVEEDORES[[#This Row],[ID RETENCION]],Retenciones!$A$1:$O$25,PROVEEDORES[[#This Row],[indicador de columna]],FALSE)</f>
        <v>152000</v>
      </c>
      <c r="Y100" s="90">
        <f>+VLOOKUP(PROVEEDORES[[#This Row],[ID RETENCION]],Retenciones!$A$1:$O$25,2,FALSE)</f>
        <v>0.01</v>
      </c>
      <c r="Z100" s="116" t="b">
        <f>OR(COUNTIF(PROVEEDORES[[#This Row],[PROVEEDOR]],"*"&amp;'Palabra no opera'!$A$2&amp;"*"))</f>
        <v>0</v>
      </c>
      <c r="AA100" s="24"/>
      <c r="AB100" s="24"/>
      <c r="AC100" s="24"/>
      <c r="AD100" s="24"/>
      <c r="AE100" s="24"/>
    </row>
    <row r="101" spans="1:31" ht="22.35" customHeight="1" x14ac:dyDescent="0.3">
      <c r="A101" s="61" t="str">
        <f>+IF(PROVEEDORES[[#This Row],[FECHA DE PAGO]]=PROVEEDORES[[#This Row],[FECHA DE FACTURACIÓN]],"DE CONTADO","CRÉDITO")</f>
        <v>CRÉDITO</v>
      </c>
      <c r="B101" s="38" t="b">
        <f>+IF((PROVEEDORES[[#This Row],[FECHA DE PAGO]]-PROVEEDORES[[#This Row],[FECHA DE FACTURACIÓN]])&gt;PROVEEDORES[[#This Row],[PLAZO Días]],"PAGO VENCIDO")</f>
        <v>0</v>
      </c>
      <c r="C101" s="20">
        <f>+VLOOKUP(PROVEEDORES[[#This Row],[PROVEEDOR]],TERCEROS_INFO[#All],2,FALSE)</f>
        <v>30</v>
      </c>
      <c r="D101" s="25">
        <f>+SUMIFS(PROVEEDORES[Total],PROVEEDORES[PROVEEDOR],PROVEEDORES[[#This Row],[PROVEEDOR]],PROVEEDORES[FECHA DE PAGO],"")</f>
        <v>0</v>
      </c>
      <c r="E101" s="25"/>
      <c r="F101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01" s="68">
        <v>44608</v>
      </c>
      <c r="H101" s="26" t="s">
        <v>967</v>
      </c>
      <c r="I101" s="68">
        <v>44601</v>
      </c>
      <c r="J101" s="35">
        <v>201</v>
      </c>
      <c r="K101" s="21">
        <v>420000</v>
      </c>
      <c r="L101" s="21"/>
      <c r="M101" s="22">
        <f>(PROVEEDORES[[#This Row],[SUBTOTAL]]-PROVEEDORES[[#This Row],[descuento sobre subtotal]])*VLOOKUP(PROVEEDORES[[#This Row],[PROVEEDOR]],TERCEROS_INFO[#All],3,FALSE)</f>
        <v>0</v>
      </c>
      <c r="N101" s="23"/>
      <c r="O101" s="22">
        <f>+PROVEEDORES[[#This Row],[Descuento sobre subtotal %]]*(PROVEEDORES[[#This Row],[SUBTOTAL]]-PROVEEDORES[[#This Row],[descuento sobre subtotal]])</f>
        <v>0</v>
      </c>
      <c r="P101" s="74">
        <f>+IF(PROVEEDORES[[#This Row],[SUBTOTAL]]&lt;PROVEEDORES[[#This Row],[base retencion]],0,PROVEEDORES[[#This Row],[retención aplicada]])</f>
        <v>0.01</v>
      </c>
      <c r="Q101" s="22">
        <f>+PROVEEDORES[[#This Row],[Rete Fuente %]]*(PROVEEDORES[[#This Row],[SUBTOTAL]]-PROVEEDORES[[#This Row],[descuento sobre subtotal]])</f>
        <v>4200</v>
      </c>
      <c r="R101" s="21">
        <v>415800</v>
      </c>
      <c r="S10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63">
        <f ca="1">IF(PROVEEDORES[[#This Row],[FECHA DE PAGO]]=0,TODAY()-PROVEEDORES[[#This Row],[FECHA DE FACTURACIÓN]]-PROVEEDORES[[#This Row],[PLAZO Días]],0)</f>
        <v>0</v>
      </c>
      <c r="U101" s="87" t="str">
        <f>+VLOOKUP(PROVEEDORES[[#This Row],[PROVEEDOR]],Terceros!$A:$D,4,FALSE)</f>
        <v>1% con base</v>
      </c>
      <c r="V101" s="88">
        <f>+YEAR(PROVEEDORES[[#This Row],[FECHA DE FACTURACIÓN]])</f>
        <v>2022</v>
      </c>
      <c r="W101" s="88">
        <f>+MATCH(PROVEEDORES[[#This Row],[año facturado]],Retenciones!$1:$1,0)</f>
        <v>5</v>
      </c>
      <c r="X101" s="89">
        <f>+VLOOKUP(PROVEEDORES[[#This Row],[ID RETENCION]],Retenciones!$A$1:$O$25,PROVEEDORES[[#This Row],[indicador de columna]],FALSE)</f>
        <v>152000</v>
      </c>
      <c r="Y101" s="90">
        <f>+VLOOKUP(PROVEEDORES[[#This Row],[ID RETENCION]],Retenciones!$A$1:$O$25,2,FALSE)</f>
        <v>0.01</v>
      </c>
      <c r="Z101" s="116" t="b">
        <f>OR(COUNTIF(PROVEEDORES[[#This Row],[PROVEEDOR]],"*"&amp;'Palabra no opera'!$A$2&amp;"*"))</f>
        <v>0</v>
      </c>
      <c r="AA101" s="24"/>
      <c r="AB101" s="24"/>
      <c r="AC101" s="24"/>
      <c r="AD101" s="24"/>
      <c r="AE101" s="24"/>
    </row>
    <row r="102" spans="1:31" ht="22.35" customHeight="1" x14ac:dyDescent="0.3">
      <c r="A102" s="61" t="str">
        <f>+IF(PROVEEDORES[[#This Row],[FECHA DE PAGO]]=PROVEEDORES[[#This Row],[FECHA DE FACTURACIÓN]],"DE CONTADO","CRÉDITO")</f>
        <v>CRÉDITO</v>
      </c>
      <c r="B102" s="38" t="str">
        <f>+IF((PROVEEDORES[[#This Row],[FECHA DE PAGO]]-PROVEEDORES[[#This Row],[FECHA DE FACTURACIÓN]])&gt;PROVEEDORES[[#This Row],[PLAZO Días]],"PAGO VENCIDO")</f>
        <v>PAGO VENCIDO</v>
      </c>
      <c r="C102" s="20">
        <f>+VLOOKUP(PROVEEDORES[[#This Row],[PROVEEDOR]],TERCEROS_INFO[#All],2,FALSE)</f>
        <v>45</v>
      </c>
      <c r="D102" s="25">
        <f>+SUMIFS(PROVEEDORES[Total],PROVEEDORES[PROVEEDOR],PROVEEDORES[[#This Row],[PROVEEDOR]],PROVEEDORES[FECHA DE PAGO],"")</f>
        <v>15770594</v>
      </c>
      <c r="E102" s="25"/>
      <c r="F102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02" s="68">
        <v>44608</v>
      </c>
      <c r="H102" s="26" t="s">
        <v>19</v>
      </c>
      <c r="I102" s="68">
        <v>44551</v>
      </c>
      <c r="J102" s="35" t="s">
        <v>307</v>
      </c>
      <c r="K102" s="21">
        <v>10867200</v>
      </c>
      <c r="L102" s="21"/>
      <c r="M102" s="22">
        <f>(PROVEEDORES[[#This Row],[SUBTOTAL]]-PROVEEDORES[[#This Row],[descuento sobre subtotal]])*VLOOKUP(PROVEEDORES[[#This Row],[PROVEEDOR]],TERCEROS_INFO[#All],3,FALSE)</f>
        <v>2064768</v>
      </c>
      <c r="N102" s="23"/>
      <c r="O102" s="22">
        <f>+PROVEEDORES[[#This Row],[Descuento sobre subtotal %]]*(PROVEEDORES[[#This Row],[SUBTOTAL]]-PROVEEDORES[[#This Row],[descuento sobre subtotal]])</f>
        <v>0</v>
      </c>
      <c r="P102" s="74">
        <f>+IF(PROVEEDORES[[#This Row],[SUBTOTAL]]&lt;PROVEEDORES[[#This Row],[base retencion]],0,PROVEEDORES[[#This Row],[retención aplicada]])</f>
        <v>0</v>
      </c>
      <c r="Q102" s="22">
        <f>+PROVEEDORES[[#This Row],[Rete Fuente %]]*(PROVEEDORES[[#This Row],[SUBTOTAL]]-PROVEEDORES[[#This Row],[descuento sobre subtotal]])</f>
        <v>0</v>
      </c>
      <c r="R102" s="21">
        <v>12931968</v>
      </c>
      <c r="S10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63">
        <f ca="1">IF(PROVEEDORES[[#This Row],[FECHA DE PAGO]]=0,TODAY()-PROVEEDORES[[#This Row],[FECHA DE FACTURACIÓN]]-PROVEEDORES[[#This Row],[PLAZO Días]],0)</f>
        <v>0</v>
      </c>
      <c r="U102" s="87">
        <f>+VLOOKUP(PROVEEDORES[[#This Row],[PROVEEDOR]],Terceros!$A:$D,4,FALSE)</f>
        <v>0</v>
      </c>
      <c r="V102" s="88">
        <f>+YEAR(PROVEEDORES[[#This Row],[FECHA DE FACTURACIÓN]])</f>
        <v>2021</v>
      </c>
      <c r="W102" s="88">
        <f>+MATCH(PROVEEDORES[[#This Row],[año facturado]],Retenciones!$1:$1,0)</f>
        <v>4</v>
      </c>
      <c r="X102" s="89">
        <f>+VLOOKUP(PROVEEDORES[[#This Row],[ID RETENCION]],Retenciones!$A$1:$O$25,PROVEEDORES[[#This Row],[indicador de columna]],FALSE)</f>
        <v>0</v>
      </c>
      <c r="Y102" s="90">
        <f>+VLOOKUP(PROVEEDORES[[#This Row],[ID RETENCION]],Retenciones!$A$1:$O$25,2,FALSE)</f>
        <v>0</v>
      </c>
      <c r="Z102" s="116" t="b">
        <f>OR(COUNTIF(PROVEEDORES[[#This Row],[PROVEEDOR]],"*"&amp;'Palabra no opera'!$A$2&amp;"*"))</f>
        <v>0</v>
      </c>
      <c r="AA102" s="24"/>
      <c r="AB102" s="24"/>
      <c r="AC102" s="24"/>
      <c r="AD102" s="24"/>
      <c r="AE102" s="24"/>
    </row>
    <row r="103" spans="1:31" ht="22.35" customHeight="1" x14ac:dyDescent="0.3">
      <c r="A103" s="61" t="str">
        <f>+IF(PROVEEDORES[[#This Row],[FECHA DE PAGO]]=PROVEEDORES[[#This Row],[FECHA DE FACTURACIÓN]],"DE CONTADO","CRÉDITO")</f>
        <v>CRÉDITO</v>
      </c>
      <c r="B103" s="38" t="b">
        <f>+IF((PROVEEDORES[[#This Row],[FECHA DE PAGO]]-PROVEEDORES[[#This Row],[FECHA DE FACTURACIÓN]])&gt;PROVEEDORES[[#This Row],[PLAZO Días]],"PAGO VENCIDO")</f>
        <v>0</v>
      </c>
      <c r="C103" s="20">
        <f>+VLOOKUP(PROVEEDORES[[#This Row],[PROVEEDOR]],TERCEROS_INFO[#All],2,FALSE)</f>
        <v>30</v>
      </c>
      <c r="D103" s="25">
        <f>+SUMIFS(PROVEEDORES[Total],PROVEEDORES[PROVEEDOR],PROVEEDORES[[#This Row],[PROVEEDOR]],PROVEEDORES[FECHA DE PAGO],"")</f>
        <v>0</v>
      </c>
      <c r="E103" s="25"/>
      <c r="F103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03" s="68">
        <v>44609</v>
      </c>
      <c r="H103" s="26" t="s">
        <v>966</v>
      </c>
      <c r="I103" s="68">
        <v>44600</v>
      </c>
      <c r="J103" s="35">
        <v>329</v>
      </c>
      <c r="K103" s="21">
        <v>420000</v>
      </c>
      <c r="L103" s="21"/>
      <c r="M103" s="22">
        <f>(PROVEEDORES[[#This Row],[SUBTOTAL]]-PROVEEDORES[[#This Row],[descuento sobre subtotal]])*VLOOKUP(PROVEEDORES[[#This Row],[PROVEEDOR]],TERCEROS_INFO[#All],3,FALSE)</f>
        <v>0</v>
      </c>
      <c r="N103" s="23"/>
      <c r="O103" s="22">
        <f>+PROVEEDORES[[#This Row],[Descuento sobre subtotal %]]*(PROVEEDORES[[#This Row],[SUBTOTAL]]-PROVEEDORES[[#This Row],[descuento sobre subtotal]])</f>
        <v>0</v>
      </c>
      <c r="P103" s="74">
        <f>+IF(PROVEEDORES[[#This Row],[SUBTOTAL]]&lt;PROVEEDORES[[#This Row],[base retencion]],0,PROVEEDORES[[#This Row],[retención aplicada]])</f>
        <v>0</v>
      </c>
      <c r="Q103" s="22">
        <f>+PROVEEDORES[[#This Row],[Rete Fuente %]]*(PROVEEDORES[[#This Row],[SUBTOTAL]]-PROVEEDORES[[#This Row],[descuento sobre subtotal]])</f>
        <v>0</v>
      </c>
      <c r="R103" s="21">
        <v>420000</v>
      </c>
      <c r="S10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63">
        <f ca="1">IF(PROVEEDORES[[#This Row],[FECHA DE PAGO]]=0,TODAY()-PROVEEDORES[[#This Row],[FECHA DE FACTURACIÓN]]-PROVEEDORES[[#This Row],[PLAZO Días]],0)</f>
        <v>0</v>
      </c>
      <c r="U103" s="87">
        <f>+VLOOKUP(PROVEEDORES[[#This Row],[PROVEEDOR]],Terceros!$A:$D,4,FALSE)</f>
        <v>0</v>
      </c>
      <c r="V103" s="88">
        <f>+YEAR(PROVEEDORES[[#This Row],[FECHA DE FACTURACIÓN]])</f>
        <v>2022</v>
      </c>
      <c r="W103" s="88">
        <f>+MATCH(PROVEEDORES[[#This Row],[año facturado]],Retenciones!$1:$1,0)</f>
        <v>5</v>
      </c>
      <c r="X103" s="89">
        <f>+VLOOKUP(PROVEEDORES[[#This Row],[ID RETENCION]],Retenciones!$A$1:$O$25,PROVEEDORES[[#This Row],[indicador de columna]],FALSE)</f>
        <v>0</v>
      </c>
      <c r="Y103" s="90">
        <f>+VLOOKUP(PROVEEDORES[[#This Row],[ID RETENCION]],Retenciones!$A$1:$O$25,2,FALSE)</f>
        <v>0</v>
      </c>
      <c r="Z103" s="116" t="b">
        <f>OR(COUNTIF(PROVEEDORES[[#This Row],[PROVEEDOR]],"*"&amp;'Palabra no opera'!$A$2&amp;"*"))</f>
        <v>0</v>
      </c>
      <c r="AA103" s="24"/>
      <c r="AB103" s="24"/>
      <c r="AC103" s="24"/>
      <c r="AD103" s="24"/>
      <c r="AE103" s="24"/>
    </row>
    <row r="104" spans="1:31" ht="22.35" customHeight="1" x14ac:dyDescent="0.3">
      <c r="A104" s="61" t="str">
        <f>+IF(PROVEEDORES[[#This Row],[FECHA DE PAGO]]=PROVEEDORES[[#This Row],[FECHA DE FACTURACIÓN]],"DE CONTADO","CRÉDITO")</f>
        <v>DE CONTADO</v>
      </c>
      <c r="B104" s="38" t="b">
        <f>+IF((PROVEEDORES[[#This Row],[FECHA DE PAGO]]-PROVEEDORES[[#This Row],[FECHA DE FACTURACIÓN]])&gt;PROVEEDORES[[#This Row],[PLAZO Días]],"PAGO VENCIDO")</f>
        <v>0</v>
      </c>
      <c r="C104" s="20">
        <f>+VLOOKUP(PROVEEDORES[[#This Row],[PROVEEDOR]],TERCEROS_INFO[#All],2,FALSE)</f>
        <v>30</v>
      </c>
      <c r="D104" s="25">
        <f>+SUMIFS(PROVEEDORES[Total],PROVEEDORES[PROVEEDOR],PROVEEDORES[[#This Row],[PROVEEDOR]],PROVEEDORES[FECHA DE PAGO],"")</f>
        <v>0</v>
      </c>
      <c r="E104" s="25"/>
      <c r="F104" s="56" t="str">
        <f>+VLOOKUP(PROVEEDORES[[#This Row],[PROVEEDOR]],
                       Terceros!$A:$F,
                       5,
                       FALSE)</f>
        <v/>
      </c>
      <c r="G104" s="68">
        <v>44609</v>
      </c>
      <c r="H104" s="26" t="s">
        <v>390</v>
      </c>
      <c r="I104" s="68">
        <v>44609</v>
      </c>
      <c r="J104" s="35"/>
      <c r="K104" s="21">
        <v>1000000</v>
      </c>
      <c r="L104" s="21"/>
      <c r="M104" s="22">
        <v>0</v>
      </c>
      <c r="N104" s="23"/>
      <c r="O104" s="22">
        <v>0</v>
      </c>
      <c r="P104" s="74">
        <f>+IF(PROVEEDORES[[#This Row],[SUBTOTAL]]&lt;PROVEEDORES[[#This Row],[base retencion]],0,PROVEEDORES[[#This Row],[retención aplicada]])</f>
        <v>0</v>
      </c>
      <c r="Q104" s="22">
        <f>+PROVEEDORES[[#This Row],[Rete Fuente %]]*(PROVEEDORES[[#This Row],[SUBTOTAL]]-PROVEEDORES[[#This Row],[descuento sobre subtotal]])</f>
        <v>0</v>
      </c>
      <c r="R104" s="21">
        <v>1000000</v>
      </c>
      <c r="S10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63">
        <f ca="1">IF(PROVEEDORES[[#This Row],[FECHA DE PAGO]]=0,TODAY()-PROVEEDORES[[#This Row],[FECHA DE FACTURACIÓN]]-PROVEEDORES[[#This Row],[PLAZO Días]],0)</f>
        <v>0</v>
      </c>
      <c r="U104" s="87">
        <f>+VLOOKUP(PROVEEDORES[[#This Row],[PROVEEDOR]],Terceros!$A:$D,4,FALSE)</f>
        <v>0</v>
      </c>
      <c r="V104" s="88">
        <f>+YEAR(PROVEEDORES[[#This Row],[FECHA DE FACTURACIÓN]])</f>
        <v>2022</v>
      </c>
      <c r="W104" s="88">
        <f>+MATCH(PROVEEDORES[[#This Row],[año facturado]],Retenciones!$1:$1,0)</f>
        <v>5</v>
      </c>
      <c r="X104" s="89">
        <f>+VLOOKUP(PROVEEDORES[[#This Row],[ID RETENCION]],Retenciones!$A$1:$O$25,PROVEEDORES[[#This Row],[indicador de columna]],FALSE)</f>
        <v>0</v>
      </c>
      <c r="Y104" s="90">
        <f>+VLOOKUP(PROVEEDORES[[#This Row],[ID RETENCION]],Retenciones!$A$1:$O$25,2,FALSE)</f>
        <v>0</v>
      </c>
      <c r="Z104" s="116" t="b">
        <f>OR(COUNTIF(PROVEEDORES[[#This Row],[PROVEEDOR]],"*"&amp;'Palabra no opera'!$A$2&amp;"*"))</f>
        <v>0</v>
      </c>
      <c r="AA104" s="24"/>
      <c r="AB104" s="24"/>
      <c r="AC104" s="24"/>
      <c r="AD104" s="24"/>
      <c r="AE104" s="24"/>
    </row>
    <row r="105" spans="1:31" ht="22.35" customHeight="1" x14ac:dyDescent="0.3">
      <c r="A105" s="61" t="str">
        <f>+IF(PROVEEDORES[[#This Row],[FECHA DE PAGO]]=PROVEEDORES[[#This Row],[FECHA DE FACTURACIÓN]],"DE CONTADO","CRÉDITO")</f>
        <v>CRÉDITO</v>
      </c>
      <c r="B105" s="38" t="b">
        <f>+IF((PROVEEDORES[[#This Row],[FECHA DE PAGO]]-PROVEEDORES[[#This Row],[FECHA DE FACTURACIÓN]])&gt;PROVEEDORES[[#This Row],[PLAZO Días]],"PAGO VENCIDO")</f>
        <v>0</v>
      </c>
      <c r="C105" s="20">
        <f>+VLOOKUP(PROVEEDORES[[#This Row],[PROVEEDOR]],TERCEROS_INFO[#All],2,FALSE)</f>
        <v>30</v>
      </c>
      <c r="D105" s="25">
        <f>+SUMIFS(PROVEEDORES[Total],PROVEEDORES[PROVEEDOR],PROVEEDORES[[#This Row],[PROVEEDOR]],PROVEEDORES[FECHA DE PAGO],"")</f>
        <v>0</v>
      </c>
      <c r="E105" s="25"/>
      <c r="F105" s="56" t="str">
        <f>+VLOOKUP(PROVEEDORES[[#This Row],[PROVEEDOR]],
                       Terceros!$A:$F,
                       5,
                       FALSE)</f>
        <v/>
      </c>
      <c r="G105" s="68">
        <v>44609</v>
      </c>
      <c r="H105" s="26" t="s">
        <v>832</v>
      </c>
      <c r="I105" s="68">
        <v>44587</v>
      </c>
      <c r="J105" s="35" t="s">
        <v>391</v>
      </c>
      <c r="K105" s="21">
        <v>271500</v>
      </c>
      <c r="L105" s="21"/>
      <c r="M105" s="22">
        <v>0</v>
      </c>
      <c r="N105" s="23"/>
      <c r="O105" s="22">
        <v>0</v>
      </c>
      <c r="P105" s="74">
        <f>+IF(PROVEEDORES[[#This Row],[SUBTOTAL]]&lt;PROVEEDORES[[#This Row],[base retencion]],0,PROVEEDORES[[#This Row],[retención aplicada]])</f>
        <v>0</v>
      </c>
      <c r="Q105" s="22">
        <f>+PROVEEDORES[[#This Row],[Rete Fuente %]]*(PROVEEDORES[[#This Row],[SUBTOTAL]]-PROVEEDORES[[#This Row],[descuento sobre subtotal]])</f>
        <v>0</v>
      </c>
      <c r="R105" s="21">
        <v>271500</v>
      </c>
      <c r="S10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63">
        <f ca="1">IF(PROVEEDORES[[#This Row],[FECHA DE PAGO]]=0,TODAY()-PROVEEDORES[[#This Row],[FECHA DE FACTURACIÓN]]-PROVEEDORES[[#This Row],[PLAZO Días]],0)</f>
        <v>0</v>
      </c>
      <c r="U105" s="87">
        <f>+VLOOKUP(PROVEEDORES[[#This Row],[PROVEEDOR]],Terceros!$A:$D,4,FALSE)</f>
        <v>0</v>
      </c>
      <c r="V105" s="88">
        <f>+YEAR(PROVEEDORES[[#This Row],[FECHA DE FACTURACIÓN]])</f>
        <v>2022</v>
      </c>
      <c r="W105" s="88">
        <f>+MATCH(PROVEEDORES[[#This Row],[año facturado]],Retenciones!$1:$1,0)</f>
        <v>5</v>
      </c>
      <c r="X105" s="89">
        <f>+VLOOKUP(PROVEEDORES[[#This Row],[ID RETENCION]],Retenciones!$A$1:$O$25,PROVEEDORES[[#This Row],[indicador de columna]],FALSE)</f>
        <v>0</v>
      </c>
      <c r="Y105" s="90">
        <f>+VLOOKUP(PROVEEDORES[[#This Row],[ID RETENCION]],Retenciones!$A$1:$O$25,2,FALSE)</f>
        <v>0</v>
      </c>
      <c r="Z105" s="116" t="b">
        <f>OR(COUNTIF(PROVEEDORES[[#This Row],[PROVEEDOR]],"*"&amp;'Palabra no opera'!$A$2&amp;"*"))</f>
        <v>1</v>
      </c>
      <c r="AA105" s="24"/>
      <c r="AB105" s="24"/>
      <c r="AC105" s="24"/>
      <c r="AD105" s="24"/>
      <c r="AE105" s="24"/>
    </row>
    <row r="106" spans="1:31" ht="22.35" customHeight="1" x14ac:dyDescent="0.3">
      <c r="A106" s="61" t="str">
        <f>+IF(PROVEEDORES[[#This Row],[FECHA DE PAGO]]=PROVEEDORES[[#This Row],[FECHA DE FACTURACIÓN]],"DE CONTADO","CRÉDITO")</f>
        <v>CRÉDITO</v>
      </c>
      <c r="B106" s="38" t="b">
        <f>+IF((PROVEEDORES[[#This Row],[FECHA DE PAGO]]-PROVEEDORES[[#This Row],[FECHA DE FACTURACIÓN]])&gt;PROVEEDORES[[#This Row],[PLAZO Días]],"PAGO VENCIDO")</f>
        <v>0</v>
      </c>
      <c r="C106" s="20">
        <f>+VLOOKUP(PROVEEDORES[[#This Row],[PROVEEDOR]],TERCEROS_INFO[#All],2,FALSE)</f>
        <v>30</v>
      </c>
      <c r="D106" s="25">
        <f>+SUMIFS(PROVEEDORES[Total],PROVEEDORES[PROVEEDOR],PROVEEDORES[[#This Row],[PROVEEDOR]],PROVEEDORES[FECHA DE PAGO],"")</f>
        <v>0</v>
      </c>
      <c r="E106" s="25"/>
      <c r="F106" s="56" t="str">
        <f>+VLOOKUP(PROVEEDORES[[#This Row],[PROVEEDOR]],
                       Terceros!$A:$F,
                       5,
                       FALSE)</f>
        <v/>
      </c>
      <c r="G106" s="68">
        <v>44609</v>
      </c>
      <c r="H106" s="26" t="s">
        <v>832</v>
      </c>
      <c r="I106" s="68">
        <v>44603</v>
      </c>
      <c r="J106" s="35" t="s">
        <v>391</v>
      </c>
      <c r="K106" s="21">
        <v>331400</v>
      </c>
      <c r="L106" s="21"/>
      <c r="M106" s="22">
        <v>0</v>
      </c>
      <c r="N106" s="23"/>
      <c r="O106" s="22">
        <v>0</v>
      </c>
      <c r="P106" s="74">
        <f>+IF(PROVEEDORES[[#This Row],[SUBTOTAL]]&lt;PROVEEDORES[[#This Row],[base retencion]],0,PROVEEDORES[[#This Row],[retención aplicada]])</f>
        <v>0</v>
      </c>
      <c r="Q106" s="22">
        <f>+PROVEEDORES[[#This Row],[Rete Fuente %]]*(PROVEEDORES[[#This Row],[SUBTOTAL]]-PROVEEDORES[[#This Row],[descuento sobre subtotal]])</f>
        <v>0</v>
      </c>
      <c r="R106" s="21">
        <v>331400</v>
      </c>
      <c r="S10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63">
        <f ca="1">IF(PROVEEDORES[[#This Row],[FECHA DE PAGO]]=0,TODAY()-PROVEEDORES[[#This Row],[FECHA DE FACTURACIÓN]]-PROVEEDORES[[#This Row],[PLAZO Días]],0)</f>
        <v>0</v>
      </c>
      <c r="U106" s="87">
        <f>+VLOOKUP(PROVEEDORES[[#This Row],[PROVEEDOR]],Terceros!$A:$D,4,FALSE)</f>
        <v>0</v>
      </c>
      <c r="V106" s="88">
        <f>+YEAR(PROVEEDORES[[#This Row],[FECHA DE FACTURACIÓN]])</f>
        <v>2022</v>
      </c>
      <c r="W106" s="88">
        <f>+MATCH(PROVEEDORES[[#This Row],[año facturado]],Retenciones!$1:$1,0)</f>
        <v>5</v>
      </c>
      <c r="X106" s="89">
        <f>+VLOOKUP(PROVEEDORES[[#This Row],[ID RETENCION]],Retenciones!$A$1:$O$25,PROVEEDORES[[#This Row],[indicador de columna]],FALSE)</f>
        <v>0</v>
      </c>
      <c r="Y106" s="90">
        <f>+VLOOKUP(PROVEEDORES[[#This Row],[ID RETENCION]],Retenciones!$A$1:$O$25,2,FALSE)</f>
        <v>0</v>
      </c>
      <c r="Z106" s="116" t="b">
        <f>OR(COUNTIF(PROVEEDORES[[#This Row],[PROVEEDOR]],"*"&amp;'Palabra no opera'!$A$2&amp;"*"))</f>
        <v>1</v>
      </c>
      <c r="AA106" s="24"/>
      <c r="AB106" s="24"/>
      <c r="AC106" s="24"/>
      <c r="AD106" s="24"/>
      <c r="AE106" s="24"/>
    </row>
    <row r="107" spans="1:31" ht="22.35" customHeight="1" x14ac:dyDescent="0.3">
      <c r="A107" s="61" t="str">
        <f>+IF(PROVEEDORES[[#This Row],[FECHA DE PAGO]]=PROVEEDORES[[#This Row],[FECHA DE FACTURACIÓN]],"DE CONTADO","CRÉDITO")</f>
        <v>CRÉDITO</v>
      </c>
      <c r="B107" s="38" t="b">
        <f>+IF((PROVEEDORES[[#This Row],[FECHA DE PAGO]]-PROVEEDORES[[#This Row],[FECHA DE FACTURACIÓN]])&gt;PROVEEDORES[[#This Row],[PLAZO Días]],"PAGO VENCIDO")</f>
        <v>0</v>
      </c>
      <c r="C107" s="20">
        <f>+VLOOKUP(PROVEEDORES[[#This Row],[PROVEEDOR]],TERCEROS_INFO[#All],2,FALSE)</f>
        <v>20</v>
      </c>
      <c r="D107" s="25">
        <f>+SUMIFS(PROVEEDORES[Total],PROVEEDORES[PROVEEDOR],PROVEEDORES[[#This Row],[PROVEEDOR]],PROVEEDORES[FECHA DE PAGO],"")</f>
        <v>0</v>
      </c>
      <c r="E107" s="25"/>
      <c r="F107" s="56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07" s="68">
        <v>44609</v>
      </c>
      <c r="H107" s="26" t="s">
        <v>241</v>
      </c>
      <c r="I107" s="68">
        <v>44593</v>
      </c>
      <c r="J107" s="35" t="s">
        <v>469</v>
      </c>
      <c r="K107" s="21">
        <v>155400</v>
      </c>
      <c r="L107" s="21"/>
      <c r="M107" s="22">
        <f>(PROVEEDORES[[#This Row],[SUBTOTAL]]-PROVEEDORES[[#This Row],[descuento sobre subtotal]])*VLOOKUP(PROVEEDORES[[#This Row],[PROVEEDOR]],TERCEROS_INFO[#All],3,FALSE)</f>
        <v>0</v>
      </c>
      <c r="N107" s="23"/>
      <c r="O107" s="22">
        <f>+PROVEEDORES[[#This Row],[Descuento sobre subtotal %]]*(PROVEEDORES[[#This Row],[SUBTOTAL]]-PROVEEDORES[[#This Row],[descuento sobre subtotal]])</f>
        <v>0</v>
      </c>
      <c r="P107" s="74">
        <f>+IF(PROVEEDORES[[#This Row],[SUBTOTAL]]&lt;PROVEEDORES[[#This Row],[base retencion]],0,PROVEEDORES[[#This Row],[retención aplicada]])</f>
        <v>0.01</v>
      </c>
      <c r="Q107" s="22">
        <f>+PROVEEDORES[[#This Row],[Rete Fuente %]]*(PROVEEDORES[[#This Row],[SUBTOTAL]]-PROVEEDORES[[#This Row],[descuento sobre subtotal]])</f>
        <v>1554</v>
      </c>
      <c r="R107" s="21">
        <v>153846</v>
      </c>
      <c r="S10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63">
        <f ca="1">IF(PROVEEDORES[[#This Row],[FECHA DE PAGO]]=0,TODAY()-PROVEEDORES[[#This Row],[FECHA DE FACTURACIÓN]]-PROVEEDORES[[#This Row],[PLAZO Días]],0)</f>
        <v>0</v>
      </c>
      <c r="U107" s="87" t="str">
        <f>+VLOOKUP(PROVEEDORES[[#This Row],[PROVEEDOR]],Terceros!$A:$D,4,FALSE)</f>
        <v>1% con base</v>
      </c>
      <c r="V107" s="88">
        <f>+YEAR(PROVEEDORES[[#This Row],[FECHA DE FACTURACIÓN]])</f>
        <v>2022</v>
      </c>
      <c r="W107" s="88">
        <f>+MATCH(PROVEEDORES[[#This Row],[año facturado]],Retenciones!$1:$1,0)</f>
        <v>5</v>
      </c>
      <c r="X107" s="89">
        <f>+VLOOKUP(PROVEEDORES[[#This Row],[ID RETENCION]],Retenciones!$A$1:$O$25,PROVEEDORES[[#This Row],[indicador de columna]],FALSE)</f>
        <v>152000</v>
      </c>
      <c r="Y107" s="90">
        <f>+VLOOKUP(PROVEEDORES[[#This Row],[ID RETENCION]],Retenciones!$A$1:$O$25,2,FALSE)</f>
        <v>0.01</v>
      </c>
      <c r="Z107" s="116" t="b">
        <f>OR(COUNTIF(PROVEEDORES[[#This Row],[PROVEEDOR]],"*"&amp;'Palabra no opera'!$A$2&amp;"*"))</f>
        <v>0</v>
      </c>
      <c r="AA107" s="24"/>
      <c r="AB107" s="24"/>
      <c r="AC107" s="24"/>
      <c r="AD107" s="24"/>
      <c r="AE107" s="24"/>
    </row>
    <row r="108" spans="1:31" ht="22.35" customHeight="1" x14ac:dyDescent="0.3">
      <c r="A108" s="61" t="str">
        <f>+IF(PROVEEDORES[[#This Row],[FECHA DE PAGO]]=PROVEEDORES[[#This Row],[FECHA DE FACTURACIÓN]],"DE CONTADO","CRÉDITO")</f>
        <v>CRÉDITO</v>
      </c>
      <c r="B108" s="38" t="str">
        <f>+IF((PROVEEDORES[[#This Row],[FECHA DE PAGO]]-PROVEEDORES[[#This Row],[FECHA DE FACTURACIÓN]])&gt;PROVEEDORES[[#This Row],[PLAZO Días]],"PAGO VENCIDO")</f>
        <v>PAGO VENCIDO</v>
      </c>
      <c r="C108" s="20">
        <f>+VLOOKUP(PROVEEDORES[[#This Row],[PROVEEDOR]],TERCEROS_INFO[#All],2,FALSE)</f>
        <v>0</v>
      </c>
      <c r="D108" s="25">
        <f>+SUMIFS(PROVEEDORES[Total],PROVEEDORES[PROVEEDOR],PROVEEDORES[[#This Row],[PROVEEDOR]],PROVEEDORES[FECHA DE PAGO],"")</f>
        <v>0</v>
      </c>
      <c r="E108" s="25"/>
      <c r="F108" s="56" t="str">
        <f>+VLOOKUP(PROVEEDORES[[#This Row],[PROVEEDOR]],
                       Terceros!$A:$F,
                       5,
                       FALSE)</f>
        <v>contabilidad@comercialweb.com.co;info@servipilas.com</v>
      </c>
      <c r="G108" s="68">
        <v>44614</v>
      </c>
      <c r="H108" s="26" t="s">
        <v>649</v>
      </c>
      <c r="I108" s="68">
        <v>44596</v>
      </c>
      <c r="J108" s="35">
        <v>915</v>
      </c>
      <c r="K108" s="21">
        <v>600000</v>
      </c>
      <c r="L108" s="21"/>
      <c r="M108" s="22">
        <v>0</v>
      </c>
      <c r="N108" s="23"/>
      <c r="O108" s="22">
        <v>0</v>
      </c>
      <c r="P108" s="74">
        <f>+IF(PROVEEDORES[[#This Row],[SUBTOTAL]]&lt;PROVEEDORES[[#This Row],[base retencion]],0,PROVEEDORES[[#This Row],[retención aplicada]])</f>
        <v>0</v>
      </c>
      <c r="Q108" s="22">
        <f>+PROVEEDORES[[#This Row],[Rete Fuente %]]*(PROVEEDORES[[#This Row],[SUBTOTAL]]-PROVEEDORES[[#This Row],[descuento sobre subtotal]])</f>
        <v>0</v>
      </c>
      <c r="R108" s="21">
        <v>600000</v>
      </c>
      <c r="S10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63">
        <f ca="1">IF(PROVEEDORES[[#This Row],[FECHA DE PAGO]]=0,TODAY()-PROVEEDORES[[#This Row],[FECHA DE FACTURACIÓN]]-PROVEEDORES[[#This Row],[PLAZO Días]],0)</f>
        <v>0</v>
      </c>
      <c r="U108" s="87">
        <f>+VLOOKUP(PROVEEDORES[[#This Row],[PROVEEDOR]],Terceros!$A:$D,4,FALSE)</f>
        <v>0</v>
      </c>
      <c r="V108" s="88">
        <f>+YEAR(PROVEEDORES[[#This Row],[FECHA DE FACTURACIÓN]])</f>
        <v>2022</v>
      </c>
      <c r="W108" s="88">
        <f>+MATCH(PROVEEDORES[[#This Row],[año facturado]],Retenciones!$1:$1,0)</f>
        <v>5</v>
      </c>
      <c r="X108" s="89">
        <f>+VLOOKUP(PROVEEDORES[[#This Row],[ID RETENCION]],Retenciones!$A$1:$O$25,PROVEEDORES[[#This Row],[indicador de columna]],FALSE)</f>
        <v>0</v>
      </c>
      <c r="Y108" s="90">
        <f>+VLOOKUP(PROVEEDORES[[#This Row],[ID RETENCION]],Retenciones!$A$1:$O$25,2,FALSE)</f>
        <v>0</v>
      </c>
      <c r="Z108" s="116" t="b">
        <f>OR(COUNTIF(PROVEEDORES[[#This Row],[PROVEEDOR]],"*"&amp;'Palabra no opera'!$A$2&amp;"*"))</f>
        <v>1</v>
      </c>
      <c r="AA108" s="24"/>
      <c r="AB108" s="24"/>
      <c r="AC108" s="24"/>
      <c r="AD108" s="24"/>
      <c r="AE108" s="24"/>
    </row>
    <row r="109" spans="1:31" ht="22.35" customHeight="1" x14ac:dyDescent="0.3">
      <c r="A109" s="61" t="str">
        <f>+IF(PROVEEDORES[[#This Row],[FECHA DE PAGO]]=PROVEEDORES[[#This Row],[FECHA DE FACTURACIÓN]],"DE CONTADO","CRÉDITO")</f>
        <v>CRÉDITO</v>
      </c>
      <c r="B109" s="38" t="str">
        <f>+IF((PROVEEDORES[[#This Row],[FECHA DE PAGO]]-PROVEEDORES[[#This Row],[FECHA DE FACTURACIÓN]])&gt;PROVEEDORES[[#This Row],[PLAZO Días]],"PAGO VENCIDO")</f>
        <v>PAGO VENCIDO</v>
      </c>
      <c r="C109" s="20">
        <f>+VLOOKUP(PROVEEDORES[[#This Row],[PROVEEDOR]],TERCEROS_INFO[#All],2,FALSE)</f>
        <v>30</v>
      </c>
      <c r="D109" s="25">
        <f>+SUMIFS(PROVEEDORES[Total],PROVEEDORES[PROVEEDOR],PROVEEDORES[[#This Row],[PROVEEDOR]],PROVEEDORES[FECHA DE PAGO],"")</f>
        <v>10321993.199999999</v>
      </c>
      <c r="E109" s="25"/>
      <c r="F10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9" s="68">
        <v>44614</v>
      </c>
      <c r="H109" s="26" t="s">
        <v>1068</v>
      </c>
      <c r="I109" s="68">
        <v>44550</v>
      </c>
      <c r="J109" s="35">
        <v>24019</v>
      </c>
      <c r="K109" s="21">
        <v>2885740</v>
      </c>
      <c r="L109" s="21"/>
      <c r="M109" s="22">
        <f>(PROVEEDORES[[#This Row],[SUBTOTAL]]-PROVEEDORES[[#This Row],[descuento sobre subtotal]])*VLOOKUP(PROVEEDORES[[#This Row],[PROVEEDOR]],TERCEROS_INFO[#All],3,FALSE)</f>
        <v>548290.6</v>
      </c>
      <c r="N109" s="23"/>
      <c r="O109" s="22">
        <f>+PROVEEDORES[[#This Row],[Descuento sobre subtotal %]]*(PROVEEDORES[[#This Row],[SUBTOTAL]]-PROVEEDORES[[#This Row],[descuento sobre subtotal]])</f>
        <v>0</v>
      </c>
      <c r="P109" s="74">
        <f>+IF(PROVEEDORES[[#This Row],[SUBTOTAL]]&lt;PROVEEDORES[[#This Row],[base retencion]],0,PROVEEDORES[[#This Row],[retención aplicada]])</f>
        <v>2.5000000000000001E-2</v>
      </c>
      <c r="Q109" s="22">
        <f>+PROVEEDORES[[#This Row],[Rete Fuente %]]*(PROVEEDORES[[#This Row],[SUBTOTAL]]-PROVEEDORES[[#This Row],[descuento sobre subtotal]])</f>
        <v>72143.5</v>
      </c>
      <c r="R109" s="21">
        <v>3361887.1</v>
      </c>
      <c r="S10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63">
        <f ca="1">IF(PROVEEDORES[[#This Row],[FECHA DE PAGO]]=0,TODAY()-PROVEEDORES[[#This Row],[FECHA DE FACTURACIÓN]]-PROVEEDORES[[#This Row],[PLAZO Días]],0)</f>
        <v>0</v>
      </c>
      <c r="U109" s="87" t="str">
        <f>+VLOOKUP(PROVEEDORES[[#This Row],[PROVEEDOR]],Terceros!$A:$D,4,FALSE)</f>
        <v>2,5% con base</v>
      </c>
      <c r="V109" s="88">
        <f>+YEAR(PROVEEDORES[[#This Row],[FECHA DE FACTURACIÓN]])</f>
        <v>2021</v>
      </c>
      <c r="W109" s="88">
        <f>+MATCH(PROVEEDORES[[#This Row],[año facturado]],Retenciones!$1:$1,0)</f>
        <v>4</v>
      </c>
      <c r="X109" s="89">
        <f>+VLOOKUP(PROVEEDORES[[#This Row],[ID RETENCION]],Retenciones!$A$1:$O$25,PROVEEDORES[[#This Row],[indicador de columna]],FALSE)</f>
        <v>980000</v>
      </c>
      <c r="Y109" s="90">
        <f>+VLOOKUP(PROVEEDORES[[#This Row],[ID RETENCION]],Retenciones!$A$1:$O$25,2,FALSE)</f>
        <v>2.5000000000000001E-2</v>
      </c>
      <c r="Z109" s="116" t="b">
        <f>OR(COUNTIF(PROVEEDORES[[#This Row],[PROVEEDOR]],"*"&amp;'Palabra no opera'!$A$2&amp;"*"))</f>
        <v>0</v>
      </c>
      <c r="AA109" s="24"/>
      <c r="AB109" s="24"/>
      <c r="AC109" s="24"/>
      <c r="AD109" s="24"/>
      <c r="AE109" s="24"/>
    </row>
    <row r="110" spans="1:31" ht="22.35" customHeight="1" x14ac:dyDescent="0.3">
      <c r="A110" s="61" t="str">
        <f>+IF(PROVEEDORES[[#This Row],[FECHA DE PAGO]]=PROVEEDORES[[#This Row],[FECHA DE FACTURACIÓN]],"DE CONTADO","CRÉDITO")</f>
        <v>CRÉDITO</v>
      </c>
      <c r="B110" s="38" t="str">
        <f>+IF((PROVEEDORES[[#This Row],[FECHA DE PAGO]]-PROVEEDORES[[#This Row],[FECHA DE FACTURACIÓN]])&gt;PROVEEDORES[[#This Row],[PLAZO Días]],"PAGO VENCIDO")</f>
        <v>PAGO VENCIDO</v>
      </c>
      <c r="C110" s="20">
        <f>+VLOOKUP(PROVEEDORES[[#This Row],[PROVEEDOR]],TERCEROS_INFO[#All],2,FALSE)</f>
        <v>30</v>
      </c>
      <c r="D110" s="25">
        <f>+SUMIFS(PROVEEDORES[Total],PROVEEDORES[PROVEEDOR],PROVEEDORES[[#This Row],[PROVEEDOR]],PROVEEDORES[FECHA DE PAGO],"")</f>
        <v>10321993.199999999</v>
      </c>
      <c r="E110" s="25"/>
      <c r="F110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0" s="68">
        <v>44614</v>
      </c>
      <c r="H110" s="26" t="s">
        <v>1068</v>
      </c>
      <c r="I110" s="68">
        <v>44579</v>
      </c>
      <c r="J110" s="35">
        <v>24344</v>
      </c>
      <c r="K110" s="21">
        <v>640000</v>
      </c>
      <c r="L110" s="21"/>
      <c r="M110" s="22">
        <f>(PROVEEDORES[[#This Row],[SUBTOTAL]]-PROVEEDORES[[#This Row],[descuento sobre subtotal]])*VLOOKUP(PROVEEDORES[[#This Row],[PROVEEDOR]],TERCEROS_INFO[#All],3,FALSE)</f>
        <v>121600</v>
      </c>
      <c r="N110" s="23"/>
      <c r="O110" s="22">
        <f>+PROVEEDORES[[#This Row],[Descuento sobre subtotal %]]*(PROVEEDORES[[#This Row],[SUBTOTAL]]-PROVEEDORES[[#This Row],[descuento sobre subtotal]])</f>
        <v>0</v>
      </c>
      <c r="P110" s="74">
        <f>+IF(PROVEEDORES[[#This Row],[SUBTOTAL]]&lt;PROVEEDORES[[#This Row],[base retencion]],0,PROVEEDORES[[#This Row],[retención aplicada]])</f>
        <v>0</v>
      </c>
      <c r="Q110" s="22">
        <f>+PROVEEDORES[[#This Row],[Rete Fuente %]]*(PROVEEDORES[[#This Row],[SUBTOTAL]]-PROVEEDORES[[#This Row],[descuento sobre subtotal]])</f>
        <v>0</v>
      </c>
      <c r="R110" s="21">
        <v>761600</v>
      </c>
      <c r="S11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63">
        <f ca="1">IF(PROVEEDORES[[#This Row],[FECHA DE PAGO]]=0,TODAY()-PROVEEDORES[[#This Row],[FECHA DE FACTURACIÓN]]-PROVEEDORES[[#This Row],[PLAZO Días]],0)</f>
        <v>0</v>
      </c>
      <c r="U110" s="87" t="str">
        <f>+VLOOKUP(PROVEEDORES[[#This Row],[PROVEEDOR]],Terceros!$A:$D,4,FALSE)</f>
        <v>2,5% con base</v>
      </c>
      <c r="V110" s="88">
        <f>+YEAR(PROVEEDORES[[#This Row],[FECHA DE FACTURACIÓN]])</f>
        <v>2022</v>
      </c>
      <c r="W110" s="88">
        <f>+MATCH(PROVEEDORES[[#This Row],[año facturado]],Retenciones!$1:$1,0)</f>
        <v>5</v>
      </c>
      <c r="X110" s="89">
        <f>+VLOOKUP(PROVEEDORES[[#This Row],[ID RETENCION]],Retenciones!$A$1:$O$25,PROVEEDORES[[#This Row],[indicador de columna]],FALSE)</f>
        <v>1026000</v>
      </c>
      <c r="Y110" s="90">
        <f>+VLOOKUP(PROVEEDORES[[#This Row],[ID RETENCION]],Retenciones!$A$1:$O$25,2,FALSE)</f>
        <v>2.5000000000000001E-2</v>
      </c>
      <c r="Z110" s="116" t="b">
        <f>OR(COUNTIF(PROVEEDORES[[#This Row],[PROVEEDOR]],"*"&amp;'Palabra no opera'!$A$2&amp;"*"))</f>
        <v>0</v>
      </c>
      <c r="AA110" s="24"/>
      <c r="AB110" s="24"/>
      <c r="AC110" s="24"/>
      <c r="AD110" s="24"/>
      <c r="AE110" s="24"/>
    </row>
    <row r="111" spans="1:31" ht="22.35" customHeight="1" x14ac:dyDescent="0.3">
      <c r="A111" s="61" t="str">
        <f>+IF(PROVEEDORES[[#This Row],[FECHA DE PAGO]]=PROVEEDORES[[#This Row],[FECHA DE FACTURACIÓN]],"DE CONTADO","CRÉDITO")</f>
        <v>CRÉDITO</v>
      </c>
      <c r="B111" s="38" t="str">
        <f>+IF((PROVEEDORES[[#This Row],[FECHA DE PAGO]]-PROVEEDORES[[#This Row],[FECHA DE FACTURACIÓN]])&gt;PROVEEDORES[[#This Row],[PLAZO Días]],"PAGO VENCIDO")</f>
        <v>PAGO VENCIDO</v>
      </c>
      <c r="C111" s="20">
        <f>+VLOOKUP(PROVEEDORES[[#This Row],[PROVEEDOR]],TERCEROS_INFO[#All],2,FALSE)</f>
        <v>30</v>
      </c>
      <c r="D111" s="25">
        <f>+SUMIFS(PROVEEDORES[Total],PROVEEDORES[PROVEEDOR],PROVEEDORES[[#This Row],[PROVEEDOR]],PROVEEDORES[FECHA DE PAGO],"")</f>
        <v>-101001.25</v>
      </c>
      <c r="E111" s="25"/>
      <c r="F111" s="56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11" s="68">
        <v>44614</v>
      </c>
      <c r="H111" s="26" t="s">
        <v>14</v>
      </c>
      <c r="I111" s="68">
        <v>44581</v>
      </c>
      <c r="J111" s="35" t="s">
        <v>483</v>
      </c>
      <c r="K111" s="21">
        <v>509250</v>
      </c>
      <c r="L111" s="21"/>
      <c r="M111" s="22">
        <v>96757.5</v>
      </c>
      <c r="N111" s="23">
        <v>0.02</v>
      </c>
      <c r="O111" s="22">
        <f>+PROVEEDORES[[#This Row],[Descuento sobre subtotal %]]*(PROVEEDORES[[#This Row],[SUBTOTAL]]-PROVEEDORES[[#This Row],[descuento sobre subtotal]])</f>
        <v>10185</v>
      </c>
      <c r="P111" s="74">
        <f>+IF(PROVEEDORES[[#This Row],[SUBTOTAL]]&lt;PROVEEDORES[[#This Row],[base retencion]],0,PROVEEDORES[[#This Row],[retención aplicada]])</f>
        <v>0</v>
      </c>
      <c r="Q111" s="22">
        <f>+PROVEEDORES[[#This Row],[Rete Fuente %]]*(PROVEEDORES[[#This Row],[SUBTOTAL]]-PROVEEDORES[[#This Row],[descuento sobre subtotal]])</f>
        <v>0</v>
      </c>
      <c r="R111" s="21">
        <v>595822.5</v>
      </c>
      <c r="S11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63">
        <f ca="1">IF(PROVEEDORES[[#This Row],[FECHA DE PAGO]]=0,TODAY()-PROVEEDORES[[#This Row],[FECHA DE FACTURACIÓN]]-PROVEEDORES[[#This Row],[PLAZO Días]],0)</f>
        <v>0</v>
      </c>
      <c r="U111" s="87" t="str">
        <f>+VLOOKUP(PROVEEDORES[[#This Row],[PROVEEDOR]],Terceros!$A:$D,4,FALSE)</f>
        <v>2,5% con base</v>
      </c>
      <c r="V111" s="88">
        <f>+YEAR(PROVEEDORES[[#This Row],[FECHA DE FACTURACIÓN]])</f>
        <v>2022</v>
      </c>
      <c r="W111" s="88">
        <f>+MATCH(PROVEEDORES[[#This Row],[año facturado]],Retenciones!$1:$1,0)</f>
        <v>5</v>
      </c>
      <c r="X111" s="89">
        <f>+VLOOKUP(PROVEEDORES[[#This Row],[ID RETENCION]],Retenciones!$A$1:$O$25,PROVEEDORES[[#This Row],[indicador de columna]],FALSE)</f>
        <v>1026000</v>
      </c>
      <c r="Y111" s="90">
        <f>+VLOOKUP(PROVEEDORES[[#This Row],[ID RETENCION]],Retenciones!$A$1:$O$25,2,FALSE)</f>
        <v>2.5000000000000001E-2</v>
      </c>
      <c r="Z111" s="116" t="b">
        <f>OR(COUNTIF(PROVEEDORES[[#This Row],[PROVEEDOR]],"*"&amp;'Palabra no opera'!$A$2&amp;"*"))</f>
        <v>0</v>
      </c>
      <c r="AA111" s="24"/>
      <c r="AB111" s="24"/>
      <c r="AC111" s="24"/>
      <c r="AD111" s="24"/>
      <c r="AE111" s="24"/>
    </row>
    <row r="112" spans="1:31" ht="22.35" customHeight="1" x14ac:dyDescent="0.3">
      <c r="A112" s="61" t="str">
        <f>+IF(PROVEEDORES[[#This Row],[FECHA DE PAGO]]=PROVEEDORES[[#This Row],[FECHA DE FACTURACIÓN]],"DE CONTADO","CRÉDITO")</f>
        <v>CRÉDITO</v>
      </c>
      <c r="B112" s="38" t="b">
        <f>+IF((PROVEEDORES[[#This Row],[FECHA DE PAGO]]-PROVEEDORES[[#This Row],[FECHA DE FACTURACIÓN]])&gt;PROVEEDORES[[#This Row],[PLAZO Días]],"PAGO VENCIDO")</f>
        <v>0</v>
      </c>
      <c r="C112" s="20">
        <f>+VLOOKUP(PROVEEDORES[[#This Row],[PROVEEDOR]],TERCEROS_INFO[#All],2,FALSE)</f>
        <v>30</v>
      </c>
      <c r="D112" s="25">
        <f>+SUMIFS(PROVEEDORES[Total],PROVEEDORES[PROVEEDOR],PROVEEDORES[[#This Row],[PROVEEDOR]],PROVEEDORES[FECHA DE PAGO],"")</f>
        <v>0</v>
      </c>
      <c r="E112" s="25"/>
      <c r="F112" s="56">
        <f>+VLOOKUP(PROVEEDORES[[#This Row],[PROVEEDOR]],
                       Terceros!$A:$F,
                       5,
                       FALSE)</f>
        <v>0</v>
      </c>
      <c r="G112" s="68">
        <v>44615</v>
      </c>
      <c r="H112" s="26" t="s">
        <v>641</v>
      </c>
      <c r="I112" s="68">
        <v>44610</v>
      </c>
      <c r="J112" s="35">
        <v>94613621</v>
      </c>
      <c r="K112" s="21">
        <v>130900</v>
      </c>
      <c r="L112" s="21"/>
      <c r="M112" s="22">
        <f>(PROVEEDORES[[#This Row],[SUBTOTAL]]-PROVEEDORES[[#This Row],[descuento sobre subtotal]])*VLOOKUP(PROVEEDORES[[#This Row],[PROVEEDOR]],TERCEROS_INFO[#All],3,FALSE)</f>
        <v>24871</v>
      </c>
      <c r="N112" s="23"/>
      <c r="O112" s="22">
        <f>+PROVEEDORES[[#This Row],[Descuento sobre subtotal %]]*(PROVEEDORES[[#This Row],[SUBTOTAL]]-PROVEEDORES[[#This Row],[descuento sobre subtotal]])</f>
        <v>0</v>
      </c>
      <c r="P112" s="74">
        <f>+IF(PROVEEDORES[[#This Row],[SUBTOTAL]]&lt;PROVEEDORES[[#This Row],[base retencion]],0,PROVEEDORES[[#This Row],[retención aplicada]])</f>
        <v>3.5000000000000003E-2</v>
      </c>
      <c r="Q112" s="22">
        <f>+PROVEEDORES[[#This Row],[Rete Fuente %]]*(PROVEEDORES[[#This Row],[SUBTOTAL]]-PROVEEDORES[[#This Row],[descuento sobre subtotal]])</f>
        <v>4581.5</v>
      </c>
      <c r="R112" s="21">
        <v>155771</v>
      </c>
      <c r="S11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63">
        <f ca="1">IF(PROVEEDORES[[#This Row],[FECHA DE PAGO]]=0,TODAY()-PROVEEDORES[[#This Row],[FECHA DE FACTURACIÓN]]-PROVEEDORES[[#This Row],[PLAZO Días]],0)</f>
        <v>0</v>
      </c>
      <c r="U112" s="87" t="str">
        <f>+VLOOKUP(PROVEEDORES[[#This Row],[PROVEEDOR]],Terceros!$A:$D,4,FALSE)</f>
        <v>3,5% sin base</v>
      </c>
      <c r="V112" s="88">
        <f>+YEAR(PROVEEDORES[[#This Row],[FECHA DE FACTURACIÓN]])</f>
        <v>2022</v>
      </c>
      <c r="W112" s="88">
        <f>+MATCH(PROVEEDORES[[#This Row],[año facturado]],Retenciones!$1:$1,0)</f>
        <v>5</v>
      </c>
      <c r="X112" s="89">
        <f>+VLOOKUP(PROVEEDORES[[#This Row],[ID RETENCION]],Retenciones!$A$1:$O$25,PROVEEDORES[[#This Row],[indicador de columna]],FALSE)</f>
        <v>0</v>
      </c>
      <c r="Y112" s="90">
        <f>+VLOOKUP(PROVEEDORES[[#This Row],[ID RETENCION]],Retenciones!$A$1:$O$25,2,FALSE)</f>
        <v>3.5000000000000003E-2</v>
      </c>
      <c r="Z112" s="116" t="b">
        <f>OR(COUNTIF(PROVEEDORES[[#This Row],[PROVEEDOR]],"*"&amp;'Palabra no opera'!$A$2&amp;"*"))</f>
        <v>1</v>
      </c>
      <c r="AA112" s="24"/>
      <c r="AB112" s="24"/>
      <c r="AC112" s="24"/>
      <c r="AD112" s="24"/>
      <c r="AE112" s="24"/>
    </row>
    <row r="113" spans="1:31" ht="22.35" customHeight="1" x14ac:dyDescent="0.3">
      <c r="A113" s="61" t="str">
        <f>+IF(PROVEEDORES[[#This Row],[FECHA DE PAGO]]=PROVEEDORES[[#This Row],[FECHA DE FACTURACIÓN]],"DE CONTADO","CRÉDITO")</f>
        <v>DE CONTADO</v>
      </c>
      <c r="B113" s="38" t="b">
        <f>+IF((PROVEEDORES[[#This Row],[FECHA DE PAGO]]-PROVEEDORES[[#This Row],[FECHA DE FACTURACIÓN]])&gt;PROVEEDORES[[#This Row],[PLAZO Días]],"PAGO VENCIDO")</f>
        <v>0</v>
      </c>
      <c r="C113" s="20">
        <f>+VLOOKUP(PROVEEDORES[[#This Row],[PROVEEDOR]],TERCEROS_INFO[#All],2,FALSE)</f>
        <v>30</v>
      </c>
      <c r="D113" s="25">
        <f>+SUMIFS(PROVEEDORES[Total],PROVEEDORES[PROVEEDOR],PROVEEDORES[[#This Row],[PROVEEDOR]],PROVEEDORES[FECHA DE PAGO],"")</f>
        <v>0</v>
      </c>
      <c r="E113" s="25"/>
      <c r="F113" s="56" t="str">
        <f>+VLOOKUP(PROVEEDORES[[#This Row],[PROVEEDOR]],
                       Terceros!$A:$F,
                       5,
                       FALSE)</f>
        <v/>
      </c>
      <c r="G113" s="68">
        <v>44616</v>
      </c>
      <c r="H113" s="26" t="s">
        <v>390</v>
      </c>
      <c r="I113" s="68">
        <v>44616</v>
      </c>
      <c r="J113" s="35"/>
      <c r="K113" s="21">
        <v>1000000</v>
      </c>
      <c r="L113" s="21"/>
      <c r="M113" s="22">
        <v>0</v>
      </c>
      <c r="N113" s="23"/>
      <c r="O113" s="22">
        <v>0</v>
      </c>
      <c r="P113" s="74">
        <f>+IF(PROVEEDORES[[#This Row],[SUBTOTAL]]&lt;PROVEEDORES[[#This Row],[base retencion]],0,PROVEEDORES[[#This Row],[retención aplicada]])</f>
        <v>0</v>
      </c>
      <c r="Q113" s="22">
        <f>+PROVEEDORES[[#This Row],[Rete Fuente %]]*(PROVEEDORES[[#This Row],[SUBTOTAL]]-PROVEEDORES[[#This Row],[descuento sobre subtotal]])</f>
        <v>0</v>
      </c>
      <c r="R113" s="21">
        <v>1000000</v>
      </c>
      <c r="S11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63">
        <f ca="1">IF(PROVEEDORES[[#This Row],[FECHA DE PAGO]]=0,TODAY()-PROVEEDORES[[#This Row],[FECHA DE FACTURACIÓN]]-PROVEEDORES[[#This Row],[PLAZO Días]],0)</f>
        <v>0</v>
      </c>
      <c r="U113" s="87">
        <f>+VLOOKUP(PROVEEDORES[[#This Row],[PROVEEDOR]],Terceros!$A:$D,4,FALSE)</f>
        <v>0</v>
      </c>
      <c r="V113" s="88">
        <f>+YEAR(PROVEEDORES[[#This Row],[FECHA DE FACTURACIÓN]])</f>
        <v>2022</v>
      </c>
      <c r="W113" s="88">
        <f>+MATCH(PROVEEDORES[[#This Row],[año facturado]],Retenciones!$1:$1,0)</f>
        <v>5</v>
      </c>
      <c r="X113" s="89">
        <f>+VLOOKUP(PROVEEDORES[[#This Row],[ID RETENCION]],Retenciones!$A$1:$O$25,PROVEEDORES[[#This Row],[indicador de columna]],FALSE)</f>
        <v>0</v>
      </c>
      <c r="Y113" s="90">
        <f>+VLOOKUP(PROVEEDORES[[#This Row],[ID RETENCION]],Retenciones!$A$1:$O$25,2,FALSE)</f>
        <v>0</v>
      </c>
      <c r="Z113" s="116" t="b">
        <f>OR(COUNTIF(PROVEEDORES[[#This Row],[PROVEEDOR]],"*"&amp;'Palabra no opera'!$A$2&amp;"*"))</f>
        <v>0</v>
      </c>
      <c r="AA113" s="24"/>
      <c r="AB113" s="24"/>
      <c r="AC113" s="24"/>
      <c r="AD113" s="24"/>
      <c r="AE113" s="24"/>
    </row>
    <row r="114" spans="1:31" ht="22.35" customHeight="1" x14ac:dyDescent="0.3">
      <c r="A114" s="61" t="str">
        <f>+IF(PROVEEDORES[[#This Row],[FECHA DE PAGO]]=PROVEEDORES[[#This Row],[FECHA DE FACTURACIÓN]],"DE CONTADO","CRÉDITO")</f>
        <v>CRÉDITO</v>
      </c>
      <c r="B114" s="38" t="b">
        <f>+IF((PROVEEDORES[[#This Row],[FECHA DE PAGO]]-PROVEEDORES[[#This Row],[FECHA DE FACTURACIÓN]])&gt;PROVEEDORES[[#This Row],[PLAZO Días]],"PAGO VENCIDO")</f>
        <v>0</v>
      </c>
      <c r="C114" s="20">
        <f>+VLOOKUP(PROVEEDORES[[#This Row],[PROVEEDOR]],TERCEROS_INFO[#All],2,FALSE)</f>
        <v>30</v>
      </c>
      <c r="D114" s="25">
        <f>+SUMIFS(PROVEEDORES[Total],PROVEEDORES[PROVEEDOR],PROVEEDORES[[#This Row],[PROVEEDOR]],PROVEEDORES[FECHA DE PAGO],"")</f>
        <v>0</v>
      </c>
      <c r="E114" s="25"/>
      <c r="F11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4" s="68">
        <v>44616</v>
      </c>
      <c r="H114" s="26" t="s">
        <v>637</v>
      </c>
      <c r="I114" s="68">
        <v>44593</v>
      </c>
      <c r="J114" s="35">
        <v>13188</v>
      </c>
      <c r="K114" s="21">
        <v>800264</v>
      </c>
      <c r="L114" s="21"/>
      <c r="M114" s="22">
        <f>(PROVEEDORES[[#This Row],[SUBTOTAL]]-PROVEEDORES[[#This Row],[descuento sobre subtotal]])*VLOOKUP(PROVEEDORES[[#This Row],[PROVEEDOR]],TERCEROS_INFO[#All],3,FALSE)</f>
        <v>0</v>
      </c>
      <c r="N114" s="23"/>
      <c r="O114" s="22">
        <f>+PROVEEDORES[[#This Row],[Descuento sobre subtotal %]]*(PROVEEDORES[[#This Row],[SUBTOTAL]]-PROVEEDORES[[#This Row],[descuento sobre subtotal]])</f>
        <v>0</v>
      </c>
      <c r="P114" s="74">
        <f>+IF(PROVEEDORES[[#This Row],[SUBTOTAL]]&lt;PROVEEDORES[[#This Row],[base retencion]],0,PROVEEDORES[[#This Row],[retención aplicada]])</f>
        <v>0</v>
      </c>
      <c r="Q114" s="22">
        <f>+PROVEEDORES[[#This Row],[Rete Fuente %]]*(PROVEEDORES[[#This Row],[SUBTOTAL]]-PROVEEDORES[[#This Row],[descuento sobre subtotal]])</f>
        <v>0</v>
      </c>
      <c r="R114" s="21">
        <v>800264</v>
      </c>
      <c r="S11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63">
        <f ca="1">IF(PROVEEDORES[[#This Row],[FECHA DE PAGO]]=0,TODAY()-PROVEEDORES[[#This Row],[FECHA DE FACTURACIÓN]]-PROVEEDORES[[#This Row],[PLAZO Días]],0)</f>
        <v>0</v>
      </c>
      <c r="U114" s="87">
        <f>+VLOOKUP(PROVEEDORES[[#This Row],[PROVEEDOR]],Terceros!$A:$D,4,FALSE)</f>
        <v>0</v>
      </c>
      <c r="V114" s="88">
        <f>+YEAR(PROVEEDORES[[#This Row],[FECHA DE FACTURACIÓN]])</f>
        <v>2022</v>
      </c>
      <c r="W114" s="88">
        <f>+MATCH(PROVEEDORES[[#This Row],[año facturado]],Retenciones!$1:$1,0)</f>
        <v>5</v>
      </c>
      <c r="X114" s="89">
        <f>+VLOOKUP(PROVEEDORES[[#This Row],[ID RETENCION]],Retenciones!$A$1:$O$25,PROVEEDORES[[#This Row],[indicador de columna]],FALSE)</f>
        <v>0</v>
      </c>
      <c r="Y114" s="90">
        <f>+VLOOKUP(PROVEEDORES[[#This Row],[ID RETENCION]],Retenciones!$A$1:$O$25,2,FALSE)</f>
        <v>0</v>
      </c>
      <c r="Z114" s="116" t="b">
        <f>OR(COUNTIF(PROVEEDORES[[#This Row],[PROVEEDOR]],"*"&amp;'Palabra no opera'!$A$2&amp;"*"))</f>
        <v>1</v>
      </c>
      <c r="AA114" s="24"/>
      <c r="AB114" s="24"/>
      <c r="AC114" s="24"/>
      <c r="AD114" s="24"/>
      <c r="AE114" s="24"/>
    </row>
    <row r="115" spans="1:31" ht="22.35" customHeight="1" x14ac:dyDescent="0.3">
      <c r="A115" s="61" t="str">
        <f>+IF(PROVEEDORES[[#This Row],[FECHA DE PAGO]]=PROVEEDORES[[#This Row],[FECHA DE FACTURACIÓN]],"DE CONTADO","CRÉDITO")</f>
        <v>CRÉDITO</v>
      </c>
      <c r="B115" s="38" t="b">
        <f>+IF((PROVEEDORES[[#This Row],[FECHA DE PAGO]]-PROVEEDORES[[#This Row],[FECHA DE FACTURACIÓN]])&gt;PROVEEDORES[[#This Row],[PLAZO Días]],"PAGO VENCIDO")</f>
        <v>0</v>
      </c>
      <c r="C115" s="20">
        <f>+VLOOKUP(PROVEEDORES[[#This Row],[PROVEEDOR]],TERCEROS_INFO[#All],2,FALSE)</f>
        <v>30</v>
      </c>
      <c r="D115" s="25">
        <f>+SUMIFS(PROVEEDORES[Total],PROVEEDORES[PROVEEDOR],PROVEEDORES[[#This Row],[PROVEEDOR]],PROVEEDORES[FECHA DE PAGO],"")</f>
        <v>0</v>
      </c>
      <c r="E115" s="25"/>
      <c r="F11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5" s="68">
        <v>44616</v>
      </c>
      <c r="H115" s="26" t="s">
        <v>637</v>
      </c>
      <c r="I115" s="68">
        <v>44593</v>
      </c>
      <c r="J115" s="35">
        <v>13229</v>
      </c>
      <c r="K115" s="21">
        <v>818874</v>
      </c>
      <c r="L115" s="21"/>
      <c r="M115" s="22">
        <f>(PROVEEDORES[[#This Row],[SUBTOTAL]]-PROVEEDORES[[#This Row],[descuento sobre subtotal]])*VLOOKUP(PROVEEDORES[[#This Row],[PROVEEDOR]],TERCEROS_INFO[#All],3,FALSE)</f>
        <v>0</v>
      </c>
      <c r="N115" s="23"/>
      <c r="O115" s="22">
        <f>+PROVEEDORES[[#This Row],[Descuento sobre subtotal %]]*(PROVEEDORES[[#This Row],[SUBTOTAL]]-PROVEEDORES[[#This Row],[descuento sobre subtotal]])</f>
        <v>0</v>
      </c>
      <c r="P115" s="74">
        <f>+IF(PROVEEDORES[[#This Row],[SUBTOTAL]]&lt;PROVEEDORES[[#This Row],[base retencion]],0,PROVEEDORES[[#This Row],[retención aplicada]])</f>
        <v>0</v>
      </c>
      <c r="Q115" s="22">
        <f>+PROVEEDORES[[#This Row],[Rete Fuente %]]*(PROVEEDORES[[#This Row],[SUBTOTAL]]-PROVEEDORES[[#This Row],[descuento sobre subtotal]])</f>
        <v>0</v>
      </c>
      <c r="R115" s="21">
        <v>818874</v>
      </c>
      <c r="S11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63">
        <f ca="1">IF(PROVEEDORES[[#This Row],[FECHA DE PAGO]]=0,TODAY()-PROVEEDORES[[#This Row],[FECHA DE FACTURACIÓN]]-PROVEEDORES[[#This Row],[PLAZO Días]],0)</f>
        <v>0</v>
      </c>
      <c r="U115" s="87">
        <f>+VLOOKUP(PROVEEDORES[[#This Row],[PROVEEDOR]],Terceros!$A:$D,4,FALSE)</f>
        <v>0</v>
      </c>
      <c r="V115" s="88">
        <f>+YEAR(PROVEEDORES[[#This Row],[FECHA DE FACTURACIÓN]])</f>
        <v>2022</v>
      </c>
      <c r="W115" s="88">
        <f>+MATCH(PROVEEDORES[[#This Row],[año facturado]],Retenciones!$1:$1,0)</f>
        <v>5</v>
      </c>
      <c r="X115" s="89">
        <f>+VLOOKUP(PROVEEDORES[[#This Row],[ID RETENCION]],Retenciones!$A$1:$O$25,PROVEEDORES[[#This Row],[indicador de columna]],FALSE)</f>
        <v>0</v>
      </c>
      <c r="Y115" s="90">
        <f>+VLOOKUP(PROVEEDORES[[#This Row],[ID RETENCION]],Retenciones!$A$1:$O$25,2,FALSE)</f>
        <v>0</v>
      </c>
      <c r="Z115" s="116" t="b">
        <f>OR(COUNTIF(PROVEEDORES[[#This Row],[PROVEEDOR]],"*"&amp;'Palabra no opera'!$A$2&amp;"*"))</f>
        <v>1</v>
      </c>
      <c r="AA115" s="24"/>
      <c r="AB115" s="24"/>
      <c r="AC115" s="24"/>
      <c r="AD115" s="24"/>
      <c r="AE115" s="24"/>
    </row>
    <row r="116" spans="1:31" ht="22.35" customHeight="1" x14ac:dyDescent="0.3">
      <c r="A116" s="61" t="str">
        <f>+IF(PROVEEDORES[[#This Row],[FECHA DE PAGO]]=PROVEEDORES[[#This Row],[FECHA DE FACTURACIÓN]],"DE CONTADO","CRÉDITO")</f>
        <v>CRÉDITO</v>
      </c>
      <c r="B116" s="38" t="str">
        <f>+IF((PROVEEDORES[[#This Row],[FECHA DE PAGO]]-PROVEEDORES[[#This Row],[FECHA DE FACTURACIÓN]])&gt;PROVEEDORES[[#This Row],[PLAZO Días]],"PAGO VENCIDO")</f>
        <v>PAGO VENCIDO</v>
      </c>
      <c r="C116" s="20">
        <f>+VLOOKUP(PROVEEDORES[[#This Row],[PROVEEDOR]],TERCEROS_INFO[#All],2,FALSE)</f>
        <v>30</v>
      </c>
      <c r="D116" s="25">
        <f>+SUMIFS(PROVEEDORES[Total],PROVEEDORES[PROVEEDOR],PROVEEDORES[[#This Row],[PROVEEDOR]],PROVEEDORES[FECHA DE PAGO],"")</f>
        <v>1316890.8900000001</v>
      </c>
      <c r="E116" s="25"/>
      <c r="F11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6" s="68">
        <v>44617</v>
      </c>
      <c r="H116" s="26" t="s">
        <v>17</v>
      </c>
      <c r="I116" s="68">
        <v>44580</v>
      </c>
      <c r="J116" s="35">
        <v>1864904</v>
      </c>
      <c r="K116" s="21">
        <v>1440260</v>
      </c>
      <c r="L116" s="21"/>
      <c r="M116" s="22">
        <f>(PROVEEDORES[[#This Row],[SUBTOTAL]]-PROVEEDORES[[#This Row],[descuento sobre subtotal]])*VLOOKUP(PROVEEDORES[[#This Row],[PROVEEDOR]],TERCEROS_INFO[#All],3,FALSE)</f>
        <v>273649.40000000002</v>
      </c>
      <c r="N116" s="23"/>
      <c r="O116" s="22">
        <f>+PROVEEDORES[[#This Row],[Descuento sobre subtotal %]]*(PROVEEDORES[[#This Row],[SUBTOTAL]]-PROVEEDORES[[#This Row],[descuento sobre subtotal]])</f>
        <v>0</v>
      </c>
      <c r="P116" s="74">
        <f>+IF(PROVEEDORES[[#This Row],[SUBTOTAL]]&lt;PROVEEDORES[[#This Row],[base retencion]],0,PROVEEDORES[[#This Row],[retención aplicada]])</f>
        <v>0</v>
      </c>
      <c r="Q116" s="22">
        <f>+PROVEEDORES[[#This Row],[Rete Fuente %]]*(PROVEEDORES[[#This Row],[SUBTOTAL]]-PROVEEDORES[[#This Row],[descuento sobre subtotal]])</f>
        <v>0</v>
      </c>
      <c r="R116" s="21">
        <v>1713909.4</v>
      </c>
      <c r="S11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63">
        <f ca="1">IF(PROVEEDORES[[#This Row],[FECHA DE PAGO]]=0,TODAY()-PROVEEDORES[[#This Row],[FECHA DE FACTURACIÓN]]-PROVEEDORES[[#This Row],[PLAZO Días]],0)</f>
        <v>0</v>
      </c>
      <c r="U116" s="87">
        <f>+VLOOKUP(PROVEEDORES[[#This Row],[PROVEEDOR]],Terceros!$A:$D,4,FALSE)</f>
        <v>0</v>
      </c>
      <c r="V116" s="88">
        <f>+YEAR(PROVEEDORES[[#This Row],[FECHA DE FACTURACIÓN]])</f>
        <v>2022</v>
      </c>
      <c r="W116" s="88">
        <f>+MATCH(PROVEEDORES[[#This Row],[año facturado]],Retenciones!$1:$1,0)</f>
        <v>5</v>
      </c>
      <c r="X116" s="89">
        <f>+VLOOKUP(PROVEEDORES[[#This Row],[ID RETENCION]],Retenciones!$A$1:$O$25,PROVEEDORES[[#This Row],[indicador de columna]],FALSE)</f>
        <v>0</v>
      </c>
      <c r="Y116" s="90">
        <f>+VLOOKUP(PROVEEDORES[[#This Row],[ID RETENCION]],Retenciones!$A$1:$O$25,2,FALSE)</f>
        <v>0</v>
      </c>
      <c r="Z116" s="116" t="b">
        <f>OR(COUNTIF(PROVEEDORES[[#This Row],[PROVEEDOR]],"*"&amp;'Palabra no opera'!$A$2&amp;"*"))</f>
        <v>0</v>
      </c>
      <c r="AA116" s="24"/>
      <c r="AB116" s="24"/>
      <c r="AC116" s="24"/>
      <c r="AD116" s="24"/>
      <c r="AE116" s="24"/>
    </row>
    <row r="117" spans="1:31" ht="22.35" customHeight="1" x14ac:dyDescent="0.3">
      <c r="A117" s="61" t="str">
        <f>+IF(PROVEEDORES[[#This Row],[FECHA DE PAGO]]=PROVEEDORES[[#This Row],[FECHA DE FACTURACIÓN]],"DE CONTADO","CRÉDITO")</f>
        <v>CRÉDITO</v>
      </c>
      <c r="B117" s="38" t="b">
        <f>+IF((PROVEEDORES[[#This Row],[FECHA DE PAGO]]-PROVEEDORES[[#This Row],[FECHA DE FACTURACIÓN]])&gt;PROVEEDORES[[#This Row],[PLAZO Días]],"PAGO VENCIDO")</f>
        <v>0</v>
      </c>
      <c r="C117" s="20">
        <f>+VLOOKUP(PROVEEDORES[[#This Row],[PROVEEDOR]],TERCEROS_INFO[#All],2,FALSE)</f>
        <v>30</v>
      </c>
      <c r="D117" s="25">
        <f>+SUMIFS(PROVEEDORES[Total],PROVEEDORES[PROVEEDOR],PROVEEDORES[[#This Row],[PROVEEDOR]],PROVEEDORES[FECHA DE PAGO],"")</f>
        <v>0</v>
      </c>
      <c r="E117" s="25"/>
      <c r="F11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7" s="68">
        <v>44617</v>
      </c>
      <c r="H117" s="26" t="s">
        <v>623</v>
      </c>
      <c r="I117" s="68">
        <v>44593</v>
      </c>
      <c r="J117" s="35" t="s">
        <v>428</v>
      </c>
      <c r="K117" s="21">
        <v>716544</v>
      </c>
      <c r="L117" s="21"/>
      <c r="M117" s="22">
        <v>136143.36000000002</v>
      </c>
      <c r="N117" s="23"/>
      <c r="O117" s="22">
        <v>0</v>
      </c>
      <c r="P117" s="74">
        <v>0</v>
      </c>
      <c r="Q117" s="22">
        <f>+PROVEEDORES[[#This Row],[Rete Fuente %]]*(PROVEEDORES[[#This Row],[SUBTOTAL]]-PROVEEDORES[[#This Row],[descuento sobre subtotal]])</f>
        <v>0</v>
      </c>
      <c r="R117" s="21">
        <v>852687.35999999999</v>
      </c>
      <c r="S11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63">
        <f ca="1">IF(PROVEEDORES[[#This Row],[FECHA DE PAGO]]=0,TODAY()-PROVEEDORES[[#This Row],[FECHA DE FACTURACIÓN]]-PROVEEDORES[[#This Row],[PLAZO Días]],0)</f>
        <v>0</v>
      </c>
      <c r="U117" s="87" t="str">
        <f>+VLOOKUP(PROVEEDORES[[#This Row],[PROVEEDOR]],Terceros!$A:$D,4,FALSE)</f>
        <v>4% sin base</v>
      </c>
      <c r="V117" s="88">
        <f>+YEAR(PROVEEDORES[[#This Row],[FECHA DE FACTURACIÓN]])</f>
        <v>2022</v>
      </c>
      <c r="W117" s="88">
        <f>+MATCH(PROVEEDORES[[#This Row],[año facturado]],Retenciones!$1:$1,0)</f>
        <v>5</v>
      </c>
      <c r="X117" s="89">
        <f>+VLOOKUP(PROVEEDORES[[#This Row],[ID RETENCION]],Retenciones!$A$1:$O$25,PROVEEDORES[[#This Row],[indicador de columna]],FALSE)</f>
        <v>0</v>
      </c>
      <c r="Y117" s="90">
        <f>+VLOOKUP(PROVEEDORES[[#This Row],[ID RETENCION]],Retenciones!$A$1:$O$25,2,FALSE)</f>
        <v>0.04</v>
      </c>
      <c r="Z117" s="116" t="b">
        <f>OR(COUNTIF(PROVEEDORES[[#This Row],[PROVEEDOR]],"*"&amp;'Palabra no opera'!$A$2&amp;"*"))</f>
        <v>1</v>
      </c>
      <c r="AA117" s="24"/>
      <c r="AB117" s="24"/>
      <c r="AC117" s="24"/>
      <c r="AD117" s="24"/>
      <c r="AE117" s="24"/>
    </row>
    <row r="118" spans="1:31" ht="22.35" customHeight="1" x14ac:dyDescent="0.3">
      <c r="A118" s="61" t="str">
        <f>+IF(PROVEEDORES[[#This Row],[FECHA DE PAGO]]=PROVEEDORES[[#This Row],[FECHA DE FACTURACIÓN]],"DE CONTADO","CRÉDITO")</f>
        <v>CRÉDITO</v>
      </c>
      <c r="B118" s="38" t="b">
        <f>+IF((PROVEEDORES[[#This Row],[FECHA DE PAGO]]-PROVEEDORES[[#This Row],[FECHA DE FACTURACIÓN]])&gt;PROVEEDORES[[#This Row],[PLAZO Días]],"PAGO VENCIDO")</f>
        <v>0</v>
      </c>
      <c r="C118" s="20">
        <f>+VLOOKUP(PROVEEDORES[[#This Row],[PROVEEDOR]],TERCEROS_INFO[#All],2,FALSE)</f>
        <v>30</v>
      </c>
      <c r="D118" s="25">
        <f>+SUMIFS(PROVEEDORES[Total],PROVEEDORES[PROVEEDOR],PROVEEDORES[[#This Row],[PROVEEDOR]],PROVEEDORES[FECHA DE PAGO],"")</f>
        <v>0</v>
      </c>
      <c r="E118" s="25"/>
      <c r="F11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8" s="68">
        <v>44617</v>
      </c>
      <c r="H118" s="26" t="s">
        <v>623</v>
      </c>
      <c r="I118" s="68">
        <v>44593</v>
      </c>
      <c r="J118" s="35" t="s">
        <v>429</v>
      </c>
      <c r="K118" s="21">
        <v>3642787</v>
      </c>
      <c r="L118" s="21"/>
      <c r="M118" s="22">
        <v>692129.53</v>
      </c>
      <c r="N118" s="23"/>
      <c r="O118" s="22">
        <v>0</v>
      </c>
      <c r="P118" s="74">
        <v>0</v>
      </c>
      <c r="Q118" s="22">
        <f>+PROVEEDORES[[#This Row],[Rete Fuente %]]*(PROVEEDORES[[#This Row],[SUBTOTAL]]-PROVEEDORES[[#This Row],[descuento sobre subtotal]])</f>
        <v>0</v>
      </c>
      <c r="R118" s="21">
        <v>4334916.53</v>
      </c>
      <c r="S11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63">
        <f ca="1">IF(PROVEEDORES[[#This Row],[FECHA DE PAGO]]=0,TODAY()-PROVEEDORES[[#This Row],[FECHA DE FACTURACIÓN]]-PROVEEDORES[[#This Row],[PLAZO Días]],0)</f>
        <v>0</v>
      </c>
      <c r="U118" s="87" t="str">
        <f>+VLOOKUP(PROVEEDORES[[#This Row],[PROVEEDOR]],Terceros!$A:$D,4,FALSE)</f>
        <v>4% sin base</v>
      </c>
      <c r="V118" s="88">
        <f>+YEAR(PROVEEDORES[[#This Row],[FECHA DE FACTURACIÓN]])</f>
        <v>2022</v>
      </c>
      <c r="W118" s="88">
        <f>+MATCH(PROVEEDORES[[#This Row],[año facturado]],Retenciones!$1:$1,0)</f>
        <v>5</v>
      </c>
      <c r="X118" s="89">
        <f>+VLOOKUP(PROVEEDORES[[#This Row],[ID RETENCION]],Retenciones!$A$1:$O$25,PROVEEDORES[[#This Row],[indicador de columna]],FALSE)</f>
        <v>0</v>
      </c>
      <c r="Y118" s="90">
        <f>+VLOOKUP(PROVEEDORES[[#This Row],[ID RETENCION]],Retenciones!$A$1:$O$25,2,FALSE)</f>
        <v>0.04</v>
      </c>
      <c r="Z118" s="116" t="b">
        <f>OR(COUNTIF(PROVEEDORES[[#This Row],[PROVEEDOR]],"*"&amp;'Palabra no opera'!$A$2&amp;"*"))</f>
        <v>1</v>
      </c>
      <c r="AA118" s="24"/>
      <c r="AB118" s="24"/>
      <c r="AC118" s="24"/>
      <c r="AD118" s="24"/>
      <c r="AE118" s="24"/>
    </row>
    <row r="119" spans="1:31" ht="22.35" customHeight="1" x14ac:dyDescent="0.3">
      <c r="A119" s="61" t="str">
        <f>+IF(PROVEEDORES[[#This Row],[FECHA DE PAGO]]=PROVEEDORES[[#This Row],[FECHA DE FACTURACIÓN]],"DE CONTADO","CRÉDITO")</f>
        <v>CRÉDITO</v>
      </c>
      <c r="B119" s="38" t="str">
        <f>+IF((PROVEEDORES[[#This Row],[FECHA DE PAGO]]-PROVEEDORES[[#This Row],[FECHA DE FACTURACIÓN]])&gt;PROVEEDORES[[#This Row],[PLAZO Días]],"PAGO VENCIDO")</f>
        <v>PAGO VENCIDO</v>
      </c>
      <c r="C119" s="20">
        <f>+VLOOKUP(PROVEEDORES[[#This Row],[PROVEEDOR]],TERCEROS_INFO[#All],2,FALSE)</f>
        <v>30</v>
      </c>
      <c r="D119" s="25">
        <f>+SUMIFS(PROVEEDORES[Total],PROVEEDORES[PROVEEDOR],PROVEEDORES[[#This Row],[PROVEEDOR]],PROVEEDORES[FECHA DE PAGO],"")</f>
        <v>17870934.149999999</v>
      </c>
      <c r="E119" s="25"/>
      <c r="F11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9" s="68">
        <v>44617</v>
      </c>
      <c r="H119" s="26" t="s">
        <v>18</v>
      </c>
      <c r="I119" s="68">
        <v>44574</v>
      </c>
      <c r="J119" s="35">
        <v>1048362</v>
      </c>
      <c r="K119" s="21">
        <v>7141767.0800000001</v>
      </c>
      <c r="L119" s="21"/>
      <c r="M119" s="22">
        <v>1356935.7452</v>
      </c>
      <c r="N119" s="23"/>
      <c r="O119" s="22">
        <v>0</v>
      </c>
      <c r="P119" s="74">
        <f>+IF(PROVEEDORES[[#This Row],[SUBTOTAL]]&lt;PROVEEDORES[[#This Row],[base retencion]],0,PROVEEDORES[[#This Row],[retención aplicada]])</f>
        <v>2.5000000000000001E-2</v>
      </c>
      <c r="Q119" s="22">
        <f>+PROVEEDORES[[#This Row],[Rete Fuente %]]*(PROVEEDORES[[#This Row],[SUBTOTAL]]-PROVEEDORES[[#This Row],[descuento sobre subtotal]])</f>
        <v>178544.17700000003</v>
      </c>
      <c r="R119" s="21">
        <v>8320158.6482000006</v>
      </c>
      <c r="S11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63">
        <f ca="1">IF(PROVEEDORES[[#This Row],[FECHA DE PAGO]]=0,TODAY()-PROVEEDORES[[#This Row],[FECHA DE FACTURACIÓN]]-PROVEEDORES[[#This Row],[PLAZO Días]],0)</f>
        <v>0</v>
      </c>
      <c r="U119" s="87" t="str">
        <f>+VLOOKUP(PROVEEDORES[[#This Row],[PROVEEDOR]],Terceros!$A:$D,4,FALSE)</f>
        <v>2,5% con base</v>
      </c>
      <c r="V119" s="88">
        <f>+YEAR(PROVEEDORES[[#This Row],[FECHA DE FACTURACIÓN]])</f>
        <v>2022</v>
      </c>
      <c r="W119" s="88">
        <f>+MATCH(PROVEEDORES[[#This Row],[año facturado]],Retenciones!$1:$1,0)</f>
        <v>5</v>
      </c>
      <c r="X119" s="89">
        <f>+VLOOKUP(PROVEEDORES[[#This Row],[ID RETENCION]],Retenciones!$A$1:$O$25,PROVEEDORES[[#This Row],[indicador de columna]],FALSE)</f>
        <v>1026000</v>
      </c>
      <c r="Y119" s="90">
        <f>+VLOOKUP(PROVEEDORES[[#This Row],[ID RETENCION]],Retenciones!$A$1:$O$25,2,FALSE)</f>
        <v>2.5000000000000001E-2</v>
      </c>
      <c r="Z119" s="116" t="b">
        <f>OR(COUNTIF(PROVEEDORES[[#This Row],[PROVEEDOR]],"*"&amp;'Palabra no opera'!$A$2&amp;"*"))</f>
        <v>0</v>
      </c>
      <c r="AA119" s="24"/>
      <c r="AB119" s="24"/>
      <c r="AC119" s="24"/>
      <c r="AD119" s="24"/>
      <c r="AE119" s="24"/>
    </row>
    <row r="120" spans="1:31" ht="22.35" customHeight="1" x14ac:dyDescent="0.3">
      <c r="A120" s="61" t="str">
        <f>+IF(PROVEEDORES[[#This Row],[FECHA DE PAGO]]=PROVEEDORES[[#This Row],[FECHA DE FACTURACIÓN]],"DE CONTADO","CRÉDITO")</f>
        <v>CRÉDITO</v>
      </c>
      <c r="B120" s="38" t="str">
        <f>+IF((PROVEEDORES[[#This Row],[FECHA DE PAGO]]-PROVEEDORES[[#This Row],[FECHA DE FACTURACIÓN]])&gt;PROVEEDORES[[#This Row],[PLAZO Días]],"PAGO VENCIDO")</f>
        <v>PAGO VENCIDO</v>
      </c>
      <c r="C120" s="20">
        <f>+VLOOKUP(PROVEEDORES[[#This Row],[PROVEEDOR]],TERCEROS_INFO[#All],2,FALSE)</f>
        <v>30</v>
      </c>
      <c r="D120" s="25">
        <f>+SUMIFS(PROVEEDORES[Total],PROVEEDORES[PROVEEDOR],PROVEEDORES[[#This Row],[PROVEEDOR]],PROVEEDORES[FECHA DE PAGO],"")</f>
        <v>1125118.8199999998</v>
      </c>
      <c r="E120" s="25"/>
      <c r="F120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20" s="68">
        <v>44617</v>
      </c>
      <c r="H120" s="26" t="s">
        <v>279</v>
      </c>
      <c r="I120" s="68">
        <v>44574</v>
      </c>
      <c r="J120" s="35" t="s">
        <v>338</v>
      </c>
      <c r="K120" s="21">
        <v>1420170</v>
      </c>
      <c r="L120" s="21"/>
      <c r="M120" s="22">
        <f>(PROVEEDORES[[#This Row],[SUBTOTAL]]-PROVEEDORES[[#This Row],[descuento sobre subtotal]])*VLOOKUP(PROVEEDORES[[#This Row],[PROVEEDOR]],TERCEROS_INFO[#All],3,FALSE)</f>
        <v>269832.3</v>
      </c>
      <c r="N120" s="23"/>
      <c r="O120" s="22">
        <f>+PROVEEDORES[[#This Row],[Descuento sobre subtotal %]]*(PROVEEDORES[[#This Row],[SUBTOTAL]]-PROVEEDORES[[#This Row],[descuento sobre subtotal]])</f>
        <v>0</v>
      </c>
      <c r="P120" s="74">
        <f>+IF(PROVEEDORES[[#This Row],[SUBTOTAL]]&lt;PROVEEDORES[[#This Row],[base retencion]],0,PROVEEDORES[[#This Row],[retención aplicada]])</f>
        <v>2.5000000000000001E-2</v>
      </c>
      <c r="Q120" s="22">
        <f>+PROVEEDORES[[#This Row],[Rete Fuente %]]*(PROVEEDORES[[#This Row],[SUBTOTAL]]-PROVEEDORES[[#This Row],[descuento sobre subtotal]])</f>
        <v>35504.25</v>
      </c>
      <c r="R120" s="21">
        <v>1654498.05</v>
      </c>
      <c r="S12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63">
        <f ca="1">IF(PROVEEDORES[[#This Row],[FECHA DE PAGO]]=0,TODAY()-PROVEEDORES[[#This Row],[FECHA DE FACTURACIÓN]]-PROVEEDORES[[#This Row],[PLAZO Días]],0)</f>
        <v>0</v>
      </c>
      <c r="U120" s="87" t="str">
        <f>+VLOOKUP(PROVEEDORES[[#This Row],[PROVEEDOR]],Terceros!$A:$D,4,FALSE)</f>
        <v>2,5% con base</v>
      </c>
      <c r="V120" s="88">
        <f>+YEAR(PROVEEDORES[[#This Row],[FECHA DE FACTURACIÓN]])</f>
        <v>2022</v>
      </c>
      <c r="W120" s="88">
        <f>+MATCH(PROVEEDORES[[#This Row],[año facturado]],Retenciones!$1:$1,0)</f>
        <v>5</v>
      </c>
      <c r="X120" s="89">
        <f>+VLOOKUP(PROVEEDORES[[#This Row],[ID RETENCION]],Retenciones!$A$1:$O$25,PROVEEDORES[[#This Row],[indicador de columna]],FALSE)</f>
        <v>1026000</v>
      </c>
      <c r="Y120" s="90">
        <f>+VLOOKUP(PROVEEDORES[[#This Row],[ID RETENCION]],Retenciones!$A$1:$O$25,2,FALSE)</f>
        <v>2.5000000000000001E-2</v>
      </c>
      <c r="Z120" s="116" t="b">
        <f>OR(COUNTIF(PROVEEDORES[[#This Row],[PROVEEDOR]],"*"&amp;'Palabra no opera'!$A$2&amp;"*"))</f>
        <v>0</v>
      </c>
      <c r="AA120" s="24"/>
      <c r="AB120" s="24"/>
      <c r="AC120" s="24"/>
      <c r="AD120" s="24"/>
      <c r="AE120" s="24"/>
    </row>
    <row r="121" spans="1:31" ht="22.35" customHeight="1" x14ac:dyDescent="0.3">
      <c r="A121" s="61" t="str">
        <f>+IF(PROVEEDORES[[#This Row],[FECHA DE PAGO]]=PROVEEDORES[[#This Row],[FECHA DE FACTURACIÓN]],"DE CONTADO","CRÉDITO")</f>
        <v>CRÉDITO</v>
      </c>
      <c r="B121" s="38" t="b">
        <f>+IF((PROVEEDORES[[#This Row],[FECHA DE PAGO]]-PROVEEDORES[[#This Row],[FECHA DE FACTURACIÓN]])&gt;PROVEEDORES[[#This Row],[PLAZO Días]],"PAGO VENCIDO")</f>
        <v>0</v>
      </c>
      <c r="C121" s="20">
        <f>+VLOOKUP(PROVEEDORES[[#This Row],[PROVEEDOR]],TERCEROS_INFO[#All],2,FALSE)</f>
        <v>30</v>
      </c>
      <c r="D121" s="25">
        <f>+SUMIFS(PROVEEDORES[Total],PROVEEDORES[PROVEEDOR],PROVEEDORES[[#This Row],[PROVEEDOR]],PROVEEDORES[FECHA DE PAGO],"")</f>
        <v>0</v>
      </c>
      <c r="E121" s="25"/>
      <c r="F121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1" s="68">
        <v>44617</v>
      </c>
      <c r="H121" s="26" t="s">
        <v>628</v>
      </c>
      <c r="I121" s="68">
        <v>44593</v>
      </c>
      <c r="J121" s="35">
        <v>9918</v>
      </c>
      <c r="K121" s="21">
        <v>1634691</v>
      </c>
      <c r="L121" s="21"/>
      <c r="M121" s="22">
        <f>(PROVEEDORES[[#This Row],[SUBTOTAL]]-PROVEEDORES[[#This Row],[descuento sobre subtotal]])*VLOOKUP(PROVEEDORES[[#This Row],[PROVEEDOR]],TERCEROS_INFO[#All],3,FALSE)</f>
        <v>0</v>
      </c>
      <c r="N121" s="23"/>
      <c r="O121" s="22">
        <f>+PROVEEDORES[[#This Row],[Descuento sobre subtotal %]]*(PROVEEDORES[[#This Row],[SUBTOTAL]]-PROVEEDORES[[#This Row],[descuento sobre subtotal]])</f>
        <v>0</v>
      </c>
      <c r="P121" s="74">
        <f>+IF(PROVEEDORES[[#This Row],[SUBTOTAL]]&lt;PROVEEDORES[[#This Row],[base retencion]],0,PROVEEDORES[[#This Row],[retención aplicada]])</f>
        <v>0</v>
      </c>
      <c r="Q121" s="22">
        <f>+PROVEEDORES[[#This Row],[Rete Fuente %]]*(PROVEEDORES[[#This Row],[SUBTOTAL]]-PROVEEDORES[[#This Row],[descuento sobre subtotal]])</f>
        <v>0</v>
      </c>
      <c r="R121" s="21">
        <f>+PROVEEDORES[[#This Row],[SUBTOTAL]]+PROVEEDORES[[#This Row],[IVA 19%]]-PROVEEDORES[[#This Row],[descuento sobre subtotal]]-PROVEEDORES[[#This Row],[Descuento sobre subtotal $2]]-PROVEEDORES[[#This Row],[Rete Fuente $]]</f>
        <v>1634691</v>
      </c>
      <c r="S12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63">
        <f ca="1">IF(PROVEEDORES[[#This Row],[FECHA DE PAGO]]=0,TODAY()-PROVEEDORES[[#This Row],[FECHA DE FACTURACIÓN]]-PROVEEDORES[[#This Row],[PLAZO Días]],0)</f>
        <v>0</v>
      </c>
      <c r="U121" s="87">
        <f>+VLOOKUP(PROVEEDORES[[#This Row],[PROVEEDOR]],Terceros!$A:$D,4,FALSE)</f>
        <v>0</v>
      </c>
      <c r="V121" s="88">
        <f>+YEAR(PROVEEDORES[[#This Row],[FECHA DE FACTURACIÓN]])</f>
        <v>2022</v>
      </c>
      <c r="W121" s="88">
        <f>+MATCH(PROVEEDORES[[#This Row],[año facturado]],Retenciones!$1:$1,0)</f>
        <v>5</v>
      </c>
      <c r="X121" s="89">
        <f>+VLOOKUP(PROVEEDORES[[#This Row],[ID RETENCION]],Retenciones!$A$1:$O$25,PROVEEDORES[[#This Row],[indicador de columna]],FALSE)</f>
        <v>0</v>
      </c>
      <c r="Y121" s="90">
        <f>+VLOOKUP(PROVEEDORES[[#This Row],[ID RETENCION]],Retenciones!$A$1:$O$25,2,FALSE)</f>
        <v>0</v>
      </c>
      <c r="Z121" s="116" t="b">
        <f>OR(COUNTIF(PROVEEDORES[[#This Row],[PROVEEDOR]],"*"&amp;'Palabra no opera'!$A$2&amp;"*"))</f>
        <v>1</v>
      </c>
      <c r="AA121" s="24"/>
      <c r="AB121" s="24"/>
      <c r="AC121" s="24"/>
      <c r="AD121" s="24"/>
      <c r="AE121" s="24"/>
    </row>
    <row r="122" spans="1:31" ht="22.35" customHeight="1" x14ac:dyDescent="0.3">
      <c r="A122" s="61" t="str">
        <f>+IF(PROVEEDORES[[#This Row],[FECHA DE PAGO]]=PROVEEDORES[[#This Row],[FECHA DE FACTURACIÓN]],"DE CONTADO","CRÉDITO")</f>
        <v>CRÉDITO</v>
      </c>
      <c r="B122" s="38" t="b">
        <f>+IF((PROVEEDORES[[#This Row],[FECHA DE PAGO]]-PROVEEDORES[[#This Row],[FECHA DE FACTURACIÓN]])&gt;PROVEEDORES[[#This Row],[PLAZO Días]],"PAGO VENCIDO")</f>
        <v>0</v>
      </c>
      <c r="C122" s="20">
        <f>+VLOOKUP(PROVEEDORES[[#This Row],[PROVEEDOR]],TERCEROS_INFO[#All],2,FALSE)</f>
        <v>30</v>
      </c>
      <c r="D122" s="25">
        <f>+SUMIFS(PROVEEDORES[Total],PROVEEDORES[PROVEEDOR],PROVEEDORES[[#This Row],[PROVEEDOR]],PROVEEDORES[FECHA DE PAGO],"")</f>
        <v>0</v>
      </c>
      <c r="E122" s="25"/>
      <c r="F122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22" s="68">
        <v>44617</v>
      </c>
      <c r="H122" s="26" t="s">
        <v>635</v>
      </c>
      <c r="I122" s="68">
        <v>44593</v>
      </c>
      <c r="J122" s="35">
        <v>2200</v>
      </c>
      <c r="K122" s="21">
        <v>2789636</v>
      </c>
      <c r="L122" s="21"/>
      <c r="M122" s="22">
        <f>(PROVEEDORES[[#This Row],[SUBTOTAL]]-PROVEEDORES[[#This Row],[descuento sobre subtotal]])*VLOOKUP(PROVEEDORES[[#This Row],[PROVEEDOR]],TERCEROS_INFO[#All],3,FALSE)</f>
        <v>0</v>
      </c>
      <c r="N122" s="23"/>
      <c r="O122" s="22">
        <f>+PROVEEDORES[[#This Row],[Descuento sobre subtotal %]]*(PROVEEDORES[[#This Row],[SUBTOTAL]]-PROVEEDORES[[#This Row],[descuento sobre subtotal]])</f>
        <v>0</v>
      </c>
      <c r="P122" s="74">
        <f>+IF(PROVEEDORES[[#This Row],[SUBTOTAL]]&lt;PROVEEDORES[[#This Row],[base retencion]],0,PROVEEDORES[[#This Row],[retención aplicada]])</f>
        <v>3.5000000000000003E-2</v>
      </c>
      <c r="Q122" s="22">
        <f>+PROVEEDORES[[#This Row],[Rete Fuente %]]*(PROVEEDORES[[#This Row],[SUBTOTAL]]-PROVEEDORES[[#This Row],[descuento sobre subtotal]])</f>
        <v>97637.260000000009</v>
      </c>
      <c r="R122" s="21">
        <v>2691998.74</v>
      </c>
      <c r="S12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63">
        <f ca="1">IF(PROVEEDORES[[#This Row],[FECHA DE PAGO]]=0,TODAY()-PROVEEDORES[[#This Row],[FECHA DE FACTURACIÓN]]-PROVEEDORES[[#This Row],[PLAZO Días]],0)</f>
        <v>0</v>
      </c>
      <c r="U122" s="87" t="str">
        <f>+VLOOKUP(PROVEEDORES[[#This Row],[PROVEEDOR]],Terceros!$A:$D,4,FALSE)</f>
        <v>3,5% sin base</v>
      </c>
      <c r="V122" s="88">
        <f>+YEAR(PROVEEDORES[[#This Row],[FECHA DE FACTURACIÓN]])</f>
        <v>2022</v>
      </c>
      <c r="W122" s="88">
        <f>+MATCH(PROVEEDORES[[#This Row],[año facturado]],Retenciones!$1:$1,0)</f>
        <v>5</v>
      </c>
      <c r="X122" s="89">
        <f>+VLOOKUP(PROVEEDORES[[#This Row],[ID RETENCION]],Retenciones!$A$1:$O$25,PROVEEDORES[[#This Row],[indicador de columna]],FALSE)</f>
        <v>0</v>
      </c>
      <c r="Y122" s="90">
        <f>+VLOOKUP(PROVEEDORES[[#This Row],[ID RETENCION]],Retenciones!$A$1:$O$25,2,FALSE)</f>
        <v>3.5000000000000003E-2</v>
      </c>
      <c r="Z122" s="116" t="b">
        <f>OR(COUNTIF(PROVEEDORES[[#This Row],[PROVEEDOR]],"*"&amp;'Palabra no opera'!$A$2&amp;"*"))</f>
        <v>1</v>
      </c>
      <c r="AA122" s="24"/>
      <c r="AB122" s="24"/>
      <c r="AC122" s="24"/>
      <c r="AD122" s="24"/>
      <c r="AE122" s="24"/>
    </row>
    <row r="123" spans="1:31" ht="22.35" customHeight="1" x14ac:dyDescent="0.3">
      <c r="A123" s="61" t="str">
        <f>+IF(PROVEEDORES[[#This Row],[FECHA DE PAGO]]=PROVEEDORES[[#This Row],[FECHA DE FACTURACIÓN]],"DE CONTADO","CRÉDITO")</f>
        <v>CRÉDITO</v>
      </c>
      <c r="B123" s="38" t="b">
        <f>+IF((PROVEEDORES[[#This Row],[FECHA DE PAGO]]-PROVEEDORES[[#This Row],[FECHA DE FACTURACIÓN]])&gt;PROVEEDORES[[#This Row],[PLAZO Días]],"PAGO VENCIDO")</f>
        <v>0</v>
      </c>
      <c r="C123" s="20">
        <f>+VLOOKUP(PROVEEDORES[[#This Row],[PROVEEDOR]],TERCEROS_INFO[#All],2,FALSE)</f>
        <v>30</v>
      </c>
      <c r="D123" s="25">
        <f>+SUMIFS(PROVEEDORES[Total],PROVEEDORES[PROVEEDOR],PROVEEDORES[[#This Row],[PROVEEDOR]],PROVEEDORES[FECHA DE PAGO],"")</f>
        <v>0</v>
      </c>
      <c r="E123" s="25"/>
      <c r="F123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23" s="68">
        <v>44617</v>
      </c>
      <c r="H123" s="26" t="s">
        <v>638</v>
      </c>
      <c r="I123" s="68">
        <v>44593</v>
      </c>
      <c r="J123" s="35" t="s">
        <v>437</v>
      </c>
      <c r="K123" s="21">
        <v>3958317</v>
      </c>
      <c r="L123" s="21"/>
      <c r="M123" s="22">
        <f>(PROVEEDORES[[#This Row],[SUBTOTAL]]-PROVEEDORES[[#This Row],[descuento sobre subtotal]])*VLOOKUP(PROVEEDORES[[#This Row],[PROVEEDOR]],TERCEROS_INFO[#All],3,FALSE)</f>
        <v>752080.23</v>
      </c>
      <c r="N123" s="23"/>
      <c r="O123" s="22">
        <f>+PROVEEDORES[[#This Row],[Descuento sobre subtotal %]]*(PROVEEDORES[[#This Row],[SUBTOTAL]]-PROVEEDORES[[#This Row],[descuento sobre subtotal]])</f>
        <v>0</v>
      </c>
      <c r="P123" s="74">
        <f>+IF(PROVEEDORES[[#This Row],[SUBTOTAL]]&lt;PROVEEDORES[[#This Row],[base retencion]],0,PROVEEDORES[[#This Row],[retención aplicada]])</f>
        <v>3.5000000000000003E-2</v>
      </c>
      <c r="Q123" s="22">
        <f>+PROVEEDORES[[#This Row],[Rete Fuente %]]*(PROVEEDORES[[#This Row],[SUBTOTAL]]-PROVEEDORES[[#This Row],[descuento sobre subtotal]])</f>
        <v>138541.095</v>
      </c>
      <c r="R123" s="21">
        <v>3819775.9049999998</v>
      </c>
      <c r="S12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63">
        <f ca="1">IF(PROVEEDORES[[#This Row],[FECHA DE PAGO]]=0,TODAY()-PROVEEDORES[[#This Row],[FECHA DE FACTURACIÓN]]-PROVEEDORES[[#This Row],[PLAZO Días]],0)</f>
        <v>0</v>
      </c>
      <c r="U123" s="87" t="str">
        <f>+VLOOKUP(PROVEEDORES[[#This Row],[PROVEEDOR]],Terceros!$A:$D,4,FALSE)</f>
        <v>3,5% sin base</v>
      </c>
      <c r="V123" s="88">
        <f>+YEAR(PROVEEDORES[[#This Row],[FECHA DE FACTURACIÓN]])</f>
        <v>2022</v>
      </c>
      <c r="W123" s="88">
        <f>+MATCH(PROVEEDORES[[#This Row],[año facturado]],Retenciones!$1:$1,0)</f>
        <v>5</v>
      </c>
      <c r="X123" s="89">
        <f>+VLOOKUP(PROVEEDORES[[#This Row],[ID RETENCION]],Retenciones!$A$1:$O$25,PROVEEDORES[[#This Row],[indicador de columna]],FALSE)</f>
        <v>0</v>
      </c>
      <c r="Y123" s="90">
        <f>+VLOOKUP(PROVEEDORES[[#This Row],[ID RETENCION]],Retenciones!$A$1:$O$25,2,FALSE)</f>
        <v>3.5000000000000003E-2</v>
      </c>
      <c r="Z123" s="116" t="b">
        <f>OR(COUNTIF(PROVEEDORES[[#This Row],[PROVEEDOR]],"*"&amp;'Palabra no opera'!$A$2&amp;"*"))</f>
        <v>1</v>
      </c>
      <c r="AA123" s="24"/>
      <c r="AB123" s="24"/>
      <c r="AC123" s="24"/>
      <c r="AD123" s="24"/>
      <c r="AE123" s="24"/>
    </row>
    <row r="124" spans="1:31" ht="22.35" customHeight="1" x14ac:dyDescent="0.3">
      <c r="A124" s="61" t="str">
        <f>+IF(PROVEEDORES[[#This Row],[FECHA DE PAGO]]=PROVEEDORES[[#This Row],[FECHA DE FACTURACIÓN]],"DE CONTADO","CRÉDITO")</f>
        <v>CRÉDITO</v>
      </c>
      <c r="B124" s="38" t="b">
        <f>+IF((PROVEEDORES[[#This Row],[FECHA DE PAGO]]-PROVEEDORES[[#This Row],[FECHA DE FACTURACIÓN]])&gt;PROVEEDORES[[#This Row],[PLAZO Días]],"PAGO VENCIDO")</f>
        <v>0</v>
      </c>
      <c r="C124" s="20">
        <f>+VLOOKUP(PROVEEDORES[[#This Row],[PROVEEDOR]],TERCEROS_INFO[#All],2,FALSE)</f>
        <v>30</v>
      </c>
      <c r="D124" s="25">
        <f>+SUMIFS(PROVEEDORES[Total],PROVEEDORES[PROVEEDOR],PROVEEDORES[[#This Row],[PROVEEDOR]],PROVEEDORES[FECHA DE PAGO],"")</f>
        <v>0</v>
      </c>
      <c r="E124" s="25"/>
      <c r="F124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24" s="68">
        <v>44617</v>
      </c>
      <c r="H124" s="26" t="s">
        <v>651</v>
      </c>
      <c r="I124" s="68">
        <v>44593</v>
      </c>
      <c r="J124" s="35">
        <v>4124</v>
      </c>
      <c r="K124" s="21">
        <v>215356</v>
      </c>
      <c r="L124" s="21"/>
      <c r="M124" s="22">
        <f>(PROVEEDORES[[#This Row],[SUBTOTAL]]-PROVEEDORES[[#This Row],[descuento sobre subtotal]])*VLOOKUP(PROVEEDORES[[#This Row],[PROVEEDOR]],TERCEROS_INFO[#All],3,FALSE)</f>
        <v>40917.64</v>
      </c>
      <c r="N124" s="23"/>
      <c r="O124" s="22">
        <f>+PROVEEDORES[[#This Row],[Descuento sobre subtotal %]]*(PROVEEDORES[[#This Row],[SUBTOTAL]]-PROVEEDORES[[#This Row],[descuento sobre subtotal]])</f>
        <v>0</v>
      </c>
      <c r="P124" s="74">
        <f>+IF(PROVEEDORES[[#This Row],[SUBTOTAL]]&lt;PROVEEDORES[[#This Row],[base retencion]],0,PROVEEDORES[[#This Row],[retención aplicada]])</f>
        <v>3.5000000000000003E-2</v>
      </c>
      <c r="Q124" s="22">
        <f>+PROVEEDORES[[#This Row],[Rete Fuente %]]*(PROVEEDORES[[#This Row],[SUBTOTAL]]-PROVEEDORES[[#This Row],[descuento sobre subtotal]])</f>
        <v>7537.4600000000009</v>
      </c>
      <c r="R124" s="21">
        <v>248736.18000000002</v>
      </c>
      <c r="S12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63">
        <f ca="1">IF(PROVEEDORES[[#This Row],[FECHA DE PAGO]]=0,TODAY()-PROVEEDORES[[#This Row],[FECHA DE FACTURACIÓN]]-PROVEEDORES[[#This Row],[PLAZO Días]],0)</f>
        <v>0</v>
      </c>
      <c r="U124" s="87" t="str">
        <f>+VLOOKUP(PROVEEDORES[[#This Row],[PROVEEDOR]],Terceros!$A:$D,4,FALSE)</f>
        <v>3,5% sin base</v>
      </c>
      <c r="V124" s="88">
        <f>+YEAR(PROVEEDORES[[#This Row],[FECHA DE FACTURACIÓN]])</f>
        <v>2022</v>
      </c>
      <c r="W124" s="88">
        <f>+MATCH(PROVEEDORES[[#This Row],[año facturado]],Retenciones!$1:$1,0)</f>
        <v>5</v>
      </c>
      <c r="X124" s="89">
        <f>+VLOOKUP(PROVEEDORES[[#This Row],[ID RETENCION]],Retenciones!$A$1:$O$25,PROVEEDORES[[#This Row],[indicador de columna]],FALSE)</f>
        <v>0</v>
      </c>
      <c r="Y124" s="90">
        <f>+VLOOKUP(PROVEEDORES[[#This Row],[ID RETENCION]],Retenciones!$A$1:$O$25,2,FALSE)</f>
        <v>3.5000000000000003E-2</v>
      </c>
      <c r="Z124" s="116" t="b">
        <f>OR(COUNTIF(PROVEEDORES[[#This Row],[PROVEEDOR]],"*"&amp;'Palabra no opera'!$A$2&amp;"*"))</f>
        <v>1</v>
      </c>
      <c r="AA124" s="24"/>
      <c r="AB124" s="24"/>
      <c r="AC124" s="24"/>
      <c r="AD124" s="24"/>
      <c r="AE124" s="24"/>
    </row>
    <row r="125" spans="1:31" ht="22.35" customHeight="1" x14ac:dyDescent="0.3">
      <c r="A125" s="61" t="str">
        <f>+IF(PROVEEDORES[[#This Row],[FECHA DE PAGO]]=PROVEEDORES[[#This Row],[FECHA DE FACTURACIÓN]],"DE CONTADO","CRÉDITO")</f>
        <v>CRÉDITO</v>
      </c>
      <c r="B125" s="38" t="str">
        <f>+IF((PROVEEDORES[[#This Row],[FECHA DE PAGO]]-PROVEEDORES[[#This Row],[FECHA DE FACTURACIÓN]])&gt;PROVEEDORES[[#This Row],[PLAZO Días]],"PAGO VENCIDO")</f>
        <v>PAGO VENCIDO</v>
      </c>
      <c r="C125" s="20">
        <f>+VLOOKUP(PROVEEDORES[[#This Row],[PROVEEDOR]],TERCEROS_INFO[#All],2,FALSE)</f>
        <v>20</v>
      </c>
      <c r="D125" s="25">
        <f>+SUMIFS(PROVEEDORES[Total],PROVEEDORES[PROVEEDOR],PROVEEDORES[[#This Row],[PROVEEDOR]],PROVEEDORES[FECHA DE PAGO],"")</f>
        <v>0</v>
      </c>
      <c r="E125" s="25"/>
      <c r="F125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25" s="68">
        <v>44617</v>
      </c>
      <c r="H125" s="26" t="s">
        <v>652</v>
      </c>
      <c r="I125" s="68">
        <v>44593</v>
      </c>
      <c r="J125" s="35">
        <v>41982</v>
      </c>
      <c r="K125" s="21">
        <v>4430000</v>
      </c>
      <c r="L125" s="21"/>
      <c r="M125" s="22">
        <v>841700</v>
      </c>
      <c r="N125" s="23"/>
      <c r="O125" s="22">
        <f>+PROVEEDORES[[#This Row],[Descuento sobre subtotal %]]*(PROVEEDORES[[#This Row],[SUBTOTAL]]-PROVEEDORES[[#This Row],[descuento sobre subtotal]])</f>
        <v>0</v>
      </c>
      <c r="P125" s="74">
        <f>+IF(PROVEEDORES[[#This Row],[SUBTOTAL]]&lt;PROVEEDORES[[#This Row],[base retencion]],0,PROVEEDORES[[#This Row],[retención aplicada]])</f>
        <v>3.5000000000000003E-2</v>
      </c>
      <c r="Q125" s="22">
        <f>+PROVEEDORES[[#This Row],[Rete Fuente %]]*(PROVEEDORES[[#This Row],[SUBTOTAL]]-PROVEEDORES[[#This Row],[descuento sobre subtotal]])</f>
        <v>155050.00000000003</v>
      </c>
      <c r="R125" s="21">
        <v>5116650</v>
      </c>
      <c r="S12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63">
        <f ca="1">IF(PROVEEDORES[[#This Row],[FECHA DE PAGO]]=0,TODAY()-PROVEEDORES[[#This Row],[FECHA DE FACTURACIÓN]]-PROVEEDORES[[#This Row],[PLAZO Días]],0)</f>
        <v>0</v>
      </c>
      <c r="U125" s="87" t="str">
        <f>+VLOOKUP(PROVEEDORES[[#This Row],[PROVEEDOR]],Terceros!$A:$D,4,FALSE)</f>
        <v>3,5% sin base</v>
      </c>
      <c r="V125" s="88">
        <f>+YEAR(PROVEEDORES[[#This Row],[FECHA DE FACTURACIÓN]])</f>
        <v>2022</v>
      </c>
      <c r="W125" s="88">
        <f>+MATCH(PROVEEDORES[[#This Row],[año facturado]],Retenciones!$1:$1,0)</f>
        <v>5</v>
      </c>
      <c r="X125" s="89">
        <f>+VLOOKUP(PROVEEDORES[[#This Row],[ID RETENCION]],Retenciones!$A$1:$O$25,PROVEEDORES[[#This Row],[indicador de columna]],FALSE)</f>
        <v>0</v>
      </c>
      <c r="Y125" s="90">
        <f>+VLOOKUP(PROVEEDORES[[#This Row],[ID RETENCION]],Retenciones!$A$1:$O$25,2,FALSE)</f>
        <v>3.5000000000000003E-2</v>
      </c>
      <c r="Z125" s="117" t="b">
        <f>OR(COUNTIF(PROVEEDORES[[#This Row],[PROVEEDOR]],"*"&amp;'Palabra no opera'!$A$2&amp;"*"))</f>
        <v>1</v>
      </c>
      <c r="AA125" s="24"/>
      <c r="AB125" s="24"/>
      <c r="AC125" s="24"/>
      <c r="AD125" s="24"/>
      <c r="AE125" s="24"/>
    </row>
    <row r="126" spans="1:31" ht="22.35" customHeight="1" x14ac:dyDescent="0.3">
      <c r="A126" s="61" t="str">
        <f>+IF(PROVEEDORES[[#This Row],[FECHA DE PAGO]]=PROVEEDORES[[#This Row],[FECHA DE FACTURACIÓN]],"DE CONTADO","CRÉDITO")</f>
        <v>CRÉDITO</v>
      </c>
      <c r="B126" s="38" t="str">
        <f>+IF((PROVEEDORES[[#This Row],[FECHA DE PAGO]]-PROVEEDORES[[#This Row],[FECHA DE FACTURACIÓN]])&gt;PROVEEDORES[[#This Row],[PLAZO Días]],"PAGO VENCIDO")</f>
        <v>PAGO VENCIDO</v>
      </c>
      <c r="C126" s="20">
        <f>+VLOOKUP(PROVEEDORES[[#This Row],[PROVEEDOR]],TERCEROS_INFO[#All],2,FALSE)</f>
        <v>30</v>
      </c>
      <c r="D126" s="25">
        <f>+SUMIFS(PROVEEDORES[Total],PROVEEDORES[PROVEEDOR],PROVEEDORES[[#This Row],[PROVEEDOR]],PROVEEDORES[FECHA DE PAGO],"")</f>
        <v>0</v>
      </c>
      <c r="E126" s="25"/>
      <c r="F126" s="56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26" s="68">
        <v>44620</v>
      </c>
      <c r="H126" s="26" t="s">
        <v>352</v>
      </c>
      <c r="I126" s="68">
        <v>44587</v>
      </c>
      <c r="J126" s="35" t="s">
        <v>995</v>
      </c>
      <c r="K126" s="21">
        <v>1412800</v>
      </c>
      <c r="L126" s="21"/>
      <c r="M126" s="22">
        <f>(PROVEEDORES[[#This Row],[SUBTOTAL]]-PROVEEDORES[[#This Row],[descuento sobre subtotal]])*VLOOKUP(PROVEEDORES[[#This Row],[PROVEEDOR]],TERCEROS_INFO[#All],3,FALSE)</f>
        <v>0</v>
      </c>
      <c r="N126" s="23"/>
      <c r="O126" s="22">
        <f>+PROVEEDORES[[#This Row],[Descuento sobre subtotal %]]*(PROVEEDORES[[#This Row],[SUBTOTAL]]-PROVEEDORES[[#This Row],[descuento sobre subtotal]])</f>
        <v>0</v>
      </c>
      <c r="P126" s="74">
        <f>+IF(PROVEEDORES[[#This Row],[SUBTOTAL]]&lt;PROVEEDORES[[#This Row],[base retencion]],0,PROVEEDORES[[#This Row],[retención aplicada]])</f>
        <v>0</v>
      </c>
      <c r="Q126" s="22">
        <f>+PROVEEDORES[[#This Row],[Rete Fuente %]]*(PROVEEDORES[[#This Row],[SUBTOTAL]]-PROVEEDORES[[#This Row],[descuento sobre subtotal]])</f>
        <v>0</v>
      </c>
      <c r="R126" s="21">
        <v>1412800</v>
      </c>
      <c r="S12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63">
        <f ca="1">IF(PROVEEDORES[[#This Row],[FECHA DE PAGO]]=0,TODAY()-PROVEEDORES[[#This Row],[FECHA DE FACTURACIÓN]]-PROVEEDORES[[#This Row],[PLAZO Días]],0)</f>
        <v>0</v>
      </c>
      <c r="U126" s="87">
        <f>+VLOOKUP(PROVEEDORES[[#This Row],[PROVEEDOR]],Terceros!$A:$D,4,FALSE)</f>
        <v>0</v>
      </c>
      <c r="V126" s="88">
        <f>+YEAR(PROVEEDORES[[#This Row],[FECHA DE FACTURACIÓN]])</f>
        <v>2022</v>
      </c>
      <c r="W126" s="88">
        <f>+MATCH(PROVEEDORES[[#This Row],[año facturado]],Retenciones!$1:$1,0)</f>
        <v>5</v>
      </c>
      <c r="X126" s="89">
        <f>+VLOOKUP(PROVEEDORES[[#This Row],[ID RETENCION]],Retenciones!$A$1:$O$25,PROVEEDORES[[#This Row],[indicador de columna]],FALSE)</f>
        <v>0</v>
      </c>
      <c r="Y126" s="90">
        <f>+VLOOKUP(PROVEEDORES[[#This Row],[ID RETENCION]],Retenciones!$A$1:$O$25,2,FALSE)</f>
        <v>0</v>
      </c>
      <c r="Z126" s="116" t="b">
        <f>OR(COUNTIF(PROVEEDORES[[#This Row],[PROVEEDOR]],"*"&amp;'Palabra no opera'!$A$2&amp;"*"))</f>
        <v>0</v>
      </c>
      <c r="AA126" s="24"/>
      <c r="AB126" s="24"/>
      <c r="AC126" s="24"/>
      <c r="AD126" s="24"/>
      <c r="AE126" s="24"/>
    </row>
    <row r="127" spans="1:31" ht="22.35" customHeight="1" x14ac:dyDescent="0.3">
      <c r="A127" s="61" t="str">
        <f>+IF(PROVEEDORES[[#This Row],[FECHA DE PAGO]]=PROVEEDORES[[#This Row],[FECHA DE FACTURACIÓN]],"DE CONTADO","CRÉDITO")</f>
        <v>DE CONTADO</v>
      </c>
      <c r="B127" s="38" t="b">
        <f>+IF((PROVEEDORES[[#This Row],[FECHA DE PAGO]]-PROVEEDORES[[#This Row],[FECHA DE FACTURACIÓN]])&gt;PROVEEDORES[[#This Row],[PLAZO Días]],"PAGO VENCIDO")</f>
        <v>0</v>
      </c>
      <c r="C127" s="20">
        <f>+VLOOKUP(PROVEEDORES[[#This Row],[PROVEEDOR]],TERCEROS_INFO[#All],2,FALSE)</f>
        <v>30</v>
      </c>
      <c r="D127" s="25">
        <f>+SUMIFS(PROVEEDORES[Total],PROVEEDORES[PROVEEDOR],PROVEEDORES[[#This Row],[PROVEEDOR]],PROVEEDORES[FECHA DE PAGO],"")</f>
        <v>0</v>
      </c>
      <c r="E127" s="25"/>
      <c r="F127" s="56" t="str">
        <f>+VLOOKUP(PROVEEDORES[[#This Row],[PROVEEDOR]],
                       Terceros!$A:$F,
                       5,
                       FALSE)</f>
        <v/>
      </c>
      <c r="G127" s="68">
        <v>44620</v>
      </c>
      <c r="H127" s="26" t="s">
        <v>362</v>
      </c>
      <c r="I127" s="68">
        <v>44620</v>
      </c>
      <c r="J127" s="35" t="s">
        <v>318</v>
      </c>
      <c r="K127" s="21">
        <v>442</v>
      </c>
      <c r="L127" s="21"/>
      <c r="M127" s="22">
        <f>(PROVEEDORES[[#This Row],[SUBTOTAL]]-PROVEEDORES[[#This Row],[descuento sobre subtotal]])*VLOOKUP(PROVEEDORES[[#This Row],[PROVEEDOR]],TERCEROS_INFO[#All],3,FALSE)</f>
        <v>0</v>
      </c>
      <c r="N127" s="23"/>
      <c r="O127" s="22">
        <f>+PROVEEDORES[[#This Row],[Descuento sobre subtotal %]]*(PROVEEDORES[[#This Row],[SUBTOTAL]]-PROVEEDORES[[#This Row],[descuento sobre subtotal]])</f>
        <v>0</v>
      </c>
      <c r="P127" s="74">
        <f>+IF(PROVEEDORES[[#This Row],[SUBTOTAL]]&lt;PROVEEDORES[[#This Row],[base retencion]],0,PROVEEDORES[[#This Row],[retención aplicada]])</f>
        <v>0</v>
      </c>
      <c r="Q127" s="22">
        <f>+PROVEEDORES[[#This Row],[Rete Fuente %]]*(PROVEEDORES[[#This Row],[SUBTOTAL]]-PROVEEDORES[[#This Row],[descuento sobre subtotal]])</f>
        <v>0</v>
      </c>
      <c r="R127" s="21">
        <v>442</v>
      </c>
      <c r="S12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63">
        <f ca="1">IF(PROVEEDORES[[#This Row],[FECHA DE PAGO]]=0,TODAY()-PROVEEDORES[[#This Row],[FECHA DE FACTURACIÓN]]-PROVEEDORES[[#This Row],[PLAZO Días]],0)</f>
        <v>0</v>
      </c>
      <c r="U127" s="87">
        <f>+VLOOKUP(PROVEEDORES[[#This Row],[PROVEEDOR]],Terceros!$A:$D,4,FALSE)</f>
        <v>0</v>
      </c>
      <c r="V127" s="88">
        <f>+YEAR(PROVEEDORES[[#This Row],[FECHA DE FACTURACIÓN]])</f>
        <v>2022</v>
      </c>
      <c r="W127" s="88">
        <f>+MATCH(PROVEEDORES[[#This Row],[año facturado]],Retenciones!$1:$1,0)</f>
        <v>5</v>
      </c>
      <c r="X127" s="89">
        <f>+VLOOKUP(PROVEEDORES[[#This Row],[ID RETENCION]],Retenciones!$A$1:$O$25,PROVEEDORES[[#This Row],[indicador de columna]],FALSE)</f>
        <v>0</v>
      </c>
      <c r="Y127" s="90">
        <f>+VLOOKUP(PROVEEDORES[[#This Row],[ID RETENCION]],Retenciones!$A$1:$O$25,2,FALSE)</f>
        <v>0</v>
      </c>
      <c r="Z127" s="116" t="b">
        <f>OR(COUNTIF(PROVEEDORES[[#This Row],[PROVEEDOR]],"*"&amp;'Palabra no opera'!$A$2&amp;"*"))</f>
        <v>0</v>
      </c>
      <c r="AA127" s="24"/>
      <c r="AB127" s="24"/>
      <c r="AC127" s="24"/>
      <c r="AD127" s="24"/>
      <c r="AE127" s="24"/>
    </row>
    <row r="128" spans="1:31" ht="22.35" customHeight="1" x14ac:dyDescent="0.3">
      <c r="A128" s="61" t="str">
        <f>+IF(PROVEEDORES[[#This Row],[FECHA DE PAGO]]=PROVEEDORES[[#This Row],[FECHA DE FACTURACIÓN]],"DE CONTADO","CRÉDITO")</f>
        <v>DE CONTADO</v>
      </c>
      <c r="B128" s="38" t="b">
        <f>+IF((PROVEEDORES[[#This Row],[FECHA DE PAGO]]-PROVEEDORES[[#This Row],[FECHA DE FACTURACIÓN]])&gt;PROVEEDORES[[#This Row],[PLAZO Días]],"PAGO VENCIDO")</f>
        <v>0</v>
      </c>
      <c r="C128" s="20">
        <f>+VLOOKUP(PROVEEDORES[[#This Row],[PROVEEDOR]],TERCEROS_INFO[#All],2,FALSE)</f>
        <v>30</v>
      </c>
      <c r="D128" s="25">
        <f>+SUMIFS(PROVEEDORES[Total],PROVEEDORES[PROVEEDOR],PROVEEDORES[[#This Row],[PROVEEDOR]],PROVEEDORES[FECHA DE PAGO],"")</f>
        <v>0</v>
      </c>
      <c r="E128" s="25"/>
      <c r="F128" s="56" t="str">
        <f>+VLOOKUP(PROVEEDORES[[#This Row],[PROVEEDOR]],
                       Terceros!$A:$F,
                       5,
                       FALSE)</f>
        <v/>
      </c>
      <c r="G128" s="68">
        <v>44620</v>
      </c>
      <c r="H128" s="26" t="s">
        <v>362</v>
      </c>
      <c r="I128" s="68">
        <v>44620</v>
      </c>
      <c r="J128" s="35" t="s">
        <v>317</v>
      </c>
      <c r="K128" s="21">
        <v>45000</v>
      </c>
      <c r="L128" s="21"/>
      <c r="M128" s="22">
        <f>(PROVEEDORES[[#This Row],[SUBTOTAL]]-PROVEEDORES[[#This Row],[descuento sobre subtotal]])*VLOOKUP(PROVEEDORES[[#This Row],[PROVEEDOR]],TERCEROS_INFO[#All],3,FALSE)</f>
        <v>0</v>
      </c>
      <c r="N128" s="23"/>
      <c r="O128" s="22">
        <f>+PROVEEDORES[[#This Row],[Descuento sobre subtotal %]]*(PROVEEDORES[[#This Row],[SUBTOTAL]]-PROVEEDORES[[#This Row],[descuento sobre subtotal]])</f>
        <v>0</v>
      </c>
      <c r="P128" s="74">
        <f>+IF(PROVEEDORES[[#This Row],[SUBTOTAL]]&lt;PROVEEDORES[[#This Row],[base retencion]],0,PROVEEDORES[[#This Row],[retención aplicada]])</f>
        <v>0</v>
      </c>
      <c r="Q128" s="22">
        <f>+PROVEEDORES[[#This Row],[Rete Fuente %]]*(PROVEEDORES[[#This Row],[SUBTOTAL]]-PROVEEDORES[[#This Row],[descuento sobre subtotal]])</f>
        <v>0</v>
      </c>
      <c r="R128" s="21">
        <v>45000</v>
      </c>
      <c r="S12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63">
        <f ca="1">IF(PROVEEDORES[[#This Row],[FECHA DE PAGO]]=0,TODAY()-PROVEEDORES[[#This Row],[FECHA DE FACTURACIÓN]]-PROVEEDORES[[#This Row],[PLAZO Días]],0)</f>
        <v>0</v>
      </c>
      <c r="U128" s="87">
        <f>+VLOOKUP(PROVEEDORES[[#This Row],[PROVEEDOR]],Terceros!$A:$D,4,FALSE)</f>
        <v>0</v>
      </c>
      <c r="V128" s="88">
        <f>+YEAR(PROVEEDORES[[#This Row],[FECHA DE FACTURACIÓN]])</f>
        <v>2022</v>
      </c>
      <c r="W128" s="88">
        <f>+MATCH(PROVEEDORES[[#This Row],[año facturado]],Retenciones!$1:$1,0)</f>
        <v>5</v>
      </c>
      <c r="X128" s="89">
        <f>+VLOOKUP(PROVEEDORES[[#This Row],[ID RETENCION]],Retenciones!$A$1:$O$25,PROVEEDORES[[#This Row],[indicador de columna]],FALSE)</f>
        <v>0</v>
      </c>
      <c r="Y128" s="90">
        <f>+VLOOKUP(PROVEEDORES[[#This Row],[ID RETENCION]],Retenciones!$A$1:$O$25,2,FALSE)</f>
        <v>0</v>
      </c>
      <c r="Z128" s="116" t="b">
        <f>OR(COUNTIF(PROVEEDORES[[#This Row],[PROVEEDOR]],"*"&amp;'Palabra no opera'!$A$2&amp;"*"))</f>
        <v>0</v>
      </c>
      <c r="AA128" s="24"/>
      <c r="AB128" s="24"/>
      <c r="AC128" s="24"/>
      <c r="AD128" s="24"/>
      <c r="AE128" s="24"/>
    </row>
    <row r="129" spans="1:31" ht="22.35" customHeight="1" x14ac:dyDescent="0.3">
      <c r="A129" s="61" t="str">
        <f>+IF(PROVEEDORES[[#This Row],[FECHA DE PAGO]]=PROVEEDORES[[#This Row],[FECHA DE FACTURACIÓN]],"DE CONTADO","CRÉDITO")</f>
        <v>DE CONTADO</v>
      </c>
      <c r="B129" s="38" t="b">
        <f>+IF((PROVEEDORES[[#This Row],[FECHA DE PAGO]]-PROVEEDORES[[#This Row],[FECHA DE FACTURACIÓN]])&gt;PROVEEDORES[[#This Row],[PLAZO Días]],"PAGO VENCIDO")</f>
        <v>0</v>
      </c>
      <c r="C129" s="20">
        <f>+VLOOKUP(PROVEEDORES[[#This Row],[PROVEEDOR]],TERCEROS_INFO[#All],2,FALSE)</f>
        <v>30</v>
      </c>
      <c r="D129" s="25">
        <f>+SUMIFS(PROVEEDORES[Total],PROVEEDORES[PROVEEDOR],PROVEEDORES[[#This Row],[PROVEEDOR]],PROVEEDORES[FECHA DE PAGO],"")</f>
        <v>0</v>
      </c>
      <c r="E129" s="25"/>
      <c r="F129" s="56" t="str">
        <f>+VLOOKUP(PROVEEDORES[[#This Row],[PROVEEDOR]],
                       Terceros!$A:$F,
                       5,
                       FALSE)</f>
        <v/>
      </c>
      <c r="G129" s="68">
        <v>44620</v>
      </c>
      <c r="H129" s="26" t="s">
        <v>362</v>
      </c>
      <c r="I129" s="68">
        <v>44620</v>
      </c>
      <c r="J129" s="35" t="s">
        <v>319</v>
      </c>
      <c r="K129" s="21">
        <v>218000</v>
      </c>
      <c r="L129" s="21"/>
      <c r="M129" s="22">
        <f>(PROVEEDORES[[#This Row],[SUBTOTAL]]-PROVEEDORES[[#This Row],[descuento sobre subtotal]])*VLOOKUP(PROVEEDORES[[#This Row],[PROVEEDOR]],TERCEROS_INFO[#All],3,FALSE)</f>
        <v>0</v>
      </c>
      <c r="N129" s="23"/>
      <c r="O129" s="22">
        <f>+PROVEEDORES[[#This Row],[Descuento sobre subtotal %]]*(PROVEEDORES[[#This Row],[SUBTOTAL]]-PROVEEDORES[[#This Row],[descuento sobre subtotal]])</f>
        <v>0</v>
      </c>
      <c r="P129" s="74">
        <f>+IF(PROVEEDORES[[#This Row],[SUBTOTAL]]&lt;PROVEEDORES[[#This Row],[base retencion]],0,PROVEEDORES[[#This Row],[retención aplicada]])</f>
        <v>0</v>
      </c>
      <c r="Q129" s="22">
        <f>+PROVEEDORES[[#This Row],[Rete Fuente %]]*(PROVEEDORES[[#This Row],[SUBTOTAL]]-PROVEEDORES[[#This Row],[descuento sobre subtotal]])</f>
        <v>0</v>
      </c>
      <c r="R129" s="21">
        <v>218000</v>
      </c>
      <c r="S12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63">
        <f ca="1">IF(PROVEEDORES[[#This Row],[FECHA DE PAGO]]=0,TODAY()-PROVEEDORES[[#This Row],[FECHA DE FACTURACIÓN]]-PROVEEDORES[[#This Row],[PLAZO Días]],0)</f>
        <v>0</v>
      </c>
      <c r="U129" s="87">
        <f>+VLOOKUP(PROVEEDORES[[#This Row],[PROVEEDOR]],Terceros!$A:$D,4,FALSE)</f>
        <v>0</v>
      </c>
      <c r="V129" s="88">
        <f>+YEAR(PROVEEDORES[[#This Row],[FECHA DE FACTURACIÓN]])</f>
        <v>2022</v>
      </c>
      <c r="W129" s="88">
        <f>+MATCH(PROVEEDORES[[#This Row],[año facturado]],Retenciones!$1:$1,0)</f>
        <v>5</v>
      </c>
      <c r="X129" s="89">
        <f>+VLOOKUP(PROVEEDORES[[#This Row],[ID RETENCION]],Retenciones!$A$1:$O$25,PROVEEDORES[[#This Row],[indicador de columna]],FALSE)</f>
        <v>0</v>
      </c>
      <c r="Y129" s="90">
        <f>+VLOOKUP(PROVEEDORES[[#This Row],[ID RETENCION]],Retenciones!$A$1:$O$25,2,FALSE)</f>
        <v>0</v>
      </c>
      <c r="Z129" s="116" t="b">
        <f>OR(COUNTIF(PROVEEDORES[[#This Row],[PROVEEDOR]],"*"&amp;'Palabra no opera'!$A$2&amp;"*"))</f>
        <v>0</v>
      </c>
      <c r="AA129" s="24"/>
      <c r="AB129" s="24"/>
      <c r="AC129" s="24"/>
      <c r="AD129" s="24"/>
      <c r="AE129" s="24"/>
    </row>
    <row r="130" spans="1:31" ht="22.35" customHeight="1" x14ac:dyDescent="0.3">
      <c r="A130" s="61" t="str">
        <f>+IF(PROVEEDORES[[#This Row],[FECHA DE PAGO]]=PROVEEDORES[[#This Row],[FECHA DE FACTURACIÓN]],"DE CONTADO","CRÉDITO")</f>
        <v>DE CONTADO</v>
      </c>
      <c r="B130" s="38" t="b">
        <f>+IF((PROVEEDORES[[#This Row],[FECHA DE PAGO]]-PROVEEDORES[[#This Row],[FECHA DE FACTURACIÓN]])&gt;PROVEEDORES[[#This Row],[PLAZO Días]],"PAGO VENCIDO")</f>
        <v>0</v>
      </c>
      <c r="C130" s="20">
        <f>+VLOOKUP(PROVEEDORES[[#This Row],[PROVEEDOR]],TERCEROS_INFO[#All],2,FALSE)</f>
        <v>30</v>
      </c>
      <c r="D130" s="25">
        <f>+SUMIFS(PROVEEDORES[Total],PROVEEDORES[PROVEEDOR],PROVEEDORES[[#This Row],[PROVEEDOR]],PROVEEDORES[FECHA DE PAGO],"")</f>
        <v>0</v>
      </c>
      <c r="E130" s="25"/>
      <c r="F130" s="56" t="str">
        <f>+VLOOKUP(PROVEEDORES[[#This Row],[PROVEEDOR]],
                       Terceros!$A:$F,
                       5,
                       FALSE)</f>
        <v/>
      </c>
      <c r="G130" s="68">
        <v>44620</v>
      </c>
      <c r="H130" s="26" t="s">
        <v>362</v>
      </c>
      <c r="I130" s="68">
        <v>44620</v>
      </c>
      <c r="J130" s="35" t="s">
        <v>363</v>
      </c>
      <c r="K130" s="21">
        <v>220000</v>
      </c>
      <c r="L130" s="21"/>
      <c r="M130" s="22">
        <f>(PROVEEDORES[[#This Row],[SUBTOTAL]]-PROVEEDORES[[#This Row],[descuento sobre subtotal]])*VLOOKUP(PROVEEDORES[[#This Row],[PROVEEDOR]],TERCEROS_INFO[#All],3,FALSE)</f>
        <v>0</v>
      </c>
      <c r="N130" s="23"/>
      <c r="O130" s="22">
        <f>+PROVEEDORES[[#This Row],[Descuento sobre subtotal %]]*(PROVEEDORES[[#This Row],[SUBTOTAL]]-PROVEEDORES[[#This Row],[descuento sobre subtotal]])</f>
        <v>0</v>
      </c>
      <c r="P130" s="74">
        <f>+IF(PROVEEDORES[[#This Row],[SUBTOTAL]]&lt;PROVEEDORES[[#This Row],[base retencion]],0,PROVEEDORES[[#This Row],[retención aplicada]])</f>
        <v>0</v>
      </c>
      <c r="Q130" s="22">
        <f>+PROVEEDORES[[#This Row],[Rete Fuente %]]*(PROVEEDORES[[#This Row],[SUBTOTAL]]-PROVEEDORES[[#This Row],[descuento sobre subtotal]])</f>
        <v>0</v>
      </c>
      <c r="R130" s="21">
        <v>220000</v>
      </c>
      <c r="S13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63">
        <f ca="1">IF(PROVEEDORES[[#This Row],[FECHA DE PAGO]]=0,TODAY()-PROVEEDORES[[#This Row],[FECHA DE FACTURACIÓN]]-PROVEEDORES[[#This Row],[PLAZO Días]],0)</f>
        <v>0</v>
      </c>
      <c r="U130" s="87">
        <f>+VLOOKUP(PROVEEDORES[[#This Row],[PROVEEDOR]],Terceros!$A:$D,4,FALSE)</f>
        <v>0</v>
      </c>
      <c r="V130" s="88">
        <f>+YEAR(PROVEEDORES[[#This Row],[FECHA DE FACTURACIÓN]])</f>
        <v>2022</v>
      </c>
      <c r="W130" s="88">
        <f>+MATCH(PROVEEDORES[[#This Row],[año facturado]],Retenciones!$1:$1,0)</f>
        <v>5</v>
      </c>
      <c r="X130" s="89">
        <f>+VLOOKUP(PROVEEDORES[[#This Row],[ID RETENCION]],Retenciones!$A$1:$O$25,PROVEEDORES[[#This Row],[indicador de columna]],FALSE)</f>
        <v>0</v>
      </c>
      <c r="Y130" s="90">
        <f>+VLOOKUP(PROVEEDORES[[#This Row],[ID RETENCION]],Retenciones!$A$1:$O$25,2,FALSE)</f>
        <v>0</v>
      </c>
      <c r="Z130" s="116" t="b">
        <f>OR(COUNTIF(PROVEEDORES[[#This Row],[PROVEEDOR]],"*"&amp;'Palabra no opera'!$A$2&amp;"*"))</f>
        <v>0</v>
      </c>
      <c r="AA130" s="24"/>
      <c r="AB130" s="24"/>
      <c r="AC130" s="24"/>
      <c r="AD130" s="24"/>
      <c r="AE130" s="24"/>
    </row>
    <row r="131" spans="1:31" ht="22.35" customHeight="1" x14ac:dyDescent="0.3">
      <c r="A131" s="61" t="str">
        <f>+IF(PROVEEDORES[[#This Row],[FECHA DE PAGO]]=PROVEEDORES[[#This Row],[FECHA DE FACTURACIÓN]],"DE CONTADO","CRÉDITO")</f>
        <v>DE CONTADO</v>
      </c>
      <c r="B131" s="38" t="b">
        <f>+IF((PROVEEDORES[[#This Row],[FECHA DE PAGO]]-PROVEEDORES[[#This Row],[FECHA DE FACTURACIÓN]])&gt;PROVEEDORES[[#This Row],[PLAZO Días]],"PAGO VENCIDO")</f>
        <v>0</v>
      </c>
      <c r="C131" s="20">
        <f>+VLOOKUP(PROVEEDORES[[#This Row],[PROVEEDOR]],TERCEROS_INFO[#All],2,FALSE)</f>
        <v>30</v>
      </c>
      <c r="D131" s="25">
        <f>+SUMIFS(PROVEEDORES[Total],PROVEEDORES[PROVEEDOR],PROVEEDORES[[#This Row],[PROVEEDOR]],PROVEEDORES[FECHA DE PAGO],"")</f>
        <v>0</v>
      </c>
      <c r="E131" s="25"/>
      <c r="F131" s="56" t="str">
        <f>+VLOOKUP(PROVEEDORES[[#This Row],[PROVEEDOR]],
                       Terceros!$A:$F,
                       5,
                       FALSE)</f>
        <v/>
      </c>
      <c r="G131" s="68">
        <v>44620</v>
      </c>
      <c r="H131" s="26" t="s">
        <v>362</v>
      </c>
      <c r="I131" s="68">
        <v>44620</v>
      </c>
      <c r="J131" s="35" t="s">
        <v>139</v>
      </c>
      <c r="K131" s="21">
        <v>320000</v>
      </c>
      <c r="L131" s="21"/>
      <c r="M131" s="22">
        <f>(PROVEEDORES[[#This Row],[SUBTOTAL]]-PROVEEDORES[[#This Row],[descuento sobre subtotal]])*VLOOKUP(PROVEEDORES[[#This Row],[PROVEEDOR]],TERCEROS_INFO[#All],3,FALSE)</f>
        <v>0</v>
      </c>
      <c r="N131" s="23"/>
      <c r="O131" s="22">
        <f>+PROVEEDORES[[#This Row],[Descuento sobre subtotal %]]*(PROVEEDORES[[#This Row],[SUBTOTAL]]-PROVEEDORES[[#This Row],[descuento sobre subtotal]])</f>
        <v>0</v>
      </c>
      <c r="P131" s="74">
        <f>+IF(PROVEEDORES[[#This Row],[SUBTOTAL]]&lt;PROVEEDORES[[#This Row],[base retencion]],0,PROVEEDORES[[#This Row],[retención aplicada]])</f>
        <v>0</v>
      </c>
      <c r="Q131" s="22">
        <f>+PROVEEDORES[[#This Row],[Rete Fuente %]]*(PROVEEDORES[[#This Row],[SUBTOTAL]]-PROVEEDORES[[#This Row],[descuento sobre subtotal]])</f>
        <v>0</v>
      </c>
      <c r="R131" s="21">
        <v>320000</v>
      </c>
      <c r="S13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63">
        <f ca="1">IF(PROVEEDORES[[#This Row],[FECHA DE PAGO]]=0,TODAY()-PROVEEDORES[[#This Row],[FECHA DE FACTURACIÓN]]-PROVEEDORES[[#This Row],[PLAZO Días]],0)</f>
        <v>0</v>
      </c>
      <c r="U131" s="87">
        <f>+VLOOKUP(PROVEEDORES[[#This Row],[PROVEEDOR]],Terceros!$A:$D,4,FALSE)</f>
        <v>0</v>
      </c>
      <c r="V131" s="88">
        <f>+YEAR(PROVEEDORES[[#This Row],[FECHA DE FACTURACIÓN]])</f>
        <v>2022</v>
      </c>
      <c r="W131" s="88">
        <f>+MATCH(PROVEEDORES[[#This Row],[año facturado]],Retenciones!$1:$1,0)</f>
        <v>5</v>
      </c>
      <c r="X131" s="89">
        <f>+VLOOKUP(PROVEEDORES[[#This Row],[ID RETENCION]],Retenciones!$A$1:$O$25,PROVEEDORES[[#This Row],[indicador de columna]],FALSE)</f>
        <v>0</v>
      </c>
      <c r="Y131" s="90">
        <f>+VLOOKUP(PROVEEDORES[[#This Row],[ID RETENCION]],Retenciones!$A$1:$O$25,2,FALSE)</f>
        <v>0</v>
      </c>
      <c r="Z131" s="116" t="b">
        <f>OR(COUNTIF(PROVEEDORES[[#This Row],[PROVEEDOR]],"*"&amp;'Palabra no opera'!$A$2&amp;"*"))</f>
        <v>0</v>
      </c>
      <c r="AA131" s="24"/>
      <c r="AB131" s="24"/>
      <c r="AC131" s="24"/>
      <c r="AD131" s="24"/>
      <c r="AE131" s="24"/>
    </row>
    <row r="132" spans="1:31" ht="22.35" customHeight="1" x14ac:dyDescent="0.3">
      <c r="A132" s="61" t="str">
        <f>+IF(PROVEEDORES[[#This Row],[FECHA DE PAGO]]=PROVEEDORES[[#This Row],[FECHA DE FACTURACIÓN]],"DE CONTADO","CRÉDITO")</f>
        <v>DE CONTADO</v>
      </c>
      <c r="B132" s="38" t="b">
        <f>+IF((PROVEEDORES[[#This Row],[FECHA DE PAGO]]-PROVEEDORES[[#This Row],[FECHA DE FACTURACIÓN]])&gt;PROVEEDORES[[#This Row],[PLAZO Días]],"PAGO VENCIDO")</f>
        <v>0</v>
      </c>
      <c r="C132" s="20">
        <f>+VLOOKUP(PROVEEDORES[[#This Row],[PROVEEDOR]],TERCEROS_INFO[#All],2,FALSE)</f>
        <v>30</v>
      </c>
      <c r="D132" s="25">
        <f>+SUMIFS(PROVEEDORES[Total],PROVEEDORES[PROVEEDOR],PROVEEDORES[[#This Row],[PROVEEDOR]],PROVEEDORES[FECHA DE PAGO],"")</f>
        <v>0</v>
      </c>
      <c r="E132" s="25"/>
      <c r="F132" s="56" t="str">
        <f>+VLOOKUP(PROVEEDORES[[#This Row],[PROVEEDOR]],
                       Terceros!$A:$F,
                       5,
                       FALSE)</f>
        <v/>
      </c>
      <c r="G132" s="68">
        <v>44620</v>
      </c>
      <c r="H132" s="26" t="s">
        <v>362</v>
      </c>
      <c r="I132" s="68">
        <v>44620</v>
      </c>
      <c r="J132" s="35" t="s">
        <v>316</v>
      </c>
      <c r="K132" s="21">
        <v>4028650</v>
      </c>
      <c r="L132" s="21"/>
      <c r="M132" s="22">
        <f>(PROVEEDORES[[#This Row],[SUBTOTAL]]-PROVEEDORES[[#This Row],[descuento sobre subtotal]])*VLOOKUP(PROVEEDORES[[#This Row],[PROVEEDOR]],TERCEROS_INFO[#All],3,FALSE)</f>
        <v>0</v>
      </c>
      <c r="N132" s="23"/>
      <c r="O132" s="22">
        <f>+PROVEEDORES[[#This Row],[Descuento sobre subtotal %]]*(PROVEEDORES[[#This Row],[SUBTOTAL]]-PROVEEDORES[[#This Row],[descuento sobre subtotal]])</f>
        <v>0</v>
      </c>
      <c r="P132" s="74">
        <f>+IF(PROVEEDORES[[#This Row],[SUBTOTAL]]&lt;PROVEEDORES[[#This Row],[base retencion]],0,PROVEEDORES[[#This Row],[retención aplicada]])</f>
        <v>0</v>
      </c>
      <c r="Q132" s="22">
        <f>+PROVEEDORES[[#This Row],[Rete Fuente %]]*(PROVEEDORES[[#This Row],[SUBTOTAL]]-PROVEEDORES[[#This Row],[descuento sobre subtotal]])</f>
        <v>0</v>
      </c>
      <c r="R132" s="21">
        <v>4028650</v>
      </c>
      <c r="S13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63">
        <f ca="1">IF(PROVEEDORES[[#This Row],[FECHA DE PAGO]]=0,TODAY()-PROVEEDORES[[#This Row],[FECHA DE FACTURACIÓN]]-PROVEEDORES[[#This Row],[PLAZO Días]],0)</f>
        <v>0</v>
      </c>
      <c r="U132" s="87">
        <f>+VLOOKUP(PROVEEDORES[[#This Row],[PROVEEDOR]],Terceros!$A:$D,4,FALSE)</f>
        <v>0</v>
      </c>
      <c r="V132" s="88">
        <f>+YEAR(PROVEEDORES[[#This Row],[FECHA DE FACTURACIÓN]])</f>
        <v>2022</v>
      </c>
      <c r="W132" s="88">
        <f>+MATCH(PROVEEDORES[[#This Row],[año facturado]],Retenciones!$1:$1,0)</f>
        <v>5</v>
      </c>
      <c r="X132" s="89">
        <f>+VLOOKUP(PROVEEDORES[[#This Row],[ID RETENCION]],Retenciones!$A$1:$O$25,PROVEEDORES[[#This Row],[indicador de columna]],FALSE)</f>
        <v>0</v>
      </c>
      <c r="Y132" s="90">
        <f>+VLOOKUP(PROVEEDORES[[#This Row],[ID RETENCION]],Retenciones!$A$1:$O$25,2,FALSE)</f>
        <v>0</v>
      </c>
      <c r="Z132" s="116" t="b">
        <f>OR(COUNTIF(PROVEEDORES[[#This Row],[PROVEEDOR]],"*"&amp;'Palabra no opera'!$A$2&amp;"*"))</f>
        <v>0</v>
      </c>
      <c r="AA132" s="24"/>
      <c r="AB132" s="24"/>
      <c r="AC132" s="24"/>
      <c r="AD132" s="24"/>
      <c r="AE132" s="24"/>
    </row>
    <row r="133" spans="1:31" ht="22.35" customHeight="1" x14ac:dyDescent="0.3">
      <c r="A133" s="61" t="str">
        <f>+IF(PROVEEDORES[[#This Row],[FECHA DE PAGO]]=PROVEEDORES[[#This Row],[FECHA DE FACTURACIÓN]],"DE CONTADO","CRÉDITO")</f>
        <v>CRÉDITO</v>
      </c>
      <c r="B133" s="38" t="b">
        <f>+IF((PROVEEDORES[[#This Row],[FECHA DE PAGO]]-PROVEEDORES[[#This Row],[FECHA DE FACTURACIÓN]])&gt;PROVEEDORES[[#This Row],[PLAZO Días]],"PAGO VENCIDO")</f>
        <v>0</v>
      </c>
      <c r="C133" s="20">
        <f>+VLOOKUP(PROVEEDORES[[#This Row],[PROVEEDOR]],TERCEROS_INFO[#All],2,FALSE)</f>
        <v>30</v>
      </c>
      <c r="D133" s="25">
        <f>+SUMIFS(PROVEEDORES[Total],PROVEEDORES[PROVEEDOR],PROVEEDORES[[#This Row],[PROVEEDOR]],PROVEEDORES[FECHA DE PAGO],"")</f>
        <v>0</v>
      </c>
      <c r="E133" s="25"/>
      <c r="F133" s="56" t="str">
        <f>+VLOOKUP(PROVEEDORES[[#This Row],[PROVEEDOR]],
                       Terceros!$A:$F,
                       5,
                       FALSE)</f>
        <v/>
      </c>
      <c r="G133" s="68">
        <v>44620</v>
      </c>
      <c r="H133" s="26" t="s">
        <v>370</v>
      </c>
      <c r="I133" s="68">
        <v>44619</v>
      </c>
      <c r="J133" s="35" t="s">
        <v>371</v>
      </c>
      <c r="K133" s="21">
        <v>360000</v>
      </c>
      <c r="L133" s="21"/>
      <c r="M133" s="22">
        <f>(PROVEEDORES[[#This Row],[SUBTOTAL]]-PROVEEDORES[[#This Row],[descuento sobre subtotal]])*VLOOKUP(PROVEEDORES[[#This Row],[PROVEEDOR]],TERCEROS_INFO[#All],3,FALSE)</f>
        <v>0</v>
      </c>
      <c r="N133" s="23"/>
      <c r="O133" s="22">
        <f>+PROVEEDORES[[#This Row],[Descuento sobre subtotal %]]*(PROVEEDORES[[#This Row],[SUBTOTAL]]-PROVEEDORES[[#This Row],[descuento sobre subtotal]])</f>
        <v>0</v>
      </c>
      <c r="P133" s="74">
        <f>+IF(PROVEEDORES[[#This Row],[SUBTOTAL]]&lt;PROVEEDORES[[#This Row],[base retencion]],0,PROVEEDORES[[#This Row],[retención aplicada]])</f>
        <v>0</v>
      </c>
      <c r="Q133" s="22">
        <f>+PROVEEDORES[[#This Row],[Rete Fuente %]]*(PROVEEDORES[[#This Row],[SUBTOTAL]]-PROVEEDORES[[#This Row],[descuento sobre subtotal]])</f>
        <v>0</v>
      </c>
      <c r="R133" s="21">
        <v>360000</v>
      </c>
      <c r="S13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63">
        <f ca="1">IF(PROVEEDORES[[#This Row],[FECHA DE PAGO]]=0,TODAY()-PROVEEDORES[[#This Row],[FECHA DE FACTURACIÓN]]-PROVEEDORES[[#This Row],[PLAZO Días]],0)</f>
        <v>0</v>
      </c>
      <c r="U133" s="87">
        <f>+VLOOKUP(PROVEEDORES[[#This Row],[PROVEEDOR]],Terceros!$A:$D,4,FALSE)</f>
        <v>0</v>
      </c>
      <c r="V133" s="88">
        <f>+YEAR(PROVEEDORES[[#This Row],[FECHA DE FACTURACIÓN]])</f>
        <v>2022</v>
      </c>
      <c r="W133" s="88">
        <f>+MATCH(PROVEEDORES[[#This Row],[año facturado]],Retenciones!$1:$1,0)</f>
        <v>5</v>
      </c>
      <c r="X133" s="89">
        <f>+VLOOKUP(PROVEEDORES[[#This Row],[ID RETENCION]],Retenciones!$A$1:$O$25,PROVEEDORES[[#This Row],[indicador de columna]],FALSE)</f>
        <v>0</v>
      </c>
      <c r="Y133" s="90">
        <f>+VLOOKUP(PROVEEDORES[[#This Row],[ID RETENCION]],Retenciones!$A$1:$O$25,2,FALSE)</f>
        <v>0</v>
      </c>
      <c r="Z133" s="116" t="b">
        <f>OR(COUNTIF(PROVEEDORES[[#This Row],[PROVEEDOR]],"*"&amp;'Palabra no opera'!$A$2&amp;"*"))</f>
        <v>0</v>
      </c>
      <c r="AA133" s="24"/>
      <c r="AB133" s="24"/>
      <c r="AC133" s="24"/>
      <c r="AD133" s="24"/>
      <c r="AE133" s="24"/>
    </row>
    <row r="134" spans="1:31" ht="22.35" customHeight="1" x14ac:dyDescent="0.3">
      <c r="A134" s="61" t="str">
        <f>+IF(PROVEEDORES[[#This Row],[FECHA DE PAGO]]=PROVEEDORES[[#This Row],[FECHA DE FACTURACIÓN]],"DE CONTADO","CRÉDITO")</f>
        <v>CRÉDITO</v>
      </c>
      <c r="B134" s="38" t="str">
        <f>+IF((PROVEEDORES[[#This Row],[FECHA DE PAGO]]-PROVEEDORES[[#This Row],[FECHA DE FACTURACIÓN]])&gt;PROVEEDORES[[#This Row],[PLAZO Días]],"PAGO VENCIDO")</f>
        <v>PAGO VENCIDO</v>
      </c>
      <c r="C134" s="20">
        <f>+VLOOKUP(PROVEEDORES[[#This Row],[PROVEEDOR]],TERCEROS_INFO[#All],2,FALSE)</f>
        <v>30</v>
      </c>
      <c r="D134" s="25">
        <f>+SUMIFS(PROVEEDORES[Total],PROVEEDORES[PROVEEDOR],PROVEEDORES[[#This Row],[PROVEEDOR]],PROVEEDORES[FECHA DE PAGO],"")</f>
        <v>0</v>
      </c>
      <c r="E134" s="25"/>
      <c r="F134" s="56" t="str">
        <f>+VLOOKUP(PROVEEDORES[[#This Row],[PROVEEDOR]],
                       Terceros!$A:$F,
                       5,
                       FALSE)</f>
        <v/>
      </c>
      <c r="G134" s="68">
        <v>44620</v>
      </c>
      <c r="H134" s="26" t="s">
        <v>388</v>
      </c>
      <c r="I134" s="68">
        <v>44545</v>
      </c>
      <c r="J134" s="35" t="s">
        <v>886</v>
      </c>
      <c r="K134" s="21">
        <v>7060000</v>
      </c>
      <c r="L134" s="21"/>
      <c r="M134" s="22">
        <v>0</v>
      </c>
      <c r="N134" s="23"/>
      <c r="O134" s="22">
        <v>0</v>
      </c>
      <c r="P134" s="74">
        <f>+IF(PROVEEDORES[[#This Row],[SUBTOTAL]]&lt;PROVEEDORES[[#This Row],[base retencion]],0,PROVEEDORES[[#This Row],[retención aplicada]])</f>
        <v>0</v>
      </c>
      <c r="Q134" s="22">
        <f>+PROVEEDORES[[#This Row],[Rete Fuente %]]*(PROVEEDORES[[#This Row],[SUBTOTAL]]-PROVEEDORES[[#This Row],[descuento sobre subtotal]])</f>
        <v>0</v>
      </c>
      <c r="R134" s="21">
        <v>7060000</v>
      </c>
      <c r="S13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63">
        <f ca="1">IF(PROVEEDORES[[#This Row],[FECHA DE PAGO]]=0,TODAY()-PROVEEDORES[[#This Row],[FECHA DE FACTURACIÓN]]-PROVEEDORES[[#This Row],[PLAZO Días]],0)</f>
        <v>0</v>
      </c>
      <c r="U134" s="87">
        <f>+VLOOKUP(PROVEEDORES[[#This Row],[PROVEEDOR]],Terceros!$A:$D,4,FALSE)</f>
        <v>0</v>
      </c>
      <c r="V134" s="88">
        <f>+YEAR(PROVEEDORES[[#This Row],[FECHA DE FACTURACIÓN]])</f>
        <v>2021</v>
      </c>
      <c r="W134" s="88">
        <f>+MATCH(PROVEEDORES[[#This Row],[año facturado]],Retenciones!$1:$1,0)</f>
        <v>4</v>
      </c>
      <c r="X134" s="89">
        <f>+VLOOKUP(PROVEEDORES[[#This Row],[ID RETENCION]],Retenciones!$A$1:$O$25,PROVEEDORES[[#This Row],[indicador de columna]],FALSE)</f>
        <v>0</v>
      </c>
      <c r="Y134" s="90">
        <f>+VLOOKUP(PROVEEDORES[[#This Row],[ID RETENCION]],Retenciones!$A$1:$O$25,2,FALSE)</f>
        <v>0</v>
      </c>
      <c r="Z134" s="116" t="b">
        <f>OR(COUNTIF(PROVEEDORES[[#This Row],[PROVEEDOR]],"*"&amp;'Palabra no opera'!$A$2&amp;"*"))</f>
        <v>0</v>
      </c>
      <c r="AA134" s="24"/>
      <c r="AB134" s="24"/>
      <c r="AC134" s="24"/>
      <c r="AD134" s="24"/>
      <c r="AE134" s="24"/>
    </row>
    <row r="135" spans="1:31" ht="22.35" customHeight="1" x14ac:dyDescent="0.3">
      <c r="A135" s="61" t="str">
        <f>+IF(PROVEEDORES[[#This Row],[FECHA DE PAGO]]=PROVEEDORES[[#This Row],[FECHA DE FACTURACIÓN]],"DE CONTADO","CRÉDITO")</f>
        <v>CRÉDITO</v>
      </c>
      <c r="B135" s="38" t="b">
        <f>+IF((PROVEEDORES[[#This Row],[FECHA DE PAGO]]-PROVEEDORES[[#This Row],[FECHA DE FACTURACIÓN]])&gt;PROVEEDORES[[#This Row],[PLAZO Días]],"PAGO VENCIDO")</f>
        <v>0</v>
      </c>
      <c r="C135" s="20">
        <f>+VLOOKUP(PROVEEDORES[[#This Row],[PROVEEDOR]],TERCEROS_INFO[#All],2,FALSE)</f>
        <v>30</v>
      </c>
      <c r="D135" s="25">
        <f>+SUMIFS(PROVEEDORES[Total],PROVEEDORES[PROVEEDOR],PROVEEDORES[[#This Row],[PROVEEDOR]],PROVEEDORES[FECHA DE PAGO],"")</f>
        <v>0</v>
      </c>
      <c r="E135" s="25"/>
      <c r="F135" s="56" t="str">
        <f>+VLOOKUP(PROVEEDORES[[#This Row],[PROVEEDOR]],
                       Terceros!$A:$F,
                       5,
                       FALSE)</f>
        <v>mobiliariomasproyectos@gmail.com;girlesa.ruiz@servipilas.com;joriescobar64@gmail.com</v>
      </c>
      <c r="G135" s="68">
        <v>44620</v>
      </c>
      <c r="H135" s="26" t="s">
        <v>648</v>
      </c>
      <c r="I135" s="68">
        <v>44616</v>
      </c>
      <c r="J135" s="35" t="s">
        <v>435</v>
      </c>
      <c r="K135" s="21">
        <v>2400000</v>
      </c>
      <c r="L135" s="21"/>
      <c r="M135" s="22">
        <f>(PROVEEDORES[[#This Row],[SUBTOTAL]]-PROVEEDORES[[#This Row],[descuento sobre subtotal]])*VLOOKUP(PROVEEDORES[[#This Row],[PROVEEDOR]],TERCEROS_INFO[#All],3,FALSE)</f>
        <v>456000</v>
      </c>
      <c r="N135" s="23"/>
      <c r="O135" s="22">
        <f>+PROVEEDORES[[#This Row],[Descuento sobre subtotal %]]*(PROVEEDORES[[#This Row],[SUBTOTAL]]-PROVEEDORES[[#This Row],[descuento sobre subtotal]])</f>
        <v>0</v>
      </c>
      <c r="P135" s="74">
        <f>+IF(PROVEEDORES[[#This Row],[SUBTOTAL]]&lt;PROVEEDORES[[#This Row],[base retencion]],0,PROVEEDORES[[#This Row],[retención aplicada]])</f>
        <v>3.5000000000000003E-2</v>
      </c>
      <c r="Q135" s="22">
        <f>+PROVEEDORES[[#This Row],[Rete Fuente %]]*(PROVEEDORES[[#This Row],[SUBTOTAL]]-PROVEEDORES[[#This Row],[descuento sobre subtotal]])</f>
        <v>84000.000000000015</v>
      </c>
      <c r="R135" s="21">
        <f>+PROVEEDORES[[#This Row],[SUBTOTAL]]+PROVEEDORES[[#This Row],[IVA 19%]]-PROVEEDORES[[#This Row],[descuento sobre subtotal]]-PROVEEDORES[[#This Row],[Descuento sobre subtotal $2]]-PROVEEDORES[[#This Row],[Rete Fuente $]]</f>
        <v>2772000</v>
      </c>
      <c r="S13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63">
        <f ca="1">IF(PROVEEDORES[[#This Row],[FECHA DE PAGO]]=0,TODAY()-PROVEEDORES[[#This Row],[FECHA DE FACTURACIÓN]]-PROVEEDORES[[#This Row],[PLAZO Días]],0)</f>
        <v>0</v>
      </c>
      <c r="U135" s="87" t="str">
        <f>+VLOOKUP(PROVEEDORES[[#This Row],[PROVEEDOR]],Terceros!$A:$D,4,FALSE)</f>
        <v>3,5% con base</v>
      </c>
      <c r="V135" s="88">
        <f>+YEAR(PROVEEDORES[[#This Row],[FECHA DE FACTURACIÓN]])</f>
        <v>2022</v>
      </c>
      <c r="W135" s="88">
        <f>+MATCH(PROVEEDORES[[#This Row],[año facturado]],Retenciones!$1:$1,0)</f>
        <v>5</v>
      </c>
      <c r="X135" s="89">
        <f>+VLOOKUP(PROVEEDORES[[#This Row],[ID RETENCION]],Retenciones!$A$1:$O$25,PROVEEDORES[[#This Row],[indicador de columna]],FALSE)</f>
        <v>1026000</v>
      </c>
      <c r="Y135" s="90">
        <f>+VLOOKUP(PROVEEDORES[[#This Row],[ID RETENCION]],Retenciones!$A$1:$O$25,2,FALSE)</f>
        <v>3.5000000000000003E-2</v>
      </c>
      <c r="Z135" s="116" t="b">
        <f>OR(COUNTIF(PROVEEDORES[[#This Row],[PROVEEDOR]],"*"&amp;'Palabra no opera'!$A$2&amp;"*"))</f>
        <v>1</v>
      </c>
      <c r="AA135" s="24"/>
      <c r="AB135" s="24"/>
      <c r="AC135" s="24"/>
      <c r="AD135" s="24"/>
      <c r="AE135" s="24"/>
    </row>
    <row r="136" spans="1:31" ht="22.35" customHeight="1" x14ac:dyDescent="0.3">
      <c r="A136" s="61" t="str">
        <f>+IF(PROVEEDORES[[#This Row],[FECHA DE PAGO]]=PROVEEDORES[[#This Row],[FECHA DE FACTURACIÓN]],"DE CONTADO","CRÉDITO")</f>
        <v>CRÉDITO</v>
      </c>
      <c r="B136" s="38" t="str">
        <f>+IF((PROVEEDORES[[#This Row],[FECHA DE PAGO]]-PROVEEDORES[[#This Row],[FECHA DE FACTURACIÓN]])&gt;PROVEEDORES[[#This Row],[PLAZO Días]],"PAGO VENCIDO")</f>
        <v>PAGO VENCIDO</v>
      </c>
      <c r="C136" s="20">
        <f>+VLOOKUP(PROVEEDORES[[#This Row],[PROVEEDOR]],TERCEROS_INFO[#All],2,FALSE)</f>
        <v>30</v>
      </c>
      <c r="D136" s="25">
        <f>+SUMIFS(PROVEEDORES[Total],PROVEEDORES[PROVEEDOR],PROVEEDORES[[#This Row],[PROVEEDOR]],PROVEEDORES[FECHA DE PAGO],"")</f>
        <v>0</v>
      </c>
      <c r="E136" s="25"/>
      <c r="F136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6" s="68">
        <v>44621</v>
      </c>
      <c r="H136" s="26" t="s">
        <v>394</v>
      </c>
      <c r="I136" s="68">
        <v>44585</v>
      </c>
      <c r="J136" s="35" t="s">
        <v>993</v>
      </c>
      <c r="K136" s="21">
        <v>2420000</v>
      </c>
      <c r="L136" s="21"/>
      <c r="M136" s="22">
        <v>0</v>
      </c>
      <c r="N136" s="23"/>
      <c r="O136" s="22">
        <v>0</v>
      </c>
      <c r="P136" s="74">
        <f>+IF(PROVEEDORES[[#This Row],[SUBTOTAL]]&lt;PROVEEDORES[[#This Row],[base retencion]],0,PROVEEDORES[[#This Row],[retención aplicada]])</f>
        <v>0</v>
      </c>
      <c r="Q136" s="22">
        <f>+PROVEEDORES[[#This Row],[Rete Fuente %]]*(PROVEEDORES[[#This Row],[SUBTOTAL]]-PROVEEDORES[[#This Row],[descuento sobre subtotal]])</f>
        <v>0</v>
      </c>
      <c r="R136" s="21">
        <v>2420000</v>
      </c>
      <c r="S13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63">
        <f ca="1">IF(PROVEEDORES[[#This Row],[FECHA DE PAGO]]=0,TODAY()-PROVEEDORES[[#This Row],[FECHA DE FACTURACIÓN]]-PROVEEDORES[[#This Row],[PLAZO Días]],0)</f>
        <v>0</v>
      </c>
      <c r="U136" s="87">
        <f>+VLOOKUP(PROVEEDORES[[#This Row],[PROVEEDOR]],Terceros!$A:$D,4,FALSE)</f>
        <v>0</v>
      </c>
      <c r="V136" s="88">
        <f>+YEAR(PROVEEDORES[[#This Row],[FECHA DE FACTURACIÓN]])</f>
        <v>2022</v>
      </c>
      <c r="W136" s="88">
        <f>+MATCH(PROVEEDORES[[#This Row],[año facturado]],Retenciones!$1:$1,0)</f>
        <v>5</v>
      </c>
      <c r="X136" s="89">
        <f>+VLOOKUP(PROVEEDORES[[#This Row],[ID RETENCION]],Retenciones!$A$1:$O$25,PROVEEDORES[[#This Row],[indicador de columna]],FALSE)</f>
        <v>0</v>
      </c>
      <c r="Y136" s="90">
        <f>+VLOOKUP(PROVEEDORES[[#This Row],[ID RETENCION]],Retenciones!$A$1:$O$25,2,FALSE)</f>
        <v>0</v>
      </c>
      <c r="Z136" s="116" t="b">
        <f>OR(COUNTIF(PROVEEDORES[[#This Row],[PROVEEDOR]],"*"&amp;'Palabra no opera'!$A$2&amp;"*"))</f>
        <v>0</v>
      </c>
      <c r="AA136" s="24"/>
      <c r="AB136" s="24"/>
      <c r="AC136" s="24"/>
      <c r="AD136" s="24"/>
      <c r="AE136" s="24"/>
    </row>
    <row r="137" spans="1:31" ht="22.35" customHeight="1" x14ac:dyDescent="0.3">
      <c r="A137" s="61" t="str">
        <f>+IF(PROVEEDORES[[#This Row],[FECHA DE PAGO]]=PROVEEDORES[[#This Row],[FECHA DE FACTURACIÓN]],"DE CONTADO","CRÉDITO")</f>
        <v>CRÉDITO</v>
      </c>
      <c r="B137" s="38" t="b">
        <f>+IF((PROVEEDORES[[#This Row],[FECHA DE PAGO]]-PROVEEDORES[[#This Row],[FECHA DE FACTURACIÓN]])&gt;PROVEEDORES[[#This Row],[PLAZO Días]],"PAGO VENCIDO")</f>
        <v>0</v>
      </c>
      <c r="C137" s="20">
        <f>+VLOOKUP(PROVEEDORES[[#This Row],[PROVEEDOR]],TERCEROS_INFO[#All],2,FALSE)</f>
        <v>30</v>
      </c>
      <c r="D137" s="25">
        <f>+SUMIFS(PROVEEDORES[Total],PROVEEDORES[PROVEEDOR],PROVEEDORES[[#This Row],[PROVEEDOR]],PROVEEDORES[FECHA DE PAGO],"")</f>
        <v>0</v>
      </c>
      <c r="E137" s="25"/>
      <c r="F137" s="56" t="str">
        <f>+VLOOKUP(PROVEEDORES[[#This Row],[PROVEEDOR]],
                       Terceros!$A:$F,
                       5,
                       FALSE)</f>
        <v/>
      </c>
      <c r="G137" s="68">
        <v>44622</v>
      </c>
      <c r="H137" s="26" t="s">
        <v>356</v>
      </c>
      <c r="I137" s="68">
        <v>44621</v>
      </c>
      <c r="J137" s="35" t="s">
        <v>358</v>
      </c>
      <c r="K137" s="21">
        <v>1850000</v>
      </c>
      <c r="L137" s="21"/>
      <c r="M137" s="22">
        <f>(PROVEEDORES[[#This Row],[SUBTOTAL]]-PROVEEDORES[[#This Row],[descuento sobre subtotal]])*VLOOKUP(PROVEEDORES[[#This Row],[PROVEEDOR]],TERCEROS_INFO[#All],3,FALSE)</f>
        <v>0</v>
      </c>
      <c r="N137" s="23"/>
      <c r="O137" s="22">
        <f>+PROVEEDORES[[#This Row],[Descuento sobre subtotal %]]*(PROVEEDORES[[#This Row],[SUBTOTAL]]-PROVEEDORES[[#This Row],[descuento sobre subtotal]])</f>
        <v>0</v>
      </c>
      <c r="P137" s="74">
        <f>+IF(PROVEEDORES[[#This Row],[SUBTOTAL]]&lt;PROVEEDORES[[#This Row],[base retencion]],0,PROVEEDORES[[#This Row],[retención aplicada]])</f>
        <v>0</v>
      </c>
      <c r="Q137" s="22">
        <f>+PROVEEDORES[[#This Row],[Rete Fuente %]]*(PROVEEDORES[[#This Row],[SUBTOTAL]]-PROVEEDORES[[#This Row],[descuento sobre subtotal]])</f>
        <v>0</v>
      </c>
      <c r="R137" s="21">
        <v>1850000</v>
      </c>
      <c r="S13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63">
        <f ca="1">IF(PROVEEDORES[[#This Row],[FECHA DE PAGO]]=0,TODAY()-PROVEEDORES[[#This Row],[FECHA DE FACTURACIÓN]]-PROVEEDORES[[#This Row],[PLAZO Días]],0)</f>
        <v>0</v>
      </c>
      <c r="U137" s="87">
        <f>+VLOOKUP(PROVEEDORES[[#This Row],[PROVEEDOR]],Terceros!$A:$D,4,FALSE)</f>
        <v>0</v>
      </c>
      <c r="V137" s="88">
        <f>+YEAR(PROVEEDORES[[#This Row],[FECHA DE FACTURACIÓN]])</f>
        <v>2022</v>
      </c>
      <c r="W137" s="88">
        <f>+MATCH(PROVEEDORES[[#This Row],[año facturado]],Retenciones!$1:$1,0)</f>
        <v>5</v>
      </c>
      <c r="X137" s="89">
        <f>+VLOOKUP(PROVEEDORES[[#This Row],[ID RETENCION]],Retenciones!$A$1:$O$25,PROVEEDORES[[#This Row],[indicador de columna]],FALSE)</f>
        <v>0</v>
      </c>
      <c r="Y137" s="90">
        <f>+VLOOKUP(PROVEEDORES[[#This Row],[ID RETENCION]],Retenciones!$A$1:$O$25,2,FALSE)</f>
        <v>0</v>
      </c>
      <c r="Z137" s="116" t="b">
        <f>OR(COUNTIF(PROVEEDORES[[#This Row],[PROVEEDOR]],"*"&amp;'Palabra no opera'!$A$2&amp;"*"))</f>
        <v>0</v>
      </c>
      <c r="AA137" s="24"/>
      <c r="AB137" s="24"/>
      <c r="AC137" s="24"/>
      <c r="AD137" s="24"/>
      <c r="AE137" s="24"/>
    </row>
    <row r="138" spans="1:31" ht="22.35" customHeight="1" x14ac:dyDescent="0.3">
      <c r="A138" s="61" t="str">
        <f>+IF(PROVEEDORES[[#This Row],[FECHA DE PAGO]]=PROVEEDORES[[#This Row],[FECHA DE FACTURACIÓN]],"DE CONTADO","CRÉDITO")</f>
        <v>CRÉDITO</v>
      </c>
      <c r="B138" s="38" t="str">
        <f>+IF((PROVEEDORES[[#This Row],[FECHA DE PAGO]]-PROVEEDORES[[#This Row],[FECHA DE FACTURACIÓN]])&gt;PROVEEDORES[[#This Row],[PLAZO Días]],"PAGO VENCIDO")</f>
        <v>PAGO VENCIDO</v>
      </c>
      <c r="C138" s="20">
        <f>+VLOOKUP(PROVEEDORES[[#This Row],[PROVEEDOR]],TERCEROS_INFO[#All],2,FALSE)</f>
        <v>30</v>
      </c>
      <c r="D138" s="25">
        <f>+SUMIFS(PROVEEDORES[Total],PROVEEDORES[PROVEEDOR],PROVEEDORES[[#This Row],[PROVEEDOR]],PROVEEDORES[FECHA DE PAGO],"")</f>
        <v>342000</v>
      </c>
      <c r="E138" s="25"/>
      <c r="F138" s="56" t="str">
        <f>+VLOOKUP(PROVEEDORES[[#This Row],[PROVEEDOR]],
                       Terceros!$A:$F,
                       5,
                       FALSE)</f>
        <v/>
      </c>
      <c r="G138" s="68">
        <v>44623</v>
      </c>
      <c r="H138" s="26" t="s">
        <v>344</v>
      </c>
      <c r="I138" s="68">
        <v>44582</v>
      </c>
      <c r="J138" s="35" t="s">
        <v>991</v>
      </c>
      <c r="K138" s="21">
        <v>811000</v>
      </c>
      <c r="L138" s="21"/>
      <c r="M138" s="22">
        <f>(PROVEEDORES[[#This Row],[SUBTOTAL]]-PROVEEDORES[[#This Row],[descuento sobre subtotal]])*VLOOKUP(PROVEEDORES[[#This Row],[PROVEEDOR]],TERCEROS_INFO[#All],3,FALSE)</f>
        <v>0</v>
      </c>
      <c r="N138" s="23"/>
      <c r="O138" s="22">
        <f>+PROVEEDORES[[#This Row],[Descuento sobre subtotal %]]*(PROVEEDORES[[#This Row],[SUBTOTAL]]-PROVEEDORES[[#This Row],[descuento sobre subtotal]])</f>
        <v>0</v>
      </c>
      <c r="P138" s="74">
        <f>+IF(PROVEEDORES[[#This Row],[SUBTOTAL]]&lt;PROVEEDORES[[#This Row],[base retencion]],0,PROVEEDORES[[#This Row],[retención aplicada]])</f>
        <v>0</v>
      </c>
      <c r="Q138" s="22">
        <f>+PROVEEDORES[[#This Row],[Rete Fuente %]]*(PROVEEDORES[[#This Row],[SUBTOTAL]]-PROVEEDORES[[#This Row],[descuento sobre subtotal]])</f>
        <v>0</v>
      </c>
      <c r="R138" s="21">
        <v>811000</v>
      </c>
      <c r="S13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63">
        <f ca="1">IF(PROVEEDORES[[#This Row],[FECHA DE PAGO]]=0,TODAY()-PROVEEDORES[[#This Row],[FECHA DE FACTURACIÓN]]-PROVEEDORES[[#This Row],[PLAZO Días]],0)</f>
        <v>0</v>
      </c>
      <c r="U138" s="87">
        <f>+VLOOKUP(PROVEEDORES[[#This Row],[PROVEEDOR]],Terceros!$A:$D,4,FALSE)</f>
        <v>0</v>
      </c>
      <c r="V138" s="88">
        <f>+YEAR(PROVEEDORES[[#This Row],[FECHA DE FACTURACIÓN]])</f>
        <v>2022</v>
      </c>
      <c r="W138" s="88">
        <f>+MATCH(PROVEEDORES[[#This Row],[año facturado]],Retenciones!$1:$1,0)</f>
        <v>5</v>
      </c>
      <c r="X138" s="89">
        <f>+VLOOKUP(PROVEEDORES[[#This Row],[ID RETENCION]],Retenciones!$A$1:$O$25,PROVEEDORES[[#This Row],[indicador de columna]],FALSE)</f>
        <v>0</v>
      </c>
      <c r="Y138" s="90">
        <f>+VLOOKUP(PROVEEDORES[[#This Row],[ID RETENCION]],Retenciones!$A$1:$O$25,2,FALSE)</f>
        <v>0</v>
      </c>
      <c r="Z138" s="116" t="b">
        <f>OR(COUNTIF(PROVEEDORES[[#This Row],[PROVEEDOR]],"*"&amp;'Palabra no opera'!$A$2&amp;"*"))</f>
        <v>0</v>
      </c>
      <c r="AA138" s="24"/>
      <c r="AB138" s="24"/>
      <c r="AC138" s="24"/>
      <c r="AD138" s="24"/>
      <c r="AE138" s="24"/>
    </row>
    <row r="139" spans="1:31" ht="22.35" customHeight="1" x14ac:dyDescent="0.3">
      <c r="A139" s="61" t="str">
        <f>+IF(PROVEEDORES[[#This Row],[FECHA DE PAGO]]=PROVEEDORES[[#This Row],[FECHA DE FACTURACIÓN]],"DE CONTADO","CRÉDITO")</f>
        <v>DE CONTADO</v>
      </c>
      <c r="B139" s="38" t="b">
        <f>+IF((PROVEEDORES[[#This Row],[FECHA DE PAGO]]-PROVEEDORES[[#This Row],[FECHA DE FACTURACIÓN]])&gt;PROVEEDORES[[#This Row],[PLAZO Días]],"PAGO VENCIDO")</f>
        <v>0</v>
      </c>
      <c r="C139" s="20">
        <f>+VLOOKUP(PROVEEDORES[[#This Row],[PROVEEDOR]],TERCEROS_INFO[#All],2,FALSE)</f>
        <v>10</v>
      </c>
      <c r="D139" s="25">
        <f>+SUMIFS(PROVEEDORES[Total],PROVEEDORES[PROVEEDOR],PROVEEDORES[[#This Row],[PROVEEDOR]],PROVEEDORES[FECHA DE PAGO],"")</f>
        <v>0</v>
      </c>
      <c r="E139" s="25"/>
      <c r="F139" s="56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39" s="68">
        <v>44623</v>
      </c>
      <c r="H139" s="26" t="s">
        <v>614</v>
      </c>
      <c r="I139" s="68">
        <v>44623</v>
      </c>
      <c r="J139" s="35" t="s">
        <v>333</v>
      </c>
      <c r="K139" s="21">
        <v>2400000</v>
      </c>
      <c r="L139" s="21"/>
      <c r="M139" s="22">
        <f>(PROVEEDORES[[#This Row],[SUBTOTAL]]-PROVEEDORES[[#This Row],[descuento sobre subtotal]])*VLOOKUP(PROVEEDORES[[#This Row],[PROVEEDOR]],TERCEROS_INFO[#All],3,FALSE)</f>
        <v>0</v>
      </c>
      <c r="N139" s="23"/>
      <c r="O139" s="22">
        <f>+PROVEEDORES[[#This Row],[Descuento sobre subtotal %]]*(PROVEEDORES[[#This Row],[SUBTOTAL]]-PROVEEDORES[[#This Row],[descuento sobre subtotal]])</f>
        <v>0</v>
      </c>
      <c r="P139" s="74">
        <f>+IF(PROVEEDORES[[#This Row],[SUBTOTAL]]&lt;PROVEEDORES[[#This Row],[base retencion]],0,PROVEEDORES[[#This Row],[retención aplicada]])</f>
        <v>0</v>
      </c>
      <c r="Q139" s="22">
        <f>+PROVEEDORES[[#This Row],[Rete Fuente %]]*(PROVEEDORES[[#This Row],[SUBTOTAL]]-PROVEEDORES[[#This Row],[descuento sobre subtotal]])</f>
        <v>0</v>
      </c>
      <c r="R139" s="21">
        <v>2400000</v>
      </c>
      <c r="S13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63">
        <f ca="1">IF(PROVEEDORES[[#This Row],[FECHA DE PAGO]]=0,TODAY()-PROVEEDORES[[#This Row],[FECHA DE FACTURACIÓN]]-PROVEEDORES[[#This Row],[PLAZO Días]],0)</f>
        <v>0</v>
      </c>
      <c r="U139" s="87">
        <f>+VLOOKUP(PROVEEDORES[[#This Row],[PROVEEDOR]],Terceros!$A:$D,4,FALSE)</f>
        <v>0</v>
      </c>
      <c r="V139" s="88">
        <f>+YEAR(PROVEEDORES[[#This Row],[FECHA DE FACTURACIÓN]])</f>
        <v>2022</v>
      </c>
      <c r="W139" s="88">
        <f>+MATCH(PROVEEDORES[[#This Row],[año facturado]],Retenciones!$1:$1,0)</f>
        <v>5</v>
      </c>
      <c r="X139" s="89">
        <f>+VLOOKUP(PROVEEDORES[[#This Row],[ID RETENCION]],Retenciones!$A$1:$O$25,PROVEEDORES[[#This Row],[indicador de columna]],FALSE)</f>
        <v>0</v>
      </c>
      <c r="Y139" s="90">
        <f>+VLOOKUP(PROVEEDORES[[#This Row],[ID RETENCION]],Retenciones!$A$1:$O$25,2,FALSE)</f>
        <v>0</v>
      </c>
      <c r="Z139" s="116" t="b">
        <f>OR(COUNTIF(PROVEEDORES[[#This Row],[PROVEEDOR]],"*"&amp;'Palabra no opera'!$A$2&amp;"*"))</f>
        <v>1</v>
      </c>
      <c r="AA139" s="24"/>
      <c r="AB139" s="24"/>
      <c r="AC139" s="24"/>
      <c r="AD139" s="24"/>
      <c r="AE139" s="24"/>
    </row>
    <row r="140" spans="1:31" ht="22.35" customHeight="1" x14ac:dyDescent="0.3">
      <c r="A140" s="61" t="str">
        <f>+IF(PROVEEDORES[[#This Row],[FECHA DE PAGO]]=PROVEEDORES[[#This Row],[FECHA DE FACTURACIÓN]],"DE CONTADO","CRÉDITO")</f>
        <v>DE CONTADO</v>
      </c>
      <c r="B140" s="38" t="b">
        <f>+IF((PROVEEDORES[[#This Row],[FECHA DE PAGO]]-PROVEEDORES[[#This Row],[FECHA DE FACTURACIÓN]])&gt;PROVEEDORES[[#This Row],[PLAZO Días]],"PAGO VENCIDO")</f>
        <v>0</v>
      </c>
      <c r="C140" s="20">
        <f>+VLOOKUP(PROVEEDORES[[#This Row],[PROVEEDOR]],TERCEROS_INFO[#All],2,FALSE)</f>
        <v>30</v>
      </c>
      <c r="D140" s="25">
        <f>+SUMIFS(PROVEEDORES[Total],PROVEEDORES[PROVEEDOR],PROVEEDORES[[#This Row],[PROVEEDOR]],PROVEEDORES[FECHA DE PAGO],"")</f>
        <v>0</v>
      </c>
      <c r="E140" s="25"/>
      <c r="F140" s="56" t="str">
        <f>+VLOOKUP(PROVEEDORES[[#This Row],[PROVEEDOR]],
                       Terceros!$A:$F,
                       5,
                       FALSE)</f>
        <v/>
      </c>
      <c r="G140" s="68">
        <v>44623</v>
      </c>
      <c r="H140" s="26" t="s">
        <v>390</v>
      </c>
      <c r="I140" s="68">
        <v>44623</v>
      </c>
      <c r="J140" s="35"/>
      <c r="K140" s="21">
        <v>1000000</v>
      </c>
      <c r="L140" s="21"/>
      <c r="M140" s="22">
        <v>0</v>
      </c>
      <c r="N140" s="23"/>
      <c r="O140" s="22">
        <v>0</v>
      </c>
      <c r="P140" s="74">
        <f>+IF(PROVEEDORES[[#This Row],[SUBTOTAL]]&lt;PROVEEDORES[[#This Row],[base retencion]],0,PROVEEDORES[[#This Row],[retención aplicada]])</f>
        <v>0</v>
      </c>
      <c r="Q140" s="22">
        <f>+PROVEEDORES[[#This Row],[Rete Fuente %]]*(PROVEEDORES[[#This Row],[SUBTOTAL]]-PROVEEDORES[[#This Row],[descuento sobre subtotal]])</f>
        <v>0</v>
      </c>
      <c r="R140" s="21">
        <v>1000000</v>
      </c>
      <c r="S14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63">
        <f ca="1">IF(PROVEEDORES[[#This Row],[FECHA DE PAGO]]=0,TODAY()-PROVEEDORES[[#This Row],[FECHA DE FACTURACIÓN]]-PROVEEDORES[[#This Row],[PLAZO Días]],0)</f>
        <v>0</v>
      </c>
      <c r="U140" s="87">
        <f>+VLOOKUP(PROVEEDORES[[#This Row],[PROVEEDOR]],Terceros!$A:$D,4,FALSE)</f>
        <v>0</v>
      </c>
      <c r="V140" s="88">
        <f>+YEAR(PROVEEDORES[[#This Row],[FECHA DE FACTURACIÓN]])</f>
        <v>2022</v>
      </c>
      <c r="W140" s="88">
        <f>+MATCH(PROVEEDORES[[#This Row],[año facturado]],Retenciones!$1:$1,0)</f>
        <v>5</v>
      </c>
      <c r="X140" s="89">
        <f>+VLOOKUP(PROVEEDORES[[#This Row],[ID RETENCION]],Retenciones!$A$1:$O$25,PROVEEDORES[[#This Row],[indicador de columna]],FALSE)</f>
        <v>0</v>
      </c>
      <c r="Y140" s="90">
        <f>+VLOOKUP(PROVEEDORES[[#This Row],[ID RETENCION]],Retenciones!$A$1:$O$25,2,FALSE)</f>
        <v>0</v>
      </c>
      <c r="Z140" s="116" t="b">
        <f>OR(COUNTIF(PROVEEDORES[[#This Row],[PROVEEDOR]],"*"&amp;'Palabra no opera'!$A$2&amp;"*"))</f>
        <v>0</v>
      </c>
      <c r="AA140" s="24"/>
      <c r="AB140" s="24"/>
      <c r="AC140" s="24"/>
      <c r="AD140" s="24"/>
      <c r="AE140" s="24"/>
    </row>
    <row r="141" spans="1:31" ht="22.35" customHeight="1" x14ac:dyDescent="0.3">
      <c r="A141" s="61" t="str">
        <f>+IF(PROVEEDORES[[#This Row],[FECHA DE PAGO]]=PROVEEDORES[[#This Row],[FECHA DE FACTURACIÓN]],"DE CONTADO","CRÉDITO")</f>
        <v>CRÉDITO</v>
      </c>
      <c r="B141" s="38" t="b">
        <f>+IF((PROVEEDORES[[#This Row],[FECHA DE PAGO]]-PROVEEDORES[[#This Row],[FECHA DE FACTURACIÓN]])&gt;PROVEEDORES[[#This Row],[PLAZO Días]],"PAGO VENCIDO")</f>
        <v>0</v>
      </c>
      <c r="C141" s="20">
        <f>+VLOOKUP(PROVEEDORES[[#This Row],[PROVEEDOR]],TERCEROS_INFO[#All],2,FALSE)</f>
        <v>30</v>
      </c>
      <c r="D141" s="25">
        <f>+SUMIFS(PROVEEDORES[Total],PROVEEDORES[PROVEEDOR],PROVEEDORES[[#This Row],[PROVEEDOR]],PROVEEDORES[FECHA DE PAGO],"")</f>
        <v>0</v>
      </c>
      <c r="E141" s="25"/>
      <c r="F141" s="56">
        <f>+VLOOKUP(PROVEEDORES[[#This Row],[PROVEEDOR]],
                       Terceros!$A:$F,
                       5,
                       FALSE)</f>
        <v>0</v>
      </c>
      <c r="G141" s="68">
        <v>44623</v>
      </c>
      <c r="H141" s="26" t="s">
        <v>413</v>
      </c>
      <c r="I141" s="68">
        <v>44611</v>
      </c>
      <c r="J141" s="35" t="s">
        <v>1004</v>
      </c>
      <c r="K141" s="21">
        <v>637000</v>
      </c>
      <c r="L141" s="21"/>
      <c r="M141" s="22">
        <v>0</v>
      </c>
      <c r="N141" s="23"/>
      <c r="O141" s="22">
        <v>0</v>
      </c>
      <c r="P141" s="74">
        <f>+IF(PROVEEDORES[[#This Row],[SUBTOTAL]]&lt;PROVEEDORES[[#This Row],[base retencion]],0,PROVEEDORES[[#This Row],[retención aplicada]])</f>
        <v>0</v>
      </c>
      <c r="Q141" s="22">
        <f>+PROVEEDORES[[#This Row],[Rete Fuente %]]*(PROVEEDORES[[#This Row],[SUBTOTAL]]-PROVEEDORES[[#This Row],[descuento sobre subtotal]])</f>
        <v>0</v>
      </c>
      <c r="R141" s="21">
        <v>637000</v>
      </c>
      <c r="S14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63">
        <f ca="1">IF(PROVEEDORES[[#This Row],[FECHA DE PAGO]]=0,TODAY()-PROVEEDORES[[#This Row],[FECHA DE FACTURACIÓN]]-PROVEEDORES[[#This Row],[PLAZO Días]],0)</f>
        <v>0</v>
      </c>
      <c r="U141" s="87">
        <f>+VLOOKUP(PROVEEDORES[[#This Row],[PROVEEDOR]],Terceros!$A:$D,4,FALSE)</f>
        <v>0</v>
      </c>
      <c r="V141" s="88">
        <f>+YEAR(PROVEEDORES[[#This Row],[FECHA DE FACTURACIÓN]])</f>
        <v>2022</v>
      </c>
      <c r="W141" s="88">
        <f>+MATCH(PROVEEDORES[[#This Row],[año facturado]],Retenciones!$1:$1,0)</f>
        <v>5</v>
      </c>
      <c r="X141" s="89">
        <f>+VLOOKUP(PROVEEDORES[[#This Row],[ID RETENCION]],Retenciones!$A$1:$O$25,PROVEEDORES[[#This Row],[indicador de columna]],FALSE)</f>
        <v>0</v>
      </c>
      <c r="Y141" s="90">
        <f>+VLOOKUP(PROVEEDORES[[#This Row],[ID RETENCION]],Retenciones!$A$1:$O$25,2,FALSE)</f>
        <v>0</v>
      </c>
      <c r="Z141" s="116" t="b">
        <f>OR(COUNTIF(PROVEEDORES[[#This Row],[PROVEEDOR]],"*"&amp;'Palabra no opera'!$A$2&amp;"*"))</f>
        <v>0</v>
      </c>
      <c r="AA141" s="24"/>
      <c r="AB141" s="24"/>
      <c r="AC141" s="24"/>
      <c r="AD141" s="24"/>
      <c r="AE141" s="24"/>
    </row>
    <row r="142" spans="1:31" ht="22.35" customHeight="1" x14ac:dyDescent="0.3">
      <c r="A142" s="61" t="str">
        <f>+IF(PROVEEDORES[[#This Row],[FECHA DE PAGO]]=PROVEEDORES[[#This Row],[FECHA DE FACTURACIÓN]],"DE CONTADO","CRÉDITO")</f>
        <v>CRÉDITO</v>
      </c>
      <c r="B142" s="38" t="str">
        <f>+IF((PROVEEDORES[[#This Row],[FECHA DE PAGO]]-PROVEEDORES[[#This Row],[FECHA DE FACTURACIÓN]])&gt;PROVEEDORES[[#This Row],[PLAZO Días]],"PAGO VENCIDO")</f>
        <v>PAGO VENCIDO</v>
      </c>
      <c r="C142" s="20">
        <f>+VLOOKUP(PROVEEDORES[[#This Row],[PROVEEDOR]],TERCEROS_INFO[#All],2,FALSE)</f>
        <v>60</v>
      </c>
      <c r="D142" s="25">
        <f>+SUMIFS(PROVEEDORES[Total],PROVEEDORES[PROVEEDOR],PROVEEDORES[[#This Row],[PROVEEDOR]],PROVEEDORES[FECHA DE PAGO],"")</f>
        <v>395600</v>
      </c>
      <c r="E142" s="25"/>
      <c r="F14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2" s="68">
        <v>44623</v>
      </c>
      <c r="H142" s="26" t="s">
        <v>287</v>
      </c>
      <c r="I142" s="68">
        <v>44552</v>
      </c>
      <c r="J142" s="35" t="s">
        <v>982</v>
      </c>
      <c r="K142" s="21">
        <v>319200</v>
      </c>
      <c r="L142" s="21"/>
      <c r="M142" s="22">
        <v>0</v>
      </c>
      <c r="N142" s="23"/>
      <c r="O142" s="22">
        <v>0</v>
      </c>
      <c r="P142" s="74">
        <f>+IF(PROVEEDORES[[#This Row],[SUBTOTAL]]&lt;PROVEEDORES[[#This Row],[base retencion]],0,PROVEEDORES[[#This Row],[retención aplicada]])</f>
        <v>0</v>
      </c>
      <c r="Q142" s="22">
        <f>+PROVEEDORES[[#This Row],[Rete Fuente %]]*(PROVEEDORES[[#This Row],[SUBTOTAL]]-PROVEEDORES[[#This Row],[descuento sobre subtotal]])</f>
        <v>0</v>
      </c>
      <c r="R142" s="21">
        <v>319200</v>
      </c>
      <c r="S14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63">
        <f ca="1">IF(PROVEEDORES[[#This Row],[FECHA DE PAGO]]=0,TODAY()-PROVEEDORES[[#This Row],[FECHA DE FACTURACIÓN]]-PROVEEDORES[[#This Row],[PLAZO Días]],0)</f>
        <v>0</v>
      </c>
      <c r="U142" s="87">
        <f>+VLOOKUP(PROVEEDORES[[#This Row],[PROVEEDOR]],Terceros!$A:$D,4,FALSE)</f>
        <v>0</v>
      </c>
      <c r="V142" s="88">
        <f>+YEAR(PROVEEDORES[[#This Row],[FECHA DE FACTURACIÓN]])</f>
        <v>2021</v>
      </c>
      <c r="W142" s="88">
        <f>+MATCH(PROVEEDORES[[#This Row],[año facturado]],Retenciones!$1:$1,0)</f>
        <v>4</v>
      </c>
      <c r="X142" s="89">
        <f>+VLOOKUP(PROVEEDORES[[#This Row],[ID RETENCION]],Retenciones!$A$1:$O$25,PROVEEDORES[[#This Row],[indicador de columna]],FALSE)</f>
        <v>0</v>
      </c>
      <c r="Y142" s="90">
        <f>+VLOOKUP(PROVEEDORES[[#This Row],[ID RETENCION]],Retenciones!$A$1:$O$25,2,FALSE)</f>
        <v>0</v>
      </c>
      <c r="Z142" s="116" t="b">
        <f>OR(COUNTIF(PROVEEDORES[[#This Row],[PROVEEDOR]],"*"&amp;'Palabra no opera'!$A$2&amp;"*"))</f>
        <v>0</v>
      </c>
      <c r="AA142" s="24"/>
      <c r="AB142" s="24"/>
      <c r="AC142" s="24"/>
      <c r="AD142" s="24"/>
      <c r="AE142" s="24"/>
    </row>
    <row r="143" spans="1:31" ht="22.35" customHeight="1" x14ac:dyDescent="0.3">
      <c r="A143" s="61" t="str">
        <f>+IF(PROVEEDORES[[#This Row],[FECHA DE PAGO]]=PROVEEDORES[[#This Row],[FECHA DE FACTURACIÓN]],"DE CONTADO","CRÉDITO")</f>
        <v>CRÉDITO</v>
      </c>
      <c r="B143" s="38" t="str">
        <f>+IF((PROVEEDORES[[#This Row],[FECHA DE PAGO]]-PROVEEDORES[[#This Row],[FECHA DE FACTURACIÓN]])&gt;PROVEEDORES[[#This Row],[PLAZO Días]],"PAGO VENCIDO")</f>
        <v>PAGO VENCIDO</v>
      </c>
      <c r="C143" s="20">
        <f>+VLOOKUP(PROVEEDORES[[#This Row],[PROVEEDOR]],TERCEROS_INFO[#All],2,FALSE)</f>
        <v>60</v>
      </c>
      <c r="D143" s="25">
        <f>+SUMIFS(PROVEEDORES[Total],PROVEEDORES[PROVEEDOR],PROVEEDORES[[#This Row],[PROVEEDOR]],PROVEEDORES[FECHA DE PAGO],"")</f>
        <v>395600</v>
      </c>
      <c r="E143" s="25"/>
      <c r="F14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3" s="68">
        <v>44623</v>
      </c>
      <c r="H143" s="26" t="s">
        <v>287</v>
      </c>
      <c r="I143" s="68">
        <v>44557</v>
      </c>
      <c r="J143" s="35">
        <v>1293</v>
      </c>
      <c r="K143" s="21">
        <v>235200</v>
      </c>
      <c r="L143" s="21"/>
      <c r="M143" s="22">
        <v>0</v>
      </c>
      <c r="N143" s="23"/>
      <c r="O143" s="22">
        <v>0</v>
      </c>
      <c r="P143" s="74">
        <f>+IF(PROVEEDORES[[#This Row],[SUBTOTAL]]&lt;PROVEEDORES[[#This Row],[base retencion]],0,PROVEEDORES[[#This Row],[retención aplicada]])</f>
        <v>0</v>
      </c>
      <c r="Q143" s="22">
        <f>+PROVEEDORES[[#This Row],[Rete Fuente %]]*(PROVEEDORES[[#This Row],[SUBTOTAL]]-PROVEEDORES[[#This Row],[descuento sobre subtotal]])</f>
        <v>0</v>
      </c>
      <c r="R143" s="21">
        <v>235200</v>
      </c>
      <c r="S14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63">
        <f ca="1">IF(PROVEEDORES[[#This Row],[FECHA DE PAGO]]=0,TODAY()-PROVEEDORES[[#This Row],[FECHA DE FACTURACIÓN]]-PROVEEDORES[[#This Row],[PLAZO Días]],0)</f>
        <v>0</v>
      </c>
      <c r="U143" s="87">
        <f>+VLOOKUP(PROVEEDORES[[#This Row],[PROVEEDOR]],Terceros!$A:$D,4,FALSE)</f>
        <v>0</v>
      </c>
      <c r="V143" s="88">
        <f>+YEAR(PROVEEDORES[[#This Row],[FECHA DE FACTURACIÓN]])</f>
        <v>2021</v>
      </c>
      <c r="W143" s="88">
        <f>+MATCH(PROVEEDORES[[#This Row],[año facturado]],Retenciones!$1:$1,0)</f>
        <v>4</v>
      </c>
      <c r="X143" s="89">
        <f>+VLOOKUP(PROVEEDORES[[#This Row],[ID RETENCION]],Retenciones!$A$1:$O$25,PROVEEDORES[[#This Row],[indicador de columna]],FALSE)</f>
        <v>0</v>
      </c>
      <c r="Y143" s="90">
        <f>+VLOOKUP(PROVEEDORES[[#This Row],[ID RETENCION]],Retenciones!$A$1:$O$25,2,FALSE)</f>
        <v>0</v>
      </c>
      <c r="Z143" s="116" t="b">
        <f>OR(COUNTIF(PROVEEDORES[[#This Row],[PROVEEDOR]],"*"&amp;'Palabra no opera'!$A$2&amp;"*"))</f>
        <v>0</v>
      </c>
      <c r="AA143" s="24"/>
      <c r="AB143" s="24"/>
      <c r="AC143" s="24"/>
      <c r="AD143" s="24"/>
      <c r="AE143" s="24"/>
    </row>
    <row r="144" spans="1:31" ht="22.35" customHeight="1" x14ac:dyDescent="0.3">
      <c r="A144" s="61" t="str">
        <f>+IF(PROVEEDORES[[#This Row],[FECHA DE PAGO]]=PROVEEDORES[[#This Row],[FECHA DE FACTURACIÓN]],"DE CONTADO","CRÉDITO")</f>
        <v>CRÉDITO</v>
      </c>
      <c r="B144" s="38" t="str">
        <f>+IF((PROVEEDORES[[#This Row],[FECHA DE PAGO]]-PROVEEDORES[[#This Row],[FECHA DE FACTURACIÓN]])&gt;PROVEEDORES[[#This Row],[PLAZO Días]],"PAGO VENCIDO")</f>
        <v>PAGO VENCIDO</v>
      </c>
      <c r="C144" s="20">
        <f>+VLOOKUP(PROVEEDORES[[#This Row],[PROVEEDOR]],TERCEROS_INFO[#All],2,FALSE)</f>
        <v>60</v>
      </c>
      <c r="D144" s="25">
        <f>+SUMIFS(PROVEEDORES[Total],PROVEEDORES[PROVEEDOR],PROVEEDORES[[#This Row],[PROVEEDOR]],PROVEEDORES[FECHA DE PAGO],"")</f>
        <v>395600</v>
      </c>
      <c r="E144" s="25"/>
      <c r="F14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4" s="68">
        <v>44623</v>
      </c>
      <c r="H144" s="26" t="s">
        <v>287</v>
      </c>
      <c r="I144" s="68">
        <v>44557</v>
      </c>
      <c r="J144" s="35">
        <v>1294</v>
      </c>
      <c r="K144" s="21">
        <v>252000</v>
      </c>
      <c r="L144" s="21"/>
      <c r="M144" s="22">
        <v>0</v>
      </c>
      <c r="N144" s="23"/>
      <c r="O144" s="22">
        <v>0</v>
      </c>
      <c r="P144" s="74">
        <f>+IF(PROVEEDORES[[#This Row],[SUBTOTAL]]&lt;PROVEEDORES[[#This Row],[base retencion]],0,PROVEEDORES[[#This Row],[retención aplicada]])</f>
        <v>0</v>
      </c>
      <c r="Q144" s="22">
        <f>+PROVEEDORES[[#This Row],[Rete Fuente %]]*(PROVEEDORES[[#This Row],[SUBTOTAL]]-PROVEEDORES[[#This Row],[descuento sobre subtotal]])</f>
        <v>0</v>
      </c>
      <c r="R144" s="21">
        <v>252000</v>
      </c>
      <c r="S14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63">
        <f ca="1">IF(PROVEEDORES[[#This Row],[FECHA DE PAGO]]=0,TODAY()-PROVEEDORES[[#This Row],[FECHA DE FACTURACIÓN]]-PROVEEDORES[[#This Row],[PLAZO Días]],0)</f>
        <v>0</v>
      </c>
      <c r="U144" s="87">
        <f>+VLOOKUP(PROVEEDORES[[#This Row],[PROVEEDOR]],Terceros!$A:$D,4,FALSE)</f>
        <v>0</v>
      </c>
      <c r="V144" s="88">
        <f>+YEAR(PROVEEDORES[[#This Row],[FECHA DE FACTURACIÓN]])</f>
        <v>2021</v>
      </c>
      <c r="W144" s="88">
        <f>+MATCH(PROVEEDORES[[#This Row],[año facturado]],Retenciones!$1:$1,0)</f>
        <v>4</v>
      </c>
      <c r="X144" s="89">
        <f>+VLOOKUP(PROVEEDORES[[#This Row],[ID RETENCION]],Retenciones!$A$1:$O$25,PROVEEDORES[[#This Row],[indicador de columna]],FALSE)</f>
        <v>0</v>
      </c>
      <c r="Y144" s="90">
        <f>+VLOOKUP(PROVEEDORES[[#This Row],[ID RETENCION]],Retenciones!$A$1:$O$25,2,FALSE)</f>
        <v>0</v>
      </c>
      <c r="Z144" s="116" t="b">
        <f>OR(COUNTIF(PROVEEDORES[[#This Row],[PROVEEDOR]],"*"&amp;'Palabra no opera'!$A$2&amp;"*"))</f>
        <v>0</v>
      </c>
      <c r="AA144" s="24"/>
      <c r="AB144" s="24"/>
      <c r="AC144" s="24"/>
      <c r="AD144" s="24"/>
      <c r="AE144" s="24"/>
    </row>
    <row r="145" spans="1:31" ht="22.35" customHeight="1" x14ac:dyDescent="0.3">
      <c r="A145" s="61" t="str">
        <f>+IF(PROVEEDORES[[#This Row],[FECHA DE PAGO]]=PROVEEDORES[[#This Row],[FECHA DE FACTURACIÓN]],"DE CONTADO","CRÉDITO")</f>
        <v>CRÉDITO</v>
      </c>
      <c r="B145" s="38" t="b">
        <f>+IF((PROVEEDORES[[#This Row],[FECHA DE PAGO]]-PROVEEDORES[[#This Row],[FECHA DE FACTURACIÓN]])&gt;PROVEEDORES[[#This Row],[PLAZO Días]],"PAGO VENCIDO")</f>
        <v>0</v>
      </c>
      <c r="C145" s="20">
        <f>+VLOOKUP(PROVEEDORES[[#This Row],[PROVEEDOR]],TERCEROS_INFO[#All],2,FALSE)</f>
        <v>60</v>
      </c>
      <c r="D145" s="25">
        <f>+SUMIFS(PROVEEDORES[Total],PROVEEDORES[PROVEEDOR],PROVEEDORES[[#This Row],[PROVEEDOR]],PROVEEDORES[FECHA DE PAGO],"")</f>
        <v>395600</v>
      </c>
      <c r="E145" s="25"/>
      <c r="F14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5" s="68">
        <v>44623</v>
      </c>
      <c r="H145" s="26" t="s">
        <v>287</v>
      </c>
      <c r="I145" s="68">
        <v>44586</v>
      </c>
      <c r="J145" s="35" t="s">
        <v>994</v>
      </c>
      <c r="K145" s="21">
        <v>180400</v>
      </c>
      <c r="L145" s="21"/>
      <c r="M145" s="22">
        <f>(PROVEEDORES[[#This Row],[SUBTOTAL]]-PROVEEDORES[[#This Row],[descuento sobre subtotal]])*VLOOKUP(PROVEEDORES[[#This Row],[PROVEEDOR]],TERCEROS_INFO[#All],3,FALSE)</f>
        <v>0</v>
      </c>
      <c r="N145" s="23"/>
      <c r="O145" s="22">
        <v>0</v>
      </c>
      <c r="P145" s="74">
        <f>+IF(PROVEEDORES[[#This Row],[SUBTOTAL]]&lt;PROVEEDORES[[#This Row],[base retencion]],0,PROVEEDORES[[#This Row],[retención aplicada]])</f>
        <v>0</v>
      </c>
      <c r="Q145" s="22">
        <f>+PROVEEDORES[[#This Row],[Rete Fuente %]]*(PROVEEDORES[[#This Row],[SUBTOTAL]]-PROVEEDORES[[#This Row],[descuento sobre subtotal]])</f>
        <v>0</v>
      </c>
      <c r="R145" s="21">
        <v>180400</v>
      </c>
      <c r="S14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63">
        <f ca="1">IF(PROVEEDORES[[#This Row],[FECHA DE PAGO]]=0,TODAY()-PROVEEDORES[[#This Row],[FECHA DE FACTURACIÓN]]-PROVEEDORES[[#This Row],[PLAZO Días]],0)</f>
        <v>0</v>
      </c>
      <c r="U145" s="87">
        <f>+VLOOKUP(PROVEEDORES[[#This Row],[PROVEEDOR]],Terceros!$A:$D,4,FALSE)</f>
        <v>0</v>
      </c>
      <c r="V145" s="88">
        <f>+YEAR(PROVEEDORES[[#This Row],[FECHA DE FACTURACIÓN]])</f>
        <v>2022</v>
      </c>
      <c r="W145" s="88">
        <f>+MATCH(PROVEEDORES[[#This Row],[año facturado]],Retenciones!$1:$1,0)</f>
        <v>5</v>
      </c>
      <c r="X145" s="89">
        <f>+VLOOKUP(PROVEEDORES[[#This Row],[ID RETENCION]],Retenciones!$A$1:$O$25,PROVEEDORES[[#This Row],[indicador de columna]],FALSE)</f>
        <v>0</v>
      </c>
      <c r="Y145" s="90">
        <f>+VLOOKUP(PROVEEDORES[[#This Row],[ID RETENCION]],Retenciones!$A$1:$O$25,2,FALSE)</f>
        <v>0</v>
      </c>
      <c r="Z145" s="116" t="b">
        <f>OR(COUNTIF(PROVEEDORES[[#This Row],[PROVEEDOR]],"*"&amp;'Palabra no opera'!$A$2&amp;"*"))</f>
        <v>0</v>
      </c>
      <c r="AA145" s="24"/>
      <c r="AB145" s="24"/>
      <c r="AC145" s="24"/>
      <c r="AD145" s="24"/>
      <c r="AE145" s="24"/>
    </row>
    <row r="146" spans="1:31" ht="22.35" customHeight="1" x14ac:dyDescent="0.3">
      <c r="A146" s="61" t="str">
        <f>+IF(PROVEEDORES[[#This Row],[FECHA DE PAGO]]=PROVEEDORES[[#This Row],[FECHA DE FACTURACIÓN]],"DE CONTADO","CRÉDITO")</f>
        <v>CRÉDITO</v>
      </c>
      <c r="B146" s="38" t="b">
        <f>+IF((PROVEEDORES[[#This Row],[FECHA DE PAGO]]-PROVEEDORES[[#This Row],[FECHA DE FACTURACIÓN]])&gt;PROVEEDORES[[#This Row],[PLAZO Días]],"PAGO VENCIDO")</f>
        <v>0</v>
      </c>
      <c r="C146" s="20">
        <f>+VLOOKUP(PROVEEDORES[[#This Row],[PROVEEDOR]],TERCEROS_INFO[#All],2,FALSE)</f>
        <v>45</v>
      </c>
      <c r="D146" s="25">
        <f>+SUMIFS(PROVEEDORES[Total],PROVEEDORES[PROVEEDOR],PROVEEDORES[[#This Row],[PROVEEDOR]],PROVEEDORES[FECHA DE PAGO],"")</f>
        <v>0</v>
      </c>
      <c r="E146" s="25"/>
      <c r="F14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6" s="68">
        <v>44623</v>
      </c>
      <c r="H146" s="26" t="s">
        <v>288</v>
      </c>
      <c r="I146" s="68">
        <v>44587</v>
      </c>
      <c r="J146" s="35" t="s">
        <v>419</v>
      </c>
      <c r="K146" s="21">
        <v>2706000</v>
      </c>
      <c r="L146" s="21"/>
      <c r="M146" s="22">
        <v>0</v>
      </c>
      <c r="N146" s="23"/>
      <c r="O146" s="22">
        <v>0</v>
      </c>
      <c r="P146" s="74">
        <f>+IF(PROVEEDORES[[#This Row],[SUBTOTAL]]&lt;PROVEEDORES[[#This Row],[base retencion]],0,PROVEEDORES[[#This Row],[retención aplicada]])</f>
        <v>0</v>
      </c>
      <c r="Q146" s="22">
        <f>+PROVEEDORES[[#This Row],[Rete Fuente %]]*(PROVEEDORES[[#This Row],[SUBTOTAL]]-PROVEEDORES[[#This Row],[descuento sobre subtotal]])</f>
        <v>0</v>
      </c>
      <c r="R146" s="21">
        <v>2706000</v>
      </c>
      <c r="S14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63">
        <f ca="1">IF(PROVEEDORES[[#This Row],[FECHA DE PAGO]]=0,TODAY()-PROVEEDORES[[#This Row],[FECHA DE FACTURACIÓN]]-PROVEEDORES[[#This Row],[PLAZO Días]],0)</f>
        <v>0</v>
      </c>
      <c r="U146" s="87">
        <f>+VLOOKUP(PROVEEDORES[[#This Row],[PROVEEDOR]],Terceros!$A:$D,4,FALSE)</f>
        <v>0</v>
      </c>
      <c r="V146" s="88">
        <f>+YEAR(PROVEEDORES[[#This Row],[FECHA DE FACTURACIÓN]])</f>
        <v>2022</v>
      </c>
      <c r="W146" s="88">
        <f>+MATCH(PROVEEDORES[[#This Row],[año facturado]],Retenciones!$1:$1,0)</f>
        <v>5</v>
      </c>
      <c r="X146" s="89">
        <f>+VLOOKUP(PROVEEDORES[[#This Row],[ID RETENCION]],Retenciones!$A$1:$O$25,PROVEEDORES[[#This Row],[indicador de columna]],FALSE)</f>
        <v>0</v>
      </c>
      <c r="Y146" s="90">
        <f>+VLOOKUP(PROVEEDORES[[#This Row],[ID RETENCION]],Retenciones!$A$1:$O$25,2,FALSE)</f>
        <v>0</v>
      </c>
      <c r="Z146" s="116" t="b">
        <f>OR(COUNTIF(PROVEEDORES[[#This Row],[PROVEEDOR]],"*"&amp;'Palabra no opera'!$A$2&amp;"*"))</f>
        <v>0</v>
      </c>
      <c r="AA146" s="24"/>
      <c r="AB146" s="24"/>
      <c r="AC146" s="24"/>
      <c r="AD146" s="24"/>
      <c r="AE146" s="24"/>
    </row>
    <row r="147" spans="1:31" ht="22.35" customHeight="1" x14ac:dyDescent="0.3">
      <c r="A147" s="61" t="str">
        <f>+IF(PROVEEDORES[[#This Row],[FECHA DE PAGO]]=PROVEEDORES[[#This Row],[FECHA DE FACTURACIÓN]],"DE CONTADO","CRÉDITO")</f>
        <v>CRÉDITO</v>
      </c>
      <c r="B147" s="38" t="str">
        <f>+IF((PROVEEDORES[[#This Row],[FECHA DE PAGO]]-PROVEEDORES[[#This Row],[FECHA DE FACTURACIÓN]])&gt;PROVEEDORES[[#This Row],[PLAZO Días]],"PAGO VENCIDO")</f>
        <v>PAGO VENCIDO</v>
      </c>
      <c r="C147" s="20">
        <f>+VLOOKUP(PROVEEDORES[[#This Row],[PROVEEDOR]],TERCEROS_INFO[#All],2,FALSE)</f>
        <v>45</v>
      </c>
      <c r="D147" s="25">
        <f>+SUMIFS(PROVEEDORES[Total],PROVEEDORES[PROVEEDOR],PROVEEDORES[[#This Row],[PROVEEDOR]],PROVEEDORES[FECHA DE PAGO],"")</f>
        <v>0</v>
      </c>
      <c r="E147" s="25"/>
      <c r="F14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7" s="68">
        <v>44623</v>
      </c>
      <c r="H147" s="26" t="s">
        <v>320</v>
      </c>
      <c r="I147" s="68">
        <v>44557</v>
      </c>
      <c r="J147" s="35" t="s">
        <v>321</v>
      </c>
      <c r="K147" s="21">
        <v>2919000</v>
      </c>
      <c r="L147" s="21"/>
      <c r="M147" s="22">
        <v>0</v>
      </c>
      <c r="N147" s="23"/>
      <c r="O147" s="22">
        <v>0</v>
      </c>
      <c r="P147" s="74">
        <f>+IF(PROVEEDORES[[#This Row],[SUBTOTAL]]&lt;PROVEEDORES[[#This Row],[base retencion]],0,PROVEEDORES[[#This Row],[retención aplicada]])</f>
        <v>0</v>
      </c>
      <c r="Q147" s="22">
        <f>+PROVEEDORES[[#This Row],[Rete Fuente %]]*(PROVEEDORES[[#This Row],[SUBTOTAL]]-PROVEEDORES[[#This Row],[descuento sobre subtotal]])</f>
        <v>0</v>
      </c>
      <c r="R147" s="21">
        <v>2919000</v>
      </c>
      <c r="S14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63">
        <f ca="1">IF(PROVEEDORES[[#This Row],[FECHA DE PAGO]]=0,TODAY()-PROVEEDORES[[#This Row],[FECHA DE FACTURACIÓN]]-PROVEEDORES[[#This Row],[PLAZO Días]],0)</f>
        <v>0</v>
      </c>
      <c r="U147" s="87">
        <f>+VLOOKUP(PROVEEDORES[[#This Row],[PROVEEDOR]],Terceros!$A:$D,4,FALSE)</f>
        <v>0</v>
      </c>
      <c r="V147" s="88">
        <f>+YEAR(PROVEEDORES[[#This Row],[FECHA DE FACTURACIÓN]])</f>
        <v>2021</v>
      </c>
      <c r="W147" s="88">
        <f>+MATCH(PROVEEDORES[[#This Row],[año facturado]],Retenciones!$1:$1,0)</f>
        <v>4</v>
      </c>
      <c r="X147" s="89">
        <f>+VLOOKUP(PROVEEDORES[[#This Row],[ID RETENCION]],Retenciones!$A$1:$O$25,PROVEEDORES[[#This Row],[indicador de columna]],FALSE)</f>
        <v>0</v>
      </c>
      <c r="Y147" s="90">
        <f>+VLOOKUP(PROVEEDORES[[#This Row],[ID RETENCION]],Retenciones!$A$1:$O$25,2,FALSE)</f>
        <v>0</v>
      </c>
      <c r="Z147" s="116" t="b">
        <f>OR(COUNTIF(PROVEEDORES[[#This Row],[PROVEEDOR]],"*"&amp;'Palabra no opera'!$A$2&amp;"*"))</f>
        <v>0</v>
      </c>
      <c r="AA147" s="24"/>
      <c r="AB147" s="24"/>
      <c r="AC147" s="24"/>
      <c r="AD147" s="24"/>
      <c r="AE147" s="24"/>
    </row>
    <row r="148" spans="1:31" ht="22.35" customHeight="1" x14ac:dyDescent="0.3">
      <c r="A148" s="61" t="str">
        <f>+IF(PROVEEDORES[[#This Row],[FECHA DE PAGO]]=PROVEEDORES[[#This Row],[FECHA DE FACTURACIÓN]],"DE CONTADO","CRÉDITO")</f>
        <v>CRÉDITO</v>
      </c>
      <c r="B148" s="38" t="str">
        <f>+IF((PROVEEDORES[[#This Row],[FECHA DE PAGO]]-PROVEEDORES[[#This Row],[FECHA DE FACTURACIÓN]])&gt;PROVEEDORES[[#This Row],[PLAZO Días]],"PAGO VENCIDO")</f>
        <v>PAGO VENCIDO</v>
      </c>
      <c r="C148" s="20">
        <f>+VLOOKUP(PROVEEDORES[[#This Row],[PROVEEDOR]],TERCEROS_INFO[#All],2,FALSE)</f>
        <v>30</v>
      </c>
      <c r="D148" s="25">
        <f>+SUMIFS(PROVEEDORES[Total],PROVEEDORES[PROVEEDOR],PROVEEDORES[[#This Row],[PROVEEDOR]],PROVEEDORES[FECHA DE PAGO],"")</f>
        <v>12030261.305</v>
      </c>
      <c r="E148" s="25"/>
      <c r="F148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48" s="68">
        <v>44624</v>
      </c>
      <c r="H148" s="26" t="s">
        <v>12</v>
      </c>
      <c r="I148" s="68">
        <v>44541</v>
      </c>
      <c r="J148" s="35" t="s">
        <v>301</v>
      </c>
      <c r="K148" s="21">
        <v>2907563</v>
      </c>
      <c r="L148" s="21"/>
      <c r="M148" s="22">
        <v>552436.97</v>
      </c>
      <c r="N148" s="23"/>
      <c r="O148" s="22">
        <v>0</v>
      </c>
      <c r="P148" s="74">
        <f>+IF(PROVEEDORES[[#This Row],[SUBTOTAL]]&lt;PROVEEDORES[[#This Row],[base retencion]],0,PROVEEDORES[[#This Row],[retención aplicada]])</f>
        <v>2.5000000000000001E-2</v>
      </c>
      <c r="Q148" s="22">
        <f>+PROVEEDORES[[#This Row],[Rete Fuente %]]*(PROVEEDORES[[#This Row],[SUBTOTAL]]-PROVEEDORES[[#This Row],[descuento sobre subtotal]])</f>
        <v>72689.074999999997</v>
      </c>
      <c r="R148" s="21">
        <v>3387310.8949999996</v>
      </c>
      <c r="S14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63">
        <f ca="1">IF(PROVEEDORES[[#This Row],[FECHA DE PAGO]]=0,TODAY()-PROVEEDORES[[#This Row],[FECHA DE FACTURACIÓN]]-PROVEEDORES[[#This Row],[PLAZO Días]],0)</f>
        <v>0</v>
      </c>
      <c r="U148" s="87" t="str">
        <f>+VLOOKUP(PROVEEDORES[[#This Row],[PROVEEDOR]],Terceros!$A:$D,4,FALSE)</f>
        <v>2,5% con base</v>
      </c>
      <c r="V148" s="88">
        <f>+YEAR(PROVEEDORES[[#This Row],[FECHA DE FACTURACIÓN]])</f>
        <v>2021</v>
      </c>
      <c r="W148" s="88">
        <f>+MATCH(PROVEEDORES[[#This Row],[año facturado]],Retenciones!$1:$1,0)</f>
        <v>4</v>
      </c>
      <c r="X148" s="89">
        <f>+VLOOKUP(PROVEEDORES[[#This Row],[ID RETENCION]],Retenciones!$A$1:$O$25,PROVEEDORES[[#This Row],[indicador de columna]],FALSE)</f>
        <v>980000</v>
      </c>
      <c r="Y148" s="90">
        <f>+VLOOKUP(PROVEEDORES[[#This Row],[ID RETENCION]],Retenciones!$A$1:$O$25,2,FALSE)</f>
        <v>2.5000000000000001E-2</v>
      </c>
      <c r="Z148" s="116" t="b">
        <f>OR(COUNTIF(PROVEEDORES[[#This Row],[PROVEEDOR]],"*"&amp;'Palabra no opera'!$A$2&amp;"*"))</f>
        <v>0</v>
      </c>
      <c r="AA148" s="24"/>
      <c r="AB148" s="24"/>
      <c r="AC148" s="24"/>
      <c r="AD148" s="24"/>
      <c r="AE148" s="24"/>
    </row>
    <row r="149" spans="1:31" ht="22.35" customHeight="1" x14ac:dyDescent="0.3">
      <c r="A149" s="61" t="str">
        <f>+IF(PROVEEDORES[[#This Row],[FECHA DE PAGO]]=PROVEEDORES[[#This Row],[FECHA DE FACTURACIÓN]],"DE CONTADO","CRÉDITO")</f>
        <v>CRÉDITO</v>
      </c>
      <c r="B149" s="38" t="str">
        <f>+IF((PROVEEDORES[[#This Row],[FECHA DE PAGO]]-PROVEEDORES[[#This Row],[FECHA DE FACTURACIÓN]])&gt;PROVEEDORES[[#This Row],[PLAZO Días]],"PAGO VENCIDO")</f>
        <v>PAGO VENCIDO</v>
      </c>
      <c r="C149" s="20">
        <f>+VLOOKUP(PROVEEDORES[[#This Row],[PROVEEDOR]],TERCEROS_INFO[#All],2,FALSE)</f>
        <v>30</v>
      </c>
      <c r="D149" s="25">
        <f>+SUMIFS(PROVEEDORES[Total],PROVEEDORES[PROVEEDOR],PROVEEDORES[[#This Row],[PROVEEDOR]],PROVEEDORES[FECHA DE PAGO],"")</f>
        <v>12030261.305</v>
      </c>
      <c r="E149" s="25"/>
      <c r="F149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49" s="68">
        <v>44624</v>
      </c>
      <c r="H149" s="26" t="s">
        <v>12</v>
      </c>
      <c r="I149" s="68">
        <v>44541</v>
      </c>
      <c r="J149" s="35" t="s">
        <v>300</v>
      </c>
      <c r="K149" s="21">
        <v>7164707</v>
      </c>
      <c r="L149" s="21"/>
      <c r="M149" s="22">
        <v>1361294.33</v>
      </c>
      <c r="N149" s="23"/>
      <c r="O149" s="22">
        <v>0</v>
      </c>
      <c r="P149" s="74">
        <f>+IF(PROVEEDORES[[#This Row],[SUBTOTAL]]&lt;PROVEEDORES[[#This Row],[base retencion]],0,PROVEEDORES[[#This Row],[retención aplicada]])</f>
        <v>2.5000000000000001E-2</v>
      </c>
      <c r="Q149" s="22">
        <f>+PROVEEDORES[[#This Row],[Rete Fuente %]]*(PROVEEDORES[[#This Row],[SUBTOTAL]]-PROVEEDORES[[#This Row],[descuento sobre subtotal]])</f>
        <v>179117.67500000002</v>
      </c>
      <c r="R149" s="21">
        <v>8346883.6550000003</v>
      </c>
      <c r="S14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63">
        <f ca="1">IF(PROVEEDORES[[#This Row],[FECHA DE PAGO]]=0,TODAY()-PROVEEDORES[[#This Row],[FECHA DE FACTURACIÓN]]-PROVEEDORES[[#This Row],[PLAZO Días]],0)</f>
        <v>0</v>
      </c>
      <c r="U149" s="87" t="str">
        <f>+VLOOKUP(PROVEEDORES[[#This Row],[PROVEEDOR]],Terceros!$A:$D,4,FALSE)</f>
        <v>2,5% con base</v>
      </c>
      <c r="V149" s="88">
        <f>+YEAR(PROVEEDORES[[#This Row],[FECHA DE FACTURACIÓN]])</f>
        <v>2021</v>
      </c>
      <c r="W149" s="88">
        <f>+MATCH(PROVEEDORES[[#This Row],[año facturado]],Retenciones!$1:$1,0)</f>
        <v>4</v>
      </c>
      <c r="X149" s="89">
        <f>+VLOOKUP(PROVEEDORES[[#This Row],[ID RETENCION]],Retenciones!$A$1:$O$25,PROVEEDORES[[#This Row],[indicador de columna]],FALSE)</f>
        <v>980000</v>
      </c>
      <c r="Y149" s="90">
        <f>+VLOOKUP(PROVEEDORES[[#This Row],[ID RETENCION]],Retenciones!$A$1:$O$25,2,FALSE)</f>
        <v>2.5000000000000001E-2</v>
      </c>
      <c r="Z149" s="116" t="b">
        <f>OR(COUNTIF(PROVEEDORES[[#This Row],[PROVEEDOR]],"*"&amp;'Palabra no opera'!$A$2&amp;"*"))</f>
        <v>0</v>
      </c>
      <c r="AA149" s="24"/>
      <c r="AB149" s="24"/>
      <c r="AC149" s="24"/>
      <c r="AD149" s="24"/>
      <c r="AE149" s="24"/>
    </row>
    <row r="150" spans="1:31" ht="22.35" customHeight="1" x14ac:dyDescent="0.3">
      <c r="A150" s="61" t="str">
        <f>+IF(PROVEEDORES[[#This Row],[FECHA DE PAGO]]=PROVEEDORES[[#This Row],[FECHA DE FACTURACIÓN]],"DE CONTADO","CRÉDITO")</f>
        <v>CRÉDITO</v>
      </c>
      <c r="B150" s="38" t="str">
        <f>+IF((PROVEEDORES[[#This Row],[FECHA DE PAGO]]-PROVEEDORES[[#This Row],[FECHA DE FACTURACIÓN]])&gt;PROVEEDORES[[#This Row],[PLAZO Días]],"PAGO VENCIDO")</f>
        <v>PAGO VENCIDO</v>
      </c>
      <c r="C150" s="20">
        <f>+VLOOKUP(PROVEEDORES[[#This Row],[PROVEEDOR]],TERCEROS_INFO[#All],2,FALSE)</f>
        <v>30</v>
      </c>
      <c r="D150" s="25">
        <f>+SUMIFS(PROVEEDORES[Total],PROVEEDORES[PROVEEDOR],PROVEEDORES[[#This Row],[PROVEEDOR]],PROVEEDORES[FECHA DE PAGO],"")</f>
        <v>0</v>
      </c>
      <c r="E150" s="25"/>
      <c r="F150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0" s="68">
        <v>44624</v>
      </c>
      <c r="H150" s="26" t="s">
        <v>964</v>
      </c>
      <c r="I150" s="68">
        <v>44589</v>
      </c>
      <c r="J150" s="35">
        <v>26650</v>
      </c>
      <c r="K150" s="21">
        <v>4800000</v>
      </c>
      <c r="L150" s="21"/>
      <c r="M150" s="22">
        <f>(PROVEEDORES[[#This Row],[SUBTOTAL]]-PROVEEDORES[[#This Row],[descuento sobre subtotal]])*VLOOKUP(PROVEEDORES[[#This Row],[PROVEEDOR]],TERCEROS_INFO[#All],3,FALSE)</f>
        <v>912000</v>
      </c>
      <c r="N150" s="23"/>
      <c r="O150" s="22">
        <f>+PROVEEDORES[[#This Row],[Descuento sobre subtotal %]]*(PROVEEDORES[[#This Row],[SUBTOTAL]]-PROVEEDORES[[#This Row],[descuento sobre subtotal]])</f>
        <v>0</v>
      </c>
      <c r="P150" s="74">
        <v>2.5000000000000001E-2</v>
      </c>
      <c r="Q150" s="22">
        <f>+PROVEEDORES[[#This Row],[Rete Fuente %]]*(PROVEEDORES[[#This Row],[SUBTOTAL]]-PROVEEDORES[[#This Row],[descuento sobre subtotal]])</f>
        <v>120000</v>
      </c>
      <c r="R150" s="21">
        <v>5592000</v>
      </c>
      <c r="S15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63">
        <f ca="1">IF(PROVEEDORES[[#This Row],[FECHA DE PAGO]]=0,TODAY()-PROVEEDORES[[#This Row],[FECHA DE FACTURACIÓN]]-PROVEEDORES[[#This Row],[PLAZO Días]],0)</f>
        <v>0</v>
      </c>
      <c r="U150" s="87">
        <f>+VLOOKUP(PROVEEDORES[[#This Row],[PROVEEDOR]],Terceros!$A:$D,4,FALSE)</f>
        <v>0</v>
      </c>
      <c r="V150" s="88">
        <f>+YEAR(PROVEEDORES[[#This Row],[FECHA DE FACTURACIÓN]])</f>
        <v>2022</v>
      </c>
      <c r="W150" s="88">
        <f>+MATCH(PROVEEDORES[[#This Row],[año facturado]],Retenciones!$1:$1,0)</f>
        <v>5</v>
      </c>
      <c r="X150" s="89">
        <f>+VLOOKUP(PROVEEDORES[[#This Row],[ID RETENCION]],Retenciones!$A$1:$O$25,PROVEEDORES[[#This Row],[indicador de columna]],FALSE)</f>
        <v>0</v>
      </c>
      <c r="Y150" s="90">
        <f>+VLOOKUP(PROVEEDORES[[#This Row],[ID RETENCION]],Retenciones!$A$1:$O$25,2,FALSE)</f>
        <v>0</v>
      </c>
      <c r="Z150" s="116" t="b">
        <f>OR(COUNTIF(PROVEEDORES[[#This Row],[PROVEEDOR]],"*"&amp;'Palabra no opera'!$A$2&amp;"*"))</f>
        <v>0</v>
      </c>
      <c r="AA150" s="24"/>
      <c r="AB150" s="24"/>
      <c r="AC150" s="24"/>
      <c r="AD150" s="24"/>
      <c r="AE150" s="24"/>
    </row>
    <row r="151" spans="1:31" ht="22.35" customHeight="1" x14ac:dyDescent="0.3">
      <c r="A151" s="61" t="str">
        <f>+IF(PROVEEDORES[[#This Row],[FECHA DE PAGO]]=PROVEEDORES[[#This Row],[FECHA DE FACTURACIÓN]],"DE CONTADO","CRÉDITO")</f>
        <v>CRÉDITO</v>
      </c>
      <c r="B151" s="38" t="b">
        <f>+IF((PROVEEDORES[[#This Row],[FECHA DE PAGO]]-PROVEEDORES[[#This Row],[FECHA DE FACTURACIÓN]])&gt;PROVEEDORES[[#This Row],[PLAZO Días]],"PAGO VENCIDO")</f>
        <v>0</v>
      </c>
      <c r="C151" s="20">
        <f>+VLOOKUP(PROVEEDORES[[#This Row],[PROVEEDOR]],TERCEROS_INFO[#All],2,FALSE)</f>
        <v>30</v>
      </c>
      <c r="D151" s="25">
        <f>+SUMIFS(PROVEEDORES[Total],PROVEEDORES[PROVEEDOR],PROVEEDORES[[#This Row],[PROVEEDOR]],PROVEEDORES[FECHA DE PAGO],"")</f>
        <v>0</v>
      </c>
      <c r="E151" s="25"/>
      <c r="F151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51" s="68">
        <v>44624</v>
      </c>
      <c r="H151" s="26" t="s">
        <v>335</v>
      </c>
      <c r="I151" s="68">
        <v>44603</v>
      </c>
      <c r="J151" s="35" t="s">
        <v>457</v>
      </c>
      <c r="K151" s="21">
        <v>182658.72</v>
      </c>
      <c r="L151" s="21"/>
      <c r="M151" s="22">
        <f>(PROVEEDORES[[#This Row],[SUBTOTAL]]-PROVEEDORES[[#This Row],[descuento sobre subtotal]])*VLOOKUP(PROVEEDORES[[#This Row],[PROVEEDOR]],TERCEROS_INFO[#All],3,FALSE)</f>
        <v>0</v>
      </c>
      <c r="N151" s="23"/>
      <c r="O151" s="22">
        <f>+PROVEEDORES[[#This Row],[Descuento sobre subtotal %]]*(PROVEEDORES[[#This Row],[SUBTOTAL]]-PROVEEDORES[[#This Row],[descuento sobre subtotal]])</f>
        <v>0</v>
      </c>
      <c r="P151" s="74">
        <f>+IF(PROVEEDORES[[#This Row],[SUBTOTAL]]&lt;PROVEEDORES[[#This Row],[base retencion]],0,PROVEEDORES[[#This Row],[retención aplicada]])</f>
        <v>0</v>
      </c>
      <c r="Q151" s="22">
        <f>+PROVEEDORES[[#This Row],[Rete Fuente %]]*(PROVEEDORES[[#This Row],[SUBTOTAL]]-PROVEEDORES[[#This Row],[descuento sobre subtotal]])</f>
        <v>0</v>
      </c>
      <c r="R151" s="21">
        <f>+PROVEEDORES[[#This Row],[SUBTOTAL]]+PROVEEDORES[[#This Row],[IVA 19%]]-PROVEEDORES[[#This Row],[descuento sobre subtotal]]-PROVEEDORES[[#This Row],[Descuento sobre subtotal $2]]-PROVEEDORES[[#This Row],[Rete Fuente $]]</f>
        <v>182658.72</v>
      </c>
      <c r="S15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63">
        <f ca="1">IF(PROVEEDORES[[#This Row],[FECHA DE PAGO]]=0,TODAY()-PROVEEDORES[[#This Row],[FECHA DE FACTURACIÓN]]-PROVEEDORES[[#This Row],[PLAZO Días]],0)</f>
        <v>0</v>
      </c>
      <c r="U151" s="87">
        <f>+VLOOKUP(PROVEEDORES[[#This Row],[PROVEEDOR]],Terceros!$A:$D,4,FALSE)</f>
        <v>0</v>
      </c>
      <c r="V151" s="88">
        <f>+YEAR(PROVEEDORES[[#This Row],[FECHA DE FACTURACIÓN]])</f>
        <v>2022</v>
      </c>
      <c r="W151" s="88">
        <f>+MATCH(PROVEEDORES[[#This Row],[año facturado]],Retenciones!$1:$1,0)</f>
        <v>5</v>
      </c>
      <c r="X151" s="89">
        <f>+VLOOKUP(PROVEEDORES[[#This Row],[ID RETENCION]],Retenciones!$A$1:$O$25,PROVEEDORES[[#This Row],[indicador de columna]],FALSE)</f>
        <v>0</v>
      </c>
      <c r="Y151" s="90">
        <f>+VLOOKUP(PROVEEDORES[[#This Row],[ID RETENCION]],Retenciones!$A$1:$O$25,2,FALSE)</f>
        <v>0</v>
      </c>
      <c r="Z151" s="116" t="b">
        <f>OR(COUNTIF(PROVEEDORES[[#This Row],[PROVEEDOR]],"*"&amp;'Palabra no opera'!$A$2&amp;"*"))</f>
        <v>0</v>
      </c>
      <c r="AA151" s="24"/>
      <c r="AB151" s="24"/>
      <c r="AC151" s="24"/>
      <c r="AD151" s="24"/>
      <c r="AE151" s="24"/>
    </row>
    <row r="152" spans="1:31" ht="22.35" customHeight="1" x14ac:dyDescent="0.3">
      <c r="A152" s="61" t="str">
        <f>+IF(PROVEEDORES[[#This Row],[FECHA DE PAGO]]=PROVEEDORES[[#This Row],[FECHA DE FACTURACIÓN]],"DE CONTADO","CRÉDITO")</f>
        <v>CRÉDITO</v>
      </c>
      <c r="B152" s="38" t="str">
        <f>+IF((PROVEEDORES[[#This Row],[FECHA DE PAGO]]-PROVEEDORES[[#This Row],[FECHA DE FACTURACIÓN]])&gt;PROVEEDORES[[#This Row],[PLAZO Días]],"PAGO VENCIDO")</f>
        <v>PAGO VENCIDO</v>
      </c>
      <c r="C152" s="20">
        <f>+VLOOKUP(PROVEEDORES[[#This Row],[PROVEEDOR]],TERCEROS_INFO[#All],2,FALSE)</f>
        <v>30</v>
      </c>
      <c r="D152" s="25">
        <f>+SUMIFS(PROVEEDORES[Total],PROVEEDORES[PROVEEDOR],PROVEEDORES[[#This Row],[PROVEEDOR]],PROVEEDORES[FECHA DE PAGO],"")</f>
        <v>-139600.09</v>
      </c>
      <c r="E152" s="25"/>
      <c r="F152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52" s="68">
        <v>44624</v>
      </c>
      <c r="H152" s="26" t="s">
        <v>32</v>
      </c>
      <c r="I152" s="68">
        <v>44579</v>
      </c>
      <c r="J152" s="35" t="s">
        <v>339</v>
      </c>
      <c r="K152" s="21">
        <v>2379411.12</v>
      </c>
      <c r="L152" s="21"/>
      <c r="M152" s="22">
        <f>(PROVEEDORES[[#This Row],[SUBTOTAL]]-PROVEEDORES[[#This Row],[descuento sobre subtotal]])*VLOOKUP(PROVEEDORES[[#This Row],[PROVEEDOR]],TERCEROS_INFO[#All],3,FALSE)</f>
        <v>452088.1128</v>
      </c>
      <c r="N152" s="23"/>
      <c r="O152" s="22">
        <f>+PROVEEDORES[[#This Row],[Descuento sobre subtotal %]]*(PROVEEDORES[[#This Row],[SUBTOTAL]]-PROVEEDORES[[#This Row],[descuento sobre subtotal]])</f>
        <v>0</v>
      </c>
      <c r="P152" s="74">
        <f>+IF(PROVEEDORES[[#This Row],[SUBTOTAL]]&lt;PROVEEDORES[[#This Row],[base retencion]],0,PROVEEDORES[[#This Row],[retención aplicada]])</f>
        <v>2.5000000000000001E-2</v>
      </c>
      <c r="Q152" s="22">
        <f>+PROVEEDORES[[#This Row],[Rete Fuente %]]*(PROVEEDORES[[#This Row],[SUBTOTAL]]-PROVEEDORES[[#This Row],[descuento sobre subtotal]])</f>
        <v>59485.278000000006</v>
      </c>
      <c r="R152" s="21">
        <f>+PROVEEDORES[[#This Row],[SUBTOTAL]]+PROVEEDORES[[#This Row],[IVA 19%]]-PROVEEDORES[[#This Row],[descuento sobre subtotal]]-PROVEEDORES[[#This Row],[Descuento sobre subtotal $2]]-PROVEEDORES[[#This Row],[Rete Fuente $]]</f>
        <v>2772013.9548000004</v>
      </c>
      <c r="S15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63">
        <f ca="1">IF(PROVEEDORES[[#This Row],[FECHA DE PAGO]]=0,TODAY()-PROVEEDORES[[#This Row],[FECHA DE FACTURACIÓN]]-PROVEEDORES[[#This Row],[PLAZO Días]],0)</f>
        <v>0</v>
      </c>
      <c r="U152" s="87" t="str">
        <f>+VLOOKUP(PROVEEDORES[[#This Row],[PROVEEDOR]],Terceros!$A:$D,4,FALSE)</f>
        <v>2,5% con base</v>
      </c>
      <c r="V152" s="88">
        <f>+YEAR(PROVEEDORES[[#This Row],[FECHA DE FACTURACIÓN]])</f>
        <v>2022</v>
      </c>
      <c r="W152" s="88">
        <f>+MATCH(PROVEEDORES[[#This Row],[año facturado]],Retenciones!$1:$1,0)</f>
        <v>5</v>
      </c>
      <c r="X152" s="89">
        <f>+VLOOKUP(PROVEEDORES[[#This Row],[ID RETENCION]],Retenciones!$A$1:$O$25,PROVEEDORES[[#This Row],[indicador de columna]],FALSE)</f>
        <v>1026000</v>
      </c>
      <c r="Y152" s="90">
        <f>+VLOOKUP(PROVEEDORES[[#This Row],[ID RETENCION]],Retenciones!$A$1:$O$25,2,FALSE)</f>
        <v>2.5000000000000001E-2</v>
      </c>
      <c r="Z152" s="116" t="b">
        <f>OR(COUNTIF(PROVEEDORES[[#This Row],[PROVEEDOR]],"*"&amp;'Palabra no opera'!$A$2&amp;"*"))</f>
        <v>0</v>
      </c>
      <c r="AA152" s="24"/>
      <c r="AB152" s="24"/>
      <c r="AC152" s="24"/>
      <c r="AD152" s="24"/>
      <c r="AE152" s="24"/>
    </row>
    <row r="153" spans="1:31" ht="22.35" customHeight="1" x14ac:dyDescent="0.3">
      <c r="A153" s="61" t="str">
        <f>+IF(PROVEEDORES[[#This Row],[FECHA DE PAGO]]=PROVEEDORES[[#This Row],[FECHA DE FACTURACIÓN]],"DE CONTADO","CRÉDITO")</f>
        <v>CRÉDITO</v>
      </c>
      <c r="B153" s="38" t="b">
        <f>+IF((PROVEEDORES[[#This Row],[FECHA DE PAGO]]-PROVEEDORES[[#This Row],[FECHA DE FACTURACIÓN]])&gt;PROVEEDORES[[#This Row],[PLAZO Días]],"PAGO VENCIDO")</f>
        <v>0</v>
      </c>
      <c r="C153" s="20">
        <f>+VLOOKUP(PROVEEDORES[[#This Row],[PROVEEDOR]],TERCEROS_INFO[#All],2,FALSE)</f>
        <v>45</v>
      </c>
      <c r="D153" s="25">
        <f>+SUMIFS(PROVEEDORES[Total],PROVEEDORES[PROVEEDOR],PROVEEDORES[[#This Row],[PROVEEDOR]],PROVEEDORES[FECHA DE PAGO],"")</f>
        <v>15770594</v>
      </c>
      <c r="E153" s="25"/>
      <c r="F153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3" s="68">
        <v>44624</v>
      </c>
      <c r="H153" s="26" t="s">
        <v>19</v>
      </c>
      <c r="I153" s="68">
        <v>44581</v>
      </c>
      <c r="J153" s="35" t="s">
        <v>464</v>
      </c>
      <c r="K153" s="21">
        <v>3491200</v>
      </c>
      <c r="L153" s="21"/>
      <c r="M153" s="22">
        <f>(PROVEEDORES[[#This Row],[SUBTOTAL]]-PROVEEDORES[[#This Row],[descuento sobre subtotal]])*VLOOKUP(PROVEEDORES[[#This Row],[PROVEEDOR]],TERCEROS_INFO[#All],3,FALSE)</f>
        <v>663328</v>
      </c>
      <c r="N153" s="23"/>
      <c r="O153" s="22">
        <f>+PROVEEDORES[[#This Row],[Descuento sobre subtotal %]]*(PROVEEDORES[[#This Row],[SUBTOTAL]]-PROVEEDORES[[#This Row],[descuento sobre subtotal]])</f>
        <v>0</v>
      </c>
      <c r="P153" s="74">
        <f>+IF(PROVEEDORES[[#This Row],[SUBTOTAL]]&lt;PROVEEDORES[[#This Row],[base retencion]],0,PROVEEDORES[[#This Row],[retención aplicada]])</f>
        <v>0</v>
      </c>
      <c r="Q153" s="22">
        <f>+PROVEEDORES[[#This Row],[Rete Fuente %]]*(PROVEEDORES[[#This Row],[SUBTOTAL]]-PROVEEDORES[[#This Row],[descuento sobre subtotal]])</f>
        <v>0</v>
      </c>
      <c r="R153" s="21">
        <v>4154528</v>
      </c>
      <c r="S15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63">
        <f ca="1">IF(PROVEEDORES[[#This Row],[FECHA DE PAGO]]=0,TODAY()-PROVEEDORES[[#This Row],[FECHA DE FACTURACIÓN]]-PROVEEDORES[[#This Row],[PLAZO Días]],0)</f>
        <v>0</v>
      </c>
      <c r="U153" s="87">
        <f>+VLOOKUP(PROVEEDORES[[#This Row],[PROVEEDOR]],Terceros!$A:$D,4,FALSE)</f>
        <v>0</v>
      </c>
      <c r="V153" s="88">
        <f>+YEAR(PROVEEDORES[[#This Row],[FECHA DE FACTURACIÓN]])</f>
        <v>2022</v>
      </c>
      <c r="W153" s="88">
        <f>+MATCH(PROVEEDORES[[#This Row],[año facturado]],Retenciones!$1:$1,0)</f>
        <v>5</v>
      </c>
      <c r="X153" s="89">
        <f>+VLOOKUP(PROVEEDORES[[#This Row],[ID RETENCION]],Retenciones!$A$1:$O$25,PROVEEDORES[[#This Row],[indicador de columna]],FALSE)</f>
        <v>0</v>
      </c>
      <c r="Y153" s="90">
        <f>+VLOOKUP(PROVEEDORES[[#This Row],[ID RETENCION]],Retenciones!$A$1:$O$25,2,FALSE)</f>
        <v>0</v>
      </c>
      <c r="Z153" s="116" t="b">
        <f>OR(COUNTIF(PROVEEDORES[[#This Row],[PROVEEDOR]],"*"&amp;'Palabra no opera'!$A$2&amp;"*"))</f>
        <v>0</v>
      </c>
      <c r="AA153" s="24"/>
      <c r="AB153" s="24"/>
      <c r="AC153" s="24"/>
      <c r="AD153" s="24"/>
      <c r="AE153" s="24"/>
    </row>
    <row r="154" spans="1:31" ht="22.35" customHeight="1" x14ac:dyDescent="0.3">
      <c r="A154" s="61" t="str">
        <f>+IF(PROVEEDORES[[#This Row],[FECHA DE PAGO]]=PROVEEDORES[[#This Row],[FECHA DE FACTURACIÓN]],"DE CONTADO","CRÉDITO")</f>
        <v>CRÉDITO</v>
      </c>
      <c r="B154" s="38" t="str">
        <f>+IF((PROVEEDORES[[#This Row],[FECHA DE PAGO]]-PROVEEDORES[[#This Row],[FECHA DE FACTURACIÓN]])&gt;PROVEEDORES[[#This Row],[PLAZO Días]],"PAGO VENCIDO")</f>
        <v>PAGO VENCIDO</v>
      </c>
      <c r="C154" s="20">
        <f>+VLOOKUP(PROVEEDORES[[#This Row],[PROVEEDOR]],TERCEROS_INFO[#All],2,FALSE)</f>
        <v>30</v>
      </c>
      <c r="D154" s="25">
        <f>+SUMIFS(PROVEEDORES[Total],PROVEEDORES[PROVEEDOR],PROVEEDORES[[#This Row],[PROVEEDOR]],PROVEEDORES[FECHA DE PAGO],"")</f>
        <v>18444236.894999996</v>
      </c>
      <c r="E154" s="25"/>
      <c r="F15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4" s="68">
        <v>44624</v>
      </c>
      <c r="H154" s="26" t="s">
        <v>11</v>
      </c>
      <c r="I154" s="68">
        <v>44579</v>
      </c>
      <c r="J154" s="35" t="s">
        <v>336</v>
      </c>
      <c r="K154" s="21">
        <v>2740840</v>
      </c>
      <c r="L154" s="21"/>
      <c r="M154" s="22">
        <v>520759.60000000003</v>
      </c>
      <c r="N154" s="23"/>
      <c r="O154" s="22">
        <f>+PROVEEDORES[[#This Row],[Descuento sobre subtotal %]]*(PROVEEDORES[[#This Row],[SUBTOTAL]]-PROVEEDORES[[#This Row],[descuento sobre subtotal]])</f>
        <v>0</v>
      </c>
      <c r="P154" s="74">
        <f>+IF(PROVEEDORES[[#This Row],[SUBTOTAL]]&lt;PROVEEDORES[[#This Row],[base retencion]],0,PROVEEDORES[[#This Row],[retención aplicada]])</f>
        <v>2.5000000000000001E-2</v>
      </c>
      <c r="Q154" s="22">
        <f>+PROVEEDORES[[#This Row],[Rete Fuente %]]*(PROVEEDORES[[#This Row],[SUBTOTAL]]-PROVEEDORES[[#This Row],[descuento sobre subtotal]])</f>
        <v>68521</v>
      </c>
      <c r="R154" s="21">
        <v>3193078.6</v>
      </c>
      <c r="S15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63">
        <f ca="1">IF(PROVEEDORES[[#This Row],[FECHA DE PAGO]]=0,TODAY()-PROVEEDORES[[#This Row],[FECHA DE FACTURACIÓN]]-PROVEEDORES[[#This Row],[PLAZO Días]],0)</f>
        <v>0</v>
      </c>
      <c r="U154" s="87" t="str">
        <f>+VLOOKUP(PROVEEDORES[[#This Row],[PROVEEDOR]],Terceros!$A:$D,4,FALSE)</f>
        <v>2,5% con base</v>
      </c>
      <c r="V154" s="88">
        <f>+YEAR(PROVEEDORES[[#This Row],[FECHA DE FACTURACIÓN]])</f>
        <v>2022</v>
      </c>
      <c r="W154" s="88">
        <f>+MATCH(PROVEEDORES[[#This Row],[año facturado]],Retenciones!$1:$1,0)</f>
        <v>5</v>
      </c>
      <c r="X154" s="89">
        <f>+VLOOKUP(PROVEEDORES[[#This Row],[ID RETENCION]],Retenciones!$A$1:$O$25,PROVEEDORES[[#This Row],[indicador de columna]],FALSE)</f>
        <v>1026000</v>
      </c>
      <c r="Y154" s="90">
        <f>+VLOOKUP(PROVEEDORES[[#This Row],[ID RETENCION]],Retenciones!$A$1:$O$25,2,FALSE)</f>
        <v>2.5000000000000001E-2</v>
      </c>
      <c r="Z154" s="117" t="b">
        <f>OR(COUNTIF(PROVEEDORES[[#This Row],[PROVEEDOR]],"*"&amp;'Palabra no opera'!$A$2&amp;"*"))</f>
        <v>0</v>
      </c>
      <c r="AA154" s="24"/>
      <c r="AB154" s="24"/>
      <c r="AC154" s="24"/>
      <c r="AD154" s="24"/>
      <c r="AE154" s="24"/>
    </row>
    <row r="155" spans="1:31" ht="22.35" customHeight="1" x14ac:dyDescent="0.3">
      <c r="A155" s="61" t="str">
        <f>+IF(PROVEEDORES[[#This Row],[FECHA DE PAGO]]=PROVEEDORES[[#This Row],[FECHA DE FACTURACIÓN]],"DE CONTADO","CRÉDITO")</f>
        <v>DE CONTADO</v>
      </c>
      <c r="B155" s="38" t="b">
        <f>+IF((PROVEEDORES[[#This Row],[FECHA DE PAGO]]-PROVEEDORES[[#This Row],[FECHA DE FACTURACIÓN]])&gt;PROVEEDORES[[#This Row],[PLAZO Días]],"PAGO VENCIDO")</f>
        <v>0</v>
      </c>
      <c r="C155" s="20">
        <f>+VLOOKUP(PROVEEDORES[[#This Row],[PROVEEDOR]],TERCEROS_INFO[#All],2,FALSE)</f>
        <v>30</v>
      </c>
      <c r="D155" s="25">
        <f>+SUMIFS(PROVEEDORES[Total],PROVEEDORES[PROVEEDOR],PROVEEDORES[[#This Row],[PROVEEDOR]],PROVEEDORES[FECHA DE PAGO],"")</f>
        <v>0</v>
      </c>
      <c r="E155" s="25"/>
      <c r="F155" s="56" t="str">
        <f>+VLOOKUP(PROVEEDORES[[#This Row],[PROVEEDOR]],
                       Terceros!$A:$F,
                       5,
                       FALSE)</f>
        <v/>
      </c>
      <c r="G155" s="68">
        <v>44627</v>
      </c>
      <c r="H155" s="26" t="s">
        <v>378</v>
      </c>
      <c r="I155" s="68">
        <v>44627</v>
      </c>
      <c r="J155" s="35" t="s">
        <v>379</v>
      </c>
      <c r="K155" s="21">
        <v>540000</v>
      </c>
      <c r="L155" s="21"/>
      <c r="M155" s="22">
        <f>(PROVEEDORES[[#This Row],[SUBTOTAL]]-PROVEEDORES[[#This Row],[descuento sobre subtotal]])*VLOOKUP(PROVEEDORES[[#This Row],[PROVEEDOR]],TERCEROS_INFO[#All],3,FALSE)</f>
        <v>0</v>
      </c>
      <c r="N155" s="23"/>
      <c r="O155" s="22">
        <f>+PROVEEDORES[[#This Row],[Descuento sobre subtotal %]]*(PROVEEDORES[[#This Row],[SUBTOTAL]]-PROVEEDORES[[#This Row],[descuento sobre subtotal]])</f>
        <v>0</v>
      </c>
      <c r="P155" s="74">
        <f>+IF(PROVEEDORES[[#This Row],[SUBTOTAL]]&lt;PROVEEDORES[[#This Row],[base retencion]],0,PROVEEDORES[[#This Row],[retención aplicada]])</f>
        <v>0</v>
      </c>
      <c r="Q155" s="22">
        <f>+PROVEEDORES[[#This Row],[Rete Fuente %]]*(PROVEEDORES[[#This Row],[SUBTOTAL]]-PROVEEDORES[[#This Row],[descuento sobre subtotal]])</f>
        <v>0</v>
      </c>
      <c r="R155" s="21">
        <v>540000</v>
      </c>
      <c r="S15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63">
        <f ca="1">IF(PROVEEDORES[[#This Row],[FECHA DE PAGO]]=0,TODAY()-PROVEEDORES[[#This Row],[FECHA DE FACTURACIÓN]]-PROVEEDORES[[#This Row],[PLAZO Días]],0)</f>
        <v>0</v>
      </c>
      <c r="U155" s="87">
        <f>+VLOOKUP(PROVEEDORES[[#This Row],[PROVEEDOR]],Terceros!$A:$D,4,FALSE)</f>
        <v>0</v>
      </c>
      <c r="V155" s="88">
        <f>+YEAR(PROVEEDORES[[#This Row],[FECHA DE FACTURACIÓN]])</f>
        <v>2022</v>
      </c>
      <c r="W155" s="88">
        <f>+MATCH(PROVEEDORES[[#This Row],[año facturado]],Retenciones!$1:$1,0)</f>
        <v>5</v>
      </c>
      <c r="X155" s="89">
        <f>+VLOOKUP(PROVEEDORES[[#This Row],[ID RETENCION]],Retenciones!$A$1:$O$25,PROVEEDORES[[#This Row],[indicador de columna]],FALSE)</f>
        <v>0</v>
      </c>
      <c r="Y155" s="90">
        <f>+VLOOKUP(PROVEEDORES[[#This Row],[ID RETENCION]],Retenciones!$A$1:$O$25,2,FALSE)</f>
        <v>0</v>
      </c>
      <c r="Z155" s="116" t="b">
        <f>OR(COUNTIF(PROVEEDORES[[#This Row],[PROVEEDOR]],"*"&amp;'Palabra no opera'!$A$2&amp;"*"))</f>
        <v>0</v>
      </c>
      <c r="AA155" s="24"/>
      <c r="AB155" s="24"/>
      <c r="AC155" s="24"/>
      <c r="AD155" s="24"/>
      <c r="AE155" s="24"/>
    </row>
    <row r="156" spans="1:31" ht="22.35" customHeight="1" x14ac:dyDescent="0.3">
      <c r="A156" s="61" t="str">
        <f>+IF(PROVEEDORES[[#This Row],[FECHA DE PAGO]]=PROVEEDORES[[#This Row],[FECHA DE FACTURACIÓN]],"DE CONTADO","CRÉDITO")</f>
        <v>CRÉDITO</v>
      </c>
      <c r="B156" s="38" t="str">
        <f>+IF((PROVEEDORES[[#This Row],[FECHA DE PAGO]]-PROVEEDORES[[#This Row],[FECHA DE FACTURACIÓN]])&gt;PROVEEDORES[[#This Row],[PLAZO Días]],"PAGO VENCIDO")</f>
        <v>PAGO VENCIDO</v>
      </c>
      <c r="C156" s="20">
        <f>+VLOOKUP(PROVEEDORES[[#This Row],[PROVEEDOR]],TERCEROS_INFO[#All],2,FALSE)</f>
        <v>30</v>
      </c>
      <c r="D156" s="25">
        <f>+SUMIFS(PROVEEDORES[Total],PROVEEDORES[PROVEEDOR],PROVEEDORES[[#This Row],[PROVEEDOR]],PROVEEDORES[FECHA DE PAGO],"")</f>
        <v>0</v>
      </c>
      <c r="E156" s="25"/>
      <c r="F156" s="56" t="str">
        <f>+VLOOKUP(PROVEEDORES[[#This Row],[PROVEEDOR]],
                       Terceros!$A:$F,
                       5,
                       FALSE)</f>
        <v/>
      </c>
      <c r="G156" s="68">
        <v>44627</v>
      </c>
      <c r="H156" s="26" t="s">
        <v>401</v>
      </c>
      <c r="I156" s="68">
        <v>44589</v>
      </c>
      <c r="J156" s="35">
        <v>2371</v>
      </c>
      <c r="K156" s="21">
        <v>1036500</v>
      </c>
      <c r="L156" s="21"/>
      <c r="M156" s="22">
        <v>0</v>
      </c>
      <c r="N156" s="23"/>
      <c r="O156" s="22">
        <v>0</v>
      </c>
      <c r="P156" s="74">
        <f>+IF(PROVEEDORES[[#This Row],[SUBTOTAL]]&lt;PROVEEDORES[[#This Row],[base retencion]],0,PROVEEDORES[[#This Row],[retención aplicada]])</f>
        <v>0</v>
      </c>
      <c r="Q156" s="22">
        <f>+PROVEEDORES[[#This Row],[Rete Fuente %]]*(PROVEEDORES[[#This Row],[SUBTOTAL]]-PROVEEDORES[[#This Row],[descuento sobre subtotal]])</f>
        <v>0</v>
      </c>
      <c r="R156" s="21">
        <v>1329000</v>
      </c>
      <c r="S15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63">
        <f ca="1">IF(PROVEEDORES[[#This Row],[FECHA DE PAGO]]=0,TODAY()-PROVEEDORES[[#This Row],[FECHA DE FACTURACIÓN]]-PROVEEDORES[[#This Row],[PLAZO Días]],0)</f>
        <v>0</v>
      </c>
      <c r="U156" s="87">
        <f>+VLOOKUP(PROVEEDORES[[#This Row],[PROVEEDOR]],Terceros!$A:$D,4,FALSE)</f>
        <v>0</v>
      </c>
      <c r="V156" s="88">
        <f>+YEAR(PROVEEDORES[[#This Row],[FECHA DE FACTURACIÓN]])</f>
        <v>2022</v>
      </c>
      <c r="W156" s="88">
        <f>+MATCH(PROVEEDORES[[#This Row],[año facturado]],Retenciones!$1:$1,0)</f>
        <v>5</v>
      </c>
      <c r="X156" s="89">
        <f>+VLOOKUP(PROVEEDORES[[#This Row],[ID RETENCION]],Retenciones!$A$1:$O$25,PROVEEDORES[[#This Row],[indicador de columna]],FALSE)</f>
        <v>0</v>
      </c>
      <c r="Y156" s="90">
        <f>+VLOOKUP(PROVEEDORES[[#This Row],[ID RETENCION]],Retenciones!$A$1:$O$25,2,FALSE)</f>
        <v>0</v>
      </c>
      <c r="Z156" s="116" t="b">
        <f>OR(COUNTIF(PROVEEDORES[[#This Row],[PROVEEDOR]],"*"&amp;'Palabra no opera'!$A$2&amp;"*"))</f>
        <v>0</v>
      </c>
      <c r="AA156" s="24"/>
      <c r="AB156" s="24"/>
      <c r="AC156" s="24"/>
      <c r="AD156" s="24"/>
      <c r="AE156" s="24"/>
    </row>
    <row r="157" spans="1:31" ht="22.35" customHeight="1" x14ac:dyDescent="0.3">
      <c r="A157" s="61" t="str">
        <f>+IF(PROVEEDORES[[#This Row],[FECHA DE PAGO]]=PROVEEDORES[[#This Row],[FECHA DE FACTURACIÓN]],"DE CONTADO","CRÉDITO")</f>
        <v>CRÉDITO</v>
      </c>
      <c r="B157" s="38" t="b">
        <f>+IF((PROVEEDORES[[#This Row],[FECHA DE PAGO]]-PROVEEDORES[[#This Row],[FECHA DE FACTURACIÓN]])&gt;PROVEEDORES[[#This Row],[PLAZO Días]],"PAGO VENCIDO")</f>
        <v>0</v>
      </c>
      <c r="C157" s="20">
        <f>+VLOOKUP(PROVEEDORES[[#This Row],[PROVEEDOR]],TERCEROS_INFO[#All],2,FALSE)</f>
        <v>30</v>
      </c>
      <c r="D157" s="25">
        <f>+SUMIFS(PROVEEDORES[Total],PROVEEDORES[PROVEEDOR],PROVEEDORES[[#This Row],[PROVEEDOR]],PROVEEDORES[FECHA DE PAGO],"")</f>
        <v>0</v>
      </c>
      <c r="E157" s="25"/>
      <c r="F157" s="56" t="str">
        <f>+VLOOKUP(PROVEEDORES[[#This Row],[PROVEEDOR]],
                       Terceros!$A:$F,
                       5,
                       FALSE)</f>
        <v/>
      </c>
      <c r="G157" s="68">
        <v>44628</v>
      </c>
      <c r="H157" s="26" t="s">
        <v>396</v>
      </c>
      <c r="I157" s="68">
        <v>44602</v>
      </c>
      <c r="J157" s="35" t="s">
        <v>1001</v>
      </c>
      <c r="K157" s="21">
        <v>360000</v>
      </c>
      <c r="L157" s="21"/>
      <c r="M157" s="22">
        <v>0</v>
      </c>
      <c r="N157" s="23"/>
      <c r="O157" s="22">
        <v>0</v>
      </c>
      <c r="P157" s="74">
        <f>+IF(PROVEEDORES[[#This Row],[SUBTOTAL]]&lt;PROVEEDORES[[#This Row],[base retencion]],0,PROVEEDORES[[#This Row],[retención aplicada]])</f>
        <v>0</v>
      </c>
      <c r="Q157" s="22">
        <f>+PROVEEDORES[[#This Row],[Rete Fuente %]]*(PROVEEDORES[[#This Row],[SUBTOTAL]]-PROVEEDORES[[#This Row],[descuento sobre subtotal]])</f>
        <v>0</v>
      </c>
      <c r="R157" s="21">
        <v>360000</v>
      </c>
      <c r="S15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63">
        <f ca="1">IF(PROVEEDORES[[#This Row],[FECHA DE PAGO]]=0,TODAY()-PROVEEDORES[[#This Row],[FECHA DE FACTURACIÓN]]-PROVEEDORES[[#This Row],[PLAZO Días]],0)</f>
        <v>0</v>
      </c>
      <c r="U157" s="87">
        <f>+VLOOKUP(PROVEEDORES[[#This Row],[PROVEEDOR]],Terceros!$A:$D,4,FALSE)</f>
        <v>0</v>
      </c>
      <c r="V157" s="88">
        <f>+YEAR(PROVEEDORES[[#This Row],[FECHA DE FACTURACIÓN]])</f>
        <v>2022</v>
      </c>
      <c r="W157" s="88">
        <f>+MATCH(PROVEEDORES[[#This Row],[año facturado]],Retenciones!$1:$1,0)</f>
        <v>5</v>
      </c>
      <c r="X157" s="89">
        <f>+VLOOKUP(PROVEEDORES[[#This Row],[ID RETENCION]],Retenciones!$A$1:$O$25,PROVEEDORES[[#This Row],[indicador de columna]],FALSE)</f>
        <v>0</v>
      </c>
      <c r="Y157" s="90">
        <f>+VLOOKUP(PROVEEDORES[[#This Row],[ID RETENCION]],Retenciones!$A$1:$O$25,2,FALSE)</f>
        <v>0</v>
      </c>
      <c r="Z157" s="116" t="b">
        <f>OR(COUNTIF(PROVEEDORES[[#This Row],[PROVEEDOR]],"*"&amp;'Palabra no opera'!$A$2&amp;"*"))</f>
        <v>0</v>
      </c>
      <c r="AA157" s="24"/>
      <c r="AB157" s="24"/>
      <c r="AC157" s="24"/>
      <c r="AD157" s="24"/>
      <c r="AE157" s="24"/>
    </row>
    <row r="158" spans="1:31" ht="22.35" customHeight="1" x14ac:dyDescent="0.3">
      <c r="A158" s="61" t="str">
        <f>+IF(PROVEEDORES[[#This Row],[FECHA DE PAGO]]=PROVEEDORES[[#This Row],[FECHA DE FACTURACIÓN]],"DE CONTADO","CRÉDITO")</f>
        <v>DE CONTADO</v>
      </c>
      <c r="B158" s="38" t="b">
        <f>+IF((PROVEEDORES[[#This Row],[FECHA DE PAGO]]-PROVEEDORES[[#This Row],[FECHA DE FACTURACIÓN]])&gt;PROVEEDORES[[#This Row],[PLAZO Días]],"PAGO VENCIDO")</f>
        <v>0</v>
      </c>
      <c r="C158" s="20">
        <f>+VLOOKUP(PROVEEDORES[[#This Row],[PROVEEDOR]],TERCEROS_INFO[#All],2,FALSE)</f>
        <v>30</v>
      </c>
      <c r="D158" s="25">
        <f>+SUMIFS(PROVEEDORES[Total],PROVEEDORES[PROVEEDOR],PROVEEDORES[[#This Row],[PROVEEDOR]],PROVEEDORES[FECHA DE PAGO],"")</f>
        <v>0</v>
      </c>
      <c r="E158" s="25"/>
      <c r="F158" s="56" t="str">
        <f>+VLOOKUP(PROVEEDORES[[#This Row],[PROVEEDOR]],
                       Terceros!$A:$F,
                       5,
                       FALSE)</f>
        <v/>
      </c>
      <c r="G158" s="68">
        <v>44628</v>
      </c>
      <c r="H158" s="26" t="s">
        <v>396</v>
      </c>
      <c r="I158" s="68">
        <v>44628</v>
      </c>
      <c r="J158" s="35" t="s">
        <v>1008</v>
      </c>
      <c r="K158" s="21">
        <v>630000</v>
      </c>
      <c r="L158" s="21"/>
      <c r="M158" s="22">
        <v>0</v>
      </c>
      <c r="N158" s="23"/>
      <c r="O158" s="22">
        <v>0</v>
      </c>
      <c r="P158" s="74">
        <f>+IF(PROVEEDORES[[#This Row],[SUBTOTAL]]&lt;PROVEEDORES[[#This Row],[base retencion]],0,PROVEEDORES[[#This Row],[retención aplicada]])</f>
        <v>0</v>
      </c>
      <c r="Q158" s="22">
        <f>+PROVEEDORES[[#This Row],[Rete Fuente %]]*(PROVEEDORES[[#This Row],[SUBTOTAL]]-PROVEEDORES[[#This Row],[descuento sobre subtotal]])</f>
        <v>0</v>
      </c>
      <c r="R158" s="21">
        <v>630000</v>
      </c>
      <c r="S15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63">
        <f ca="1">IF(PROVEEDORES[[#This Row],[FECHA DE PAGO]]=0,TODAY()-PROVEEDORES[[#This Row],[FECHA DE FACTURACIÓN]]-PROVEEDORES[[#This Row],[PLAZO Días]],0)</f>
        <v>0</v>
      </c>
      <c r="U158" s="87">
        <f>+VLOOKUP(PROVEEDORES[[#This Row],[PROVEEDOR]],Terceros!$A:$D,4,FALSE)</f>
        <v>0</v>
      </c>
      <c r="V158" s="88">
        <f>+YEAR(PROVEEDORES[[#This Row],[FECHA DE FACTURACIÓN]])</f>
        <v>2022</v>
      </c>
      <c r="W158" s="88">
        <f>+MATCH(PROVEEDORES[[#This Row],[año facturado]],Retenciones!$1:$1,0)</f>
        <v>5</v>
      </c>
      <c r="X158" s="89">
        <f>+VLOOKUP(PROVEEDORES[[#This Row],[ID RETENCION]],Retenciones!$A$1:$O$25,PROVEEDORES[[#This Row],[indicador de columna]],FALSE)</f>
        <v>0</v>
      </c>
      <c r="Y158" s="90">
        <f>+VLOOKUP(PROVEEDORES[[#This Row],[ID RETENCION]],Retenciones!$A$1:$O$25,2,FALSE)</f>
        <v>0</v>
      </c>
      <c r="Z158" s="116" t="b">
        <f>OR(COUNTIF(PROVEEDORES[[#This Row],[PROVEEDOR]],"*"&amp;'Palabra no opera'!$A$2&amp;"*"))</f>
        <v>0</v>
      </c>
      <c r="AA158" s="24"/>
      <c r="AB158" s="24"/>
      <c r="AC158" s="24"/>
      <c r="AD158" s="24"/>
      <c r="AE158" s="24"/>
    </row>
    <row r="159" spans="1:31" ht="22.35" customHeight="1" x14ac:dyDescent="0.3">
      <c r="A159" s="61" t="str">
        <f>+IF(PROVEEDORES[[#This Row],[FECHA DE PAGO]]=PROVEEDORES[[#This Row],[FECHA DE FACTURACIÓN]],"DE CONTADO","CRÉDITO")</f>
        <v>DE CONTADO</v>
      </c>
      <c r="B159" s="38" t="b">
        <f>+IF((PROVEEDORES[[#This Row],[FECHA DE PAGO]]-PROVEEDORES[[#This Row],[FECHA DE FACTURACIÓN]])&gt;PROVEEDORES[[#This Row],[PLAZO Días]],"PAGO VENCIDO")</f>
        <v>0</v>
      </c>
      <c r="C159" s="20">
        <f>+VLOOKUP(PROVEEDORES[[#This Row],[PROVEEDOR]],TERCEROS_INFO[#All],2,FALSE)</f>
        <v>30</v>
      </c>
      <c r="D159" s="25">
        <f>+SUMIFS(PROVEEDORES[Total],PROVEEDORES[PROVEEDOR],PROVEEDORES[[#This Row],[PROVEEDOR]],PROVEEDORES[FECHA DE PAGO],"")</f>
        <v>22881826.27</v>
      </c>
      <c r="E159" s="25"/>
      <c r="F159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59" s="68">
        <v>44629</v>
      </c>
      <c r="H159" s="26" t="s">
        <v>9</v>
      </c>
      <c r="I159" s="68">
        <v>44629</v>
      </c>
      <c r="J159" s="35">
        <v>75251</v>
      </c>
      <c r="K159" s="21">
        <v>180307</v>
      </c>
      <c r="L159" s="21"/>
      <c r="M159" s="22">
        <f>(PROVEEDORES[[#This Row],[SUBTOTAL]]-PROVEEDORES[[#This Row],[descuento sobre subtotal]])*VLOOKUP(PROVEEDORES[[#This Row],[PROVEEDOR]],TERCEROS_INFO[#All],3,FALSE)</f>
        <v>34258.33</v>
      </c>
      <c r="N159" s="23"/>
      <c r="O159" s="22">
        <f>+PROVEEDORES[[#This Row],[Descuento sobre subtotal %]]*(PROVEEDORES[[#This Row],[SUBTOTAL]]-PROVEEDORES[[#This Row],[descuento sobre subtotal]])</f>
        <v>0</v>
      </c>
      <c r="P159" s="74">
        <f>+IF(PROVEEDORES[[#This Row],[SUBTOTAL]]&lt;PROVEEDORES[[#This Row],[base retencion]],0,PROVEEDORES[[#This Row],[retención aplicada]])</f>
        <v>0</v>
      </c>
      <c r="Q159" s="22">
        <f>+PROVEEDORES[[#This Row],[Rete Fuente %]]*(PROVEEDORES[[#This Row],[SUBTOTAL]]-PROVEEDORES[[#This Row],[descuento sobre subtotal]])</f>
        <v>0</v>
      </c>
      <c r="R159" s="21">
        <v>214565.33000000002</v>
      </c>
      <c r="S15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63">
        <f ca="1">IF(PROVEEDORES[[#This Row],[FECHA DE PAGO]]=0,TODAY()-PROVEEDORES[[#This Row],[FECHA DE FACTURACIÓN]]-PROVEEDORES[[#This Row],[PLAZO Días]],0)</f>
        <v>0</v>
      </c>
      <c r="U159" s="87" t="str">
        <f>+VLOOKUP(PROVEEDORES[[#This Row],[PROVEEDOR]],Terceros!$A:$D,4,FALSE)</f>
        <v>2,5% con base</v>
      </c>
      <c r="V159" s="88">
        <f>+YEAR(PROVEEDORES[[#This Row],[FECHA DE FACTURACIÓN]])</f>
        <v>2022</v>
      </c>
      <c r="W159" s="88">
        <f>+MATCH(PROVEEDORES[[#This Row],[año facturado]],Retenciones!$1:$1,0)</f>
        <v>5</v>
      </c>
      <c r="X159" s="89">
        <f>+VLOOKUP(PROVEEDORES[[#This Row],[ID RETENCION]],Retenciones!$A$1:$O$25,PROVEEDORES[[#This Row],[indicador de columna]],FALSE)</f>
        <v>1026000</v>
      </c>
      <c r="Y159" s="90">
        <f>+VLOOKUP(PROVEEDORES[[#This Row],[ID RETENCION]],Retenciones!$A$1:$O$25,2,FALSE)</f>
        <v>2.5000000000000001E-2</v>
      </c>
      <c r="Z159" s="116" t="b">
        <f>OR(COUNTIF(PROVEEDORES[[#This Row],[PROVEEDOR]],"*"&amp;'Palabra no opera'!$A$2&amp;"*"))</f>
        <v>0</v>
      </c>
      <c r="AA159" s="24"/>
      <c r="AB159" s="24"/>
      <c r="AC159" s="24"/>
      <c r="AD159" s="24"/>
      <c r="AE159" s="24"/>
    </row>
    <row r="160" spans="1:31" ht="22.35" customHeight="1" x14ac:dyDescent="0.3">
      <c r="A160" s="61" t="str">
        <f>+IF(PROVEEDORES[[#This Row],[FECHA DE PAGO]]=PROVEEDORES[[#This Row],[FECHA DE FACTURACIÓN]],"DE CONTADO","CRÉDITO")</f>
        <v>DE CONTADO</v>
      </c>
      <c r="B160" s="38" t="b">
        <f>+IF((PROVEEDORES[[#This Row],[FECHA DE PAGO]]-PROVEEDORES[[#This Row],[FECHA DE FACTURACIÓN]])&gt;PROVEEDORES[[#This Row],[PLAZO Días]],"PAGO VENCIDO")</f>
        <v>0</v>
      </c>
      <c r="C160" s="20">
        <f>+VLOOKUP(PROVEEDORES[[#This Row],[PROVEEDOR]],TERCEROS_INFO[#All],2,FALSE)</f>
        <v>30</v>
      </c>
      <c r="D160" s="25">
        <f>+SUMIFS(PROVEEDORES[Total],PROVEEDORES[PROVEEDOR],PROVEEDORES[[#This Row],[PROVEEDOR]],PROVEEDORES[FECHA DE PAGO],"")</f>
        <v>342000</v>
      </c>
      <c r="E160" s="25"/>
      <c r="F160" s="56" t="str">
        <f>+VLOOKUP(PROVEEDORES[[#This Row],[PROVEEDOR]],
                       Terceros!$A:$F,
                       5,
                       FALSE)</f>
        <v/>
      </c>
      <c r="G160" s="68">
        <v>44630</v>
      </c>
      <c r="H160" s="26" t="s">
        <v>344</v>
      </c>
      <c r="I160" s="68">
        <v>44630</v>
      </c>
      <c r="J160" s="35" t="s">
        <v>1009</v>
      </c>
      <c r="K160" s="21">
        <v>95000</v>
      </c>
      <c r="L160" s="21"/>
      <c r="M160" s="22">
        <f>(PROVEEDORES[[#This Row],[SUBTOTAL]]-PROVEEDORES[[#This Row],[descuento sobre subtotal]])*VLOOKUP(PROVEEDORES[[#This Row],[PROVEEDOR]],TERCEROS_INFO[#All],3,FALSE)</f>
        <v>0</v>
      </c>
      <c r="N160" s="23"/>
      <c r="O160" s="22">
        <f>+PROVEEDORES[[#This Row],[Descuento sobre subtotal %]]*(PROVEEDORES[[#This Row],[SUBTOTAL]]-PROVEEDORES[[#This Row],[descuento sobre subtotal]])</f>
        <v>0</v>
      </c>
      <c r="P160" s="74">
        <f>+IF(PROVEEDORES[[#This Row],[SUBTOTAL]]&lt;PROVEEDORES[[#This Row],[base retencion]],0,PROVEEDORES[[#This Row],[retención aplicada]])</f>
        <v>0</v>
      </c>
      <c r="Q160" s="22">
        <f>+PROVEEDORES[[#This Row],[Rete Fuente %]]*(PROVEEDORES[[#This Row],[SUBTOTAL]]-PROVEEDORES[[#This Row],[descuento sobre subtotal]])</f>
        <v>0</v>
      </c>
      <c r="R160" s="21">
        <v>95000</v>
      </c>
      <c r="S16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63">
        <f ca="1">IF(PROVEEDORES[[#This Row],[FECHA DE PAGO]]=0,TODAY()-PROVEEDORES[[#This Row],[FECHA DE FACTURACIÓN]]-PROVEEDORES[[#This Row],[PLAZO Días]],0)</f>
        <v>0</v>
      </c>
      <c r="U160" s="87">
        <f>+VLOOKUP(PROVEEDORES[[#This Row],[PROVEEDOR]],Terceros!$A:$D,4,FALSE)</f>
        <v>0</v>
      </c>
      <c r="V160" s="88">
        <f>+YEAR(PROVEEDORES[[#This Row],[FECHA DE FACTURACIÓN]])</f>
        <v>2022</v>
      </c>
      <c r="W160" s="88">
        <f>+MATCH(PROVEEDORES[[#This Row],[año facturado]],Retenciones!$1:$1,0)</f>
        <v>5</v>
      </c>
      <c r="X160" s="89">
        <f>+VLOOKUP(PROVEEDORES[[#This Row],[ID RETENCION]],Retenciones!$A$1:$O$25,PROVEEDORES[[#This Row],[indicador de columna]],FALSE)</f>
        <v>0</v>
      </c>
      <c r="Y160" s="90">
        <f>+VLOOKUP(PROVEEDORES[[#This Row],[ID RETENCION]],Retenciones!$A$1:$O$25,2,FALSE)</f>
        <v>0</v>
      </c>
      <c r="Z160" s="116" t="b">
        <f>OR(COUNTIF(PROVEEDORES[[#This Row],[PROVEEDOR]],"*"&amp;'Palabra no opera'!$A$2&amp;"*"))</f>
        <v>0</v>
      </c>
      <c r="AA160" s="24"/>
      <c r="AB160" s="24"/>
      <c r="AC160" s="24"/>
      <c r="AD160" s="24"/>
      <c r="AE160" s="24"/>
    </row>
    <row r="161" spans="1:31" ht="22.35" customHeight="1" x14ac:dyDescent="0.3">
      <c r="A161" s="61" t="str">
        <f>+IF(PROVEEDORES[[#This Row],[FECHA DE PAGO]]=PROVEEDORES[[#This Row],[FECHA DE FACTURACIÓN]],"DE CONTADO","CRÉDITO")</f>
        <v>DE CONTADO</v>
      </c>
      <c r="B161" s="38" t="b">
        <f>+IF((PROVEEDORES[[#This Row],[FECHA DE PAGO]]-PROVEEDORES[[#This Row],[FECHA DE FACTURACIÓN]])&gt;PROVEEDORES[[#This Row],[PLAZO Días]],"PAGO VENCIDO")</f>
        <v>0</v>
      </c>
      <c r="C161" s="20">
        <f>+VLOOKUP(PROVEEDORES[[#This Row],[PROVEEDOR]],TERCEROS_INFO[#All],2,FALSE)</f>
        <v>30</v>
      </c>
      <c r="D161" s="25">
        <f>+SUMIFS(PROVEEDORES[Total],PROVEEDORES[PROVEEDOR],PROVEEDORES[[#This Row],[PROVEEDOR]],PROVEEDORES[FECHA DE PAGO],"")</f>
        <v>0</v>
      </c>
      <c r="E161" s="25"/>
      <c r="F161" s="56" t="str">
        <f>+VLOOKUP(PROVEEDORES[[#This Row],[PROVEEDOR]],
                       Terceros!$A:$F,
                       5,
                       FALSE)</f>
        <v/>
      </c>
      <c r="G161" s="68">
        <v>44630</v>
      </c>
      <c r="H161" s="26" t="s">
        <v>832</v>
      </c>
      <c r="I161" s="68">
        <v>44630</v>
      </c>
      <c r="J161" s="35" t="s">
        <v>392</v>
      </c>
      <c r="K161" s="21">
        <v>70000</v>
      </c>
      <c r="L161" s="21"/>
      <c r="M161" s="22">
        <v>0</v>
      </c>
      <c r="N161" s="23"/>
      <c r="O161" s="22">
        <v>0</v>
      </c>
      <c r="P161" s="74">
        <f>+IF(PROVEEDORES[[#This Row],[SUBTOTAL]]&lt;PROVEEDORES[[#This Row],[base retencion]],0,PROVEEDORES[[#This Row],[retención aplicada]])</f>
        <v>0</v>
      </c>
      <c r="Q161" s="22">
        <f>+PROVEEDORES[[#This Row],[Rete Fuente %]]*(PROVEEDORES[[#This Row],[SUBTOTAL]]-PROVEEDORES[[#This Row],[descuento sobre subtotal]])</f>
        <v>0</v>
      </c>
      <c r="R161" s="21">
        <v>70000</v>
      </c>
      <c r="S16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63">
        <f ca="1">IF(PROVEEDORES[[#This Row],[FECHA DE PAGO]]=0,TODAY()-PROVEEDORES[[#This Row],[FECHA DE FACTURACIÓN]]-PROVEEDORES[[#This Row],[PLAZO Días]],0)</f>
        <v>0</v>
      </c>
      <c r="U161" s="87">
        <f>+VLOOKUP(PROVEEDORES[[#This Row],[PROVEEDOR]],Terceros!$A:$D,4,FALSE)</f>
        <v>0</v>
      </c>
      <c r="V161" s="88">
        <f>+YEAR(PROVEEDORES[[#This Row],[FECHA DE FACTURACIÓN]])</f>
        <v>2022</v>
      </c>
      <c r="W161" s="88">
        <f>+MATCH(PROVEEDORES[[#This Row],[año facturado]],Retenciones!$1:$1,0)</f>
        <v>5</v>
      </c>
      <c r="X161" s="89">
        <f>+VLOOKUP(PROVEEDORES[[#This Row],[ID RETENCION]],Retenciones!$A$1:$O$25,PROVEEDORES[[#This Row],[indicador de columna]],FALSE)</f>
        <v>0</v>
      </c>
      <c r="Y161" s="90">
        <f>+VLOOKUP(PROVEEDORES[[#This Row],[ID RETENCION]],Retenciones!$A$1:$O$25,2,FALSE)</f>
        <v>0</v>
      </c>
      <c r="Z161" s="116" t="b">
        <f>OR(COUNTIF(PROVEEDORES[[#This Row],[PROVEEDOR]],"*"&amp;'Palabra no opera'!$A$2&amp;"*"))</f>
        <v>1</v>
      </c>
      <c r="AA161" s="24"/>
      <c r="AB161" s="24"/>
      <c r="AC161" s="24"/>
      <c r="AD161" s="24"/>
      <c r="AE161" s="24"/>
    </row>
    <row r="162" spans="1:31" ht="22.35" customHeight="1" x14ac:dyDescent="0.3">
      <c r="A162" s="61" t="str">
        <f>+IF(PROVEEDORES[[#This Row],[FECHA DE PAGO]]=PROVEEDORES[[#This Row],[FECHA DE FACTURACIÓN]],"DE CONTADO","CRÉDITO")</f>
        <v>CRÉDITO</v>
      </c>
      <c r="B162" s="38" t="b">
        <f>+IF((PROVEEDORES[[#This Row],[FECHA DE PAGO]]-PROVEEDORES[[#This Row],[FECHA DE FACTURACIÓN]])&gt;PROVEEDORES[[#This Row],[PLAZO Días]],"PAGO VENCIDO")</f>
        <v>0</v>
      </c>
      <c r="C162" s="20">
        <f>+VLOOKUP(PROVEEDORES[[#This Row],[PROVEEDOR]],TERCEROS_INFO[#All],2,FALSE)</f>
        <v>30</v>
      </c>
      <c r="D162" s="25">
        <f>+SUMIFS(PROVEEDORES[Total],PROVEEDORES[PROVEEDOR],PROVEEDORES[[#This Row],[PROVEEDOR]],PROVEEDORES[FECHA DE PAGO],"")</f>
        <v>352505.48</v>
      </c>
      <c r="E162" s="25"/>
      <c r="F162" s="56" t="str">
        <f>+VLOOKUP(PROVEEDORES[[#This Row],[PROVEEDOR]],
                       Terceros!$A:$F,
                       5,
                       FALSE)</f>
        <v>facturacion@losmolinos.com.co</v>
      </c>
      <c r="G162" s="68">
        <v>44630</v>
      </c>
      <c r="H162" s="26" t="s">
        <v>650</v>
      </c>
      <c r="I162" s="68">
        <v>44607</v>
      </c>
      <c r="J162" s="35" t="s">
        <v>436</v>
      </c>
      <c r="K162" s="21">
        <v>-8522.67</v>
      </c>
      <c r="L162" s="21"/>
      <c r="M162" s="22">
        <f>(PROVEEDORES[[#This Row],[SUBTOTAL]]-PROVEEDORES[[#This Row],[descuento sobre subtotal]])*VLOOKUP(PROVEEDORES[[#This Row],[PROVEEDOR]],TERCEROS_INFO[#All],3,FALSE)</f>
        <v>0</v>
      </c>
      <c r="N162" s="23"/>
      <c r="O162" s="22">
        <f>+PROVEEDORES[[#This Row],[Descuento sobre subtotal %]]*(PROVEEDORES[[#This Row],[SUBTOTAL]]-PROVEEDORES[[#This Row],[descuento sobre subtotal]])</f>
        <v>0</v>
      </c>
      <c r="P162" s="74">
        <f>+IF(PROVEEDORES[[#This Row],[SUBTOTAL]]&lt;PROVEEDORES[[#This Row],[base retencion]],0,PROVEEDORES[[#This Row],[retención aplicada]])</f>
        <v>0</v>
      </c>
      <c r="Q162" s="22">
        <f>+PROVEEDORES[[#This Row],[Rete Fuente %]]*(PROVEEDORES[[#This Row],[SUBTOTAL]]-PROVEEDORES[[#This Row],[descuento sobre subtotal]])</f>
        <v>0</v>
      </c>
      <c r="R162" s="21">
        <v>-8522.67</v>
      </c>
      <c r="S16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63">
        <f ca="1">IF(PROVEEDORES[[#This Row],[FECHA DE PAGO]]=0,TODAY()-PROVEEDORES[[#This Row],[FECHA DE FACTURACIÓN]]-PROVEEDORES[[#This Row],[PLAZO Días]],0)</f>
        <v>0</v>
      </c>
      <c r="U162" s="87">
        <f>+VLOOKUP(PROVEEDORES[[#This Row],[PROVEEDOR]],Terceros!$A:$D,4,FALSE)</f>
        <v>0</v>
      </c>
      <c r="V162" s="88">
        <f>+YEAR(PROVEEDORES[[#This Row],[FECHA DE FACTURACIÓN]])</f>
        <v>2022</v>
      </c>
      <c r="W162" s="88">
        <f>+MATCH(PROVEEDORES[[#This Row],[año facturado]],Retenciones!$1:$1,0)</f>
        <v>5</v>
      </c>
      <c r="X162" s="89">
        <f>+VLOOKUP(PROVEEDORES[[#This Row],[ID RETENCION]],Retenciones!$A$1:$O$25,PROVEEDORES[[#This Row],[indicador de columna]],FALSE)</f>
        <v>0</v>
      </c>
      <c r="Y162" s="90">
        <f>+VLOOKUP(PROVEEDORES[[#This Row],[ID RETENCION]],Retenciones!$A$1:$O$25,2,FALSE)</f>
        <v>0</v>
      </c>
      <c r="Z162" s="116" t="b">
        <f>OR(COUNTIF(PROVEEDORES[[#This Row],[PROVEEDOR]],"*"&amp;'Palabra no opera'!$A$2&amp;"*"))</f>
        <v>1</v>
      </c>
      <c r="AA162" s="24"/>
      <c r="AB162" s="24"/>
      <c r="AC162" s="24"/>
      <c r="AD162" s="24"/>
      <c r="AE162" s="24"/>
    </row>
    <row r="163" spans="1:31" ht="22.35" customHeight="1" x14ac:dyDescent="0.3">
      <c r="A163" s="61" t="str">
        <f>+IF(PROVEEDORES[[#This Row],[FECHA DE PAGO]]=PROVEEDORES[[#This Row],[FECHA DE FACTURACIÓN]],"DE CONTADO","CRÉDITO")</f>
        <v>CRÉDITO</v>
      </c>
      <c r="B163" s="38" t="b">
        <f>+IF((PROVEEDORES[[#This Row],[FECHA DE PAGO]]-PROVEEDORES[[#This Row],[FECHA DE FACTURACIÓN]])&gt;PROVEEDORES[[#This Row],[PLAZO Días]],"PAGO VENCIDO")</f>
        <v>0</v>
      </c>
      <c r="C163" s="20">
        <f>+VLOOKUP(PROVEEDORES[[#This Row],[PROVEEDOR]],TERCEROS_INFO[#All],2,FALSE)</f>
        <v>30</v>
      </c>
      <c r="D163" s="25">
        <f>+SUMIFS(PROVEEDORES[Total],PROVEEDORES[PROVEEDOR],PROVEEDORES[[#This Row],[PROVEEDOR]],PROVEEDORES[FECHA DE PAGO],"")</f>
        <v>352505.48</v>
      </c>
      <c r="E163" s="25"/>
      <c r="F163" s="56" t="str">
        <f>+VLOOKUP(PROVEEDORES[[#This Row],[PROVEEDOR]],
                       Terceros!$A:$F,
                       5,
                       FALSE)</f>
        <v>facturacion@losmolinos.com.co</v>
      </c>
      <c r="G163" s="68">
        <v>44630</v>
      </c>
      <c r="H163" s="26" t="s">
        <v>650</v>
      </c>
      <c r="I163" s="68">
        <v>44621</v>
      </c>
      <c r="J163" s="35">
        <v>66543</v>
      </c>
      <c r="K163" s="21">
        <v>284467</v>
      </c>
      <c r="L163" s="21"/>
      <c r="M163" s="22">
        <f>(PROVEEDORES[[#This Row],[SUBTOTAL]]-PROVEEDORES[[#This Row],[descuento sobre subtotal]])*VLOOKUP(PROVEEDORES[[#This Row],[PROVEEDOR]],TERCEROS_INFO[#All],3,FALSE)</f>
        <v>0</v>
      </c>
      <c r="N163" s="23"/>
      <c r="O163" s="22">
        <f>+PROVEEDORES[[#This Row],[Descuento sobre subtotal %]]*(PROVEEDORES[[#This Row],[SUBTOTAL]]-PROVEEDORES[[#This Row],[descuento sobre subtotal]])</f>
        <v>0</v>
      </c>
      <c r="P163" s="74">
        <f>+IF(PROVEEDORES[[#This Row],[SUBTOTAL]]&lt;PROVEEDORES[[#This Row],[base retencion]],0,PROVEEDORES[[#This Row],[retención aplicada]])</f>
        <v>0</v>
      </c>
      <c r="Q163" s="22">
        <f>+PROVEEDORES[[#This Row],[Rete Fuente %]]*(PROVEEDORES[[#This Row],[SUBTOTAL]]-PROVEEDORES[[#This Row],[descuento sobre subtotal]])</f>
        <v>0</v>
      </c>
      <c r="R163" s="21">
        <v>275944.33</v>
      </c>
      <c r="S16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63">
        <f ca="1">IF(PROVEEDORES[[#This Row],[FECHA DE PAGO]]=0,TODAY()-PROVEEDORES[[#This Row],[FECHA DE FACTURACIÓN]]-PROVEEDORES[[#This Row],[PLAZO Días]],0)</f>
        <v>0</v>
      </c>
      <c r="U163" s="87">
        <f>+VLOOKUP(PROVEEDORES[[#This Row],[PROVEEDOR]],Terceros!$A:$D,4,FALSE)</f>
        <v>0</v>
      </c>
      <c r="V163" s="88">
        <f>+YEAR(PROVEEDORES[[#This Row],[FECHA DE FACTURACIÓN]])</f>
        <v>2022</v>
      </c>
      <c r="W163" s="88">
        <f>+MATCH(PROVEEDORES[[#This Row],[año facturado]],Retenciones!$1:$1,0)</f>
        <v>5</v>
      </c>
      <c r="X163" s="89">
        <f>+VLOOKUP(PROVEEDORES[[#This Row],[ID RETENCION]],Retenciones!$A$1:$O$25,PROVEEDORES[[#This Row],[indicador de columna]],FALSE)</f>
        <v>0</v>
      </c>
      <c r="Y163" s="90">
        <f>+VLOOKUP(PROVEEDORES[[#This Row],[ID RETENCION]],Retenciones!$A$1:$O$25,2,FALSE)</f>
        <v>0</v>
      </c>
      <c r="Z163" s="116" t="b">
        <f>OR(COUNTIF(PROVEEDORES[[#This Row],[PROVEEDOR]],"*"&amp;'Palabra no opera'!$A$2&amp;"*"))</f>
        <v>1</v>
      </c>
      <c r="AA163" s="24"/>
      <c r="AB163" s="24"/>
      <c r="AC163" s="24"/>
      <c r="AD163" s="24"/>
      <c r="AE163" s="24"/>
    </row>
    <row r="164" spans="1:31" ht="22.35" customHeight="1" x14ac:dyDescent="0.3">
      <c r="A164" s="61" t="str">
        <f>+IF(PROVEEDORES[[#This Row],[FECHA DE PAGO]]=PROVEEDORES[[#This Row],[FECHA DE FACTURACIÓN]],"DE CONTADO","CRÉDITO")</f>
        <v>CRÉDITO</v>
      </c>
      <c r="B164" s="38" t="str">
        <f>+IF((PROVEEDORES[[#This Row],[FECHA DE PAGO]]-PROVEEDORES[[#This Row],[FECHA DE FACTURACIÓN]])&gt;PROVEEDORES[[#This Row],[PLAZO Días]],"PAGO VENCIDO")</f>
        <v>PAGO VENCIDO</v>
      </c>
      <c r="C164" s="20">
        <f>+VLOOKUP(PROVEEDORES[[#This Row],[PROVEEDOR]],TERCEROS_INFO[#All],2,FALSE)</f>
        <v>30</v>
      </c>
      <c r="D164" s="25">
        <f>+SUMIFS(PROVEEDORES[Total],PROVEEDORES[PROVEEDOR],PROVEEDORES[[#This Row],[PROVEEDOR]],PROVEEDORES[FECHA DE PAGO],"")</f>
        <v>0</v>
      </c>
      <c r="E164" s="25"/>
      <c r="F164" s="56">
        <f>+VLOOKUP(PROVEEDORES[[#This Row],[PROVEEDOR]],
                       Terceros!$A:$F,
                       5,
                       FALSE)</f>
        <v>0</v>
      </c>
      <c r="G164" s="68">
        <v>44630</v>
      </c>
      <c r="H164" s="26" t="s">
        <v>633</v>
      </c>
      <c r="I164" s="68">
        <v>44562</v>
      </c>
      <c r="J164" s="35" t="s">
        <v>882</v>
      </c>
      <c r="K164" s="21">
        <v>263948</v>
      </c>
      <c r="L164" s="21"/>
      <c r="M164" s="22">
        <f>(PROVEEDORES[[#This Row],[SUBTOTAL]]-PROVEEDORES[[#This Row],[descuento sobre subtotal]])*VLOOKUP(PROVEEDORES[[#This Row],[PROVEEDOR]],TERCEROS_INFO[#All],3,FALSE)</f>
        <v>0</v>
      </c>
      <c r="N164" s="23"/>
      <c r="O164" s="22">
        <f>+PROVEEDORES[[#This Row],[Descuento sobre subtotal %]]*(PROVEEDORES[[#This Row],[SUBTOTAL]]-PROVEEDORES[[#This Row],[descuento sobre subtotal]])</f>
        <v>0</v>
      </c>
      <c r="P164" s="74">
        <f>+IF(PROVEEDORES[[#This Row],[SUBTOTAL]]&lt;PROVEEDORES[[#This Row],[base retencion]],0,PROVEEDORES[[#This Row],[retención aplicada]])</f>
        <v>0</v>
      </c>
      <c r="Q164" s="22">
        <f>+PROVEEDORES[[#This Row],[Rete Fuente %]]*(PROVEEDORES[[#This Row],[SUBTOTAL]]-PROVEEDORES[[#This Row],[descuento sobre subtotal]])</f>
        <v>0</v>
      </c>
      <c r="R164" s="21">
        <v>263948</v>
      </c>
      <c r="S16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63">
        <f ca="1">IF(PROVEEDORES[[#This Row],[FECHA DE PAGO]]=0,TODAY()-PROVEEDORES[[#This Row],[FECHA DE FACTURACIÓN]]-PROVEEDORES[[#This Row],[PLAZO Días]],0)</f>
        <v>0</v>
      </c>
      <c r="U164" s="87">
        <f>+VLOOKUP(PROVEEDORES[[#This Row],[PROVEEDOR]],Terceros!$A:$D,4,FALSE)</f>
        <v>0</v>
      </c>
      <c r="V164" s="88">
        <f>+YEAR(PROVEEDORES[[#This Row],[FECHA DE FACTURACIÓN]])</f>
        <v>2022</v>
      </c>
      <c r="W164" s="88">
        <f>+MATCH(PROVEEDORES[[#This Row],[año facturado]],Retenciones!$1:$1,0)</f>
        <v>5</v>
      </c>
      <c r="X164" s="89">
        <f>+VLOOKUP(PROVEEDORES[[#This Row],[ID RETENCION]],Retenciones!$A$1:$O$25,PROVEEDORES[[#This Row],[indicador de columna]],FALSE)</f>
        <v>0</v>
      </c>
      <c r="Y164" s="90">
        <f>+VLOOKUP(PROVEEDORES[[#This Row],[ID RETENCION]],Retenciones!$A$1:$O$25,2,FALSE)</f>
        <v>0</v>
      </c>
      <c r="Z164" s="116" t="b">
        <f>OR(COUNTIF(PROVEEDORES[[#This Row],[PROVEEDOR]],"*"&amp;'Palabra no opera'!$A$2&amp;"*"))</f>
        <v>1</v>
      </c>
      <c r="AA164" s="24"/>
      <c r="AB164" s="24"/>
      <c r="AC164" s="24"/>
      <c r="AD164" s="24"/>
      <c r="AE164" s="24"/>
    </row>
    <row r="165" spans="1:31" ht="22.35" customHeight="1" x14ac:dyDescent="0.3">
      <c r="A165" s="61" t="str">
        <f>+IF(PROVEEDORES[[#This Row],[FECHA DE PAGO]]=PROVEEDORES[[#This Row],[FECHA DE FACTURACIÓN]],"DE CONTADO","CRÉDITO")</f>
        <v>CRÉDITO</v>
      </c>
      <c r="B165" s="38" t="str">
        <f>+IF((PROVEEDORES[[#This Row],[FECHA DE PAGO]]-PROVEEDORES[[#This Row],[FECHA DE FACTURACIÓN]])&gt;PROVEEDORES[[#This Row],[PLAZO Días]],"PAGO VENCIDO")</f>
        <v>PAGO VENCIDO</v>
      </c>
      <c r="C165" s="20">
        <f>+VLOOKUP(PROVEEDORES[[#This Row],[PROVEEDOR]],TERCEROS_INFO[#All],2,FALSE)</f>
        <v>30</v>
      </c>
      <c r="D165" s="25">
        <f>+SUMIFS(PROVEEDORES[Total],PROVEEDORES[PROVEEDOR],PROVEEDORES[[#This Row],[PROVEEDOR]],PROVEEDORES[FECHA DE PAGO],"")</f>
        <v>0</v>
      </c>
      <c r="E165" s="25"/>
      <c r="F165" s="56">
        <f>+VLOOKUP(PROVEEDORES[[#This Row],[PROVEEDOR]],
                       Terceros!$A:$F,
                       5,
                       FALSE)</f>
        <v>0</v>
      </c>
      <c r="G165" s="68">
        <v>44630</v>
      </c>
      <c r="H165" s="26" t="s">
        <v>633</v>
      </c>
      <c r="I165" s="68">
        <v>44562</v>
      </c>
      <c r="J165" s="35" t="s">
        <v>883</v>
      </c>
      <c r="K165" s="21">
        <v>1591380</v>
      </c>
      <c r="L165" s="21"/>
      <c r="M165" s="22">
        <f>(PROVEEDORES[[#This Row],[SUBTOTAL]]-PROVEEDORES[[#This Row],[descuento sobre subtotal]])*VLOOKUP(PROVEEDORES[[#This Row],[PROVEEDOR]],TERCEROS_INFO[#All],3,FALSE)</f>
        <v>0</v>
      </c>
      <c r="N165" s="23"/>
      <c r="O165" s="22">
        <f>+PROVEEDORES[[#This Row],[Descuento sobre subtotal %]]*(PROVEEDORES[[#This Row],[SUBTOTAL]]-PROVEEDORES[[#This Row],[descuento sobre subtotal]])</f>
        <v>0</v>
      </c>
      <c r="P165" s="74">
        <f>+IF(PROVEEDORES[[#This Row],[SUBTOTAL]]&lt;PROVEEDORES[[#This Row],[base retencion]],0,PROVEEDORES[[#This Row],[retención aplicada]])</f>
        <v>0</v>
      </c>
      <c r="Q165" s="22">
        <f>+PROVEEDORES[[#This Row],[Rete Fuente %]]*(PROVEEDORES[[#This Row],[SUBTOTAL]]-PROVEEDORES[[#This Row],[descuento sobre subtotal]])</f>
        <v>0</v>
      </c>
      <c r="R165" s="21">
        <v>1591380</v>
      </c>
      <c r="S16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63">
        <f ca="1">IF(PROVEEDORES[[#This Row],[FECHA DE PAGO]]=0,TODAY()-PROVEEDORES[[#This Row],[FECHA DE FACTURACIÓN]]-PROVEEDORES[[#This Row],[PLAZO Días]],0)</f>
        <v>0</v>
      </c>
      <c r="U165" s="87">
        <f>+VLOOKUP(PROVEEDORES[[#This Row],[PROVEEDOR]],Terceros!$A:$D,4,FALSE)</f>
        <v>0</v>
      </c>
      <c r="V165" s="88">
        <f>+YEAR(PROVEEDORES[[#This Row],[FECHA DE FACTURACIÓN]])</f>
        <v>2022</v>
      </c>
      <c r="W165" s="88">
        <f>+MATCH(PROVEEDORES[[#This Row],[año facturado]],Retenciones!$1:$1,0)</f>
        <v>5</v>
      </c>
      <c r="X165" s="89">
        <f>+VLOOKUP(PROVEEDORES[[#This Row],[ID RETENCION]],Retenciones!$A$1:$O$25,PROVEEDORES[[#This Row],[indicador de columna]],FALSE)</f>
        <v>0</v>
      </c>
      <c r="Y165" s="90">
        <f>+VLOOKUP(PROVEEDORES[[#This Row],[ID RETENCION]],Retenciones!$A$1:$O$25,2,FALSE)</f>
        <v>0</v>
      </c>
      <c r="Z165" s="116" t="b">
        <f>OR(COUNTIF(PROVEEDORES[[#This Row],[PROVEEDOR]],"*"&amp;'Palabra no opera'!$A$2&amp;"*"))</f>
        <v>1</v>
      </c>
      <c r="AA165" s="24"/>
      <c r="AB165" s="24"/>
      <c r="AC165" s="24"/>
      <c r="AD165" s="24"/>
      <c r="AE165" s="24"/>
    </row>
    <row r="166" spans="1:31" ht="22.35" customHeight="1" x14ac:dyDescent="0.3">
      <c r="A166" s="61" t="str">
        <f>+IF(PROVEEDORES[[#This Row],[FECHA DE PAGO]]=PROVEEDORES[[#This Row],[FECHA DE FACTURACIÓN]],"DE CONTADO","CRÉDITO")</f>
        <v>CRÉDITO</v>
      </c>
      <c r="B166" s="38" t="b">
        <f>+IF((PROVEEDORES[[#This Row],[FECHA DE PAGO]]-PROVEEDORES[[#This Row],[FECHA DE FACTURACIÓN]])&gt;PROVEEDORES[[#This Row],[PLAZO Días]],"PAGO VENCIDO")</f>
        <v>0</v>
      </c>
      <c r="C166" s="20">
        <f>+VLOOKUP(PROVEEDORES[[#This Row],[PROVEEDOR]],TERCEROS_INFO[#All],2,FALSE)</f>
        <v>30</v>
      </c>
      <c r="D166" s="25">
        <f>+SUMIFS(PROVEEDORES[Total],PROVEEDORES[PROVEEDOR],PROVEEDORES[[#This Row],[PROVEEDOR]],PROVEEDORES[FECHA DE PAGO],"")</f>
        <v>0</v>
      </c>
      <c r="E166" s="25"/>
      <c r="F16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6" s="68">
        <v>44630</v>
      </c>
      <c r="H166" s="26" t="s">
        <v>637</v>
      </c>
      <c r="I166" s="68">
        <v>44621</v>
      </c>
      <c r="J166" s="35" t="s">
        <v>219</v>
      </c>
      <c r="K166" s="21">
        <v>800264</v>
      </c>
      <c r="L166" s="21"/>
      <c r="M166" s="22">
        <f>(PROVEEDORES[[#This Row],[SUBTOTAL]]-PROVEEDORES[[#This Row],[descuento sobre subtotal]])*VLOOKUP(PROVEEDORES[[#This Row],[PROVEEDOR]],TERCEROS_INFO[#All],3,FALSE)</f>
        <v>0</v>
      </c>
      <c r="N166" s="23"/>
      <c r="O166" s="22">
        <f>+PROVEEDORES[[#This Row],[Descuento sobre subtotal %]]*(PROVEEDORES[[#This Row],[SUBTOTAL]]-PROVEEDORES[[#This Row],[descuento sobre subtotal]])</f>
        <v>0</v>
      </c>
      <c r="P166" s="74">
        <f>+IF(PROVEEDORES[[#This Row],[SUBTOTAL]]&lt;PROVEEDORES[[#This Row],[base retencion]],0,PROVEEDORES[[#This Row],[retención aplicada]])</f>
        <v>0</v>
      </c>
      <c r="Q166" s="22">
        <f>+PROVEEDORES[[#This Row],[Rete Fuente %]]*(PROVEEDORES[[#This Row],[SUBTOTAL]]-PROVEEDORES[[#This Row],[descuento sobre subtotal]])</f>
        <v>0</v>
      </c>
      <c r="R166" s="21">
        <v>800264</v>
      </c>
      <c r="S16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63">
        <f ca="1">IF(PROVEEDORES[[#This Row],[FECHA DE PAGO]]=0,TODAY()-PROVEEDORES[[#This Row],[FECHA DE FACTURACIÓN]]-PROVEEDORES[[#This Row],[PLAZO Días]],0)</f>
        <v>0</v>
      </c>
      <c r="U166" s="87">
        <f>+VLOOKUP(PROVEEDORES[[#This Row],[PROVEEDOR]],Terceros!$A:$D,4,FALSE)</f>
        <v>0</v>
      </c>
      <c r="V166" s="88">
        <f>+YEAR(PROVEEDORES[[#This Row],[FECHA DE FACTURACIÓN]])</f>
        <v>2022</v>
      </c>
      <c r="W166" s="88">
        <f>+MATCH(PROVEEDORES[[#This Row],[año facturado]],Retenciones!$1:$1,0)</f>
        <v>5</v>
      </c>
      <c r="X166" s="89">
        <f>+VLOOKUP(PROVEEDORES[[#This Row],[ID RETENCION]],Retenciones!$A$1:$O$25,PROVEEDORES[[#This Row],[indicador de columna]],FALSE)</f>
        <v>0</v>
      </c>
      <c r="Y166" s="90">
        <f>+VLOOKUP(PROVEEDORES[[#This Row],[ID RETENCION]],Retenciones!$A$1:$O$25,2,FALSE)</f>
        <v>0</v>
      </c>
      <c r="Z166" s="116" t="b">
        <f>OR(COUNTIF(PROVEEDORES[[#This Row],[PROVEEDOR]],"*"&amp;'Palabra no opera'!$A$2&amp;"*"))</f>
        <v>1</v>
      </c>
      <c r="AA166" s="24"/>
      <c r="AB166" s="24"/>
      <c r="AC166" s="24"/>
      <c r="AD166" s="24"/>
      <c r="AE166" s="24"/>
    </row>
    <row r="167" spans="1:31" ht="22.35" customHeight="1" x14ac:dyDescent="0.3">
      <c r="A167" s="61" t="str">
        <f>+IF(PROVEEDORES[[#This Row],[FECHA DE PAGO]]=PROVEEDORES[[#This Row],[FECHA DE FACTURACIÓN]],"DE CONTADO","CRÉDITO")</f>
        <v>CRÉDITO</v>
      </c>
      <c r="B167" s="38" t="b">
        <f>+IF((PROVEEDORES[[#This Row],[FECHA DE PAGO]]-PROVEEDORES[[#This Row],[FECHA DE FACTURACIÓN]])&gt;PROVEEDORES[[#This Row],[PLAZO Días]],"PAGO VENCIDO")</f>
        <v>0</v>
      </c>
      <c r="C167" s="20">
        <f>+VLOOKUP(PROVEEDORES[[#This Row],[PROVEEDOR]],TERCEROS_INFO[#All],2,FALSE)</f>
        <v>30</v>
      </c>
      <c r="D167" s="25">
        <f>+SUMIFS(PROVEEDORES[Total],PROVEEDORES[PROVEEDOR],PROVEEDORES[[#This Row],[PROVEEDOR]],PROVEEDORES[FECHA DE PAGO],"")</f>
        <v>0</v>
      </c>
      <c r="E167" s="25"/>
      <c r="F167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7" s="68">
        <v>44630</v>
      </c>
      <c r="H167" s="26" t="s">
        <v>637</v>
      </c>
      <c r="I167" s="68">
        <v>44621</v>
      </c>
      <c r="J167" s="35" t="s">
        <v>220</v>
      </c>
      <c r="K167" s="21">
        <v>818874</v>
      </c>
      <c r="L167" s="21"/>
      <c r="M167" s="22">
        <f>(PROVEEDORES[[#This Row],[SUBTOTAL]]-PROVEEDORES[[#This Row],[descuento sobre subtotal]])*VLOOKUP(PROVEEDORES[[#This Row],[PROVEEDOR]],TERCEROS_INFO[#All],3,FALSE)</f>
        <v>0</v>
      </c>
      <c r="N167" s="23"/>
      <c r="O167" s="22">
        <f>+PROVEEDORES[[#This Row],[Descuento sobre subtotal %]]*(PROVEEDORES[[#This Row],[SUBTOTAL]]-PROVEEDORES[[#This Row],[descuento sobre subtotal]])</f>
        <v>0</v>
      </c>
      <c r="P167" s="74">
        <f>+IF(PROVEEDORES[[#This Row],[SUBTOTAL]]&lt;PROVEEDORES[[#This Row],[base retencion]],0,PROVEEDORES[[#This Row],[retención aplicada]])</f>
        <v>0</v>
      </c>
      <c r="Q167" s="22">
        <f>+PROVEEDORES[[#This Row],[Rete Fuente %]]*(PROVEEDORES[[#This Row],[SUBTOTAL]]-PROVEEDORES[[#This Row],[descuento sobre subtotal]])</f>
        <v>0</v>
      </c>
      <c r="R167" s="21">
        <v>818874</v>
      </c>
      <c r="S16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63">
        <f ca="1">IF(PROVEEDORES[[#This Row],[FECHA DE PAGO]]=0,TODAY()-PROVEEDORES[[#This Row],[FECHA DE FACTURACIÓN]]-PROVEEDORES[[#This Row],[PLAZO Días]],0)</f>
        <v>0</v>
      </c>
      <c r="U167" s="87">
        <f>+VLOOKUP(PROVEEDORES[[#This Row],[PROVEEDOR]],Terceros!$A:$D,4,FALSE)</f>
        <v>0</v>
      </c>
      <c r="V167" s="88">
        <f>+YEAR(PROVEEDORES[[#This Row],[FECHA DE FACTURACIÓN]])</f>
        <v>2022</v>
      </c>
      <c r="W167" s="88">
        <f>+MATCH(PROVEEDORES[[#This Row],[año facturado]],Retenciones!$1:$1,0)</f>
        <v>5</v>
      </c>
      <c r="X167" s="89">
        <f>+VLOOKUP(PROVEEDORES[[#This Row],[ID RETENCION]],Retenciones!$A$1:$O$25,PROVEEDORES[[#This Row],[indicador de columna]],FALSE)</f>
        <v>0</v>
      </c>
      <c r="Y167" s="90">
        <f>+VLOOKUP(PROVEEDORES[[#This Row],[ID RETENCION]],Retenciones!$A$1:$O$25,2,FALSE)</f>
        <v>0</v>
      </c>
      <c r="Z167" s="116" t="b">
        <f>OR(COUNTIF(PROVEEDORES[[#This Row],[PROVEEDOR]],"*"&amp;'Palabra no opera'!$A$2&amp;"*"))</f>
        <v>1</v>
      </c>
      <c r="AA167" s="24"/>
      <c r="AB167" s="24"/>
      <c r="AC167" s="24"/>
      <c r="AD167" s="24"/>
      <c r="AE167" s="24"/>
    </row>
    <row r="168" spans="1:31" ht="22.35" customHeight="1" x14ac:dyDescent="0.3">
      <c r="A168" s="61" t="str">
        <f>+IF(PROVEEDORES[[#This Row],[FECHA DE PAGO]]=PROVEEDORES[[#This Row],[FECHA DE FACTURACIÓN]],"DE CONTADO","CRÉDITO")</f>
        <v>CRÉDITO</v>
      </c>
      <c r="B168" s="38" t="b">
        <f>+IF((PROVEEDORES[[#This Row],[FECHA DE PAGO]]-PROVEEDORES[[#This Row],[FECHA DE FACTURACIÓN]])&gt;PROVEEDORES[[#This Row],[PLAZO Días]],"PAGO VENCIDO")</f>
        <v>0</v>
      </c>
      <c r="C168" s="20">
        <f>+VLOOKUP(PROVEEDORES[[#This Row],[PROVEEDOR]],TERCEROS_INFO[#All],2,FALSE)</f>
        <v>30</v>
      </c>
      <c r="D168" s="25">
        <f>+SUMIFS(PROVEEDORES[Total],PROVEEDORES[PROVEEDOR],PROVEEDORES[[#This Row],[PROVEEDOR]],PROVEEDORES[FECHA DE PAGO],"")</f>
        <v>0</v>
      </c>
      <c r="E168" s="25"/>
      <c r="F168" s="56">
        <f>+VLOOKUP(PROVEEDORES[[#This Row],[PROVEEDOR]],
                       Terceros!$A:$F,
                       5,
                       FALSE)</f>
        <v>0</v>
      </c>
      <c r="G168" s="68">
        <v>44630</v>
      </c>
      <c r="H168" s="26" t="s">
        <v>642</v>
      </c>
      <c r="I168" s="68">
        <v>44621</v>
      </c>
      <c r="J168" s="35" t="s">
        <v>217</v>
      </c>
      <c r="K168" s="21">
        <v>282057</v>
      </c>
      <c r="L168" s="21"/>
      <c r="M168" s="22">
        <f>(PROVEEDORES[[#This Row],[SUBTOTAL]]-PROVEEDORES[[#This Row],[descuento sobre subtotal]])*VLOOKUP(PROVEEDORES[[#This Row],[PROVEEDOR]],TERCEROS_INFO[#All],3,FALSE)</f>
        <v>0</v>
      </c>
      <c r="N168" s="23"/>
      <c r="O168" s="22">
        <f>+PROVEEDORES[[#This Row],[Descuento sobre subtotal %]]*(PROVEEDORES[[#This Row],[SUBTOTAL]]-PROVEEDORES[[#This Row],[descuento sobre subtotal]])</f>
        <v>0</v>
      </c>
      <c r="P168" s="74">
        <f>+IF(PROVEEDORES[[#This Row],[SUBTOTAL]]&lt;PROVEEDORES[[#This Row],[base retencion]],0,PROVEEDORES[[#This Row],[retención aplicada]])</f>
        <v>0</v>
      </c>
      <c r="Q168" s="22">
        <f>+PROVEEDORES[[#This Row],[Rete Fuente %]]*(PROVEEDORES[[#This Row],[SUBTOTAL]]-PROVEEDORES[[#This Row],[descuento sobre subtotal]])</f>
        <v>0</v>
      </c>
      <c r="R168" s="21">
        <v>282057</v>
      </c>
      <c r="S16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63">
        <f ca="1">IF(PROVEEDORES[[#This Row],[FECHA DE PAGO]]=0,TODAY()-PROVEEDORES[[#This Row],[FECHA DE FACTURACIÓN]]-PROVEEDORES[[#This Row],[PLAZO Días]],0)</f>
        <v>0</v>
      </c>
      <c r="U168" s="87">
        <f>+VLOOKUP(PROVEEDORES[[#This Row],[PROVEEDOR]],Terceros!$A:$D,4,FALSE)</f>
        <v>0</v>
      </c>
      <c r="V168" s="88">
        <f>+YEAR(PROVEEDORES[[#This Row],[FECHA DE FACTURACIÓN]])</f>
        <v>2022</v>
      </c>
      <c r="W168" s="88">
        <f>+MATCH(PROVEEDORES[[#This Row],[año facturado]],Retenciones!$1:$1,0)</f>
        <v>5</v>
      </c>
      <c r="X168" s="89">
        <f>+VLOOKUP(PROVEEDORES[[#This Row],[ID RETENCION]],Retenciones!$A$1:$O$25,PROVEEDORES[[#This Row],[indicador de columna]],FALSE)</f>
        <v>0</v>
      </c>
      <c r="Y168" s="90">
        <f>+VLOOKUP(PROVEEDORES[[#This Row],[ID RETENCION]],Retenciones!$A$1:$O$25,2,FALSE)</f>
        <v>0</v>
      </c>
      <c r="Z168" s="116" t="b">
        <f>OR(COUNTIF(PROVEEDORES[[#This Row],[PROVEEDOR]],"*"&amp;'Palabra no opera'!$A$2&amp;"*"))</f>
        <v>1</v>
      </c>
      <c r="AA168" s="24"/>
      <c r="AB168" s="24"/>
      <c r="AC168" s="24"/>
      <c r="AD168" s="24"/>
      <c r="AE168" s="24"/>
    </row>
    <row r="169" spans="1:31" ht="22.35" customHeight="1" x14ac:dyDescent="0.3">
      <c r="A169" s="61" t="str">
        <f>+IF(PROVEEDORES[[#This Row],[FECHA DE PAGO]]=PROVEEDORES[[#This Row],[FECHA DE FACTURACIÓN]],"DE CONTADO","CRÉDITO")</f>
        <v>CRÉDITO</v>
      </c>
      <c r="B169" s="38" t="b">
        <f>+IF((PROVEEDORES[[#This Row],[FECHA DE PAGO]]-PROVEEDORES[[#This Row],[FECHA DE FACTURACIÓN]])&gt;PROVEEDORES[[#This Row],[PLAZO Días]],"PAGO VENCIDO")</f>
        <v>0</v>
      </c>
      <c r="C169" s="20">
        <f>+VLOOKUP(PROVEEDORES[[#This Row],[PROVEEDOR]],TERCEROS_INFO[#All],2,FALSE)</f>
        <v>13</v>
      </c>
      <c r="D169" s="25">
        <f>+SUMIFS(PROVEEDORES[Total],PROVEEDORES[PROVEEDOR],PROVEEDORES[[#This Row],[PROVEEDOR]],PROVEEDORES[FECHA DE PAGO],"")</f>
        <v>0</v>
      </c>
      <c r="E169" s="25"/>
      <c r="F169" s="56">
        <f>+VLOOKUP(PROVEEDORES[[#This Row],[PROVEEDOR]],
                       Terceros!$A:$F,
                       5,
                       FALSE)</f>
        <v>0</v>
      </c>
      <c r="G169" s="68">
        <v>44630</v>
      </c>
      <c r="H169" s="26" t="s">
        <v>644</v>
      </c>
      <c r="I169" s="68">
        <v>44621</v>
      </c>
      <c r="J169" s="35"/>
      <c r="K169" s="21">
        <v>941847</v>
      </c>
      <c r="L169" s="21"/>
      <c r="M169" s="22">
        <f>(PROVEEDORES[[#This Row],[SUBTOTAL]]-PROVEEDORES[[#This Row],[descuento sobre subtotal]])*VLOOKUP(PROVEEDORES[[#This Row],[PROVEEDOR]],TERCEROS_INFO[#All],3,FALSE)</f>
        <v>0</v>
      </c>
      <c r="N169" s="23"/>
      <c r="O169" s="22">
        <f>+PROVEEDORES[[#This Row],[Descuento sobre subtotal %]]*(PROVEEDORES[[#This Row],[SUBTOTAL]]-PROVEEDORES[[#This Row],[descuento sobre subtotal]])</f>
        <v>0</v>
      </c>
      <c r="P169" s="74">
        <f>+IF(PROVEEDORES[[#This Row],[SUBTOTAL]]&lt;PROVEEDORES[[#This Row],[base retencion]],0,PROVEEDORES[[#This Row],[retención aplicada]])</f>
        <v>0</v>
      </c>
      <c r="Q169" s="22">
        <f>+PROVEEDORES[[#This Row],[Rete Fuente %]]*(PROVEEDORES[[#This Row],[SUBTOTAL]]-PROVEEDORES[[#This Row],[descuento sobre subtotal]])</f>
        <v>0</v>
      </c>
      <c r="R169" s="21">
        <v>941847</v>
      </c>
      <c r="S16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63">
        <f ca="1">IF(PROVEEDORES[[#This Row],[FECHA DE PAGO]]=0,TODAY()-PROVEEDORES[[#This Row],[FECHA DE FACTURACIÓN]]-PROVEEDORES[[#This Row],[PLAZO Días]],0)</f>
        <v>0</v>
      </c>
      <c r="U169" s="87">
        <f>+VLOOKUP(PROVEEDORES[[#This Row],[PROVEEDOR]],Terceros!$A:$D,4,FALSE)</f>
        <v>0</v>
      </c>
      <c r="V169" s="88">
        <f>+YEAR(PROVEEDORES[[#This Row],[FECHA DE FACTURACIÓN]])</f>
        <v>2022</v>
      </c>
      <c r="W169" s="88">
        <f>+MATCH(PROVEEDORES[[#This Row],[año facturado]],Retenciones!$1:$1,0)</f>
        <v>5</v>
      </c>
      <c r="X169" s="89">
        <f>+VLOOKUP(PROVEEDORES[[#This Row],[ID RETENCION]],Retenciones!$A$1:$O$25,PROVEEDORES[[#This Row],[indicador de columna]],FALSE)</f>
        <v>0</v>
      </c>
      <c r="Y169" s="90">
        <f>+VLOOKUP(PROVEEDORES[[#This Row],[ID RETENCION]],Retenciones!$A$1:$O$25,2,FALSE)</f>
        <v>0</v>
      </c>
      <c r="Z169" s="116" t="b">
        <f>OR(COUNTIF(PROVEEDORES[[#This Row],[PROVEEDOR]],"*"&amp;'Palabra no opera'!$A$2&amp;"*"))</f>
        <v>1</v>
      </c>
      <c r="AA169" s="24"/>
      <c r="AB169" s="24"/>
      <c r="AC169" s="24"/>
      <c r="AD169" s="24"/>
      <c r="AE169" s="24"/>
    </row>
    <row r="170" spans="1:31" ht="22.35" customHeight="1" x14ac:dyDescent="0.3">
      <c r="A170" s="61" t="str">
        <f>+IF(PROVEEDORES[[#This Row],[FECHA DE PAGO]]=PROVEEDORES[[#This Row],[FECHA DE FACTURACIÓN]],"DE CONTADO","CRÉDITO")</f>
        <v>CRÉDITO</v>
      </c>
      <c r="B170" s="38" t="b">
        <f>+IF((PROVEEDORES[[#This Row],[FECHA DE PAGO]]-PROVEEDORES[[#This Row],[FECHA DE FACTURACIÓN]])&gt;PROVEEDORES[[#This Row],[PLAZO Días]],"PAGO VENCIDO")</f>
        <v>0</v>
      </c>
      <c r="C170" s="20">
        <f>+VLOOKUP(PROVEEDORES[[#This Row],[PROVEEDOR]],TERCEROS_INFO[#All],2,FALSE)</f>
        <v>30</v>
      </c>
      <c r="D170" s="25">
        <f>+SUMIFS(PROVEEDORES[Total],PROVEEDORES[PROVEEDOR],PROVEEDORES[[#This Row],[PROVEEDOR]],PROVEEDORES[FECHA DE PAGO],"")</f>
        <v>0</v>
      </c>
      <c r="E170" s="25"/>
      <c r="F170" s="56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70" s="68">
        <v>44631</v>
      </c>
      <c r="H170" s="26" t="s">
        <v>56</v>
      </c>
      <c r="I170" s="68">
        <v>44630</v>
      </c>
      <c r="J170" s="35" t="s">
        <v>415</v>
      </c>
      <c r="K170" s="21">
        <v>404189</v>
      </c>
      <c r="L170" s="21"/>
      <c r="M170" s="22">
        <v>33232</v>
      </c>
      <c r="N170" s="23"/>
      <c r="O170" s="22">
        <v>0</v>
      </c>
      <c r="P170" s="74">
        <f>+IF(PROVEEDORES[[#This Row],[SUBTOTAL]]&lt;PROVEEDORES[[#This Row],[base retencion]],0,PROVEEDORES[[#This Row],[retención aplicada]])</f>
        <v>0</v>
      </c>
      <c r="Q170" s="22">
        <f>+PROVEEDORES[[#This Row],[Rete Fuente %]]*(PROVEEDORES[[#This Row],[SUBTOTAL]]-PROVEEDORES[[#This Row],[descuento sobre subtotal]])</f>
        <v>0</v>
      </c>
      <c r="R170" s="21">
        <v>3505560</v>
      </c>
      <c r="S17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63">
        <f ca="1">IF(PROVEEDORES[[#This Row],[FECHA DE PAGO]]=0,TODAY()-PROVEEDORES[[#This Row],[FECHA DE FACTURACIÓN]]-PROVEEDORES[[#This Row],[PLAZO Días]],0)</f>
        <v>0</v>
      </c>
      <c r="U170" s="87">
        <f>+VLOOKUP(PROVEEDORES[[#This Row],[PROVEEDOR]],Terceros!$A:$D,4,FALSE)</f>
        <v>0</v>
      </c>
      <c r="V170" s="88">
        <f>+YEAR(PROVEEDORES[[#This Row],[FECHA DE FACTURACIÓN]])</f>
        <v>2022</v>
      </c>
      <c r="W170" s="88">
        <f>+MATCH(PROVEEDORES[[#This Row],[año facturado]],Retenciones!$1:$1,0)</f>
        <v>5</v>
      </c>
      <c r="X170" s="89">
        <f>+VLOOKUP(PROVEEDORES[[#This Row],[ID RETENCION]],Retenciones!$A$1:$O$25,PROVEEDORES[[#This Row],[indicador de columna]],FALSE)</f>
        <v>0</v>
      </c>
      <c r="Y170" s="90">
        <f>+VLOOKUP(PROVEEDORES[[#This Row],[ID RETENCION]],Retenciones!$A$1:$O$25,2,FALSE)</f>
        <v>0</v>
      </c>
      <c r="Z170" s="116" t="b">
        <f>OR(COUNTIF(PROVEEDORES[[#This Row],[PROVEEDOR]],"*"&amp;'Palabra no opera'!$A$2&amp;"*"))</f>
        <v>0</v>
      </c>
      <c r="AA170" s="24"/>
      <c r="AB170" s="24"/>
      <c r="AC170" s="24"/>
      <c r="AD170" s="24"/>
      <c r="AE170" s="24"/>
    </row>
    <row r="171" spans="1:31" ht="22.35" customHeight="1" x14ac:dyDescent="0.3">
      <c r="A171" s="61" t="str">
        <f>+IF(PROVEEDORES[[#This Row],[FECHA DE PAGO]]=PROVEEDORES[[#This Row],[FECHA DE FACTURACIÓN]],"DE CONTADO","CRÉDITO")</f>
        <v>DE CONTADO</v>
      </c>
      <c r="B171" s="38" t="b">
        <f>+IF((PROVEEDORES[[#This Row],[FECHA DE PAGO]]-PROVEEDORES[[#This Row],[FECHA DE FACTURACIÓN]])&gt;PROVEEDORES[[#This Row],[PLAZO Días]],"PAGO VENCIDO")</f>
        <v>0</v>
      </c>
      <c r="C171" s="20">
        <f>+VLOOKUP(PROVEEDORES[[#This Row],[PROVEEDOR]],TERCEROS_INFO[#All],2,FALSE)</f>
        <v>30</v>
      </c>
      <c r="D171" s="25">
        <f>+SUMIFS(PROVEEDORES[Total],PROVEEDORES[PROVEEDOR],PROVEEDORES[[#This Row],[PROVEEDOR]],PROVEEDORES[FECHA DE PAGO],"")</f>
        <v>0</v>
      </c>
      <c r="E171" s="25"/>
      <c r="F171" s="56" t="str">
        <f>+VLOOKUP(PROVEEDORES[[#This Row],[PROVEEDOR]],
                       Terceros!$A:$F,
                       5,
                       FALSE)</f>
        <v/>
      </c>
      <c r="G171" s="68">
        <v>44632</v>
      </c>
      <c r="H171" s="26" t="s">
        <v>378</v>
      </c>
      <c r="I171" s="68">
        <v>44632</v>
      </c>
      <c r="J171" s="35" t="s">
        <v>380</v>
      </c>
      <c r="K171" s="21">
        <v>450000</v>
      </c>
      <c r="L171" s="21"/>
      <c r="M171" s="22">
        <f>(PROVEEDORES[[#This Row],[SUBTOTAL]]-PROVEEDORES[[#This Row],[descuento sobre subtotal]])*VLOOKUP(PROVEEDORES[[#This Row],[PROVEEDOR]],TERCEROS_INFO[#All],3,FALSE)</f>
        <v>0</v>
      </c>
      <c r="N171" s="23"/>
      <c r="O171" s="22">
        <f>+PROVEEDORES[[#This Row],[Descuento sobre subtotal %]]*(PROVEEDORES[[#This Row],[SUBTOTAL]]-PROVEEDORES[[#This Row],[descuento sobre subtotal]])</f>
        <v>0</v>
      </c>
      <c r="P171" s="74">
        <f>+IF(PROVEEDORES[[#This Row],[SUBTOTAL]]&lt;PROVEEDORES[[#This Row],[base retencion]],0,PROVEEDORES[[#This Row],[retención aplicada]])</f>
        <v>0</v>
      </c>
      <c r="Q171" s="22">
        <f>+PROVEEDORES[[#This Row],[Rete Fuente %]]*(PROVEEDORES[[#This Row],[SUBTOTAL]]-PROVEEDORES[[#This Row],[descuento sobre subtotal]])</f>
        <v>0</v>
      </c>
      <c r="R171" s="21">
        <v>450000</v>
      </c>
      <c r="S17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63">
        <f ca="1">IF(PROVEEDORES[[#This Row],[FECHA DE PAGO]]=0,TODAY()-PROVEEDORES[[#This Row],[FECHA DE FACTURACIÓN]]-PROVEEDORES[[#This Row],[PLAZO Días]],0)</f>
        <v>0</v>
      </c>
      <c r="U171" s="87">
        <f>+VLOOKUP(PROVEEDORES[[#This Row],[PROVEEDOR]],Terceros!$A:$D,4,FALSE)</f>
        <v>0</v>
      </c>
      <c r="V171" s="88">
        <f>+YEAR(PROVEEDORES[[#This Row],[FECHA DE FACTURACIÓN]])</f>
        <v>2022</v>
      </c>
      <c r="W171" s="88">
        <f>+MATCH(PROVEEDORES[[#This Row],[año facturado]],Retenciones!$1:$1,0)</f>
        <v>5</v>
      </c>
      <c r="X171" s="89">
        <f>+VLOOKUP(PROVEEDORES[[#This Row],[ID RETENCION]],Retenciones!$A$1:$O$25,PROVEEDORES[[#This Row],[indicador de columna]],FALSE)</f>
        <v>0</v>
      </c>
      <c r="Y171" s="90">
        <f>+VLOOKUP(PROVEEDORES[[#This Row],[ID RETENCION]],Retenciones!$A$1:$O$25,2,FALSE)</f>
        <v>0</v>
      </c>
      <c r="Z171" s="116" t="b">
        <f>OR(COUNTIF(PROVEEDORES[[#This Row],[PROVEEDOR]],"*"&amp;'Palabra no opera'!$A$2&amp;"*"))</f>
        <v>0</v>
      </c>
      <c r="AA171" s="24"/>
      <c r="AB171" s="24"/>
      <c r="AC171" s="24"/>
      <c r="AD171" s="24"/>
      <c r="AE171" s="24"/>
    </row>
    <row r="172" spans="1:31" ht="22.35" customHeight="1" x14ac:dyDescent="0.3">
      <c r="A172" s="61" t="str">
        <f>+IF(PROVEEDORES[[#This Row],[FECHA DE PAGO]]=PROVEEDORES[[#This Row],[FECHA DE FACTURACIÓN]],"DE CONTADO","CRÉDITO")</f>
        <v>DE CONTADO</v>
      </c>
      <c r="B172" s="38" t="b">
        <f>+IF((PROVEEDORES[[#This Row],[FECHA DE PAGO]]-PROVEEDORES[[#This Row],[FECHA DE FACTURACIÓN]])&gt;PROVEEDORES[[#This Row],[PLAZO Días]],"PAGO VENCIDO")</f>
        <v>0</v>
      </c>
      <c r="C172" s="20">
        <f>+VLOOKUP(PROVEEDORES[[#This Row],[PROVEEDOR]],TERCEROS_INFO[#All],2,FALSE)</f>
        <v>30</v>
      </c>
      <c r="D172" s="25">
        <f>+SUMIFS(PROVEEDORES[Total],PROVEEDORES[PROVEEDOR],PROVEEDORES[[#This Row],[PROVEEDOR]],PROVEEDORES[FECHA DE PAGO],"")</f>
        <v>0</v>
      </c>
      <c r="E172" s="25"/>
      <c r="F172" s="56" t="str">
        <f>+VLOOKUP(PROVEEDORES[[#This Row],[PROVEEDOR]],
                       Terceros!$A:$F,
                       5,
                       FALSE)</f>
        <v/>
      </c>
      <c r="G172" s="68">
        <v>44632</v>
      </c>
      <c r="H172" s="26" t="s">
        <v>390</v>
      </c>
      <c r="I172" s="68">
        <v>44632</v>
      </c>
      <c r="J172" s="35"/>
      <c r="K172" s="21">
        <v>1000000</v>
      </c>
      <c r="L172" s="21"/>
      <c r="M172" s="22">
        <v>0</v>
      </c>
      <c r="N172" s="23"/>
      <c r="O172" s="22">
        <v>0</v>
      </c>
      <c r="P172" s="74">
        <f>+IF(PROVEEDORES[[#This Row],[SUBTOTAL]]&lt;PROVEEDORES[[#This Row],[base retencion]],0,PROVEEDORES[[#This Row],[retención aplicada]])</f>
        <v>0</v>
      </c>
      <c r="Q172" s="22">
        <f>+PROVEEDORES[[#This Row],[Rete Fuente %]]*(PROVEEDORES[[#This Row],[SUBTOTAL]]-PROVEEDORES[[#This Row],[descuento sobre subtotal]])</f>
        <v>0</v>
      </c>
      <c r="R172" s="21">
        <v>1000000</v>
      </c>
      <c r="S17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63">
        <f ca="1">IF(PROVEEDORES[[#This Row],[FECHA DE PAGO]]=0,TODAY()-PROVEEDORES[[#This Row],[FECHA DE FACTURACIÓN]]-PROVEEDORES[[#This Row],[PLAZO Días]],0)</f>
        <v>0</v>
      </c>
      <c r="U172" s="87">
        <f>+VLOOKUP(PROVEEDORES[[#This Row],[PROVEEDOR]],Terceros!$A:$D,4,FALSE)</f>
        <v>0</v>
      </c>
      <c r="V172" s="88">
        <f>+YEAR(PROVEEDORES[[#This Row],[FECHA DE FACTURACIÓN]])</f>
        <v>2022</v>
      </c>
      <c r="W172" s="88">
        <f>+MATCH(PROVEEDORES[[#This Row],[año facturado]],Retenciones!$1:$1,0)</f>
        <v>5</v>
      </c>
      <c r="X172" s="89">
        <f>+VLOOKUP(PROVEEDORES[[#This Row],[ID RETENCION]],Retenciones!$A$1:$O$25,PROVEEDORES[[#This Row],[indicador de columna]],FALSE)</f>
        <v>0</v>
      </c>
      <c r="Y172" s="90">
        <f>+VLOOKUP(PROVEEDORES[[#This Row],[ID RETENCION]],Retenciones!$A$1:$O$25,2,FALSE)</f>
        <v>0</v>
      </c>
      <c r="Z172" s="116" t="b">
        <f>OR(COUNTIF(PROVEEDORES[[#This Row],[PROVEEDOR]],"*"&amp;'Palabra no opera'!$A$2&amp;"*"))</f>
        <v>0</v>
      </c>
      <c r="AA172" s="24"/>
      <c r="AB172" s="24"/>
      <c r="AC172" s="24"/>
      <c r="AD172" s="24"/>
      <c r="AE172" s="24"/>
    </row>
    <row r="173" spans="1:31" ht="22.35" customHeight="1" x14ac:dyDescent="0.3">
      <c r="A173" s="61" t="str">
        <f>+IF(PROVEEDORES[[#This Row],[FECHA DE PAGO]]=PROVEEDORES[[#This Row],[FECHA DE FACTURACIÓN]],"DE CONTADO","CRÉDITO")</f>
        <v>CRÉDITO</v>
      </c>
      <c r="B173" s="38" t="b">
        <f>+IF((PROVEEDORES[[#This Row],[FECHA DE PAGO]]-PROVEEDORES[[#This Row],[FECHA DE FACTURACIÓN]])&gt;PROVEEDORES[[#This Row],[PLAZO Días]],"PAGO VENCIDO")</f>
        <v>0</v>
      </c>
      <c r="C173" s="20">
        <f>+VLOOKUP(PROVEEDORES[[#This Row],[PROVEEDOR]],TERCEROS_INFO[#All],2,FALSE)</f>
        <v>30</v>
      </c>
      <c r="D173" s="25">
        <f>+SUMIFS(PROVEEDORES[Total],PROVEEDORES[PROVEEDOR],PROVEEDORES[[#This Row],[PROVEEDOR]],PROVEEDORES[FECHA DE PAGO],"")</f>
        <v>0</v>
      </c>
      <c r="E173" s="25"/>
      <c r="F173" s="56" t="str">
        <f>+VLOOKUP(PROVEEDORES[[#This Row],[PROVEEDOR]],
                       Terceros!$A:$F,
                       5,
                       FALSE)</f>
        <v/>
      </c>
      <c r="G173" s="68">
        <v>44632</v>
      </c>
      <c r="H173" s="26" t="s">
        <v>409</v>
      </c>
      <c r="I173" s="68">
        <v>44631</v>
      </c>
      <c r="J173" s="35" t="s">
        <v>410</v>
      </c>
      <c r="K173" s="21">
        <v>1180100</v>
      </c>
      <c r="L173" s="21"/>
      <c r="M173" s="22">
        <v>0</v>
      </c>
      <c r="N173" s="23"/>
      <c r="O173" s="22">
        <v>0</v>
      </c>
      <c r="P173" s="74">
        <f>+IF(PROVEEDORES[[#This Row],[SUBTOTAL]]&lt;PROVEEDORES[[#This Row],[base retencion]],0,PROVEEDORES[[#This Row],[retención aplicada]])</f>
        <v>0</v>
      </c>
      <c r="Q173" s="22">
        <f>+PROVEEDORES[[#This Row],[Rete Fuente %]]*(PROVEEDORES[[#This Row],[SUBTOTAL]]-PROVEEDORES[[#This Row],[descuento sobre subtotal]])</f>
        <v>0</v>
      </c>
      <c r="R173" s="21">
        <v>1180100</v>
      </c>
      <c r="S17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63">
        <f ca="1">IF(PROVEEDORES[[#This Row],[FECHA DE PAGO]]=0,TODAY()-PROVEEDORES[[#This Row],[FECHA DE FACTURACIÓN]]-PROVEEDORES[[#This Row],[PLAZO Días]],0)</f>
        <v>0</v>
      </c>
      <c r="U173" s="87">
        <f>+VLOOKUP(PROVEEDORES[[#This Row],[PROVEEDOR]],Terceros!$A:$D,4,FALSE)</f>
        <v>0</v>
      </c>
      <c r="V173" s="88">
        <f>+YEAR(PROVEEDORES[[#This Row],[FECHA DE FACTURACIÓN]])</f>
        <v>2022</v>
      </c>
      <c r="W173" s="88">
        <f>+MATCH(PROVEEDORES[[#This Row],[año facturado]],Retenciones!$1:$1,0)</f>
        <v>5</v>
      </c>
      <c r="X173" s="89">
        <f>+VLOOKUP(PROVEEDORES[[#This Row],[ID RETENCION]],Retenciones!$A$1:$O$25,PROVEEDORES[[#This Row],[indicador de columna]],FALSE)</f>
        <v>0</v>
      </c>
      <c r="Y173" s="90">
        <f>+VLOOKUP(PROVEEDORES[[#This Row],[ID RETENCION]],Retenciones!$A$1:$O$25,2,FALSE)</f>
        <v>0</v>
      </c>
      <c r="Z173" s="116" t="b">
        <f>OR(COUNTIF(PROVEEDORES[[#This Row],[PROVEEDOR]],"*"&amp;'Palabra no opera'!$A$2&amp;"*"))</f>
        <v>0</v>
      </c>
      <c r="AA173" s="24"/>
      <c r="AB173" s="24"/>
      <c r="AC173" s="24"/>
      <c r="AD173" s="24"/>
      <c r="AE173" s="24"/>
    </row>
    <row r="174" spans="1:31" ht="22.35" customHeight="1" x14ac:dyDescent="0.3">
      <c r="A174" s="61" t="str">
        <f>+IF(PROVEEDORES[[#This Row],[FECHA DE PAGO]]=PROVEEDORES[[#This Row],[FECHA DE FACTURACIÓN]],"DE CONTADO","CRÉDITO")</f>
        <v>CRÉDITO</v>
      </c>
      <c r="B174" s="38" t="b">
        <f>+IF((PROVEEDORES[[#This Row],[FECHA DE PAGO]]-PROVEEDORES[[#This Row],[FECHA DE FACTURACIÓN]])&gt;PROVEEDORES[[#This Row],[PLAZO Días]],"PAGO VENCIDO")</f>
        <v>0</v>
      </c>
      <c r="C174" s="20">
        <f>+VLOOKUP(PROVEEDORES[[#This Row],[PROVEEDOR]],TERCEROS_INFO[#All],2,FALSE)</f>
        <v>30</v>
      </c>
      <c r="D174" s="25">
        <f>+SUMIFS(PROVEEDORES[Total],PROVEEDORES[PROVEEDOR],PROVEEDORES[[#This Row],[PROVEEDOR]],PROVEEDORES[FECHA DE PAGO],"")</f>
        <v>0</v>
      </c>
      <c r="E174" s="25"/>
      <c r="F174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74" s="68">
        <v>44635</v>
      </c>
      <c r="H174" s="26" t="s">
        <v>966</v>
      </c>
      <c r="I174" s="68">
        <v>44627</v>
      </c>
      <c r="J174" s="35">
        <v>330</v>
      </c>
      <c r="K174" s="21">
        <v>359500</v>
      </c>
      <c r="L174" s="21"/>
      <c r="M174" s="22">
        <f>(PROVEEDORES[[#This Row],[SUBTOTAL]]-PROVEEDORES[[#This Row],[descuento sobre subtotal]])*VLOOKUP(PROVEEDORES[[#This Row],[PROVEEDOR]],TERCEROS_INFO[#All],3,FALSE)</f>
        <v>0</v>
      </c>
      <c r="N174" s="23"/>
      <c r="O174" s="22">
        <f>+PROVEEDORES[[#This Row],[Descuento sobre subtotal %]]*(PROVEEDORES[[#This Row],[SUBTOTAL]]-PROVEEDORES[[#This Row],[descuento sobre subtotal]])</f>
        <v>0</v>
      </c>
      <c r="P174" s="74">
        <f>+IF(PROVEEDORES[[#This Row],[SUBTOTAL]]&lt;PROVEEDORES[[#This Row],[base retencion]],0,PROVEEDORES[[#This Row],[retención aplicada]])</f>
        <v>0</v>
      </c>
      <c r="Q174" s="22">
        <f>+PROVEEDORES[[#This Row],[Rete Fuente %]]*(PROVEEDORES[[#This Row],[SUBTOTAL]]-PROVEEDORES[[#This Row],[descuento sobre subtotal]])</f>
        <v>0</v>
      </c>
      <c r="R174" s="21">
        <v>359500</v>
      </c>
      <c r="S17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63">
        <f ca="1">IF(PROVEEDORES[[#This Row],[FECHA DE PAGO]]=0,TODAY()-PROVEEDORES[[#This Row],[FECHA DE FACTURACIÓN]]-PROVEEDORES[[#This Row],[PLAZO Días]],0)</f>
        <v>0</v>
      </c>
      <c r="U174" s="87">
        <f>+VLOOKUP(PROVEEDORES[[#This Row],[PROVEEDOR]],Terceros!$A:$D,4,FALSE)</f>
        <v>0</v>
      </c>
      <c r="V174" s="88">
        <f>+YEAR(PROVEEDORES[[#This Row],[FECHA DE FACTURACIÓN]])</f>
        <v>2022</v>
      </c>
      <c r="W174" s="88">
        <f>+MATCH(PROVEEDORES[[#This Row],[año facturado]],Retenciones!$1:$1,0)</f>
        <v>5</v>
      </c>
      <c r="X174" s="89">
        <f>+VLOOKUP(PROVEEDORES[[#This Row],[ID RETENCION]],Retenciones!$A$1:$O$25,PROVEEDORES[[#This Row],[indicador de columna]],FALSE)</f>
        <v>0</v>
      </c>
      <c r="Y174" s="90">
        <f>+VLOOKUP(PROVEEDORES[[#This Row],[ID RETENCION]],Retenciones!$A$1:$O$25,2,FALSE)</f>
        <v>0</v>
      </c>
      <c r="Z174" s="116" t="b">
        <f>OR(COUNTIF(PROVEEDORES[[#This Row],[PROVEEDOR]],"*"&amp;'Palabra no opera'!$A$2&amp;"*"))</f>
        <v>0</v>
      </c>
      <c r="AA174" s="24"/>
      <c r="AB174" s="24"/>
      <c r="AC174" s="24"/>
      <c r="AD174" s="24"/>
      <c r="AE174" s="24"/>
    </row>
    <row r="175" spans="1:31" ht="22.35" customHeight="1" x14ac:dyDescent="0.3">
      <c r="A175" s="61" t="str">
        <f>+IF(PROVEEDORES[[#This Row],[FECHA DE PAGO]]=PROVEEDORES[[#This Row],[FECHA DE FACTURACIÓN]],"DE CONTADO","CRÉDITO")</f>
        <v>CRÉDITO</v>
      </c>
      <c r="B175" s="38" t="str">
        <f>+IF((PROVEEDORES[[#This Row],[FECHA DE PAGO]]-PROVEEDORES[[#This Row],[FECHA DE FACTURACIÓN]])&gt;PROVEEDORES[[#This Row],[PLAZO Días]],"PAGO VENCIDO")</f>
        <v>PAGO VENCIDO</v>
      </c>
      <c r="C175" s="20">
        <f>+VLOOKUP(PROVEEDORES[[#This Row],[PROVEEDOR]],TERCEROS_INFO[#All],2,FALSE)</f>
        <v>30</v>
      </c>
      <c r="D175" s="25">
        <f>+SUMIFS(PROVEEDORES[Total],PROVEEDORES[PROVEEDOR],PROVEEDORES[[#This Row],[PROVEEDOR]],PROVEEDORES[FECHA DE PAGO],"")</f>
        <v>2773899.95</v>
      </c>
      <c r="E175" s="25"/>
      <c r="F175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5" s="68">
        <v>44635</v>
      </c>
      <c r="H175" s="26" t="s">
        <v>20</v>
      </c>
      <c r="I175" s="68">
        <v>44588</v>
      </c>
      <c r="J175" s="35">
        <v>6152</v>
      </c>
      <c r="K175" s="21">
        <v>1591200</v>
      </c>
      <c r="L175" s="21"/>
      <c r="M175" s="22">
        <v>302328</v>
      </c>
      <c r="N175" s="23"/>
      <c r="O175" s="22">
        <v>0</v>
      </c>
      <c r="P175" s="74">
        <f>+IF(PROVEEDORES[[#This Row],[SUBTOTAL]]&lt;PROVEEDORES[[#This Row],[base retencion]],0,PROVEEDORES[[#This Row],[retención aplicada]])</f>
        <v>2.5000000000000001E-2</v>
      </c>
      <c r="Q175" s="22">
        <f>+PROVEEDORES[[#This Row],[Rete Fuente %]]*(PROVEEDORES[[#This Row],[SUBTOTAL]]-PROVEEDORES[[#This Row],[descuento sobre subtotal]])</f>
        <v>39780</v>
      </c>
      <c r="R175" s="21">
        <v>1853748</v>
      </c>
      <c r="S17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63">
        <f ca="1">IF(PROVEEDORES[[#This Row],[FECHA DE PAGO]]=0,TODAY()-PROVEEDORES[[#This Row],[FECHA DE FACTURACIÓN]]-PROVEEDORES[[#This Row],[PLAZO Días]],0)</f>
        <v>0</v>
      </c>
      <c r="U175" s="87" t="str">
        <f>+VLOOKUP(PROVEEDORES[[#This Row],[PROVEEDOR]],Terceros!$A:$D,4,FALSE)</f>
        <v>2,5% con base</v>
      </c>
      <c r="V175" s="88">
        <f>+YEAR(PROVEEDORES[[#This Row],[FECHA DE FACTURACIÓN]])</f>
        <v>2022</v>
      </c>
      <c r="W175" s="88">
        <f>+MATCH(PROVEEDORES[[#This Row],[año facturado]],Retenciones!$1:$1,0)</f>
        <v>5</v>
      </c>
      <c r="X175" s="89">
        <f>+VLOOKUP(PROVEEDORES[[#This Row],[ID RETENCION]],Retenciones!$A$1:$O$25,PROVEEDORES[[#This Row],[indicador de columna]],FALSE)</f>
        <v>1026000</v>
      </c>
      <c r="Y175" s="90">
        <f>+VLOOKUP(PROVEEDORES[[#This Row],[ID RETENCION]],Retenciones!$A$1:$O$25,2,FALSE)</f>
        <v>2.5000000000000001E-2</v>
      </c>
      <c r="Z175" s="116" t="b">
        <f>OR(COUNTIF(PROVEEDORES[[#This Row],[PROVEEDOR]],"*"&amp;'Palabra no opera'!$A$2&amp;"*"))</f>
        <v>0</v>
      </c>
      <c r="AA175" s="24"/>
      <c r="AB175" s="24"/>
      <c r="AC175" s="24"/>
      <c r="AD175" s="24"/>
      <c r="AE175" s="24"/>
    </row>
    <row r="176" spans="1:31" ht="22.35" customHeight="1" x14ac:dyDescent="0.3">
      <c r="A176" s="61" t="str">
        <f>+IF(PROVEEDORES[[#This Row],[FECHA DE PAGO]]=PROVEEDORES[[#This Row],[FECHA DE FACTURACIÓN]],"DE CONTADO","CRÉDITO")</f>
        <v>CRÉDITO</v>
      </c>
      <c r="B176" s="38" t="str">
        <f>+IF((PROVEEDORES[[#This Row],[FECHA DE PAGO]]-PROVEEDORES[[#This Row],[FECHA DE FACTURACIÓN]])&gt;PROVEEDORES[[#This Row],[PLAZO Días]],"PAGO VENCIDO")</f>
        <v>PAGO VENCIDO</v>
      </c>
      <c r="C176" s="20">
        <f>+VLOOKUP(PROVEEDORES[[#This Row],[PROVEEDOR]],TERCEROS_INFO[#All],2,FALSE)</f>
        <v>30</v>
      </c>
      <c r="D176" s="25">
        <f>+SUMIFS(PROVEEDORES[Total],PROVEEDORES[PROVEEDOR],PROVEEDORES[[#This Row],[PROVEEDOR]],PROVEEDORES[FECHA DE PAGO],"")</f>
        <v>0</v>
      </c>
      <c r="E176" s="25"/>
      <c r="F176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76" s="68">
        <v>44635</v>
      </c>
      <c r="H176" s="26" t="s">
        <v>964</v>
      </c>
      <c r="I176" s="68">
        <v>44601</v>
      </c>
      <c r="J176" s="35">
        <v>27066</v>
      </c>
      <c r="K176" s="21">
        <v>3840000</v>
      </c>
      <c r="L176" s="21"/>
      <c r="M176" s="22">
        <f>(PROVEEDORES[[#This Row],[SUBTOTAL]]-PROVEEDORES[[#This Row],[descuento sobre subtotal]])*VLOOKUP(PROVEEDORES[[#This Row],[PROVEEDOR]],TERCEROS_INFO[#All],3,FALSE)</f>
        <v>729600</v>
      </c>
      <c r="N176" s="23"/>
      <c r="O176" s="22">
        <f>+PROVEEDORES[[#This Row],[Descuento sobre subtotal %]]*(PROVEEDORES[[#This Row],[SUBTOTAL]]-PROVEEDORES[[#This Row],[descuento sobre subtotal]])</f>
        <v>0</v>
      </c>
      <c r="P176" s="74">
        <v>2.5000000000000001E-2</v>
      </c>
      <c r="Q176" s="22">
        <f>+PROVEEDORES[[#This Row],[Rete Fuente %]]*(PROVEEDORES[[#This Row],[SUBTOTAL]]-PROVEEDORES[[#This Row],[descuento sobre subtotal]])</f>
        <v>96000</v>
      </c>
      <c r="R176" s="21">
        <v>4473600</v>
      </c>
      <c r="S17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63">
        <f ca="1">IF(PROVEEDORES[[#This Row],[FECHA DE PAGO]]=0,TODAY()-PROVEEDORES[[#This Row],[FECHA DE FACTURACIÓN]]-PROVEEDORES[[#This Row],[PLAZO Días]],0)</f>
        <v>0</v>
      </c>
      <c r="U176" s="87">
        <f>+VLOOKUP(PROVEEDORES[[#This Row],[PROVEEDOR]],Terceros!$A:$D,4,FALSE)</f>
        <v>0</v>
      </c>
      <c r="V176" s="88">
        <f>+YEAR(PROVEEDORES[[#This Row],[FECHA DE FACTURACIÓN]])</f>
        <v>2022</v>
      </c>
      <c r="W176" s="88">
        <f>+MATCH(PROVEEDORES[[#This Row],[año facturado]],Retenciones!$1:$1,0)</f>
        <v>5</v>
      </c>
      <c r="X176" s="89">
        <f>+VLOOKUP(PROVEEDORES[[#This Row],[ID RETENCION]],Retenciones!$A$1:$O$25,PROVEEDORES[[#This Row],[indicador de columna]],FALSE)</f>
        <v>0</v>
      </c>
      <c r="Y176" s="90">
        <f>+VLOOKUP(PROVEEDORES[[#This Row],[ID RETENCION]],Retenciones!$A$1:$O$25,2,FALSE)</f>
        <v>0</v>
      </c>
      <c r="Z176" s="116" t="b">
        <f>OR(COUNTIF(PROVEEDORES[[#This Row],[PROVEEDOR]],"*"&amp;'Palabra no opera'!$A$2&amp;"*"))</f>
        <v>0</v>
      </c>
      <c r="AA176" s="24"/>
      <c r="AB176" s="24"/>
      <c r="AC176" s="24"/>
      <c r="AD176" s="24"/>
      <c r="AE176" s="24"/>
    </row>
    <row r="177" spans="1:31" ht="22.35" customHeight="1" x14ac:dyDescent="0.3">
      <c r="A177" s="61" t="str">
        <f>+IF(PROVEEDORES[[#This Row],[FECHA DE PAGO]]=PROVEEDORES[[#This Row],[FECHA DE FACTURACIÓN]],"DE CONTADO","CRÉDITO")</f>
        <v>CRÉDITO</v>
      </c>
      <c r="B177" s="38" t="b">
        <f>+IF((PROVEEDORES[[#This Row],[FECHA DE PAGO]]-PROVEEDORES[[#This Row],[FECHA DE FACTURACIÓN]])&gt;PROVEEDORES[[#This Row],[PLAZO Días]],"PAGO VENCIDO")</f>
        <v>0</v>
      </c>
      <c r="C177" s="20">
        <f>+VLOOKUP(PROVEEDORES[[#This Row],[PROVEEDOR]],TERCEROS_INFO[#All],2,FALSE)</f>
        <v>30</v>
      </c>
      <c r="D177" s="25">
        <f>+SUMIFS(PROVEEDORES[Total],PROVEEDORES[PROVEEDOR],PROVEEDORES[[#This Row],[PROVEEDOR]],PROVEEDORES[FECHA DE PAGO],"")</f>
        <v>0</v>
      </c>
      <c r="E177" s="25"/>
      <c r="F177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77" s="68">
        <v>44635</v>
      </c>
      <c r="H177" s="26" t="s">
        <v>967</v>
      </c>
      <c r="I177" s="68">
        <v>44627</v>
      </c>
      <c r="J177" s="35">
        <v>211</v>
      </c>
      <c r="K177" s="21">
        <v>359500</v>
      </c>
      <c r="L177" s="21"/>
      <c r="M177" s="22">
        <f>(PROVEEDORES[[#This Row],[SUBTOTAL]]-PROVEEDORES[[#This Row],[descuento sobre subtotal]])*VLOOKUP(PROVEEDORES[[#This Row],[PROVEEDOR]],TERCEROS_INFO[#All],3,FALSE)</f>
        <v>0</v>
      </c>
      <c r="N177" s="23"/>
      <c r="O177" s="22">
        <f>+PROVEEDORES[[#This Row],[Descuento sobre subtotal %]]*(PROVEEDORES[[#This Row],[SUBTOTAL]]-PROVEEDORES[[#This Row],[descuento sobre subtotal]])</f>
        <v>0</v>
      </c>
      <c r="P177" s="74">
        <f>+IF(PROVEEDORES[[#This Row],[SUBTOTAL]]&lt;PROVEEDORES[[#This Row],[base retencion]],0,PROVEEDORES[[#This Row],[retención aplicada]])</f>
        <v>0.01</v>
      </c>
      <c r="Q177" s="22">
        <f>+PROVEEDORES[[#This Row],[Rete Fuente %]]*(PROVEEDORES[[#This Row],[SUBTOTAL]]-PROVEEDORES[[#This Row],[descuento sobre subtotal]])</f>
        <v>3595</v>
      </c>
      <c r="R177" s="21">
        <v>359500</v>
      </c>
      <c r="S17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63">
        <f ca="1">IF(PROVEEDORES[[#This Row],[FECHA DE PAGO]]=0,TODAY()-PROVEEDORES[[#This Row],[FECHA DE FACTURACIÓN]]-PROVEEDORES[[#This Row],[PLAZO Días]],0)</f>
        <v>0</v>
      </c>
      <c r="U177" s="87" t="str">
        <f>+VLOOKUP(PROVEEDORES[[#This Row],[PROVEEDOR]],Terceros!$A:$D,4,FALSE)</f>
        <v>1% con base</v>
      </c>
      <c r="V177" s="88">
        <f>+YEAR(PROVEEDORES[[#This Row],[FECHA DE FACTURACIÓN]])</f>
        <v>2022</v>
      </c>
      <c r="W177" s="88">
        <f>+MATCH(PROVEEDORES[[#This Row],[año facturado]],Retenciones!$1:$1,0)</f>
        <v>5</v>
      </c>
      <c r="X177" s="89">
        <f>+VLOOKUP(PROVEEDORES[[#This Row],[ID RETENCION]],Retenciones!$A$1:$O$25,PROVEEDORES[[#This Row],[indicador de columna]],FALSE)</f>
        <v>152000</v>
      </c>
      <c r="Y177" s="90">
        <f>+VLOOKUP(PROVEEDORES[[#This Row],[ID RETENCION]],Retenciones!$A$1:$O$25,2,FALSE)</f>
        <v>0.01</v>
      </c>
      <c r="Z177" s="116" t="b">
        <f>OR(COUNTIF(PROVEEDORES[[#This Row],[PROVEEDOR]],"*"&amp;'Palabra no opera'!$A$2&amp;"*"))</f>
        <v>0</v>
      </c>
      <c r="AA177" s="24"/>
      <c r="AB177" s="24"/>
      <c r="AC177" s="24"/>
      <c r="AD177" s="24"/>
      <c r="AE177" s="24"/>
    </row>
    <row r="178" spans="1:31" ht="22.35" customHeight="1" x14ac:dyDescent="0.3">
      <c r="A178" s="61" t="str">
        <f>+IF(PROVEEDORES[[#This Row],[FECHA DE PAGO]]=PROVEEDORES[[#This Row],[FECHA DE FACTURACIÓN]],"DE CONTADO","CRÉDITO")</f>
        <v>CRÉDITO</v>
      </c>
      <c r="B178" s="38" t="str">
        <f>+IF((PROVEEDORES[[#This Row],[FECHA DE PAGO]]-PROVEEDORES[[#This Row],[FECHA DE FACTURACIÓN]])&gt;PROVEEDORES[[#This Row],[PLAZO Días]],"PAGO VENCIDO")</f>
        <v>PAGO VENCIDO</v>
      </c>
      <c r="C178" s="20">
        <f>+VLOOKUP(PROVEEDORES[[#This Row],[PROVEEDOR]],TERCEROS_INFO[#All],2,FALSE)</f>
        <v>30</v>
      </c>
      <c r="D178" s="25">
        <f>+SUMIFS(PROVEEDORES[Total],PROVEEDORES[PROVEEDOR],PROVEEDORES[[#This Row],[PROVEEDOR]],PROVEEDORES[FECHA DE PAGO],"")</f>
        <v>10321993.199999999</v>
      </c>
      <c r="E178" s="25"/>
      <c r="F17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8" s="68">
        <v>44635</v>
      </c>
      <c r="H178" s="26" t="s">
        <v>1068</v>
      </c>
      <c r="I178" s="68">
        <v>44589</v>
      </c>
      <c r="J178" s="35">
        <v>24466</v>
      </c>
      <c r="K178" s="21">
        <v>384000</v>
      </c>
      <c r="L178" s="21"/>
      <c r="M178" s="22">
        <f>(PROVEEDORES[[#This Row],[SUBTOTAL]]-PROVEEDORES[[#This Row],[descuento sobre subtotal]])*VLOOKUP(PROVEEDORES[[#This Row],[PROVEEDOR]],TERCEROS_INFO[#All],3,FALSE)</f>
        <v>72960</v>
      </c>
      <c r="N178" s="23"/>
      <c r="O178" s="22">
        <f>+PROVEEDORES[[#This Row],[Descuento sobre subtotal %]]*(PROVEEDORES[[#This Row],[SUBTOTAL]]-PROVEEDORES[[#This Row],[descuento sobre subtotal]])</f>
        <v>0</v>
      </c>
      <c r="P178" s="74">
        <f>+IF(PROVEEDORES[[#This Row],[SUBTOTAL]]&lt;PROVEEDORES[[#This Row],[base retencion]],0,PROVEEDORES[[#This Row],[retención aplicada]])</f>
        <v>0</v>
      </c>
      <c r="Q178" s="22">
        <f>+PROVEEDORES[[#This Row],[Rete Fuente %]]*(PROVEEDORES[[#This Row],[SUBTOTAL]]-PROVEEDORES[[#This Row],[descuento sobre subtotal]])</f>
        <v>0</v>
      </c>
      <c r="R178" s="21">
        <v>456960</v>
      </c>
      <c r="S17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63">
        <f ca="1">IF(PROVEEDORES[[#This Row],[FECHA DE PAGO]]=0,TODAY()-PROVEEDORES[[#This Row],[FECHA DE FACTURACIÓN]]-PROVEEDORES[[#This Row],[PLAZO Días]],0)</f>
        <v>0</v>
      </c>
      <c r="U178" s="87" t="str">
        <f>+VLOOKUP(PROVEEDORES[[#This Row],[PROVEEDOR]],Terceros!$A:$D,4,FALSE)</f>
        <v>2,5% con base</v>
      </c>
      <c r="V178" s="88">
        <f>+YEAR(PROVEEDORES[[#This Row],[FECHA DE FACTURACIÓN]])</f>
        <v>2022</v>
      </c>
      <c r="W178" s="88">
        <f>+MATCH(PROVEEDORES[[#This Row],[año facturado]],Retenciones!$1:$1,0)</f>
        <v>5</v>
      </c>
      <c r="X178" s="89">
        <f>+VLOOKUP(PROVEEDORES[[#This Row],[ID RETENCION]],Retenciones!$A$1:$O$25,PROVEEDORES[[#This Row],[indicador de columna]],FALSE)</f>
        <v>1026000</v>
      </c>
      <c r="Y178" s="90">
        <f>+VLOOKUP(PROVEEDORES[[#This Row],[ID RETENCION]],Retenciones!$A$1:$O$25,2,FALSE)</f>
        <v>2.5000000000000001E-2</v>
      </c>
      <c r="Z178" s="116" t="b">
        <f>OR(COUNTIF(PROVEEDORES[[#This Row],[PROVEEDOR]],"*"&amp;'Palabra no opera'!$A$2&amp;"*"))</f>
        <v>0</v>
      </c>
      <c r="AA178" s="24"/>
      <c r="AB178" s="24"/>
      <c r="AC178" s="24"/>
      <c r="AD178" s="24"/>
      <c r="AE178" s="24"/>
    </row>
    <row r="179" spans="1:31" ht="22.35" customHeight="1" x14ac:dyDescent="0.3">
      <c r="A179" s="61" t="str">
        <f>+IF(PROVEEDORES[[#This Row],[FECHA DE PAGO]]=PROVEEDORES[[#This Row],[FECHA DE FACTURACIÓN]],"DE CONTADO","CRÉDITO")</f>
        <v>CRÉDITO</v>
      </c>
      <c r="B179" s="38" t="b">
        <f>+IF((PROVEEDORES[[#This Row],[FECHA DE PAGO]]-PROVEEDORES[[#This Row],[FECHA DE FACTURACIÓN]])&gt;PROVEEDORES[[#This Row],[PLAZO Días]],"PAGO VENCIDO")</f>
        <v>0</v>
      </c>
      <c r="C179" s="20">
        <f>+VLOOKUP(PROVEEDORES[[#This Row],[PROVEEDOR]],TERCEROS_INFO[#All],2,FALSE)</f>
        <v>30</v>
      </c>
      <c r="D179" s="25">
        <f>+SUMIFS(PROVEEDORES[Total],PROVEEDORES[PROVEEDOR],PROVEEDORES[[#This Row],[PROVEEDOR]],PROVEEDORES[FECHA DE PAGO],"")</f>
        <v>10321993.199999999</v>
      </c>
      <c r="E179" s="25"/>
      <c r="F17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9" s="68">
        <v>44635</v>
      </c>
      <c r="H179" s="26" t="s">
        <v>1068</v>
      </c>
      <c r="I179" s="68">
        <v>44614</v>
      </c>
      <c r="J179" s="35" t="s">
        <v>467</v>
      </c>
      <c r="K179" s="21">
        <v>-258607</v>
      </c>
      <c r="L179" s="21"/>
      <c r="M179" s="22">
        <f>(PROVEEDORES[[#This Row],[SUBTOTAL]]-PROVEEDORES[[#This Row],[descuento sobre subtotal]])*VLOOKUP(PROVEEDORES[[#This Row],[PROVEEDOR]],TERCEROS_INFO[#All],3,FALSE)</f>
        <v>-49135.33</v>
      </c>
      <c r="N179" s="23"/>
      <c r="O179" s="22">
        <f>+PROVEEDORES[[#This Row],[Descuento sobre subtotal %]]*(PROVEEDORES[[#This Row],[SUBTOTAL]]-PROVEEDORES[[#This Row],[descuento sobre subtotal]])</f>
        <v>0</v>
      </c>
      <c r="P179" s="74">
        <f>+IF(PROVEEDORES[[#This Row],[SUBTOTAL]]&lt;PROVEEDORES[[#This Row],[base retencion]],0,PROVEEDORES[[#This Row],[retención aplicada]])</f>
        <v>0</v>
      </c>
      <c r="Q179" s="22">
        <f>+PROVEEDORES[[#This Row],[Rete Fuente %]]*(PROVEEDORES[[#This Row],[SUBTOTAL]]-PROVEEDORES[[#This Row],[descuento sobre subtotal]])</f>
        <v>0</v>
      </c>
      <c r="R179" s="21">
        <v>-258607</v>
      </c>
      <c r="S17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63">
        <f ca="1">IF(PROVEEDORES[[#This Row],[FECHA DE PAGO]]=0,TODAY()-PROVEEDORES[[#This Row],[FECHA DE FACTURACIÓN]]-PROVEEDORES[[#This Row],[PLAZO Días]],0)</f>
        <v>0</v>
      </c>
      <c r="U179" s="87" t="str">
        <f>+VLOOKUP(PROVEEDORES[[#This Row],[PROVEEDOR]],Terceros!$A:$D,4,FALSE)</f>
        <v>2,5% con base</v>
      </c>
      <c r="V179" s="88">
        <f>+YEAR(PROVEEDORES[[#This Row],[FECHA DE FACTURACIÓN]])</f>
        <v>2022</v>
      </c>
      <c r="W179" s="88">
        <f>+MATCH(PROVEEDORES[[#This Row],[año facturado]],Retenciones!$1:$1,0)</f>
        <v>5</v>
      </c>
      <c r="X179" s="89">
        <f>+VLOOKUP(PROVEEDORES[[#This Row],[ID RETENCION]],Retenciones!$A$1:$O$25,PROVEEDORES[[#This Row],[indicador de columna]],FALSE)</f>
        <v>1026000</v>
      </c>
      <c r="Y179" s="90">
        <f>+VLOOKUP(PROVEEDORES[[#This Row],[ID RETENCION]],Retenciones!$A$1:$O$25,2,FALSE)</f>
        <v>2.5000000000000001E-2</v>
      </c>
      <c r="Z179" s="116" t="b">
        <f>OR(COUNTIF(PROVEEDORES[[#This Row],[PROVEEDOR]],"*"&amp;'Palabra no opera'!$A$2&amp;"*"))</f>
        <v>0</v>
      </c>
      <c r="AA179" s="24"/>
      <c r="AB179" s="24"/>
      <c r="AC179" s="24"/>
      <c r="AD179" s="24"/>
      <c r="AE179" s="24"/>
    </row>
    <row r="180" spans="1:31" ht="22.35" customHeight="1" x14ac:dyDescent="0.3">
      <c r="A180" s="61" t="str">
        <f>+IF(PROVEEDORES[[#This Row],[FECHA DE PAGO]]=PROVEEDORES[[#This Row],[FECHA DE FACTURACIÓN]],"DE CONTADO","CRÉDITO")</f>
        <v>CRÉDITO</v>
      </c>
      <c r="B180" s="38" t="str">
        <f>+IF((PROVEEDORES[[#This Row],[FECHA DE PAGO]]-PROVEEDORES[[#This Row],[FECHA DE FACTURACIÓN]])&gt;PROVEEDORES[[#This Row],[PLAZO Días]],"PAGO VENCIDO")</f>
        <v>PAGO VENCIDO</v>
      </c>
      <c r="C180" s="20">
        <f>+VLOOKUP(PROVEEDORES[[#This Row],[PROVEEDOR]],TERCEROS_INFO[#All],2,FALSE)</f>
        <v>30</v>
      </c>
      <c r="D180" s="25">
        <f>+SUMIFS(PROVEEDORES[Total],PROVEEDORES[PROVEEDOR],PROVEEDORES[[#This Row],[PROVEEDOR]],PROVEEDORES[FECHA DE PAGO],"")</f>
        <v>0</v>
      </c>
      <c r="E180" s="25"/>
      <c r="F180" s="56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80" s="68">
        <v>44635</v>
      </c>
      <c r="H180" s="26" t="s">
        <v>105</v>
      </c>
      <c r="I180" s="68">
        <v>44541</v>
      </c>
      <c r="J180" s="35"/>
      <c r="K180" s="21">
        <v>3986635</v>
      </c>
      <c r="L180" s="21"/>
      <c r="M180" s="22">
        <f>(PROVEEDORES[[#This Row],[SUBTOTAL]]-PROVEEDORES[[#This Row],[descuento sobre subtotal]])*VLOOKUP(PROVEEDORES[[#This Row],[PROVEEDOR]],TERCEROS_INFO[#All],3,FALSE)</f>
        <v>757460.65</v>
      </c>
      <c r="N180" s="23"/>
      <c r="O180" s="22">
        <f>+PROVEEDORES[[#This Row],[Descuento sobre subtotal %]]*(PROVEEDORES[[#This Row],[SUBTOTAL]]-PROVEEDORES[[#This Row],[descuento sobre subtotal]])</f>
        <v>0</v>
      </c>
      <c r="P180" s="74">
        <f>+IF(PROVEEDORES[[#This Row],[SUBTOTAL]]&lt;PROVEEDORES[[#This Row],[base retencion]],0,PROVEEDORES[[#This Row],[retención aplicada]])</f>
        <v>2.5000000000000001E-2</v>
      </c>
      <c r="Q180" s="22">
        <f>+PROVEEDORES[[#This Row],[Rete Fuente %]]*(PROVEEDORES[[#This Row],[SUBTOTAL]]-PROVEEDORES[[#This Row],[descuento sobre subtotal]])</f>
        <v>99665.875</v>
      </c>
      <c r="R180" s="21">
        <v>4644429.7750000004</v>
      </c>
      <c r="S18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63">
        <f ca="1">IF(PROVEEDORES[[#This Row],[FECHA DE PAGO]]=0,TODAY()-PROVEEDORES[[#This Row],[FECHA DE FACTURACIÓN]]-PROVEEDORES[[#This Row],[PLAZO Días]],0)</f>
        <v>0</v>
      </c>
      <c r="U180" s="87" t="str">
        <f>+VLOOKUP(PROVEEDORES[[#This Row],[PROVEEDOR]],Terceros!$A:$D,4,FALSE)</f>
        <v>2,5% con base</v>
      </c>
      <c r="V180" s="88">
        <f>+YEAR(PROVEEDORES[[#This Row],[FECHA DE FACTURACIÓN]])</f>
        <v>2021</v>
      </c>
      <c r="W180" s="88">
        <f>+MATCH(PROVEEDORES[[#This Row],[año facturado]],Retenciones!$1:$1,0)</f>
        <v>4</v>
      </c>
      <c r="X180" s="89">
        <f>+VLOOKUP(PROVEEDORES[[#This Row],[ID RETENCION]],Retenciones!$A$1:$O$25,PROVEEDORES[[#This Row],[indicador de columna]],FALSE)</f>
        <v>980000</v>
      </c>
      <c r="Y180" s="90">
        <f>+VLOOKUP(PROVEEDORES[[#This Row],[ID RETENCION]],Retenciones!$A$1:$O$25,2,FALSE)</f>
        <v>2.5000000000000001E-2</v>
      </c>
      <c r="Z180" s="116" t="b">
        <f>OR(COUNTIF(PROVEEDORES[[#This Row],[PROVEEDOR]],"*"&amp;'Palabra no opera'!$A$2&amp;"*"))</f>
        <v>0</v>
      </c>
      <c r="AA180" s="24"/>
      <c r="AB180" s="24"/>
      <c r="AC180" s="24"/>
      <c r="AD180" s="24"/>
      <c r="AE180" s="24"/>
    </row>
    <row r="181" spans="1:31" ht="22.35" customHeight="1" x14ac:dyDescent="0.3">
      <c r="A181" s="61" t="str">
        <f>+IF(PROVEEDORES[[#This Row],[FECHA DE PAGO]]=PROVEEDORES[[#This Row],[FECHA DE FACTURACIÓN]],"DE CONTADO","CRÉDITO")</f>
        <v>CRÉDITO</v>
      </c>
      <c r="B181" s="38" t="b">
        <f>+IF((PROVEEDORES[[#This Row],[FECHA DE PAGO]]-PROVEEDORES[[#This Row],[FECHA DE FACTURACIÓN]])&gt;PROVEEDORES[[#This Row],[PLAZO Días]],"PAGO VENCIDO")</f>
        <v>0</v>
      </c>
      <c r="C181" s="20">
        <f>+VLOOKUP(PROVEEDORES[[#This Row],[PROVEEDOR]],TERCEROS_INFO[#All],2,FALSE)</f>
        <v>30</v>
      </c>
      <c r="D181" s="25">
        <f>+SUMIFS(PROVEEDORES[Total],PROVEEDORES[PROVEEDOR],PROVEEDORES[[#This Row],[PROVEEDOR]],PROVEEDORES[FECHA DE PAGO],"")</f>
        <v>0</v>
      </c>
      <c r="E181" s="25"/>
      <c r="F181" s="56">
        <f>+VLOOKUP(PROVEEDORES[[#This Row],[PROVEEDOR]],
                       Terceros!$A:$F,
                       5,
                       FALSE)</f>
        <v>0</v>
      </c>
      <c r="G181" s="68">
        <v>44636</v>
      </c>
      <c r="H181" s="26" t="s">
        <v>471</v>
      </c>
      <c r="I181" s="68">
        <v>44635</v>
      </c>
      <c r="J181" s="35" t="s">
        <v>472</v>
      </c>
      <c r="K181" s="21">
        <v>1573500.6</v>
      </c>
      <c r="L181" s="21"/>
      <c r="M181" s="22">
        <f>(PROVEEDORES[[#This Row],[SUBTOTAL]]-PROVEEDORES[[#This Row],[descuento sobre subtotal]])*VLOOKUP(PROVEEDORES[[#This Row],[PROVEEDOR]],TERCEROS_INFO[#All],3,FALSE)</f>
        <v>298965.114</v>
      </c>
      <c r="N181" s="23"/>
      <c r="O181" s="22">
        <f>+PROVEEDORES[[#This Row],[Descuento sobre subtotal %]]*(PROVEEDORES[[#This Row],[SUBTOTAL]]-PROVEEDORES[[#This Row],[descuento sobre subtotal]])</f>
        <v>0</v>
      </c>
      <c r="P181" s="74">
        <f>+IF(PROVEEDORES[[#This Row],[SUBTOTAL]]&lt;PROVEEDORES[[#This Row],[base retencion]],0,PROVEEDORES[[#This Row],[retención aplicada]])</f>
        <v>2.5000000000000001E-2</v>
      </c>
      <c r="Q181" s="22">
        <f>+PROVEEDORES[[#This Row],[Rete Fuente %]]*(PROVEEDORES[[#This Row],[SUBTOTAL]]-PROVEEDORES[[#This Row],[descuento sobre subtotal]])</f>
        <v>39337.515000000007</v>
      </c>
      <c r="R181" s="21">
        <v>1833128.1990000003</v>
      </c>
      <c r="S18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63">
        <f ca="1">IF(PROVEEDORES[[#This Row],[FECHA DE PAGO]]=0,TODAY()-PROVEEDORES[[#This Row],[FECHA DE FACTURACIÓN]]-PROVEEDORES[[#This Row],[PLAZO Días]],0)</f>
        <v>0</v>
      </c>
      <c r="U181" s="87" t="str">
        <f>+VLOOKUP(PROVEEDORES[[#This Row],[PROVEEDOR]],Terceros!$A:$D,4,FALSE)</f>
        <v>2,5% con base</v>
      </c>
      <c r="V181" s="88">
        <f>+YEAR(PROVEEDORES[[#This Row],[FECHA DE FACTURACIÓN]])</f>
        <v>2022</v>
      </c>
      <c r="W181" s="88">
        <f>+MATCH(PROVEEDORES[[#This Row],[año facturado]],Retenciones!$1:$1,0)</f>
        <v>5</v>
      </c>
      <c r="X181" s="89">
        <f>+VLOOKUP(PROVEEDORES[[#This Row],[ID RETENCION]],Retenciones!$A$1:$O$25,PROVEEDORES[[#This Row],[indicador de columna]],FALSE)</f>
        <v>1026000</v>
      </c>
      <c r="Y181" s="90">
        <f>+VLOOKUP(PROVEEDORES[[#This Row],[ID RETENCION]],Retenciones!$A$1:$O$25,2,FALSE)</f>
        <v>2.5000000000000001E-2</v>
      </c>
      <c r="Z181" s="116" t="b">
        <f>OR(COUNTIF(PROVEEDORES[[#This Row],[PROVEEDOR]],"*"&amp;'Palabra no opera'!$A$2&amp;"*"))</f>
        <v>0</v>
      </c>
      <c r="AA181" s="24"/>
      <c r="AB181" s="24"/>
      <c r="AC181" s="24"/>
      <c r="AD181" s="24"/>
      <c r="AE181" s="24"/>
    </row>
    <row r="182" spans="1:31" ht="22.35" customHeight="1" x14ac:dyDescent="0.3">
      <c r="A182" s="61" t="str">
        <f>+IF(PROVEEDORES[[#This Row],[FECHA DE PAGO]]=PROVEEDORES[[#This Row],[FECHA DE FACTURACIÓN]],"DE CONTADO","CRÉDITO")</f>
        <v>CRÉDITO</v>
      </c>
      <c r="B182" s="38" t="str">
        <f>+IF((PROVEEDORES[[#This Row],[FECHA DE PAGO]]-PROVEEDORES[[#This Row],[FECHA DE FACTURACIÓN]])&gt;PROVEEDORES[[#This Row],[PLAZO Días]],"PAGO VENCIDO")</f>
        <v>PAGO VENCIDO</v>
      </c>
      <c r="C182" s="20">
        <f>+VLOOKUP(PROVEEDORES[[#This Row],[PROVEEDOR]],TERCEROS_INFO[#All],2,FALSE)</f>
        <v>30</v>
      </c>
      <c r="D182" s="25">
        <f>+SUMIFS(PROVEEDORES[Total],PROVEEDORES[PROVEEDOR],PROVEEDORES[[#This Row],[PROVEEDOR]],PROVEEDORES[FECHA DE PAGO],"")</f>
        <v>1034000.52</v>
      </c>
      <c r="E182" s="25"/>
      <c r="F18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82" s="68">
        <v>44636</v>
      </c>
      <c r="H182" s="26" t="s">
        <v>168</v>
      </c>
      <c r="I182" s="68">
        <v>44551</v>
      </c>
      <c r="J182" s="35">
        <v>458</v>
      </c>
      <c r="K182" s="21">
        <v>1281933</v>
      </c>
      <c r="L182" s="21"/>
      <c r="M182" s="22">
        <f>(PROVEEDORES[[#This Row],[SUBTOTAL]]-PROVEEDORES[[#This Row],[descuento sobre subtotal]])*VLOOKUP(PROVEEDORES[[#This Row],[PROVEEDOR]],TERCEROS_INFO[#All],3,FALSE)</f>
        <v>243567.27</v>
      </c>
      <c r="N182" s="23"/>
      <c r="O182" s="22">
        <f>+PROVEEDORES[[#This Row],[Descuento sobre subtotal %]]*(PROVEEDORES[[#This Row],[SUBTOTAL]]-PROVEEDORES[[#This Row],[descuento sobre subtotal]])</f>
        <v>0</v>
      </c>
      <c r="P182" s="74">
        <f>+IF(PROVEEDORES[[#This Row],[SUBTOTAL]]&lt;PROVEEDORES[[#This Row],[base retencion]],0,PROVEEDORES[[#This Row],[retención aplicada]])</f>
        <v>2.5000000000000001E-2</v>
      </c>
      <c r="Q182" s="22">
        <f>+PROVEEDORES[[#This Row],[Rete Fuente %]]*(PROVEEDORES[[#This Row],[SUBTOTAL]]-PROVEEDORES[[#This Row],[descuento sobre subtotal]])</f>
        <v>32048.325000000001</v>
      </c>
      <c r="R182" s="21">
        <v>1493451.9450000001</v>
      </c>
      <c r="S18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63">
        <f ca="1">IF(PROVEEDORES[[#This Row],[FECHA DE PAGO]]=0,TODAY()-PROVEEDORES[[#This Row],[FECHA DE FACTURACIÓN]]-PROVEEDORES[[#This Row],[PLAZO Días]],0)</f>
        <v>0</v>
      </c>
      <c r="U182" s="87" t="str">
        <f>+VLOOKUP(PROVEEDORES[[#This Row],[PROVEEDOR]],Terceros!$A:$D,4,FALSE)</f>
        <v>2,5% con base</v>
      </c>
      <c r="V182" s="88">
        <f>+YEAR(PROVEEDORES[[#This Row],[FECHA DE FACTURACIÓN]])</f>
        <v>2021</v>
      </c>
      <c r="W182" s="88">
        <f>+MATCH(PROVEEDORES[[#This Row],[año facturado]],Retenciones!$1:$1,0)</f>
        <v>4</v>
      </c>
      <c r="X182" s="89">
        <f>+VLOOKUP(PROVEEDORES[[#This Row],[ID RETENCION]],Retenciones!$A$1:$O$25,PROVEEDORES[[#This Row],[indicador de columna]],FALSE)</f>
        <v>980000</v>
      </c>
      <c r="Y182" s="90">
        <f>+VLOOKUP(PROVEEDORES[[#This Row],[ID RETENCION]],Retenciones!$A$1:$O$25,2,FALSE)</f>
        <v>2.5000000000000001E-2</v>
      </c>
      <c r="Z182" s="116" t="b">
        <f>OR(COUNTIF(PROVEEDORES[[#This Row],[PROVEEDOR]],"*"&amp;'Palabra no opera'!$A$2&amp;"*"))</f>
        <v>0</v>
      </c>
      <c r="AA182" s="24"/>
      <c r="AB182" s="24"/>
      <c r="AC182" s="24"/>
      <c r="AD182" s="24"/>
      <c r="AE182" s="24"/>
    </row>
    <row r="183" spans="1:31" ht="22.35" customHeight="1" x14ac:dyDescent="0.3">
      <c r="A183" s="61" t="str">
        <f>+IF(PROVEEDORES[[#This Row],[FECHA DE PAGO]]=PROVEEDORES[[#This Row],[FECHA DE FACTURACIÓN]],"DE CONTADO","CRÉDITO")</f>
        <v>DE CONTADO</v>
      </c>
      <c r="B183" s="38" t="b">
        <f>+IF((PROVEEDORES[[#This Row],[FECHA DE PAGO]]-PROVEEDORES[[#This Row],[FECHA DE FACTURACIÓN]])&gt;PROVEEDORES[[#This Row],[PLAZO Días]],"PAGO VENCIDO")</f>
        <v>0</v>
      </c>
      <c r="C183" s="20">
        <f>+VLOOKUP(PROVEEDORES[[#This Row],[PROVEEDOR]],TERCEROS_INFO[#All],2,FALSE)</f>
        <v>30</v>
      </c>
      <c r="D183" s="25">
        <f>+SUMIFS(PROVEEDORES[Total],PROVEEDORES[PROVEEDOR],PROVEEDORES[[#This Row],[PROVEEDOR]],PROVEEDORES[FECHA DE PAGO],"")</f>
        <v>0</v>
      </c>
      <c r="E183" s="25"/>
      <c r="F183" s="56">
        <f>+VLOOKUP(PROVEEDORES[[#This Row],[PROVEEDOR]],
                       Terceros!$A:$F,
                       5,
                       FALSE)</f>
        <v>0</v>
      </c>
      <c r="G183" s="68">
        <v>44637</v>
      </c>
      <c r="H183" s="26" t="s">
        <v>361</v>
      </c>
      <c r="I183" s="68">
        <v>44637</v>
      </c>
      <c r="J183" s="35" t="s">
        <v>1010</v>
      </c>
      <c r="K183" s="21">
        <v>564000</v>
      </c>
      <c r="L183" s="21"/>
      <c r="M183" s="22">
        <f>(PROVEEDORES[[#This Row],[SUBTOTAL]]-PROVEEDORES[[#This Row],[descuento sobre subtotal]])*VLOOKUP(PROVEEDORES[[#This Row],[PROVEEDOR]],TERCEROS_INFO[#All],3,FALSE)</f>
        <v>0</v>
      </c>
      <c r="N183" s="23"/>
      <c r="O183" s="22">
        <f>+PROVEEDORES[[#This Row],[Descuento sobre subtotal %]]*(PROVEEDORES[[#This Row],[SUBTOTAL]]-PROVEEDORES[[#This Row],[descuento sobre subtotal]])</f>
        <v>0</v>
      </c>
      <c r="P183" s="74">
        <f>+IF(PROVEEDORES[[#This Row],[SUBTOTAL]]&lt;PROVEEDORES[[#This Row],[base retencion]],0,PROVEEDORES[[#This Row],[retención aplicada]])</f>
        <v>0</v>
      </c>
      <c r="Q183" s="22">
        <f>+PROVEEDORES[[#This Row],[Rete Fuente %]]*(PROVEEDORES[[#This Row],[SUBTOTAL]]-PROVEEDORES[[#This Row],[descuento sobre subtotal]])</f>
        <v>0</v>
      </c>
      <c r="R183" s="21">
        <v>564000</v>
      </c>
      <c r="S18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63">
        <f ca="1">IF(PROVEEDORES[[#This Row],[FECHA DE PAGO]]=0,TODAY()-PROVEEDORES[[#This Row],[FECHA DE FACTURACIÓN]]-PROVEEDORES[[#This Row],[PLAZO Días]],0)</f>
        <v>0</v>
      </c>
      <c r="U183" s="87">
        <f>+VLOOKUP(PROVEEDORES[[#This Row],[PROVEEDOR]],Terceros!$A:$D,4,FALSE)</f>
        <v>0</v>
      </c>
      <c r="V183" s="88">
        <f>+YEAR(PROVEEDORES[[#This Row],[FECHA DE FACTURACIÓN]])</f>
        <v>2022</v>
      </c>
      <c r="W183" s="88">
        <f>+MATCH(PROVEEDORES[[#This Row],[año facturado]],Retenciones!$1:$1,0)</f>
        <v>5</v>
      </c>
      <c r="X183" s="89">
        <f>+VLOOKUP(PROVEEDORES[[#This Row],[ID RETENCION]],Retenciones!$A$1:$O$25,PROVEEDORES[[#This Row],[indicador de columna]],FALSE)</f>
        <v>0</v>
      </c>
      <c r="Y183" s="90">
        <f>+VLOOKUP(PROVEEDORES[[#This Row],[ID RETENCION]],Retenciones!$A$1:$O$25,2,FALSE)</f>
        <v>0</v>
      </c>
      <c r="Z183" s="116" t="b">
        <f>OR(COUNTIF(PROVEEDORES[[#This Row],[PROVEEDOR]],"*"&amp;'Palabra no opera'!$A$2&amp;"*"))</f>
        <v>0</v>
      </c>
      <c r="AA183" s="24"/>
      <c r="AB183" s="24"/>
      <c r="AC183" s="24"/>
      <c r="AD183" s="24"/>
      <c r="AE183" s="24"/>
    </row>
    <row r="184" spans="1:31" ht="22.35" customHeight="1" x14ac:dyDescent="0.3">
      <c r="A184" s="61" t="str">
        <f>+IF(PROVEEDORES[[#This Row],[FECHA DE PAGO]]=PROVEEDORES[[#This Row],[FECHA DE FACTURACIÓN]],"DE CONTADO","CRÉDITO")</f>
        <v>CRÉDITO</v>
      </c>
      <c r="B184" s="38" t="str">
        <f>+IF((PROVEEDORES[[#This Row],[FECHA DE PAGO]]-PROVEEDORES[[#This Row],[FECHA DE FACTURACIÓN]])&gt;PROVEEDORES[[#This Row],[PLAZO Días]],"PAGO VENCIDO")</f>
        <v>PAGO VENCIDO</v>
      </c>
      <c r="C184" s="20">
        <f>+VLOOKUP(PROVEEDORES[[#This Row],[PROVEEDOR]],TERCEROS_INFO[#All],2,FALSE)</f>
        <v>30</v>
      </c>
      <c r="D184" s="25">
        <f>+SUMIFS(PROVEEDORES[Total],PROVEEDORES[PROVEEDOR],PROVEEDORES[[#This Row],[PROVEEDOR]],PROVEEDORES[FECHA DE PAGO],"")</f>
        <v>380979.69</v>
      </c>
      <c r="E184" s="25"/>
      <c r="F184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4" s="68">
        <v>44637</v>
      </c>
      <c r="H184" s="26" t="s">
        <v>615</v>
      </c>
      <c r="I184" s="68">
        <v>44588</v>
      </c>
      <c r="J184" s="35" t="s">
        <v>422</v>
      </c>
      <c r="K184" s="21">
        <v>7179945</v>
      </c>
      <c r="L184" s="21"/>
      <c r="M184" s="22">
        <v>1364189.55</v>
      </c>
      <c r="N184" s="23"/>
      <c r="O184" s="22">
        <v>0</v>
      </c>
      <c r="P184" s="74">
        <f>+IF(PROVEEDORES[[#This Row],[SUBTOTAL]]&lt;PROVEEDORES[[#This Row],[base retencion]],0,PROVEEDORES[[#This Row],[retención aplicada]])</f>
        <v>0</v>
      </c>
      <c r="Q184" s="22">
        <f>+PROVEEDORES[[#This Row],[Rete Fuente %]]*(PROVEEDORES[[#This Row],[SUBTOTAL]]-PROVEEDORES[[#This Row],[descuento sobre subtotal]])</f>
        <v>0</v>
      </c>
      <c r="R184" s="21">
        <v>8544134.5500000007</v>
      </c>
      <c r="S18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63">
        <f ca="1">IF(PROVEEDORES[[#This Row],[FECHA DE PAGO]]=0,TODAY()-PROVEEDORES[[#This Row],[FECHA DE FACTURACIÓN]]-PROVEEDORES[[#This Row],[PLAZO Días]],0)</f>
        <v>0</v>
      </c>
      <c r="U184" s="87">
        <f>+VLOOKUP(PROVEEDORES[[#This Row],[PROVEEDOR]],Terceros!$A:$D,4,FALSE)</f>
        <v>0</v>
      </c>
      <c r="V184" s="88">
        <f>+YEAR(PROVEEDORES[[#This Row],[FECHA DE FACTURACIÓN]])</f>
        <v>2022</v>
      </c>
      <c r="W184" s="88">
        <f>+MATCH(PROVEEDORES[[#This Row],[año facturado]],Retenciones!$1:$1,0)</f>
        <v>5</v>
      </c>
      <c r="X184" s="89">
        <f>+VLOOKUP(PROVEEDORES[[#This Row],[ID RETENCION]],Retenciones!$A$1:$O$25,PROVEEDORES[[#This Row],[indicador de columna]],FALSE)</f>
        <v>0</v>
      </c>
      <c r="Y184" s="90">
        <f>+VLOOKUP(PROVEEDORES[[#This Row],[ID RETENCION]],Retenciones!$A$1:$O$25,2,FALSE)</f>
        <v>0</v>
      </c>
      <c r="Z184" s="116" t="b">
        <f>OR(COUNTIF(PROVEEDORES[[#This Row],[PROVEEDOR]],"*"&amp;'Palabra no opera'!$A$2&amp;"*"))</f>
        <v>1</v>
      </c>
      <c r="AA184" s="24"/>
      <c r="AB184" s="24"/>
      <c r="AC184" s="24"/>
      <c r="AD184" s="24"/>
      <c r="AE184" s="24"/>
    </row>
    <row r="185" spans="1:31" ht="22.35" customHeight="1" x14ac:dyDescent="0.3">
      <c r="A185" s="61" t="str">
        <f>+IF(PROVEEDORES[[#This Row],[FECHA DE PAGO]]=PROVEEDORES[[#This Row],[FECHA DE FACTURACIÓN]],"DE CONTADO","CRÉDITO")</f>
        <v>CRÉDITO</v>
      </c>
      <c r="B185" s="38" t="str">
        <f>+IF((PROVEEDORES[[#This Row],[FECHA DE PAGO]]-PROVEEDORES[[#This Row],[FECHA DE FACTURACIÓN]])&gt;PROVEEDORES[[#This Row],[PLAZO Días]],"PAGO VENCIDO")</f>
        <v>PAGO VENCIDO</v>
      </c>
      <c r="C185" s="20">
        <f>+VLOOKUP(PROVEEDORES[[#This Row],[PROVEEDOR]],TERCEROS_INFO[#All],2,FALSE)</f>
        <v>45</v>
      </c>
      <c r="D185" s="25">
        <f>+SUMIFS(PROVEEDORES[Total],PROVEEDORES[PROVEEDOR],PROVEEDORES[[#This Row],[PROVEEDOR]],PROVEEDORES[FECHA DE PAGO],"")</f>
        <v>15770594</v>
      </c>
      <c r="E185" s="25"/>
      <c r="F185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5" s="68">
        <v>44637</v>
      </c>
      <c r="H185" s="26" t="s">
        <v>19</v>
      </c>
      <c r="I185" s="68">
        <v>44588</v>
      </c>
      <c r="J185" s="35" t="s">
        <v>465</v>
      </c>
      <c r="K185" s="21">
        <v>11068800</v>
      </c>
      <c r="L185" s="21"/>
      <c r="M185" s="22">
        <f>(PROVEEDORES[[#This Row],[SUBTOTAL]]-PROVEEDORES[[#This Row],[descuento sobre subtotal]])*VLOOKUP(PROVEEDORES[[#This Row],[PROVEEDOR]],TERCEROS_INFO[#All],3,FALSE)</f>
        <v>2103072</v>
      </c>
      <c r="N185" s="23"/>
      <c r="O185" s="22">
        <f>+PROVEEDORES[[#This Row],[Descuento sobre subtotal %]]*(PROVEEDORES[[#This Row],[SUBTOTAL]]-PROVEEDORES[[#This Row],[descuento sobre subtotal]])</f>
        <v>0</v>
      </c>
      <c r="P185" s="74">
        <f>+IF(PROVEEDORES[[#This Row],[SUBTOTAL]]&lt;PROVEEDORES[[#This Row],[base retencion]],0,PROVEEDORES[[#This Row],[retención aplicada]])</f>
        <v>0</v>
      </c>
      <c r="Q185" s="22">
        <f>+PROVEEDORES[[#This Row],[Rete Fuente %]]*(PROVEEDORES[[#This Row],[SUBTOTAL]]-PROVEEDORES[[#This Row],[descuento sobre subtotal]])</f>
        <v>0</v>
      </c>
      <c r="R185" s="21">
        <v>13171872</v>
      </c>
      <c r="S18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63">
        <f ca="1">IF(PROVEEDORES[[#This Row],[FECHA DE PAGO]]=0,TODAY()-PROVEEDORES[[#This Row],[FECHA DE FACTURACIÓN]]-PROVEEDORES[[#This Row],[PLAZO Días]],0)</f>
        <v>0</v>
      </c>
      <c r="U185" s="87">
        <f>+VLOOKUP(PROVEEDORES[[#This Row],[PROVEEDOR]],Terceros!$A:$D,4,FALSE)</f>
        <v>0</v>
      </c>
      <c r="V185" s="88">
        <f>+YEAR(PROVEEDORES[[#This Row],[FECHA DE FACTURACIÓN]])</f>
        <v>2022</v>
      </c>
      <c r="W185" s="88">
        <f>+MATCH(PROVEEDORES[[#This Row],[año facturado]],Retenciones!$1:$1,0)</f>
        <v>5</v>
      </c>
      <c r="X185" s="89">
        <f>+VLOOKUP(PROVEEDORES[[#This Row],[ID RETENCION]],Retenciones!$A$1:$O$25,PROVEEDORES[[#This Row],[indicador de columna]],FALSE)</f>
        <v>0</v>
      </c>
      <c r="Y185" s="90">
        <f>+VLOOKUP(PROVEEDORES[[#This Row],[ID RETENCION]],Retenciones!$A$1:$O$25,2,FALSE)</f>
        <v>0</v>
      </c>
      <c r="Z185" s="116" t="b">
        <f>OR(COUNTIF(PROVEEDORES[[#This Row],[PROVEEDOR]],"*"&amp;'Palabra no opera'!$A$2&amp;"*"))</f>
        <v>0</v>
      </c>
      <c r="AA185" s="24"/>
      <c r="AB185" s="24"/>
      <c r="AC185" s="24"/>
      <c r="AD185" s="24"/>
      <c r="AE185" s="24"/>
    </row>
    <row r="186" spans="1:31" ht="22.35" customHeight="1" x14ac:dyDescent="0.3">
      <c r="A186" s="61" t="str">
        <f>+IF(PROVEEDORES[[#This Row],[FECHA DE PAGO]]=PROVEEDORES[[#This Row],[FECHA DE FACTURACIÓN]],"DE CONTADO","CRÉDITO")</f>
        <v>CRÉDITO</v>
      </c>
      <c r="B186" s="38" t="str">
        <f>+IF((PROVEEDORES[[#This Row],[FECHA DE PAGO]]-PROVEEDORES[[#This Row],[FECHA DE FACTURACIÓN]])&gt;PROVEEDORES[[#This Row],[PLAZO Días]],"PAGO VENCIDO")</f>
        <v>PAGO VENCIDO</v>
      </c>
      <c r="C186" s="20">
        <f>+VLOOKUP(PROVEEDORES[[#This Row],[PROVEEDOR]],TERCEROS_INFO[#All],2,FALSE)</f>
        <v>60</v>
      </c>
      <c r="D186" s="25">
        <f>+SUMIFS(PROVEEDORES[Total],PROVEEDORES[PROVEEDOR],PROVEEDORES[[#This Row],[PROVEEDOR]],PROVEEDORES[FECHA DE PAGO],"")</f>
        <v>0</v>
      </c>
      <c r="E186" s="25"/>
      <c r="F186" s="56">
        <f>+VLOOKUP(PROVEEDORES[[#This Row],[PROVEEDOR]],
                       Terceros!$A:$F,
                       5,
                       FALSE)</f>
        <v>0</v>
      </c>
      <c r="G186" s="68">
        <v>44638</v>
      </c>
      <c r="H186" s="26" t="s">
        <v>951</v>
      </c>
      <c r="I186" s="68">
        <v>44550</v>
      </c>
      <c r="J186" s="35" t="s">
        <v>444</v>
      </c>
      <c r="K186" s="21">
        <v>6258400</v>
      </c>
      <c r="L186" s="21"/>
      <c r="M186" s="22">
        <v>1189096</v>
      </c>
      <c r="N186" s="23"/>
      <c r="O186" s="22">
        <v>0</v>
      </c>
      <c r="P186" s="74">
        <f>+IF(PROVEEDORES[[#This Row],[SUBTOTAL]]&lt;PROVEEDORES[[#This Row],[base retencion]],0,PROVEEDORES[[#This Row],[retención aplicada]])</f>
        <v>0</v>
      </c>
      <c r="Q186" s="22">
        <f>+PROVEEDORES[[#This Row],[Rete Fuente %]]*(PROVEEDORES[[#This Row],[SUBTOTAL]]-PROVEEDORES[[#This Row],[descuento sobre subtotal]])</f>
        <v>0</v>
      </c>
      <c r="R186" s="21">
        <v>7291036</v>
      </c>
      <c r="S18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63">
        <f ca="1">IF(PROVEEDORES[[#This Row],[FECHA DE PAGO]]=0,TODAY()-PROVEEDORES[[#This Row],[FECHA DE FACTURACIÓN]]-PROVEEDORES[[#This Row],[PLAZO Días]],0)</f>
        <v>0</v>
      </c>
      <c r="U186" s="87">
        <f>+VLOOKUP(PROVEEDORES[[#This Row],[PROVEEDOR]],Terceros!$A:$D,4,FALSE)</f>
        <v>0</v>
      </c>
      <c r="V186" s="88">
        <f>+YEAR(PROVEEDORES[[#This Row],[FECHA DE FACTURACIÓN]])</f>
        <v>2021</v>
      </c>
      <c r="W186" s="88">
        <f>+MATCH(PROVEEDORES[[#This Row],[año facturado]],Retenciones!$1:$1,0)</f>
        <v>4</v>
      </c>
      <c r="X186" s="89">
        <f>+VLOOKUP(PROVEEDORES[[#This Row],[ID RETENCION]],Retenciones!$A$1:$O$25,PROVEEDORES[[#This Row],[indicador de columna]],FALSE)</f>
        <v>0</v>
      </c>
      <c r="Y186" s="90">
        <f>+VLOOKUP(PROVEEDORES[[#This Row],[ID RETENCION]],Retenciones!$A$1:$O$25,2,FALSE)</f>
        <v>0</v>
      </c>
      <c r="Z186" s="116" t="b">
        <f>OR(COUNTIF(PROVEEDORES[[#This Row],[PROVEEDOR]],"*"&amp;'Palabra no opera'!$A$2&amp;"*"))</f>
        <v>1</v>
      </c>
      <c r="AA186" s="24"/>
      <c r="AB186" s="24"/>
      <c r="AC186" s="24"/>
      <c r="AD186" s="24"/>
      <c r="AE186" s="24"/>
    </row>
    <row r="187" spans="1:31" ht="22.35" customHeight="1" x14ac:dyDescent="0.3">
      <c r="A187" s="61" t="str">
        <f>+IF(PROVEEDORES[[#This Row],[FECHA DE PAGO]]=PROVEEDORES[[#This Row],[FECHA DE FACTURACIÓN]],"DE CONTADO","CRÉDITO")</f>
        <v>CRÉDITO</v>
      </c>
      <c r="B187" s="38" t="b">
        <f>+IF((PROVEEDORES[[#This Row],[FECHA DE PAGO]]-PROVEEDORES[[#This Row],[FECHA DE FACTURACIÓN]])&gt;PROVEEDORES[[#This Row],[PLAZO Días]],"PAGO VENCIDO")</f>
        <v>0</v>
      </c>
      <c r="C187" s="20">
        <f>+VLOOKUP(PROVEEDORES[[#This Row],[PROVEEDOR]],TERCEROS_INFO[#All],2,FALSE)</f>
        <v>30</v>
      </c>
      <c r="D187" s="25">
        <f>+SUMIFS(PROVEEDORES[Total],PROVEEDORES[PROVEEDOR],PROVEEDORES[[#This Row],[PROVEEDOR]],PROVEEDORES[FECHA DE PAGO],"")</f>
        <v>0</v>
      </c>
      <c r="E187" s="25"/>
      <c r="F187" s="56" t="str">
        <f>+VLOOKUP(PROVEEDORES[[#This Row],[PROVEEDOR]],
                       Terceros!$A:$F,
                       5,
                       FALSE)</f>
        <v>PSE</v>
      </c>
      <c r="G187" s="68">
        <v>44638</v>
      </c>
      <c r="H187" s="26" t="s">
        <v>645</v>
      </c>
      <c r="I187" s="68">
        <v>44621</v>
      </c>
      <c r="J187" s="35"/>
      <c r="K187" s="21">
        <v>326243</v>
      </c>
      <c r="L187" s="21"/>
      <c r="M187" s="22">
        <f>(PROVEEDORES[[#This Row],[SUBTOTAL]]-PROVEEDORES[[#This Row],[descuento sobre subtotal]])*VLOOKUP(PROVEEDORES[[#This Row],[PROVEEDOR]],TERCEROS_INFO[#All],3,FALSE)</f>
        <v>0</v>
      </c>
      <c r="N187" s="23"/>
      <c r="O187" s="22">
        <f>+PROVEEDORES[[#This Row],[Descuento sobre subtotal %]]*(PROVEEDORES[[#This Row],[SUBTOTAL]]-PROVEEDORES[[#This Row],[descuento sobre subtotal]])</f>
        <v>0</v>
      </c>
      <c r="P187" s="74">
        <f>+IF(PROVEEDORES[[#This Row],[SUBTOTAL]]&lt;PROVEEDORES[[#This Row],[base retencion]],0,PROVEEDORES[[#This Row],[retención aplicada]])</f>
        <v>0</v>
      </c>
      <c r="Q187" s="22">
        <f>+PROVEEDORES[[#This Row],[Rete Fuente %]]*(PROVEEDORES[[#This Row],[SUBTOTAL]]-PROVEEDORES[[#This Row],[descuento sobre subtotal]])</f>
        <v>0</v>
      </c>
      <c r="R187" s="21">
        <v>326243</v>
      </c>
      <c r="S18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63">
        <f ca="1">IF(PROVEEDORES[[#This Row],[FECHA DE PAGO]]=0,TODAY()-PROVEEDORES[[#This Row],[FECHA DE FACTURACIÓN]]-PROVEEDORES[[#This Row],[PLAZO Días]],0)</f>
        <v>0</v>
      </c>
      <c r="U187" s="87">
        <f>+VLOOKUP(PROVEEDORES[[#This Row],[PROVEEDOR]],Terceros!$A:$D,4,FALSE)</f>
        <v>0</v>
      </c>
      <c r="V187" s="88">
        <f>+YEAR(PROVEEDORES[[#This Row],[FECHA DE FACTURACIÓN]])</f>
        <v>2022</v>
      </c>
      <c r="W187" s="88">
        <f>+MATCH(PROVEEDORES[[#This Row],[año facturado]],Retenciones!$1:$1,0)</f>
        <v>5</v>
      </c>
      <c r="X187" s="89">
        <f>+VLOOKUP(PROVEEDORES[[#This Row],[ID RETENCION]],Retenciones!$A$1:$O$25,PROVEEDORES[[#This Row],[indicador de columna]],FALSE)</f>
        <v>0</v>
      </c>
      <c r="Y187" s="90">
        <f>+VLOOKUP(PROVEEDORES[[#This Row],[ID RETENCION]],Retenciones!$A$1:$O$25,2,FALSE)</f>
        <v>0</v>
      </c>
      <c r="Z187" s="116" t="b">
        <f>OR(COUNTIF(PROVEEDORES[[#This Row],[PROVEEDOR]],"*"&amp;'Palabra no opera'!$A$2&amp;"*"))</f>
        <v>1</v>
      </c>
      <c r="AA187" s="24"/>
      <c r="AB187" s="24"/>
      <c r="AC187" s="24"/>
      <c r="AD187" s="24"/>
      <c r="AE187" s="24"/>
    </row>
    <row r="188" spans="1:31" ht="22.35" customHeight="1" x14ac:dyDescent="0.3">
      <c r="A188" s="61" t="str">
        <f>+IF(PROVEEDORES[[#This Row],[FECHA DE PAGO]]=PROVEEDORES[[#This Row],[FECHA DE FACTURACIÓN]],"DE CONTADO","CRÉDITO")</f>
        <v>CRÉDITO</v>
      </c>
      <c r="B188" s="38" t="str">
        <f>+IF((PROVEEDORES[[#This Row],[FECHA DE PAGO]]-PROVEEDORES[[#This Row],[FECHA DE FACTURACIÓN]])&gt;PROVEEDORES[[#This Row],[PLAZO Días]],"PAGO VENCIDO")</f>
        <v>PAGO VENCIDO</v>
      </c>
      <c r="C188" s="20">
        <f>+VLOOKUP(PROVEEDORES[[#This Row],[PROVEEDOR]],TERCEROS_INFO[#All],2,FALSE)</f>
        <v>30</v>
      </c>
      <c r="D188" s="25">
        <f>+SUMIFS(PROVEEDORES[Total],PROVEEDORES[PROVEEDOR],PROVEEDORES[[#This Row],[PROVEEDOR]],PROVEEDORES[FECHA DE PAGO],"")</f>
        <v>1316890.8900000001</v>
      </c>
      <c r="E188" s="25"/>
      <c r="F18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8" s="68">
        <v>44642</v>
      </c>
      <c r="H188" s="26" t="s">
        <v>17</v>
      </c>
      <c r="I188" s="68">
        <v>44610</v>
      </c>
      <c r="J188" s="35">
        <v>1878591</v>
      </c>
      <c r="K188" s="21">
        <v>1415605.8</v>
      </c>
      <c r="L188" s="21"/>
      <c r="M188" s="22">
        <f>(PROVEEDORES[[#This Row],[SUBTOTAL]]-PROVEEDORES[[#This Row],[descuento sobre subtotal]])*VLOOKUP(PROVEEDORES[[#This Row],[PROVEEDOR]],TERCEROS_INFO[#All],3,FALSE)</f>
        <v>268965.10200000001</v>
      </c>
      <c r="N188" s="23"/>
      <c r="O188" s="22">
        <f>+PROVEEDORES[[#This Row],[Descuento sobre subtotal %]]*(PROVEEDORES[[#This Row],[SUBTOTAL]]-PROVEEDORES[[#This Row],[descuento sobre subtotal]])</f>
        <v>0</v>
      </c>
      <c r="P188" s="74">
        <f>+IF(PROVEEDORES[[#This Row],[SUBTOTAL]]&lt;PROVEEDORES[[#This Row],[base retencion]],0,PROVEEDORES[[#This Row],[retención aplicada]])</f>
        <v>0</v>
      </c>
      <c r="Q188" s="22">
        <f>+PROVEEDORES[[#This Row],[Rete Fuente %]]*(PROVEEDORES[[#This Row],[SUBTOTAL]]-PROVEEDORES[[#This Row],[descuento sobre subtotal]])</f>
        <v>0</v>
      </c>
      <c r="R188" s="21">
        <v>1415605.8</v>
      </c>
      <c r="S18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63">
        <f ca="1">IF(PROVEEDORES[[#This Row],[FECHA DE PAGO]]=0,TODAY()-PROVEEDORES[[#This Row],[FECHA DE FACTURACIÓN]]-PROVEEDORES[[#This Row],[PLAZO Días]],0)</f>
        <v>0</v>
      </c>
      <c r="U188" s="87">
        <f>+VLOOKUP(PROVEEDORES[[#This Row],[PROVEEDOR]],Terceros!$A:$D,4,FALSE)</f>
        <v>0</v>
      </c>
      <c r="V188" s="88">
        <f>+YEAR(PROVEEDORES[[#This Row],[FECHA DE FACTURACIÓN]])</f>
        <v>2022</v>
      </c>
      <c r="W188" s="88">
        <f>+MATCH(PROVEEDORES[[#This Row],[año facturado]],Retenciones!$1:$1,0)</f>
        <v>5</v>
      </c>
      <c r="X188" s="89">
        <f>+VLOOKUP(PROVEEDORES[[#This Row],[ID RETENCION]],Retenciones!$A$1:$O$25,PROVEEDORES[[#This Row],[indicador de columna]],FALSE)</f>
        <v>0</v>
      </c>
      <c r="Y188" s="90">
        <f>+VLOOKUP(PROVEEDORES[[#This Row],[ID RETENCION]],Retenciones!$A$1:$O$25,2,FALSE)</f>
        <v>0</v>
      </c>
      <c r="Z188" s="116" t="b">
        <f>OR(COUNTIF(PROVEEDORES[[#This Row],[PROVEEDOR]],"*"&amp;'Palabra no opera'!$A$2&amp;"*"))</f>
        <v>0</v>
      </c>
      <c r="AA188" s="24"/>
      <c r="AB188" s="24"/>
      <c r="AC188" s="24"/>
      <c r="AD188" s="24"/>
      <c r="AE188" s="24"/>
    </row>
    <row r="189" spans="1:31" ht="22.35" customHeight="1" x14ac:dyDescent="0.3">
      <c r="A189" s="61" t="str">
        <f>+IF(PROVEEDORES[[#This Row],[FECHA DE PAGO]]=PROVEEDORES[[#This Row],[FECHA DE FACTURACIÓN]],"DE CONTADO","CRÉDITO")</f>
        <v>CRÉDITO</v>
      </c>
      <c r="B189" s="38" t="str">
        <f>+IF((PROVEEDORES[[#This Row],[FECHA DE PAGO]]-PROVEEDORES[[#This Row],[FECHA DE FACTURACIÓN]])&gt;PROVEEDORES[[#This Row],[PLAZO Días]],"PAGO VENCIDO")</f>
        <v>PAGO VENCIDO</v>
      </c>
      <c r="C189" s="20">
        <f>+VLOOKUP(PROVEEDORES[[#This Row],[PROVEEDOR]],TERCEROS_INFO[#All],2,FALSE)</f>
        <v>30</v>
      </c>
      <c r="D189" s="25">
        <f>+SUMIFS(PROVEEDORES[Total],PROVEEDORES[PROVEEDOR],PROVEEDORES[[#This Row],[PROVEEDOR]],PROVEEDORES[FECHA DE PAGO],"")</f>
        <v>0</v>
      </c>
      <c r="E189" s="25"/>
      <c r="F189" s="56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89" s="68">
        <v>44642</v>
      </c>
      <c r="H189" s="26" t="s">
        <v>49</v>
      </c>
      <c r="I189" s="68">
        <v>44610</v>
      </c>
      <c r="J189" s="35">
        <v>6049</v>
      </c>
      <c r="K189" s="21">
        <v>840336</v>
      </c>
      <c r="L189" s="21"/>
      <c r="M189" s="22">
        <v>159663.84</v>
      </c>
      <c r="N189" s="23"/>
      <c r="O189" s="22">
        <v>0</v>
      </c>
      <c r="P189" s="74">
        <f>+IF(PROVEEDORES[[#This Row],[SUBTOTAL]]&lt;PROVEEDORES[[#This Row],[base retencion]],0,PROVEEDORES[[#This Row],[retención aplicada]])</f>
        <v>0</v>
      </c>
      <c r="Q189" s="22">
        <f>+PROVEEDORES[[#This Row],[Rete Fuente %]]*(PROVEEDORES[[#This Row],[SUBTOTAL]]-PROVEEDORES[[#This Row],[descuento sobre subtotal]])</f>
        <v>0</v>
      </c>
      <c r="R189" s="21">
        <v>999999.84</v>
      </c>
      <c r="S18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63">
        <f ca="1">IF(PROVEEDORES[[#This Row],[FECHA DE PAGO]]=0,TODAY()-PROVEEDORES[[#This Row],[FECHA DE FACTURACIÓN]]-PROVEEDORES[[#This Row],[PLAZO Días]],0)</f>
        <v>0</v>
      </c>
      <c r="U189" s="87" t="str">
        <f>+VLOOKUP(PROVEEDORES[[#This Row],[PROVEEDOR]],Terceros!$A:$D,4,FALSE)</f>
        <v>2,5% con base</v>
      </c>
      <c r="V189" s="88">
        <f>+YEAR(PROVEEDORES[[#This Row],[FECHA DE FACTURACIÓN]])</f>
        <v>2022</v>
      </c>
      <c r="W189" s="88">
        <f>+MATCH(PROVEEDORES[[#This Row],[año facturado]],Retenciones!$1:$1,0)</f>
        <v>5</v>
      </c>
      <c r="X189" s="89">
        <f>+VLOOKUP(PROVEEDORES[[#This Row],[ID RETENCION]],Retenciones!$A$1:$O$25,PROVEEDORES[[#This Row],[indicador de columna]],FALSE)</f>
        <v>1026000</v>
      </c>
      <c r="Y189" s="90">
        <f>+VLOOKUP(PROVEEDORES[[#This Row],[ID RETENCION]],Retenciones!$A$1:$O$25,2,FALSE)</f>
        <v>2.5000000000000001E-2</v>
      </c>
      <c r="Z189" s="116" t="b">
        <f>OR(COUNTIF(PROVEEDORES[[#This Row],[PROVEEDOR]],"*"&amp;'Palabra no opera'!$A$2&amp;"*"))</f>
        <v>0</v>
      </c>
      <c r="AA189" s="24"/>
      <c r="AB189" s="24"/>
      <c r="AC189" s="24"/>
      <c r="AD189" s="24"/>
      <c r="AE189" s="24"/>
    </row>
    <row r="190" spans="1:31" ht="22.35" customHeight="1" x14ac:dyDescent="0.3">
      <c r="A190" s="61" t="str">
        <f>+IF(PROVEEDORES[[#This Row],[FECHA DE PAGO]]=PROVEEDORES[[#This Row],[FECHA DE FACTURACIÓN]],"DE CONTADO","CRÉDITO")</f>
        <v>CRÉDITO</v>
      </c>
      <c r="B190" s="38" t="str">
        <f>+IF((PROVEEDORES[[#This Row],[FECHA DE PAGO]]-PROVEEDORES[[#This Row],[FECHA DE FACTURACIÓN]])&gt;PROVEEDORES[[#This Row],[PLAZO Días]],"PAGO VENCIDO")</f>
        <v>PAGO VENCIDO</v>
      </c>
      <c r="C190" s="20">
        <f>+VLOOKUP(PROVEEDORES[[#This Row],[PROVEEDOR]],TERCEROS_INFO[#All],2,FALSE)</f>
        <v>30</v>
      </c>
      <c r="D190" s="25">
        <f>+SUMIFS(PROVEEDORES[Total],PROVEEDORES[PROVEEDOR],PROVEEDORES[[#This Row],[PROVEEDOR]],PROVEEDORES[FECHA DE PAGO],"")</f>
        <v>2100000</v>
      </c>
      <c r="E190" s="25"/>
      <c r="F190" s="56" t="str">
        <f>+VLOOKUP(PROVEEDORES[[#This Row],[PROVEEDOR]],
                       Terceros!$A:$F,
                       5,
                       FALSE)</f>
        <v/>
      </c>
      <c r="G190" s="68">
        <v>44643</v>
      </c>
      <c r="H190" s="26" t="s">
        <v>349</v>
      </c>
      <c r="I190" s="68">
        <v>44594</v>
      </c>
      <c r="J190" s="35" t="s">
        <v>350</v>
      </c>
      <c r="K190" s="21">
        <v>1778500</v>
      </c>
      <c r="L190" s="21"/>
      <c r="M190" s="22">
        <f>(PROVEEDORES[[#This Row],[SUBTOTAL]]-PROVEEDORES[[#This Row],[descuento sobre subtotal]])*VLOOKUP(PROVEEDORES[[#This Row],[PROVEEDOR]],TERCEROS_INFO[#All],3,FALSE)</f>
        <v>0</v>
      </c>
      <c r="N190" s="23"/>
      <c r="O190" s="22">
        <f>+PROVEEDORES[[#This Row],[Descuento sobre subtotal %]]*(PROVEEDORES[[#This Row],[SUBTOTAL]]-PROVEEDORES[[#This Row],[descuento sobre subtotal]])</f>
        <v>0</v>
      </c>
      <c r="P190" s="74">
        <f>+IF(PROVEEDORES[[#This Row],[SUBTOTAL]]&lt;PROVEEDORES[[#This Row],[base retencion]],0,PROVEEDORES[[#This Row],[retención aplicada]])</f>
        <v>0</v>
      </c>
      <c r="Q190" s="22">
        <f>+PROVEEDORES[[#This Row],[Rete Fuente %]]*(PROVEEDORES[[#This Row],[SUBTOTAL]]-PROVEEDORES[[#This Row],[descuento sobre subtotal]])</f>
        <v>0</v>
      </c>
      <c r="R190" s="21">
        <v>1778500</v>
      </c>
      <c r="S19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63">
        <f ca="1">IF(PROVEEDORES[[#This Row],[FECHA DE PAGO]]=0,TODAY()-PROVEEDORES[[#This Row],[FECHA DE FACTURACIÓN]]-PROVEEDORES[[#This Row],[PLAZO Días]],0)</f>
        <v>0</v>
      </c>
      <c r="U190" s="87">
        <f>+VLOOKUP(PROVEEDORES[[#This Row],[PROVEEDOR]],Terceros!$A:$D,4,FALSE)</f>
        <v>0</v>
      </c>
      <c r="V190" s="88">
        <f>+YEAR(PROVEEDORES[[#This Row],[FECHA DE FACTURACIÓN]])</f>
        <v>2022</v>
      </c>
      <c r="W190" s="88">
        <f>+MATCH(PROVEEDORES[[#This Row],[año facturado]],Retenciones!$1:$1,0)</f>
        <v>5</v>
      </c>
      <c r="X190" s="89">
        <f>+VLOOKUP(PROVEEDORES[[#This Row],[ID RETENCION]],Retenciones!$A$1:$O$25,PROVEEDORES[[#This Row],[indicador de columna]],FALSE)</f>
        <v>0</v>
      </c>
      <c r="Y190" s="90">
        <f>+VLOOKUP(PROVEEDORES[[#This Row],[ID RETENCION]],Retenciones!$A$1:$O$25,2,FALSE)</f>
        <v>0</v>
      </c>
      <c r="Z190" s="116" t="b">
        <f>OR(COUNTIF(PROVEEDORES[[#This Row],[PROVEEDOR]],"*"&amp;'Palabra no opera'!$A$2&amp;"*"))</f>
        <v>0</v>
      </c>
      <c r="AA190" s="24"/>
      <c r="AB190" s="24"/>
      <c r="AC190" s="24"/>
      <c r="AD190" s="24"/>
      <c r="AE190" s="24"/>
    </row>
    <row r="191" spans="1:31" ht="22.35" customHeight="1" x14ac:dyDescent="0.3">
      <c r="A191" s="61" t="str">
        <f>+IF(PROVEEDORES[[#This Row],[FECHA DE PAGO]]=PROVEEDORES[[#This Row],[FECHA DE FACTURACIÓN]],"DE CONTADO","CRÉDITO")</f>
        <v>CRÉDITO</v>
      </c>
      <c r="B191" s="38" t="b">
        <f>+IF((PROVEEDORES[[#This Row],[FECHA DE PAGO]]-PROVEEDORES[[#This Row],[FECHA DE FACTURACIÓN]])&gt;PROVEEDORES[[#This Row],[PLAZO Días]],"PAGO VENCIDO")</f>
        <v>0</v>
      </c>
      <c r="C191" s="20">
        <f>+VLOOKUP(PROVEEDORES[[#This Row],[PROVEEDOR]],TERCEROS_INFO[#All],2,FALSE)</f>
        <v>30</v>
      </c>
      <c r="D191" s="25">
        <f>+SUMIFS(PROVEEDORES[Total],PROVEEDORES[PROVEEDOR],PROVEEDORES[[#This Row],[PROVEEDOR]],PROVEEDORES[FECHA DE PAGO],"")</f>
        <v>0</v>
      </c>
      <c r="E191" s="25"/>
      <c r="F191" s="56" t="str">
        <f>+VLOOKUP(PROVEEDORES[[#This Row],[PROVEEDOR]],
                       Terceros!$A:$F,
                       5,
                       FALSE)</f>
        <v/>
      </c>
      <c r="G191" s="68">
        <v>44643</v>
      </c>
      <c r="H191" s="26" t="s">
        <v>356</v>
      </c>
      <c r="I191" s="68">
        <v>44642</v>
      </c>
      <c r="J191" s="35" t="s">
        <v>359</v>
      </c>
      <c r="K191" s="21">
        <v>4891000</v>
      </c>
      <c r="L191" s="21"/>
      <c r="M191" s="22">
        <f>(PROVEEDORES[[#This Row],[SUBTOTAL]]-PROVEEDORES[[#This Row],[descuento sobre subtotal]])*VLOOKUP(PROVEEDORES[[#This Row],[PROVEEDOR]],TERCEROS_INFO[#All],3,FALSE)</f>
        <v>0</v>
      </c>
      <c r="N191" s="23"/>
      <c r="O191" s="22">
        <f>+PROVEEDORES[[#This Row],[Descuento sobre subtotal %]]*(PROVEEDORES[[#This Row],[SUBTOTAL]]-PROVEEDORES[[#This Row],[descuento sobre subtotal]])</f>
        <v>0</v>
      </c>
      <c r="P191" s="74">
        <f>+IF(PROVEEDORES[[#This Row],[SUBTOTAL]]&lt;PROVEEDORES[[#This Row],[base retencion]],0,PROVEEDORES[[#This Row],[retención aplicada]])</f>
        <v>0</v>
      </c>
      <c r="Q191" s="22">
        <f>+PROVEEDORES[[#This Row],[Rete Fuente %]]*(PROVEEDORES[[#This Row],[SUBTOTAL]]-PROVEEDORES[[#This Row],[descuento sobre subtotal]])</f>
        <v>0</v>
      </c>
      <c r="R191" s="21">
        <v>4891000</v>
      </c>
      <c r="S19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63">
        <f ca="1">IF(PROVEEDORES[[#This Row],[FECHA DE PAGO]]=0,TODAY()-PROVEEDORES[[#This Row],[FECHA DE FACTURACIÓN]]-PROVEEDORES[[#This Row],[PLAZO Días]],0)</f>
        <v>0</v>
      </c>
      <c r="U191" s="87">
        <f>+VLOOKUP(PROVEEDORES[[#This Row],[PROVEEDOR]],Terceros!$A:$D,4,FALSE)</f>
        <v>0</v>
      </c>
      <c r="V191" s="88">
        <f>+YEAR(PROVEEDORES[[#This Row],[FECHA DE FACTURACIÓN]])</f>
        <v>2022</v>
      </c>
      <c r="W191" s="88">
        <f>+MATCH(PROVEEDORES[[#This Row],[año facturado]],Retenciones!$1:$1,0)</f>
        <v>5</v>
      </c>
      <c r="X191" s="89">
        <f>+VLOOKUP(PROVEEDORES[[#This Row],[ID RETENCION]],Retenciones!$A$1:$O$25,PROVEEDORES[[#This Row],[indicador de columna]],FALSE)</f>
        <v>0</v>
      </c>
      <c r="Y191" s="90">
        <f>+VLOOKUP(PROVEEDORES[[#This Row],[ID RETENCION]],Retenciones!$A$1:$O$25,2,FALSE)</f>
        <v>0</v>
      </c>
      <c r="Z191" s="116" t="b">
        <f>OR(COUNTIF(PROVEEDORES[[#This Row],[PROVEEDOR]],"*"&amp;'Palabra no opera'!$A$2&amp;"*"))</f>
        <v>0</v>
      </c>
      <c r="AA191" s="24"/>
      <c r="AB191" s="24"/>
      <c r="AC191" s="24"/>
      <c r="AD191" s="24"/>
      <c r="AE191" s="24"/>
    </row>
    <row r="192" spans="1:31" ht="22.35" customHeight="1" x14ac:dyDescent="0.3">
      <c r="A192" s="61" t="str">
        <f>+IF(PROVEEDORES[[#This Row],[FECHA DE PAGO]]=PROVEEDORES[[#This Row],[FECHA DE FACTURACIÓN]],"DE CONTADO","CRÉDITO")</f>
        <v>DE CONTADO</v>
      </c>
      <c r="B192" s="38" t="b">
        <f>+IF((PROVEEDORES[[#This Row],[FECHA DE PAGO]]-PROVEEDORES[[#This Row],[FECHA DE FACTURACIÓN]])&gt;PROVEEDORES[[#This Row],[PLAZO Días]],"PAGO VENCIDO")</f>
        <v>0</v>
      </c>
      <c r="C192" s="20">
        <f>+VLOOKUP(PROVEEDORES[[#This Row],[PROVEEDOR]],TERCEROS_INFO[#All],2,FALSE)</f>
        <v>30</v>
      </c>
      <c r="D192" s="25">
        <f>+SUMIFS(PROVEEDORES[Total],PROVEEDORES[PROVEEDOR],PROVEEDORES[[#This Row],[PROVEEDOR]],PROVEEDORES[FECHA DE PAGO],"")</f>
        <v>0</v>
      </c>
      <c r="E192" s="25"/>
      <c r="F192" s="56" t="str">
        <f>+VLOOKUP(PROVEEDORES[[#This Row],[PROVEEDOR]],
                       Terceros!$A:$F,
                       5,
                       FALSE)</f>
        <v/>
      </c>
      <c r="G192" s="68">
        <v>44643</v>
      </c>
      <c r="H192" s="26" t="s">
        <v>378</v>
      </c>
      <c r="I192" s="68">
        <v>44643</v>
      </c>
      <c r="J192" s="35" t="s">
        <v>381</v>
      </c>
      <c r="K192" s="21">
        <v>240000</v>
      </c>
      <c r="L192" s="21"/>
      <c r="M192" s="22">
        <f>(PROVEEDORES[[#This Row],[SUBTOTAL]]-PROVEEDORES[[#This Row],[descuento sobre subtotal]])*VLOOKUP(PROVEEDORES[[#This Row],[PROVEEDOR]],TERCEROS_INFO[#All],3,FALSE)</f>
        <v>0</v>
      </c>
      <c r="N192" s="23"/>
      <c r="O192" s="22">
        <f>+PROVEEDORES[[#This Row],[Descuento sobre subtotal %]]*(PROVEEDORES[[#This Row],[SUBTOTAL]]-PROVEEDORES[[#This Row],[descuento sobre subtotal]])</f>
        <v>0</v>
      </c>
      <c r="P192" s="74">
        <f>+IF(PROVEEDORES[[#This Row],[SUBTOTAL]]&lt;PROVEEDORES[[#This Row],[base retencion]],0,PROVEEDORES[[#This Row],[retención aplicada]])</f>
        <v>0</v>
      </c>
      <c r="Q192" s="22">
        <f>+PROVEEDORES[[#This Row],[Rete Fuente %]]*(PROVEEDORES[[#This Row],[SUBTOTAL]]-PROVEEDORES[[#This Row],[descuento sobre subtotal]])</f>
        <v>0</v>
      </c>
      <c r="R192" s="21">
        <v>240000</v>
      </c>
      <c r="S19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63">
        <f ca="1">IF(PROVEEDORES[[#This Row],[FECHA DE PAGO]]=0,TODAY()-PROVEEDORES[[#This Row],[FECHA DE FACTURACIÓN]]-PROVEEDORES[[#This Row],[PLAZO Días]],0)</f>
        <v>0</v>
      </c>
      <c r="U192" s="87">
        <f>+VLOOKUP(PROVEEDORES[[#This Row],[PROVEEDOR]],Terceros!$A:$D,4,FALSE)</f>
        <v>0</v>
      </c>
      <c r="V192" s="88">
        <f>+YEAR(PROVEEDORES[[#This Row],[FECHA DE FACTURACIÓN]])</f>
        <v>2022</v>
      </c>
      <c r="W192" s="88">
        <f>+MATCH(PROVEEDORES[[#This Row],[año facturado]],Retenciones!$1:$1,0)</f>
        <v>5</v>
      </c>
      <c r="X192" s="89">
        <f>+VLOOKUP(PROVEEDORES[[#This Row],[ID RETENCION]],Retenciones!$A$1:$O$25,PROVEEDORES[[#This Row],[indicador de columna]],FALSE)</f>
        <v>0</v>
      </c>
      <c r="Y192" s="90">
        <f>+VLOOKUP(PROVEEDORES[[#This Row],[ID RETENCION]],Retenciones!$A$1:$O$25,2,FALSE)</f>
        <v>0</v>
      </c>
      <c r="Z192" s="116" t="b">
        <f>OR(COUNTIF(PROVEEDORES[[#This Row],[PROVEEDOR]],"*"&amp;'Palabra no opera'!$A$2&amp;"*"))</f>
        <v>0</v>
      </c>
      <c r="AA192" s="24"/>
      <c r="AB192" s="24"/>
      <c r="AC192" s="24"/>
      <c r="AD192" s="24"/>
      <c r="AE192" s="24"/>
    </row>
    <row r="193" spans="1:31" ht="22.35" customHeight="1" x14ac:dyDescent="0.3">
      <c r="A193" s="61" t="str">
        <f>+IF(PROVEEDORES[[#This Row],[FECHA DE PAGO]]=PROVEEDORES[[#This Row],[FECHA DE FACTURACIÓN]],"DE CONTADO","CRÉDITO")</f>
        <v>CRÉDITO</v>
      </c>
      <c r="B193" s="38" t="b">
        <f>+IF((PROVEEDORES[[#This Row],[FECHA DE PAGO]]-PROVEEDORES[[#This Row],[FECHA DE FACTURACIÓN]])&gt;PROVEEDORES[[#This Row],[PLAZO Días]],"PAGO VENCIDO")</f>
        <v>0</v>
      </c>
      <c r="C193" s="20">
        <f>+VLOOKUP(PROVEEDORES[[#This Row],[PROVEEDOR]],TERCEROS_INFO[#All],2,FALSE)</f>
        <v>30</v>
      </c>
      <c r="D193" s="25">
        <f>+SUMIFS(PROVEEDORES[Total],PROVEEDORES[PROVEEDOR],PROVEEDORES[[#This Row],[PROVEEDOR]],PROVEEDORES[FECHA DE PAGO],"")</f>
        <v>0</v>
      </c>
      <c r="E193" s="25"/>
      <c r="F193" s="56" t="str">
        <f>+VLOOKUP(PROVEEDORES[[#This Row],[PROVEEDOR]],
                       Terceros!$A:$F,
                       5,
                       FALSE)</f>
        <v/>
      </c>
      <c r="G193" s="68">
        <v>44643</v>
      </c>
      <c r="H193" s="26" t="s">
        <v>55</v>
      </c>
      <c r="I193" s="68">
        <v>44641</v>
      </c>
      <c r="J193" s="35">
        <v>56143</v>
      </c>
      <c r="K193" s="21">
        <v>10531000</v>
      </c>
      <c r="L193" s="21"/>
      <c r="M193" s="22">
        <f>(PROVEEDORES[[#This Row],[SUBTOTAL]]-PROVEEDORES[[#This Row],[descuento sobre subtotal]])*VLOOKUP(PROVEEDORES[[#This Row],[PROVEEDOR]],TERCEROS_INFO[#All],3,FALSE)</f>
        <v>0</v>
      </c>
      <c r="N193" s="23"/>
      <c r="O193" s="22">
        <f>+PROVEEDORES[[#This Row],[Descuento sobre subtotal %]]*(PROVEEDORES[[#This Row],[SUBTOTAL]]-PROVEEDORES[[#This Row],[descuento sobre subtotal]])</f>
        <v>0</v>
      </c>
      <c r="P193" s="74">
        <f>+IF(PROVEEDORES[[#This Row],[SUBTOTAL]]&lt;PROVEEDORES[[#This Row],[base retencion]],0,PROVEEDORES[[#This Row],[retención aplicada]])</f>
        <v>0</v>
      </c>
      <c r="Q193" s="22">
        <f>+PROVEEDORES[[#This Row],[Rete Fuente %]]*(PROVEEDORES[[#This Row],[SUBTOTAL]]-PROVEEDORES[[#This Row],[descuento sobre subtotal]])</f>
        <v>0</v>
      </c>
      <c r="R193" s="21">
        <v>10531000</v>
      </c>
      <c r="S19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63">
        <f ca="1">IF(PROVEEDORES[[#This Row],[FECHA DE PAGO]]=0,TODAY()-PROVEEDORES[[#This Row],[FECHA DE FACTURACIÓN]]-PROVEEDORES[[#This Row],[PLAZO Días]],0)</f>
        <v>0</v>
      </c>
      <c r="U193" s="87">
        <f>+VLOOKUP(PROVEEDORES[[#This Row],[PROVEEDOR]],Terceros!$A:$D,4,FALSE)</f>
        <v>0</v>
      </c>
      <c r="V193" s="88">
        <f>+YEAR(PROVEEDORES[[#This Row],[FECHA DE FACTURACIÓN]])</f>
        <v>2022</v>
      </c>
      <c r="W193" s="88">
        <f>+MATCH(PROVEEDORES[[#This Row],[año facturado]],Retenciones!$1:$1,0)</f>
        <v>5</v>
      </c>
      <c r="X193" s="89">
        <f>+VLOOKUP(PROVEEDORES[[#This Row],[ID RETENCION]],Retenciones!$A$1:$O$25,PROVEEDORES[[#This Row],[indicador de columna]],FALSE)</f>
        <v>0</v>
      </c>
      <c r="Y193" s="90">
        <f>+VLOOKUP(PROVEEDORES[[#This Row],[ID RETENCION]],Retenciones!$A$1:$O$25,2,FALSE)</f>
        <v>0</v>
      </c>
      <c r="Z193" s="116" t="b">
        <f>OR(COUNTIF(PROVEEDORES[[#This Row],[PROVEEDOR]],"*"&amp;'Palabra no opera'!$A$2&amp;"*"))</f>
        <v>0</v>
      </c>
      <c r="AA193" s="24"/>
      <c r="AB193" s="24"/>
      <c r="AC193" s="24"/>
      <c r="AD193" s="24"/>
      <c r="AE193" s="24"/>
    </row>
    <row r="194" spans="1:31" ht="22.35" customHeight="1" x14ac:dyDescent="0.3">
      <c r="A194" s="61" t="str">
        <f>+IF(PROVEEDORES[[#This Row],[FECHA DE PAGO]]=PROVEEDORES[[#This Row],[FECHA DE FACTURACIÓN]],"DE CONTADO","CRÉDITO")</f>
        <v>CRÉDITO</v>
      </c>
      <c r="B194" s="38" t="b">
        <f>+IF((PROVEEDORES[[#This Row],[FECHA DE PAGO]]-PROVEEDORES[[#This Row],[FECHA DE FACTURACIÓN]])&gt;PROVEEDORES[[#This Row],[PLAZO Días]],"PAGO VENCIDO")</f>
        <v>0</v>
      </c>
      <c r="C194" s="20">
        <f>+VLOOKUP(PROVEEDORES[[#This Row],[PROVEEDOR]],TERCEROS_INFO[#All],2,FALSE)</f>
        <v>30</v>
      </c>
      <c r="D194" s="25">
        <f>+SUMIFS(PROVEEDORES[Total],PROVEEDORES[PROVEEDOR],PROVEEDORES[[#This Row],[PROVEEDOR]],PROVEEDORES[FECHA DE PAGO],"")</f>
        <v>229206</v>
      </c>
      <c r="E194" s="25"/>
      <c r="F194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94" s="68">
        <v>44643</v>
      </c>
      <c r="H194" s="26" t="s">
        <v>95</v>
      </c>
      <c r="I194" s="68">
        <v>44641</v>
      </c>
      <c r="J194" s="35" t="s">
        <v>658</v>
      </c>
      <c r="K194" s="21">
        <v>1793000</v>
      </c>
      <c r="L194" s="21"/>
      <c r="M194" s="22">
        <f>(PROVEEDORES[[#This Row],[SUBTOTAL]]-PROVEEDORES[[#This Row],[descuento sobre subtotal]])*VLOOKUP(PROVEEDORES[[#This Row],[PROVEEDOR]],TERCEROS_INFO[#All],3,FALSE)</f>
        <v>0</v>
      </c>
      <c r="N194" s="23"/>
      <c r="O194" s="22">
        <f>+PROVEEDORES[[#This Row],[Descuento sobre subtotal %]]*(PROVEEDORES[[#This Row],[SUBTOTAL]]-PROVEEDORES[[#This Row],[descuento sobre subtotal]])</f>
        <v>0</v>
      </c>
      <c r="P194" s="74">
        <f>+IF(PROVEEDORES[[#This Row],[SUBTOTAL]]&lt;PROVEEDORES[[#This Row],[base retencion]],0,PROVEEDORES[[#This Row],[retención aplicada]])</f>
        <v>0</v>
      </c>
      <c r="Q194" s="22">
        <f>+PROVEEDORES[[#This Row],[Rete Fuente %]]*(PROVEEDORES[[#This Row],[SUBTOTAL]]-PROVEEDORES[[#This Row],[descuento sobre subtotal]])</f>
        <v>0</v>
      </c>
      <c r="R194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9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63">
        <f ca="1">IF(PROVEEDORES[[#This Row],[FECHA DE PAGO]]=0,TODAY()-PROVEEDORES[[#This Row],[FECHA DE FACTURACIÓN]]-PROVEEDORES[[#This Row],[PLAZO Días]],0)</f>
        <v>0</v>
      </c>
      <c r="U194" s="87">
        <f>+VLOOKUP(PROVEEDORES[[#This Row],[PROVEEDOR]],Terceros!$A:$D,4,FALSE)</f>
        <v>0</v>
      </c>
      <c r="V194" s="88">
        <f>+YEAR(PROVEEDORES[[#This Row],[FECHA DE FACTURACIÓN]])</f>
        <v>2022</v>
      </c>
      <c r="W194" s="88">
        <f>+MATCH(PROVEEDORES[[#This Row],[año facturado]],Retenciones!$1:$1,0)</f>
        <v>5</v>
      </c>
      <c r="X194" s="89">
        <f>+VLOOKUP(PROVEEDORES[[#This Row],[ID RETENCION]],Retenciones!$A$1:$O$25,PROVEEDORES[[#This Row],[indicador de columna]],FALSE)</f>
        <v>0</v>
      </c>
      <c r="Y194" s="90">
        <f>+VLOOKUP(PROVEEDORES[[#This Row],[ID RETENCION]],Retenciones!$A$1:$O$25,2,FALSE)</f>
        <v>0</v>
      </c>
      <c r="Z194" s="116" t="b">
        <f>OR(COUNTIF(PROVEEDORES[[#This Row],[PROVEEDOR]],"*"&amp;'Palabra no opera'!$A$2&amp;"*"))</f>
        <v>0</v>
      </c>
      <c r="AA194" s="24"/>
      <c r="AB194" s="24"/>
      <c r="AC194" s="24"/>
      <c r="AD194" s="24"/>
      <c r="AE194" s="24"/>
    </row>
    <row r="195" spans="1:31" ht="22.35" customHeight="1" x14ac:dyDescent="0.3">
      <c r="A195" s="61" t="str">
        <f>+IF(PROVEEDORES[[#This Row],[FECHA DE PAGO]]=PROVEEDORES[[#This Row],[FECHA DE FACTURACIÓN]],"DE CONTADO","CRÉDITO")</f>
        <v>CRÉDITO</v>
      </c>
      <c r="B195" s="38" t="str">
        <f>+IF((PROVEEDORES[[#This Row],[FECHA DE PAGO]]-PROVEEDORES[[#This Row],[FECHA DE FACTURACIÓN]])&gt;PROVEEDORES[[#This Row],[PLAZO Días]],"PAGO VENCIDO")</f>
        <v>PAGO VENCIDO</v>
      </c>
      <c r="C195" s="20">
        <f>+VLOOKUP(PROVEEDORES[[#This Row],[PROVEEDOR]],TERCEROS_INFO[#All],2,FALSE)</f>
        <v>30</v>
      </c>
      <c r="D195" s="25">
        <f>+SUMIFS(PROVEEDORES[Total],PROVEEDORES[PROVEEDOR],PROVEEDORES[[#This Row],[PROVEEDOR]],PROVEEDORES[FECHA DE PAGO],"")</f>
        <v>22881826.27</v>
      </c>
      <c r="E195" s="25"/>
      <c r="F195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5" s="68">
        <v>44643</v>
      </c>
      <c r="H195" s="26" t="s">
        <v>9</v>
      </c>
      <c r="I195" s="68">
        <v>44539</v>
      </c>
      <c r="J195" s="35">
        <v>73279</v>
      </c>
      <c r="K195" s="21">
        <v>25587085</v>
      </c>
      <c r="L195" s="21"/>
      <c r="M195" s="22">
        <f>(PROVEEDORES[[#This Row],[SUBTOTAL]]-PROVEEDORES[[#This Row],[descuento sobre subtotal]])*VLOOKUP(PROVEEDORES[[#This Row],[PROVEEDOR]],TERCEROS_INFO[#All],3,FALSE)</f>
        <v>4861546.1500000004</v>
      </c>
      <c r="N195" s="23"/>
      <c r="O195" s="22">
        <f>+PROVEEDORES[[#This Row],[Descuento sobre subtotal %]]*(PROVEEDORES[[#This Row],[SUBTOTAL]]-PROVEEDORES[[#This Row],[descuento sobre subtotal]])</f>
        <v>0</v>
      </c>
      <c r="P195" s="74">
        <f>+IF(PROVEEDORES[[#This Row],[SUBTOTAL]]&lt;PROVEEDORES[[#This Row],[base retencion]],0,PROVEEDORES[[#This Row],[retención aplicada]])</f>
        <v>2.5000000000000001E-2</v>
      </c>
      <c r="Q195" s="22">
        <f>+PROVEEDORES[[#This Row],[Rete Fuente %]]*(PROVEEDORES[[#This Row],[SUBTOTAL]]-PROVEEDORES[[#This Row],[descuento sobre subtotal]])</f>
        <v>639677.125</v>
      </c>
      <c r="R195" s="21">
        <v>29808954.024999999</v>
      </c>
      <c r="S19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63">
        <f ca="1">IF(PROVEEDORES[[#This Row],[FECHA DE PAGO]]=0,TODAY()-PROVEEDORES[[#This Row],[FECHA DE FACTURACIÓN]]-PROVEEDORES[[#This Row],[PLAZO Días]],0)</f>
        <v>0</v>
      </c>
      <c r="U195" s="87" t="str">
        <f>+VLOOKUP(PROVEEDORES[[#This Row],[PROVEEDOR]],Terceros!$A:$D,4,FALSE)</f>
        <v>2,5% con base</v>
      </c>
      <c r="V195" s="88">
        <f>+YEAR(PROVEEDORES[[#This Row],[FECHA DE FACTURACIÓN]])</f>
        <v>2021</v>
      </c>
      <c r="W195" s="88">
        <f>+MATCH(PROVEEDORES[[#This Row],[año facturado]],Retenciones!$1:$1,0)</f>
        <v>4</v>
      </c>
      <c r="X195" s="89">
        <f>+VLOOKUP(PROVEEDORES[[#This Row],[ID RETENCION]],Retenciones!$A$1:$O$25,PROVEEDORES[[#This Row],[indicador de columna]],FALSE)</f>
        <v>980000</v>
      </c>
      <c r="Y195" s="90">
        <f>+VLOOKUP(PROVEEDORES[[#This Row],[ID RETENCION]],Retenciones!$A$1:$O$25,2,FALSE)</f>
        <v>2.5000000000000001E-2</v>
      </c>
      <c r="Z195" s="116" t="b">
        <f>OR(COUNTIF(PROVEEDORES[[#This Row],[PROVEEDOR]],"*"&amp;'Palabra no opera'!$A$2&amp;"*"))</f>
        <v>0</v>
      </c>
      <c r="AA195" s="24"/>
      <c r="AB195" s="24"/>
      <c r="AC195" s="24"/>
      <c r="AD195" s="24"/>
      <c r="AE195" s="24"/>
    </row>
    <row r="196" spans="1:31" ht="22.35" customHeight="1" x14ac:dyDescent="0.3">
      <c r="A196" s="61" t="str">
        <f>+IF(PROVEEDORES[[#This Row],[FECHA DE PAGO]]=PROVEEDORES[[#This Row],[FECHA DE FACTURACIÓN]],"DE CONTADO","CRÉDITO")</f>
        <v>CRÉDITO</v>
      </c>
      <c r="B196" s="38" t="str">
        <f>+IF((PROVEEDORES[[#This Row],[FECHA DE PAGO]]-PROVEEDORES[[#This Row],[FECHA DE FACTURACIÓN]])&gt;PROVEEDORES[[#This Row],[PLAZO Días]],"PAGO VENCIDO")</f>
        <v>PAGO VENCIDO</v>
      </c>
      <c r="C196" s="20">
        <f>+VLOOKUP(PROVEEDORES[[#This Row],[PROVEEDOR]],TERCEROS_INFO[#All],2,FALSE)</f>
        <v>30</v>
      </c>
      <c r="D196" s="25">
        <f>+SUMIFS(PROVEEDORES[Total],PROVEEDORES[PROVEEDOR],PROVEEDORES[[#This Row],[PROVEEDOR]],PROVEEDORES[FECHA DE PAGO],"")</f>
        <v>22881826.27</v>
      </c>
      <c r="E196" s="25"/>
      <c r="F196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6" s="68">
        <v>44643</v>
      </c>
      <c r="H196" s="26" t="s">
        <v>9</v>
      </c>
      <c r="I196" s="68">
        <v>44609</v>
      </c>
      <c r="J196" s="35" t="s">
        <v>475</v>
      </c>
      <c r="K196" s="21">
        <v>0</v>
      </c>
      <c r="L196" s="21"/>
      <c r="M196" s="22">
        <f>(PROVEEDORES[[#This Row],[SUBTOTAL]]-PROVEEDORES[[#This Row],[descuento sobre subtotal]])*VLOOKUP(PROVEEDORES[[#This Row],[PROVEEDOR]],TERCEROS_INFO[#All],3,FALSE)</f>
        <v>0</v>
      </c>
      <c r="N196" s="23"/>
      <c r="O196" s="22">
        <f>+PROVEEDORES[[#This Row],[Descuento sobre subtotal %]]*(PROVEEDORES[[#This Row],[SUBTOTAL]]-PROVEEDORES[[#This Row],[descuento sobre subtotal]])</f>
        <v>0</v>
      </c>
      <c r="P196" s="74">
        <f>+IF(PROVEEDORES[[#This Row],[SUBTOTAL]]&lt;PROVEEDORES[[#This Row],[base retencion]],0,PROVEEDORES[[#This Row],[retención aplicada]])</f>
        <v>0</v>
      </c>
      <c r="Q196" s="22">
        <f>+PROVEEDORES[[#This Row],[Rete Fuente %]]*(PROVEEDORES[[#This Row],[SUBTOTAL]]-PROVEEDORES[[#This Row],[descuento sobre subtotal]])</f>
        <v>0</v>
      </c>
      <c r="R196" s="21">
        <v>-5000000</v>
      </c>
      <c r="S19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63">
        <f ca="1">IF(PROVEEDORES[[#This Row],[FECHA DE PAGO]]=0,TODAY()-PROVEEDORES[[#This Row],[FECHA DE FACTURACIÓN]]-PROVEEDORES[[#This Row],[PLAZO Días]],0)</f>
        <v>0</v>
      </c>
      <c r="U196" s="87" t="str">
        <f>+VLOOKUP(PROVEEDORES[[#This Row],[PROVEEDOR]],Terceros!$A:$D,4,FALSE)</f>
        <v>2,5% con base</v>
      </c>
      <c r="V196" s="88">
        <f>+YEAR(PROVEEDORES[[#This Row],[FECHA DE FACTURACIÓN]])</f>
        <v>2022</v>
      </c>
      <c r="W196" s="88">
        <f>+MATCH(PROVEEDORES[[#This Row],[año facturado]],Retenciones!$1:$1,0)</f>
        <v>5</v>
      </c>
      <c r="X196" s="89">
        <f>+VLOOKUP(PROVEEDORES[[#This Row],[ID RETENCION]],Retenciones!$A$1:$O$25,PROVEEDORES[[#This Row],[indicador de columna]],FALSE)</f>
        <v>1026000</v>
      </c>
      <c r="Y196" s="90">
        <f>+VLOOKUP(PROVEEDORES[[#This Row],[ID RETENCION]],Retenciones!$A$1:$O$25,2,FALSE)</f>
        <v>2.5000000000000001E-2</v>
      </c>
      <c r="Z196" s="116" t="b">
        <f>OR(COUNTIF(PROVEEDORES[[#This Row],[PROVEEDOR]],"*"&amp;'Palabra no opera'!$A$2&amp;"*"))</f>
        <v>0</v>
      </c>
      <c r="AA196" s="24"/>
      <c r="AB196" s="24"/>
      <c r="AC196" s="24"/>
      <c r="AD196" s="24"/>
      <c r="AE196" s="24"/>
    </row>
    <row r="197" spans="1:31" ht="22.35" customHeight="1" x14ac:dyDescent="0.3">
      <c r="A197" s="61" t="str">
        <f>+IF(PROVEEDORES[[#This Row],[FECHA DE PAGO]]=PROVEEDORES[[#This Row],[FECHA DE FACTURACIÓN]],"DE CONTADO","CRÉDITO")</f>
        <v>CRÉDITO</v>
      </c>
      <c r="B197" s="38" t="b">
        <f>+IF((PROVEEDORES[[#This Row],[FECHA DE PAGO]]-PROVEEDORES[[#This Row],[FECHA DE FACTURACIÓN]])&gt;PROVEEDORES[[#This Row],[PLAZO Días]],"PAGO VENCIDO")</f>
        <v>0</v>
      </c>
      <c r="C197" s="20">
        <f>+VLOOKUP(PROVEEDORES[[#This Row],[PROVEEDOR]],TERCEROS_INFO[#All],2,FALSE)</f>
        <v>30</v>
      </c>
      <c r="D197" s="25">
        <f>+SUMIFS(PROVEEDORES[Total],PROVEEDORES[PROVEEDOR],PROVEEDORES[[#This Row],[PROVEEDOR]],PROVEEDORES[FECHA DE PAGO],"")</f>
        <v>0</v>
      </c>
      <c r="E197" s="25"/>
      <c r="F197" s="56" t="str">
        <f>+VLOOKUP(PROVEEDORES[[#This Row],[PROVEEDOR]],
                       Terceros!$A:$F,
                       5,
                       FALSE)</f>
        <v/>
      </c>
      <c r="G197" s="68">
        <v>44644</v>
      </c>
      <c r="H197" s="26" t="s">
        <v>356</v>
      </c>
      <c r="I197" s="68">
        <v>44643</v>
      </c>
      <c r="J197" s="35" t="s">
        <v>1011</v>
      </c>
      <c r="K197" s="21">
        <v>425600</v>
      </c>
      <c r="L197" s="21"/>
      <c r="M197" s="22">
        <f>(PROVEEDORES[[#This Row],[SUBTOTAL]]-PROVEEDORES[[#This Row],[descuento sobre subtotal]])*VLOOKUP(PROVEEDORES[[#This Row],[PROVEEDOR]],TERCEROS_INFO[#All],3,FALSE)</f>
        <v>0</v>
      </c>
      <c r="N197" s="23"/>
      <c r="O197" s="22">
        <f>+PROVEEDORES[[#This Row],[Descuento sobre subtotal %]]*(PROVEEDORES[[#This Row],[SUBTOTAL]]-PROVEEDORES[[#This Row],[descuento sobre subtotal]])</f>
        <v>0</v>
      </c>
      <c r="P197" s="74">
        <f>+IF(PROVEEDORES[[#This Row],[SUBTOTAL]]&lt;PROVEEDORES[[#This Row],[base retencion]],0,PROVEEDORES[[#This Row],[retención aplicada]])</f>
        <v>0</v>
      </c>
      <c r="Q197" s="22">
        <f>+PROVEEDORES[[#This Row],[Rete Fuente %]]*(PROVEEDORES[[#This Row],[SUBTOTAL]]-PROVEEDORES[[#This Row],[descuento sobre subtotal]])</f>
        <v>0</v>
      </c>
      <c r="R197" s="21">
        <v>425600</v>
      </c>
      <c r="S19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63">
        <f ca="1">IF(PROVEEDORES[[#This Row],[FECHA DE PAGO]]=0,TODAY()-PROVEEDORES[[#This Row],[FECHA DE FACTURACIÓN]]-PROVEEDORES[[#This Row],[PLAZO Días]],0)</f>
        <v>0</v>
      </c>
      <c r="U197" s="87">
        <f>+VLOOKUP(PROVEEDORES[[#This Row],[PROVEEDOR]],Terceros!$A:$D,4,FALSE)</f>
        <v>0</v>
      </c>
      <c r="V197" s="88">
        <f>+YEAR(PROVEEDORES[[#This Row],[FECHA DE FACTURACIÓN]])</f>
        <v>2022</v>
      </c>
      <c r="W197" s="88">
        <f>+MATCH(PROVEEDORES[[#This Row],[año facturado]],Retenciones!$1:$1,0)</f>
        <v>5</v>
      </c>
      <c r="X197" s="89">
        <f>+VLOOKUP(PROVEEDORES[[#This Row],[ID RETENCION]],Retenciones!$A$1:$O$25,PROVEEDORES[[#This Row],[indicador de columna]],FALSE)</f>
        <v>0</v>
      </c>
      <c r="Y197" s="90">
        <f>+VLOOKUP(PROVEEDORES[[#This Row],[ID RETENCION]],Retenciones!$A$1:$O$25,2,FALSE)</f>
        <v>0</v>
      </c>
      <c r="Z197" s="116" t="b">
        <f>OR(COUNTIF(PROVEEDORES[[#This Row],[PROVEEDOR]],"*"&amp;'Palabra no opera'!$A$2&amp;"*"))</f>
        <v>0</v>
      </c>
      <c r="AA197" s="24"/>
      <c r="AB197" s="24"/>
      <c r="AC197" s="24"/>
      <c r="AD197" s="24"/>
      <c r="AE197" s="24"/>
    </row>
    <row r="198" spans="1:31" ht="22.35" customHeight="1" x14ac:dyDescent="0.3">
      <c r="A198" s="61" t="str">
        <f>+IF(PROVEEDORES[[#This Row],[FECHA DE PAGO]]=PROVEEDORES[[#This Row],[FECHA DE FACTURACIÓN]],"DE CONTADO","CRÉDITO")</f>
        <v>DE CONTADO</v>
      </c>
      <c r="B198" s="38" t="b">
        <f>+IF((PROVEEDORES[[#This Row],[FECHA DE PAGO]]-PROVEEDORES[[#This Row],[FECHA DE FACTURACIÓN]])&gt;PROVEEDORES[[#This Row],[PLAZO Días]],"PAGO VENCIDO")</f>
        <v>0</v>
      </c>
      <c r="C198" s="20">
        <f>+VLOOKUP(PROVEEDORES[[#This Row],[PROVEEDOR]],TERCEROS_INFO[#All],2,FALSE)</f>
        <v>30</v>
      </c>
      <c r="D198" s="25">
        <f>+SUMIFS(PROVEEDORES[Total],PROVEEDORES[PROVEEDOR],PROVEEDORES[[#This Row],[PROVEEDOR]],PROVEEDORES[FECHA DE PAGO],"")</f>
        <v>0</v>
      </c>
      <c r="E198" s="25"/>
      <c r="F198" s="56">
        <f>+VLOOKUP(PROVEEDORES[[#This Row],[PROVEEDOR]],
                       Terceros!$A:$F,
                       5,
                       FALSE)</f>
        <v>0</v>
      </c>
      <c r="G198" s="68">
        <v>44644</v>
      </c>
      <c r="H198" s="26" t="s">
        <v>361</v>
      </c>
      <c r="I198" s="68">
        <v>44644</v>
      </c>
      <c r="J198" s="35">
        <v>101134</v>
      </c>
      <c r="K198" s="21">
        <v>255000</v>
      </c>
      <c r="L198" s="21"/>
      <c r="M198" s="22">
        <f>(PROVEEDORES[[#This Row],[SUBTOTAL]]-PROVEEDORES[[#This Row],[descuento sobre subtotal]])*VLOOKUP(PROVEEDORES[[#This Row],[PROVEEDOR]],TERCEROS_INFO[#All],3,FALSE)</f>
        <v>0</v>
      </c>
      <c r="N198" s="23"/>
      <c r="O198" s="22">
        <f>+PROVEEDORES[[#This Row],[Descuento sobre subtotal %]]*(PROVEEDORES[[#This Row],[SUBTOTAL]]-PROVEEDORES[[#This Row],[descuento sobre subtotal]])</f>
        <v>0</v>
      </c>
      <c r="P198" s="74">
        <f>+IF(PROVEEDORES[[#This Row],[SUBTOTAL]]&lt;PROVEEDORES[[#This Row],[base retencion]],0,PROVEEDORES[[#This Row],[retención aplicada]])</f>
        <v>0</v>
      </c>
      <c r="Q198" s="22">
        <f>+PROVEEDORES[[#This Row],[Rete Fuente %]]*(PROVEEDORES[[#This Row],[SUBTOTAL]]-PROVEEDORES[[#This Row],[descuento sobre subtotal]])</f>
        <v>0</v>
      </c>
      <c r="R198" s="21">
        <v>255000</v>
      </c>
      <c r="S19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63">
        <f ca="1">IF(PROVEEDORES[[#This Row],[FECHA DE PAGO]]=0,TODAY()-PROVEEDORES[[#This Row],[FECHA DE FACTURACIÓN]]-PROVEEDORES[[#This Row],[PLAZO Días]],0)</f>
        <v>0</v>
      </c>
      <c r="U198" s="87">
        <f>+VLOOKUP(PROVEEDORES[[#This Row],[PROVEEDOR]],Terceros!$A:$D,4,FALSE)</f>
        <v>0</v>
      </c>
      <c r="V198" s="88">
        <f>+YEAR(PROVEEDORES[[#This Row],[FECHA DE FACTURACIÓN]])</f>
        <v>2022</v>
      </c>
      <c r="W198" s="88">
        <f>+MATCH(PROVEEDORES[[#This Row],[año facturado]],Retenciones!$1:$1,0)</f>
        <v>5</v>
      </c>
      <c r="X198" s="89">
        <f>+VLOOKUP(PROVEEDORES[[#This Row],[ID RETENCION]],Retenciones!$A$1:$O$25,PROVEEDORES[[#This Row],[indicador de columna]],FALSE)</f>
        <v>0</v>
      </c>
      <c r="Y198" s="90">
        <f>+VLOOKUP(PROVEEDORES[[#This Row],[ID RETENCION]],Retenciones!$A$1:$O$25,2,FALSE)</f>
        <v>0</v>
      </c>
      <c r="Z198" s="116" t="b">
        <f>OR(COUNTIF(PROVEEDORES[[#This Row],[PROVEEDOR]],"*"&amp;'Palabra no opera'!$A$2&amp;"*"))</f>
        <v>0</v>
      </c>
      <c r="AA198" s="24"/>
      <c r="AB198" s="24"/>
      <c r="AC198" s="24"/>
      <c r="AD198" s="24"/>
      <c r="AE198" s="24"/>
    </row>
    <row r="199" spans="1:31" ht="22.35" customHeight="1" x14ac:dyDescent="0.3">
      <c r="A199" s="61" t="str">
        <f>+IF(PROVEEDORES[[#This Row],[FECHA DE PAGO]]=PROVEEDORES[[#This Row],[FECHA DE FACTURACIÓN]],"DE CONTADO","CRÉDITO")</f>
        <v>CRÉDITO</v>
      </c>
      <c r="B199" s="38" t="str">
        <f>+IF((PROVEEDORES[[#This Row],[FECHA DE PAGO]]-PROVEEDORES[[#This Row],[FECHA DE FACTURACIÓN]])&gt;PROVEEDORES[[#This Row],[PLAZO Días]],"PAGO VENCIDO")</f>
        <v>PAGO VENCIDO</v>
      </c>
      <c r="C199" s="20">
        <f>+VLOOKUP(PROVEEDORES[[#This Row],[PROVEEDOR]],TERCEROS_INFO[#All],2,FALSE)</f>
        <v>30</v>
      </c>
      <c r="D199" s="25">
        <f>+SUMIFS(PROVEEDORES[Total],PROVEEDORES[PROVEEDOR],PROVEEDORES[[#This Row],[PROVEEDOR]],PROVEEDORES[FECHA DE PAGO],"")</f>
        <v>0</v>
      </c>
      <c r="E199" s="25"/>
      <c r="F199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99" s="68">
        <v>44644</v>
      </c>
      <c r="H199" s="26" t="s">
        <v>47</v>
      </c>
      <c r="I199" s="68">
        <v>44592</v>
      </c>
      <c r="J199" s="35" t="s">
        <v>448</v>
      </c>
      <c r="K199" s="21">
        <v>1609330</v>
      </c>
      <c r="L199" s="21"/>
      <c r="M199" s="22">
        <f>(PROVEEDORES[[#This Row],[SUBTOTAL]]-PROVEEDORES[[#This Row],[descuento sobre subtotal]])*VLOOKUP(PROVEEDORES[[#This Row],[PROVEEDOR]],TERCEROS_INFO[#All],3,FALSE)</f>
        <v>305772.7</v>
      </c>
      <c r="N199" s="23"/>
      <c r="O199" s="22">
        <f>+PROVEEDORES[[#This Row],[Descuento sobre subtotal %]]*(PROVEEDORES[[#This Row],[SUBTOTAL]]-PROVEEDORES[[#This Row],[descuento sobre subtotal]])</f>
        <v>0</v>
      </c>
      <c r="P199" s="74">
        <f>+IF(PROVEEDORES[[#This Row],[SUBTOTAL]]&lt;PROVEEDORES[[#This Row],[base retencion]],0,PROVEEDORES[[#This Row],[retención aplicada]])</f>
        <v>2.5000000000000001E-2</v>
      </c>
      <c r="Q199" s="22">
        <f>+PROVEEDORES[[#This Row],[Rete Fuente %]]*(PROVEEDORES[[#This Row],[SUBTOTAL]]-PROVEEDORES[[#This Row],[descuento sobre subtotal]])</f>
        <v>40233.25</v>
      </c>
      <c r="R199" s="21">
        <v>1874869.45</v>
      </c>
      <c r="S19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63">
        <f ca="1">IF(PROVEEDORES[[#This Row],[FECHA DE PAGO]]=0,TODAY()-PROVEEDORES[[#This Row],[FECHA DE FACTURACIÓN]]-PROVEEDORES[[#This Row],[PLAZO Días]],0)</f>
        <v>0</v>
      </c>
      <c r="U199" s="87" t="str">
        <f>+VLOOKUP(PROVEEDORES[[#This Row],[PROVEEDOR]],Terceros!$A:$D,4,FALSE)</f>
        <v>2,5% con base</v>
      </c>
      <c r="V199" s="88">
        <f>+YEAR(PROVEEDORES[[#This Row],[FECHA DE FACTURACIÓN]])</f>
        <v>2022</v>
      </c>
      <c r="W199" s="88">
        <f>+MATCH(PROVEEDORES[[#This Row],[año facturado]],Retenciones!$1:$1,0)</f>
        <v>5</v>
      </c>
      <c r="X199" s="89">
        <f>+VLOOKUP(PROVEEDORES[[#This Row],[ID RETENCION]],Retenciones!$A$1:$O$25,PROVEEDORES[[#This Row],[indicador de columna]],FALSE)</f>
        <v>1026000</v>
      </c>
      <c r="Y199" s="90">
        <f>+VLOOKUP(PROVEEDORES[[#This Row],[ID RETENCION]],Retenciones!$A$1:$O$25,2,FALSE)</f>
        <v>2.5000000000000001E-2</v>
      </c>
      <c r="Z199" s="116" t="b">
        <f>OR(COUNTIF(PROVEEDORES[[#This Row],[PROVEEDOR]],"*"&amp;'Palabra no opera'!$A$2&amp;"*"))</f>
        <v>0</v>
      </c>
      <c r="AA199" s="24"/>
      <c r="AB199" s="24"/>
      <c r="AC199" s="24"/>
      <c r="AD199" s="24"/>
      <c r="AE199" s="24"/>
    </row>
    <row r="200" spans="1:31" ht="22.35" customHeight="1" x14ac:dyDescent="0.3">
      <c r="A200" s="61" t="str">
        <f>+IF(PROVEEDORES[[#This Row],[FECHA DE PAGO]]=PROVEEDORES[[#This Row],[FECHA DE FACTURACIÓN]],"DE CONTADO","CRÉDITO")</f>
        <v>CRÉDITO</v>
      </c>
      <c r="B200" s="38" t="str">
        <f>+IF((PROVEEDORES[[#This Row],[FECHA DE PAGO]]-PROVEEDORES[[#This Row],[FECHA DE FACTURACIÓN]])&gt;PROVEEDORES[[#This Row],[PLAZO Días]],"PAGO VENCIDO")</f>
        <v>PAGO VENCIDO</v>
      </c>
      <c r="C200" s="20">
        <f>+VLOOKUP(PROVEEDORES[[#This Row],[PROVEEDOR]],TERCEROS_INFO[#All],2,FALSE)</f>
        <v>30</v>
      </c>
      <c r="D200" s="25">
        <f>+SUMIFS(PROVEEDORES[Total],PROVEEDORES[PROVEEDOR],PROVEEDORES[[#This Row],[PROVEEDOR]],PROVEEDORES[FECHA DE PAGO],"")</f>
        <v>3209330.35</v>
      </c>
      <c r="E200" s="25"/>
      <c r="F200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00" s="68">
        <v>44648</v>
      </c>
      <c r="H200" s="26" t="s">
        <v>282</v>
      </c>
      <c r="I200" s="68">
        <v>44574</v>
      </c>
      <c r="J200" s="35">
        <v>635</v>
      </c>
      <c r="K200" s="21">
        <v>3807563.02</v>
      </c>
      <c r="L200" s="21"/>
      <c r="M200" s="22">
        <v>723436.97380000004</v>
      </c>
      <c r="N200" s="23"/>
      <c r="O200" s="22">
        <v>0</v>
      </c>
      <c r="P200" s="74">
        <f>+IF(PROVEEDORES[[#This Row],[SUBTOTAL]]&lt;PROVEEDORES[[#This Row],[base retencion]],0,PROVEEDORES[[#This Row],[retención aplicada]])</f>
        <v>2.5000000000000001E-2</v>
      </c>
      <c r="Q200" s="22">
        <f>+PROVEEDORES[[#This Row],[Rete Fuente %]]*(PROVEEDORES[[#This Row],[SUBTOTAL]]-PROVEEDORES[[#This Row],[descuento sobre subtotal]])</f>
        <v>95189.075500000006</v>
      </c>
      <c r="R200" s="21">
        <v>4435810.9183</v>
      </c>
      <c r="S20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63">
        <f ca="1">IF(PROVEEDORES[[#This Row],[FECHA DE PAGO]]=0,TODAY()-PROVEEDORES[[#This Row],[FECHA DE FACTURACIÓN]]-PROVEEDORES[[#This Row],[PLAZO Días]],0)</f>
        <v>0</v>
      </c>
      <c r="U200" s="87" t="str">
        <f>+VLOOKUP(PROVEEDORES[[#This Row],[PROVEEDOR]],Terceros!$A:$D,4,FALSE)</f>
        <v>2,5% con base</v>
      </c>
      <c r="V200" s="88">
        <f>+YEAR(PROVEEDORES[[#This Row],[FECHA DE FACTURACIÓN]])</f>
        <v>2022</v>
      </c>
      <c r="W200" s="88">
        <f>+MATCH(PROVEEDORES[[#This Row],[año facturado]],Retenciones!$1:$1,0)</f>
        <v>5</v>
      </c>
      <c r="X200" s="89">
        <f>+VLOOKUP(PROVEEDORES[[#This Row],[ID RETENCION]],Retenciones!$A$1:$O$25,PROVEEDORES[[#This Row],[indicador de columna]],FALSE)</f>
        <v>1026000</v>
      </c>
      <c r="Y200" s="90">
        <f>+VLOOKUP(PROVEEDORES[[#This Row],[ID RETENCION]],Retenciones!$A$1:$O$25,2,FALSE)</f>
        <v>2.5000000000000001E-2</v>
      </c>
      <c r="Z200" s="116" t="b">
        <f>OR(COUNTIF(PROVEEDORES[[#This Row],[PROVEEDOR]],"*"&amp;'Palabra no opera'!$A$2&amp;"*"))</f>
        <v>0</v>
      </c>
      <c r="AA200" s="24"/>
      <c r="AB200" s="24"/>
      <c r="AC200" s="24"/>
      <c r="AD200" s="24"/>
      <c r="AE200" s="24"/>
    </row>
    <row r="201" spans="1:31" ht="22.35" customHeight="1" x14ac:dyDescent="0.3">
      <c r="A201" s="61" t="str">
        <f>+IF(PROVEEDORES[[#This Row],[FECHA DE PAGO]]=PROVEEDORES[[#This Row],[FECHA DE FACTURACIÓN]],"DE CONTADO","CRÉDITO")</f>
        <v>CRÉDITO</v>
      </c>
      <c r="B201" s="38" t="b">
        <f>+IF((PROVEEDORES[[#This Row],[FECHA DE PAGO]]-PROVEEDORES[[#This Row],[FECHA DE FACTURACIÓN]])&gt;PROVEEDORES[[#This Row],[PLAZO Días]],"PAGO VENCIDO")</f>
        <v>0</v>
      </c>
      <c r="C201" s="20">
        <f>+VLOOKUP(PROVEEDORES[[#This Row],[PROVEEDOR]],TERCEROS_INFO[#All],2,FALSE)</f>
        <v>30</v>
      </c>
      <c r="D201" s="25">
        <f>+SUMIFS(PROVEEDORES[Total],PROVEEDORES[PROVEEDOR],PROVEEDORES[[#This Row],[PROVEEDOR]],PROVEEDORES[FECHA DE PAGO],"")</f>
        <v>3209330.35</v>
      </c>
      <c r="E201" s="25"/>
      <c r="F201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01" s="68">
        <v>44648</v>
      </c>
      <c r="H201" s="26" t="s">
        <v>282</v>
      </c>
      <c r="I201" s="68">
        <v>44635</v>
      </c>
      <c r="J201" s="35" t="s">
        <v>423</v>
      </c>
      <c r="K201" s="21">
        <v>-37815.129999999997</v>
      </c>
      <c r="L201" s="21"/>
      <c r="M201" s="22">
        <v>-7184.8746999999994</v>
      </c>
      <c r="N201" s="23"/>
      <c r="O201" s="22">
        <v>0</v>
      </c>
      <c r="P201" s="74">
        <f>+IF(PROVEEDORES[[#This Row],[SUBTOTAL]]&lt;PROVEEDORES[[#This Row],[base retencion]],0,PROVEEDORES[[#This Row],[retención aplicada]])</f>
        <v>0</v>
      </c>
      <c r="Q201" s="22">
        <f>+PROVEEDORES[[#This Row],[Rete Fuente %]]*(PROVEEDORES[[#This Row],[SUBTOTAL]]-PROVEEDORES[[#This Row],[descuento sobre subtotal]])</f>
        <v>0</v>
      </c>
      <c r="R201" s="21">
        <v>-44054.626449999996</v>
      </c>
      <c r="S20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63">
        <f ca="1">IF(PROVEEDORES[[#This Row],[FECHA DE PAGO]]=0,TODAY()-PROVEEDORES[[#This Row],[FECHA DE FACTURACIÓN]]-PROVEEDORES[[#This Row],[PLAZO Días]],0)</f>
        <v>0</v>
      </c>
      <c r="U201" s="87" t="str">
        <f>+VLOOKUP(PROVEEDORES[[#This Row],[PROVEEDOR]],Terceros!$A:$D,4,FALSE)</f>
        <v>2,5% con base</v>
      </c>
      <c r="V201" s="88">
        <f>+YEAR(PROVEEDORES[[#This Row],[FECHA DE FACTURACIÓN]])</f>
        <v>2022</v>
      </c>
      <c r="W201" s="88">
        <f>+MATCH(PROVEEDORES[[#This Row],[año facturado]],Retenciones!$1:$1,0)</f>
        <v>5</v>
      </c>
      <c r="X201" s="89">
        <f>+VLOOKUP(PROVEEDORES[[#This Row],[ID RETENCION]],Retenciones!$A$1:$O$25,PROVEEDORES[[#This Row],[indicador de columna]],FALSE)</f>
        <v>1026000</v>
      </c>
      <c r="Y201" s="90">
        <f>+VLOOKUP(PROVEEDORES[[#This Row],[ID RETENCION]],Retenciones!$A$1:$O$25,2,FALSE)</f>
        <v>2.5000000000000001E-2</v>
      </c>
      <c r="Z201" s="116" t="b">
        <f>OR(COUNTIF(PROVEEDORES[[#This Row],[PROVEEDOR]],"*"&amp;'Palabra no opera'!$A$2&amp;"*"))</f>
        <v>0</v>
      </c>
      <c r="AA201" s="24"/>
      <c r="AB201" s="24"/>
      <c r="AC201" s="24"/>
      <c r="AD201" s="24"/>
      <c r="AE201" s="24"/>
    </row>
    <row r="202" spans="1:31" ht="22.35" customHeight="1" x14ac:dyDescent="0.3">
      <c r="A202" s="61" t="str">
        <f>+IF(PROVEEDORES[[#This Row],[FECHA DE PAGO]]=PROVEEDORES[[#This Row],[FECHA DE FACTURACIÓN]],"DE CONTADO","CRÉDITO")</f>
        <v>CRÉDITO</v>
      </c>
      <c r="B202" s="38" t="str">
        <f>+IF((PROVEEDORES[[#This Row],[FECHA DE PAGO]]-PROVEEDORES[[#This Row],[FECHA DE FACTURACIÓN]])&gt;PROVEEDORES[[#This Row],[PLAZO Días]],"PAGO VENCIDO")</f>
        <v>PAGO VENCIDO</v>
      </c>
      <c r="C202" s="20">
        <f>+VLOOKUP(PROVEEDORES[[#This Row],[PROVEEDOR]],TERCEROS_INFO[#All],2,FALSE)</f>
        <v>30</v>
      </c>
      <c r="D202" s="25">
        <f>+SUMIFS(PROVEEDORES[Total],PROVEEDORES[PROVEEDOR],PROVEEDORES[[#This Row],[PROVEEDOR]],PROVEEDORES[FECHA DE PAGO],"")</f>
        <v>12030261.305</v>
      </c>
      <c r="E202" s="25"/>
      <c r="F202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2" s="68">
        <v>44648</v>
      </c>
      <c r="H202" s="26" t="s">
        <v>12</v>
      </c>
      <c r="I202" s="68">
        <v>44551</v>
      </c>
      <c r="J202" s="35" t="s">
        <v>308</v>
      </c>
      <c r="K202" s="21">
        <v>7573109</v>
      </c>
      <c r="L202" s="21"/>
      <c r="M202" s="22">
        <v>1438890.71</v>
      </c>
      <c r="N202" s="23"/>
      <c r="O202" s="22">
        <v>0</v>
      </c>
      <c r="P202" s="74">
        <f>+IF(PROVEEDORES[[#This Row],[SUBTOTAL]]&lt;PROVEEDORES[[#This Row],[base retencion]],0,PROVEEDORES[[#This Row],[retención aplicada]])</f>
        <v>2.5000000000000001E-2</v>
      </c>
      <c r="Q202" s="22">
        <f>+PROVEEDORES[[#This Row],[Rete Fuente %]]*(PROVEEDORES[[#This Row],[SUBTOTAL]]-PROVEEDORES[[#This Row],[descuento sobre subtotal]])</f>
        <v>189327.72500000001</v>
      </c>
      <c r="R202" s="21">
        <v>8822671.9850000013</v>
      </c>
      <c r="S20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63">
        <f ca="1">IF(PROVEEDORES[[#This Row],[FECHA DE PAGO]]=0,TODAY()-PROVEEDORES[[#This Row],[FECHA DE FACTURACIÓN]]-PROVEEDORES[[#This Row],[PLAZO Días]],0)</f>
        <v>0</v>
      </c>
      <c r="U202" s="87" t="str">
        <f>+VLOOKUP(PROVEEDORES[[#This Row],[PROVEEDOR]],Terceros!$A:$D,4,FALSE)</f>
        <v>2,5% con base</v>
      </c>
      <c r="V202" s="88">
        <f>+YEAR(PROVEEDORES[[#This Row],[FECHA DE FACTURACIÓN]])</f>
        <v>2021</v>
      </c>
      <c r="W202" s="88">
        <f>+MATCH(PROVEEDORES[[#This Row],[año facturado]],Retenciones!$1:$1,0)</f>
        <v>4</v>
      </c>
      <c r="X202" s="89">
        <f>+VLOOKUP(PROVEEDORES[[#This Row],[ID RETENCION]],Retenciones!$A$1:$O$25,PROVEEDORES[[#This Row],[indicador de columna]],FALSE)</f>
        <v>980000</v>
      </c>
      <c r="Y202" s="90">
        <f>+VLOOKUP(PROVEEDORES[[#This Row],[ID RETENCION]],Retenciones!$A$1:$O$25,2,FALSE)</f>
        <v>2.5000000000000001E-2</v>
      </c>
      <c r="Z202" s="116" t="b">
        <f>OR(COUNTIF(PROVEEDORES[[#This Row],[PROVEEDOR]],"*"&amp;'Palabra no opera'!$A$2&amp;"*"))</f>
        <v>0</v>
      </c>
      <c r="AA202" s="24"/>
      <c r="AB202" s="24"/>
      <c r="AC202" s="24"/>
      <c r="AD202" s="24"/>
      <c r="AE202" s="24"/>
    </row>
    <row r="203" spans="1:31" ht="22.35" customHeight="1" x14ac:dyDescent="0.3">
      <c r="A203" s="61" t="str">
        <f>+IF(PROVEEDORES[[#This Row],[FECHA DE PAGO]]=PROVEEDORES[[#This Row],[FECHA DE FACTURACIÓN]],"DE CONTADO","CRÉDITO")</f>
        <v>CRÉDITO</v>
      </c>
      <c r="B203" s="38" t="b">
        <f>+IF((PROVEEDORES[[#This Row],[FECHA DE PAGO]]-PROVEEDORES[[#This Row],[FECHA DE FACTURACIÓN]])&gt;PROVEEDORES[[#This Row],[PLAZO Días]],"PAGO VENCIDO")</f>
        <v>0</v>
      </c>
      <c r="C203" s="20">
        <f>+VLOOKUP(PROVEEDORES[[#This Row],[PROVEEDOR]],TERCEROS_INFO[#All],2,FALSE)</f>
        <v>30</v>
      </c>
      <c r="D203" s="25">
        <f>+SUMIFS(PROVEEDORES[Total],PROVEEDORES[PROVEEDOR],PROVEEDORES[[#This Row],[PROVEEDOR]],PROVEEDORES[FECHA DE PAGO],"")</f>
        <v>0</v>
      </c>
      <c r="E203" s="25"/>
      <c r="F203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03" s="68">
        <v>44648</v>
      </c>
      <c r="H203" s="26" t="s">
        <v>638</v>
      </c>
      <c r="I203" s="68">
        <v>44621</v>
      </c>
      <c r="J203" s="35" t="s">
        <v>438</v>
      </c>
      <c r="K203" s="21">
        <v>3958317</v>
      </c>
      <c r="L203" s="21"/>
      <c r="M203" s="22">
        <f>(PROVEEDORES[[#This Row],[SUBTOTAL]]-PROVEEDORES[[#This Row],[descuento sobre subtotal]])*VLOOKUP(PROVEEDORES[[#This Row],[PROVEEDOR]],TERCEROS_INFO[#All],3,FALSE)</f>
        <v>752080.23</v>
      </c>
      <c r="N203" s="23"/>
      <c r="O203" s="22">
        <f>+PROVEEDORES[[#This Row],[Descuento sobre subtotal %]]*(PROVEEDORES[[#This Row],[SUBTOTAL]]-PROVEEDORES[[#This Row],[descuento sobre subtotal]])</f>
        <v>0</v>
      </c>
      <c r="P203" s="74">
        <f>+IF(PROVEEDORES[[#This Row],[SUBTOTAL]]&lt;PROVEEDORES[[#This Row],[base retencion]],0,PROVEEDORES[[#This Row],[retención aplicada]])</f>
        <v>3.5000000000000003E-2</v>
      </c>
      <c r="Q203" s="22">
        <f>+PROVEEDORES[[#This Row],[Rete Fuente %]]*(PROVEEDORES[[#This Row],[SUBTOTAL]]-PROVEEDORES[[#This Row],[descuento sobre subtotal]])</f>
        <v>138541.095</v>
      </c>
      <c r="R203" s="21">
        <v>3819775.9049999998</v>
      </c>
      <c r="S20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63">
        <f ca="1">IF(PROVEEDORES[[#This Row],[FECHA DE PAGO]]=0,TODAY()-PROVEEDORES[[#This Row],[FECHA DE FACTURACIÓN]]-PROVEEDORES[[#This Row],[PLAZO Días]],0)</f>
        <v>0</v>
      </c>
      <c r="U203" s="87" t="str">
        <f>+VLOOKUP(PROVEEDORES[[#This Row],[PROVEEDOR]],Terceros!$A:$D,4,FALSE)</f>
        <v>3,5% sin base</v>
      </c>
      <c r="V203" s="88">
        <f>+YEAR(PROVEEDORES[[#This Row],[FECHA DE FACTURACIÓN]])</f>
        <v>2022</v>
      </c>
      <c r="W203" s="88">
        <f>+MATCH(PROVEEDORES[[#This Row],[año facturado]],Retenciones!$1:$1,0)</f>
        <v>5</v>
      </c>
      <c r="X203" s="89">
        <f>+VLOOKUP(PROVEEDORES[[#This Row],[ID RETENCION]],Retenciones!$A$1:$O$25,PROVEEDORES[[#This Row],[indicador de columna]],FALSE)</f>
        <v>0</v>
      </c>
      <c r="Y203" s="90">
        <f>+VLOOKUP(PROVEEDORES[[#This Row],[ID RETENCION]],Retenciones!$A$1:$O$25,2,FALSE)</f>
        <v>3.5000000000000003E-2</v>
      </c>
      <c r="Z203" s="116" t="b">
        <f>OR(COUNTIF(PROVEEDORES[[#This Row],[PROVEEDOR]],"*"&amp;'Palabra no opera'!$A$2&amp;"*"))</f>
        <v>1</v>
      </c>
      <c r="AA203" s="24"/>
      <c r="AB203" s="24"/>
      <c r="AC203" s="24"/>
      <c r="AD203" s="24"/>
      <c r="AE203" s="24"/>
    </row>
    <row r="204" spans="1:31" ht="22.35" customHeight="1" x14ac:dyDescent="0.3">
      <c r="A204" s="61" t="str">
        <f>+IF(PROVEEDORES[[#This Row],[FECHA DE PAGO]]=PROVEEDORES[[#This Row],[FECHA DE FACTURACIÓN]],"DE CONTADO","CRÉDITO")</f>
        <v>CRÉDITO</v>
      </c>
      <c r="B204" s="38" t="str">
        <f>+IF((PROVEEDORES[[#This Row],[FECHA DE PAGO]]-PROVEEDORES[[#This Row],[FECHA DE FACTURACIÓN]])&gt;PROVEEDORES[[#This Row],[PLAZO Días]],"PAGO VENCIDO")</f>
        <v>PAGO VENCIDO</v>
      </c>
      <c r="C204" s="20">
        <f>+VLOOKUP(PROVEEDORES[[#This Row],[PROVEEDOR]],TERCEROS_INFO[#All],2,FALSE)</f>
        <v>30</v>
      </c>
      <c r="D204" s="25">
        <f>+SUMIFS(PROVEEDORES[Total],PROVEEDORES[PROVEEDOR],PROVEEDORES[[#This Row],[PROVEEDOR]],PROVEEDORES[FECHA DE PAGO],"")</f>
        <v>0</v>
      </c>
      <c r="E204" s="25"/>
      <c r="F204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04" s="68">
        <v>44648</v>
      </c>
      <c r="H204" s="26" t="s">
        <v>1069</v>
      </c>
      <c r="I204" s="68">
        <v>44613</v>
      </c>
      <c r="J204" s="35" t="s">
        <v>482</v>
      </c>
      <c r="K204" s="21">
        <v>1575633.5</v>
      </c>
      <c r="L204" s="21"/>
      <c r="M204" s="22">
        <v>299370.36499999999</v>
      </c>
      <c r="N204" s="23"/>
      <c r="O204" s="22">
        <f>+PROVEEDORES[[#This Row],[Descuento sobre subtotal %]]*(PROVEEDORES[[#This Row],[SUBTOTAL]]-PROVEEDORES[[#This Row],[descuento sobre subtotal]])</f>
        <v>0</v>
      </c>
      <c r="P204" s="74">
        <f>+IF(PROVEEDORES[[#This Row],[SUBTOTAL]]&lt;PROVEEDORES[[#This Row],[base retencion]],0,PROVEEDORES[[#This Row],[retención aplicada]])</f>
        <v>2.5000000000000001E-2</v>
      </c>
      <c r="Q204" s="22">
        <f>+PROVEEDORES[[#This Row],[Rete Fuente %]]*(PROVEEDORES[[#This Row],[SUBTOTAL]]-PROVEEDORES[[#This Row],[descuento sobre subtotal]])</f>
        <v>39390.837500000001</v>
      </c>
      <c r="R204" s="21">
        <v>1835613.0275000001</v>
      </c>
      <c r="S20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63">
        <f ca="1">IF(PROVEEDORES[[#This Row],[FECHA DE PAGO]]=0,TODAY()-PROVEEDORES[[#This Row],[FECHA DE FACTURACIÓN]]-PROVEEDORES[[#This Row],[PLAZO Días]],0)</f>
        <v>0</v>
      </c>
      <c r="U204" s="87" t="str">
        <f>+VLOOKUP(PROVEEDORES[[#This Row],[PROVEEDOR]],Terceros!$A:$D,4,FALSE)</f>
        <v>2,5% con base</v>
      </c>
      <c r="V204" s="88">
        <f>+YEAR(PROVEEDORES[[#This Row],[FECHA DE FACTURACIÓN]])</f>
        <v>2022</v>
      </c>
      <c r="W204" s="88">
        <f>+MATCH(PROVEEDORES[[#This Row],[año facturado]],Retenciones!$1:$1,0)</f>
        <v>5</v>
      </c>
      <c r="X204" s="89">
        <f>+VLOOKUP(PROVEEDORES[[#This Row],[ID RETENCION]],Retenciones!$A$1:$O$25,PROVEEDORES[[#This Row],[indicador de columna]],FALSE)</f>
        <v>1026000</v>
      </c>
      <c r="Y204" s="90">
        <f>+VLOOKUP(PROVEEDORES[[#This Row],[ID RETENCION]],Retenciones!$A$1:$O$25,2,FALSE)</f>
        <v>2.5000000000000001E-2</v>
      </c>
      <c r="Z204" s="116" t="b">
        <f>OR(COUNTIF(PROVEEDORES[[#This Row],[PROVEEDOR]],"*"&amp;'Palabra no opera'!$A$2&amp;"*"))</f>
        <v>0</v>
      </c>
      <c r="AA204" s="24"/>
      <c r="AB204" s="24"/>
      <c r="AC204" s="24"/>
      <c r="AD204" s="24"/>
      <c r="AE204" s="24"/>
    </row>
    <row r="205" spans="1:31" ht="22.35" customHeight="1" x14ac:dyDescent="0.3">
      <c r="A205" s="61" t="str">
        <f>+IF(PROVEEDORES[[#This Row],[FECHA DE PAGO]]=PROVEEDORES[[#This Row],[FECHA DE FACTURACIÓN]],"DE CONTADO","CRÉDITO")</f>
        <v>CRÉDITO</v>
      </c>
      <c r="B205" s="38" t="str">
        <f>+IF((PROVEEDORES[[#This Row],[FECHA DE PAGO]]-PROVEEDORES[[#This Row],[FECHA DE FACTURACIÓN]])&gt;PROVEEDORES[[#This Row],[PLAZO Días]],"PAGO VENCIDO")</f>
        <v>PAGO VENCIDO</v>
      </c>
      <c r="C205" s="20">
        <f>+VLOOKUP(PROVEEDORES[[#This Row],[PROVEEDOR]],TERCEROS_INFO[#All],2,FALSE)</f>
        <v>30</v>
      </c>
      <c r="D205" s="25">
        <f>+SUMIFS(PROVEEDORES[Total],PROVEEDORES[PROVEEDOR],PROVEEDORES[[#This Row],[PROVEEDOR]],PROVEEDORES[FECHA DE PAGO],"")</f>
        <v>0</v>
      </c>
      <c r="E205" s="25"/>
      <c r="F205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05" s="68">
        <v>44649</v>
      </c>
      <c r="H205" s="26" t="s">
        <v>257</v>
      </c>
      <c r="I205" s="68">
        <v>44616</v>
      </c>
      <c r="J205" s="35">
        <v>26</v>
      </c>
      <c r="K205" s="21">
        <v>913000</v>
      </c>
      <c r="L205" s="21"/>
      <c r="M205" s="22">
        <f>(PROVEEDORES[[#This Row],[SUBTOTAL]]-PROVEEDORES[[#This Row],[descuento sobre subtotal]])*VLOOKUP(PROVEEDORES[[#This Row],[PROVEEDOR]],TERCEROS_INFO[#All],3,FALSE)</f>
        <v>173470</v>
      </c>
      <c r="N205" s="23"/>
      <c r="O205" s="22">
        <f>+PROVEEDORES[[#This Row],[Descuento sobre subtotal %]]*(PROVEEDORES[[#This Row],[SUBTOTAL]]-PROVEEDORES[[#This Row],[descuento sobre subtotal]])</f>
        <v>0</v>
      </c>
      <c r="P205" s="74">
        <f>+IF(PROVEEDORES[[#This Row],[SUBTOTAL]]&lt;PROVEEDORES[[#This Row],[base retencion]],0,PROVEEDORES[[#This Row],[retención aplicada]])</f>
        <v>0</v>
      </c>
      <c r="Q205" s="22">
        <f>+PROVEEDORES[[#This Row],[Rete Fuente %]]*(PROVEEDORES[[#This Row],[SUBTOTAL]]-PROVEEDORES[[#This Row],[descuento sobre subtotal]])</f>
        <v>0</v>
      </c>
      <c r="R205" s="21">
        <v>1086470</v>
      </c>
      <c r="S20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63">
        <f ca="1">IF(PROVEEDORES[[#This Row],[FECHA DE PAGO]]=0,TODAY()-PROVEEDORES[[#This Row],[FECHA DE FACTURACIÓN]]-PROVEEDORES[[#This Row],[PLAZO Días]],0)</f>
        <v>0</v>
      </c>
      <c r="U205" s="87" t="str">
        <f>+VLOOKUP(PROVEEDORES[[#This Row],[PROVEEDOR]],Terceros!$A:$D,4,FALSE)</f>
        <v>2,5% con base</v>
      </c>
      <c r="V205" s="88">
        <f>+YEAR(PROVEEDORES[[#This Row],[FECHA DE FACTURACIÓN]])</f>
        <v>2022</v>
      </c>
      <c r="W205" s="88">
        <f>+MATCH(PROVEEDORES[[#This Row],[año facturado]],Retenciones!$1:$1,0)</f>
        <v>5</v>
      </c>
      <c r="X205" s="89">
        <f>+VLOOKUP(PROVEEDORES[[#This Row],[ID RETENCION]],Retenciones!$A$1:$O$25,PROVEEDORES[[#This Row],[indicador de columna]],FALSE)</f>
        <v>1026000</v>
      </c>
      <c r="Y205" s="90">
        <f>+VLOOKUP(PROVEEDORES[[#This Row],[ID RETENCION]],Retenciones!$A$1:$O$25,2,FALSE)</f>
        <v>2.5000000000000001E-2</v>
      </c>
      <c r="Z205" s="116" t="b">
        <f>OR(COUNTIF(PROVEEDORES[[#This Row],[PROVEEDOR]],"*"&amp;'Palabra no opera'!$A$2&amp;"*"))</f>
        <v>0</v>
      </c>
      <c r="AA205" s="24"/>
      <c r="AB205" s="24"/>
      <c r="AC205" s="24"/>
      <c r="AD205" s="24"/>
      <c r="AE205" s="24"/>
    </row>
    <row r="206" spans="1:31" ht="22.35" customHeight="1" x14ac:dyDescent="0.3">
      <c r="A206" s="61" t="str">
        <f>+IF(PROVEEDORES[[#This Row],[FECHA DE PAGO]]=PROVEEDORES[[#This Row],[FECHA DE FACTURACIÓN]],"DE CONTADO","CRÉDITO")</f>
        <v>CRÉDITO</v>
      </c>
      <c r="B206" s="38" t="b">
        <f>+IF((PROVEEDORES[[#This Row],[FECHA DE PAGO]]-PROVEEDORES[[#This Row],[FECHA DE FACTURACIÓN]])&gt;PROVEEDORES[[#This Row],[PLAZO Días]],"PAGO VENCIDO")</f>
        <v>0</v>
      </c>
      <c r="C206" s="20">
        <f>+VLOOKUP(PROVEEDORES[[#This Row],[PROVEEDOR]],TERCEROS_INFO[#All],2,FALSE)</f>
        <v>30</v>
      </c>
      <c r="D206" s="25">
        <f>+SUMIFS(PROVEEDORES[Total],PROVEEDORES[PROVEEDOR],PROVEEDORES[[#This Row],[PROVEEDOR]],PROVEEDORES[FECHA DE PAGO],"")</f>
        <v>0</v>
      </c>
      <c r="E206" s="25"/>
      <c r="F206" s="56" t="str">
        <f>+VLOOKUP(PROVEEDORES[[#This Row],[PROVEEDOR]],
                       Terceros!$A:$F,
                       5,
                       FALSE)</f>
        <v/>
      </c>
      <c r="G206" s="68">
        <v>44649</v>
      </c>
      <c r="H206" s="26" t="s">
        <v>23</v>
      </c>
      <c r="I206" s="68">
        <v>44640</v>
      </c>
      <c r="J206" s="35">
        <v>289692</v>
      </c>
      <c r="K206" s="21">
        <v>17000987.710000001</v>
      </c>
      <c r="L206" s="21"/>
      <c r="M206" s="22">
        <f>(PROVEEDORES[[#This Row],[SUBTOTAL]]-PROVEEDORES[[#This Row],[descuento sobre subtotal]])*VLOOKUP(PROVEEDORES[[#This Row],[PROVEEDOR]],TERCEROS_INFO[#All],3,FALSE)</f>
        <v>0</v>
      </c>
      <c r="N206" s="23"/>
      <c r="O206" s="22">
        <f>+PROVEEDORES[[#This Row],[Descuento sobre subtotal %]]*(PROVEEDORES[[#This Row],[SUBTOTAL]]-PROVEEDORES[[#This Row],[descuento sobre subtotal]])</f>
        <v>0</v>
      </c>
      <c r="P206" s="74">
        <f>+IF(PROVEEDORES[[#This Row],[SUBTOTAL]]&lt;PROVEEDORES[[#This Row],[base retencion]],0,PROVEEDORES[[#This Row],[retención aplicada]])</f>
        <v>0</v>
      </c>
      <c r="Q206" s="22">
        <f>+PROVEEDORES[[#This Row],[Rete Fuente %]]*(PROVEEDORES[[#This Row],[SUBTOTAL]]-PROVEEDORES[[#This Row],[descuento sobre subtotal]])</f>
        <v>0</v>
      </c>
      <c r="R206" s="21">
        <v>17000987.710000001</v>
      </c>
      <c r="S20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63">
        <f ca="1">IF(PROVEEDORES[[#This Row],[FECHA DE PAGO]]=0,TODAY()-PROVEEDORES[[#This Row],[FECHA DE FACTURACIÓN]]-PROVEEDORES[[#This Row],[PLAZO Días]],0)</f>
        <v>0</v>
      </c>
      <c r="U206" s="87">
        <f>+VLOOKUP(PROVEEDORES[[#This Row],[PROVEEDOR]],Terceros!$A:$D,4,FALSE)</f>
        <v>0</v>
      </c>
      <c r="V206" s="88">
        <f>+YEAR(PROVEEDORES[[#This Row],[FECHA DE FACTURACIÓN]])</f>
        <v>2022</v>
      </c>
      <c r="W206" s="88">
        <f>+MATCH(PROVEEDORES[[#This Row],[año facturado]],Retenciones!$1:$1,0)</f>
        <v>5</v>
      </c>
      <c r="X206" s="89">
        <f>+VLOOKUP(PROVEEDORES[[#This Row],[ID RETENCION]],Retenciones!$A$1:$O$25,PROVEEDORES[[#This Row],[indicador de columna]],FALSE)</f>
        <v>0</v>
      </c>
      <c r="Y206" s="90">
        <f>+VLOOKUP(PROVEEDORES[[#This Row],[ID RETENCION]],Retenciones!$A$1:$O$25,2,FALSE)</f>
        <v>0</v>
      </c>
      <c r="Z206" s="116" t="b">
        <f>OR(COUNTIF(PROVEEDORES[[#This Row],[PROVEEDOR]],"*"&amp;'Palabra no opera'!$A$2&amp;"*"))</f>
        <v>0</v>
      </c>
      <c r="AA206" s="24"/>
      <c r="AB206" s="24"/>
      <c r="AC206" s="24"/>
      <c r="AD206" s="24"/>
      <c r="AE206" s="24"/>
    </row>
    <row r="207" spans="1:31" ht="22.35" customHeight="1" x14ac:dyDescent="0.3">
      <c r="A207" s="61" t="str">
        <f>+IF(PROVEEDORES[[#This Row],[FECHA DE PAGO]]=PROVEEDORES[[#This Row],[FECHA DE FACTURACIÓN]],"DE CONTADO","CRÉDITO")</f>
        <v>DE CONTADO</v>
      </c>
      <c r="B207" s="38" t="b">
        <f>+IF((PROVEEDORES[[#This Row],[FECHA DE PAGO]]-PROVEEDORES[[#This Row],[FECHA DE FACTURACIÓN]])&gt;PROVEEDORES[[#This Row],[PLAZO Días]],"PAGO VENCIDO")</f>
        <v>0</v>
      </c>
      <c r="C207" s="20">
        <f>+VLOOKUP(PROVEEDORES[[#This Row],[PROVEEDOR]],TERCEROS_INFO[#All],2,FALSE)</f>
        <v>30</v>
      </c>
      <c r="D207" s="25">
        <f>+SUMIFS(PROVEEDORES[Total],PROVEEDORES[PROVEEDOR],PROVEEDORES[[#This Row],[PROVEEDOR]],PROVEEDORES[FECHA DE PAGO],"")</f>
        <v>0</v>
      </c>
      <c r="E207" s="25"/>
      <c r="F207" s="56" t="str">
        <f>+VLOOKUP(PROVEEDORES[[#This Row],[PROVEEDOR]],
                       Terceros!$A:$F,
                       5,
                       FALSE)</f>
        <v/>
      </c>
      <c r="G207" s="68">
        <v>44650</v>
      </c>
      <c r="H207" s="26" t="s">
        <v>390</v>
      </c>
      <c r="I207" s="68">
        <v>44650</v>
      </c>
      <c r="J207" s="35"/>
      <c r="K207" s="21">
        <v>1300000</v>
      </c>
      <c r="L207" s="21"/>
      <c r="M207" s="22">
        <v>0</v>
      </c>
      <c r="N207" s="23"/>
      <c r="O207" s="22">
        <v>0</v>
      </c>
      <c r="P207" s="74">
        <f>+IF(PROVEEDORES[[#This Row],[SUBTOTAL]]&lt;PROVEEDORES[[#This Row],[base retencion]],0,PROVEEDORES[[#This Row],[retención aplicada]])</f>
        <v>0</v>
      </c>
      <c r="Q207" s="22">
        <f>+PROVEEDORES[[#This Row],[Rete Fuente %]]*(PROVEEDORES[[#This Row],[SUBTOTAL]]-PROVEEDORES[[#This Row],[descuento sobre subtotal]])</f>
        <v>0</v>
      </c>
      <c r="R207" s="21">
        <v>1300000</v>
      </c>
      <c r="S20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63">
        <f ca="1">IF(PROVEEDORES[[#This Row],[FECHA DE PAGO]]=0,TODAY()-PROVEEDORES[[#This Row],[FECHA DE FACTURACIÓN]]-PROVEEDORES[[#This Row],[PLAZO Días]],0)</f>
        <v>0</v>
      </c>
      <c r="U207" s="87">
        <f>+VLOOKUP(PROVEEDORES[[#This Row],[PROVEEDOR]],Terceros!$A:$D,4,FALSE)</f>
        <v>0</v>
      </c>
      <c r="V207" s="88">
        <f>+YEAR(PROVEEDORES[[#This Row],[FECHA DE FACTURACIÓN]])</f>
        <v>2022</v>
      </c>
      <c r="W207" s="88">
        <f>+MATCH(PROVEEDORES[[#This Row],[año facturado]],Retenciones!$1:$1,0)</f>
        <v>5</v>
      </c>
      <c r="X207" s="89">
        <f>+VLOOKUP(PROVEEDORES[[#This Row],[ID RETENCION]],Retenciones!$A$1:$O$25,PROVEEDORES[[#This Row],[indicador de columna]],FALSE)</f>
        <v>0</v>
      </c>
      <c r="Y207" s="90">
        <f>+VLOOKUP(PROVEEDORES[[#This Row],[ID RETENCION]],Retenciones!$A$1:$O$25,2,FALSE)</f>
        <v>0</v>
      </c>
      <c r="Z207" s="116" t="b">
        <f>OR(COUNTIF(PROVEEDORES[[#This Row],[PROVEEDOR]],"*"&amp;'Palabra no opera'!$A$2&amp;"*"))</f>
        <v>0</v>
      </c>
      <c r="AA207" s="24"/>
      <c r="AB207" s="24"/>
      <c r="AC207" s="24"/>
      <c r="AD207" s="24"/>
      <c r="AE207" s="24"/>
    </row>
    <row r="208" spans="1:31" ht="22.35" customHeight="1" x14ac:dyDescent="0.3">
      <c r="A208" s="61" t="str">
        <f>+IF(PROVEEDORES[[#This Row],[FECHA DE PAGO]]=PROVEEDORES[[#This Row],[FECHA DE FACTURACIÓN]],"DE CONTADO","CRÉDITO")</f>
        <v>CRÉDITO</v>
      </c>
      <c r="B208" s="38" t="str">
        <f>+IF((PROVEEDORES[[#This Row],[FECHA DE PAGO]]-PROVEEDORES[[#This Row],[FECHA DE FACTURACIÓN]])&gt;PROVEEDORES[[#This Row],[PLAZO Días]],"PAGO VENCIDO")</f>
        <v>PAGO VENCIDO</v>
      </c>
      <c r="C208" s="20">
        <f>+VLOOKUP(PROVEEDORES[[#This Row],[PROVEEDOR]],TERCEROS_INFO[#All],2,FALSE)</f>
        <v>30</v>
      </c>
      <c r="D208" s="25">
        <f>+SUMIFS(PROVEEDORES[Total],PROVEEDORES[PROVEEDOR],PROVEEDORES[[#This Row],[PROVEEDOR]],PROVEEDORES[FECHA DE PAGO],"")</f>
        <v>0</v>
      </c>
      <c r="E208" s="25"/>
      <c r="F20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8" s="68">
        <v>44650</v>
      </c>
      <c r="H208" s="26" t="s">
        <v>623</v>
      </c>
      <c r="I208" s="68">
        <v>44617</v>
      </c>
      <c r="J208" s="35" t="s">
        <v>430</v>
      </c>
      <c r="K208" s="21">
        <v>-692129.53</v>
      </c>
      <c r="L208" s="21"/>
      <c r="M208" s="22">
        <v>0</v>
      </c>
      <c r="N208" s="23"/>
      <c r="O208" s="22">
        <v>0</v>
      </c>
      <c r="P208" s="74">
        <f>+IF(PROVEEDORES[[#This Row],[SUBTOTAL]]&lt;PROVEEDORES[[#This Row],[base retencion]],0,PROVEEDORES[[#This Row],[retención aplicada]])</f>
        <v>0</v>
      </c>
      <c r="Q208" s="22">
        <f>+PROVEEDORES[[#This Row],[Rete Fuente %]]*(PROVEEDORES[[#This Row],[SUBTOTAL]]-PROVEEDORES[[#This Row],[descuento sobre subtotal]])</f>
        <v>0</v>
      </c>
      <c r="R208" s="21">
        <v>-692129.53</v>
      </c>
      <c r="S20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63">
        <f ca="1">IF(PROVEEDORES[[#This Row],[FECHA DE PAGO]]=0,TODAY()-PROVEEDORES[[#This Row],[FECHA DE FACTURACIÓN]]-PROVEEDORES[[#This Row],[PLAZO Días]],0)</f>
        <v>0</v>
      </c>
      <c r="U208" s="87" t="str">
        <f>+VLOOKUP(PROVEEDORES[[#This Row],[PROVEEDOR]],Terceros!$A:$D,4,FALSE)</f>
        <v>4% sin base</v>
      </c>
      <c r="V208" s="88">
        <f>+YEAR(PROVEEDORES[[#This Row],[FECHA DE FACTURACIÓN]])</f>
        <v>2022</v>
      </c>
      <c r="W208" s="88">
        <f>+MATCH(PROVEEDORES[[#This Row],[año facturado]],Retenciones!$1:$1,0)</f>
        <v>5</v>
      </c>
      <c r="X208" s="89">
        <f>+VLOOKUP(PROVEEDORES[[#This Row],[ID RETENCION]],Retenciones!$A$1:$O$25,PROVEEDORES[[#This Row],[indicador de columna]],FALSE)</f>
        <v>0</v>
      </c>
      <c r="Y208" s="90">
        <f>+VLOOKUP(PROVEEDORES[[#This Row],[ID RETENCION]],Retenciones!$A$1:$O$25,2,FALSE)</f>
        <v>0.04</v>
      </c>
      <c r="Z208" s="116" t="b">
        <f>OR(COUNTIF(PROVEEDORES[[#This Row],[PROVEEDOR]],"*"&amp;'Palabra no opera'!$A$2&amp;"*"))</f>
        <v>1</v>
      </c>
      <c r="AA208" s="24"/>
      <c r="AB208" s="24"/>
      <c r="AC208" s="24"/>
      <c r="AD208" s="24"/>
      <c r="AE208" s="24"/>
    </row>
    <row r="209" spans="1:31" ht="22.35" customHeight="1" x14ac:dyDescent="0.3">
      <c r="A209" s="61" t="str">
        <f>+IF(PROVEEDORES[[#This Row],[FECHA DE PAGO]]=PROVEEDORES[[#This Row],[FECHA DE FACTURACIÓN]],"DE CONTADO","CRÉDITO")</f>
        <v>CRÉDITO</v>
      </c>
      <c r="B209" s="38" t="b">
        <f>+IF((PROVEEDORES[[#This Row],[FECHA DE PAGO]]-PROVEEDORES[[#This Row],[FECHA DE FACTURACIÓN]])&gt;PROVEEDORES[[#This Row],[PLAZO Días]],"PAGO VENCIDO")</f>
        <v>0</v>
      </c>
      <c r="C209" s="20">
        <f>+VLOOKUP(PROVEEDORES[[#This Row],[PROVEEDOR]],TERCEROS_INFO[#All],2,FALSE)</f>
        <v>30</v>
      </c>
      <c r="D209" s="25">
        <f>+SUMIFS(PROVEEDORES[Total],PROVEEDORES[PROVEEDOR],PROVEEDORES[[#This Row],[PROVEEDOR]],PROVEEDORES[FECHA DE PAGO],"")</f>
        <v>0</v>
      </c>
      <c r="E209" s="25"/>
      <c r="F20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9" s="68">
        <v>44650</v>
      </c>
      <c r="H209" s="26" t="s">
        <v>623</v>
      </c>
      <c r="I209" s="68">
        <v>44621</v>
      </c>
      <c r="J209" s="35" t="s">
        <v>668</v>
      </c>
      <c r="K209" s="21">
        <v>942255</v>
      </c>
      <c r="L209" s="21"/>
      <c r="M209" s="22">
        <v>179028.45</v>
      </c>
      <c r="N209" s="23"/>
      <c r="O209" s="22">
        <v>0</v>
      </c>
      <c r="P209" s="74">
        <v>0</v>
      </c>
      <c r="Q209" s="22">
        <f>+PROVEEDORES[[#This Row],[Rete Fuente %]]*(PROVEEDORES[[#This Row],[SUBTOTAL]]-PROVEEDORES[[#This Row],[descuento sobre subtotal]])</f>
        <v>0</v>
      </c>
      <c r="R209" s="21">
        <v>1121283.45</v>
      </c>
      <c r="S20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63">
        <f ca="1">IF(PROVEEDORES[[#This Row],[FECHA DE PAGO]]=0,TODAY()-PROVEEDORES[[#This Row],[FECHA DE FACTURACIÓN]]-PROVEEDORES[[#This Row],[PLAZO Días]],0)</f>
        <v>0</v>
      </c>
      <c r="U209" s="87" t="str">
        <f>+VLOOKUP(PROVEEDORES[[#This Row],[PROVEEDOR]],Terceros!$A:$D,4,FALSE)</f>
        <v>4% sin base</v>
      </c>
      <c r="V209" s="88">
        <f>+YEAR(PROVEEDORES[[#This Row],[FECHA DE FACTURACIÓN]])</f>
        <v>2022</v>
      </c>
      <c r="W209" s="88">
        <f>+MATCH(PROVEEDORES[[#This Row],[año facturado]],Retenciones!$1:$1,0)</f>
        <v>5</v>
      </c>
      <c r="X209" s="89">
        <f>+VLOOKUP(PROVEEDORES[[#This Row],[ID RETENCION]],Retenciones!$A$1:$O$25,PROVEEDORES[[#This Row],[indicador de columna]],FALSE)</f>
        <v>0</v>
      </c>
      <c r="Y209" s="90">
        <f>+VLOOKUP(PROVEEDORES[[#This Row],[ID RETENCION]],Retenciones!$A$1:$O$25,2,FALSE)</f>
        <v>0.04</v>
      </c>
      <c r="Z209" s="116" t="b">
        <f>OR(COUNTIF(PROVEEDORES[[#This Row],[PROVEEDOR]],"*"&amp;'Palabra no opera'!$A$2&amp;"*"))</f>
        <v>1</v>
      </c>
      <c r="AA209" s="24"/>
      <c r="AB209" s="24"/>
      <c r="AC209" s="24"/>
      <c r="AD209" s="24"/>
      <c r="AE209" s="24"/>
    </row>
    <row r="210" spans="1:31" ht="22.35" customHeight="1" x14ac:dyDescent="0.3">
      <c r="A210" s="61" t="str">
        <f>+IF(PROVEEDORES[[#This Row],[FECHA DE PAGO]]=PROVEEDORES[[#This Row],[FECHA DE FACTURACIÓN]],"DE CONTADO","CRÉDITO")</f>
        <v>CRÉDITO</v>
      </c>
      <c r="B210" s="38" t="b">
        <f>+IF((PROVEEDORES[[#This Row],[FECHA DE PAGO]]-PROVEEDORES[[#This Row],[FECHA DE FACTURACIÓN]])&gt;PROVEEDORES[[#This Row],[PLAZO Días]],"PAGO VENCIDO")</f>
        <v>0</v>
      </c>
      <c r="C210" s="20">
        <f>+VLOOKUP(PROVEEDORES[[#This Row],[PROVEEDOR]],TERCEROS_INFO[#All],2,FALSE)</f>
        <v>30</v>
      </c>
      <c r="D210" s="25">
        <f>+SUMIFS(PROVEEDORES[Total],PROVEEDORES[PROVEEDOR],PROVEEDORES[[#This Row],[PROVEEDOR]],PROVEEDORES[FECHA DE PAGO],"")</f>
        <v>0</v>
      </c>
      <c r="E210" s="25"/>
      <c r="F21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10" s="68">
        <v>44650</v>
      </c>
      <c r="H210" s="26" t="s">
        <v>623</v>
      </c>
      <c r="I210" s="68">
        <v>44621</v>
      </c>
      <c r="J210" s="35" t="s">
        <v>667</v>
      </c>
      <c r="K210" s="21">
        <v>3061166</v>
      </c>
      <c r="L210" s="21"/>
      <c r="M210" s="22">
        <v>581621.54</v>
      </c>
      <c r="N210" s="23"/>
      <c r="O210" s="22">
        <v>0</v>
      </c>
      <c r="P210" s="74">
        <v>0</v>
      </c>
      <c r="Q210" s="22">
        <f>+PROVEEDORES[[#This Row],[Rete Fuente %]]*(PROVEEDORES[[#This Row],[SUBTOTAL]]-PROVEEDORES[[#This Row],[descuento sobre subtotal]])</f>
        <v>0</v>
      </c>
      <c r="R210" s="21">
        <v>3642787.54</v>
      </c>
      <c r="S21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63">
        <f ca="1">IF(PROVEEDORES[[#This Row],[FECHA DE PAGO]]=0,TODAY()-PROVEEDORES[[#This Row],[FECHA DE FACTURACIÓN]]-PROVEEDORES[[#This Row],[PLAZO Días]],0)</f>
        <v>0</v>
      </c>
      <c r="U210" s="87" t="str">
        <f>+VLOOKUP(PROVEEDORES[[#This Row],[PROVEEDOR]],Terceros!$A:$D,4,FALSE)</f>
        <v>4% sin base</v>
      </c>
      <c r="V210" s="88">
        <f>+YEAR(PROVEEDORES[[#This Row],[FECHA DE FACTURACIÓN]])</f>
        <v>2022</v>
      </c>
      <c r="W210" s="88">
        <f>+MATCH(PROVEEDORES[[#This Row],[año facturado]],Retenciones!$1:$1,0)</f>
        <v>5</v>
      </c>
      <c r="X210" s="89">
        <f>+VLOOKUP(PROVEEDORES[[#This Row],[ID RETENCION]],Retenciones!$A$1:$O$25,PROVEEDORES[[#This Row],[indicador de columna]],FALSE)</f>
        <v>0</v>
      </c>
      <c r="Y210" s="90">
        <f>+VLOOKUP(PROVEEDORES[[#This Row],[ID RETENCION]],Retenciones!$A$1:$O$25,2,FALSE)</f>
        <v>0.04</v>
      </c>
      <c r="Z210" s="116" t="b">
        <f>OR(COUNTIF(PROVEEDORES[[#This Row],[PROVEEDOR]],"*"&amp;'Palabra no opera'!$A$2&amp;"*"))</f>
        <v>1</v>
      </c>
      <c r="AA210" s="24"/>
      <c r="AB210" s="24"/>
      <c r="AC210" s="24"/>
      <c r="AD210" s="24"/>
      <c r="AE210" s="24"/>
    </row>
    <row r="211" spans="1:31" ht="22.35" customHeight="1" x14ac:dyDescent="0.3">
      <c r="A211" s="61" t="str">
        <f>+IF(PROVEEDORES[[#This Row],[FECHA DE PAGO]]=PROVEEDORES[[#This Row],[FECHA DE FACTURACIÓN]],"DE CONTADO","CRÉDITO")</f>
        <v>CRÉDITO</v>
      </c>
      <c r="B211" s="38" t="b">
        <f>+IF((PROVEEDORES[[#This Row],[FECHA DE PAGO]]-PROVEEDORES[[#This Row],[FECHA DE FACTURACIÓN]])&gt;PROVEEDORES[[#This Row],[PLAZO Días]],"PAGO VENCIDO")</f>
        <v>0</v>
      </c>
      <c r="C211" s="20">
        <f>+VLOOKUP(PROVEEDORES[[#This Row],[PROVEEDOR]],TERCEROS_INFO[#All],2,FALSE)</f>
        <v>30</v>
      </c>
      <c r="D211" s="25">
        <f>+SUMIFS(PROVEEDORES[Total],PROVEEDORES[PROVEEDOR],PROVEEDORES[[#This Row],[PROVEEDOR]],PROVEEDORES[FECHA DE PAGO],"")</f>
        <v>0</v>
      </c>
      <c r="E211" s="25"/>
      <c r="F211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11" s="68">
        <v>44650</v>
      </c>
      <c r="H211" s="26" t="s">
        <v>628</v>
      </c>
      <c r="I211" s="68">
        <v>44621</v>
      </c>
      <c r="J211" s="35">
        <v>10117</v>
      </c>
      <c r="K211" s="21">
        <v>1922190</v>
      </c>
      <c r="L211" s="21"/>
      <c r="M211" s="22">
        <f>(PROVEEDORES[[#This Row],[SUBTOTAL]]-PROVEEDORES[[#This Row],[descuento sobre subtotal]])*VLOOKUP(PROVEEDORES[[#This Row],[PROVEEDOR]],TERCEROS_INFO[#All],3,FALSE)</f>
        <v>0</v>
      </c>
      <c r="N211" s="23"/>
      <c r="O211" s="22">
        <f>+PROVEEDORES[[#This Row],[Descuento sobre subtotal %]]*(PROVEEDORES[[#This Row],[SUBTOTAL]]-PROVEEDORES[[#This Row],[descuento sobre subtotal]])</f>
        <v>0</v>
      </c>
      <c r="P211" s="74">
        <f>+IF(PROVEEDORES[[#This Row],[SUBTOTAL]]&lt;PROVEEDORES[[#This Row],[base retencion]],0,PROVEEDORES[[#This Row],[retención aplicada]])</f>
        <v>0</v>
      </c>
      <c r="Q211" s="22">
        <f>+PROVEEDORES[[#This Row],[Rete Fuente %]]*(PROVEEDORES[[#This Row],[SUBTOTAL]]-PROVEEDORES[[#This Row],[descuento sobre subtotal]])</f>
        <v>0</v>
      </c>
      <c r="R211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21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63">
        <f ca="1">IF(PROVEEDORES[[#This Row],[FECHA DE PAGO]]=0,TODAY()-PROVEEDORES[[#This Row],[FECHA DE FACTURACIÓN]]-PROVEEDORES[[#This Row],[PLAZO Días]],0)</f>
        <v>0</v>
      </c>
      <c r="U211" s="87">
        <f>+VLOOKUP(PROVEEDORES[[#This Row],[PROVEEDOR]],Terceros!$A:$D,4,FALSE)</f>
        <v>0</v>
      </c>
      <c r="V211" s="88">
        <f>+YEAR(PROVEEDORES[[#This Row],[FECHA DE FACTURACIÓN]])</f>
        <v>2022</v>
      </c>
      <c r="W211" s="88">
        <f>+MATCH(PROVEEDORES[[#This Row],[año facturado]],Retenciones!$1:$1,0)</f>
        <v>5</v>
      </c>
      <c r="X211" s="89">
        <f>+VLOOKUP(PROVEEDORES[[#This Row],[ID RETENCION]],Retenciones!$A$1:$O$25,PROVEEDORES[[#This Row],[indicador de columna]],FALSE)</f>
        <v>0</v>
      </c>
      <c r="Y211" s="90">
        <f>+VLOOKUP(PROVEEDORES[[#This Row],[ID RETENCION]],Retenciones!$A$1:$O$25,2,FALSE)</f>
        <v>0</v>
      </c>
      <c r="Z211" s="116" t="b">
        <f>OR(COUNTIF(PROVEEDORES[[#This Row],[PROVEEDOR]],"*"&amp;'Palabra no opera'!$A$2&amp;"*"))</f>
        <v>1</v>
      </c>
      <c r="AA211" s="24"/>
      <c r="AB211" s="24"/>
      <c r="AC211" s="24"/>
      <c r="AD211" s="24"/>
      <c r="AE211" s="24"/>
    </row>
    <row r="212" spans="1:31" ht="22.35" customHeight="1" x14ac:dyDescent="0.3">
      <c r="A212" s="61" t="str">
        <f>+IF(PROVEEDORES[[#This Row],[FECHA DE PAGO]]=PROVEEDORES[[#This Row],[FECHA DE FACTURACIÓN]],"DE CONTADO","CRÉDITO")</f>
        <v>CRÉDITO</v>
      </c>
      <c r="B212" s="38" t="b">
        <f>+IF((PROVEEDORES[[#This Row],[FECHA DE PAGO]]-PROVEEDORES[[#This Row],[FECHA DE FACTURACIÓN]])&gt;PROVEEDORES[[#This Row],[PLAZO Días]],"PAGO VENCIDO")</f>
        <v>0</v>
      </c>
      <c r="C212" s="20">
        <f>+VLOOKUP(PROVEEDORES[[#This Row],[PROVEEDOR]],TERCEROS_INFO[#All],2,FALSE)</f>
        <v>30</v>
      </c>
      <c r="D212" s="25">
        <f>+SUMIFS(PROVEEDORES[Total],PROVEEDORES[PROVEEDOR],PROVEEDORES[[#This Row],[PROVEEDOR]],PROVEEDORES[FECHA DE PAGO],"")</f>
        <v>0</v>
      </c>
      <c r="E212" s="25"/>
      <c r="F212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12" s="68">
        <v>44650</v>
      </c>
      <c r="H212" s="26" t="s">
        <v>635</v>
      </c>
      <c r="I212" s="68">
        <v>44621</v>
      </c>
      <c r="J212" s="35">
        <v>2524</v>
      </c>
      <c r="K212" s="21">
        <v>2789636</v>
      </c>
      <c r="L212" s="21"/>
      <c r="M212" s="22">
        <f>(PROVEEDORES[[#This Row],[SUBTOTAL]]-PROVEEDORES[[#This Row],[descuento sobre subtotal]])*VLOOKUP(PROVEEDORES[[#This Row],[PROVEEDOR]],TERCEROS_INFO[#All],3,FALSE)</f>
        <v>0</v>
      </c>
      <c r="N212" s="23"/>
      <c r="O212" s="22">
        <f>+PROVEEDORES[[#This Row],[Descuento sobre subtotal %]]*(PROVEEDORES[[#This Row],[SUBTOTAL]]-PROVEEDORES[[#This Row],[descuento sobre subtotal]])</f>
        <v>0</v>
      </c>
      <c r="P212" s="74">
        <f>+IF(PROVEEDORES[[#This Row],[SUBTOTAL]]&lt;PROVEEDORES[[#This Row],[base retencion]],0,PROVEEDORES[[#This Row],[retención aplicada]])</f>
        <v>3.5000000000000003E-2</v>
      </c>
      <c r="Q212" s="22">
        <f>+PROVEEDORES[[#This Row],[Rete Fuente %]]*(PROVEEDORES[[#This Row],[SUBTOTAL]]-PROVEEDORES[[#This Row],[descuento sobre subtotal]])</f>
        <v>97637.260000000009</v>
      </c>
      <c r="R212" s="21">
        <v>2691998.74</v>
      </c>
      <c r="S21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63">
        <f ca="1">IF(PROVEEDORES[[#This Row],[FECHA DE PAGO]]=0,TODAY()-PROVEEDORES[[#This Row],[FECHA DE FACTURACIÓN]]-PROVEEDORES[[#This Row],[PLAZO Días]],0)</f>
        <v>0</v>
      </c>
      <c r="U212" s="87" t="str">
        <f>+VLOOKUP(PROVEEDORES[[#This Row],[PROVEEDOR]],Terceros!$A:$D,4,FALSE)</f>
        <v>3,5% sin base</v>
      </c>
      <c r="V212" s="88">
        <f>+YEAR(PROVEEDORES[[#This Row],[FECHA DE FACTURACIÓN]])</f>
        <v>2022</v>
      </c>
      <c r="W212" s="88">
        <f>+MATCH(PROVEEDORES[[#This Row],[año facturado]],Retenciones!$1:$1,0)</f>
        <v>5</v>
      </c>
      <c r="X212" s="89">
        <f>+VLOOKUP(PROVEEDORES[[#This Row],[ID RETENCION]],Retenciones!$A$1:$O$25,PROVEEDORES[[#This Row],[indicador de columna]],FALSE)</f>
        <v>0</v>
      </c>
      <c r="Y212" s="90">
        <f>+VLOOKUP(PROVEEDORES[[#This Row],[ID RETENCION]],Retenciones!$A$1:$O$25,2,FALSE)</f>
        <v>3.5000000000000003E-2</v>
      </c>
      <c r="Z212" s="116" t="b">
        <f>OR(COUNTIF(PROVEEDORES[[#This Row],[PROVEEDOR]],"*"&amp;'Palabra no opera'!$A$2&amp;"*"))</f>
        <v>1</v>
      </c>
      <c r="AA212" s="24"/>
      <c r="AB212" s="24"/>
      <c r="AC212" s="24"/>
      <c r="AD212" s="24"/>
      <c r="AE212" s="24"/>
    </row>
    <row r="213" spans="1:31" ht="22.35" customHeight="1" x14ac:dyDescent="0.3">
      <c r="A213" s="61" t="str">
        <f>+IF(PROVEEDORES[[#This Row],[FECHA DE PAGO]]=PROVEEDORES[[#This Row],[FECHA DE FACTURACIÓN]],"DE CONTADO","CRÉDITO")</f>
        <v>CRÉDITO</v>
      </c>
      <c r="B213" s="38" t="b">
        <f>+IF((PROVEEDORES[[#This Row],[FECHA DE PAGO]]-PROVEEDORES[[#This Row],[FECHA DE FACTURACIÓN]])&gt;PROVEEDORES[[#This Row],[PLAZO Días]],"PAGO VENCIDO")</f>
        <v>0</v>
      </c>
      <c r="C213" s="20">
        <f>+VLOOKUP(PROVEEDORES[[#This Row],[PROVEEDOR]],TERCEROS_INFO[#All],2,FALSE)</f>
        <v>30</v>
      </c>
      <c r="D213" s="25">
        <f>+SUMIFS(PROVEEDORES[Total],PROVEEDORES[PROVEEDOR],PROVEEDORES[[#This Row],[PROVEEDOR]],PROVEEDORES[FECHA DE PAGO],"")</f>
        <v>0</v>
      </c>
      <c r="E213" s="25"/>
      <c r="F213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13" s="68">
        <v>44650</v>
      </c>
      <c r="H213" s="26" t="s">
        <v>651</v>
      </c>
      <c r="I213" s="68">
        <v>44621</v>
      </c>
      <c r="J213" s="35">
        <v>4395</v>
      </c>
      <c r="K213" s="21">
        <v>215356</v>
      </c>
      <c r="L213" s="21"/>
      <c r="M213" s="22">
        <f>(PROVEEDORES[[#This Row],[SUBTOTAL]]-PROVEEDORES[[#This Row],[descuento sobre subtotal]])*VLOOKUP(PROVEEDORES[[#This Row],[PROVEEDOR]],TERCEROS_INFO[#All],3,FALSE)</f>
        <v>40917.64</v>
      </c>
      <c r="N213" s="23"/>
      <c r="O213" s="22">
        <f>+PROVEEDORES[[#This Row],[Descuento sobre subtotal %]]*(PROVEEDORES[[#This Row],[SUBTOTAL]]-PROVEEDORES[[#This Row],[descuento sobre subtotal]])</f>
        <v>0</v>
      </c>
      <c r="P213" s="74">
        <f>+IF(PROVEEDORES[[#This Row],[SUBTOTAL]]&lt;PROVEEDORES[[#This Row],[base retencion]],0,PROVEEDORES[[#This Row],[retención aplicada]])</f>
        <v>3.5000000000000003E-2</v>
      </c>
      <c r="Q213" s="22">
        <f>+PROVEEDORES[[#This Row],[Rete Fuente %]]*(PROVEEDORES[[#This Row],[SUBTOTAL]]-PROVEEDORES[[#This Row],[descuento sobre subtotal]])</f>
        <v>7537.4600000000009</v>
      </c>
      <c r="R213" s="21">
        <v>248736.18000000002</v>
      </c>
      <c r="S21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63">
        <f ca="1">IF(PROVEEDORES[[#This Row],[FECHA DE PAGO]]=0,TODAY()-PROVEEDORES[[#This Row],[FECHA DE FACTURACIÓN]]-PROVEEDORES[[#This Row],[PLAZO Días]],0)</f>
        <v>0</v>
      </c>
      <c r="U213" s="87" t="str">
        <f>+VLOOKUP(PROVEEDORES[[#This Row],[PROVEEDOR]],Terceros!$A:$D,4,FALSE)</f>
        <v>3,5% sin base</v>
      </c>
      <c r="V213" s="88">
        <f>+YEAR(PROVEEDORES[[#This Row],[FECHA DE FACTURACIÓN]])</f>
        <v>2022</v>
      </c>
      <c r="W213" s="88">
        <f>+MATCH(PROVEEDORES[[#This Row],[año facturado]],Retenciones!$1:$1,0)</f>
        <v>5</v>
      </c>
      <c r="X213" s="89">
        <f>+VLOOKUP(PROVEEDORES[[#This Row],[ID RETENCION]],Retenciones!$A$1:$O$25,PROVEEDORES[[#This Row],[indicador de columna]],FALSE)</f>
        <v>0</v>
      </c>
      <c r="Y213" s="90">
        <f>+VLOOKUP(PROVEEDORES[[#This Row],[ID RETENCION]],Retenciones!$A$1:$O$25,2,FALSE)</f>
        <v>3.5000000000000003E-2</v>
      </c>
      <c r="Z213" s="116" t="b">
        <f>OR(COUNTIF(PROVEEDORES[[#This Row],[PROVEEDOR]],"*"&amp;'Palabra no opera'!$A$2&amp;"*"))</f>
        <v>1</v>
      </c>
      <c r="AA213" s="24"/>
      <c r="AB213" s="24"/>
      <c r="AC213" s="24"/>
      <c r="AD213" s="24"/>
      <c r="AE213" s="24"/>
    </row>
    <row r="214" spans="1:31" ht="22.35" customHeight="1" x14ac:dyDescent="0.3">
      <c r="A214" s="61" t="str">
        <f>+IF(PROVEEDORES[[#This Row],[FECHA DE PAGO]]=PROVEEDORES[[#This Row],[FECHA DE FACTURACIÓN]],"DE CONTADO","CRÉDITO")</f>
        <v>CRÉDITO</v>
      </c>
      <c r="B214" s="38" t="str">
        <f>+IF((PROVEEDORES[[#This Row],[FECHA DE PAGO]]-PROVEEDORES[[#This Row],[FECHA DE FACTURACIÓN]])&gt;PROVEEDORES[[#This Row],[PLAZO Días]],"PAGO VENCIDO")</f>
        <v>PAGO VENCIDO</v>
      </c>
      <c r="C214" s="20">
        <f>+VLOOKUP(PROVEEDORES[[#This Row],[PROVEEDOR]],TERCEROS_INFO[#All],2,FALSE)</f>
        <v>45</v>
      </c>
      <c r="D214" s="25">
        <f>+SUMIFS(PROVEEDORES[Total],PROVEEDORES[PROVEEDOR],PROVEEDORES[[#This Row],[PROVEEDOR]],PROVEEDORES[FECHA DE PAGO],"")</f>
        <v>8072960</v>
      </c>
      <c r="E214" s="25"/>
      <c r="F21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14" s="68">
        <v>44650</v>
      </c>
      <c r="H214" s="26" t="s">
        <v>10</v>
      </c>
      <c r="I214" s="68">
        <v>44579</v>
      </c>
      <c r="J214" s="35" t="s">
        <v>476</v>
      </c>
      <c r="K214" s="21">
        <v>990000</v>
      </c>
      <c r="L214" s="21"/>
      <c r="M214" s="22">
        <f>(PROVEEDORES[[#This Row],[SUBTOTAL]]-PROVEEDORES[[#This Row],[descuento sobre subtotal]])*VLOOKUP(PROVEEDORES[[#This Row],[PROVEEDOR]],TERCEROS_INFO[#All],3,FALSE)</f>
        <v>188100</v>
      </c>
      <c r="N214" s="23"/>
      <c r="O214" s="22">
        <f>+PROVEEDORES[[#This Row],[Descuento sobre subtotal %]]*(PROVEEDORES[[#This Row],[SUBTOTAL]]-PROVEEDORES[[#This Row],[descuento sobre subtotal]])</f>
        <v>0</v>
      </c>
      <c r="P214" s="74">
        <f>+IF(PROVEEDORES[[#This Row],[SUBTOTAL]]&lt;PROVEEDORES[[#This Row],[base retencion]],0,PROVEEDORES[[#This Row],[retención aplicada]])</f>
        <v>0</v>
      </c>
      <c r="Q214" s="22">
        <f>+PROVEEDORES[[#This Row],[Rete Fuente %]]*(PROVEEDORES[[#This Row],[SUBTOTAL]]-PROVEEDORES[[#This Row],[descuento sobre subtotal]])</f>
        <v>0</v>
      </c>
      <c r="R214" s="21">
        <v>1178100</v>
      </c>
      <c r="S21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63">
        <f ca="1">IF(PROVEEDORES[[#This Row],[FECHA DE PAGO]]=0,TODAY()-PROVEEDORES[[#This Row],[FECHA DE FACTURACIÓN]]-PROVEEDORES[[#This Row],[PLAZO Días]],0)</f>
        <v>0</v>
      </c>
      <c r="U214" s="87">
        <f>+VLOOKUP(PROVEEDORES[[#This Row],[PROVEEDOR]],Terceros!$A:$D,4,FALSE)</f>
        <v>0</v>
      </c>
      <c r="V214" s="88">
        <f>+YEAR(PROVEEDORES[[#This Row],[FECHA DE FACTURACIÓN]])</f>
        <v>2022</v>
      </c>
      <c r="W214" s="88">
        <f>+MATCH(PROVEEDORES[[#This Row],[año facturado]],Retenciones!$1:$1,0)</f>
        <v>5</v>
      </c>
      <c r="X214" s="89">
        <f>+VLOOKUP(PROVEEDORES[[#This Row],[ID RETENCION]],Retenciones!$A$1:$O$25,PROVEEDORES[[#This Row],[indicador de columna]],FALSE)</f>
        <v>0</v>
      </c>
      <c r="Y214" s="90">
        <f>+VLOOKUP(PROVEEDORES[[#This Row],[ID RETENCION]],Retenciones!$A$1:$O$25,2,FALSE)</f>
        <v>0</v>
      </c>
      <c r="Z214" s="116" t="b">
        <f>OR(COUNTIF(PROVEEDORES[[#This Row],[PROVEEDOR]],"*"&amp;'Palabra no opera'!$A$2&amp;"*"))</f>
        <v>0</v>
      </c>
      <c r="AA214" s="24"/>
      <c r="AB214" s="24"/>
      <c r="AC214" s="24"/>
      <c r="AD214" s="24"/>
      <c r="AE214" s="24"/>
    </row>
    <row r="215" spans="1:31" ht="22.35" customHeight="1" x14ac:dyDescent="0.3">
      <c r="A215" s="61" t="str">
        <f>+IF(PROVEEDORES[[#This Row],[FECHA DE PAGO]]=PROVEEDORES[[#This Row],[FECHA DE FACTURACIÓN]],"DE CONTADO","CRÉDITO")</f>
        <v>CRÉDITO</v>
      </c>
      <c r="B215" s="38" t="str">
        <f>+IF((PROVEEDORES[[#This Row],[FECHA DE PAGO]]-PROVEEDORES[[#This Row],[FECHA DE FACTURACIÓN]])&gt;PROVEEDORES[[#This Row],[PLAZO Días]],"PAGO VENCIDO")</f>
        <v>PAGO VENCIDO</v>
      </c>
      <c r="C215" s="20">
        <f>+VLOOKUP(PROVEEDORES[[#This Row],[PROVEEDOR]],TERCEROS_INFO[#All],2,FALSE)</f>
        <v>20</v>
      </c>
      <c r="D215" s="25">
        <f>+SUMIFS(PROVEEDORES[Total],PROVEEDORES[PROVEEDOR],PROVEEDORES[[#This Row],[PROVEEDOR]],PROVEEDORES[FECHA DE PAGO],"")</f>
        <v>0</v>
      </c>
      <c r="E215" s="25"/>
      <c r="F215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5" s="68">
        <v>44650</v>
      </c>
      <c r="H215" s="26" t="s">
        <v>652</v>
      </c>
      <c r="I215" s="68">
        <v>44617</v>
      </c>
      <c r="J215" s="35" t="s">
        <v>440</v>
      </c>
      <c r="K215" s="21">
        <v>-248736</v>
      </c>
      <c r="L215" s="21"/>
      <c r="M215" s="22">
        <v>-47259.840000000004</v>
      </c>
      <c r="N215" s="23"/>
      <c r="O215" s="22">
        <f>+PROVEEDORES[[#This Row],[Descuento sobre subtotal %]]*(PROVEEDORES[[#This Row],[SUBTOTAL]]-PROVEEDORES[[#This Row],[descuento sobre subtotal]])</f>
        <v>0</v>
      </c>
      <c r="P215" s="74">
        <f>+IF(PROVEEDORES[[#This Row],[SUBTOTAL]]&lt;PROVEEDORES[[#This Row],[base retencion]],0,PROVEEDORES[[#This Row],[retención aplicada]])</f>
        <v>0</v>
      </c>
      <c r="Q215" s="22">
        <f>+PROVEEDORES[[#This Row],[Rete Fuente %]]*(PROVEEDORES[[#This Row],[SUBTOTAL]]-PROVEEDORES[[#This Row],[descuento sobre subtotal]])</f>
        <v>0</v>
      </c>
      <c r="R215" s="21">
        <v>-295995.84000000003</v>
      </c>
      <c r="S21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63">
        <f ca="1">IF(PROVEEDORES[[#This Row],[FECHA DE PAGO]]=0,TODAY()-PROVEEDORES[[#This Row],[FECHA DE FACTURACIÓN]]-PROVEEDORES[[#This Row],[PLAZO Días]],0)</f>
        <v>0</v>
      </c>
      <c r="U215" s="87" t="str">
        <f>+VLOOKUP(PROVEEDORES[[#This Row],[PROVEEDOR]],Terceros!$A:$D,4,FALSE)</f>
        <v>3,5% sin base</v>
      </c>
      <c r="V215" s="88">
        <f>+YEAR(PROVEEDORES[[#This Row],[FECHA DE FACTURACIÓN]])</f>
        <v>2022</v>
      </c>
      <c r="W215" s="88">
        <f>+MATCH(PROVEEDORES[[#This Row],[año facturado]],Retenciones!$1:$1,0)</f>
        <v>5</v>
      </c>
      <c r="X215" s="89">
        <f>+VLOOKUP(PROVEEDORES[[#This Row],[ID RETENCION]],Retenciones!$A$1:$O$25,PROVEEDORES[[#This Row],[indicador de columna]],FALSE)</f>
        <v>0</v>
      </c>
      <c r="Y215" s="90">
        <f>+VLOOKUP(PROVEEDORES[[#This Row],[ID RETENCION]],Retenciones!$A$1:$O$25,2,FALSE)</f>
        <v>3.5000000000000003E-2</v>
      </c>
      <c r="Z215" s="117" t="b">
        <f>OR(COUNTIF(PROVEEDORES[[#This Row],[PROVEEDOR]],"*"&amp;'Palabra no opera'!$A$2&amp;"*"))</f>
        <v>1</v>
      </c>
      <c r="AA215" s="24"/>
      <c r="AB215" s="24"/>
      <c r="AC215" s="24"/>
      <c r="AD215" s="24"/>
      <c r="AE215" s="24"/>
    </row>
    <row r="216" spans="1:31" ht="22.35" customHeight="1" x14ac:dyDescent="0.3">
      <c r="A216" s="61" t="str">
        <f>+IF(PROVEEDORES[[#This Row],[FECHA DE PAGO]]=PROVEEDORES[[#This Row],[FECHA DE FACTURACIÓN]],"DE CONTADO","CRÉDITO")</f>
        <v>CRÉDITO</v>
      </c>
      <c r="B216" s="38" t="str">
        <f>+IF((PROVEEDORES[[#This Row],[FECHA DE PAGO]]-PROVEEDORES[[#This Row],[FECHA DE FACTURACIÓN]])&gt;PROVEEDORES[[#This Row],[PLAZO Días]],"PAGO VENCIDO")</f>
        <v>PAGO VENCIDO</v>
      </c>
      <c r="C216" s="20">
        <f>+VLOOKUP(PROVEEDORES[[#This Row],[PROVEEDOR]],TERCEROS_INFO[#All],2,FALSE)</f>
        <v>20</v>
      </c>
      <c r="D216" s="25">
        <f>+SUMIFS(PROVEEDORES[Total],PROVEEDORES[PROVEEDOR],PROVEEDORES[[#This Row],[PROVEEDOR]],PROVEEDORES[FECHA DE PAGO],"")</f>
        <v>0</v>
      </c>
      <c r="E216" s="25"/>
      <c r="F216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16" s="68">
        <v>44650</v>
      </c>
      <c r="H216" s="26" t="s">
        <v>652</v>
      </c>
      <c r="I216" s="68">
        <v>44621</v>
      </c>
      <c r="J216" s="35">
        <v>42317</v>
      </c>
      <c r="K216" s="21">
        <v>4430000</v>
      </c>
      <c r="L216" s="21"/>
      <c r="M216" s="22">
        <v>841700</v>
      </c>
      <c r="N216" s="23"/>
      <c r="O216" s="22">
        <f>+PROVEEDORES[[#This Row],[Descuento sobre subtotal %]]*(PROVEEDORES[[#This Row],[SUBTOTAL]]-PROVEEDORES[[#This Row],[descuento sobre subtotal]])</f>
        <v>0</v>
      </c>
      <c r="P216" s="74">
        <f>+IF(PROVEEDORES[[#This Row],[SUBTOTAL]]&lt;PROVEEDORES[[#This Row],[base retencion]],0,PROVEEDORES[[#This Row],[retención aplicada]])</f>
        <v>3.5000000000000003E-2</v>
      </c>
      <c r="Q216" s="22">
        <f>+PROVEEDORES[[#This Row],[Rete Fuente %]]*(PROVEEDORES[[#This Row],[SUBTOTAL]]-PROVEEDORES[[#This Row],[descuento sobre subtotal]])</f>
        <v>155050.00000000003</v>
      </c>
      <c r="R216" s="21">
        <v>5116650</v>
      </c>
      <c r="S21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63">
        <f ca="1">IF(PROVEEDORES[[#This Row],[FECHA DE PAGO]]=0,TODAY()-PROVEEDORES[[#This Row],[FECHA DE FACTURACIÓN]]-PROVEEDORES[[#This Row],[PLAZO Días]],0)</f>
        <v>0</v>
      </c>
      <c r="U216" s="87" t="str">
        <f>+VLOOKUP(PROVEEDORES[[#This Row],[PROVEEDOR]],Terceros!$A:$D,4,FALSE)</f>
        <v>3,5% sin base</v>
      </c>
      <c r="V216" s="88">
        <f>+YEAR(PROVEEDORES[[#This Row],[FECHA DE FACTURACIÓN]])</f>
        <v>2022</v>
      </c>
      <c r="W216" s="88">
        <f>+MATCH(PROVEEDORES[[#This Row],[año facturado]],Retenciones!$1:$1,0)</f>
        <v>5</v>
      </c>
      <c r="X216" s="89">
        <f>+VLOOKUP(PROVEEDORES[[#This Row],[ID RETENCION]],Retenciones!$A$1:$O$25,PROVEEDORES[[#This Row],[indicador de columna]],FALSE)</f>
        <v>0</v>
      </c>
      <c r="Y216" s="90">
        <f>+VLOOKUP(PROVEEDORES[[#This Row],[ID RETENCION]],Retenciones!$A$1:$O$25,2,FALSE)</f>
        <v>3.5000000000000003E-2</v>
      </c>
      <c r="Z216" s="117" t="b">
        <f>OR(COUNTIF(PROVEEDORES[[#This Row],[PROVEEDOR]],"*"&amp;'Palabra no opera'!$A$2&amp;"*"))</f>
        <v>1</v>
      </c>
      <c r="AA216" s="24"/>
      <c r="AB216" s="24"/>
      <c r="AC216" s="24"/>
      <c r="AD216" s="24"/>
      <c r="AE216" s="24"/>
    </row>
    <row r="217" spans="1:31" ht="22.35" customHeight="1" x14ac:dyDescent="0.3">
      <c r="A217" s="61" t="str">
        <f>+IF(PROVEEDORES[[#This Row],[FECHA DE PAGO]]=PROVEEDORES[[#This Row],[FECHA DE FACTURACIÓN]],"DE CONTADO","CRÉDITO")</f>
        <v>DE CONTADO</v>
      </c>
      <c r="B217" s="38" t="b">
        <f>+IF((PROVEEDORES[[#This Row],[FECHA DE PAGO]]-PROVEEDORES[[#This Row],[FECHA DE FACTURACIÓN]])&gt;PROVEEDORES[[#This Row],[PLAZO Días]],"PAGO VENCIDO")</f>
        <v>0</v>
      </c>
      <c r="C217" s="20">
        <f>+VLOOKUP(PROVEEDORES[[#This Row],[PROVEEDOR]],TERCEROS_INFO[#All],2,FALSE)</f>
        <v>30</v>
      </c>
      <c r="D217" s="25">
        <f>+SUMIFS(PROVEEDORES[Total],PROVEEDORES[PROVEEDOR],PROVEEDORES[[#This Row],[PROVEEDOR]],PROVEEDORES[FECHA DE PAGO],"")</f>
        <v>0</v>
      </c>
      <c r="E217" s="25"/>
      <c r="F217" s="56" t="str">
        <f>+VLOOKUP(PROVEEDORES[[#This Row],[PROVEEDOR]],
                       Terceros!$A:$F,
                       5,
                       FALSE)</f>
        <v/>
      </c>
      <c r="G217" s="68">
        <v>44651</v>
      </c>
      <c r="H217" s="26" t="s">
        <v>362</v>
      </c>
      <c r="I217" s="68">
        <v>44651</v>
      </c>
      <c r="J217" s="35" t="s">
        <v>317</v>
      </c>
      <c r="K217" s="21">
        <v>29400</v>
      </c>
      <c r="L217" s="21"/>
      <c r="M217" s="22">
        <f>(PROVEEDORES[[#This Row],[SUBTOTAL]]-PROVEEDORES[[#This Row],[descuento sobre subtotal]])*VLOOKUP(PROVEEDORES[[#This Row],[PROVEEDOR]],TERCEROS_INFO[#All],3,FALSE)</f>
        <v>0</v>
      </c>
      <c r="N217" s="23"/>
      <c r="O217" s="22">
        <f>+PROVEEDORES[[#This Row],[Descuento sobre subtotal %]]*(PROVEEDORES[[#This Row],[SUBTOTAL]]-PROVEEDORES[[#This Row],[descuento sobre subtotal]])</f>
        <v>0</v>
      </c>
      <c r="P217" s="74">
        <f>+IF(PROVEEDORES[[#This Row],[SUBTOTAL]]&lt;PROVEEDORES[[#This Row],[base retencion]],0,PROVEEDORES[[#This Row],[retención aplicada]])</f>
        <v>0</v>
      </c>
      <c r="Q217" s="22">
        <f>+PROVEEDORES[[#This Row],[Rete Fuente %]]*(PROVEEDORES[[#This Row],[SUBTOTAL]]-PROVEEDORES[[#This Row],[descuento sobre subtotal]])</f>
        <v>0</v>
      </c>
      <c r="R217" s="21">
        <v>29400</v>
      </c>
      <c r="S21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63">
        <f ca="1">IF(PROVEEDORES[[#This Row],[FECHA DE PAGO]]=0,TODAY()-PROVEEDORES[[#This Row],[FECHA DE FACTURACIÓN]]-PROVEEDORES[[#This Row],[PLAZO Días]],0)</f>
        <v>0</v>
      </c>
      <c r="U217" s="87">
        <f>+VLOOKUP(PROVEEDORES[[#This Row],[PROVEEDOR]],Terceros!$A:$D,4,FALSE)</f>
        <v>0</v>
      </c>
      <c r="V217" s="88">
        <f>+YEAR(PROVEEDORES[[#This Row],[FECHA DE FACTURACIÓN]])</f>
        <v>2022</v>
      </c>
      <c r="W217" s="88">
        <f>+MATCH(PROVEEDORES[[#This Row],[año facturado]],Retenciones!$1:$1,0)</f>
        <v>5</v>
      </c>
      <c r="X217" s="89">
        <f>+VLOOKUP(PROVEEDORES[[#This Row],[ID RETENCION]],Retenciones!$A$1:$O$25,PROVEEDORES[[#This Row],[indicador de columna]],FALSE)</f>
        <v>0</v>
      </c>
      <c r="Y217" s="90">
        <f>+VLOOKUP(PROVEEDORES[[#This Row],[ID RETENCION]],Retenciones!$A$1:$O$25,2,FALSE)</f>
        <v>0</v>
      </c>
      <c r="Z217" s="116" t="b">
        <f>OR(COUNTIF(PROVEEDORES[[#This Row],[PROVEEDOR]],"*"&amp;'Palabra no opera'!$A$2&amp;"*"))</f>
        <v>0</v>
      </c>
      <c r="AA217" s="24"/>
      <c r="AB217" s="24"/>
      <c r="AC217" s="24"/>
      <c r="AD217" s="24"/>
      <c r="AE217" s="24"/>
    </row>
    <row r="218" spans="1:31" ht="22.35" customHeight="1" x14ac:dyDescent="0.3">
      <c r="A218" s="61" t="str">
        <f>+IF(PROVEEDORES[[#This Row],[FECHA DE PAGO]]=PROVEEDORES[[#This Row],[FECHA DE FACTURACIÓN]],"DE CONTADO","CRÉDITO")</f>
        <v>DE CONTADO</v>
      </c>
      <c r="B218" s="38" t="b">
        <f>+IF((PROVEEDORES[[#This Row],[FECHA DE PAGO]]-PROVEEDORES[[#This Row],[FECHA DE FACTURACIÓN]])&gt;PROVEEDORES[[#This Row],[PLAZO Días]],"PAGO VENCIDO")</f>
        <v>0</v>
      </c>
      <c r="C218" s="20">
        <f>+VLOOKUP(PROVEEDORES[[#This Row],[PROVEEDOR]],TERCEROS_INFO[#All],2,FALSE)</f>
        <v>30</v>
      </c>
      <c r="D218" s="25">
        <f>+SUMIFS(PROVEEDORES[Total],PROVEEDORES[PROVEEDOR],PROVEEDORES[[#This Row],[PROVEEDOR]],PROVEEDORES[FECHA DE PAGO],"")</f>
        <v>0</v>
      </c>
      <c r="E218" s="25"/>
      <c r="F218" s="56" t="str">
        <f>+VLOOKUP(PROVEEDORES[[#This Row],[PROVEEDOR]],
                       Terceros!$A:$F,
                       5,
                       FALSE)</f>
        <v/>
      </c>
      <c r="G218" s="68">
        <v>44651</v>
      </c>
      <c r="H218" s="26" t="s">
        <v>362</v>
      </c>
      <c r="I218" s="68">
        <v>44651</v>
      </c>
      <c r="J218" s="35" t="s">
        <v>363</v>
      </c>
      <c r="K218" s="21">
        <v>38200</v>
      </c>
      <c r="L218" s="21"/>
      <c r="M218" s="22">
        <f>(PROVEEDORES[[#This Row],[SUBTOTAL]]-PROVEEDORES[[#This Row],[descuento sobre subtotal]])*VLOOKUP(PROVEEDORES[[#This Row],[PROVEEDOR]],TERCEROS_INFO[#All],3,FALSE)</f>
        <v>0</v>
      </c>
      <c r="N218" s="23"/>
      <c r="O218" s="22">
        <f>+PROVEEDORES[[#This Row],[Descuento sobre subtotal %]]*(PROVEEDORES[[#This Row],[SUBTOTAL]]-PROVEEDORES[[#This Row],[descuento sobre subtotal]])</f>
        <v>0</v>
      </c>
      <c r="P218" s="74">
        <f>+IF(PROVEEDORES[[#This Row],[SUBTOTAL]]&lt;PROVEEDORES[[#This Row],[base retencion]],0,PROVEEDORES[[#This Row],[retención aplicada]])</f>
        <v>0</v>
      </c>
      <c r="Q218" s="22">
        <f>+PROVEEDORES[[#This Row],[Rete Fuente %]]*(PROVEEDORES[[#This Row],[SUBTOTAL]]-PROVEEDORES[[#This Row],[descuento sobre subtotal]])</f>
        <v>0</v>
      </c>
      <c r="R218" s="21">
        <v>38200</v>
      </c>
      <c r="S21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63">
        <f ca="1">IF(PROVEEDORES[[#This Row],[FECHA DE PAGO]]=0,TODAY()-PROVEEDORES[[#This Row],[FECHA DE FACTURACIÓN]]-PROVEEDORES[[#This Row],[PLAZO Días]],0)</f>
        <v>0</v>
      </c>
      <c r="U218" s="87">
        <f>+VLOOKUP(PROVEEDORES[[#This Row],[PROVEEDOR]],Terceros!$A:$D,4,FALSE)</f>
        <v>0</v>
      </c>
      <c r="V218" s="88">
        <f>+YEAR(PROVEEDORES[[#This Row],[FECHA DE FACTURACIÓN]])</f>
        <v>2022</v>
      </c>
      <c r="W218" s="88">
        <f>+MATCH(PROVEEDORES[[#This Row],[año facturado]],Retenciones!$1:$1,0)</f>
        <v>5</v>
      </c>
      <c r="X218" s="89">
        <f>+VLOOKUP(PROVEEDORES[[#This Row],[ID RETENCION]],Retenciones!$A$1:$O$25,PROVEEDORES[[#This Row],[indicador de columna]],FALSE)</f>
        <v>0</v>
      </c>
      <c r="Y218" s="90">
        <f>+VLOOKUP(PROVEEDORES[[#This Row],[ID RETENCION]],Retenciones!$A$1:$O$25,2,FALSE)</f>
        <v>0</v>
      </c>
      <c r="Z218" s="116" t="b">
        <f>OR(COUNTIF(PROVEEDORES[[#This Row],[PROVEEDOR]],"*"&amp;'Palabra no opera'!$A$2&amp;"*"))</f>
        <v>0</v>
      </c>
      <c r="AA218" s="24"/>
      <c r="AB218" s="24"/>
      <c r="AC218" s="24"/>
      <c r="AD218" s="24"/>
      <c r="AE218" s="24"/>
    </row>
    <row r="219" spans="1:31" ht="22.35" customHeight="1" x14ac:dyDescent="0.3">
      <c r="A219" s="61" t="str">
        <f>+IF(PROVEEDORES[[#This Row],[FECHA DE PAGO]]=PROVEEDORES[[#This Row],[FECHA DE FACTURACIÓN]],"DE CONTADO","CRÉDITO")</f>
        <v>DE CONTADO</v>
      </c>
      <c r="B219" s="38" t="b">
        <f>+IF((PROVEEDORES[[#This Row],[FECHA DE PAGO]]-PROVEEDORES[[#This Row],[FECHA DE FACTURACIÓN]])&gt;PROVEEDORES[[#This Row],[PLAZO Días]],"PAGO VENCIDO")</f>
        <v>0</v>
      </c>
      <c r="C219" s="20">
        <f>+VLOOKUP(PROVEEDORES[[#This Row],[PROVEEDOR]],TERCEROS_INFO[#All],2,FALSE)</f>
        <v>30</v>
      </c>
      <c r="D219" s="25">
        <f>+SUMIFS(PROVEEDORES[Total],PROVEEDORES[PROVEEDOR],PROVEEDORES[[#This Row],[PROVEEDOR]],PROVEEDORES[FECHA DE PAGO],"")</f>
        <v>0</v>
      </c>
      <c r="E219" s="25"/>
      <c r="F219" s="56" t="str">
        <f>+VLOOKUP(PROVEEDORES[[#This Row],[PROVEEDOR]],
                       Terceros!$A:$F,
                       5,
                       FALSE)</f>
        <v/>
      </c>
      <c r="G219" s="68">
        <v>44651</v>
      </c>
      <c r="H219" s="26" t="s">
        <v>362</v>
      </c>
      <c r="I219" s="68">
        <v>44651</v>
      </c>
      <c r="J219" s="35" t="s">
        <v>319</v>
      </c>
      <c r="K219" s="21">
        <v>190500</v>
      </c>
      <c r="L219" s="21"/>
      <c r="M219" s="22">
        <f>(PROVEEDORES[[#This Row],[SUBTOTAL]]-PROVEEDORES[[#This Row],[descuento sobre subtotal]])*VLOOKUP(PROVEEDORES[[#This Row],[PROVEEDOR]],TERCEROS_INFO[#All],3,FALSE)</f>
        <v>0</v>
      </c>
      <c r="N219" s="23"/>
      <c r="O219" s="22">
        <f>+PROVEEDORES[[#This Row],[Descuento sobre subtotal %]]*(PROVEEDORES[[#This Row],[SUBTOTAL]]-PROVEEDORES[[#This Row],[descuento sobre subtotal]])</f>
        <v>0</v>
      </c>
      <c r="P219" s="74">
        <f>+IF(PROVEEDORES[[#This Row],[SUBTOTAL]]&lt;PROVEEDORES[[#This Row],[base retencion]],0,PROVEEDORES[[#This Row],[retención aplicada]])</f>
        <v>0</v>
      </c>
      <c r="Q219" s="22">
        <f>+PROVEEDORES[[#This Row],[Rete Fuente %]]*(PROVEEDORES[[#This Row],[SUBTOTAL]]-PROVEEDORES[[#This Row],[descuento sobre subtotal]])</f>
        <v>0</v>
      </c>
      <c r="R219" s="21">
        <v>190500</v>
      </c>
      <c r="S21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63">
        <f ca="1">IF(PROVEEDORES[[#This Row],[FECHA DE PAGO]]=0,TODAY()-PROVEEDORES[[#This Row],[FECHA DE FACTURACIÓN]]-PROVEEDORES[[#This Row],[PLAZO Días]],0)</f>
        <v>0</v>
      </c>
      <c r="U219" s="87">
        <f>+VLOOKUP(PROVEEDORES[[#This Row],[PROVEEDOR]],Terceros!$A:$D,4,FALSE)</f>
        <v>0</v>
      </c>
      <c r="V219" s="88">
        <f>+YEAR(PROVEEDORES[[#This Row],[FECHA DE FACTURACIÓN]])</f>
        <v>2022</v>
      </c>
      <c r="W219" s="88">
        <f>+MATCH(PROVEEDORES[[#This Row],[año facturado]],Retenciones!$1:$1,0)</f>
        <v>5</v>
      </c>
      <c r="X219" s="89">
        <f>+VLOOKUP(PROVEEDORES[[#This Row],[ID RETENCION]],Retenciones!$A$1:$O$25,PROVEEDORES[[#This Row],[indicador de columna]],FALSE)</f>
        <v>0</v>
      </c>
      <c r="Y219" s="90">
        <f>+VLOOKUP(PROVEEDORES[[#This Row],[ID RETENCION]],Retenciones!$A$1:$O$25,2,FALSE)</f>
        <v>0</v>
      </c>
      <c r="Z219" s="116" t="b">
        <f>OR(COUNTIF(PROVEEDORES[[#This Row],[PROVEEDOR]],"*"&amp;'Palabra no opera'!$A$2&amp;"*"))</f>
        <v>0</v>
      </c>
      <c r="AA219" s="24"/>
      <c r="AB219" s="24"/>
      <c r="AC219" s="24"/>
      <c r="AD219" s="24"/>
      <c r="AE219" s="24"/>
    </row>
    <row r="220" spans="1:31" ht="22.35" customHeight="1" x14ac:dyDescent="0.3">
      <c r="A220" s="61" t="str">
        <f>+IF(PROVEEDORES[[#This Row],[FECHA DE PAGO]]=PROVEEDORES[[#This Row],[FECHA DE FACTURACIÓN]],"DE CONTADO","CRÉDITO")</f>
        <v>DE CONTADO</v>
      </c>
      <c r="B220" s="38" t="b">
        <f>+IF((PROVEEDORES[[#This Row],[FECHA DE PAGO]]-PROVEEDORES[[#This Row],[FECHA DE FACTURACIÓN]])&gt;PROVEEDORES[[#This Row],[PLAZO Días]],"PAGO VENCIDO")</f>
        <v>0</v>
      </c>
      <c r="C220" s="20">
        <f>+VLOOKUP(PROVEEDORES[[#This Row],[PROVEEDOR]],TERCEROS_INFO[#All],2,FALSE)</f>
        <v>30</v>
      </c>
      <c r="D220" s="25">
        <f>+SUMIFS(PROVEEDORES[Total],PROVEEDORES[PROVEEDOR],PROVEEDORES[[#This Row],[PROVEEDOR]],PROVEEDORES[FECHA DE PAGO],"")</f>
        <v>0</v>
      </c>
      <c r="E220" s="25"/>
      <c r="F220" s="56" t="str">
        <f>+VLOOKUP(PROVEEDORES[[#This Row],[PROVEEDOR]],
                       Terceros!$A:$F,
                       5,
                       FALSE)</f>
        <v/>
      </c>
      <c r="G220" s="68">
        <v>44651</v>
      </c>
      <c r="H220" s="26" t="s">
        <v>362</v>
      </c>
      <c r="I220" s="68">
        <v>44651</v>
      </c>
      <c r="J220" s="35" t="s">
        <v>318</v>
      </c>
      <c r="K220" s="21">
        <v>747150</v>
      </c>
      <c r="L220" s="21"/>
      <c r="M220" s="22">
        <f>(PROVEEDORES[[#This Row],[SUBTOTAL]]-PROVEEDORES[[#This Row],[descuento sobre subtotal]])*VLOOKUP(PROVEEDORES[[#This Row],[PROVEEDOR]],TERCEROS_INFO[#All],3,FALSE)</f>
        <v>0</v>
      </c>
      <c r="N220" s="23"/>
      <c r="O220" s="22">
        <f>+PROVEEDORES[[#This Row],[Descuento sobre subtotal %]]*(PROVEEDORES[[#This Row],[SUBTOTAL]]-PROVEEDORES[[#This Row],[descuento sobre subtotal]])</f>
        <v>0</v>
      </c>
      <c r="P220" s="74">
        <f>+IF(PROVEEDORES[[#This Row],[SUBTOTAL]]&lt;PROVEEDORES[[#This Row],[base retencion]],0,PROVEEDORES[[#This Row],[retención aplicada]])</f>
        <v>0</v>
      </c>
      <c r="Q220" s="22">
        <f>+PROVEEDORES[[#This Row],[Rete Fuente %]]*(PROVEEDORES[[#This Row],[SUBTOTAL]]-PROVEEDORES[[#This Row],[descuento sobre subtotal]])</f>
        <v>0</v>
      </c>
      <c r="R220" s="21">
        <v>747150</v>
      </c>
      <c r="S22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63">
        <f ca="1">IF(PROVEEDORES[[#This Row],[FECHA DE PAGO]]=0,TODAY()-PROVEEDORES[[#This Row],[FECHA DE FACTURACIÓN]]-PROVEEDORES[[#This Row],[PLAZO Días]],0)</f>
        <v>0</v>
      </c>
      <c r="U220" s="87">
        <f>+VLOOKUP(PROVEEDORES[[#This Row],[PROVEEDOR]],Terceros!$A:$D,4,FALSE)</f>
        <v>0</v>
      </c>
      <c r="V220" s="88">
        <f>+YEAR(PROVEEDORES[[#This Row],[FECHA DE FACTURACIÓN]])</f>
        <v>2022</v>
      </c>
      <c r="W220" s="88">
        <f>+MATCH(PROVEEDORES[[#This Row],[año facturado]],Retenciones!$1:$1,0)</f>
        <v>5</v>
      </c>
      <c r="X220" s="89">
        <f>+VLOOKUP(PROVEEDORES[[#This Row],[ID RETENCION]],Retenciones!$A$1:$O$25,PROVEEDORES[[#This Row],[indicador de columna]],FALSE)</f>
        <v>0</v>
      </c>
      <c r="Y220" s="90">
        <f>+VLOOKUP(PROVEEDORES[[#This Row],[ID RETENCION]],Retenciones!$A$1:$O$25,2,FALSE)</f>
        <v>0</v>
      </c>
      <c r="Z220" s="116" t="b">
        <f>OR(COUNTIF(PROVEEDORES[[#This Row],[PROVEEDOR]],"*"&amp;'Palabra no opera'!$A$2&amp;"*"))</f>
        <v>0</v>
      </c>
      <c r="AA220" s="24"/>
      <c r="AB220" s="24"/>
      <c r="AC220" s="24"/>
      <c r="AD220" s="24"/>
      <c r="AE220" s="24"/>
    </row>
    <row r="221" spans="1:31" ht="22.35" customHeight="1" x14ac:dyDescent="0.3">
      <c r="A221" s="61" t="str">
        <f>+IF(PROVEEDORES[[#This Row],[FECHA DE PAGO]]=PROVEEDORES[[#This Row],[FECHA DE FACTURACIÓN]],"DE CONTADO","CRÉDITO")</f>
        <v>DE CONTADO</v>
      </c>
      <c r="B221" s="38" t="b">
        <f>+IF((PROVEEDORES[[#This Row],[FECHA DE PAGO]]-PROVEEDORES[[#This Row],[FECHA DE FACTURACIÓN]])&gt;PROVEEDORES[[#This Row],[PLAZO Días]],"PAGO VENCIDO")</f>
        <v>0</v>
      </c>
      <c r="C221" s="20">
        <f>+VLOOKUP(PROVEEDORES[[#This Row],[PROVEEDOR]],TERCEROS_INFO[#All],2,FALSE)</f>
        <v>30</v>
      </c>
      <c r="D221" s="25">
        <f>+SUMIFS(PROVEEDORES[Total],PROVEEDORES[PROVEEDOR],PROVEEDORES[[#This Row],[PROVEEDOR]],PROVEEDORES[FECHA DE PAGO],"")</f>
        <v>0</v>
      </c>
      <c r="E221" s="25"/>
      <c r="F221" s="56" t="str">
        <f>+VLOOKUP(PROVEEDORES[[#This Row],[PROVEEDOR]],
                       Terceros!$A:$F,
                       5,
                       FALSE)</f>
        <v/>
      </c>
      <c r="G221" s="68">
        <v>44651</v>
      </c>
      <c r="H221" s="26" t="s">
        <v>362</v>
      </c>
      <c r="I221" s="68">
        <v>44651</v>
      </c>
      <c r="J221" s="35" t="s">
        <v>139</v>
      </c>
      <c r="K221" s="21">
        <v>807600</v>
      </c>
      <c r="L221" s="21"/>
      <c r="M221" s="22">
        <f>(PROVEEDORES[[#This Row],[SUBTOTAL]]-PROVEEDORES[[#This Row],[descuento sobre subtotal]])*VLOOKUP(PROVEEDORES[[#This Row],[PROVEEDOR]],TERCEROS_INFO[#All],3,FALSE)</f>
        <v>0</v>
      </c>
      <c r="N221" s="23"/>
      <c r="O221" s="22">
        <f>+PROVEEDORES[[#This Row],[Descuento sobre subtotal %]]*(PROVEEDORES[[#This Row],[SUBTOTAL]]-PROVEEDORES[[#This Row],[descuento sobre subtotal]])</f>
        <v>0</v>
      </c>
      <c r="P221" s="74">
        <f>+IF(PROVEEDORES[[#This Row],[SUBTOTAL]]&lt;PROVEEDORES[[#This Row],[base retencion]],0,PROVEEDORES[[#This Row],[retención aplicada]])</f>
        <v>0</v>
      </c>
      <c r="Q221" s="22">
        <f>+PROVEEDORES[[#This Row],[Rete Fuente %]]*(PROVEEDORES[[#This Row],[SUBTOTAL]]-PROVEEDORES[[#This Row],[descuento sobre subtotal]])</f>
        <v>0</v>
      </c>
      <c r="R221" s="21">
        <v>807600</v>
      </c>
      <c r="S22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63">
        <f ca="1">IF(PROVEEDORES[[#This Row],[FECHA DE PAGO]]=0,TODAY()-PROVEEDORES[[#This Row],[FECHA DE FACTURACIÓN]]-PROVEEDORES[[#This Row],[PLAZO Días]],0)</f>
        <v>0</v>
      </c>
      <c r="U221" s="87">
        <f>+VLOOKUP(PROVEEDORES[[#This Row],[PROVEEDOR]],Terceros!$A:$D,4,FALSE)</f>
        <v>0</v>
      </c>
      <c r="V221" s="88">
        <f>+YEAR(PROVEEDORES[[#This Row],[FECHA DE FACTURACIÓN]])</f>
        <v>2022</v>
      </c>
      <c r="W221" s="88">
        <f>+MATCH(PROVEEDORES[[#This Row],[año facturado]],Retenciones!$1:$1,0)</f>
        <v>5</v>
      </c>
      <c r="X221" s="89">
        <f>+VLOOKUP(PROVEEDORES[[#This Row],[ID RETENCION]],Retenciones!$A$1:$O$25,PROVEEDORES[[#This Row],[indicador de columna]],FALSE)</f>
        <v>0</v>
      </c>
      <c r="Y221" s="90">
        <f>+VLOOKUP(PROVEEDORES[[#This Row],[ID RETENCION]],Retenciones!$A$1:$O$25,2,FALSE)</f>
        <v>0</v>
      </c>
      <c r="Z221" s="116" t="b">
        <f>OR(COUNTIF(PROVEEDORES[[#This Row],[PROVEEDOR]],"*"&amp;'Palabra no opera'!$A$2&amp;"*"))</f>
        <v>0</v>
      </c>
      <c r="AA221" s="24"/>
      <c r="AB221" s="24"/>
      <c r="AC221" s="24"/>
      <c r="AD221" s="24"/>
      <c r="AE221" s="24"/>
    </row>
    <row r="222" spans="1:31" ht="22.35" customHeight="1" x14ac:dyDescent="0.3">
      <c r="A222" s="61" t="str">
        <f>+IF(PROVEEDORES[[#This Row],[FECHA DE PAGO]]=PROVEEDORES[[#This Row],[FECHA DE FACTURACIÓN]],"DE CONTADO","CRÉDITO")</f>
        <v>DE CONTADO</v>
      </c>
      <c r="B222" s="38" t="b">
        <f>+IF((PROVEEDORES[[#This Row],[FECHA DE PAGO]]-PROVEEDORES[[#This Row],[FECHA DE FACTURACIÓN]])&gt;PROVEEDORES[[#This Row],[PLAZO Días]],"PAGO VENCIDO")</f>
        <v>0</v>
      </c>
      <c r="C222" s="20">
        <f>+VLOOKUP(PROVEEDORES[[#This Row],[PROVEEDOR]],TERCEROS_INFO[#All],2,FALSE)</f>
        <v>30</v>
      </c>
      <c r="D222" s="25">
        <f>+SUMIFS(PROVEEDORES[Total],PROVEEDORES[PROVEEDOR],PROVEEDORES[[#This Row],[PROVEEDOR]],PROVEEDORES[FECHA DE PAGO],"")</f>
        <v>0</v>
      </c>
      <c r="E222" s="25"/>
      <c r="F222" s="56" t="str">
        <f>+VLOOKUP(PROVEEDORES[[#This Row],[PROVEEDOR]],
                       Terceros!$A:$F,
                       5,
                       FALSE)</f>
        <v/>
      </c>
      <c r="G222" s="68">
        <v>44651</v>
      </c>
      <c r="H222" s="26" t="s">
        <v>362</v>
      </c>
      <c r="I222" s="68">
        <v>44651</v>
      </c>
      <c r="J222" s="35" t="s">
        <v>316</v>
      </c>
      <c r="K222" s="21">
        <v>3637200</v>
      </c>
      <c r="L222" s="21"/>
      <c r="M222" s="22">
        <f>(PROVEEDORES[[#This Row],[SUBTOTAL]]-PROVEEDORES[[#This Row],[descuento sobre subtotal]])*VLOOKUP(PROVEEDORES[[#This Row],[PROVEEDOR]],TERCEROS_INFO[#All],3,FALSE)</f>
        <v>0</v>
      </c>
      <c r="N222" s="23"/>
      <c r="O222" s="22">
        <f>+PROVEEDORES[[#This Row],[Descuento sobre subtotal %]]*(PROVEEDORES[[#This Row],[SUBTOTAL]]-PROVEEDORES[[#This Row],[descuento sobre subtotal]])</f>
        <v>0</v>
      </c>
      <c r="P222" s="74">
        <f>+IF(PROVEEDORES[[#This Row],[SUBTOTAL]]&lt;PROVEEDORES[[#This Row],[base retencion]],0,PROVEEDORES[[#This Row],[retención aplicada]])</f>
        <v>0</v>
      </c>
      <c r="Q222" s="22">
        <f>+PROVEEDORES[[#This Row],[Rete Fuente %]]*(PROVEEDORES[[#This Row],[SUBTOTAL]]-PROVEEDORES[[#This Row],[descuento sobre subtotal]])</f>
        <v>0</v>
      </c>
      <c r="R222" s="21">
        <v>3637200</v>
      </c>
      <c r="S22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63">
        <f ca="1">IF(PROVEEDORES[[#This Row],[FECHA DE PAGO]]=0,TODAY()-PROVEEDORES[[#This Row],[FECHA DE FACTURACIÓN]]-PROVEEDORES[[#This Row],[PLAZO Días]],0)</f>
        <v>0</v>
      </c>
      <c r="U222" s="87">
        <f>+VLOOKUP(PROVEEDORES[[#This Row],[PROVEEDOR]],Terceros!$A:$D,4,FALSE)</f>
        <v>0</v>
      </c>
      <c r="V222" s="88">
        <f>+YEAR(PROVEEDORES[[#This Row],[FECHA DE FACTURACIÓN]])</f>
        <v>2022</v>
      </c>
      <c r="W222" s="88">
        <f>+MATCH(PROVEEDORES[[#This Row],[año facturado]],Retenciones!$1:$1,0)</f>
        <v>5</v>
      </c>
      <c r="X222" s="89">
        <f>+VLOOKUP(PROVEEDORES[[#This Row],[ID RETENCION]],Retenciones!$A$1:$O$25,PROVEEDORES[[#This Row],[indicador de columna]],FALSE)</f>
        <v>0</v>
      </c>
      <c r="Y222" s="90">
        <f>+VLOOKUP(PROVEEDORES[[#This Row],[ID RETENCION]],Retenciones!$A$1:$O$25,2,FALSE)</f>
        <v>0</v>
      </c>
      <c r="Z222" s="116" t="b">
        <f>OR(COUNTIF(PROVEEDORES[[#This Row],[PROVEEDOR]],"*"&amp;'Palabra no opera'!$A$2&amp;"*"))</f>
        <v>0</v>
      </c>
      <c r="AA222" s="24"/>
      <c r="AB222" s="24"/>
      <c r="AC222" s="24"/>
      <c r="AD222" s="24"/>
      <c r="AE222" s="24"/>
    </row>
    <row r="223" spans="1:31" ht="22.35" customHeight="1" x14ac:dyDescent="0.3">
      <c r="A223" s="61" t="str">
        <f>+IF(PROVEEDORES[[#This Row],[FECHA DE PAGO]]=PROVEEDORES[[#This Row],[FECHA DE FACTURACIÓN]],"DE CONTADO","CRÉDITO")</f>
        <v>CRÉDITO</v>
      </c>
      <c r="B223" s="38" t="b">
        <f>+IF((PROVEEDORES[[#This Row],[FECHA DE PAGO]]-PROVEEDORES[[#This Row],[FECHA DE FACTURACIÓN]])&gt;PROVEEDORES[[#This Row],[PLAZO Días]],"PAGO VENCIDO")</f>
        <v>0</v>
      </c>
      <c r="C223" s="20">
        <f>+VLOOKUP(PROVEEDORES[[#This Row],[PROVEEDOR]],TERCEROS_INFO[#All],2,FALSE)</f>
        <v>30</v>
      </c>
      <c r="D223" s="25">
        <f>+SUMIFS(PROVEEDORES[Total],PROVEEDORES[PROVEEDOR],PROVEEDORES[[#This Row],[PROVEEDOR]],PROVEEDORES[FECHA DE PAGO],"")</f>
        <v>0</v>
      </c>
      <c r="E223" s="25"/>
      <c r="F223" s="56" t="str">
        <f>+VLOOKUP(PROVEEDORES[[#This Row],[PROVEEDOR]],
                       Terceros!$A:$F,
                       5,
                       FALSE)</f>
        <v/>
      </c>
      <c r="G223" s="68">
        <v>44651</v>
      </c>
      <c r="H223" s="26" t="s">
        <v>832</v>
      </c>
      <c r="I223" s="68">
        <v>44635</v>
      </c>
      <c r="J223" s="35" t="s">
        <v>447</v>
      </c>
      <c r="K223" s="21">
        <v>89500</v>
      </c>
      <c r="L223" s="21"/>
      <c r="M223" s="22">
        <f>(PROVEEDORES[[#This Row],[SUBTOTAL]]-PROVEEDORES[[#This Row],[descuento sobre subtotal]])*VLOOKUP(PROVEEDORES[[#This Row],[PROVEEDOR]],TERCEROS_INFO[#All],3,FALSE)</f>
        <v>0</v>
      </c>
      <c r="N223" s="23"/>
      <c r="O223" s="22">
        <f>+PROVEEDORES[[#This Row],[Descuento sobre subtotal %]]*(PROVEEDORES[[#This Row],[SUBTOTAL]]-PROVEEDORES[[#This Row],[descuento sobre subtotal]])</f>
        <v>0</v>
      </c>
      <c r="P223" s="74">
        <f>+IF(PROVEEDORES[[#This Row],[SUBTOTAL]]&lt;PROVEEDORES[[#This Row],[base retencion]],0,PROVEEDORES[[#This Row],[retención aplicada]])</f>
        <v>0</v>
      </c>
      <c r="Q223" s="22">
        <f>+PROVEEDORES[[#This Row],[Rete Fuente %]]*(PROVEEDORES[[#This Row],[SUBTOTAL]]-PROVEEDORES[[#This Row],[descuento sobre subtotal]])</f>
        <v>0</v>
      </c>
      <c r="R223" s="21">
        <f>+PROVEEDORES[[#This Row],[SUBTOTAL]]+PROVEEDORES[[#This Row],[IVA 19%]]-PROVEEDORES[[#This Row],[descuento sobre subtotal]]-PROVEEDORES[[#This Row],[Descuento sobre subtotal $2]]-PROVEEDORES[[#This Row],[Rete Fuente $]]</f>
        <v>89500</v>
      </c>
      <c r="S22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63">
        <f ca="1">IF(PROVEEDORES[[#This Row],[FECHA DE PAGO]]=0,TODAY()-PROVEEDORES[[#This Row],[FECHA DE FACTURACIÓN]]-PROVEEDORES[[#This Row],[PLAZO Días]],0)</f>
        <v>0</v>
      </c>
      <c r="U223" s="87">
        <f>+VLOOKUP(PROVEEDORES[[#This Row],[PROVEEDOR]],Terceros!$A:$D,4,FALSE)</f>
        <v>0</v>
      </c>
      <c r="V223" s="88">
        <f>+YEAR(PROVEEDORES[[#This Row],[FECHA DE FACTURACIÓN]])</f>
        <v>2022</v>
      </c>
      <c r="W223" s="88">
        <f>+MATCH(PROVEEDORES[[#This Row],[año facturado]],Retenciones!$1:$1,0)</f>
        <v>5</v>
      </c>
      <c r="X223" s="89">
        <f>+VLOOKUP(PROVEEDORES[[#This Row],[ID RETENCION]],Retenciones!$A$1:$O$25,PROVEEDORES[[#This Row],[indicador de columna]],FALSE)</f>
        <v>0</v>
      </c>
      <c r="Y223" s="90">
        <f>+VLOOKUP(PROVEEDORES[[#This Row],[ID RETENCION]],Retenciones!$A$1:$O$25,2,FALSE)</f>
        <v>0</v>
      </c>
      <c r="Z223" s="116" t="b">
        <f>OR(COUNTIF(PROVEEDORES[[#This Row],[PROVEEDOR]],"*"&amp;'Palabra no opera'!$A$2&amp;"*"))</f>
        <v>1</v>
      </c>
      <c r="AA223" s="24"/>
      <c r="AB223" s="24"/>
      <c r="AC223" s="24"/>
      <c r="AD223" s="24"/>
      <c r="AE223" s="24"/>
    </row>
    <row r="224" spans="1:31" ht="22.35" customHeight="1" x14ac:dyDescent="0.3">
      <c r="A224" s="61" t="str">
        <f>+IF(PROVEEDORES[[#This Row],[FECHA DE PAGO]]=PROVEEDORES[[#This Row],[FECHA DE FACTURACIÓN]],"DE CONTADO","CRÉDITO")</f>
        <v>CRÉDITO</v>
      </c>
      <c r="B224" s="38" t="b">
        <f>+IF((PROVEEDORES[[#This Row],[FECHA DE PAGO]]-PROVEEDORES[[#This Row],[FECHA DE FACTURACIÓN]])&gt;PROVEEDORES[[#This Row],[PLAZO Días]],"PAGO VENCIDO")</f>
        <v>0</v>
      </c>
      <c r="C224" s="20">
        <f>+VLOOKUP(PROVEEDORES[[#This Row],[PROVEEDOR]],TERCEROS_INFO[#All],2,FALSE)</f>
        <v>30</v>
      </c>
      <c r="D224" s="25">
        <f>+SUMIFS(PROVEEDORES[Total],PROVEEDORES[PROVEEDOR],PROVEEDORES[[#This Row],[PROVEEDOR]],PROVEEDORES[FECHA DE PAGO],"")</f>
        <v>0</v>
      </c>
      <c r="E224" s="25"/>
      <c r="F224" s="56" t="str">
        <f>+VLOOKUP(PROVEEDORES[[#This Row],[PROVEEDOR]],
                       Terceros!$A:$F,
                       5,
                       FALSE)</f>
        <v/>
      </c>
      <c r="G224" s="68">
        <v>44651</v>
      </c>
      <c r="H224" s="26" t="s">
        <v>832</v>
      </c>
      <c r="I224" s="68">
        <v>44645</v>
      </c>
      <c r="J224" s="35" t="s">
        <v>433</v>
      </c>
      <c r="K224" s="21">
        <v>106000</v>
      </c>
      <c r="L224" s="21"/>
      <c r="M224" s="22">
        <f>(PROVEEDORES[[#This Row],[SUBTOTAL]]-PROVEEDORES[[#This Row],[descuento sobre subtotal]])*VLOOKUP(PROVEEDORES[[#This Row],[PROVEEDOR]],TERCEROS_INFO[#All],3,FALSE)</f>
        <v>0</v>
      </c>
      <c r="N224" s="23"/>
      <c r="O224" s="22">
        <f>+PROVEEDORES[[#This Row],[Descuento sobre subtotal %]]*(PROVEEDORES[[#This Row],[SUBTOTAL]]-PROVEEDORES[[#This Row],[descuento sobre subtotal]])</f>
        <v>0</v>
      </c>
      <c r="P224" s="74">
        <f>+IF(PROVEEDORES[[#This Row],[SUBTOTAL]]&lt;PROVEEDORES[[#This Row],[base retencion]],0,PROVEEDORES[[#This Row],[retención aplicada]])</f>
        <v>0</v>
      </c>
      <c r="Q224" s="22">
        <f>+PROVEEDORES[[#This Row],[Rete Fuente %]]*(PROVEEDORES[[#This Row],[SUBTOTAL]]-PROVEEDORES[[#This Row],[descuento sobre subtotal]])</f>
        <v>0</v>
      </c>
      <c r="R224" s="21">
        <f>+PROVEEDORES[[#This Row],[SUBTOTAL]]+PROVEEDORES[[#This Row],[IVA 19%]]-PROVEEDORES[[#This Row],[descuento sobre subtotal]]-PROVEEDORES[[#This Row],[Descuento sobre subtotal $2]]-PROVEEDORES[[#This Row],[Rete Fuente $]]</f>
        <v>106000</v>
      </c>
      <c r="S22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63">
        <f ca="1">IF(PROVEEDORES[[#This Row],[FECHA DE PAGO]]=0,TODAY()-PROVEEDORES[[#This Row],[FECHA DE FACTURACIÓN]]-PROVEEDORES[[#This Row],[PLAZO Días]],0)</f>
        <v>0</v>
      </c>
      <c r="U224" s="87">
        <f>+VLOOKUP(PROVEEDORES[[#This Row],[PROVEEDOR]],Terceros!$A:$D,4,FALSE)</f>
        <v>0</v>
      </c>
      <c r="V224" s="88">
        <f>+YEAR(PROVEEDORES[[#This Row],[FECHA DE FACTURACIÓN]])</f>
        <v>2022</v>
      </c>
      <c r="W224" s="88">
        <f>+MATCH(PROVEEDORES[[#This Row],[año facturado]],Retenciones!$1:$1,0)</f>
        <v>5</v>
      </c>
      <c r="X224" s="89">
        <f>+VLOOKUP(PROVEEDORES[[#This Row],[ID RETENCION]],Retenciones!$A$1:$O$25,PROVEEDORES[[#This Row],[indicador de columna]],FALSE)</f>
        <v>0</v>
      </c>
      <c r="Y224" s="90">
        <f>+VLOOKUP(PROVEEDORES[[#This Row],[ID RETENCION]],Retenciones!$A$1:$O$25,2,FALSE)</f>
        <v>0</v>
      </c>
      <c r="Z224" s="116" t="b">
        <f>OR(COUNTIF(PROVEEDORES[[#This Row],[PROVEEDOR]],"*"&amp;'Palabra no opera'!$A$2&amp;"*"))</f>
        <v>1</v>
      </c>
      <c r="AA224" s="24"/>
      <c r="AB224" s="24"/>
      <c r="AC224" s="24"/>
      <c r="AD224" s="24"/>
      <c r="AE224" s="24"/>
    </row>
    <row r="225" spans="1:31" ht="22.35" customHeight="1" x14ac:dyDescent="0.3">
      <c r="A225" s="61" t="str">
        <f>+IF(PROVEEDORES[[#This Row],[FECHA DE PAGO]]=PROVEEDORES[[#This Row],[FECHA DE FACTURACIÓN]],"DE CONTADO","CRÉDITO")</f>
        <v>CRÉDITO</v>
      </c>
      <c r="B225" s="38" t="str">
        <f>+IF((PROVEEDORES[[#This Row],[FECHA DE PAGO]]-PROVEEDORES[[#This Row],[FECHA DE FACTURACIÓN]])&gt;PROVEEDORES[[#This Row],[PLAZO Días]],"PAGO VENCIDO")</f>
        <v>PAGO VENCIDO</v>
      </c>
      <c r="C225" s="20">
        <f>+VLOOKUP(PROVEEDORES[[#This Row],[PROVEEDOR]],TERCEROS_INFO[#All],2,FALSE)</f>
        <v>30</v>
      </c>
      <c r="D225" s="25">
        <f>+SUMIFS(PROVEEDORES[Total],PROVEEDORES[PROVEEDOR],PROVEEDORES[[#This Row],[PROVEEDOR]],PROVEEDORES[FECHA DE PAGO],"")</f>
        <v>1316890.8900000001</v>
      </c>
      <c r="E225" s="25"/>
      <c r="F22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25" s="68">
        <v>44652</v>
      </c>
      <c r="H225" s="26" t="s">
        <v>17</v>
      </c>
      <c r="I225" s="68">
        <v>44620</v>
      </c>
      <c r="J225" s="35">
        <v>1882198</v>
      </c>
      <c r="K225" s="21">
        <v>1817647</v>
      </c>
      <c r="L225" s="21"/>
      <c r="M225" s="22">
        <f>(PROVEEDORES[[#This Row],[SUBTOTAL]]-PROVEEDORES[[#This Row],[descuento sobre subtotal]])*VLOOKUP(PROVEEDORES[[#This Row],[PROVEEDOR]],TERCEROS_INFO[#All],3,FALSE)</f>
        <v>345352.93</v>
      </c>
      <c r="N225" s="23"/>
      <c r="O225" s="22">
        <f>+PROVEEDORES[[#This Row],[Descuento sobre subtotal %]]*(PROVEEDORES[[#This Row],[SUBTOTAL]]-PROVEEDORES[[#This Row],[descuento sobre subtotal]])</f>
        <v>0</v>
      </c>
      <c r="P225" s="74">
        <f>+IF(PROVEEDORES[[#This Row],[SUBTOTAL]]&lt;PROVEEDORES[[#This Row],[base retencion]],0,PROVEEDORES[[#This Row],[retención aplicada]])</f>
        <v>0</v>
      </c>
      <c r="Q225" s="22">
        <f>+PROVEEDORES[[#This Row],[Rete Fuente %]]*(PROVEEDORES[[#This Row],[SUBTOTAL]]-PROVEEDORES[[#This Row],[descuento sobre subtotal]])</f>
        <v>0</v>
      </c>
      <c r="R225" s="21">
        <v>2162999.9300000002</v>
      </c>
      <c r="S22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63">
        <f ca="1">IF(PROVEEDORES[[#This Row],[FECHA DE PAGO]]=0,TODAY()-PROVEEDORES[[#This Row],[FECHA DE FACTURACIÓN]]-PROVEEDORES[[#This Row],[PLAZO Días]],0)</f>
        <v>0</v>
      </c>
      <c r="U225" s="87">
        <f>+VLOOKUP(PROVEEDORES[[#This Row],[PROVEEDOR]],Terceros!$A:$D,4,FALSE)</f>
        <v>0</v>
      </c>
      <c r="V225" s="88">
        <f>+YEAR(PROVEEDORES[[#This Row],[FECHA DE FACTURACIÓN]])</f>
        <v>2022</v>
      </c>
      <c r="W225" s="88">
        <f>+MATCH(PROVEEDORES[[#This Row],[año facturado]],Retenciones!$1:$1,0)</f>
        <v>5</v>
      </c>
      <c r="X225" s="89">
        <f>+VLOOKUP(PROVEEDORES[[#This Row],[ID RETENCION]],Retenciones!$A$1:$O$25,PROVEEDORES[[#This Row],[indicador de columna]],FALSE)</f>
        <v>0</v>
      </c>
      <c r="Y225" s="90">
        <f>+VLOOKUP(PROVEEDORES[[#This Row],[ID RETENCION]],Retenciones!$A$1:$O$25,2,FALSE)</f>
        <v>0</v>
      </c>
      <c r="Z225" s="116" t="b">
        <f>OR(COUNTIF(PROVEEDORES[[#This Row],[PROVEEDOR]],"*"&amp;'Palabra no opera'!$A$2&amp;"*"))</f>
        <v>0</v>
      </c>
      <c r="AA225" s="24"/>
      <c r="AB225" s="24"/>
      <c r="AC225" s="24"/>
      <c r="AD225" s="24"/>
      <c r="AE225" s="24"/>
    </row>
    <row r="226" spans="1:31" ht="22.35" customHeight="1" x14ac:dyDescent="0.3">
      <c r="A226" s="61" t="str">
        <f>+IF(PROVEEDORES[[#This Row],[FECHA DE PAGO]]=PROVEEDORES[[#This Row],[FECHA DE FACTURACIÓN]],"DE CONTADO","CRÉDITO")</f>
        <v>CRÉDITO</v>
      </c>
      <c r="B226" s="38" t="str">
        <f>+IF((PROVEEDORES[[#This Row],[FECHA DE PAGO]]-PROVEEDORES[[#This Row],[FECHA DE FACTURACIÓN]])&gt;PROVEEDORES[[#This Row],[PLAZO Días]],"PAGO VENCIDO")</f>
        <v>PAGO VENCIDO</v>
      </c>
      <c r="C226" s="20">
        <f>+VLOOKUP(PROVEEDORES[[#This Row],[PROVEEDOR]],TERCEROS_INFO[#All],2,FALSE)</f>
        <v>30</v>
      </c>
      <c r="D226" s="25">
        <f>+SUMIFS(PROVEEDORES[Total],PROVEEDORES[PROVEEDOR],PROVEEDORES[[#This Row],[PROVEEDOR]],PROVEEDORES[FECHA DE PAGO],"")</f>
        <v>0</v>
      </c>
      <c r="E226" s="25"/>
      <c r="F226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26" s="68">
        <v>44652</v>
      </c>
      <c r="H226" s="26" t="s">
        <v>343</v>
      </c>
      <c r="I226" s="68">
        <v>44573</v>
      </c>
      <c r="J226" s="35" t="s">
        <v>986</v>
      </c>
      <c r="K226" s="21">
        <v>1120000</v>
      </c>
      <c r="L226" s="21"/>
      <c r="M226" s="22">
        <f>(PROVEEDORES[[#This Row],[SUBTOTAL]]-PROVEEDORES[[#This Row],[descuento sobre subtotal]])*VLOOKUP(PROVEEDORES[[#This Row],[PROVEEDOR]],TERCEROS_INFO[#All],3,FALSE)</f>
        <v>0</v>
      </c>
      <c r="N226" s="23"/>
      <c r="O226" s="22">
        <f>+PROVEEDORES[[#This Row],[Descuento sobre subtotal %]]*(PROVEEDORES[[#This Row],[SUBTOTAL]]-PROVEEDORES[[#This Row],[descuento sobre subtotal]])</f>
        <v>0</v>
      </c>
      <c r="P226" s="74">
        <f>+IF(PROVEEDORES[[#This Row],[SUBTOTAL]]&lt;PROVEEDORES[[#This Row],[base retencion]],0,PROVEEDORES[[#This Row],[retención aplicada]])</f>
        <v>0</v>
      </c>
      <c r="Q226" s="22">
        <f>+PROVEEDORES[[#This Row],[Rete Fuente %]]*(PROVEEDORES[[#This Row],[SUBTOTAL]]-PROVEEDORES[[#This Row],[descuento sobre subtotal]])</f>
        <v>0</v>
      </c>
      <c r="R226" s="21">
        <v>1120000</v>
      </c>
      <c r="S22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63">
        <f ca="1">IF(PROVEEDORES[[#This Row],[FECHA DE PAGO]]=0,TODAY()-PROVEEDORES[[#This Row],[FECHA DE FACTURACIÓN]]-PROVEEDORES[[#This Row],[PLAZO Días]],0)</f>
        <v>0</v>
      </c>
      <c r="U226" s="87">
        <f>+VLOOKUP(PROVEEDORES[[#This Row],[PROVEEDOR]],Terceros!$A:$D,4,FALSE)</f>
        <v>0</v>
      </c>
      <c r="V226" s="88">
        <f>+YEAR(PROVEEDORES[[#This Row],[FECHA DE FACTURACIÓN]])</f>
        <v>2022</v>
      </c>
      <c r="W226" s="88">
        <f>+MATCH(PROVEEDORES[[#This Row],[año facturado]],Retenciones!$1:$1,0)</f>
        <v>5</v>
      </c>
      <c r="X226" s="89">
        <f>+VLOOKUP(PROVEEDORES[[#This Row],[ID RETENCION]],Retenciones!$A$1:$O$25,PROVEEDORES[[#This Row],[indicador de columna]],FALSE)</f>
        <v>0</v>
      </c>
      <c r="Y226" s="90">
        <f>+VLOOKUP(PROVEEDORES[[#This Row],[ID RETENCION]],Retenciones!$A$1:$O$25,2,FALSE)</f>
        <v>0</v>
      </c>
      <c r="Z226" s="116" t="b">
        <f>OR(COUNTIF(PROVEEDORES[[#This Row],[PROVEEDOR]],"*"&amp;'Palabra no opera'!$A$2&amp;"*"))</f>
        <v>0</v>
      </c>
      <c r="AA226" s="24"/>
      <c r="AB226" s="24"/>
      <c r="AC226" s="24"/>
      <c r="AD226" s="24"/>
      <c r="AE226" s="24"/>
    </row>
    <row r="227" spans="1:31" ht="22.35" customHeight="1" x14ac:dyDescent="0.3">
      <c r="A227" s="61" t="str">
        <f>+IF(PROVEEDORES[[#This Row],[FECHA DE PAGO]]=PROVEEDORES[[#This Row],[FECHA DE FACTURACIÓN]],"DE CONTADO","CRÉDITO")</f>
        <v>DE CONTADO</v>
      </c>
      <c r="B227" s="38" t="b">
        <f>+IF((PROVEEDORES[[#This Row],[FECHA DE PAGO]]-PROVEEDORES[[#This Row],[FECHA DE FACTURACIÓN]])&gt;PROVEEDORES[[#This Row],[PLAZO Días]],"PAGO VENCIDO")</f>
        <v>0</v>
      </c>
      <c r="C227" s="20">
        <f>+VLOOKUP(PROVEEDORES[[#This Row],[PROVEEDOR]],TERCEROS_INFO[#All],2,FALSE)</f>
        <v>30</v>
      </c>
      <c r="D227" s="25">
        <f>+SUMIFS(PROVEEDORES[Total],PROVEEDORES[PROVEEDOR],PROVEEDORES[[#This Row],[PROVEEDOR]],PROVEEDORES[FECHA DE PAGO],"")</f>
        <v>342000</v>
      </c>
      <c r="E227" s="25"/>
      <c r="F227" s="56" t="str">
        <f>+VLOOKUP(PROVEEDORES[[#This Row],[PROVEEDOR]],
                       Terceros!$A:$F,
                       5,
                       FALSE)</f>
        <v/>
      </c>
      <c r="G227" s="68">
        <v>44652</v>
      </c>
      <c r="H227" s="26" t="s">
        <v>344</v>
      </c>
      <c r="I227" s="68">
        <v>44652</v>
      </c>
      <c r="J227" s="35" t="s">
        <v>1014</v>
      </c>
      <c r="K227" s="21">
        <f>298000-180000</f>
        <v>118000</v>
      </c>
      <c r="L227" s="21"/>
      <c r="M227" s="22">
        <f>(PROVEEDORES[[#This Row],[SUBTOTAL]]-PROVEEDORES[[#This Row],[descuento sobre subtotal]])*VLOOKUP(PROVEEDORES[[#This Row],[PROVEEDOR]],TERCEROS_INFO[#All],3,FALSE)</f>
        <v>0</v>
      </c>
      <c r="N227" s="23"/>
      <c r="O227" s="22">
        <f>+PROVEEDORES[[#This Row],[Descuento sobre subtotal %]]*(PROVEEDORES[[#This Row],[SUBTOTAL]]-PROVEEDORES[[#This Row],[descuento sobre subtotal]])</f>
        <v>0</v>
      </c>
      <c r="P227" s="74">
        <f>+IF(PROVEEDORES[[#This Row],[SUBTOTAL]]&lt;PROVEEDORES[[#This Row],[base retencion]],0,PROVEEDORES[[#This Row],[retención aplicada]])</f>
        <v>0</v>
      </c>
      <c r="Q227" s="22">
        <f>+PROVEEDORES[[#This Row],[Rete Fuente %]]*(PROVEEDORES[[#This Row],[SUBTOTAL]]-PROVEEDORES[[#This Row],[descuento sobre subtotal]])</f>
        <v>0</v>
      </c>
      <c r="R227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22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63">
        <f ca="1">IF(PROVEEDORES[[#This Row],[FECHA DE PAGO]]=0,TODAY()-PROVEEDORES[[#This Row],[FECHA DE FACTURACIÓN]]-PROVEEDORES[[#This Row],[PLAZO Días]],0)</f>
        <v>0</v>
      </c>
      <c r="U227" s="87">
        <f>+VLOOKUP(PROVEEDORES[[#This Row],[PROVEEDOR]],Terceros!$A:$D,4,FALSE)</f>
        <v>0</v>
      </c>
      <c r="V227" s="88">
        <f>+YEAR(PROVEEDORES[[#This Row],[FECHA DE FACTURACIÓN]])</f>
        <v>2022</v>
      </c>
      <c r="W227" s="88">
        <f>+MATCH(PROVEEDORES[[#This Row],[año facturado]],Retenciones!$1:$1,0)</f>
        <v>5</v>
      </c>
      <c r="X227" s="89">
        <f>+VLOOKUP(PROVEEDORES[[#This Row],[ID RETENCION]],Retenciones!$A$1:$O$25,PROVEEDORES[[#This Row],[indicador de columna]],FALSE)</f>
        <v>0</v>
      </c>
      <c r="Y227" s="90">
        <f>+VLOOKUP(PROVEEDORES[[#This Row],[ID RETENCION]],Retenciones!$A$1:$O$25,2,FALSE)</f>
        <v>0</v>
      </c>
      <c r="Z227" s="116" t="b">
        <f>OR(COUNTIF(PROVEEDORES[[#This Row],[PROVEEDOR]],"*"&amp;'Palabra no opera'!$A$2&amp;"*"))</f>
        <v>0</v>
      </c>
      <c r="AA227" s="24"/>
      <c r="AB227" s="24"/>
      <c r="AC227" s="24"/>
      <c r="AD227" s="24"/>
      <c r="AE227" s="24"/>
    </row>
    <row r="228" spans="1:31" ht="22.35" customHeight="1" x14ac:dyDescent="0.3">
      <c r="A228" s="61" t="str">
        <f>+IF(PROVEEDORES[[#This Row],[FECHA DE PAGO]]=PROVEEDORES[[#This Row],[FECHA DE FACTURACIÓN]],"DE CONTADO","CRÉDITO")</f>
        <v>CRÉDITO</v>
      </c>
      <c r="B228" s="38" t="str">
        <f>+IF((PROVEEDORES[[#This Row],[FECHA DE PAGO]]-PROVEEDORES[[#This Row],[FECHA DE FACTURACIÓN]])&gt;PROVEEDORES[[#This Row],[PLAZO Días]],"PAGO VENCIDO")</f>
        <v>PAGO VENCIDO</v>
      </c>
      <c r="C228" s="20">
        <f>+VLOOKUP(PROVEEDORES[[#This Row],[PROVEEDOR]],TERCEROS_INFO[#All],2,FALSE)</f>
        <v>30</v>
      </c>
      <c r="D228" s="25">
        <f>+SUMIFS(PROVEEDORES[Total],PROVEEDORES[PROVEEDOR],PROVEEDORES[[#This Row],[PROVEEDOR]],PROVEEDORES[FECHA DE PAGO],"")</f>
        <v>0</v>
      </c>
      <c r="E228" s="25"/>
      <c r="F228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28" s="68">
        <v>44652</v>
      </c>
      <c r="H228" s="26" t="s">
        <v>387</v>
      </c>
      <c r="I228" s="68">
        <v>44545</v>
      </c>
      <c r="J228" s="35" t="s">
        <v>980</v>
      </c>
      <c r="K228" s="21">
        <v>2365000</v>
      </c>
      <c r="L228" s="21"/>
      <c r="M228" s="22">
        <v>0</v>
      </c>
      <c r="N228" s="23"/>
      <c r="O228" s="22">
        <v>0</v>
      </c>
      <c r="P228" s="74">
        <f>+IF(PROVEEDORES[[#This Row],[SUBTOTAL]]&lt;PROVEEDORES[[#This Row],[base retencion]],0,PROVEEDORES[[#This Row],[retención aplicada]])</f>
        <v>0</v>
      </c>
      <c r="Q228" s="22">
        <f>+PROVEEDORES[[#This Row],[Rete Fuente %]]*(PROVEEDORES[[#This Row],[SUBTOTAL]]-PROVEEDORES[[#This Row],[descuento sobre subtotal]])</f>
        <v>0</v>
      </c>
      <c r="R228" s="21">
        <v>2365000</v>
      </c>
      <c r="S22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63">
        <f ca="1">IF(PROVEEDORES[[#This Row],[FECHA DE PAGO]]=0,TODAY()-PROVEEDORES[[#This Row],[FECHA DE FACTURACIÓN]]-PROVEEDORES[[#This Row],[PLAZO Días]],0)</f>
        <v>0</v>
      </c>
      <c r="U228" s="87">
        <f>+VLOOKUP(PROVEEDORES[[#This Row],[PROVEEDOR]],Terceros!$A:$D,4,FALSE)</f>
        <v>0</v>
      </c>
      <c r="V228" s="88">
        <f>+YEAR(PROVEEDORES[[#This Row],[FECHA DE FACTURACIÓN]])</f>
        <v>2021</v>
      </c>
      <c r="W228" s="88">
        <f>+MATCH(PROVEEDORES[[#This Row],[año facturado]],Retenciones!$1:$1,0)</f>
        <v>4</v>
      </c>
      <c r="X228" s="89">
        <f>+VLOOKUP(PROVEEDORES[[#This Row],[ID RETENCION]],Retenciones!$A$1:$O$25,PROVEEDORES[[#This Row],[indicador de columna]],FALSE)</f>
        <v>0</v>
      </c>
      <c r="Y228" s="90">
        <f>+VLOOKUP(PROVEEDORES[[#This Row],[ID RETENCION]],Retenciones!$A$1:$O$25,2,FALSE)</f>
        <v>0</v>
      </c>
      <c r="Z228" s="116" t="b">
        <f>OR(COUNTIF(PROVEEDORES[[#This Row],[PROVEEDOR]],"*"&amp;'Palabra no opera'!$A$2&amp;"*"))</f>
        <v>0</v>
      </c>
      <c r="AA228" s="24"/>
      <c r="AB228" s="24"/>
      <c r="AC228" s="24"/>
      <c r="AD228" s="24"/>
      <c r="AE228" s="24"/>
    </row>
    <row r="229" spans="1:31" ht="22.35" customHeight="1" x14ac:dyDescent="0.3">
      <c r="A229" s="61" t="str">
        <f>+IF(PROVEEDORES[[#This Row],[FECHA DE PAGO]]=PROVEEDORES[[#This Row],[FECHA DE FACTURACIÓN]],"DE CONTADO","CRÉDITO")</f>
        <v>CRÉDITO</v>
      </c>
      <c r="B229" s="38" t="str">
        <f>+IF((PROVEEDORES[[#This Row],[FECHA DE PAGO]]-PROVEEDORES[[#This Row],[FECHA DE FACTURACIÓN]])&gt;PROVEEDORES[[#This Row],[PLAZO Días]],"PAGO VENCIDO")</f>
        <v>PAGO VENCIDO</v>
      </c>
      <c r="C229" s="20">
        <f>+VLOOKUP(PROVEEDORES[[#This Row],[PROVEEDOR]],TERCEROS_INFO[#All],2,FALSE)</f>
        <v>30</v>
      </c>
      <c r="D229" s="25">
        <f>+SUMIFS(PROVEEDORES[Total],PROVEEDORES[PROVEEDOR],PROVEEDORES[[#This Row],[PROVEEDOR]],PROVEEDORES[FECHA DE PAGO],"")</f>
        <v>0</v>
      </c>
      <c r="E229" s="25"/>
      <c r="F229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29" s="68">
        <v>44652</v>
      </c>
      <c r="H229" s="26" t="s">
        <v>400</v>
      </c>
      <c r="I229" s="68">
        <v>44602</v>
      </c>
      <c r="J229" s="35" t="s">
        <v>1002</v>
      </c>
      <c r="K229" s="21">
        <v>1608000</v>
      </c>
      <c r="L229" s="21"/>
      <c r="M229" s="22">
        <v>0</v>
      </c>
      <c r="N229" s="23"/>
      <c r="O229" s="22">
        <v>0</v>
      </c>
      <c r="P229" s="74">
        <f>+IF(PROVEEDORES[[#This Row],[SUBTOTAL]]&lt;PROVEEDORES[[#This Row],[base retencion]],0,PROVEEDORES[[#This Row],[retención aplicada]])</f>
        <v>0</v>
      </c>
      <c r="Q229" s="22">
        <f>+PROVEEDORES[[#This Row],[Rete Fuente %]]*(PROVEEDORES[[#This Row],[SUBTOTAL]]-PROVEEDORES[[#This Row],[descuento sobre subtotal]])</f>
        <v>0</v>
      </c>
      <c r="R229" s="21">
        <v>1608000</v>
      </c>
      <c r="S22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63">
        <f ca="1">IF(PROVEEDORES[[#This Row],[FECHA DE PAGO]]=0,TODAY()-PROVEEDORES[[#This Row],[FECHA DE FACTURACIÓN]]-PROVEEDORES[[#This Row],[PLAZO Días]],0)</f>
        <v>0</v>
      </c>
      <c r="U229" s="87">
        <f>+VLOOKUP(PROVEEDORES[[#This Row],[PROVEEDOR]],Terceros!$A:$D,4,FALSE)</f>
        <v>0</v>
      </c>
      <c r="V229" s="88">
        <f>+YEAR(PROVEEDORES[[#This Row],[FECHA DE FACTURACIÓN]])</f>
        <v>2022</v>
      </c>
      <c r="W229" s="88">
        <f>+MATCH(PROVEEDORES[[#This Row],[año facturado]],Retenciones!$1:$1,0)</f>
        <v>5</v>
      </c>
      <c r="X229" s="89">
        <f>+VLOOKUP(PROVEEDORES[[#This Row],[ID RETENCION]],Retenciones!$A$1:$O$25,PROVEEDORES[[#This Row],[indicador de columna]],FALSE)</f>
        <v>0</v>
      </c>
      <c r="Y229" s="90">
        <f>+VLOOKUP(PROVEEDORES[[#This Row],[ID RETENCION]],Retenciones!$A$1:$O$25,2,FALSE)</f>
        <v>0</v>
      </c>
      <c r="Z229" s="116" t="b">
        <f>OR(COUNTIF(PROVEEDORES[[#This Row],[PROVEEDOR]],"*"&amp;'Palabra no opera'!$A$2&amp;"*"))</f>
        <v>0</v>
      </c>
      <c r="AA229" s="24"/>
      <c r="AB229" s="24"/>
      <c r="AC229" s="24"/>
      <c r="AD229" s="24"/>
      <c r="AE229" s="24"/>
    </row>
    <row r="230" spans="1:31" ht="22.35" customHeight="1" x14ac:dyDescent="0.3">
      <c r="A230" s="61" t="str">
        <f>+IF(PROVEEDORES[[#This Row],[FECHA DE PAGO]]=PROVEEDORES[[#This Row],[FECHA DE FACTURACIÓN]],"DE CONTADO","CRÉDITO")</f>
        <v>CRÉDITO</v>
      </c>
      <c r="B230" s="38" t="str">
        <f>+IF((PROVEEDORES[[#This Row],[FECHA DE PAGO]]-PROVEEDORES[[#This Row],[FECHA DE FACTURACIÓN]])&gt;PROVEEDORES[[#This Row],[PLAZO Días]],"PAGO VENCIDO")</f>
        <v>PAGO VENCIDO</v>
      </c>
      <c r="C230" s="20">
        <f>+VLOOKUP(PROVEEDORES[[#This Row],[PROVEEDOR]],TERCEROS_INFO[#All],2,FALSE)</f>
        <v>30</v>
      </c>
      <c r="D230" s="25">
        <f>+SUMIFS(PROVEEDORES[Total],PROVEEDORES[PROVEEDOR],PROVEEDORES[[#This Row],[PROVEEDOR]],PROVEEDORES[FECHA DE PAGO],"")</f>
        <v>4282200</v>
      </c>
      <c r="E230" s="25"/>
      <c r="F230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30" s="68">
        <v>44652</v>
      </c>
      <c r="H230" s="26" t="s">
        <v>406</v>
      </c>
      <c r="I230" s="68">
        <v>44548</v>
      </c>
      <c r="J230" s="35" t="s">
        <v>954</v>
      </c>
      <c r="K230" s="21">
        <v>165300</v>
      </c>
      <c r="L230" s="21"/>
      <c r="M230" s="22">
        <v>0</v>
      </c>
      <c r="N230" s="23"/>
      <c r="O230" s="22">
        <v>0</v>
      </c>
      <c r="P230" s="74">
        <f>+IF(PROVEEDORES[[#This Row],[SUBTOTAL]]&lt;PROVEEDORES[[#This Row],[base retencion]],0,PROVEEDORES[[#This Row],[retención aplicada]])</f>
        <v>0</v>
      </c>
      <c r="Q230" s="22">
        <f>+PROVEEDORES[[#This Row],[Rete Fuente %]]*(PROVEEDORES[[#This Row],[SUBTOTAL]]-PROVEEDORES[[#This Row],[descuento sobre subtotal]])</f>
        <v>0</v>
      </c>
      <c r="R230" s="21">
        <v>165300</v>
      </c>
      <c r="S23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63">
        <f ca="1">IF(PROVEEDORES[[#This Row],[FECHA DE PAGO]]=0,TODAY()-PROVEEDORES[[#This Row],[FECHA DE FACTURACIÓN]]-PROVEEDORES[[#This Row],[PLAZO Días]],0)</f>
        <v>0</v>
      </c>
      <c r="U230" s="87">
        <f>+VLOOKUP(PROVEEDORES[[#This Row],[PROVEEDOR]],Terceros!$A:$D,4,FALSE)</f>
        <v>0</v>
      </c>
      <c r="V230" s="88">
        <f>+YEAR(PROVEEDORES[[#This Row],[FECHA DE FACTURACIÓN]])</f>
        <v>2021</v>
      </c>
      <c r="W230" s="88">
        <f>+MATCH(PROVEEDORES[[#This Row],[año facturado]],Retenciones!$1:$1,0)</f>
        <v>4</v>
      </c>
      <c r="X230" s="89">
        <f>+VLOOKUP(PROVEEDORES[[#This Row],[ID RETENCION]],Retenciones!$A$1:$O$25,PROVEEDORES[[#This Row],[indicador de columna]],FALSE)</f>
        <v>0</v>
      </c>
      <c r="Y230" s="90">
        <f>+VLOOKUP(PROVEEDORES[[#This Row],[ID RETENCION]],Retenciones!$A$1:$O$25,2,FALSE)</f>
        <v>0</v>
      </c>
      <c r="Z230" s="116" t="b">
        <f>OR(COUNTIF(PROVEEDORES[[#This Row],[PROVEEDOR]],"*"&amp;'Palabra no opera'!$A$2&amp;"*"))</f>
        <v>0</v>
      </c>
      <c r="AA230" s="24"/>
      <c r="AB230" s="24"/>
      <c r="AC230" s="24"/>
      <c r="AD230" s="24"/>
      <c r="AE230" s="24"/>
    </row>
    <row r="231" spans="1:31" ht="22.35" customHeight="1" x14ac:dyDescent="0.3">
      <c r="A231" s="61" t="str">
        <f>+IF(PROVEEDORES[[#This Row],[FECHA DE PAGO]]=PROVEEDORES[[#This Row],[FECHA DE FACTURACIÓN]],"DE CONTADO","CRÉDITO")</f>
        <v>CRÉDITO</v>
      </c>
      <c r="B231" s="38" t="str">
        <f>+IF((PROVEEDORES[[#This Row],[FECHA DE PAGO]]-PROVEEDORES[[#This Row],[FECHA DE FACTURACIÓN]])&gt;PROVEEDORES[[#This Row],[PLAZO Días]],"PAGO VENCIDO")</f>
        <v>PAGO VENCIDO</v>
      </c>
      <c r="C231" s="20">
        <f>+VLOOKUP(PROVEEDORES[[#This Row],[PROVEEDOR]],TERCEROS_INFO[#All],2,FALSE)</f>
        <v>30</v>
      </c>
      <c r="D231" s="25">
        <f>+SUMIFS(PROVEEDORES[Total],PROVEEDORES[PROVEEDOR],PROVEEDORES[[#This Row],[PROVEEDOR]],PROVEEDORES[FECHA DE PAGO],"")</f>
        <v>4282200</v>
      </c>
      <c r="E231" s="25"/>
      <c r="F231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31" s="68">
        <v>44652</v>
      </c>
      <c r="H231" s="26" t="s">
        <v>406</v>
      </c>
      <c r="I231" s="68">
        <v>44548</v>
      </c>
      <c r="J231" s="35" t="s">
        <v>955</v>
      </c>
      <c r="K231" s="21">
        <v>4056200</v>
      </c>
      <c r="L231" s="21"/>
      <c r="M231" s="22">
        <v>0</v>
      </c>
      <c r="N231" s="23"/>
      <c r="O231" s="22">
        <v>0</v>
      </c>
      <c r="P231" s="74">
        <f>+IF(PROVEEDORES[[#This Row],[SUBTOTAL]]&lt;PROVEEDORES[[#This Row],[base retencion]],0,PROVEEDORES[[#This Row],[retención aplicada]])</f>
        <v>0</v>
      </c>
      <c r="Q231" s="22">
        <f>+PROVEEDORES[[#This Row],[Rete Fuente %]]*(PROVEEDORES[[#This Row],[SUBTOTAL]]-PROVEEDORES[[#This Row],[descuento sobre subtotal]])</f>
        <v>0</v>
      </c>
      <c r="R231" s="21">
        <v>4056200</v>
      </c>
      <c r="S23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63">
        <f ca="1">IF(PROVEEDORES[[#This Row],[FECHA DE PAGO]]=0,TODAY()-PROVEEDORES[[#This Row],[FECHA DE FACTURACIÓN]]-PROVEEDORES[[#This Row],[PLAZO Días]],0)</f>
        <v>0</v>
      </c>
      <c r="U231" s="87">
        <f>+VLOOKUP(PROVEEDORES[[#This Row],[PROVEEDOR]],Terceros!$A:$D,4,FALSE)</f>
        <v>0</v>
      </c>
      <c r="V231" s="88">
        <f>+YEAR(PROVEEDORES[[#This Row],[FECHA DE FACTURACIÓN]])</f>
        <v>2021</v>
      </c>
      <c r="W231" s="88">
        <f>+MATCH(PROVEEDORES[[#This Row],[año facturado]],Retenciones!$1:$1,0)</f>
        <v>4</v>
      </c>
      <c r="X231" s="89">
        <f>+VLOOKUP(PROVEEDORES[[#This Row],[ID RETENCION]],Retenciones!$A$1:$O$25,PROVEEDORES[[#This Row],[indicador de columna]],FALSE)</f>
        <v>0</v>
      </c>
      <c r="Y231" s="90">
        <f>+VLOOKUP(PROVEEDORES[[#This Row],[ID RETENCION]],Retenciones!$A$1:$O$25,2,FALSE)</f>
        <v>0</v>
      </c>
      <c r="Z231" s="116" t="b">
        <f>OR(COUNTIF(PROVEEDORES[[#This Row],[PROVEEDOR]],"*"&amp;'Palabra no opera'!$A$2&amp;"*"))</f>
        <v>0</v>
      </c>
      <c r="AA231" s="24"/>
      <c r="AB231" s="24"/>
      <c r="AC231" s="24"/>
      <c r="AD231" s="24"/>
      <c r="AE231" s="24"/>
    </row>
    <row r="232" spans="1:31" ht="22.35" customHeight="1" x14ac:dyDescent="0.3">
      <c r="A232" s="61" t="str">
        <f>+IF(PROVEEDORES[[#This Row],[FECHA DE PAGO]]=PROVEEDORES[[#This Row],[FECHA DE FACTURACIÓN]],"DE CONTADO","CRÉDITO")</f>
        <v>CRÉDITO</v>
      </c>
      <c r="B232" s="38" t="str">
        <f>+IF((PROVEEDORES[[#This Row],[FECHA DE PAGO]]-PROVEEDORES[[#This Row],[FECHA DE FACTURACIÓN]])&gt;PROVEEDORES[[#This Row],[PLAZO Días]],"PAGO VENCIDO")</f>
        <v>PAGO VENCIDO</v>
      </c>
      <c r="C232" s="20">
        <f>+VLOOKUP(PROVEEDORES[[#This Row],[PROVEEDOR]],TERCEROS_INFO[#All],2,FALSE)</f>
        <v>30</v>
      </c>
      <c r="D232" s="25">
        <f>+SUMIFS(PROVEEDORES[Total],PROVEEDORES[PROVEEDOR],PROVEEDORES[[#This Row],[PROVEEDOR]],PROVEEDORES[FECHA DE PAGO],"")</f>
        <v>17870934.149999999</v>
      </c>
      <c r="E232" s="25"/>
      <c r="F23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2" s="68">
        <v>44652</v>
      </c>
      <c r="H232" s="26" t="s">
        <v>18</v>
      </c>
      <c r="I232" s="68">
        <v>44610</v>
      </c>
      <c r="J232" s="35">
        <v>1050001</v>
      </c>
      <c r="K232" s="21">
        <v>545207</v>
      </c>
      <c r="L232" s="21"/>
      <c r="M232" s="22">
        <v>103589.33</v>
      </c>
      <c r="N232" s="23"/>
      <c r="O232" s="22">
        <v>0</v>
      </c>
      <c r="P232" s="74">
        <f>+IF(PROVEEDORES[[#This Row],[SUBTOTAL]]&lt;PROVEEDORES[[#This Row],[base retencion]],0,PROVEEDORES[[#This Row],[retención aplicada]])</f>
        <v>0</v>
      </c>
      <c r="Q232" s="22">
        <f>+PROVEEDORES[[#This Row],[Rete Fuente %]]*(PROVEEDORES[[#This Row],[SUBTOTAL]]-PROVEEDORES[[#This Row],[descuento sobre subtotal]])</f>
        <v>0</v>
      </c>
      <c r="R232" s="21">
        <v>648796.32999999996</v>
      </c>
      <c r="S23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63">
        <f ca="1">IF(PROVEEDORES[[#This Row],[FECHA DE PAGO]]=0,TODAY()-PROVEEDORES[[#This Row],[FECHA DE FACTURACIÓN]]-PROVEEDORES[[#This Row],[PLAZO Días]],0)</f>
        <v>0</v>
      </c>
      <c r="U232" s="87" t="str">
        <f>+VLOOKUP(PROVEEDORES[[#This Row],[PROVEEDOR]],Terceros!$A:$D,4,FALSE)</f>
        <v>2,5% con base</v>
      </c>
      <c r="V232" s="88">
        <f>+YEAR(PROVEEDORES[[#This Row],[FECHA DE FACTURACIÓN]])</f>
        <v>2022</v>
      </c>
      <c r="W232" s="88">
        <f>+MATCH(PROVEEDORES[[#This Row],[año facturado]],Retenciones!$1:$1,0)</f>
        <v>5</v>
      </c>
      <c r="X232" s="89">
        <f>+VLOOKUP(PROVEEDORES[[#This Row],[ID RETENCION]],Retenciones!$A$1:$O$25,PROVEEDORES[[#This Row],[indicador de columna]],FALSE)</f>
        <v>1026000</v>
      </c>
      <c r="Y232" s="90">
        <f>+VLOOKUP(PROVEEDORES[[#This Row],[ID RETENCION]],Retenciones!$A$1:$O$25,2,FALSE)</f>
        <v>2.5000000000000001E-2</v>
      </c>
      <c r="Z232" s="116" t="b">
        <f>OR(COUNTIF(PROVEEDORES[[#This Row],[PROVEEDOR]],"*"&amp;'Palabra no opera'!$A$2&amp;"*"))</f>
        <v>0</v>
      </c>
      <c r="AA232" s="24"/>
      <c r="AB232" s="24"/>
      <c r="AC232" s="24"/>
      <c r="AD232" s="24"/>
      <c r="AE232" s="24"/>
    </row>
    <row r="233" spans="1:31" ht="22.35" customHeight="1" x14ac:dyDescent="0.3">
      <c r="A233" s="61" t="str">
        <f>+IF(PROVEEDORES[[#This Row],[FECHA DE PAGO]]=PROVEEDORES[[#This Row],[FECHA DE FACTURACIÓN]],"DE CONTADO","CRÉDITO")</f>
        <v>CRÉDITO</v>
      </c>
      <c r="B233" s="38" t="str">
        <f>+IF((PROVEEDORES[[#This Row],[FECHA DE PAGO]]-PROVEEDORES[[#This Row],[FECHA DE FACTURACIÓN]])&gt;PROVEEDORES[[#This Row],[PLAZO Días]],"PAGO VENCIDO")</f>
        <v>PAGO VENCIDO</v>
      </c>
      <c r="C233" s="20">
        <f>+VLOOKUP(PROVEEDORES[[#This Row],[PROVEEDOR]],TERCEROS_INFO[#All],2,FALSE)</f>
        <v>30</v>
      </c>
      <c r="D233" s="25">
        <f>+SUMIFS(PROVEEDORES[Total],PROVEEDORES[PROVEEDOR],PROVEEDORES[[#This Row],[PROVEEDOR]],PROVEEDORES[FECHA DE PAGO],"")</f>
        <v>17870934.149999999</v>
      </c>
      <c r="E233" s="25"/>
      <c r="F23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33" s="68">
        <v>44652</v>
      </c>
      <c r="H233" s="26" t="s">
        <v>18</v>
      </c>
      <c r="I233" s="68">
        <v>44616</v>
      </c>
      <c r="J233" s="35">
        <v>1050228</v>
      </c>
      <c r="K233" s="21">
        <v>2199781.6800000002</v>
      </c>
      <c r="L233" s="21"/>
      <c r="M233" s="22">
        <v>417958.51920000004</v>
      </c>
      <c r="N233" s="23"/>
      <c r="O233" s="22">
        <v>0</v>
      </c>
      <c r="P233" s="74">
        <f>+IF(PROVEEDORES[[#This Row],[SUBTOTAL]]&lt;PROVEEDORES[[#This Row],[base retencion]],0,PROVEEDORES[[#This Row],[retención aplicada]])</f>
        <v>2.5000000000000001E-2</v>
      </c>
      <c r="Q233" s="22">
        <f>+PROVEEDORES[[#This Row],[Rete Fuente %]]*(PROVEEDORES[[#This Row],[SUBTOTAL]]-PROVEEDORES[[#This Row],[descuento sobre subtotal]])</f>
        <v>54994.542000000009</v>
      </c>
      <c r="R233" s="21">
        <v>2562745.6572000002</v>
      </c>
      <c r="S23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63">
        <f ca="1">IF(PROVEEDORES[[#This Row],[FECHA DE PAGO]]=0,TODAY()-PROVEEDORES[[#This Row],[FECHA DE FACTURACIÓN]]-PROVEEDORES[[#This Row],[PLAZO Días]],0)</f>
        <v>0</v>
      </c>
      <c r="U233" s="87" t="str">
        <f>+VLOOKUP(PROVEEDORES[[#This Row],[PROVEEDOR]],Terceros!$A:$D,4,FALSE)</f>
        <v>2,5% con base</v>
      </c>
      <c r="V233" s="88">
        <f>+YEAR(PROVEEDORES[[#This Row],[FECHA DE FACTURACIÓN]])</f>
        <v>2022</v>
      </c>
      <c r="W233" s="88">
        <f>+MATCH(PROVEEDORES[[#This Row],[año facturado]],Retenciones!$1:$1,0)</f>
        <v>5</v>
      </c>
      <c r="X233" s="89">
        <f>+VLOOKUP(PROVEEDORES[[#This Row],[ID RETENCION]],Retenciones!$A$1:$O$25,PROVEEDORES[[#This Row],[indicador de columna]],FALSE)</f>
        <v>1026000</v>
      </c>
      <c r="Y233" s="90">
        <f>+VLOOKUP(PROVEEDORES[[#This Row],[ID RETENCION]],Retenciones!$A$1:$O$25,2,FALSE)</f>
        <v>2.5000000000000001E-2</v>
      </c>
      <c r="Z233" s="116" t="b">
        <f>OR(COUNTIF(PROVEEDORES[[#This Row],[PROVEEDOR]],"*"&amp;'Palabra no opera'!$A$2&amp;"*"))</f>
        <v>0</v>
      </c>
      <c r="AA233" s="24"/>
      <c r="AB233" s="24"/>
      <c r="AC233" s="24"/>
      <c r="AD233" s="24"/>
      <c r="AE233" s="24"/>
    </row>
    <row r="234" spans="1:31" ht="22.35" customHeight="1" x14ac:dyDescent="0.3">
      <c r="A234" s="61" t="str">
        <f>+IF(PROVEEDORES[[#This Row],[FECHA DE PAGO]]=PROVEEDORES[[#This Row],[FECHA DE FACTURACIÓN]],"DE CONTADO","CRÉDITO")</f>
        <v>CRÉDITO</v>
      </c>
      <c r="B234" s="38" t="str">
        <f>+IF((PROVEEDORES[[#This Row],[FECHA DE PAGO]]-PROVEEDORES[[#This Row],[FECHA DE FACTURACIÓN]])&gt;PROVEEDORES[[#This Row],[PLAZO Días]],"PAGO VENCIDO")</f>
        <v>PAGO VENCIDO</v>
      </c>
      <c r="C234" s="20">
        <f>+VLOOKUP(PROVEEDORES[[#This Row],[PROVEEDOR]],TERCEROS_INFO[#All],2,FALSE)</f>
        <v>30</v>
      </c>
      <c r="D234" s="25">
        <f>+SUMIFS(PROVEEDORES[Total],PROVEEDORES[PROVEEDOR],PROVEEDORES[[#This Row],[PROVEEDOR]],PROVEEDORES[FECHA DE PAGO],"")</f>
        <v>0</v>
      </c>
      <c r="E234" s="25"/>
      <c r="F234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34" s="68">
        <v>44652</v>
      </c>
      <c r="H234" s="26" t="s">
        <v>964</v>
      </c>
      <c r="I234" s="68">
        <v>44610</v>
      </c>
      <c r="J234" s="35">
        <v>27516</v>
      </c>
      <c r="K234" s="21">
        <v>8664000</v>
      </c>
      <c r="L234" s="21"/>
      <c r="M234" s="22">
        <f>(PROVEEDORES[[#This Row],[SUBTOTAL]]-PROVEEDORES[[#This Row],[descuento sobre subtotal]])*VLOOKUP(PROVEEDORES[[#This Row],[PROVEEDOR]],TERCEROS_INFO[#All],3,FALSE)</f>
        <v>1646160</v>
      </c>
      <c r="N234" s="23"/>
      <c r="O234" s="22">
        <f>+PROVEEDORES[[#This Row],[Descuento sobre subtotal %]]*(PROVEEDORES[[#This Row],[SUBTOTAL]]-PROVEEDORES[[#This Row],[descuento sobre subtotal]])</f>
        <v>0</v>
      </c>
      <c r="P234" s="74">
        <v>2.5000000000000001E-2</v>
      </c>
      <c r="Q234" s="22">
        <f>+PROVEEDORES[[#This Row],[Rete Fuente %]]*(PROVEEDORES[[#This Row],[SUBTOTAL]]-PROVEEDORES[[#This Row],[descuento sobre subtotal]])</f>
        <v>216600</v>
      </c>
      <c r="R234" s="21">
        <v>10093560</v>
      </c>
      <c r="S23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63">
        <f ca="1">IF(PROVEEDORES[[#This Row],[FECHA DE PAGO]]=0,TODAY()-PROVEEDORES[[#This Row],[FECHA DE FACTURACIÓN]]-PROVEEDORES[[#This Row],[PLAZO Días]],0)</f>
        <v>0</v>
      </c>
      <c r="U234" s="87">
        <f>+VLOOKUP(PROVEEDORES[[#This Row],[PROVEEDOR]],Terceros!$A:$D,4,FALSE)</f>
        <v>0</v>
      </c>
      <c r="V234" s="88">
        <f>+YEAR(PROVEEDORES[[#This Row],[FECHA DE FACTURACIÓN]])</f>
        <v>2022</v>
      </c>
      <c r="W234" s="88">
        <f>+MATCH(PROVEEDORES[[#This Row],[año facturado]],Retenciones!$1:$1,0)</f>
        <v>5</v>
      </c>
      <c r="X234" s="89">
        <f>+VLOOKUP(PROVEEDORES[[#This Row],[ID RETENCION]],Retenciones!$A$1:$O$25,PROVEEDORES[[#This Row],[indicador de columna]],FALSE)</f>
        <v>0</v>
      </c>
      <c r="Y234" s="90">
        <f>+VLOOKUP(PROVEEDORES[[#This Row],[ID RETENCION]],Retenciones!$A$1:$O$25,2,FALSE)</f>
        <v>0</v>
      </c>
      <c r="Z234" s="116" t="b">
        <f>OR(COUNTIF(PROVEEDORES[[#This Row],[PROVEEDOR]],"*"&amp;'Palabra no opera'!$A$2&amp;"*"))</f>
        <v>0</v>
      </c>
      <c r="AA234" s="24"/>
      <c r="AB234" s="24"/>
      <c r="AC234" s="24"/>
      <c r="AD234" s="24"/>
      <c r="AE234" s="24"/>
    </row>
    <row r="235" spans="1:31" ht="22.35" customHeight="1" x14ac:dyDescent="0.3">
      <c r="A235" s="61" t="str">
        <f>+IF(PROVEEDORES[[#This Row],[FECHA DE PAGO]]=PROVEEDORES[[#This Row],[FECHA DE FACTURACIÓN]],"DE CONTADO","CRÉDITO")</f>
        <v>CRÉDITO</v>
      </c>
      <c r="B235" s="38" t="str">
        <f>+IF((PROVEEDORES[[#This Row],[FECHA DE PAGO]]-PROVEEDORES[[#This Row],[FECHA DE FACTURACIÓN]])&gt;PROVEEDORES[[#This Row],[PLAZO Días]],"PAGO VENCIDO")</f>
        <v>PAGO VENCIDO</v>
      </c>
      <c r="C235" s="20">
        <f>+VLOOKUP(PROVEEDORES[[#This Row],[PROVEEDOR]],TERCEROS_INFO[#All],2,FALSE)</f>
        <v>30</v>
      </c>
      <c r="D235" s="25">
        <f>+SUMIFS(PROVEEDORES[Total],PROVEEDORES[PROVEEDOR],PROVEEDORES[[#This Row],[PROVEEDOR]],PROVEEDORES[FECHA DE PAGO],"")</f>
        <v>0</v>
      </c>
      <c r="E235" s="25"/>
      <c r="F235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35" s="68">
        <v>44652</v>
      </c>
      <c r="H235" s="26" t="s">
        <v>47</v>
      </c>
      <c r="I235" s="68">
        <v>44599</v>
      </c>
      <c r="J235" s="35" t="s">
        <v>449</v>
      </c>
      <c r="K235" s="21">
        <v>-97800</v>
      </c>
      <c r="L235" s="21"/>
      <c r="M235" s="22">
        <f>(PROVEEDORES[[#This Row],[SUBTOTAL]]-PROVEEDORES[[#This Row],[descuento sobre subtotal]])*VLOOKUP(PROVEEDORES[[#This Row],[PROVEEDOR]],TERCEROS_INFO[#All],3,FALSE)</f>
        <v>-18582</v>
      </c>
      <c r="N235" s="23"/>
      <c r="O235" s="22">
        <f>+PROVEEDORES[[#This Row],[Descuento sobre subtotal %]]*(PROVEEDORES[[#This Row],[SUBTOTAL]]-PROVEEDORES[[#This Row],[descuento sobre subtotal]])</f>
        <v>0</v>
      </c>
      <c r="P235" s="74">
        <f>+IF(PROVEEDORES[[#This Row],[SUBTOTAL]]&lt;PROVEEDORES[[#This Row],[base retencion]],0,PROVEEDORES[[#This Row],[retención aplicada]])</f>
        <v>0</v>
      </c>
      <c r="Q235" s="22">
        <f>+PROVEEDORES[[#This Row],[Rete Fuente %]]*(PROVEEDORES[[#This Row],[SUBTOTAL]]-PROVEEDORES[[#This Row],[descuento sobre subtotal]])</f>
        <v>0</v>
      </c>
      <c r="R235" s="21">
        <v>-113937</v>
      </c>
      <c r="S23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63">
        <f ca="1">IF(PROVEEDORES[[#This Row],[FECHA DE PAGO]]=0,TODAY()-PROVEEDORES[[#This Row],[FECHA DE FACTURACIÓN]]-PROVEEDORES[[#This Row],[PLAZO Días]],0)</f>
        <v>0</v>
      </c>
      <c r="U235" s="87" t="str">
        <f>+VLOOKUP(PROVEEDORES[[#This Row],[PROVEEDOR]],Terceros!$A:$D,4,FALSE)</f>
        <v>2,5% con base</v>
      </c>
      <c r="V235" s="88">
        <f>+YEAR(PROVEEDORES[[#This Row],[FECHA DE FACTURACIÓN]])</f>
        <v>2022</v>
      </c>
      <c r="W235" s="88">
        <f>+MATCH(PROVEEDORES[[#This Row],[año facturado]],Retenciones!$1:$1,0)</f>
        <v>5</v>
      </c>
      <c r="X235" s="89">
        <f>+VLOOKUP(PROVEEDORES[[#This Row],[ID RETENCION]],Retenciones!$A$1:$O$25,PROVEEDORES[[#This Row],[indicador de columna]],FALSE)</f>
        <v>1026000</v>
      </c>
      <c r="Y235" s="90">
        <f>+VLOOKUP(PROVEEDORES[[#This Row],[ID RETENCION]],Retenciones!$A$1:$O$25,2,FALSE)</f>
        <v>2.5000000000000001E-2</v>
      </c>
      <c r="Z235" s="116" t="b">
        <f>OR(COUNTIF(PROVEEDORES[[#This Row],[PROVEEDOR]],"*"&amp;'Palabra no opera'!$A$2&amp;"*"))</f>
        <v>0</v>
      </c>
      <c r="AA235" s="24"/>
      <c r="AB235" s="24"/>
      <c r="AC235" s="24"/>
      <c r="AD235" s="24"/>
      <c r="AE235" s="24"/>
    </row>
    <row r="236" spans="1:31" ht="22.35" customHeight="1" x14ac:dyDescent="0.3">
      <c r="A236" s="61" t="str">
        <f>+IF(PROVEEDORES[[#This Row],[FECHA DE PAGO]]=PROVEEDORES[[#This Row],[FECHA DE FACTURACIÓN]],"DE CONTADO","CRÉDITO")</f>
        <v>CRÉDITO</v>
      </c>
      <c r="B236" s="38" t="str">
        <f>+IF((PROVEEDORES[[#This Row],[FECHA DE PAGO]]-PROVEEDORES[[#This Row],[FECHA DE FACTURACIÓN]])&gt;PROVEEDORES[[#This Row],[PLAZO Días]],"PAGO VENCIDO")</f>
        <v>PAGO VENCIDO</v>
      </c>
      <c r="C236" s="20">
        <f>+VLOOKUP(PROVEEDORES[[#This Row],[PROVEEDOR]],TERCEROS_INFO[#All],2,FALSE)</f>
        <v>30</v>
      </c>
      <c r="D236" s="25">
        <f>+SUMIFS(PROVEEDORES[Total],PROVEEDORES[PROVEEDOR],PROVEEDORES[[#This Row],[PROVEEDOR]],PROVEEDORES[FECHA DE PAGO],"")</f>
        <v>0</v>
      </c>
      <c r="E236" s="25"/>
      <c r="F236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36" s="68">
        <v>44652</v>
      </c>
      <c r="H236" s="26" t="s">
        <v>47</v>
      </c>
      <c r="I236" s="68">
        <v>44599</v>
      </c>
      <c r="J236" s="35" t="s">
        <v>450</v>
      </c>
      <c r="K236" s="21">
        <v>-5851</v>
      </c>
      <c r="L236" s="21"/>
      <c r="M236" s="22">
        <f>(PROVEEDORES[[#This Row],[SUBTOTAL]]-PROVEEDORES[[#This Row],[descuento sobre subtotal]])*VLOOKUP(PROVEEDORES[[#This Row],[PROVEEDOR]],TERCEROS_INFO[#All],3,FALSE)</f>
        <v>-1111.69</v>
      </c>
      <c r="N236" s="23"/>
      <c r="O236" s="22">
        <f>+PROVEEDORES[[#This Row],[Descuento sobre subtotal %]]*(PROVEEDORES[[#This Row],[SUBTOTAL]]-PROVEEDORES[[#This Row],[descuento sobre subtotal]])</f>
        <v>0</v>
      </c>
      <c r="P236" s="74">
        <f>+IF(PROVEEDORES[[#This Row],[SUBTOTAL]]&lt;PROVEEDORES[[#This Row],[base retencion]],0,PROVEEDORES[[#This Row],[retención aplicada]])</f>
        <v>0</v>
      </c>
      <c r="Q236" s="22">
        <f>+PROVEEDORES[[#This Row],[Rete Fuente %]]*(PROVEEDORES[[#This Row],[SUBTOTAL]]-PROVEEDORES[[#This Row],[descuento sobre subtotal]])</f>
        <v>0</v>
      </c>
      <c r="R236" s="21">
        <v>-5851</v>
      </c>
      <c r="S23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63">
        <f ca="1">IF(PROVEEDORES[[#This Row],[FECHA DE PAGO]]=0,TODAY()-PROVEEDORES[[#This Row],[FECHA DE FACTURACIÓN]]-PROVEEDORES[[#This Row],[PLAZO Días]],0)</f>
        <v>0</v>
      </c>
      <c r="U236" s="87" t="str">
        <f>+VLOOKUP(PROVEEDORES[[#This Row],[PROVEEDOR]],Terceros!$A:$D,4,FALSE)</f>
        <v>2,5% con base</v>
      </c>
      <c r="V236" s="88">
        <f>+YEAR(PROVEEDORES[[#This Row],[FECHA DE FACTURACIÓN]])</f>
        <v>2022</v>
      </c>
      <c r="W236" s="88">
        <f>+MATCH(PROVEEDORES[[#This Row],[año facturado]],Retenciones!$1:$1,0)</f>
        <v>5</v>
      </c>
      <c r="X236" s="89">
        <f>+VLOOKUP(PROVEEDORES[[#This Row],[ID RETENCION]],Retenciones!$A$1:$O$25,PROVEEDORES[[#This Row],[indicador de columna]],FALSE)</f>
        <v>1026000</v>
      </c>
      <c r="Y236" s="90">
        <f>+VLOOKUP(PROVEEDORES[[#This Row],[ID RETENCION]],Retenciones!$A$1:$O$25,2,FALSE)</f>
        <v>2.5000000000000001E-2</v>
      </c>
      <c r="Z236" s="116" t="b">
        <f>OR(COUNTIF(PROVEEDORES[[#This Row],[PROVEEDOR]],"*"&amp;'Palabra no opera'!$A$2&amp;"*"))</f>
        <v>0</v>
      </c>
      <c r="AA236" s="24"/>
      <c r="AB236" s="24"/>
      <c r="AC236" s="24"/>
      <c r="AD236" s="24"/>
      <c r="AE236" s="24"/>
    </row>
    <row r="237" spans="1:31" ht="22.35" customHeight="1" x14ac:dyDescent="0.3">
      <c r="A237" s="61" t="str">
        <f>+IF(PROVEEDORES[[#This Row],[FECHA DE PAGO]]=PROVEEDORES[[#This Row],[FECHA DE FACTURACIÓN]],"DE CONTADO","CRÉDITO")</f>
        <v>CRÉDITO</v>
      </c>
      <c r="B237" s="38" t="b">
        <f>+IF((PROVEEDORES[[#This Row],[FECHA DE PAGO]]-PROVEEDORES[[#This Row],[FECHA DE FACTURACIÓN]])&gt;PROVEEDORES[[#This Row],[PLAZO Días]],"PAGO VENCIDO")</f>
        <v>0</v>
      </c>
      <c r="C237" s="20">
        <f>+VLOOKUP(PROVEEDORES[[#This Row],[PROVEEDOR]],TERCEROS_INFO[#All],2,FALSE)</f>
        <v>30</v>
      </c>
      <c r="D237" s="25">
        <f>+SUMIFS(PROVEEDORES[Total],PROVEEDORES[PROVEEDOR],PROVEEDORES[[#This Row],[PROVEEDOR]],PROVEEDORES[FECHA DE PAGO],"")</f>
        <v>0</v>
      </c>
      <c r="E237" s="25"/>
      <c r="F237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37" s="68">
        <v>44652</v>
      </c>
      <c r="H237" s="26" t="s">
        <v>47</v>
      </c>
      <c r="I237" s="68">
        <v>44629</v>
      </c>
      <c r="J237" s="35" t="s">
        <v>451</v>
      </c>
      <c r="K237" s="21">
        <v>643885</v>
      </c>
      <c r="L237" s="21"/>
      <c r="M237" s="22">
        <f>(PROVEEDORES[[#This Row],[SUBTOTAL]]-PROVEEDORES[[#This Row],[descuento sobre subtotal]])*VLOOKUP(PROVEEDORES[[#This Row],[PROVEEDOR]],TERCEROS_INFO[#All],3,FALSE)</f>
        <v>122338.15</v>
      </c>
      <c r="N237" s="23"/>
      <c r="O237" s="22">
        <f>+PROVEEDORES[[#This Row],[Descuento sobre subtotal %]]*(PROVEEDORES[[#This Row],[SUBTOTAL]]-PROVEEDORES[[#This Row],[descuento sobre subtotal]])</f>
        <v>0</v>
      </c>
      <c r="P237" s="74">
        <f>+IF(PROVEEDORES[[#This Row],[SUBTOTAL]]&lt;PROVEEDORES[[#This Row],[base retencion]],0,PROVEEDORES[[#This Row],[retención aplicada]])</f>
        <v>0</v>
      </c>
      <c r="Q237" s="22">
        <f>+PROVEEDORES[[#This Row],[Rete Fuente %]]*(PROVEEDORES[[#This Row],[SUBTOTAL]]-PROVEEDORES[[#This Row],[descuento sobre subtotal]])</f>
        <v>0</v>
      </c>
      <c r="R237" s="21">
        <v>766223.15</v>
      </c>
      <c r="S23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63">
        <f ca="1">IF(PROVEEDORES[[#This Row],[FECHA DE PAGO]]=0,TODAY()-PROVEEDORES[[#This Row],[FECHA DE FACTURACIÓN]]-PROVEEDORES[[#This Row],[PLAZO Días]],0)</f>
        <v>0</v>
      </c>
      <c r="U237" s="87" t="str">
        <f>+VLOOKUP(PROVEEDORES[[#This Row],[PROVEEDOR]],Terceros!$A:$D,4,FALSE)</f>
        <v>2,5% con base</v>
      </c>
      <c r="V237" s="88">
        <f>+YEAR(PROVEEDORES[[#This Row],[FECHA DE FACTURACIÓN]])</f>
        <v>2022</v>
      </c>
      <c r="W237" s="88">
        <f>+MATCH(PROVEEDORES[[#This Row],[año facturado]],Retenciones!$1:$1,0)</f>
        <v>5</v>
      </c>
      <c r="X237" s="89">
        <f>+VLOOKUP(PROVEEDORES[[#This Row],[ID RETENCION]],Retenciones!$A$1:$O$25,PROVEEDORES[[#This Row],[indicador de columna]],FALSE)</f>
        <v>1026000</v>
      </c>
      <c r="Y237" s="90">
        <f>+VLOOKUP(PROVEEDORES[[#This Row],[ID RETENCION]],Retenciones!$A$1:$O$25,2,FALSE)</f>
        <v>2.5000000000000001E-2</v>
      </c>
      <c r="Z237" s="116" t="b">
        <f>OR(COUNTIF(PROVEEDORES[[#This Row],[PROVEEDOR]],"*"&amp;'Palabra no opera'!$A$2&amp;"*"))</f>
        <v>0</v>
      </c>
      <c r="AA237" s="24"/>
      <c r="AB237" s="24"/>
      <c r="AC237" s="24"/>
      <c r="AD237" s="24"/>
      <c r="AE237" s="24"/>
    </row>
    <row r="238" spans="1:31" ht="22.35" customHeight="1" x14ac:dyDescent="0.3">
      <c r="A238" s="61" t="str">
        <f>+IF(PROVEEDORES[[#This Row],[FECHA DE PAGO]]=PROVEEDORES[[#This Row],[FECHA DE FACTURACIÓN]],"DE CONTADO","CRÉDITO")</f>
        <v>CRÉDITO</v>
      </c>
      <c r="B238" s="38" t="str">
        <f>+IF((PROVEEDORES[[#This Row],[FECHA DE PAGO]]-PROVEEDORES[[#This Row],[FECHA DE FACTURACIÓN]])&gt;PROVEEDORES[[#This Row],[PLAZO Días]],"PAGO VENCIDO")</f>
        <v>PAGO VENCIDO</v>
      </c>
      <c r="C238" s="20">
        <f>+VLOOKUP(PROVEEDORES[[#This Row],[PROVEEDOR]],TERCEROS_INFO[#All],2,FALSE)</f>
        <v>30</v>
      </c>
      <c r="D238" s="25">
        <f>+SUMIFS(PROVEEDORES[Total],PROVEEDORES[PROVEEDOR],PROVEEDORES[[#This Row],[PROVEEDOR]],PROVEEDORES[FECHA DE PAGO],"")</f>
        <v>1316890.8900000001</v>
      </c>
      <c r="E238" s="25"/>
      <c r="F23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8" s="68">
        <v>44652</v>
      </c>
      <c r="H238" s="26" t="s">
        <v>17</v>
      </c>
      <c r="I238" s="68">
        <v>44621</v>
      </c>
      <c r="J238" s="35" t="s">
        <v>461</v>
      </c>
      <c r="K238" s="21">
        <v>-209000</v>
      </c>
      <c r="L238" s="21"/>
      <c r="M238" s="22">
        <f>(PROVEEDORES[[#This Row],[SUBTOTAL]]-PROVEEDORES[[#This Row],[descuento sobre subtotal]])*VLOOKUP(PROVEEDORES[[#This Row],[PROVEEDOR]],TERCEROS_INFO[#All],3,FALSE)</f>
        <v>-39710</v>
      </c>
      <c r="N238" s="23"/>
      <c r="O238" s="22">
        <f>+PROVEEDORES[[#This Row],[Descuento sobre subtotal %]]*(PROVEEDORES[[#This Row],[SUBTOTAL]]-PROVEEDORES[[#This Row],[descuento sobre subtotal]])</f>
        <v>0</v>
      </c>
      <c r="P238" s="74">
        <f>+IF(PROVEEDORES[[#This Row],[SUBTOTAL]]&lt;PROVEEDORES[[#This Row],[base retencion]],0,PROVEEDORES[[#This Row],[retención aplicada]])</f>
        <v>0</v>
      </c>
      <c r="Q238" s="22">
        <f>+PROVEEDORES[[#This Row],[Rete Fuente %]]*(PROVEEDORES[[#This Row],[SUBTOTAL]]-PROVEEDORES[[#This Row],[descuento sobre subtotal]])</f>
        <v>0</v>
      </c>
      <c r="R238" s="21">
        <v>-248710</v>
      </c>
      <c r="S23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63">
        <f ca="1">IF(PROVEEDORES[[#This Row],[FECHA DE PAGO]]=0,TODAY()-PROVEEDORES[[#This Row],[FECHA DE FACTURACIÓN]]-PROVEEDORES[[#This Row],[PLAZO Días]],0)</f>
        <v>0</v>
      </c>
      <c r="U238" s="87">
        <f>+VLOOKUP(PROVEEDORES[[#This Row],[PROVEEDOR]],Terceros!$A:$D,4,FALSE)</f>
        <v>0</v>
      </c>
      <c r="V238" s="88">
        <f>+YEAR(PROVEEDORES[[#This Row],[FECHA DE FACTURACIÓN]])</f>
        <v>2022</v>
      </c>
      <c r="W238" s="88">
        <f>+MATCH(PROVEEDORES[[#This Row],[año facturado]],Retenciones!$1:$1,0)</f>
        <v>5</v>
      </c>
      <c r="X238" s="89">
        <f>+VLOOKUP(PROVEEDORES[[#This Row],[ID RETENCION]],Retenciones!$A$1:$O$25,PROVEEDORES[[#This Row],[indicador de columna]],FALSE)</f>
        <v>0</v>
      </c>
      <c r="Y238" s="90">
        <f>+VLOOKUP(PROVEEDORES[[#This Row],[ID RETENCION]],Retenciones!$A$1:$O$25,2,FALSE)</f>
        <v>0</v>
      </c>
      <c r="Z238" s="116" t="b">
        <f>OR(COUNTIF(PROVEEDORES[[#This Row],[PROVEEDOR]],"*"&amp;'Palabra no opera'!$A$2&amp;"*"))</f>
        <v>0</v>
      </c>
      <c r="AA238" s="24"/>
      <c r="AB238" s="24"/>
      <c r="AC238" s="24"/>
      <c r="AD238" s="24"/>
      <c r="AE238" s="24"/>
    </row>
    <row r="239" spans="1:31" ht="22.35" customHeight="1" x14ac:dyDescent="0.3">
      <c r="A239" s="61" t="str">
        <f>+IF(PROVEEDORES[[#This Row],[FECHA DE PAGO]]=PROVEEDORES[[#This Row],[FECHA DE FACTURACIÓN]],"DE CONTADO","CRÉDITO")</f>
        <v>CRÉDITO</v>
      </c>
      <c r="B239" s="38" t="str">
        <f>+IF((PROVEEDORES[[#This Row],[FECHA DE PAGO]]-PROVEEDORES[[#This Row],[FECHA DE FACTURACIÓN]])&gt;PROVEEDORES[[#This Row],[PLAZO Días]],"PAGO VENCIDO")</f>
        <v>PAGO VENCIDO</v>
      </c>
      <c r="C239" s="20">
        <f>+VLOOKUP(PROVEEDORES[[#This Row],[PROVEEDOR]],TERCEROS_INFO[#All],2,FALSE)</f>
        <v>30</v>
      </c>
      <c r="D239" s="25">
        <f>+SUMIFS(PROVEEDORES[Total],PROVEEDORES[PROVEEDOR],PROVEEDORES[[#This Row],[PROVEEDOR]],PROVEEDORES[FECHA DE PAGO],"")</f>
        <v>18444236.894999996</v>
      </c>
      <c r="E239" s="25"/>
      <c r="F239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39" s="68">
        <v>44652</v>
      </c>
      <c r="H239" s="26" t="s">
        <v>11</v>
      </c>
      <c r="I239" s="68">
        <v>44602</v>
      </c>
      <c r="J239" s="35" t="s">
        <v>484</v>
      </c>
      <c r="K239" s="21">
        <v>3674790</v>
      </c>
      <c r="L239" s="21"/>
      <c r="M239" s="22">
        <v>698210.1</v>
      </c>
      <c r="N239" s="23"/>
      <c r="O239" s="22">
        <f>+PROVEEDORES[[#This Row],[Descuento sobre subtotal %]]*(PROVEEDORES[[#This Row],[SUBTOTAL]]-PROVEEDORES[[#This Row],[descuento sobre subtotal]])</f>
        <v>0</v>
      </c>
      <c r="P239" s="74">
        <f>+IF(PROVEEDORES[[#This Row],[SUBTOTAL]]&lt;PROVEEDORES[[#This Row],[base retencion]],0,PROVEEDORES[[#This Row],[retención aplicada]])</f>
        <v>2.5000000000000001E-2</v>
      </c>
      <c r="Q239" s="22">
        <f>+PROVEEDORES[[#This Row],[Rete Fuente %]]*(PROVEEDORES[[#This Row],[SUBTOTAL]]-PROVEEDORES[[#This Row],[descuento sobre subtotal]])</f>
        <v>91869.75</v>
      </c>
      <c r="R239" s="21">
        <v>4281130.3499999996</v>
      </c>
      <c r="S23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63">
        <f ca="1">IF(PROVEEDORES[[#This Row],[FECHA DE PAGO]]=0,TODAY()-PROVEEDORES[[#This Row],[FECHA DE FACTURACIÓN]]-PROVEEDORES[[#This Row],[PLAZO Días]],0)</f>
        <v>0</v>
      </c>
      <c r="U239" s="87" t="str">
        <f>+VLOOKUP(PROVEEDORES[[#This Row],[PROVEEDOR]],Terceros!$A:$D,4,FALSE)</f>
        <v>2,5% con base</v>
      </c>
      <c r="V239" s="88">
        <f>+YEAR(PROVEEDORES[[#This Row],[FECHA DE FACTURACIÓN]])</f>
        <v>2022</v>
      </c>
      <c r="W239" s="88">
        <f>+MATCH(PROVEEDORES[[#This Row],[año facturado]],Retenciones!$1:$1,0)</f>
        <v>5</v>
      </c>
      <c r="X239" s="89">
        <f>+VLOOKUP(PROVEEDORES[[#This Row],[ID RETENCION]],Retenciones!$A$1:$O$25,PROVEEDORES[[#This Row],[indicador de columna]],FALSE)</f>
        <v>1026000</v>
      </c>
      <c r="Y239" s="90">
        <f>+VLOOKUP(PROVEEDORES[[#This Row],[ID RETENCION]],Retenciones!$A$1:$O$25,2,FALSE)</f>
        <v>2.5000000000000001E-2</v>
      </c>
      <c r="Z239" s="117" t="b">
        <f>OR(COUNTIF(PROVEEDORES[[#This Row],[PROVEEDOR]],"*"&amp;'Palabra no opera'!$A$2&amp;"*"))</f>
        <v>0</v>
      </c>
      <c r="AA239" s="24"/>
      <c r="AB239" s="24"/>
      <c r="AC239" s="24"/>
      <c r="AD239" s="24"/>
      <c r="AE239" s="24"/>
    </row>
    <row r="240" spans="1:31" ht="22.35" customHeight="1" x14ac:dyDescent="0.3">
      <c r="A240" s="61" t="str">
        <f>+IF(PROVEEDORES[[#This Row],[FECHA DE PAGO]]=PROVEEDORES[[#This Row],[FECHA DE FACTURACIÓN]],"DE CONTADO","CRÉDITO")</f>
        <v>DE CONTADO</v>
      </c>
      <c r="B240" s="38" t="b">
        <f>+IF((PROVEEDORES[[#This Row],[FECHA DE PAGO]]-PROVEEDORES[[#This Row],[FECHA DE FACTURACIÓN]])&gt;PROVEEDORES[[#This Row],[PLAZO Días]],"PAGO VENCIDO")</f>
        <v>0</v>
      </c>
      <c r="C240" s="20">
        <f>+VLOOKUP(PROVEEDORES[[#This Row],[PROVEEDOR]],TERCEROS_INFO[#All],2,FALSE)</f>
        <v>30</v>
      </c>
      <c r="D240" s="25">
        <f>+SUMIFS(PROVEEDORES[Total],PROVEEDORES[PROVEEDOR],PROVEEDORES[[#This Row],[PROVEEDOR]],PROVEEDORES[FECHA DE PAGO],"")</f>
        <v>0</v>
      </c>
      <c r="E240" s="25"/>
      <c r="F240" s="56" t="str">
        <f>+VLOOKUP(PROVEEDORES[[#This Row],[PROVEEDOR]],
                       Terceros!$A:$F,
                       5,
                       FALSE)</f>
        <v/>
      </c>
      <c r="G240" s="68">
        <v>44653</v>
      </c>
      <c r="H240" s="26" t="s">
        <v>378</v>
      </c>
      <c r="I240" s="68">
        <v>44653</v>
      </c>
      <c r="J240" s="35" t="s">
        <v>567</v>
      </c>
      <c r="K240" s="21">
        <v>640000</v>
      </c>
      <c r="L240" s="21"/>
      <c r="M240" s="22">
        <f>(PROVEEDORES[[#This Row],[SUBTOTAL]]-PROVEEDORES[[#This Row],[descuento sobre subtotal]])*VLOOKUP(PROVEEDORES[[#This Row],[PROVEEDOR]],TERCEROS_INFO[#All],3,FALSE)</f>
        <v>0</v>
      </c>
      <c r="N240" s="23"/>
      <c r="O240" s="22">
        <f>+PROVEEDORES[[#This Row],[Descuento sobre subtotal %]]*(PROVEEDORES[[#This Row],[SUBTOTAL]]-PROVEEDORES[[#This Row],[descuento sobre subtotal]])</f>
        <v>0</v>
      </c>
      <c r="P240" s="74">
        <f>+IF(PROVEEDORES[[#This Row],[SUBTOTAL]]&lt;PROVEEDORES[[#This Row],[base retencion]],0,PROVEEDORES[[#This Row],[retención aplicada]])</f>
        <v>0</v>
      </c>
      <c r="Q240" s="22">
        <f>+PROVEEDORES[[#This Row],[Rete Fuente %]]*(PROVEEDORES[[#This Row],[SUBTOTAL]]-PROVEEDORES[[#This Row],[descuento sobre subtotal]])</f>
        <v>0</v>
      </c>
      <c r="R240" s="21">
        <f>+PROVEEDORES[[#This Row],[SUBTOTAL]]+PROVEEDORES[[#This Row],[IVA 19%]]-PROVEEDORES[[#This Row],[descuento sobre subtotal]]-PROVEEDORES[[#This Row],[Descuento sobre subtotal $2]]-PROVEEDORES[[#This Row],[Rete Fuente $]]</f>
        <v>640000</v>
      </c>
      <c r="S24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63">
        <f ca="1">IF(PROVEEDORES[[#This Row],[FECHA DE PAGO]]=0,TODAY()-PROVEEDORES[[#This Row],[FECHA DE FACTURACIÓN]]-PROVEEDORES[[#This Row],[PLAZO Días]],0)</f>
        <v>0</v>
      </c>
      <c r="U240" s="87">
        <f>+VLOOKUP(PROVEEDORES[[#This Row],[PROVEEDOR]],Terceros!$A:$D,4,FALSE)</f>
        <v>0</v>
      </c>
      <c r="V240" s="88">
        <f>+YEAR(PROVEEDORES[[#This Row],[FECHA DE FACTURACIÓN]])</f>
        <v>2022</v>
      </c>
      <c r="W240" s="88">
        <f>+MATCH(PROVEEDORES[[#This Row],[año facturado]],Retenciones!$1:$1,0)</f>
        <v>5</v>
      </c>
      <c r="X240" s="89">
        <f>+VLOOKUP(PROVEEDORES[[#This Row],[ID RETENCION]],Retenciones!$A$1:$O$25,PROVEEDORES[[#This Row],[indicador de columna]],FALSE)</f>
        <v>0</v>
      </c>
      <c r="Y240" s="90">
        <f>+VLOOKUP(PROVEEDORES[[#This Row],[ID RETENCION]],Retenciones!$A$1:$O$25,2,FALSE)</f>
        <v>0</v>
      </c>
      <c r="Z240" s="116" t="b">
        <f>OR(COUNTIF(PROVEEDORES[[#This Row],[PROVEEDOR]],"*"&amp;'Palabra no opera'!$A$2&amp;"*"))</f>
        <v>0</v>
      </c>
      <c r="AA240" s="24"/>
      <c r="AB240" s="24"/>
      <c r="AC240" s="24"/>
      <c r="AD240" s="24"/>
      <c r="AE240" s="24"/>
    </row>
    <row r="241" spans="1:31" ht="22.35" customHeight="1" x14ac:dyDescent="0.3">
      <c r="A241" s="61" t="str">
        <f>+IF(PROVEEDORES[[#This Row],[FECHA DE PAGO]]=PROVEEDORES[[#This Row],[FECHA DE FACTURACIÓN]],"DE CONTADO","CRÉDITO")</f>
        <v>CRÉDITO</v>
      </c>
      <c r="B241" s="38" t="str">
        <f>+IF((PROVEEDORES[[#This Row],[FECHA DE PAGO]]-PROVEEDORES[[#This Row],[FECHA DE FACTURACIÓN]])&gt;PROVEEDORES[[#This Row],[PLAZO Días]],"PAGO VENCIDO")</f>
        <v>PAGO VENCIDO</v>
      </c>
      <c r="C241" s="20">
        <f>+VLOOKUP(PROVEEDORES[[#This Row],[PROVEEDOR]],TERCEROS_INFO[#All],2,FALSE)</f>
        <v>30</v>
      </c>
      <c r="D241" s="25">
        <f>+SUMIFS(PROVEEDORES[Total],PROVEEDORES[PROVEEDOR],PROVEEDORES[[#This Row],[PROVEEDOR]],PROVEEDORES[FECHA DE PAGO],"")</f>
        <v>5480000</v>
      </c>
      <c r="E241" s="25"/>
      <c r="F241" s="56" t="str">
        <f>+VLOOKUP(PROVEEDORES[[#This Row],[PROVEEDOR]],
                       Terceros!$A:$F,
                       5,
                       FALSE)</f>
        <v/>
      </c>
      <c r="G241" s="68">
        <v>44656</v>
      </c>
      <c r="H241" s="26" t="s">
        <v>369</v>
      </c>
      <c r="I241" s="68">
        <v>44572</v>
      </c>
      <c r="J241" s="35" t="s">
        <v>985</v>
      </c>
      <c r="K241" s="21">
        <v>425000</v>
      </c>
      <c r="L241" s="21"/>
      <c r="M241" s="22">
        <f>(PROVEEDORES[[#This Row],[SUBTOTAL]]-PROVEEDORES[[#This Row],[descuento sobre subtotal]])*VLOOKUP(PROVEEDORES[[#This Row],[PROVEEDOR]],TERCEROS_INFO[#All],3,FALSE)</f>
        <v>0</v>
      </c>
      <c r="N241" s="23"/>
      <c r="O241" s="22">
        <f>+PROVEEDORES[[#This Row],[Descuento sobre subtotal %]]*(PROVEEDORES[[#This Row],[SUBTOTAL]]-PROVEEDORES[[#This Row],[descuento sobre subtotal]])</f>
        <v>0</v>
      </c>
      <c r="P241" s="74">
        <f>+IF(PROVEEDORES[[#This Row],[SUBTOTAL]]&lt;PROVEEDORES[[#This Row],[base retencion]],0,PROVEEDORES[[#This Row],[retención aplicada]])</f>
        <v>0</v>
      </c>
      <c r="Q241" s="22">
        <f>+PROVEEDORES[[#This Row],[Rete Fuente %]]*(PROVEEDORES[[#This Row],[SUBTOTAL]]-PROVEEDORES[[#This Row],[descuento sobre subtotal]])</f>
        <v>0</v>
      </c>
      <c r="R241" s="21">
        <v>425000</v>
      </c>
      <c r="S24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63">
        <f ca="1">IF(PROVEEDORES[[#This Row],[FECHA DE PAGO]]=0,TODAY()-PROVEEDORES[[#This Row],[FECHA DE FACTURACIÓN]]-PROVEEDORES[[#This Row],[PLAZO Días]],0)</f>
        <v>0</v>
      </c>
      <c r="U241" s="87">
        <f>+VLOOKUP(PROVEEDORES[[#This Row],[PROVEEDOR]],Terceros!$A:$D,4,FALSE)</f>
        <v>0</v>
      </c>
      <c r="V241" s="88">
        <f>+YEAR(PROVEEDORES[[#This Row],[FECHA DE FACTURACIÓN]])</f>
        <v>2022</v>
      </c>
      <c r="W241" s="88">
        <f>+MATCH(PROVEEDORES[[#This Row],[año facturado]],Retenciones!$1:$1,0)</f>
        <v>5</v>
      </c>
      <c r="X241" s="89">
        <f>+VLOOKUP(PROVEEDORES[[#This Row],[ID RETENCION]],Retenciones!$A$1:$O$25,PROVEEDORES[[#This Row],[indicador de columna]],FALSE)</f>
        <v>0</v>
      </c>
      <c r="Y241" s="90">
        <f>+VLOOKUP(PROVEEDORES[[#This Row],[ID RETENCION]],Retenciones!$A$1:$O$25,2,FALSE)</f>
        <v>0</v>
      </c>
      <c r="Z241" s="116" t="b">
        <f>OR(COUNTIF(PROVEEDORES[[#This Row],[PROVEEDOR]],"*"&amp;'Palabra no opera'!$A$2&amp;"*"))</f>
        <v>0</v>
      </c>
      <c r="AA241" s="24"/>
      <c r="AB241" s="24"/>
      <c r="AC241" s="24"/>
      <c r="AD241" s="24"/>
      <c r="AE241" s="24"/>
    </row>
    <row r="242" spans="1:31" ht="22.35" customHeight="1" x14ac:dyDescent="0.3">
      <c r="A242" s="61" t="str">
        <f>+IF(PROVEEDORES[[#This Row],[FECHA DE PAGO]]=PROVEEDORES[[#This Row],[FECHA DE FACTURACIÓN]],"DE CONTADO","CRÉDITO")</f>
        <v>CRÉDITO</v>
      </c>
      <c r="B242" s="38" t="str">
        <f>+IF((PROVEEDORES[[#This Row],[FECHA DE PAGO]]-PROVEEDORES[[#This Row],[FECHA DE FACTURACIÓN]])&gt;PROVEEDORES[[#This Row],[PLAZO Días]],"PAGO VENCIDO")</f>
        <v>PAGO VENCIDO</v>
      </c>
      <c r="C242" s="20">
        <f>+VLOOKUP(PROVEEDORES[[#This Row],[PROVEEDOR]],TERCEROS_INFO[#All],2,FALSE)</f>
        <v>30</v>
      </c>
      <c r="D242" s="25">
        <f>+SUMIFS(PROVEEDORES[Total],PROVEEDORES[PROVEEDOR],PROVEEDORES[[#This Row],[PROVEEDOR]],PROVEEDORES[FECHA DE PAGO],"")</f>
        <v>5480000</v>
      </c>
      <c r="E242" s="25"/>
      <c r="F242" s="56" t="str">
        <f>+VLOOKUP(PROVEEDORES[[#This Row],[PROVEEDOR]],
                       Terceros!$A:$F,
                       5,
                       FALSE)</f>
        <v/>
      </c>
      <c r="G242" s="68">
        <v>44656</v>
      </c>
      <c r="H242" s="26" t="s">
        <v>369</v>
      </c>
      <c r="I242" s="68">
        <v>44582</v>
      </c>
      <c r="J242" s="35" t="s">
        <v>992</v>
      </c>
      <c r="K242" s="21">
        <v>2842000</v>
      </c>
      <c r="L242" s="21"/>
      <c r="M242" s="22">
        <f>(PROVEEDORES[[#This Row],[SUBTOTAL]]-PROVEEDORES[[#This Row],[descuento sobre subtotal]])*VLOOKUP(PROVEEDORES[[#This Row],[PROVEEDOR]],TERCEROS_INFO[#All],3,FALSE)</f>
        <v>0</v>
      </c>
      <c r="N242" s="23"/>
      <c r="O242" s="22">
        <f>+PROVEEDORES[[#This Row],[Descuento sobre subtotal %]]*(PROVEEDORES[[#This Row],[SUBTOTAL]]-PROVEEDORES[[#This Row],[descuento sobre subtotal]])</f>
        <v>0</v>
      </c>
      <c r="P242" s="74">
        <f>+IF(PROVEEDORES[[#This Row],[SUBTOTAL]]&lt;PROVEEDORES[[#This Row],[base retencion]],0,PROVEEDORES[[#This Row],[retención aplicada]])</f>
        <v>0</v>
      </c>
      <c r="Q242" s="22">
        <f>+PROVEEDORES[[#This Row],[Rete Fuente %]]*(PROVEEDORES[[#This Row],[SUBTOTAL]]-PROVEEDORES[[#This Row],[descuento sobre subtotal]])</f>
        <v>0</v>
      </c>
      <c r="R242" s="21">
        <v>2842000</v>
      </c>
      <c r="S24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63">
        <f ca="1">IF(PROVEEDORES[[#This Row],[FECHA DE PAGO]]=0,TODAY()-PROVEEDORES[[#This Row],[FECHA DE FACTURACIÓN]]-PROVEEDORES[[#This Row],[PLAZO Días]],0)</f>
        <v>0</v>
      </c>
      <c r="U242" s="87">
        <f>+VLOOKUP(PROVEEDORES[[#This Row],[PROVEEDOR]],Terceros!$A:$D,4,FALSE)</f>
        <v>0</v>
      </c>
      <c r="V242" s="88">
        <f>+YEAR(PROVEEDORES[[#This Row],[FECHA DE FACTURACIÓN]])</f>
        <v>2022</v>
      </c>
      <c r="W242" s="88">
        <f>+MATCH(PROVEEDORES[[#This Row],[año facturado]],Retenciones!$1:$1,0)</f>
        <v>5</v>
      </c>
      <c r="X242" s="89">
        <f>+VLOOKUP(PROVEEDORES[[#This Row],[ID RETENCION]],Retenciones!$A$1:$O$25,PROVEEDORES[[#This Row],[indicador de columna]],FALSE)</f>
        <v>0</v>
      </c>
      <c r="Y242" s="90">
        <f>+VLOOKUP(PROVEEDORES[[#This Row],[ID RETENCION]],Retenciones!$A$1:$O$25,2,FALSE)</f>
        <v>0</v>
      </c>
      <c r="Z242" s="116" t="b">
        <f>OR(COUNTIF(PROVEEDORES[[#This Row],[PROVEEDOR]],"*"&amp;'Palabra no opera'!$A$2&amp;"*"))</f>
        <v>0</v>
      </c>
      <c r="AA242" s="24"/>
      <c r="AB242" s="24"/>
      <c r="AC242" s="24"/>
      <c r="AD242" s="24"/>
      <c r="AE242" s="24"/>
    </row>
    <row r="243" spans="1:31" ht="22.35" customHeight="1" x14ac:dyDescent="0.3">
      <c r="A243" s="61" t="str">
        <f>+IF(PROVEEDORES[[#This Row],[FECHA DE PAGO]]=PROVEEDORES[[#This Row],[FECHA DE FACTURACIÓN]],"DE CONTADO","CRÉDITO")</f>
        <v>CRÉDITO</v>
      </c>
      <c r="B243" s="38" t="str">
        <f>+IF((PROVEEDORES[[#This Row],[FECHA DE PAGO]]-PROVEEDORES[[#This Row],[FECHA DE FACTURACIÓN]])&gt;PROVEEDORES[[#This Row],[PLAZO Días]],"PAGO VENCIDO")</f>
        <v>PAGO VENCIDO</v>
      </c>
      <c r="C243" s="20">
        <f>+VLOOKUP(PROVEEDORES[[#This Row],[PROVEEDOR]],TERCEROS_INFO[#All],2,FALSE)</f>
        <v>30</v>
      </c>
      <c r="D243" s="25">
        <f>+SUMIFS(PROVEEDORES[Total],PROVEEDORES[PROVEEDOR],PROVEEDORES[[#This Row],[PROVEEDOR]],PROVEEDORES[FECHA DE PAGO],"")</f>
        <v>0</v>
      </c>
      <c r="E243" s="25"/>
      <c r="F243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43" s="68">
        <v>44656</v>
      </c>
      <c r="H243" s="26" t="s">
        <v>403</v>
      </c>
      <c r="I243" s="68">
        <v>44597</v>
      </c>
      <c r="J243" s="35" t="s">
        <v>1000</v>
      </c>
      <c r="K243" s="21">
        <v>1510000</v>
      </c>
      <c r="L243" s="21"/>
      <c r="M243" s="22">
        <v>0</v>
      </c>
      <c r="N243" s="23"/>
      <c r="O243" s="22">
        <v>0</v>
      </c>
      <c r="P243" s="74">
        <f>+IF(PROVEEDORES[[#This Row],[SUBTOTAL]]&lt;PROVEEDORES[[#This Row],[base retencion]],0,PROVEEDORES[[#This Row],[retención aplicada]])</f>
        <v>0</v>
      </c>
      <c r="Q243" s="22">
        <f>+PROVEEDORES[[#This Row],[Rete Fuente %]]*(PROVEEDORES[[#This Row],[SUBTOTAL]]-PROVEEDORES[[#This Row],[descuento sobre subtotal]])</f>
        <v>0</v>
      </c>
      <c r="R243" s="21">
        <v>1510000</v>
      </c>
      <c r="S24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63">
        <f ca="1">IF(PROVEEDORES[[#This Row],[FECHA DE PAGO]]=0,TODAY()-PROVEEDORES[[#This Row],[FECHA DE FACTURACIÓN]]-PROVEEDORES[[#This Row],[PLAZO Días]],0)</f>
        <v>0</v>
      </c>
      <c r="U243" s="87">
        <f>+VLOOKUP(PROVEEDORES[[#This Row],[PROVEEDOR]],Terceros!$A:$D,4,FALSE)</f>
        <v>0</v>
      </c>
      <c r="V243" s="88">
        <f>+YEAR(PROVEEDORES[[#This Row],[FECHA DE FACTURACIÓN]])</f>
        <v>2022</v>
      </c>
      <c r="W243" s="88">
        <f>+MATCH(PROVEEDORES[[#This Row],[año facturado]],Retenciones!$1:$1,0)</f>
        <v>5</v>
      </c>
      <c r="X243" s="89">
        <f>+VLOOKUP(PROVEEDORES[[#This Row],[ID RETENCION]],Retenciones!$A$1:$O$25,PROVEEDORES[[#This Row],[indicador de columna]],FALSE)</f>
        <v>0</v>
      </c>
      <c r="Y243" s="90">
        <f>+VLOOKUP(PROVEEDORES[[#This Row],[ID RETENCION]],Retenciones!$A$1:$O$25,2,FALSE)</f>
        <v>0</v>
      </c>
      <c r="Z243" s="116" t="b">
        <f>OR(COUNTIF(PROVEEDORES[[#This Row],[PROVEEDOR]],"*"&amp;'Palabra no opera'!$A$2&amp;"*"))</f>
        <v>0</v>
      </c>
      <c r="AA243" s="24"/>
      <c r="AB243" s="24"/>
      <c r="AC243" s="24"/>
      <c r="AD243" s="24"/>
      <c r="AE243" s="24"/>
    </row>
    <row r="244" spans="1:31" ht="22.35" customHeight="1" x14ac:dyDescent="0.3">
      <c r="A244" s="61" t="str">
        <f>+IF(PROVEEDORES[[#This Row],[FECHA DE PAGO]]=PROVEEDORES[[#This Row],[FECHA DE FACTURACIÓN]],"DE CONTADO","CRÉDITO")</f>
        <v>CRÉDITO</v>
      </c>
      <c r="B244" s="38" t="b">
        <f>+IF((PROVEEDORES[[#This Row],[FECHA DE PAGO]]-PROVEEDORES[[#This Row],[FECHA DE FACTURACIÓN]])&gt;PROVEEDORES[[#This Row],[PLAZO Días]],"PAGO VENCIDO")</f>
        <v>0</v>
      </c>
      <c r="C244" s="20">
        <f>+VLOOKUP(PROVEEDORES[[#This Row],[PROVEEDOR]],TERCEROS_INFO[#All],2,FALSE)</f>
        <v>30</v>
      </c>
      <c r="D244" s="25">
        <f>+SUMIFS(PROVEEDORES[Total],PROVEEDORES[PROVEEDOR],PROVEEDORES[[#This Row],[PROVEEDOR]],PROVEEDORES[FECHA DE PAGO],"")</f>
        <v>0</v>
      </c>
      <c r="E244" s="25"/>
      <c r="F244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44" s="68">
        <v>44656</v>
      </c>
      <c r="H244" s="26" t="s">
        <v>403</v>
      </c>
      <c r="I244" s="68">
        <v>44649</v>
      </c>
      <c r="J244" s="35" t="s">
        <v>1012</v>
      </c>
      <c r="K244" s="21">
        <v>-1200000</v>
      </c>
      <c r="L244" s="21"/>
      <c r="M244" s="22">
        <v>0</v>
      </c>
      <c r="N244" s="23"/>
      <c r="O244" s="22">
        <v>0</v>
      </c>
      <c r="P244" s="74">
        <f>+IF(PROVEEDORES[[#This Row],[SUBTOTAL]]&lt;PROVEEDORES[[#This Row],[base retencion]],0,PROVEEDORES[[#This Row],[retención aplicada]])</f>
        <v>0</v>
      </c>
      <c r="Q244" s="22">
        <f>+PROVEEDORES[[#This Row],[Rete Fuente %]]*(PROVEEDORES[[#This Row],[SUBTOTAL]]-PROVEEDORES[[#This Row],[descuento sobre subtotal]])</f>
        <v>0</v>
      </c>
      <c r="R244" s="21">
        <v>0</v>
      </c>
      <c r="S24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63">
        <f ca="1">IF(PROVEEDORES[[#This Row],[FECHA DE PAGO]]=0,TODAY()-PROVEEDORES[[#This Row],[FECHA DE FACTURACIÓN]]-PROVEEDORES[[#This Row],[PLAZO Días]],0)</f>
        <v>0</v>
      </c>
      <c r="U244" s="87">
        <f>+VLOOKUP(PROVEEDORES[[#This Row],[PROVEEDOR]],Terceros!$A:$D,4,FALSE)</f>
        <v>0</v>
      </c>
      <c r="V244" s="88">
        <f>+YEAR(PROVEEDORES[[#This Row],[FECHA DE FACTURACIÓN]])</f>
        <v>2022</v>
      </c>
      <c r="W244" s="88">
        <f>+MATCH(PROVEEDORES[[#This Row],[año facturado]],Retenciones!$1:$1,0)</f>
        <v>5</v>
      </c>
      <c r="X244" s="89">
        <f>+VLOOKUP(PROVEEDORES[[#This Row],[ID RETENCION]],Retenciones!$A$1:$O$25,PROVEEDORES[[#This Row],[indicador de columna]],FALSE)</f>
        <v>0</v>
      </c>
      <c r="Y244" s="90">
        <f>+VLOOKUP(PROVEEDORES[[#This Row],[ID RETENCION]],Retenciones!$A$1:$O$25,2,FALSE)</f>
        <v>0</v>
      </c>
      <c r="Z244" s="116" t="b">
        <f>OR(COUNTIF(PROVEEDORES[[#This Row],[PROVEEDOR]],"*"&amp;'Palabra no opera'!$A$2&amp;"*"))</f>
        <v>0</v>
      </c>
      <c r="AA244" s="24"/>
      <c r="AB244" s="24"/>
      <c r="AC244" s="24"/>
      <c r="AD244" s="24"/>
      <c r="AE244" s="24"/>
    </row>
    <row r="245" spans="1:31" ht="22.35" customHeight="1" x14ac:dyDescent="0.3">
      <c r="A245" s="61" t="str">
        <f>+IF(PROVEEDORES[[#This Row],[FECHA DE PAGO]]=PROVEEDORES[[#This Row],[FECHA DE FACTURACIÓN]],"DE CONTADO","CRÉDITO")</f>
        <v>CRÉDITO</v>
      </c>
      <c r="B245" s="38" t="str">
        <f>+IF((PROVEEDORES[[#This Row],[FECHA DE PAGO]]-PROVEEDORES[[#This Row],[FECHA DE FACTURACIÓN]])&gt;PROVEEDORES[[#This Row],[PLAZO Días]],"PAGO VENCIDO")</f>
        <v>PAGO VENCIDO</v>
      </c>
      <c r="C245" s="20">
        <f>+VLOOKUP(PROVEEDORES[[#This Row],[PROVEEDOR]],TERCEROS_INFO[#All],2,FALSE)</f>
        <v>60</v>
      </c>
      <c r="D245" s="25">
        <f>+SUMIFS(PROVEEDORES[Total],PROVEEDORES[PROVEEDOR],PROVEEDORES[[#This Row],[PROVEEDOR]],PROVEEDORES[FECHA DE PAGO],"")</f>
        <v>0</v>
      </c>
      <c r="E245" s="25"/>
      <c r="F245" s="56">
        <f>+VLOOKUP(PROVEEDORES[[#This Row],[PROVEEDOR]],
                       Terceros!$A:$F,
                       5,
                       FALSE)</f>
        <v>0</v>
      </c>
      <c r="G245" s="68">
        <v>44656</v>
      </c>
      <c r="H245" s="26" t="s">
        <v>951</v>
      </c>
      <c r="I245" s="68">
        <v>44546</v>
      </c>
      <c r="J245" s="35" t="s">
        <v>443</v>
      </c>
      <c r="K245" s="21">
        <v>5190000</v>
      </c>
      <c r="L245" s="21"/>
      <c r="M245" s="22">
        <v>986100</v>
      </c>
      <c r="N245" s="23"/>
      <c r="O245" s="22">
        <v>0</v>
      </c>
      <c r="P245" s="74">
        <f>+IF(PROVEEDORES[[#This Row],[SUBTOTAL]]&lt;PROVEEDORES[[#This Row],[base retencion]],0,PROVEEDORES[[#This Row],[retención aplicada]])</f>
        <v>0</v>
      </c>
      <c r="Q245" s="22">
        <f>+PROVEEDORES[[#This Row],[Rete Fuente %]]*(PROVEEDORES[[#This Row],[SUBTOTAL]]-PROVEEDORES[[#This Row],[descuento sobre subtotal]])</f>
        <v>0</v>
      </c>
      <c r="R245" s="21">
        <v>6046350</v>
      </c>
      <c r="S24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63">
        <f ca="1">IF(PROVEEDORES[[#This Row],[FECHA DE PAGO]]=0,TODAY()-PROVEEDORES[[#This Row],[FECHA DE FACTURACIÓN]]-PROVEEDORES[[#This Row],[PLAZO Días]],0)</f>
        <v>0</v>
      </c>
      <c r="U245" s="87">
        <f>+VLOOKUP(PROVEEDORES[[#This Row],[PROVEEDOR]],Terceros!$A:$D,4,FALSE)</f>
        <v>0</v>
      </c>
      <c r="V245" s="88">
        <f>+YEAR(PROVEEDORES[[#This Row],[FECHA DE FACTURACIÓN]])</f>
        <v>2021</v>
      </c>
      <c r="W245" s="88">
        <f>+MATCH(PROVEEDORES[[#This Row],[año facturado]],Retenciones!$1:$1,0)</f>
        <v>4</v>
      </c>
      <c r="X245" s="89">
        <f>+VLOOKUP(PROVEEDORES[[#This Row],[ID RETENCION]],Retenciones!$A$1:$O$25,PROVEEDORES[[#This Row],[indicador de columna]],FALSE)</f>
        <v>0</v>
      </c>
      <c r="Y245" s="90">
        <f>+VLOOKUP(PROVEEDORES[[#This Row],[ID RETENCION]],Retenciones!$A$1:$O$25,2,FALSE)</f>
        <v>0</v>
      </c>
      <c r="Z245" s="116" t="b">
        <f>OR(COUNTIF(PROVEEDORES[[#This Row],[PROVEEDOR]],"*"&amp;'Palabra no opera'!$A$2&amp;"*"))</f>
        <v>1</v>
      </c>
      <c r="AA245" s="24"/>
      <c r="AB245" s="24"/>
      <c r="AC245" s="24"/>
      <c r="AD245" s="24"/>
      <c r="AE245" s="24"/>
    </row>
    <row r="246" spans="1:31" ht="22.35" customHeight="1" x14ac:dyDescent="0.3">
      <c r="A246" s="61" t="str">
        <f>+IF(PROVEEDORES[[#This Row],[FECHA DE PAGO]]=PROVEEDORES[[#This Row],[FECHA DE FACTURACIÓN]],"DE CONTADO","CRÉDITO")</f>
        <v>CRÉDITO</v>
      </c>
      <c r="B246" s="38" t="str">
        <f>+IF((PROVEEDORES[[#This Row],[FECHA DE PAGO]]-PROVEEDORES[[#This Row],[FECHA DE FACTURACIÓN]])&gt;PROVEEDORES[[#This Row],[PLAZO Días]],"PAGO VENCIDO")</f>
        <v>PAGO VENCIDO</v>
      </c>
      <c r="C246" s="20">
        <f>+VLOOKUP(PROVEEDORES[[#This Row],[PROVEEDOR]],TERCEROS_INFO[#All],2,FALSE)</f>
        <v>30</v>
      </c>
      <c r="D246" s="25">
        <f>+SUMIFS(PROVEEDORES[Total],PROVEEDORES[PROVEEDOR],PROVEEDORES[[#This Row],[PROVEEDOR]],PROVEEDORES[FECHA DE PAGO],"")</f>
        <v>1125118.8199999998</v>
      </c>
      <c r="E246" s="25"/>
      <c r="F246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246" s="68">
        <v>44656</v>
      </c>
      <c r="H246" s="26" t="s">
        <v>279</v>
      </c>
      <c r="I246" s="68">
        <v>44620</v>
      </c>
      <c r="J246" s="35" t="s">
        <v>452</v>
      </c>
      <c r="K246" s="21">
        <v>585212</v>
      </c>
      <c r="L246" s="21"/>
      <c r="M246" s="22">
        <f>(PROVEEDORES[[#This Row],[SUBTOTAL]]-PROVEEDORES[[#This Row],[descuento sobre subtotal]])*VLOOKUP(PROVEEDORES[[#This Row],[PROVEEDOR]],TERCEROS_INFO[#All],3,FALSE)</f>
        <v>111190.28</v>
      </c>
      <c r="N246" s="23"/>
      <c r="O246" s="22">
        <f>+PROVEEDORES[[#This Row],[Descuento sobre subtotal %]]*(PROVEEDORES[[#This Row],[SUBTOTAL]]-PROVEEDORES[[#This Row],[descuento sobre subtotal]])</f>
        <v>0</v>
      </c>
      <c r="P246" s="74">
        <f>+IF(PROVEEDORES[[#This Row],[SUBTOTAL]]&lt;PROVEEDORES[[#This Row],[base retencion]],0,PROVEEDORES[[#This Row],[retención aplicada]])</f>
        <v>0</v>
      </c>
      <c r="Q246" s="22">
        <f>+PROVEEDORES[[#This Row],[Rete Fuente %]]*(PROVEEDORES[[#This Row],[SUBTOTAL]]-PROVEEDORES[[#This Row],[descuento sobre subtotal]])</f>
        <v>0</v>
      </c>
      <c r="R246" s="21">
        <v>696402.28</v>
      </c>
      <c r="S24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63">
        <f ca="1">IF(PROVEEDORES[[#This Row],[FECHA DE PAGO]]=0,TODAY()-PROVEEDORES[[#This Row],[FECHA DE FACTURACIÓN]]-PROVEEDORES[[#This Row],[PLAZO Días]],0)</f>
        <v>0</v>
      </c>
      <c r="U246" s="87" t="str">
        <f>+VLOOKUP(PROVEEDORES[[#This Row],[PROVEEDOR]],Terceros!$A:$D,4,FALSE)</f>
        <v>2,5% con base</v>
      </c>
      <c r="V246" s="88">
        <f>+YEAR(PROVEEDORES[[#This Row],[FECHA DE FACTURACIÓN]])</f>
        <v>2022</v>
      </c>
      <c r="W246" s="88">
        <f>+MATCH(PROVEEDORES[[#This Row],[año facturado]],Retenciones!$1:$1,0)</f>
        <v>5</v>
      </c>
      <c r="X246" s="89">
        <f>+VLOOKUP(PROVEEDORES[[#This Row],[ID RETENCION]],Retenciones!$A$1:$O$25,PROVEEDORES[[#This Row],[indicador de columna]],FALSE)</f>
        <v>1026000</v>
      </c>
      <c r="Y246" s="90">
        <f>+VLOOKUP(PROVEEDORES[[#This Row],[ID RETENCION]],Retenciones!$A$1:$O$25,2,FALSE)</f>
        <v>2.5000000000000001E-2</v>
      </c>
      <c r="Z246" s="116" t="b">
        <f>OR(COUNTIF(PROVEEDORES[[#This Row],[PROVEEDOR]],"*"&amp;'Palabra no opera'!$A$2&amp;"*"))</f>
        <v>0</v>
      </c>
      <c r="AA246" s="24"/>
      <c r="AB246" s="24"/>
      <c r="AC246" s="24"/>
      <c r="AD246" s="24"/>
      <c r="AE246" s="24"/>
    </row>
    <row r="247" spans="1:31" ht="22.35" customHeight="1" x14ac:dyDescent="0.3">
      <c r="A247" s="61" t="str">
        <f>+IF(PROVEEDORES[[#This Row],[FECHA DE PAGO]]=PROVEEDORES[[#This Row],[FECHA DE FACTURACIÓN]],"DE CONTADO","CRÉDITO")</f>
        <v>CRÉDITO</v>
      </c>
      <c r="B247" s="38" t="str">
        <f>+IF((PROVEEDORES[[#This Row],[FECHA DE PAGO]]-PROVEEDORES[[#This Row],[FECHA DE FACTURACIÓN]])&gt;PROVEEDORES[[#This Row],[PLAZO Días]],"PAGO VENCIDO")</f>
        <v>PAGO VENCIDO</v>
      </c>
      <c r="C247" s="20">
        <f>+VLOOKUP(PROVEEDORES[[#This Row],[PROVEEDOR]],TERCEROS_INFO[#All],2,FALSE)</f>
        <v>45</v>
      </c>
      <c r="D247" s="25">
        <f>+SUMIFS(PROVEEDORES[Total],PROVEEDORES[PROVEEDOR],PROVEEDORES[[#This Row],[PROVEEDOR]],PROVEEDORES[FECHA DE PAGO],"")</f>
        <v>15770594</v>
      </c>
      <c r="E247" s="25"/>
      <c r="F24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47" s="68">
        <v>44656</v>
      </c>
      <c r="H247" s="26" t="s">
        <v>19</v>
      </c>
      <c r="I247" s="68">
        <v>44596</v>
      </c>
      <c r="J247" s="35" t="s">
        <v>466</v>
      </c>
      <c r="K247" s="21">
        <v>1164160</v>
      </c>
      <c r="L247" s="21"/>
      <c r="M247" s="22">
        <f>(PROVEEDORES[[#This Row],[SUBTOTAL]]-PROVEEDORES[[#This Row],[descuento sobre subtotal]])*VLOOKUP(PROVEEDORES[[#This Row],[PROVEEDOR]],TERCEROS_INFO[#All],3,FALSE)</f>
        <v>221190.39999999999</v>
      </c>
      <c r="N247" s="23"/>
      <c r="O247" s="22">
        <f>+PROVEEDORES[[#This Row],[Descuento sobre subtotal %]]*(PROVEEDORES[[#This Row],[SUBTOTAL]]-PROVEEDORES[[#This Row],[descuento sobre subtotal]])</f>
        <v>0</v>
      </c>
      <c r="P247" s="74">
        <f>+IF(PROVEEDORES[[#This Row],[SUBTOTAL]]&lt;PROVEEDORES[[#This Row],[base retencion]],0,PROVEEDORES[[#This Row],[retención aplicada]])</f>
        <v>0</v>
      </c>
      <c r="Q247" s="22">
        <f>+PROVEEDORES[[#This Row],[Rete Fuente %]]*(PROVEEDORES[[#This Row],[SUBTOTAL]]-PROVEEDORES[[#This Row],[descuento sobre subtotal]])</f>
        <v>0</v>
      </c>
      <c r="R247" s="21">
        <v>1385350.4</v>
      </c>
      <c r="S24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63">
        <f ca="1">IF(PROVEEDORES[[#This Row],[FECHA DE PAGO]]=0,TODAY()-PROVEEDORES[[#This Row],[FECHA DE FACTURACIÓN]]-PROVEEDORES[[#This Row],[PLAZO Días]],0)</f>
        <v>0</v>
      </c>
      <c r="U247" s="87">
        <f>+VLOOKUP(PROVEEDORES[[#This Row],[PROVEEDOR]],Terceros!$A:$D,4,FALSE)</f>
        <v>0</v>
      </c>
      <c r="V247" s="88">
        <f>+YEAR(PROVEEDORES[[#This Row],[FECHA DE FACTURACIÓN]])</f>
        <v>2022</v>
      </c>
      <c r="W247" s="88">
        <f>+MATCH(PROVEEDORES[[#This Row],[año facturado]],Retenciones!$1:$1,0)</f>
        <v>5</v>
      </c>
      <c r="X247" s="89">
        <f>+VLOOKUP(PROVEEDORES[[#This Row],[ID RETENCION]],Retenciones!$A$1:$O$25,PROVEEDORES[[#This Row],[indicador de columna]],FALSE)</f>
        <v>0</v>
      </c>
      <c r="Y247" s="90">
        <f>+VLOOKUP(PROVEEDORES[[#This Row],[ID RETENCION]],Retenciones!$A$1:$O$25,2,FALSE)</f>
        <v>0</v>
      </c>
      <c r="Z247" s="116" t="b">
        <f>OR(COUNTIF(PROVEEDORES[[#This Row],[PROVEEDOR]],"*"&amp;'Palabra no opera'!$A$2&amp;"*"))</f>
        <v>0</v>
      </c>
      <c r="AA247" s="24"/>
      <c r="AB247" s="24"/>
      <c r="AC247" s="24"/>
      <c r="AD247" s="24"/>
      <c r="AE247" s="24"/>
    </row>
    <row r="248" spans="1:31" ht="22.35" customHeight="1" x14ac:dyDescent="0.3">
      <c r="A248" s="61" t="str">
        <f>+IF(PROVEEDORES[[#This Row],[FECHA DE PAGO]]=PROVEEDORES[[#This Row],[FECHA DE FACTURACIÓN]],"DE CONTADO","CRÉDITO")</f>
        <v>CRÉDITO</v>
      </c>
      <c r="B248" s="38" t="str">
        <f>+IF((PROVEEDORES[[#This Row],[FECHA DE PAGO]]-PROVEEDORES[[#This Row],[FECHA DE FACTURACIÓN]])&gt;PROVEEDORES[[#This Row],[PLAZO Días]],"PAGO VENCIDO")</f>
        <v>PAGO VENCIDO</v>
      </c>
      <c r="C248" s="20">
        <f>+VLOOKUP(PROVEEDORES[[#This Row],[PROVEEDOR]],TERCEROS_INFO[#All],2,FALSE)</f>
        <v>45</v>
      </c>
      <c r="D248" s="25">
        <f>+SUMIFS(PROVEEDORES[Total],PROVEEDORES[PROVEEDOR],PROVEEDORES[[#This Row],[PROVEEDOR]],PROVEEDORES[FECHA DE PAGO],"")</f>
        <v>8072960</v>
      </c>
      <c r="E248" s="25"/>
      <c r="F248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8" s="68">
        <v>44656</v>
      </c>
      <c r="H248" s="26" t="s">
        <v>10</v>
      </c>
      <c r="I248" s="68">
        <v>44587</v>
      </c>
      <c r="J248" s="35" t="s">
        <v>478</v>
      </c>
      <c r="K248" s="21">
        <v>1200000</v>
      </c>
      <c r="L248" s="21"/>
      <c r="M248" s="22">
        <f>(PROVEEDORES[[#This Row],[SUBTOTAL]]-PROVEEDORES[[#This Row],[descuento sobre subtotal]])*VLOOKUP(PROVEEDORES[[#This Row],[PROVEEDOR]],TERCEROS_INFO[#All],3,FALSE)</f>
        <v>228000</v>
      </c>
      <c r="N248" s="23"/>
      <c r="O248" s="22">
        <f>+PROVEEDORES[[#This Row],[Descuento sobre subtotal %]]*(PROVEEDORES[[#This Row],[SUBTOTAL]]-PROVEEDORES[[#This Row],[descuento sobre subtotal]])</f>
        <v>0</v>
      </c>
      <c r="P248" s="74">
        <f>+IF(PROVEEDORES[[#This Row],[SUBTOTAL]]&lt;PROVEEDORES[[#This Row],[base retencion]],0,PROVEEDORES[[#This Row],[retención aplicada]])</f>
        <v>0</v>
      </c>
      <c r="Q248" s="22">
        <f>+PROVEEDORES[[#This Row],[Rete Fuente %]]*(PROVEEDORES[[#This Row],[SUBTOTAL]]-PROVEEDORES[[#This Row],[descuento sobre subtotal]])</f>
        <v>0</v>
      </c>
      <c r="R248" s="21">
        <v>1428000</v>
      </c>
      <c r="S24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63">
        <f ca="1">IF(PROVEEDORES[[#This Row],[FECHA DE PAGO]]=0,TODAY()-PROVEEDORES[[#This Row],[FECHA DE FACTURACIÓN]]-PROVEEDORES[[#This Row],[PLAZO Días]],0)</f>
        <v>0</v>
      </c>
      <c r="U248" s="87">
        <f>+VLOOKUP(PROVEEDORES[[#This Row],[PROVEEDOR]],Terceros!$A:$D,4,FALSE)</f>
        <v>0</v>
      </c>
      <c r="V248" s="88">
        <f>+YEAR(PROVEEDORES[[#This Row],[FECHA DE FACTURACIÓN]])</f>
        <v>2022</v>
      </c>
      <c r="W248" s="88">
        <f>+MATCH(PROVEEDORES[[#This Row],[año facturado]],Retenciones!$1:$1,0)</f>
        <v>5</v>
      </c>
      <c r="X248" s="89">
        <f>+VLOOKUP(PROVEEDORES[[#This Row],[ID RETENCION]],Retenciones!$A$1:$O$25,PROVEEDORES[[#This Row],[indicador de columna]],FALSE)</f>
        <v>0</v>
      </c>
      <c r="Y248" s="90">
        <f>+VLOOKUP(PROVEEDORES[[#This Row],[ID RETENCION]],Retenciones!$A$1:$O$25,2,FALSE)</f>
        <v>0</v>
      </c>
      <c r="Z248" s="116" t="b">
        <f>OR(COUNTIF(PROVEEDORES[[#This Row],[PROVEEDOR]],"*"&amp;'Palabra no opera'!$A$2&amp;"*"))</f>
        <v>0</v>
      </c>
      <c r="AA248" s="24"/>
      <c r="AB248" s="24"/>
      <c r="AC248" s="24"/>
      <c r="AD248" s="24"/>
      <c r="AE248" s="24"/>
    </row>
    <row r="249" spans="1:31" ht="22.35" customHeight="1" x14ac:dyDescent="0.3">
      <c r="A249" s="61" t="str">
        <f>+IF(PROVEEDORES[[#This Row],[FECHA DE PAGO]]=PROVEEDORES[[#This Row],[FECHA DE FACTURACIÓN]],"DE CONTADO","CRÉDITO")</f>
        <v>CRÉDITO</v>
      </c>
      <c r="B249" s="38" t="str">
        <f>+IF((PROVEEDORES[[#This Row],[FECHA DE PAGO]]-PROVEEDORES[[#This Row],[FECHA DE FACTURACIÓN]])&gt;PROVEEDORES[[#This Row],[PLAZO Días]],"PAGO VENCIDO")</f>
        <v>PAGO VENCIDO</v>
      </c>
      <c r="C249" s="20">
        <f>+VLOOKUP(PROVEEDORES[[#This Row],[PROVEEDOR]],TERCEROS_INFO[#All],2,FALSE)</f>
        <v>45</v>
      </c>
      <c r="D249" s="25">
        <f>+SUMIFS(PROVEEDORES[Total],PROVEEDORES[PROVEEDOR],PROVEEDORES[[#This Row],[PROVEEDOR]],PROVEEDORES[FECHA DE PAGO],"")</f>
        <v>8072960</v>
      </c>
      <c r="E249" s="25"/>
      <c r="F24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9" s="68">
        <v>44656</v>
      </c>
      <c r="H249" s="26" t="s">
        <v>10</v>
      </c>
      <c r="I249" s="68">
        <v>44587</v>
      </c>
      <c r="J249" s="35" t="s">
        <v>477</v>
      </c>
      <c r="K249" s="21">
        <v>1600000</v>
      </c>
      <c r="L249" s="21"/>
      <c r="M249" s="22">
        <f>(PROVEEDORES[[#This Row],[SUBTOTAL]]-PROVEEDORES[[#This Row],[descuento sobre subtotal]])*VLOOKUP(PROVEEDORES[[#This Row],[PROVEEDOR]],TERCEROS_INFO[#All],3,FALSE)</f>
        <v>304000</v>
      </c>
      <c r="N249" s="23"/>
      <c r="O249" s="22">
        <f>+PROVEEDORES[[#This Row],[Descuento sobre subtotal %]]*(PROVEEDORES[[#This Row],[SUBTOTAL]]-PROVEEDORES[[#This Row],[descuento sobre subtotal]])</f>
        <v>0</v>
      </c>
      <c r="P249" s="74">
        <f>+IF(PROVEEDORES[[#This Row],[SUBTOTAL]]&lt;PROVEEDORES[[#This Row],[base retencion]],0,PROVEEDORES[[#This Row],[retención aplicada]])</f>
        <v>0</v>
      </c>
      <c r="Q249" s="22">
        <f>+PROVEEDORES[[#This Row],[Rete Fuente %]]*(PROVEEDORES[[#This Row],[SUBTOTAL]]-PROVEEDORES[[#This Row],[descuento sobre subtotal]])</f>
        <v>0</v>
      </c>
      <c r="R249" s="21">
        <v>1904000</v>
      </c>
      <c r="S24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63">
        <f ca="1">IF(PROVEEDORES[[#This Row],[FECHA DE PAGO]]=0,TODAY()-PROVEEDORES[[#This Row],[FECHA DE FACTURACIÓN]]-PROVEEDORES[[#This Row],[PLAZO Días]],0)</f>
        <v>0</v>
      </c>
      <c r="U249" s="87">
        <f>+VLOOKUP(PROVEEDORES[[#This Row],[PROVEEDOR]],Terceros!$A:$D,4,FALSE)</f>
        <v>0</v>
      </c>
      <c r="V249" s="88">
        <f>+YEAR(PROVEEDORES[[#This Row],[FECHA DE FACTURACIÓN]])</f>
        <v>2022</v>
      </c>
      <c r="W249" s="88">
        <f>+MATCH(PROVEEDORES[[#This Row],[año facturado]],Retenciones!$1:$1,0)</f>
        <v>5</v>
      </c>
      <c r="X249" s="89">
        <f>+VLOOKUP(PROVEEDORES[[#This Row],[ID RETENCION]],Retenciones!$A$1:$O$25,PROVEEDORES[[#This Row],[indicador de columna]],FALSE)</f>
        <v>0</v>
      </c>
      <c r="Y249" s="90">
        <f>+VLOOKUP(PROVEEDORES[[#This Row],[ID RETENCION]],Retenciones!$A$1:$O$25,2,FALSE)</f>
        <v>0</v>
      </c>
      <c r="Z249" s="116" t="b">
        <f>OR(COUNTIF(PROVEEDORES[[#This Row],[PROVEEDOR]],"*"&amp;'Palabra no opera'!$A$2&amp;"*"))</f>
        <v>0</v>
      </c>
      <c r="AA249" s="24"/>
      <c r="AB249" s="24"/>
      <c r="AC249" s="24"/>
      <c r="AD249" s="24"/>
      <c r="AE249" s="24"/>
    </row>
    <row r="250" spans="1:31" ht="22.35" customHeight="1" x14ac:dyDescent="0.3">
      <c r="A250" s="61" t="str">
        <f>+IF(PROVEEDORES[[#This Row],[FECHA DE PAGO]]=PROVEEDORES[[#This Row],[FECHA DE FACTURACIÓN]],"DE CONTADO","CRÉDITO")</f>
        <v>CRÉDITO</v>
      </c>
      <c r="B250" s="38" t="str">
        <f>+IF((PROVEEDORES[[#This Row],[FECHA DE PAGO]]-PROVEEDORES[[#This Row],[FECHA DE FACTURACIÓN]])&gt;PROVEEDORES[[#This Row],[PLAZO Días]],"PAGO VENCIDO")</f>
        <v>PAGO VENCIDO</v>
      </c>
      <c r="C250" s="20">
        <f>+VLOOKUP(PROVEEDORES[[#This Row],[PROVEEDOR]],TERCEROS_INFO[#All],2,FALSE)</f>
        <v>45</v>
      </c>
      <c r="D250" s="25">
        <f>+SUMIFS(PROVEEDORES[Total],PROVEEDORES[PROVEEDOR],PROVEEDORES[[#This Row],[PROVEEDOR]],PROVEEDORES[FECHA DE PAGO],"")</f>
        <v>8072960</v>
      </c>
      <c r="E250" s="25"/>
      <c r="F25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50" s="68">
        <v>44656</v>
      </c>
      <c r="H250" s="26" t="s">
        <v>10</v>
      </c>
      <c r="I250" s="68">
        <v>44594</v>
      </c>
      <c r="J250" s="35" t="s">
        <v>480</v>
      </c>
      <c r="K250" s="21">
        <v>1140335.8999999999</v>
      </c>
      <c r="L250" s="21"/>
      <c r="M250" s="22">
        <f>(PROVEEDORES[[#This Row],[SUBTOTAL]]-PROVEEDORES[[#This Row],[descuento sobre subtotal]])*VLOOKUP(PROVEEDORES[[#This Row],[PROVEEDOR]],TERCEROS_INFO[#All],3,FALSE)</f>
        <v>216663.821</v>
      </c>
      <c r="N250" s="23"/>
      <c r="O250" s="22">
        <f>+PROVEEDORES[[#This Row],[Descuento sobre subtotal %]]*(PROVEEDORES[[#This Row],[SUBTOTAL]]-PROVEEDORES[[#This Row],[descuento sobre subtotal]])</f>
        <v>0</v>
      </c>
      <c r="P250" s="74">
        <f>+IF(PROVEEDORES[[#This Row],[SUBTOTAL]]&lt;PROVEEDORES[[#This Row],[base retencion]],0,PROVEEDORES[[#This Row],[retención aplicada]])</f>
        <v>0</v>
      </c>
      <c r="Q250" s="22">
        <f>+PROVEEDORES[[#This Row],[Rete Fuente %]]*(PROVEEDORES[[#This Row],[SUBTOTAL]]-PROVEEDORES[[#This Row],[descuento sobre subtotal]])</f>
        <v>0</v>
      </c>
      <c r="R250" s="21">
        <v>1356999.7209999999</v>
      </c>
      <c r="S25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63">
        <f ca="1">IF(PROVEEDORES[[#This Row],[FECHA DE PAGO]]=0,TODAY()-PROVEEDORES[[#This Row],[FECHA DE FACTURACIÓN]]-PROVEEDORES[[#This Row],[PLAZO Días]],0)</f>
        <v>0</v>
      </c>
      <c r="U250" s="87">
        <f>+VLOOKUP(PROVEEDORES[[#This Row],[PROVEEDOR]],Terceros!$A:$D,4,FALSE)</f>
        <v>0</v>
      </c>
      <c r="V250" s="88">
        <f>+YEAR(PROVEEDORES[[#This Row],[FECHA DE FACTURACIÓN]])</f>
        <v>2022</v>
      </c>
      <c r="W250" s="88">
        <f>+MATCH(PROVEEDORES[[#This Row],[año facturado]],Retenciones!$1:$1,0)</f>
        <v>5</v>
      </c>
      <c r="X250" s="89">
        <f>+VLOOKUP(PROVEEDORES[[#This Row],[ID RETENCION]],Retenciones!$A$1:$O$25,PROVEEDORES[[#This Row],[indicador de columna]],FALSE)</f>
        <v>0</v>
      </c>
      <c r="Y250" s="90">
        <f>+VLOOKUP(PROVEEDORES[[#This Row],[ID RETENCION]],Retenciones!$A$1:$O$25,2,FALSE)</f>
        <v>0</v>
      </c>
      <c r="Z250" s="116" t="b">
        <f>OR(COUNTIF(PROVEEDORES[[#This Row],[PROVEEDOR]],"*"&amp;'Palabra no opera'!$A$2&amp;"*"))</f>
        <v>0</v>
      </c>
      <c r="AA250" s="24"/>
      <c r="AB250" s="24"/>
      <c r="AC250" s="24"/>
      <c r="AD250" s="24"/>
      <c r="AE250" s="24"/>
    </row>
    <row r="251" spans="1:31" ht="22.35" customHeight="1" x14ac:dyDescent="0.3">
      <c r="A251" s="61" t="str">
        <f>+IF(PROVEEDORES[[#This Row],[FECHA DE PAGO]]=PROVEEDORES[[#This Row],[FECHA DE FACTURACIÓN]],"DE CONTADO","CRÉDITO")</f>
        <v>CRÉDITO</v>
      </c>
      <c r="B251" s="38" t="str">
        <f>+IF((PROVEEDORES[[#This Row],[FECHA DE PAGO]]-PROVEEDORES[[#This Row],[FECHA DE FACTURACIÓN]])&gt;PROVEEDORES[[#This Row],[PLAZO Días]],"PAGO VENCIDO")</f>
        <v>PAGO VENCIDO</v>
      </c>
      <c r="C251" s="20">
        <f>+VLOOKUP(PROVEEDORES[[#This Row],[PROVEEDOR]],TERCEROS_INFO[#All],2,FALSE)</f>
        <v>45</v>
      </c>
      <c r="D251" s="25">
        <f>+SUMIFS(PROVEEDORES[Total],PROVEEDORES[PROVEEDOR],PROVEEDORES[[#This Row],[PROVEEDOR]],PROVEEDORES[FECHA DE PAGO],"")</f>
        <v>8072960</v>
      </c>
      <c r="E251" s="25"/>
      <c r="F25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51" s="68">
        <v>44656</v>
      </c>
      <c r="H251" s="26" t="s">
        <v>10</v>
      </c>
      <c r="I251" s="68">
        <v>44594</v>
      </c>
      <c r="J251" s="35" t="s">
        <v>479</v>
      </c>
      <c r="K251" s="21">
        <v>1404200</v>
      </c>
      <c r="L251" s="21"/>
      <c r="M251" s="22">
        <f>(PROVEEDORES[[#This Row],[SUBTOTAL]]-PROVEEDORES[[#This Row],[descuento sobre subtotal]])*VLOOKUP(PROVEEDORES[[#This Row],[PROVEEDOR]],TERCEROS_INFO[#All],3,FALSE)</f>
        <v>266798</v>
      </c>
      <c r="N251" s="23"/>
      <c r="O251" s="22">
        <f>+PROVEEDORES[[#This Row],[Descuento sobre subtotal %]]*(PROVEEDORES[[#This Row],[SUBTOTAL]]-PROVEEDORES[[#This Row],[descuento sobre subtotal]])</f>
        <v>0</v>
      </c>
      <c r="P251" s="74">
        <f>+IF(PROVEEDORES[[#This Row],[SUBTOTAL]]&lt;PROVEEDORES[[#This Row],[base retencion]],0,PROVEEDORES[[#This Row],[retención aplicada]])</f>
        <v>0</v>
      </c>
      <c r="Q251" s="22">
        <f>+PROVEEDORES[[#This Row],[Rete Fuente %]]*(PROVEEDORES[[#This Row],[SUBTOTAL]]-PROVEEDORES[[#This Row],[descuento sobre subtotal]])</f>
        <v>0</v>
      </c>
      <c r="R251" s="21">
        <v>1670998</v>
      </c>
      <c r="S25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63">
        <f ca="1">IF(PROVEEDORES[[#This Row],[FECHA DE PAGO]]=0,TODAY()-PROVEEDORES[[#This Row],[FECHA DE FACTURACIÓN]]-PROVEEDORES[[#This Row],[PLAZO Días]],0)</f>
        <v>0</v>
      </c>
      <c r="U251" s="87">
        <f>+VLOOKUP(PROVEEDORES[[#This Row],[PROVEEDOR]],Terceros!$A:$D,4,FALSE)</f>
        <v>0</v>
      </c>
      <c r="V251" s="88">
        <f>+YEAR(PROVEEDORES[[#This Row],[FECHA DE FACTURACIÓN]])</f>
        <v>2022</v>
      </c>
      <c r="W251" s="88">
        <f>+MATCH(PROVEEDORES[[#This Row],[año facturado]],Retenciones!$1:$1,0)</f>
        <v>5</v>
      </c>
      <c r="X251" s="89">
        <f>+VLOOKUP(PROVEEDORES[[#This Row],[ID RETENCION]],Retenciones!$A$1:$O$25,PROVEEDORES[[#This Row],[indicador de columna]],FALSE)</f>
        <v>0</v>
      </c>
      <c r="Y251" s="90">
        <f>+VLOOKUP(PROVEEDORES[[#This Row],[ID RETENCION]],Retenciones!$A$1:$O$25,2,FALSE)</f>
        <v>0</v>
      </c>
      <c r="Z251" s="116" t="b">
        <f>OR(COUNTIF(PROVEEDORES[[#This Row],[PROVEEDOR]],"*"&amp;'Palabra no opera'!$A$2&amp;"*"))</f>
        <v>0</v>
      </c>
      <c r="AA251" s="24"/>
      <c r="AB251" s="24"/>
      <c r="AC251" s="24"/>
      <c r="AD251" s="24"/>
      <c r="AE251" s="24"/>
    </row>
    <row r="252" spans="1:31" ht="22.35" customHeight="1" x14ac:dyDescent="0.3">
      <c r="A252" s="61" t="str">
        <f>+IF(PROVEEDORES[[#This Row],[FECHA DE PAGO]]=PROVEEDORES[[#This Row],[FECHA DE FACTURACIÓN]],"DE CONTADO","CRÉDITO")</f>
        <v>CRÉDITO</v>
      </c>
      <c r="B252" s="38" t="str">
        <f>+IF((PROVEEDORES[[#This Row],[FECHA DE PAGO]]-PROVEEDORES[[#This Row],[FECHA DE FACTURACIÓN]])&gt;PROVEEDORES[[#This Row],[PLAZO Días]],"PAGO VENCIDO")</f>
        <v>PAGO VENCIDO</v>
      </c>
      <c r="C252" s="20">
        <f>+VLOOKUP(PROVEEDORES[[#This Row],[PROVEEDOR]],TERCEROS_INFO[#All],2,FALSE)</f>
        <v>30</v>
      </c>
      <c r="D252" s="25">
        <f>+SUMIFS(PROVEEDORES[Total],PROVEEDORES[PROVEEDOR],PROVEEDORES[[#This Row],[PROVEEDOR]],PROVEEDORES[FECHA DE PAGO],"")</f>
        <v>0</v>
      </c>
      <c r="E252" s="25"/>
      <c r="F252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52" s="68">
        <v>44657</v>
      </c>
      <c r="H252" s="26" t="s">
        <v>387</v>
      </c>
      <c r="I252" s="68">
        <v>44573</v>
      </c>
      <c r="J252" s="35" t="s">
        <v>988</v>
      </c>
      <c r="K252" s="21">
        <v>854000</v>
      </c>
      <c r="L252" s="21"/>
      <c r="M252" s="22">
        <v>0</v>
      </c>
      <c r="N252" s="23"/>
      <c r="O252" s="22">
        <v>0</v>
      </c>
      <c r="P252" s="74">
        <f>+IF(PROVEEDORES[[#This Row],[SUBTOTAL]]&lt;PROVEEDORES[[#This Row],[base retencion]],0,PROVEEDORES[[#This Row],[retención aplicada]])</f>
        <v>0</v>
      </c>
      <c r="Q252" s="22">
        <f>+PROVEEDORES[[#This Row],[Rete Fuente %]]*(PROVEEDORES[[#This Row],[SUBTOTAL]]-PROVEEDORES[[#This Row],[descuento sobre subtotal]])</f>
        <v>0</v>
      </c>
      <c r="R252" s="21">
        <v>854000</v>
      </c>
      <c r="S25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63">
        <f ca="1">IF(PROVEEDORES[[#This Row],[FECHA DE PAGO]]=0,TODAY()-PROVEEDORES[[#This Row],[FECHA DE FACTURACIÓN]]-PROVEEDORES[[#This Row],[PLAZO Días]],0)</f>
        <v>0</v>
      </c>
      <c r="U252" s="87">
        <f>+VLOOKUP(PROVEEDORES[[#This Row],[PROVEEDOR]],Terceros!$A:$D,4,FALSE)</f>
        <v>0</v>
      </c>
      <c r="V252" s="88">
        <f>+YEAR(PROVEEDORES[[#This Row],[FECHA DE FACTURACIÓN]])</f>
        <v>2022</v>
      </c>
      <c r="W252" s="88">
        <f>+MATCH(PROVEEDORES[[#This Row],[año facturado]],Retenciones!$1:$1,0)</f>
        <v>5</v>
      </c>
      <c r="X252" s="89">
        <f>+VLOOKUP(PROVEEDORES[[#This Row],[ID RETENCION]],Retenciones!$A$1:$O$25,PROVEEDORES[[#This Row],[indicador de columna]],FALSE)</f>
        <v>0</v>
      </c>
      <c r="Y252" s="90">
        <f>+VLOOKUP(PROVEEDORES[[#This Row],[ID RETENCION]],Retenciones!$A$1:$O$25,2,FALSE)</f>
        <v>0</v>
      </c>
      <c r="Z252" s="116" t="b">
        <f>OR(COUNTIF(PROVEEDORES[[#This Row],[PROVEEDOR]],"*"&amp;'Palabra no opera'!$A$2&amp;"*"))</f>
        <v>0</v>
      </c>
      <c r="AA252" s="24"/>
      <c r="AB252" s="24"/>
      <c r="AC252" s="24"/>
      <c r="AD252" s="24"/>
      <c r="AE252" s="24"/>
    </row>
    <row r="253" spans="1:31" ht="22.35" customHeight="1" x14ac:dyDescent="0.3">
      <c r="A253" s="61" t="str">
        <f>+IF(PROVEEDORES[[#This Row],[FECHA DE PAGO]]=PROVEEDORES[[#This Row],[FECHA DE FACTURACIÓN]],"DE CONTADO","CRÉDITO")</f>
        <v>CRÉDITO</v>
      </c>
      <c r="B253" s="38" t="str">
        <f>+IF((PROVEEDORES[[#This Row],[FECHA DE PAGO]]-PROVEEDORES[[#This Row],[FECHA DE FACTURACIÓN]])&gt;PROVEEDORES[[#This Row],[PLAZO Días]],"PAGO VENCIDO")</f>
        <v>PAGO VENCIDO</v>
      </c>
      <c r="C253" s="20">
        <f>+VLOOKUP(PROVEEDORES[[#This Row],[PROVEEDOR]],TERCEROS_INFO[#All],2,FALSE)</f>
        <v>30</v>
      </c>
      <c r="D253" s="25">
        <f>+SUMIFS(PROVEEDORES[Total],PROVEEDORES[PROVEEDOR],PROVEEDORES[[#This Row],[PROVEEDOR]],PROVEEDORES[FECHA DE PAGO],"")</f>
        <v>0</v>
      </c>
      <c r="E253" s="25"/>
      <c r="F253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53" s="68">
        <v>44657</v>
      </c>
      <c r="H253" s="26" t="s">
        <v>387</v>
      </c>
      <c r="I253" s="68">
        <v>44573</v>
      </c>
      <c r="J253" s="35" t="s">
        <v>989</v>
      </c>
      <c r="K253" s="21">
        <v>2011600</v>
      </c>
      <c r="L253" s="21"/>
      <c r="M253" s="22">
        <v>0</v>
      </c>
      <c r="N253" s="23"/>
      <c r="O253" s="22">
        <v>0</v>
      </c>
      <c r="P253" s="74">
        <f>+IF(PROVEEDORES[[#This Row],[SUBTOTAL]]&lt;PROVEEDORES[[#This Row],[base retencion]],0,PROVEEDORES[[#This Row],[retención aplicada]])</f>
        <v>0</v>
      </c>
      <c r="Q253" s="22">
        <f>+PROVEEDORES[[#This Row],[Rete Fuente %]]*(PROVEEDORES[[#This Row],[SUBTOTAL]]-PROVEEDORES[[#This Row],[descuento sobre subtotal]])</f>
        <v>0</v>
      </c>
      <c r="R253" s="21">
        <v>2011600</v>
      </c>
      <c r="S25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63">
        <f ca="1">IF(PROVEEDORES[[#This Row],[FECHA DE PAGO]]=0,TODAY()-PROVEEDORES[[#This Row],[FECHA DE FACTURACIÓN]]-PROVEEDORES[[#This Row],[PLAZO Días]],0)</f>
        <v>0</v>
      </c>
      <c r="U253" s="87">
        <f>+VLOOKUP(PROVEEDORES[[#This Row],[PROVEEDOR]],Terceros!$A:$D,4,FALSE)</f>
        <v>0</v>
      </c>
      <c r="V253" s="88">
        <f>+YEAR(PROVEEDORES[[#This Row],[FECHA DE FACTURACIÓN]])</f>
        <v>2022</v>
      </c>
      <c r="W253" s="88">
        <f>+MATCH(PROVEEDORES[[#This Row],[año facturado]],Retenciones!$1:$1,0)</f>
        <v>5</v>
      </c>
      <c r="X253" s="89">
        <f>+VLOOKUP(PROVEEDORES[[#This Row],[ID RETENCION]],Retenciones!$A$1:$O$25,PROVEEDORES[[#This Row],[indicador de columna]],FALSE)</f>
        <v>0</v>
      </c>
      <c r="Y253" s="90">
        <f>+VLOOKUP(PROVEEDORES[[#This Row],[ID RETENCION]],Retenciones!$A$1:$O$25,2,FALSE)</f>
        <v>0</v>
      </c>
      <c r="Z253" s="116" t="b">
        <f>OR(COUNTIF(PROVEEDORES[[#This Row],[PROVEEDOR]],"*"&amp;'Palabra no opera'!$A$2&amp;"*"))</f>
        <v>0</v>
      </c>
      <c r="AA253" s="24"/>
      <c r="AB253" s="24"/>
      <c r="AC253" s="24"/>
      <c r="AD253" s="24"/>
      <c r="AE253" s="24"/>
    </row>
    <row r="254" spans="1:31" ht="22.35" customHeight="1" x14ac:dyDescent="0.3">
      <c r="A254" s="61" t="str">
        <f>+IF(PROVEEDORES[[#This Row],[FECHA DE PAGO]]=PROVEEDORES[[#This Row],[FECHA DE FACTURACIÓN]],"DE CONTADO","CRÉDITO")</f>
        <v>CRÉDITO</v>
      </c>
      <c r="B254" s="38" t="str">
        <f>+IF((PROVEEDORES[[#This Row],[FECHA DE PAGO]]-PROVEEDORES[[#This Row],[FECHA DE FACTURACIÓN]])&gt;PROVEEDORES[[#This Row],[PLAZO Días]],"PAGO VENCIDO")</f>
        <v>PAGO VENCIDO</v>
      </c>
      <c r="C254" s="20">
        <f>+VLOOKUP(PROVEEDORES[[#This Row],[PROVEEDOR]],TERCEROS_INFO[#All],2,FALSE)</f>
        <v>30</v>
      </c>
      <c r="D254" s="25">
        <f>+SUMIFS(PROVEEDORES[Total],PROVEEDORES[PROVEEDOR],PROVEEDORES[[#This Row],[PROVEEDOR]],PROVEEDORES[FECHA DE PAGO],"")</f>
        <v>0</v>
      </c>
      <c r="E254" s="25"/>
      <c r="F254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54" s="68">
        <v>44657</v>
      </c>
      <c r="H254" s="26" t="s">
        <v>387</v>
      </c>
      <c r="I254" s="68">
        <v>44594</v>
      </c>
      <c r="J254" s="35" t="s">
        <v>999</v>
      </c>
      <c r="K254" s="21">
        <v>532400</v>
      </c>
      <c r="L254" s="21"/>
      <c r="M254" s="22">
        <v>0</v>
      </c>
      <c r="N254" s="23"/>
      <c r="O254" s="22">
        <v>0</v>
      </c>
      <c r="P254" s="74">
        <f>+IF(PROVEEDORES[[#This Row],[SUBTOTAL]]&lt;PROVEEDORES[[#This Row],[base retencion]],0,PROVEEDORES[[#This Row],[retención aplicada]])</f>
        <v>0</v>
      </c>
      <c r="Q254" s="22">
        <f>+PROVEEDORES[[#This Row],[Rete Fuente %]]*(PROVEEDORES[[#This Row],[SUBTOTAL]]-PROVEEDORES[[#This Row],[descuento sobre subtotal]])</f>
        <v>0</v>
      </c>
      <c r="R254" s="21">
        <v>532400</v>
      </c>
      <c r="S25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63">
        <f ca="1">IF(PROVEEDORES[[#This Row],[FECHA DE PAGO]]=0,TODAY()-PROVEEDORES[[#This Row],[FECHA DE FACTURACIÓN]]-PROVEEDORES[[#This Row],[PLAZO Días]],0)</f>
        <v>0</v>
      </c>
      <c r="U254" s="87">
        <f>+VLOOKUP(PROVEEDORES[[#This Row],[PROVEEDOR]],Terceros!$A:$D,4,FALSE)</f>
        <v>0</v>
      </c>
      <c r="V254" s="88">
        <f>+YEAR(PROVEEDORES[[#This Row],[FECHA DE FACTURACIÓN]])</f>
        <v>2022</v>
      </c>
      <c r="W254" s="88">
        <f>+MATCH(PROVEEDORES[[#This Row],[año facturado]],Retenciones!$1:$1,0)</f>
        <v>5</v>
      </c>
      <c r="X254" s="89">
        <f>+VLOOKUP(PROVEEDORES[[#This Row],[ID RETENCION]],Retenciones!$A$1:$O$25,PROVEEDORES[[#This Row],[indicador de columna]],FALSE)</f>
        <v>0</v>
      </c>
      <c r="Y254" s="90">
        <f>+VLOOKUP(PROVEEDORES[[#This Row],[ID RETENCION]],Retenciones!$A$1:$O$25,2,FALSE)</f>
        <v>0</v>
      </c>
      <c r="Z254" s="116" t="b">
        <f>OR(COUNTIF(PROVEEDORES[[#This Row],[PROVEEDOR]],"*"&amp;'Palabra no opera'!$A$2&amp;"*"))</f>
        <v>0</v>
      </c>
      <c r="AA254" s="24"/>
      <c r="AB254" s="24"/>
      <c r="AC254" s="24"/>
      <c r="AD254" s="24"/>
      <c r="AE254" s="24"/>
    </row>
    <row r="255" spans="1:31" ht="22.35" customHeight="1" x14ac:dyDescent="0.3">
      <c r="A255" s="61" t="str">
        <f>+IF(PROVEEDORES[[#This Row],[FECHA DE PAGO]]=PROVEEDORES[[#This Row],[FECHA DE FACTURACIÓN]],"DE CONTADO","CRÉDITO")</f>
        <v>DE CONTADO</v>
      </c>
      <c r="B255" s="38" t="b">
        <f>+IF((PROVEEDORES[[#This Row],[FECHA DE PAGO]]-PROVEEDORES[[#This Row],[FECHA DE FACTURACIÓN]])&gt;PROVEEDORES[[#This Row],[PLAZO Días]],"PAGO VENCIDO")</f>
        <v>0</v>
      </c>
      <c r="C255" s="20">
        <f>+VLOOKUP(PROVEEDORES[[#This Row],[PROVEEDOR]],TERCEROS_INFO[#All],2,FALSE)</f>
        <v>30</v>
      </c>
      <c r="D255" s="25">
        <f>+SUMIFS(PROVEEDORES[Total],PROVEEDORES[PROVEEDOR],PROVEEDORES[[#This Row],[PROVEEDOR]],PROVEEDORES[FECHA DE PAGO],"")</f>
        <v>0</v>
      </c>
      <c r="E255" s="25"/>
      <c r="F255" s="56" t="str">
        <f>+VLOOKUP(PROVEEDORES[[#This Row],[PROVEEDOR]],
                       Terceros!$A:$F,
                       5,
                       FALSE)</f>
        <v/>
      </c>
      <c r="G255" s="68">
        <v>44657</v>
      </c>
      <c r="H255" s="26" t="s">
        <v>390</v>
      </c>
      <c r="I255" s="68">
        <v>44657</v>
      </c>
      <c r="J255" s="35"/>
      <c r="K255" s="21">
        <v>1000000</v>
      </c>
      <c r="L255" s="21"/>
      <c r="M255" s="22">
        <v>0</v>
      </c>
      <c r="N255" s="23"/>
      <c r="O255" s="22">
        <v>0</v>
      </c>
      <c r="P255" s="74">
        <f>+IF(PROVEEDORES[[#This Row],[SUBTOTAL]]&lt;PROVEEDORES[[#This Row],[base retencion]],0,PROVEEDORES[[#This Row],[retención aplicada]])</f>
        <v>0</v>
      </c>
      <c r="Q255" s="22">
        <f>+PROVEEDORES[[#This Row],[Rete Fuente %]]*(PROVEEDORES[[#This Row],[SUBTOTAL]]-PROVEEDORES[[#This Row],[descuento sobre subtotal]])</f>
        <v>0</v>
      </c>
      <c r="R255" s="21">
        <v>1000000</v>
      </c>
      <c r="S25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63">
        <f ca="1">IF(PROVEEDORES[[#This Row],[FECHA DE PAGO]]=0,TODAY()-PROVEEDORES[[#This Row],[FECHA DE FACTURACIÓN]]-PROVEEDORES[[#This Row],[PLAZO Días]],0)</f>
        <v>0</v>
      </c>
      <c r="U255" s="87">
        <f>+VLOOKUP(PROVEEDORES[[#This Row],[PROVEEDOR]],Terceros!$A:$D,4,FALSE)</f>
        <v>0</v>
      </c>
      <c r="V255" s="88">
        <f>+YEAR(PROVEEDORES[[#This Row],[FECHA DE FACTURACIÓN]])</f>
        <v>2022</v>
      </c>
      <c r="W255" s="88">
        <f>+MATCH(PROVEEDORES[[#This Row],[año facturado]],Retenciones!$1:$1,0)</f>
        <v>5</v>
      </c>
      <c r="X255" s="89">
        <f>+VLOOKUP(PROVEEDORES[[#This Row],[ID RETENCION]],Retenciones!$A$1:$O$25,PROVEEDORES[[#This Row],[indicador de columna]],FALSE)</f>
        <v>0</v>
      </c>
      <c r="Y255" s="90">
        <f>+VLOOKUP(PROVEEDORES[[#This Row],[ID RETENCION]],Retenciones!$A$1:$O$25,2,FALSE)</f>
        <v>0</v>
      </c>
      <c r="Z255" s="116" t="b">
        <f>OR(COUNTIF(PROVEEDORES[[#This Row],[PROVEEDOR]],"*"&amp;'Palabra no opera'!$A$2&amp;"*"))</f>
        <v>0</v>
      </c>
      <c r="AA255" s="24"/>
      <c r="AB255" s="24"/>
      <c r="AC255" s="24"/>
      <c r="AD255" s="24"/>
      <c r="AE255" s="24"/>
    </row>
    <row r="256" spans="1:31" ht="22.35" customHeight="1" x14ac:dyDescent="0.3">
      <c r="A256" s="61" t="str">
        <f>+IF(PROVEEDORES[[#This Row],[FECHA DE PAGO]]=PROVEEDORES[[#This Row],[FECHA DE FACTURACIÓN]],"DE CONTADO","CRÉDITO")</f>
        <v>CRÉDITO</v>
      </c>
      <c r="B256" s="38" t="str">
        <f>+IF((PROVEEDORES[[#This Row],[FECHA DE PAGO]]-PROVEEDORES[[#This Row],[FECHA DE FACTURACIÓN]])&gt;PROVEEDORES[[#This Row],[PLAZO Días]],"PAGO VENCIDO")</f>
        <v>PAGO VENCIDO</v>
      </c>
      <c r="C256" s="20">
        <f>+VLOOKUP(PROVEEDORES[[#This Row],[PROVEEDOR]],TERCEROS_INFO[#All],2,FALSE)</f>
        <v>30</v>
      </c>
      <c r="D256" s="25">
        <f>+SUMIFS(PROVEEDORES[Total],PROVEEDORES[PROVEEDOR],PROVEEDORES[[#This Row],[PROVEEDOR]],PROVEEDORES[FECHA DE PAGO],"")</f>
        <v>2773899.95</v>
      </c>
      <c r="E256" s="25"/>
      <c r="F256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56" s="68">
        <v>44657</v>
      </c>
      <c r="H256" s="26" t="s">
        <v>20</v>
      </c>
      <c r="I256" s="68">
        <v>44585</v>
      </c>
      <c r="J256" s="35">
        <v>6124</v>
      </c>
      <c r="K256" s="21">
        <v>4330819.2</v>
      </c>
      <c r="L256" s="21"/>
      <c r="M256" s="22">
        <v>822855.64800000004</v>
      </c>
      <c r="N256" s="23"/>
      <c r="O256" s="22">
        <v>0</v>
      </c>
      <c r="P256" s="74">
        <f>+IF(PROVEEDORES[[#This Row],[SUBTOTAL]]&lt;PROVEEDORES[[#This Row],[base retencion]],0,PROVEEDORES[[#This Row],[retención aplicada]])</f>
        <v>2.5000000000000001E-2</v>
      </c>
      <c r="Q256" s="22">
        <f>+PROVEEDORES[[#This Row],[Rete Fuente %]]*(PROVEEDORES[[#This Row],[SUBTOTAL]]-PROVEEDORES[[#This Row],[descuento sobre subtotal]])</f>
        <v>108270.48000000001</v>
      </c>
      <c r="R256" s="21">
        <v>5045404.3679999998</v>
      </c>
      <c r="S25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63">
        <f ca="1">IF(PROVEEDORES[[#This Row],[FECHA DE PAGO]]=0,TODAY()-PROVEEDORES[[#This Row],[FECHA DE FACTURACIÓN]]-PROVEEDORES[[#This Row],[PLAZO Días]],0)</f>
        <v>0</v>
      </c>
      <c r="U256" s="87" t="str">
        <f>+VLOOKUP(PROVEEDORES[[#This Row],[PROVEEDOR]],Terceros!$A:$D,4,FALSE)</f>
        <v>2,5% con base</v>
      </c>
      <c r="V256" s="88">
        <f>+YEAR(PROVEEDORES[[#This Row],[FECHA DE FACTURACIÓN]])</f>
        <v>2022</v>
      </c>
      <c r="W256" s="88">
        <f>+MATCH(PROVEEDORES[[#This Row],[año facturado]],Retenciones!$1:$1,0)</f>
        <v>5</v>
      </c>
      <c r="X256" s="89">
        <f>+VLOOKUP(PROVEEDORES[[#This Row],[ID RETENCION]],Retenciones!$A$1:$O$25,PROVEEDORES[[#This Row],[indicador de columna]],FALSE)</f>
        <v>1026000</v>
      </c>
      <c r="Y256" s="90">
        <f>+VLOOKUP(PROVEEDORES[[#This Row],[ID RETENCION]],Retenciones!$A$1:$O$25,2,FALSE)</f>
        <v>2.5000000000000001E-2</v>
      </c>
      <c r="Z256" s="116" t="b">
        <f>OR(COUNTIF(PROVEEDORES[[#This Row],[PROVEEDOR]],"*"&amp;'Palabra no opera'!$A$2&amp;"*"))</f>
        <v>0</v>
      </c>
      <c r="AA256" s="24"/>
      <c r="AB256" s="24"/>
      <c r="AC256" s="24"/>
      <c r="AD256" s="24"/>
      <c r="AE256" s="24"/>
    </row>
    <row r="257" spans="1:31" ht="22.35" customHeight="1" x14ac:dyDescent="0.3">
      <c r="A257" s="61" t="str">
        <f>+IF(PROVEEDORES[[#This Row],[FECHA DE PAGO]]=PROVEEDORES[[#This Row],[FECHA DE FACTURACIÓN]],"DE CONTADO","CRÉDITO")</f>
        <v>CRÉDITO</v>
      </c>
      <c r="B257" s="38" t="str">
        <f>+IF((PROVEEDORES[[#This Row],[FECHA DE PAGO]]-PROVEEDORES[[#This Row],[FECHA DE FACTURACIÓN]])&gt;PROVEEDORES[[#This Row],[PLAZO Días]],"PAGO VENCIDO")</f>
        <v>PAGO VENCIDO</v>
      </c>
      <c r="C257" s="20">
        <f>+VLOOKUP(PROVEEDORES[[#This Row],[PROVEEDOR]],TERCEROS_INFO[#All],2,FALSE)</f>
        <v>30</v>
      </c>
      <c r="D257" s="25">
        <f>+SUMIFS(PROVEEDORES[Total],PROVEEDORES[PROVEEDOR],PROVEEDORES[[#This Row],[PROVEEDOR]],PROVEEDORES[FECHA DE PAGO],"")</f>
        <v>2773899.95</v>
      </c>
      <c r="E257" s="25"/>
      <c r="F257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57" s="68">
        <v>44657</v>
      </c>
      <c r="H257" s="26" t="s">
        <v>20</v>
      </c>
      <c r="I257" s="68">
        <v>44588</v>
      </c>
      <c r="J257" s="35" t="s">
        <v>416</v>
      </c>
      <c r="K257" s="21">
        <v>-1591200</v>
      </c>
      <c r="L257" s="21"/>
      <c r="M257" s="22">
        <v>-302328</v>
      </c>
      <c r="N257" s="23"/>
      <c r="O257" s="22">
        <v>0</v>
      </c>
      <c r="P257" s="74">
        <f>+IF(PROVEEDORES[[#This Row],[SUBTOTAL]]&lt;PROVEEDORES[[#This Row],[base retencion]],0,PROVEEDORES[[#This Row],[retención aplicada]])</f>
        <v>0</v>
      </c>
      <c r="Q257" s="22">
        <f>+PROVEEDORES[[#This Row],[Rete Fuente %]]*(PROVEEDORES[[#This Row],[SUBTOTAL]]-PROVEEDORES[[#This Row],[descuento sobre subtotal]])</f>
        <v>0</v>
      </c>
      <c r="R257" s="21">
        <v>-1853748</v>
      </c>
      <c r="S25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63">
        <f ca="1">IF(PROVEEDORES[[#This Row],[FECHA DE PAGO]]=0,TODAY()-PROVEEDORES[[#This Row],[FECHA DE FACTURACIÓN]]-PROVEEDORES[[#This Row],[PLAZO Días]],0)</f>
        <v>0</v>
      </c>
      <c r="U257" s="87" t="str">
        <f>+VLOOKUP(PROVEEDORES[[#This Row],[PROVEEDOR]],Terceros!$A:$D,4,FALSE)</f>
        <v>2,5% con base</v>
      </c>
      <c r="V257" s="88">
        <f>+YEAR(PROVEEDORES[[#This Row],[FECHA DE FACTURACIÓN]])</f>
        <v>2022</v>
      </c>
      <c r="W257" s="88">
        <f>+MATCH(PROVEEDORES[[#This Row],[año facturado]],Retenciones!$1:$1,0)</f>
        <v>5</v>
      </c>
      <c r="X257" s="89">
        <f>+VLOOKUP(PROVEEDORES[[#This Row],[ID RETENCION]],Retenciones!$A$1:$O$25,PROVEEDORES[[#This Row],[indicador de columna]],FALSE)</f>
        <v>1026000</v>
      </c>
      <c r="Y257" s="90">
        <f>+VLOOKUP(PROVEEDORES[[#This Row],[ID RETENCION]],Retenciones!$A$1:$O$25,2,FALSE)</f>
        <v>2.5000000000000001E-2</v>
      </c>
      <c r="Z257" s="116" t="b">
        <f>OR(COUNTIF(PROVEEDORES[[#This Row],[PROVEEDOR]],"*"&amp;'Palabra no opera'!$A$2&amp;"*"))</f>
        <v>0</v>
      </c>
      <c r="AA257" s="24"/>
      <c r="AB257" s="24"/>
      <c r="AC257" s="24"/>
      <c r="AD257" s="24"/>
      <c r="AE257" s="24"/>
    </row>
    <row r="258" spans="1:31" ht="22.35" customHeight="1" x14ac:dyDescent="0.3">
      <c r="A258" s="61" t="str">
        <f>+IF(PROVEEDORES[[#This Row],[FECHA DE PAGO]]=PROVEEDORES[[#This Row],[FECHA DE FACTURACIÓN]],"DE CONTADO","CRÉDITO")</f>
        <v>CRÉDITO</v>
      </c>
      <c r="B258" s="38" t="b">
        <f>+IF((PROVEEDORES[[#This Row],[FECHA DE PAGO]]-PROVEEDORES[[#This Row],[FECHA DE FACTURACIÓN]])&gt;PROVEEDORES[[#This Row],[PLAZO Días]],"PAGO VENCIDO")</f>
        <v>0</v>
      </c>
      <c r="C258" s="20">
        <f>+VLOOKUP(PROVEEDORES[[#This Row],[PROVEEDOR]],TERCEROS_INFO[#All],2,FALSE)</f>
        <v>30</v>
      </c>
      <c r="D258" s="25">
        <f>+SUMIFS(PROVEEDORES[Total],PROVEEDORES[PROVEEDOR],PROVEEDORES[[#This Row],[PROVEEDOR]],PROVEEDORES[FECHA DE PAGO],"")</f>
        <v>0</v>
      </c>
      <c r="E258" s="25"/>
      <c r="F258" s="56" t="str">
        <f>+VLOOKUP(PROVEEDORES[[#This Row],[PROVEEDOR]],
                       Terceros!$A:$F,
                       5,
                       FALSE)</f>
        <v/>
      </c>
      <c r="G258" s="68">
        <v>44657</v>
      </c>
      <c r="H258" s="26" t="s">
        <v>53</v>
      </c>
      <c r="I258" s="68">
        <v>44656</v>
      </c>
      <c r="J258" s="35">
        <v>289692</v>
      </c>
      <c r="K258" s="21">
        <v>3918000</v>
      </c>
      <c r="L258" s="21"/>
      <c r="M258" s="22">
        <f>(PROVEEDORES[[#This Row],[SUBTOTAL]]-PROVEEDORES[[#This Row],[descuento sobre subtotal]])*VLOOKUP(PROVEEDORES[[#This Row],[PROVEEDOR]],TERCEROS_INFO[#All],3,FALSE)</f>
        <v>0</v>
      </c>
      <c r="N258" s="23"/>
      <c r="O258" s="22">
        <f>+PROVEEDORES[[#This Row],[Descuento sobre subtotal %]]*(PROVEEDORES[[#This Row],[SUBTOTAL]]-PROVEEDORES[[#This Row],[descuento sobre subtotal]])</f>
        <v>0</v>
      </c>
      <c r="P258" s="74">
        <f>+IF(PROVEEDORES[[#This Row],[SUBTOTAL]]&lt;PROVEEDORES[[#This Row],[base retencion]],0,PROVEEDORES[[#This Row],[retención aplicada]])</f>
        <v>0</v>
      </c>
      <c r="Q258" s="22">
        <f>+PROVEEDORES[[#This Row],[Rete Fuente %]]*(PROVEEDORES[[#This Row],[SUBTOTAL]]-PROVEEDORES[[#This Row],[descuento sobre subtotal]])</f>
        <v>0</v>
      </c>
      <c r="R258" s="21">
        <v>3918000</v>
      </c>
      <c r="S25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63">
        <f ca="1">IF(PROVEEDORES[[#This Row],[FECHA DE PAGO]]=0,TODAY()-PROVEEDORES[[#This Row],[FECHA DE FACTURACIÓN]]-PROVEEDORES[[#This Row],[PLAZO Días]],0)</f>
        <v>0</v>
      </c>
      <c r="U258" s="87">
        <f>+VLOOKUP(PROVEEDORES[[#This Row],[PROVEEDOR]],Terceros!$A:$D,4,FALSE)</f>
        <v>0</v>
      </c>
      <c r="V258" s="88">
        <f>+YEAR(PROVEEDORES[[#This Row],[FECHA DE FACTURACIÓN]])</f>
        <v>2022</v>
      </c>
      <c r="W258" s="88">
        <f>+MATCH(PROVEEDORES[[#This Row],[año facturado]],Retenciones!$1:$1,0)</f>
        <v>5</v>
      </c>
      <c r="X258" s="89">
        <f>+VLOOKUP(PROVEEDORES[[#This Row],[ID RETENCION]],Retenciones!$A$1:$O$25,PROVEEDORES[[#This Row],[indicador de columna]],FALSE)</f>
        <v>0</v>
      </c>
      <c r="Y258" s="90">
        <f>+VLOOKUP(PROVEEDORES[[#This Row],[ID RETENCION]],Retenciones!$A$1:$O$25,2,FALSE)</f>
        <v>0</v>
      </c>
      <c r="Z258" s="116" t="b">
        <f>OR(COUNTIF(PROVEEDORES[[#This Row],[PROVEEDOR]],"*"&amp;'Palabra no opera'!$A$2&amp;"*"))</f>
        <v>0</v>
      </c>
      <c r="AA258" s="24"/>
      <c r="AB258" s="24"/>
      <c r="AC258" s="24"/>
      <c r="AD258" s="24"/>
      <c r="AE258" s="24"/>
    </row>
    <row r="259" spans="1:31" ht="22.35" customHeight="1" x14ac:dyDescent="0.3">
      <c r="A259" s="61" t="str">
        <f>+IF(PROVEEDORES[[#This Row],[FECHA DE PAGO]]=PROVEEDORES[[#This Row],[FECHA DE FACTURACIÓN]],"DE CONTADO","CRÉDITO")</f>
        <v>CRÉDITO</v>
      </c>
      <c r="B259" s="38" t="b">
        <f>+IF((PROVEEDORES[[#This Row],[FECHA DE PAGO]]-PROVEEDORES[[#This Row],[FECHA DE FACTURACIÓN]])&gt;PROVEEDORES[[#This Row],[PLAZO Días]],"PAGO VENCIDO")</f>
        <v>0</v>
      </c>
      <c r="C259" s="20">
        <f>+VLOOKUP(PROVEEDORES[[#This Row],[PROVEEDOR]],TERCEROS_INFO[#All],2,FALSE)</f>
        <v>30</v>
      </c>
      <c r="D259" s="25">
        <f>+SUMIFS(PROVEEDORES[Total],PROVEEDORES[PROVEEDOR],PROVEEDORES[[#This Row],[PROVEEDOR]],PROVEEDORES[FECHA DE PAGO],"")</f>
        <v>0</v>
      </c>
      <c r="E259" s="25"/>
      <c r="F25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59" s="68">
        <v>44657</v>
      </c>
      <c r="H259" s="26" t="s">
        <v>227</v>
      </c>
      <c r="I259" s="68">
        <v>44656</v>
      </c>
      <c r="J259" s="35" t="s">
        <v>491</v>
      </c>
      <c r="K259" s="21">
        <v>1821000</v>
      </c>
      <c r="L259" s="21"/>
      <c r="M259" s="22">
        <f>(PROVEEDORES[[#This Row],[SUBTOTAL]]-PROVEEDORES[[#This Row],[descuento sobre subtotal]])*VLOOKUP(PROVEEDORES[[#This Row],[PROVEEDOR]],TERCEROS_INFO[#All],3,FALSE)</f>
        <v>0</v>
      </c>
      <c r="N259" s="23"/>
      <c r="O259" s="22">
        <f>+PROVEEDORES[[#This Row],[Descuento sobre subtotal %]]*(PROVEEDORES[[#This Row],[SUBTOTAL]]-PROVEEDORES[[#This Row],[descuento sobre subtotal]])</f>
        <v>0</v>
      </c>
      <c r="P259" s="74">
        <f>+IF(PROVEEDORES[[#This Row],[SUBTOTAL]]&lt;PROVEEDORES[[#This Row],[base retencion]],0,PROVEEDORES[[#This Row],[retención aplicada]])</f>
        <v>0</v>
      </c>
      <c r="Q259" s="22">
        <f>+PROVEEDORES[[#This Row],[Rete Fuente %]]*(PROVEEDORES[[#This Row],[SUBTOTAL]]-PROVEEDORES[[#This Row],[descuento sobre subtotal]])</f>
        <v>0</v>
      </c>
      <c r="R259" s="21">
        <f>+PROVEEDORES[[#This Row],[SUBTOTAL]]+PROVEEDORES[[#This Row],[IVA 19%]]-PROVEEDORES[[#This Row],[descuento sobre subtotal]]-PROVEEDORES[[#This Row],[Descuento sobre subtotal $2]]-PROVEEDORES[[#This Row],[Rete Fuente $]]</f>
        <v>1821000</v>
      </c>
      <c r="S25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63">
        <f ca="1">IF(PROVEEDORES[[#This Row],[FECHA DE PAGO]]=0,TODAY()-PROVEEDORES[[#This Row],[FECHA DE FACTURACIÓN]]-PROVEEDORES[[#This Row],[PLAZO Días]],0)</f>
        <v>0</v>
      </c>
      <c r="U259" s="87">
        <f>+VLOOKUP(PROVEEDORES[[#This Row],[PROVEEDOR]],Terceros!$A:$D,4,FALSE)</f>
        <v>0</v>
      </c>
      <c r="V259" s="88">
        <f>+YEAR(PROVEEDORES[[#This Row],[FECHA DE FACTURACIÓN]])</f>
        <v>2022</v>
      </c>
      <c r="W259" s="88">
        <f>+MATCH(PROVEEDORES[[#This Row],[año facturado]],Retenciones!$1:$1,0)</f>
        <v>5</v>
      </c>
      <c r="X259" s="89">
        <f>+VLOOKUP(PROVEEDORES[[#This Row],[ID RETENCION]],Retenciones!$A$1:$O$25,PROVEEDORES[[#This Row],[indicador de columna]],FALSE)</f>
        <v>0</v>
      </c>
      <c r="Y259" s="90">
        <f>+VLOOKUP(PROVEEDORES[[#This Row],[ID RETENCION]],Retenciones!$A$1:$O$25,2,FALSE)</f>
        <v>0</v>
      </c>
      <c r="Z259" s="116" t="b">
        <f>OR(COUNTIF(PROVEEDORES[[#This Row],[PROVEEDOR]],"*"&amp;'Palabra no opera'!$A$2&amp;"*"))</f>
        <v>0</v>
      </c>
      <c r="AA259" s="24"/>
      <c r="AB259" s="24"/>
      <c r="AC259" s="24"/>
      <c r="AD259" s="24"/>
      <c r="AE259" s="24"/>
    </row>
    <row r="260" spans="1:31" ht="22.35" customHeight="1" x14ac:dyDescent="0.3">
      <c r="A260" s="61" t="str">
        <f>+IF(PROVEEDORES[[#This Row],[FECHA DE PAGO]]=PROVEEDORES[[#This Row],[FECHA DE FACTURACIÓN]],"DE CONTADO","CRÉDITO")</f>
        <v>CRÉDITO</v>
      </c>
      <c r="B260" s="38" t="str">
        <f>+IF((PROVEEDORES[[#This Row],[FECHA DE PAGO]]-PROVEEDORES[[#This Row],[FECHA DE FACTURACIÓN]])&gt;PROVEEDORES[[#This Row],[PLAZO Días]],"PAGO VENCIDO")</f>
        <v>PAGO VENCIDO</v>
      </c>
      <c r="C260" s="20">
        <f>+VLOOKUP(PROVEEDORES[[#This Row],[PROVEEDOR]],TERCEROS_INFO[#All],2,FALSE)</f>
        <v>30</v>
      </c>
      <c r="D260" s="25">
        <f>+SUMIFS(PROVEEDORES[Total],PROVEEDORES[PROVEEDOR],PROVEEDORES[[#This Row],[PROVEEDOR]],PROVEEDORES[FECHA DE PAGO],"")</f>
        <v>0</v>
      </c>
      <c r="E260" s="25"/>
      <c r="F260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260" s="68">
        <v>44658</v>
      </c>
      <c r="H260" s="26" t="s">
        <v>343</v>
      </c>
      <c r="I260" s="68">
        <v>44573</v>
      </c>
      <c r="J260" s="35" t="s">
        <v>987</v>
      </c>
      <c r="K260" s="21">
        <v>5650500</v>
      </c>
      <c r="L260" s="21"/>
      <c r="M260" s="22">
        <f>(PROVEEDORES[[#This Row],[SUBTOTAL]]-PROVEEDORES[[#This Row],[descuento sobre subtotal]])*VLOOKUP(PROVEEDORES[[#This Row],[PROVEEDOR]],TERCEROS_INFO[#All],3,FALSE)</f>
        <v>0</v>
      </c>
      <c r="N260" s="23"/>
      <c r="O260" s="22">
        <f>+PROVEEDORES[[#This Row],[Descuento sobre subtotal %]]*(PROVEEDORES[[#This Row],[SUBTOTAL]]-PROVEEDORES[[#This Row],[descuento sobre subtotal]])</f>
        <v>0</v>
      </c>
      <c r="P260" s="74">
        <f>+IF(PROVEEDORES[[#This Row],[SUBTOTAL]]&lt;PROVEEDORES[[#This Row],[base retencion]],0,PROVEEDORES[[#This Row],[retención aplicada]])</f>
        <v>0</v>
      </c>
      <c r="Q260" s="22">
        <f>+PROVEEDORES[[#This Row],[Rete Fuente %]]*(PROVEEDORES[[#This Row],[SUBTOTAL]]-PROVEEDORES[[#This Row],[descuento sobre subtotal]])</f>
        <v>0</v>
      </c>
      <c r="R260" s="21">
        <v>5650500</v>
      </c>
      <c r="S26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0" s="63">
        <f ca="1">IF(PROVEEDORES[[#This Row],[FECHA DE PAGO]]=0,TODAY()-PROVEEDORES[[#This Row],[FECHA DE FACTURACIÓN]]-PROVEEDORES[[#This Row],[PLAZO Días]],0)</f>
        <v>0</v>
      </c>
      <c r="U260" s="87">
        <f>+VLOOKUP(PROVEEDORES[[#This Row],[PROVEEDOR]],Terceros!$A:$D,4,FALSE)</f>
        <v>0</v>
      </c>
      <c r="V260" s="88">
        <f>+YEAR(PROVEEDORES[[#This Row],[FECHA DE FACTURACIÓN]])</f>
        <v>2022</v>
      </c>
      <c r="W260" s="88">
        <f>+MATCH(PROVEEDORES[[#This Row],[año facturado]],Retenciones!$1:$1,0)</f>
        <v>5</v>
      </c>
      <c r="X260" s="89">
        <f>+VLOOKUP(PROVEEDORES[[#This Row],[ID RETENCION]],Retenciones!$A$1:$O$25,PROVEEDORES[[#This Row],[indicador de columna]],FALSE)</f>
        <v>0</v>
      </c>
      <c r="Y260" s="90">
        <f>+VLOOKUP(PROVEEDORES[[#This Row],[ID RETENCION]],Retenciones!$A$1:$O$25,2,FALSE)</f>
        <v>0</v>
      </c>
      <c r="Z260" s="116" t="b">
        <f>OR(COUNTIF(PROVEEDORES[[#This Row],[PROVEEDOR]],"*"&amp;'Palabra no opera'!$A$2&amp;"*"))</f>
        <v>0</v>
      </c>
      <c r="AA260" s="24"/>
      <c r="AB260" s="24"/>
      <c r="AC260" s="24"/>
      <c r="AD260" s="24"/>
      <c r="AE260" s="24"/>
    </row>
    <row r="261" spans="1:31" ht="22.35" customHeight="1" x14ac:dyDescent="0.3">
      <c r="A261" s="61" t="str">
        <f>+IF(PROVEEDORES[[#This Row],[FECHA DE PAGO]]=PROVEEDORES[[#This Row],[FECHA DE FACTURACIÓN]],"DE CONTADO","CRÉDITO")</f>
        <v>CRÉDITO</v>
      </c>
      <c r="B261" s="38" t="str">
        <f>+IF((PROVEEDORES[[#This Row],[FECHA DE PAGO]]-PROVEEDORES[[#This Row],[FECHA DE FACTURACIÓN]])&gt;PROVEEDORES[[#This Row],[PLAZO Días]],"PAGO VENCIDO")</f>
        <v>PAGO VENCIDO</v>
      </c>
      <c r="C261" s="20">
        <f>+VLOOKUP(PROVEEDORES[[#This Row],[PROVEEDOR]],TERCEROS_INFO[#All],2,FALSE)</f>
        <v>60</v>
      </c>
      <c r="D261" s="25">
        <f>+SUMIFS(PROVEEDORES[Total],PROVEEDORES[PROVEEDOR],PROVEEDORES[[#This Row],[PROVEEDOR]],PROVEEDORES[FECHA DE PAGO],"")</f>
        <v>0</v>
      </c>
      <c r="E261" s="25"/>
      <c r="F261" s="56" t="str">
        <f>+VLOOKUP(PROVEEDORES[[#This Row],[PROVEEDOR]],
                       Terceros!$A:$F,
                       5,
                       FALSE)</f>
        <v>gloritasz@gmail.com;girlesa.ruiz@servipilas.com;joriescobar64@gmail.com</v>
      </c>
      <c r="G261" s="68">
        <v>44658</v>
      </c>
      <c r="H261" s="26" t="s">
        <v>377</v>
      </c>
      <c r="I261" s="68">
        <v>44531</v>
      </c>
      <c r="J261" s="35" t="s">
        <v>885</v>
      </c>
      <c r="K261" s="21">
        <v>5285000</v>
      </c>
      <c r="L261" s="21"/>
      <c r="M261" s="22">
        <f>(PROVEEDORES[[#This Row],[SUBTOTAL]]-PROVEEDORES[[#This Row],[descuento sobre subtotal]])*VLOOKUP(PROVEEDORES[[#This Row],[PROVEEDOR]],TERCEROS_INFO[#All],3,FALSE)</f>
        <v>0</v>
      </c>
      <c r="N261" s="23"/>
      <c r="O261" s="22">
        <f>+PROVEEDORES[[#This Row],[Descuento sobre subtotal %]]*(PROVEEDORES[[#This Row],[SUBTOTAL]]-PROVEEDORES[[#This Row],[descuento sobre subtotal]])</f>
        <v>0</v>
      </c>
      <c r="P261" s="74">
        <f>+IF(PROVEEDORES[[#This Row],[SUBTOTAL]]&lt;PROVEEDORES[[#This Row],[base retencion]],0,PROVEEDORES[[#This Row],[retención aplicada]])</f>
        <v>0</v>
      </c>
      <c r="Q261" s="22">
        <f>+PROVEEDORES[[#This Row],[Rete Fuente %]]*(PROVEEDORES[[#This Row],[SUBTOTAL]]-PROVEEDORES[[#This Row],[descuento sobre subtotal]])</f>
        <v>0</v>
      </c>
      <c r="R261" s="21">
        <v>5285000</v>
      </c>
      <c r="S26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63">
        <f ca="1">IF(PROVEEDORES[[#This Row],[FECHA DE PAGO]]=0,TODAY()-PROVEEDORES[[#This Row],[FECHA DE FACTURACIÓN]]-PROVEEDORES[[#This Row],[PLAZO Días]],0)</f>
        <v>0</v>
      </c>
      <c r="U261" s="87">
        <f>+VLOOKUP(PROVEEDORES[[#This Row],[PROVEEDOR]],Terceros!$A:$D,4,FALSE)</f>
        <v>0</v>
      </c>
      <c r="V261" s="88">
        <f>+YEAR(PROVEEDORES[[#This Row],[FECHA DE FACTURACIÓN]])</f>
        <v>2021</v>
      </c>
      <c r="W261" s="88">
        <f>+MATCH(PROVEEDORES[[#This Row],[año facturado]],Retenciones!$1:$1,0)</f>
        <v>4</v>
      </c>
      <c r="X261" s="89">
        <f>+VLOOKUP(PROVEEDORES[[#This Row],[ID RETENCION]],Retenciones!$A$1:$O$25,PROVEEDORES[[#This Row],[indicador de columna]],FALSE)</f>
        <v>0</v>
      </c>
      <c r="Y261" s="90">
        <f>+VLOOKUP(PROVEEDORES[[#This Row],[ID RETENCION]],Retenciones!$A$1:$O$25,2,FALSE)</f>
        <v>0</v>
      </c>
      <c r="Z261" s="116" t="b">
        <f>OR(COUNTIF(PROVEEDORES[[#This Row],[PROVEEDOR]],"*"&amp;'Palabra no opera'!$A$2&amp;"*"))</f>
        <v>0</v>
      </c>
      <c r="AA261" s="24"/>
      <c r="AB261" s="24"/>
      <c r="AC261" s="24"/>
      <c r="AD261" s="24"/>
      <c r="AE261" s="24"/>
    </row>
    <row r="262" spans="1:31" ht="22.35" customHeight="1" x14ac:dyDescent="0.3">
      <c r="A262" s="61" t="str">
        <f>+IF(PROVEEDORES[[#This Row],[FECHA DE PAGO]]=PROVEEDORES[[#This Row],[FECHA DE FACTURACIÓN]],"DE CONTADO","CRÉDITO")</f>
        <v>CRÉDITO</v>
      </c>
      <c r="B262" s="38" t="b">
        <f>+IF((PROVEEDORES[[#This Row],[FECHA DE PAGO]]-PROVEEDORES[[#This Row],[FECHA DE FACTURACIÓN]])&gt;PROVEEDORES[[#This Row],[PLAZO Días]],"PAGO VENCIDO")</f>
        <v>0</v>
      </c>
      <c r="C262" s="20">
        <f>+VLOOKUP(PROVEEDORES[[#This Row],[PROVEEDOR]],TERCEROS_INFO[#All],2,FALSE)</f>
        <v>30</v>
      </c>
      <c r="D262" s="25">
        <f>+SUMIFS(PROVEEDORES[Total],PROVEEDORES[PROVEEDOR],PROVEEDORES[[#This Row],[PROVEEDOR]],PROVEEDORES[FECHA DE PAGO],"")</f>
        <v>0</v>
      </c>
      <c r="E262" s="25"/>
      <c r="F262" s="56">
        <f>+VLOOKUP(PROVEEDORES[[#This Row],[PROVEEDOR]],
                       Terceros!$A:$F,
                       5,
                       FALSE)</f>
        <v>0</v>
      </c>
      <c r="G262" s="68">
        <v>44658</v>
      </c>
      <c r="H262" s="26" t="s">
        <v>413</v>
      </c>
      <c r="I262" s="68">
        <v>44652</v>
      </c>
      <c r="J262" s="35" t="s">
        <v>1015</v>
      </c>
      <c r="K262" s="21">
        <v>856000</v>
      </c>
      <c r="L262" s="21"/>
      <c r="M262" s="22">
        <f>(PROVEEDORES[[#This Row],[SUBTOTAL]]-PROVEEDORES[[#This Row],[descuento sobre subtotal]])*VLOOKUP(PROVEEDORES[[#This Row],[PROVEEDOR]],TERCEROS_INFO[#All],3,FALSE)</f>
        <v>0</v>
      </c>
      <c r="N262" s="23"/>
      <c r="O262" s="22">
        <f>+PROVEEDORES[[#This Row],[Descuento sobre subtotal %]]*(PROVEEDORES[[#This Row],[SUBTOTAL]]-PROVEEDORES[[#This Row],[descuento sobre subtotal]])</f>
        <v>0</v>
      </c>
      <c r="P262" s="74">
        <f>+IF(PROVEEDORES[[#This Row],[SUBTOTAL]]&lt;PROVEEDORES[[#This Row],[base retencion]],0,PROVEEDORES[[#This Row],[retención aplicada]])</f>
        <v>0</v>
      </c>
      <c r="Q262" s="22">
        <f>+PROVEEDORES[[#This Row],[Rete Fuente %]]*(PROVEEDORES[[#This Row],[SUBTOTAL]]-PROVEEDORES[[#This Row],[descuento sobre subtotal]])</f>
        <v>0</v>
      </c>
      <c r="R262" s="21">
        <f>+PROVEEDORES[[#This Row],[SUBTOTAL]]+PROVEEDORES[[#This Row],[IVA 19%]]-PROVEEDORES[[#This Row],[descuento sobre subtotal]]-PROVEEDORES[[#This Row],[Descuento sobre subtotal $2]]-PROVEEDORES[[#This Row],[Rete Fuente $]]</f>
        <v>856000</v>
      </c>
      <c r="S26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63">
        <f ca="1">IF(PROVEEDORES[[#This Row],[FECHA DE PAGO]]=0,TODAY()-PROVEEDORES[[#This Row],[FECHA DE FACTURACIÓN]]-PROVEEDORES[[#This Row],[PLAZO Días]],0)</f>
        <v>0</v>
      </c>
      <c r="U262" s="87">
        <f>+VLOOKUP(PROVEEDORES[[#This Row],[PROVEEDOR]],Terceros!$A:$D,4,FALSE)</f>
        <v>0</v>
      </c>
      <c r="V262" s="88">
        <f>+YEAR(PROVEEDORES[[#This Row],[FECHA DE FACTURACIÓN]])</f>
        <v>2022</v>
      </c>
      <c r="W262" s="88">
        <f>+MATCH(PROVEEDORES[[#This Row],[año facturado]],Retenciones!$1:$1,0)</f>
        <v>5</v>
      </c>
      <c r="X262" s="89">
        <f>+VLOOKUP(PROVEEDORES[[#This Row],[ID RETENCION]],Retenciones!$A$1:$O$25,PROVEEDORES[[#This Row],[indicador de columna]],FALSE)</f>
        <v>0</v>
      </c>
      <c r="Y262" s="90">
        <f>+VLOOKUP(PROVEEDORES[[#This Row],[ID RETENCION]],Retenciones!$A$1:$O$25,2,FALSE)</f>
        <v>0</v>
      </c>
      <c r="Z262" s="116" t="b">
        <f>OR(COUNTIF(PROVEEDORES[[#This Row],[PROVEEDOR]],"*"&amp;'Palabra no opera'!$A$2&amp;"*"))</f>
        <v>0</v>
      </c>
      <c r="AA262" s="24"/>
      <c r="AB262" s="24"/>
      <c r="AC262" s="24"/>
      <c r="AD262" s="24"/>
      <c r="AE262" s="24"/>
    </row>
    <row r="263" spans="1:31" ht="22.35" customHeight="1" x14ac:dyDescent="0.3">
      <c r="A263" s="61" t="str">
        <f>+IF(PROVEEDORES[[#This Row],[FECHA DE PAGO]]=PROVEEDORES[[#This Row],[FECHA DE FACTURACIÓN]],"DE CONTADO","CRÉDITO")</f>
        <v>DE CONTADO</v>
      </c>
      <c r="B263" s="38" t="b">
        <f>+IF((PROVEEDORES[[#This Row],[FECHA DE PAGO]]-PROVEEDORES[[#This Row],[FECHA DE FACTURACIÓN]])&gt;PROVEEDORES[[#This Row],[PLAZO Días]],"PAGO VENCIDO")</f>
        <v>0</v>
      </c>
      <c r="C263" s="20">
        <f>+VLOOKUP(PROVEEDORES[[#This Row],[PROVEEDOR]],TERCEROS_INFO[#All],2,FALSE)</f>
        <v>30</v>
      </c>
      <c r="D263" s="25">
        <f>+SUMIFS(PROVEEDORES[Total],PROVEEDORES[PROVEEDOR],PROVEEDORES[[#This Row],[PROVEEDOR]],PROVEEDORES[FECHA DE PAGO],"")</f>
        <v>0</v>
      </c>
      <c r="E263" s="25"/>
      <c r="F263" s="56" t="str">
        <f>+VLOOKUP(PROVEEDORES[[#This Row],[PROVEEDOR]],
                       Terceros!$A:$F,
                       5,
                       FALSE)</f>
        <v/>
      </c>
      <c r="G263" s="68">
        <v>44660</v>
      </c>
      <c r="H263" s="26" t="s">
        <v>378</v>
      </c>
      <c r="I263" s="68">
        <v>44660</v>
      </c>
      <c r="J263" s="35" t="s">
        <v>566</v>
      </c>
      <c r="K263" s="21">
        <v>150000</v>
      </c>
      <c r="L263" s="21"/>
      <c r="M263" s="22">
        <f>(PROVEEDORES[[#This Row],[SUBTOTAL]]-PROVEEDORES[[#This Row],[descuento sobre subtotal]])*VLOOKUP(PROVEEDORES[[#This Row],[PROVEEDOR]],TERCEROS_INFO[#All],3,FALSE)</f>
        <v>0</v>
      </c>
      <c r="N263" s="23"/>
      <c r="O263" s="22">
        <f>+PROVEEDORES[[#This Row],[Descuento sobre subtotal %]]*(PROVEEDORES[[#This Row],[SUBTOTAL]]-PROVEEDORES[[#This Row],[descuento sobre subtotal]])</f>
        <v>0</v>
      </c>
      <c r="P263" s="74">
        <f>+IF(PROVEEDORES[[#This Row],[SUBTOTAL]]&lt;PROVEEDORES[[#This Row],[base retencion]],0,PROVEEDORES[[#This Row],[retención aplicada]])</f>
        <v>0</v>
      </c>
      <c r="Q263" s="22">
        <f>+PROVEEDORES[[#This Row],[Rete Fuente %]]*(PROVEEDORES[[#This Row],[SUBTOTAL]]-PROVEEDORES[[#This Row],[descuento sobre subtotal]])</f>
        <v>0</v>
      </c>
      <c r="R263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26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63">
        <f ca="1">IF(PROVEEDORES[[#This Row],[FECHA DE PAGO]]=0,TODAY()-PROVEEDORES[[#This Row],[FECHA DE FACTURACIÓN]]-PROVEEDORES[[#This Row],[PLAZO Días]],0)</f>
        <v>0</v>
      </c>
      <c r="U263" s="87">
        <f>+VLOOKUP(PROVEEDORES[[#This Row],[PROVEEDOR]],Terceros!$A:$D,4,FALSE)</f>
        <v>0</v>
      </c>
      <c r="V263" s="88">
        <f>+YEAR(PROVEEDORES[[#This Row],[FECHA DE FACTURACIÓN]])</f>
        <v>2022</v>
      </c>
      <c r="W263" s="88">
        <f>+MATCH(PROVEEDORES[[#This Row],[año facturado]],Retenciones!$1:$1,0)</f>
        <v>5</v>
      </c>
      <c r="X263" s="89">
        <f>+VLOOKUP(PROVEEDORES[[#This Row],[ID RETENCION]],Retenciones!$A$1:$O$25,PROVEEDORES[[#This Row],[indicador de columna]],FALSE)</f>
        <v>0</v>
      </c>
      <c r="Y263" s="90">
        <f>+VLOOKUP(PROVEEDORES[[#This Row],[ID RETENCION]],Retenciones!$A$1:$O$25,2,FALSE)</f>
        <v>0</v>
      </c>
      <c r="Z263" s="116" t="b">
        <f>OR(COUNTIF(PROVEEDORES[[#This Row],[PROVEEDOR]],"*"&amp;'Palabra no opera'!$A$2&amp;"*"))</f>
        <v>0</v>
      </c>
      <c r="AA263" s="24"/>
      <c r="AB263" s="24"/>
      <c r="AC263" s="24"/>
      <c r="AD263" s="24"/>
      <c r="AE263" s="24"/>
    </row>
    <row r="264" spans="1:31" ht="22.35" customHeight="1" x14ac:dyDescent="0.3">
      <c r="A264" s="61" t="str">
        <f>+IF(PROVEEDORES[[#This Row],[FECHA DE PAGO]]=PROVEEDORES[[#This Row],[FECHA DE FACTURACIÓN]],"DE CONTADO","CRÉDITO")</f>
        <v>CRÉDITO</v>
      </c>
      <c r="B264" s="38" t="str">
        <f>+IF((PROVEEDORES[[#This Row],[FECHA DE PAGO]]-PROVEEDORES[[#This Row],[FECHA DE FACTURACIÓN]])&gt;PROVEEDORES[[#This Row],[PLAZO Días]],"PAGO VENCIDO")</f>
        <v>PAGO VENCIDO</v>
      </c>
      <c r="C264" s="20">
        <f>+VLOOKUP(PROVEEDORES[[#This Row],[PROVEEDOR]],TERCEROS_INFO[#All],2,FALSE)</f>
        <v>30</v>
      </c>
      <c r="D264" s="25">
        <f>+SUMIFS(PROVEEDORES[Total],PROVEEDORES[PROVEEDOR],PROVEEDORES[[#This Row],[PROVEEDOR]],PROVEEDORES[FECHA DE PAGO],"")</f>
        <v>0</v>
      </c>
      <c r="E264" s="25"/>
      <c r="F264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64" s="68">
        <v>44662</v>
      </c>
      <c r="H264" s="26" t="s">
        <v>281</v>
      </c>
      <c r="I264" s="68">
        <v>44595</v>
      </c>
      <c r="J264" s="35" t="s">
        <v>485</v>
      </c>
      <c r="K264" s="21">
        <v>2130920</v>
      </c>
      <c r="L264" s="21"/>
      <c r="M264" s="22">
        <v>404874.8</v>
      </c>
      <c r="N264" s="23"/>
      <c r="O264" s="22">
        <v>0</v>
      </c>
      <c r="P264" s="74">
        <f>+IF(PROVEEDORES[[#This Row],[SUBTOTAL]]&lt;PROVEEDORES[[#This Row],[base retencion]],0,PROVEEDORES[[#This Row],[retención aplicada]])</f>
        <v>0</v>
      </c>
      <c r="Q264" s="22">
        <f>+PROVEEDORES[[#This Row],[Rete Fuente %]]*(PROVEEDORES[[#This Row],[SUBTOTAL]]-PROVEEDORES[[#This Row],[descuento sobre subtotal]])</f>
        <v>0</v>
      </c>
      <c r="R264" s="21">
        <v>2535794.7999999998</v>
      </c>
      <c r="S26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63">
        <f ca="1">IF(PROVEEDORES[[#This Row],[FECHA DE PAGO]]=0,TODAY()-PROVEEDORES[[#This Row],[FECHA DE FACTURACIÓN]]-PROVEEDORES[[#This Row],[PLAZO Días]],0)</f>
        <v>0</v>
      </c>
      <c r="U264" s="87">
        <f>+VLOOKUP(PROVEEDORES[[#This Row],[PROVEEDOR]],Terceros!$A:$D,4,FALSE)</f>
        <v>0</v>
      </c>
      <c r="V264" s="88">
        <f>+YEAR(PROVEEDORES[[#This Row],[FECHA DE FACTURACIÓN]])</f>
        <v>2022</v>
      </c>
      <c r="W264" s="88">
        <f>+MATCH(PROVEEDORES[[#This Row],[año facturado]],Retenciones!$1:$1,0)</f>
        <v>5</v>
      </c>
      <c r="X264" s="89">
        <f>+VLOOKUP(PROVEEDORES[[#This Row],[ID RETENCION]],Retenciones!$A$1:$O$25,PROVEEDORES[[#This Row],[indicador de columna]],FALSE)</f>
        <v>0</v>
      </c>
      <c r="Y264" s="90">
        <f>+VLOOKUP(PROVEEDORES[[#This Row],[ID RETENCION]],Retenciones!$A$1:$O$25,2,FALSE)</f>
        <v>0</v>
      </c>
      <c r="Z264" s="116" t="b">
        <f>OR(COUNTIF(PROVEEDORES[[#This Row],[PROVEEDOR]],"*"&amp;'Palabra no opera'!$A$2&amp;"*"))</f>
        <v>0</v>
      </c>
      <c r="AA264" s="24"/>
      <c r="AB264" s="24"/>
      <c r="AC264" s="24"/>
      <c r="AD264" s="24"/>
      <c r="AE264" s="24"/>
    </row>
    <row r="265" spans="1:31" ht="22.35" customHeight="1" x14ac:dyDescent="0.3">
      <c r="A265" s="61" t="str">
        <f>+IF(PROVEEDORES[[#This Row],[FECHA DE PAGO]]=PROVEEDORES[[#This Row],[FECHA DE FACTURACIÓN]],"DE CONTADO","CRÉDITO")</f>
        <v>CRÉDITO</v>
      </c>
      <c r="B265" s="38" t="str">
        <f>+IF((PROVEEDORES[[#This Row],[FECHA DE PAGO]]-PROVEEDORES[[#This Row],[FECHA DE FACTURACIÓN]])&gt;PROVEEDORES[[#This Row],[PLAZO Días]],"PAGO VENCIDO")</f>
        <v>PAGO VENCIDO</v>
      </c>
      <c r="C265" s="20">
        <f>+VLOOKUP(PROVEEDORES[[#This Row],[PROVEEDOR]],TERCEROS_INFO[#All],2,FALSE)</f>
        <v>30</v>
      </c>
      <c r="D265" s="25">
        <f>+SUMIFS(PROVEEDORES[Total],PROVEEDORES[PROVEEDOR],PROVEEDORES[[#This Row],[PROVEEDOR]],PROVEEDORES[FECHA DE PAGO],"")</f>
        <v>0</v>
      </c>
      <c r="E265" s="25"/>
      <c r="F265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65" s="68">
        <v>44662</v>
      </c>
      <c r="H265" s="26" t="s">
        <v>281</v>
      </c>
      <c r="I265" s="68">
        <v>44595</v>
      </c>
      <c r="J265" s="35" t="s">
        <v>481</v>
      </c>
      <c r="K265" s="21">
        <v>3264000</v>
      </c>
      <c r="L265" s="21"/>
      <c r="M265" s="22">
        <v>620160</v>
      </c>
      <c r="N265" s="23"/>
      <c r="O265" s="22">
        <v>0</v>
      </c>
      <c r="P265" s="74">
        <f>+IF(PROVEEDORES[[#This Row],[SUBTOTAL]]&lt;PROVEEDORES[[#This Row],[base retencion]],0,PROVEEDORES[[#This Row],[retención aplicada]])</f>
        <v>0</v>
      </c>
      <c r="Q265" s="22">
        <f>+PROVEEDORES[[#This Row],[Rete Fuente %]]*(PROVEEDORES[[#This Row],[SUBTOTAL]]-PROVEEDORES[[#This Row],[descuento sobre subtotal]])</f>
        <v>0</v>
      </c>
      <c r="R265" s="21">
        <v>3884160</v>
      </c>
      <c r="S26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63">
        <f ca="1">IF(PROVEEDORES[[#This Row],[FECHA DE PAGO]]=0,TODAY()-PROVEEDORES[[#This Row],[FECHA DE FACTURACIÓN]]-PROVEEDORES[[#This Row],[PLAZO Días]],0)</f>
        <v>0</v>
      </c>
      <c r="U265" s="87">
        <f>+VLOOKUP(PROVEEDORES[[#This Row],[PROVEEDOR]],Terceros!$A:$D,4,FALSE)</f>
        <v>0</v>
      </c>
      <c r="V265" s="88">
        <f>+YEAR(PROVEEDORES[[#This Row],[FECHA DE FACTURACIÓN]])</f>
        <v>2022</v>
      </c>
      <c r="W265" s="88">
        <f>+MATCH(PROVEEDORES[[#This Row],[año facturado]],Retenciones!$1:$1,0)</f>
        <v>5</v>
      </c>
      <c r="X265" s="89">
        <f>+VLOOKUP(PROVEEDORES[[#This Row],[ID RETENCION]],Retenciones!$A$1:$O$25,PROVEEDORES[[#This Row],[indicador de columna]],FALSE)</f>
        <v>0</v>
      </c>
      <c r="Y265" s="90">
        <f>+VLOOKUP(PROVEEDORES[[#This Row],[ID RETENCION]],Retenciones!$A$1:$O$25,2,FALSE)</f>
        <v>0</v>
      </c>
      <c r="Z265" s="116" t="b">
        <f>OR(COUNTIF(PROVEEDORES[[#This Row],[PROVEEDOR]],"*"&amp;'Palabra no opera'!$A$2&amp;"*"))</f>
        <v>0</v>
      </c>
      <c r="AA265" s="24"/>
      <c r="AB265" s="24"/>
      <c r="AC265" s="24"/>
      <c r="AD265" s="24"/>
      <c r="AE265" s="24"/>
    </row>
    <row r="266" spans="1:31" ht="22.35" customHeight="1" x14ac:dyDescent="0.3">
      <c r="A266" s="61" t="str">
        <f>+IF(PROVEEDORES[[#This Row],[FECHA DE PAGO]]=PROVEEDORES[[#This Row],[FECHA DE FACTURACIÓN]],"DE CONTADO","CRÉDITO")</f>
        <v>CRÉDITO</v>
      </c>
      <c r="B266" s="38" t="str">
        <f>+IF((PROVEEDORES[[#This Row],[FECHA DE PAGO]]-PROVEEDORES[[#This Row],[FECHA DE FACTURACIÓN]])&gt;PROVEEDORES[[#This Row],[PLAZO Días]],"PAGO VENCIDO")</f>
        <v>PAGO VENCIDO</v>
      </c>
      <c r="C266" s="20">
        <f>+VLOOKUP(PROVEEDORES[[#This Row],[PROVEEDOR]],TERCEROS_INFO[#All],2,FALSE)</f>
        <v>30</v>
      </c>
      <c r="D266" s="25">
        <f>+SUMIFS(PROVEEDORES[Total],PROVEEDORES[PROVEEDOR],PROVEEDORES[[#This Row],[PROVEEDOR]],PROVEEDORES[FECHA DE PAGO],"")</f>
        <v>3669750</v>
      </c>
      <c r="E266" s="25"/>
      <c r="F266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66" s="68">
        <v>44662</v>
      </c>
      <c r="H266" s="26" t="s">
        <v>24</v>
      </c>
      <c r="I266" s="68">
        <v>44623</v>
      </c>
      <c r="J266" s="35" t="s">
        <v>463</v>
      </c>
      <c r="K266" s="21">
        <v>806050</v>
      </c>
      <c r="L266" s="21"/>
      <c r="M266" s="22">
        <v>153149.5</v>
      </c>
      <c r="N266" s="23"/>
      <c r="O266" s="22">
        <v>0</v>
      </c>
      <c r="P266" s="74">
        <f>+IF(PROVEEDORES[[#This Row],[SUBTOTAL]]&lt;PROVEEDORES[[#This Row],[base retencion]],0,PROVEEDORES[[#This Row],[retención aplicada]])</f>
        <v>0</v>
      </c>
      <c r="Q266" s="22">
        <f>+PROVEEDORES[[#This Row],[Rete Fuente %]]*(PROVEEDORES[[#This Row],[SUBTOTAL]]-PROVEEDORES[[#This Row],[descuento sobre subtotal]])</f>
        <v>0</v>
      </c>
      <c r="R266" s="21">
        <v>959199.5</v>
      </c>
      <c r="S26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63">
        <f ca="1">IF(PROVEEDORES[[#This Row],[FECHA DE PAGO]]=0,TODAY()-PROVEEDORES[[#This Row],[FECHA DE FACTURACIÓN]]-PROVEEDORES[[#This Row],[PLAZO Días]],0)</f>
        <v>0</v>
      </c>
      <c r="U266" s="87" t="str">
        <f>+VLOOKUP(PROVEEDORES[[#This Row],[PROVEEDOR]],Terceros!$A:$D,4,FALSE)</f>
        <v>2,5% con base</v>
      </c>
      <c r="V266" s="88">
        <f>+YEAR(PROVEEDORES[[#This Row],[FECHA DE FACTURACIÓN]])</f>
        <v>2022</v>
      </c>
      <c r="W266" s="88">
        <f>+MATCH(PROVEEDORES[[#This Row],[año facturado]],Retenciones!$1:$1,0)</f>
        <v>5</v>
      </c>
      <c r="X266" s="89">
        <f>+VLOOKUP(PROVEEDORES[[#This Row],[ID RETENCION]],Retenciones!$A$1:$O$25,PROVEEDORES[[#This Row],[indicador de columna]],FALSE)</f>
        <v>1026000</v>
      </c>
      <c r="Y266" s="90">
        <f>+VLOOKUP(PROVEEDORES[[#This Row],[ID RETENCION]],Retenciones!$A$1:$O$25,2,FALSE)</f>
        <v>2.5000000000000001E-2</v>
      </c>
      <c r="Z266" s="116" t="b">
        <f>OR(COUNTIF(PROVEEDORES[[#This Row],[PROVEEDOR]],"*"&amp;'Palabra no opera'!$A$2&amp;"*"))</f>
        <v>0</v>
      </c>
      <c r="AA266" s="24"/>
      <c r="AB266" s="24"/>
      <c r="AC266" s="24"/>
      <c r="AD266" s="24"/>
      <c r="AE266" s="24"/>
    </row>
    <row r="267" spans="1:31" ht="22.35" customHeight="1" x14ac:dyDescent="0.3">
      <c r="A267" s="61" t="str">
        <f>+IF(PROVEEDORES[[#This Row],[FECHA DE PAGO]]=PROVEEDORES[[#This Row],[FECHA DE FACTURACIÓN]],"DE CONTADO","CRÉDITO")</f>
        <v>CRÉDITO</v>
      </c>
      <c r="B267" s="38" t="str">
        <f>+IF((PROVEEDORES[[#This Row],[FECHA DE PAGO]]-PROVEEDORES[[#This Row],[FECHA DE FACTURACIÓN]])&gt;PROVEEDORES[[#This Row],[PLAZO Días]],"PAGO VENCIDO")</f>
        <v>PAGO VENCIDO</v>
      </c>
      <c r="C267" s="20">
        <f>+VLOOKUP(PROVEEDORES[[#This Row],[PROVEEDOR]],TERCEROS_INFO[#All],2,FALSE)</f>
        <v>30</v>
      </c>
      <c r="D267" s="25">
        <f>+SUMIFS(PROVEEDORES[Total],PROVEEDORES[PROVEEDOR],PROVEEDORES[[#This Row],[PROVEEDOR]],PROVEEDORES[FECHA DE PAGO],"")</f>
        <v>17870934.149999999</v>
      </c>
      <c r="E267" s="25"/>
      <c r="F26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67" s="68">
        <v>44662</v>
      </c>
      <c r="H267" s="26" t="s">
        <v>18</v>
      </c>
      <c r="I267" s="68">
        <v>44622</v>
      </c>
      <c r="J267" s="35">
        <v>1050509</v>
      </c>
      <c r="K267" s="21">
        <v>545207</v>
      </c>
      <c r="L267" s="21"/>
      <c r="M267" s="22">
        <v>103589.33</v>
      </c>
      <c r="N267" s="23"/>
      <c r="O267" s="22">
        <v>0</v>
      </c>
      <c r="P267" s="74">
        <f>+IF(PROVEEDORES[[#This Row],[SUBTOTAL]]&lt;PROVEEDORES[[#This Row],[base retencion]],0,PROVEEDORES[[#This Row],[retención aplicada]])</f>
        <v>0</v>
      </c>
      <c r="Q267" s="22">
        <f>+PROVEEDORES[[#This Row],[Rete Fuente %]]*(PROVEEDORES[[#This Row],[SUBTOTAL]]-PROVEEDORES[[#This Row],[descuento sobre subtotal]])</f>
        <v>0</v>
      </c>
      <c r="R267" s="21">
        <v>648796.32999999996</v>
      </c>
      <c r="S26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7" s="63">
        <f ca="1">IF(PROVEEDORES[[#This Row],[FECHA DE PAGO]]=0,TODAY()-PROVEEDORES[[#This Row],[FECHA DE FACTURACIÓN]]-PROVEEDORES[[#This Row],[PLAZO Días]],0)</f>
        <v>0</v>
      </c>
      <c r="U267" s="87" t="str">
        <f>+VLOOKUP(PROVEEDORES[[#This Row],[PROVEEDOR]],Terceros!$A:$D,4,FALSE)</f>
        <v>2,5% con base</v>
      </c>
      <c r="V267" s="88">
        <f>+YEAR(PROVEEDORES[[#This Row],[FECHA DE FACTURACIÓN]])</f>
        <v>2022</v>
      </c>
      <c r="W267" s="88">
        <f>+MATCH(PROVEEDORES[[#This Row],[año facturado]],Retenciones!$1:$1,0)</f>
        <v>5</v>
      </c>
      <c r="X267" s="89">
        <f>+VLOOKUP(PROVEEDORES[[#This Row],[ID RETENCION]],Retenciones!$A$1:$O$25,PROVEEDORES[[#This Row],[indicador de columna]],FALSE)</f>
        <v>1026000</v>
      </c>
      <c r="Y267" s="90">
        <f>+VLOOKUP(PROVEEDORES[[#This Row],[ID RETENCION]],Retenciones!$A$1:$O$25,2,FALSE)</f>
        <v>2.5000000000000001E-2</v>
      </c>
      <c r="Z267" s="116" t="b">
        <f>OR(COUNTIF(PROVEEDORES[[#This Row],[PROVEEDOR]],"*"&amp;'Palabra no opera'!$A$2&amp;"*"))</f>
        <v>0</v>
      </c>
      <c r="AA267" s="24"/>
      <c r="AB267" s="24"/>
      <c r="AC267" s="24"/>
      <c r="AD267" s="24"/>
      <c r="AE267" s="24"/>
    </row>
    <row r="268" spans="1:31" ht="22.35" customHeight="1" x14ac:dyDescent="0.3">
      <c r="A268" s="61" t="str">
        <f>+IF(PROVEEDORES[[#This Row],[FECHA DE PAGO]]=PROVEEDORES[[#This Row],[FECHA DE FACTURACIÓN]],"DE CONTADO","CRÉDITO")</f>
        <v>CRÉDITO</v>
      </c>
      <c r="B268" s="38" t="str">
        <f>+IF((PROVEEDORES[[#This Row],[FECHA DE PAGO]]-PROVEEDORES[[#This Row],[FECHA DE FACTURACIÓN]])&gt;PROVEEDORES[[#This Row],[PLAZO Días]],"PAGO VENCIDO")</f>
        <v>PAGO VENCIDO</v>
      </c>
      <c r="C268" s="20">
        <f>+VLOOKUP(PROVEEDORES[[#This Row],[PROVEEDOR]],TERCEROS_INFO[#All],2,FALSE)</f>
        <v>30</v>
      </c>
      <c r="D268" s="25">
        <f>+SUMIFS(PROVEEDORES[Total],PROVEEDORES[PROVEEDOR],PROVEEDORES[[#This Row],[PROVEEDOR]],PROVEEDORES[FECHA DE PAGO],"")</f>
        <v>17870934.149999999</v>
      </c>
      <c r="E268" s="25"/>
      <c r="F26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68" s="68">
        <v>44662</v>
      </c>
      <c r="H268" s="26" t="s">
        <v>18</v>
      </c>
      <c r="I268" s="68">
        <v>44622</v>
      </c>
      <c r="J268" s="35">
        <v>1050519</v>
      </c>
      <c r="K268" s="21">
        <v>1020000</v>
      </c>
      <c r="L268" s="21"/>
      <c r="M268" s="22">
        <v>193800</v>
      </c>
      <c r="N268" s="23"/>
      <c r="O268" s="22">
        <v>0</v>
      </c>
      <c r="P268" s="74">
        <f>+IF(PROVEEDORES[[#This Row],[SUBTOTAL]]&lt;PROVEEDORES[[#This Row],[base retencion]],0,PROVEEDORES[[#This Row],[retención aplicada]])</f>
        <v>0</v>
      </c>
      <c r="Q268" s="22">
        <f>+PROVEEDORES[[#This Row],[Rete Fuente %]]*(PROVEEDORES[[#This Row],[SUBTOTAL]]-PROVEEDORES[[#This Row],[descuento sobre subtotal]])</f>
        <v>0</v>
      </c>
      <c r="R268" s="21">
        <v>1213800</v>
      </c>
      <c r="S26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63">
        <f ca="1">IF(PROVEEDORES[[#This Row],[FECHA DE PAGO]]=0,TODAY()-PROVEEDORES[[#This Row],[FECHA DE FACTURACIÓN]]-PROVEEDORES[[#This Row],[PLAZO Días]],0)</f>
        <v>0</v>
      </c>
      <c r="U268" s="87" t="str">
        <f>+VLOOKUP(PROVEEDORES[[#This Row],[PROVEEDOR]],Terceros!$A:$D,4,FALSE)</f>
        <v>2,5% con base</v>
      </c>
      <c r="V268" s="88">
        <f>+YEAR(PROVEEDORES[[#This Row],[FECHA DE FACTURACIÓN]])</f>
        <v>2022</v>
      </c>
      <c r="W268" s="88">
        <f>+MATCH(PROVEEDORES[[#This Row],[año facturado]],Retenciones!$1:$1,0)</f>
        <v>5</v>
      </c>
      <c r="X268" s="89">
        <f>+VLOOKUP(PROVEEDORES[[#This Row],[ID RETENCION]],Retenciones!$A$1:$O$25,PROVEEDORES[[#This Row],[indicador de columna]],FALSE)</f>
        <v>1026000</v>
      </c>
      <c r="Y268" s="90">
        <f>+VLOOKUP(PROVEEDORES[[#This Row],[ID RETENCION]],Retenciones!$A$1:$O$25,2,FALSE)</f>
        <v>2.5000000000000001E-2</v>
      </c>
      <c r="Z268" s="116" t="b">
        <f>OR(COUNTIF(PROVEEDORES[[#This Row],[PROVEEDOR]],"*"&amp;'Palabra no opera'!$A$2&amp;"*"))</f>
        <v>0</v>
      </c>
      <c r="AA268" s="24"/>
      <c r="AB268" s="24"/>
      <c r="AC268" s="24"/>
      <c r="AD268" s="24"/>
      <c r="AE268" s="24"/>
    </row>
    <row r="269" spans="1:31" ht="22.35" customHeight="1" x14ac:dyDescent="0.3">
      <c r="A269" s="61" t="str">
        <f>+IF(PROVEEDORES[[#This Row],[FECHA DE PAGO]]=PROVEEDORES[[#This Row],[FECHA DE FACTURACIÓN]],"DE CONTADO","CRÉDITO")</f>
        <v>CRÉDITO</v>
      </c>
      <c r="B269" s="38" t="b">
        <f>+IF((PROVEEDORES[[#This Row],[FECHA DE PAGO]]-PROVEEDORES[[#This Row],[FECHA DE FACTURACIÓN]])&gt;PROVEEDORES[[#This Row],[PLAZO Días]],"PAGO VENCIDO")</f>
        <v>0</v>
      </c>
      <c r="C269" s="20">
        <f>+VLOOKUP(PROVEEDORES[[#This Row],[PROVEEDOR]],TERCEROS_INFO[#All],2,FALSE)</f>
        <v>30</v>
      </c>
      <c r="D269" s="25">
        <f>+SUMIFS(PROVEEDORES[Total],PROVEEDORES[PROVEEDOR],PROVEEDORES[[#This Row],[PROVEEDOR]],PROVEEDORES[FECHA DE PAGO],"")</f>
        <v>352505.48</v>
      </c>
      <c r="E269" s="25"/>
      <c r="F269" s="56" t="str">
        <f>+VLOOKUP(PROVEEDORES[[#This Row],[PROVEEDOR]],
                       Terceros!$A:$F,
                       5,
                       FALSE)</f>
        <v>facturacion@losmolinos.com.co</v>
      </c>
      <c r="G269" s="68">
        <v>44663</v>
      </c>
      <c r="H269" s="26" t="s">
        <v>650</v>
      </c>
      <c r="I269" s="68">
        <v>44652</v>
      </c>
      <c r="J269" s="35">
        <v>66928</v>
      </c>
      <c r="K269" s="21">
        <v>284467</v>
      </c>
      <c r="L269" s="21"/>
      <c r="M269" s="22">
        <f>(PROVEEDORES[[#This Row],[SUBTOTAL]]-PROVEEDORES[[#This Row],[descuento sobre subtotal]])*VLOOKUP(PROVEEDORES[[#This Row],[PROVEEDOR]],TERCEROS_INFO[#All],3,FALSE)</f>
        <v>0</v>
      </c>
      <c r="N269" s="23"/>
      <c r="O269" s="22">
        <f>+PROVEEDORES[[#This Row],[Descuento sobre subtotal %]]*(PROVEEDORES[[#This Row],[SUBTOTAL]]-PROVEEDORES[[#This Row],[descuento sobre subtotal]])</f>
        <v>0</v>
      </c>
      <c r="P269" s="74">
        <f>+IF(PROVEEDORES[[#This Row],[SUBTOTAL]]&lt;PROVEEDORES[[#This Row],[base retencion]],0,PROVEEDORES[[#This Row],[retención aplicada]])</f>
        <v>0</v>
      </c>
      <c r="Q269" s="22">
        <f>+PROVEEDORES[[#This Row],[Rete Fuente %]]*(PROVEEDORES[[#This Row],[SUBTOTAL]]-PROVEEDORES[[#This Row],[descuento sobre subtotal]])</f>
        <v>0</v>
      </c>
      <c r="R269" s="21">
        <v>275944.33</v>
      </c>
      <c r="S26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63">
        <f ca="1">IF(PROVEEDORES[[#This Row],[FECHA DE PAGO]]=0,TODAY()-PROVEEDORES[[#This Row],[FECHA DE FACTURACIÓN]]-PROVEEDORES[[#This Row],[PLAZO Días]],0)</f>
        <v>0</v>
      </c>
      <c r="U269" s="87">
        <f>+VLOOKUP(PROVEEDORES[[#This Row],[PROVEEDOR]],Terceros!$A:$D,4,FALSE)</f>
        <v>0</v>
      </c>
      <c r="V269" s="88">
        <f>+YEAR(PROVEEDORES[[#This Row],[FECHA DE FACTURACIÓN]])</f>
        <v>2022</v>
      </c>
      <c r="W269" s="88">
        <f>+MATCH(PROVEEDORES[[#This Row],[año facturado]],Retenciones!$1:$1,0)</f>
        <v>5</v>
      </c>
      <c r="X269" s="89">
        <f>+VLOOKUP(PROVEEDORES[[#This Row],[ID RETENCION]],Retenciones!$A$1:$O$25,PROVEEDORES[[#This Row],[indicador de columna]],FALSE)</f>
        <v>0</v>
      </c>
      <c r="Y269" s="90">
        <f>+VLOOKUP(PROVEEDORES[[#This Row],[ID RETENCION]],Retenciones!$A$1:$O$25,2,FALSE)</f>
        <v>0</v>
      </c>
      <c r="Z269" s="116" t="b">
        <f>OR(COUNTIF(PROVEEDORES[[#This Row],[PROVEEDOR]],"*"&amp;'Palabra no opera'!$A$2&amp;"*"))</f>
        <v>1</v>
      </c>
      <c r="AA269" s="24"/>
      <c r="AB269" s="24"/>
      <c r="AC269" s="24"/>
      <c r="AD269" s="24"/>
      <c r="AE269" s="24"/>
    </row>
    <row r="270" spans="1:31" ht="22.35" customHeight="1" x14ac:dyDescent="0.3">
      <c r="A270" s="61" t="str">
        <f>+IF(PROVEEDORES[[#This Row],[FECHA DE PAGO]]=PROVEEDORES[[#This Row],[FECHA DE FACTURACIÓN]],"DE CONTADO","CRÉDITO")</f>
        <v>CRÉDITO</v>
      </c>
      <c r="B270" s="38" t="b">
        <f>+IF((PROVEEDORES[[#This Row],[FECHA DE PAGO]]-PROVEEDORES[[#This Row],[FECHA DE FACTURACIÓN]])&gt;PROVEEDORES[[#This Row],[PLAZO Días]],"PAGO VENCIDO")</f>
        <v>0</v>
      </c>
      <c r="C270" s="20">
        <f>+VLOOKUP(PROVEEDORES[[#This Row],[PROVEEDOR]],TERCEROS_INFO[#All],2,FALSE)</f>
        <v>30</v>
      </c>
      <c r="D270" s="25">
        <f>+SUMIFS(PROVEEDORES[Total],PROVEEDORES[PROVEEDOR],PROVEEDORES[[#This Row],[PROVEEDOR]],PROVEEDORES[FECHA DE PAGO],"")</f>
        <v>0</v>
      </c>
      <c r="E270" s="25"/>
      <c r="F27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70" s="68">
        <v>44663</v>
      </c>
      <c r="H270" s="26" t="s">
        <v>637</v>
      </c>
      <c r="I270" s="68">
        <v>44652</v>
      </c>
      <c r="J270" s="35" t="s">
        <v>565</v>
      </c>
      <c r="K270" s="21">
        <f>59583+68166</f>
        <v>127749</v>
      </c>
      <c r="L270" s="21"/>
      <c r="M270" s="22">
        <f>(PROVEEDORES[[#This Row],[SUBTOTAL]]-PROVEEDORES[[#This Row],[descuento sobre subtotal]])*VLOOKUP(PROVEEDORES[[#This Row],[PROVEEDOR]],TERCEROS_INFO[#All],3,FALSE)</f>
        <v>0</v>
      </c>
      <c r="N270" s="23"/>
      <c r="O270" s="22">
        <f>+PROVEEDORES[[#This Row],[Descuento sobre subtotal %]]*(PROVEEDORES[[#This Row],[SUBTOTAL]]-PROVEEDORES[[#This Row],[descuento sobre subtotal]])</f>
        <v>0</v>
      </c>
      <c r="P270" s="74">
        <f>+IF(PROVEEDORES[[#This Row],[SUBTOTAL]]&lt;PROVEEDORES[[#This Row],[base retencion]],0,PROVEEDORES[[#This Row],[retención aplicada]])</f>
        <v>0</v>
      </c>
      <c r="Q270" s="22">
        <f>+PROVEEDORES[[#This Row],[Rete Fuente %]]*(PROVEEDORES[[#This Row],[SUBTOTAL]]-PROVEEDORES[[#This Row],[descuento sobre subtotal]])</f>
        <v>0</v>
      </c>
      <c r="R270" s="21">
        <f>+PROVEEDORES[[#This Row],[SUBTOTAL]]+PROVEEDORES[[#This Row],[IVA 19%]]-PROVEEDORES[[#This Row],[descuento sobre subtotal]]-PROVEEDORES[[#This Row],[Descuento sobre subtotal $2]]-PROVEEDORES[[#This Row],[Rete Fuente $]]</f>
        <v>127749</v>
      </c>
      <c r="S27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63">
        <f ca="1">IF(PROVEEDORES[[#This Row],[FECHA DE PAGO]]=0,TODAY()-PROVEEDORES[[#This Row],[FECHA DE FACTURACIÓN]]-PROVEEDORES[[#This Row],[PLAZO Días]],0)</f>
        <v>0</v>
      </c>
      <c r="U270" s="87">
        <f>+VLOOKUP(PROVEEDORES[[#This Row],[PROVEEDOR]],Terceros!$A:$D,4,FALSE)</f>
        <v>0</v>
      </c>
      <c r="V270" s="88">
        <f>+YEAR(PROVEEDORES[[#This Row],[FECHA DE FACTURACIÓN]])</f>
        <v>2022</v>
      </c>
      <c r="W270" s="88">
        <f>+MATCH(PROVEEDORES[[#This Row],[año facturado]],Retenciones!$1:$1,0)</f>
        <v>5</v>
      </c>
      <c r="X270" s="89">
        <f>+VLOOKUP(PROVEEDORES[[#This Row],[ID RETENCION]],Retenciones!$A$1:$O$25,PROVEEDORES[[#This Row],[indicador de columna]],FALSE)</f>
        <v>0</v>
      </c>
      <c r="Y270" s="90">
        <f>+VLOOKUP(PROVEEDORES[[#This Row],[ID RETENCION]],Retenciones!$A$1:$O$25,2,FALSE)</f>
        <v>0</v>
      </c>
      <c r="Z270" s="116" t="b">
        <f>OR(COUNTIF(PROVEEDORES[[#This Row],[PROVEEDOR]],"*"&amp;'Palabra no opera'!$A$2&amp;"*"))</f>
        <v>1</v>
      </c>
      <c r="AA270" s="24"/>
      <c r="AB270" s="24"/>
      <c r="AC270" s="24"/>
      <c r="AD270" s="24"/>
      <c r="AE270" s="24"/>
    </row>
    <row r="271" spans="1:31" ht="22.35" customHeight="1" x14ac:dyDescent="0.3">
      <c r="A271" s="61" t="str">
        <f>+IF(PROVEEDORES[[#This Row],[FECHA DE PAGO]]=PROVEEDORES[[#This Row],[FECHA DE FACTURACIÓN]],"DE CONTADO","CRÉDITO")</f>
        <v>CRÉDITO</v>
      </c>
      <c r="B271" s="38" t="b">
        <f>+IF((PROVEEDORES[[#This Row],[FECHA DE PAGO]]-PROVEEDORES[[#This Row],[FECHA DE FACTURACIÓN]])&gt;PROVEEDORES[[#This Row],[PLAZO Días]],"PAGO VENCIDO")</f>
        <v>0</v>
      </c>
      <c r="C271" s="20">
        <f>+VLOOKUP(PROVEEDORES[[#This Row],[PROVEEDOR]],TERCEROS_INFO[#All],2,FALSE)</f>
        <v>30</v>
      </c>
      <c r="D271" s="25">
        <f>+SUMIFS(PROVEEDORES[Total],PROVEEDORES[PROVEEDOR],PROVEEDORES[[#This Row],[PROVEEDOR]],PROVEEDORES[FECHA DE PAGO],"")</f>
        <v>0</v>
      </c>
      <c r="E271" s="25"/>
      <c r="F27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71" s="68">
        <v>44663</v>
      </c>
      <c r="H271" s="26" t="s">
        <v>637</v>
      </c>
      <c r="I271" s="68">
        <v>44652</v>
      </c>
      <c r="J271" s="35" t="s">
        <v>220</v>
      </c>
      <c r="K271" s="21">
        <v>818874</v>
      </c>
      <c r="L271" s="21"/>
      <c r="M271" s="22">
        <f>(PROVEEDORES[[#This Row],[SUBTOTAL]]-PROVEEDORES[[#This Row],[descuento sobre subtotal]])*VLOOKUP(PROVEEDORES[[#This Row],[PROVEEDOR]],TERCEROS_INFO[#All],3,FALSE)</f>
        <v>0</v>
      </c>
      <c r="N271" s="23"/>
      <c r="O271" s="22">
        <f>+PROVEEDORES[[#This Row],[Descuento sobre subtotal %]]*(PROVEEDORES[[#This Row],[SUBTOTAL]]-PROVEEDORES[[#This Row],[descuento sobre subtotal]])</f>
        <v>0</v>
      </c>
      <c r="P271" s="74">
        <f>+IF(PROVEEDORES[[#This Row],[SUBTOTAL]]&lt;PROVEEDORES[[#This Row],[base retencion]],0,PROVEEDORES[[#This Row],[retención aplicada]])</f>
        <v>0</v>
      </c>
      <c r="Q271" s="22">
        <f>+PROVEEDORES[[#This Row],[Rete Fuente %]]*(PROVEEDORES[[#This Row],[SUBTOTAL]]-PROVEEDORES[[#This Row],[descuento sobre subtotal]])</f>
        <v>0</v>
      </c>
      <c r="R271" s="21">
        <v>818874</v>
      </c>
      <c r="S27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63">
        <f ca="1">IF(PROVEEDORES[[#This Row],[FECHA DE PAGO]]=0,TODAY()-PROVEEDORES[[#This Row],[FECHA DE FACTURACIÓN]]-PROVEEDORES[[#This Row],[PLAZO Días]],0)</f>
        <v>0</v>
      </c>
      <c r="U271" s="87">
        <f>+VLOOKUP(PROVEEDORES[[#This Row],[PROVEEDOR]],Terceros!$A:$D,4,FALSE)</f>
        <v>0</v>
      </c>
      <c r="V271" s="88">
        <f>+YEAR(PROVEEDORES[[#This Row],[FECHA DE FACTURACIÓN]])</f>
        <v>2022</v>
      </c>
      <c r="W271" s="88">
        <f>+MATCH(PROVEEDORES[[#This Row],[año facturado]],Retenciones!$1:$1,0)</f>
        <v>5</v>
      </c>
      <c r="X271" s="89">
        <f>+VLOOKUP(PROVEEDORES[[#This Row],[ID RETENCION]],Retenciones!$A$1:$O$25,PROVEEDORES[[#This Row],[indicador de columna]],FALSE)</f>
        <v>0</v>
      </c>
      <c r="Y271" s="90">
        <f>+VLOOKUP(PROVEEDORES[[#This Row],[ID RETENCION]],Retenciones!$A$1:$O$25,2,FALSE)</f>
        <v>0</v>
      </c>
      <c r="Z271" s="116" t="b">
        <f>OR(COUNTIF(PROVEEDORES[[#This Row],[PROVEEDOR]],"*"&amp;'Palabra no opera'!$A$2&amp;"*"))</f>
        <v>1</v>
      </c>
      <c r="AA271" s="24"/>
      <c r="AB271" s="24"/>
      <c r="AC271" s="24"/>
      <c r="AD271" s="24"/>
      <c r="AE271" s="24"/>
    </row>
    <row r="272" spans="1:31" ht="22.35" customHeight="1" x14ac:dyDescent="0.3">
      <c r="A272" s="61" t="str">
        <f>+IF(PROVEEDORES[[#This Row],[FECHA DE PAGO]]=PROVEEDORES[[#This Row],[FECHA DE FACTURACIÓN]],"DE CONTADO","CRÉDITO")</f>
        <v>CRÉDITO</v>
      </c>
      <c r="B272" s="38" t="b">
        <f>+IF((PROVEEDORES[[#This Row],[FECHA DE PAGO]]-PROVEEDORES[[#This Row],[FECHA DE FACTURACIÓN]])&gt;PROVEEDORES[[#This Row],[PLAZO Días]],"PAGO VENCIDO")</f>
        <v>0</v>
      </c>
      <c r="C272" s="20">
        <f>+VLOOKUP(PROVEEDORES[[#This Row],[PROVEEDOR]],TERCEROS_INFO[#All],2,FALSE)</f>
        <v>30</v>
      </c>
      <c r="D272" s="25">
        <f>+SUMIFS(PROVEEDORES[Total],PROVEEDORES[PROVEEDOR],PROVEEDORES[[#This Row],[PROVEEDOR]],PROVEEDORES[FECHA DE PAGO],"")</f>
        <v>0</v>
      </c>
      <c r="E272" s="25"/>
      <c r="F27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72" s="68">
        <v>44663</v>
      </c>
      <c r="H272" s="26" t="s">
        <v>637</v>
      </c>
      <c r="I272" s="68">
        <v>44652</v>
      </c>
      <c r="J272" s="35" t="s">
        <v>219</v>
      </c>
      <c r="K272" s="21">
        <v>825349</v>
      </c>
      <c r="L272" s="21"/>
      <c r="M272" s="22">
        <f>(PROVEEDORES[[#This Row],[SUBTOTAL]]-PROVEEDORES[[#This Row],[descuento sobre subtotal]])*VLOOKUP(PROVEEDORES[[#This Row],[PROVEEDOR]],TERCEROS_INFO[#All],3,FALSE)</f>
        <v>0</v>
      </c>
      <c r="N272" s="23"/>
      <c r="O272" s="22">
        <f>+PROVEEDORES[[#This Row],[Descuento sobre subtotal %]]*(PROVEEDORES[[#This Row],[SUBTOTAL]]-PROVEEDORES[[#This Row],[descuento sobre subtotal]])</f>
        <v>0</v>
      </c>
      <c r="P272" s="74">
        <f>+IF(PROVEEDORES[[#This Row],[SUBTOTAL]]&lt;PROVEEDORES[[#This Row],[base retencion]],0,PROVEEDORES[[#This Row],[retención aplicada]])</f>
        <v>0</v>
      </c>
      <c r="Q272" s="22">
        <f>+PROVEEDORES[[#This Row],[Rete Fuente %]]*(PROVEEDORES[[#This Row],[SUBTOTAL]]-PROVEEDORES[[#This Row],[descuento sobre subtotal]])</f>
        <v>0</v>
      </c>
      <c r="R272" s="21">
        <v>825349</v>
      </c>
      <c r="S27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63">
        <f ca="1">IF(PROVEEDORES[[#This Row],[FECHA DE PAGO]]=0,TODAY()-PROVEEDORES[[#This Row],[FECHA DE FACTURACIÓN]]-PROVEEDORES[[#This Row],[PLAZO Días]],0)</f>
        <v>0</v>
      </c>
      <c r="U272" s="87">
        <f>+VLOOKUP(PROVEEDORES[[#This Row],[PROVEEDOR]],Terceros!$A:$D,4,FALSE)</f>
        <v>0</v>
      </c>
      <c r="V272" s="88">
        <f>+YEAR(PROVEEDORES[[#This Row],[FECHA DE FACTURACIÓN]])</f>
        <v>2022</v>
      </c>
      <c r="W272" s="88">
        <f>+MATCH(PROVEEDORES[[#This Row],[año facturado]],Retenciones!$1:$1,0)</f>
        <v>5</v>
      </c>
      <c r="X272" s="89">
        <f>+VLOOKUP(PROVEEDORES[[#This Row],[ID RETENCION]],Retenciones!$A$1:$O$25,PROVEEDORES[[#This Row],[indicador de columna]],FALSE)</f>
        <v>0</v>
      </c>
      <c r="Y272" s="90">
        <f>+VLOOKUP(PROVEEDORES[[#This Row],[ID RETENCION]],Retenciones!$A$1:$O$25,2,FALSE)</f>
        <v>0</v>
      </c>
      <c r="Z272" s="116" t="b">
        <f>OR(COUNTIF(PROVEEDORES[[#This Row],[PROVEEDOR]],"*"&amp;'Palabra no opera'!$A$2&amp;"*"))</f>
        <v>1</v>
      </c>
      <c r="AA272" s="24"/>
      <c r="AB272" s="24"/>
      <c r="AC272" s="24"/>
      <c r="AD272" s="24"/>
      <c r="AE272" s="24"/>
    </row>
    <row r="273" spans="1:31" ht="22.35" customHeight="1" x14ac:dyDescent="0.3">
      <c r="A273" s="61" t="str">
        <f>+IF(PROVEEDORES[[#This Row],[FECHA DE PAGO]]=PROVEEDORES[[#This Row],[FECHA DE FACTURACIÓN]],"DE CONTADO","CRÉDITO")</f>
        <v>CRÉDITO</v>
      </c>
      <c r="B273" s="38" t="b">
        <f>+IF((PROVEEDORES[[#This Row],[FECHA DE PAGO]]-PROVEEDORES[[#This Row],[FECHA DE FACTURACIÓN]])&gt;PROVEEDORES[[#This Row],[PLAZO Días]],"PAGO VENCIDO")</f>
        <v>0</v>
      </c>
      <c r="C273" s="20">
        <f>+VLOOKUP(PROVEEDORES[[#This Row],[PROVEEDOR]],TERCEROS_INFO[#All],2,FALSE)</f>
        <v>30</v>
      </c>
      <c r="D273" s="25">
        <f>+SUMIFS(PROVEEDORES[Total],PROVEEDORES[PROVEEDOR],PROVEEDORES[[#This Row],[PROVEEDOR]],PROVEEDORES[FECHA DE PAGO],"")</f>
        <v>0</v>
      </c>
      <c r="E273" s="25"/>
      <c r="F273" s="56">
        <f>+VLOOKUP(PROVEEDORES[[#This Row],[PROVEEDOR]],
                       Terceros!$A:$F,
                       5,
                       FALSE)</f>
        <v>0</v>
      </c>
      <c r="G273" s="68">
        <v>44663</v>
      </c>
      <c r="H273" s="26" t="s">
        <v>642</v>
      </c>
      <c r="I273" s="68">
        <v>44652</v>
      </c>
      <c r="J273" s="35" t="s">
        <v>217</v>
      </c>
      <c r="K273" s="21">
        <v>342453</v>
      </c>
      <c r="L273" s="21"/>
      <c r="M273" s="22">
        <f>(PROVEEDORES[[#This Row],[SUBTOTAL]]-PROVEEDORES[[#This Row],[descuento sobre subtotal]])*VLOOKUP(PROVEEDORES[[#This Row],[PROVEEDOR]],TERCEROS_INFO[#All],3,FALSE)</f>
        <v>0</v>
      </c>
      <c r="N273" s="23"/>
      <c r="O273" s="22">
        <f>+PROVEEDORES[[#This Row],[Descuento sobre subtotal %]]*(PROVEEDORES[[#This Row],[SUBTOTAL]]-PROVEEDORES[[#This Row],[descuento sobre subtotal]])</f>
        <v>0</v>
      </c>
      <c r="P273" s="74">
        <f>+IF(PROVEEDORES[[#This Row],[SUBTOTAL]]&lt;PROVEEDORES[[#This Row],[base retencion]],0,PROVEEDORES[[#This Row],[retención aplicada]])</f>
        <v>0</v>
      </c>
      <c r="Q273" s="22">
        <f>+PROVEEDORES[[#This Row],[Rete Fuente %]]*(PROVEEDORES[[#This Row],[SUBTOTAL]]-PROVEEDORES[[#This Row],[descuento sobre subtotal]])</f>
        <v>0</v>
      </c>
      <c r="R273" s="21">
        <v>342453</v>
      </c>
      <c r="S27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63">
        <f ca="1">IF(PROVEEDORES[[#This Row],[FECHA DE PAGO]]=0,TODAY()-PROVEEDORES[[#This Row],[FECHA DE FACTURACIÓN]]-PROVEEDORES[[#This Row],[PLAZO Días]],0)</f>
        <v>0</v>
      </c>
      <c r="U273" s="87">
        <f>+VLOOKUP(PROVEEDORES[[#This Row],[PROVEEDOR]],Terceros!$A:$D,4,FALSE)</f>
        <v>0</v>
      </c>
      <c r="V273" s="88">
        <f>+YEAR(PROVEEDORES[[#This Row],[FECHA DE FACTURACIÓN]])</f>
        <v>2022</v>
      </c>
      <c r="W273" s="88">
        <f>+MATCH(PROVEEDORES[[#This Row],[año facturado]],Retenciones!$1:$1,0)</f>
        <v>5</v>
      </c>
      <c r="X273" s="89">
        <f>+VLOOKUP(PROVEEDORES[[#This Row],[ID RETENCION]],Retenciones!$A$1:$O$25,PROVEEDORES[[#This Row],[indicador de columna]],FALSE)</f>
        <v>0</v>
      </c>
      <c r="Y273" s="90">
        <f>+VLOOKUP(PROVEEDORES[[#This Row],[ID RETENCION]],Retenciones!$A$1:$O$25,2,FALSE)</f>
        <v>0</v>
      </c>
      <c r="Z273" s="116" t="b">
        <f>OR(COUNTIF(PROVEEDORES[[#This Row],[PROVEEDOR]],"*"&amp;'Palabra no opera'!$A$2&amp;"*"))</f>
        <v>1</v>
      </c>
      <c r="AA273" s="24"/>
      <c r="AB273" s="24"/>
      <c r="AC273" s="24"/>
      <c r="AD273" s="24"/>
      <c r="AE273" s="24"/>
    </row>
    <row r="274" spans="1:31" ht="22.35" customHeight="1" x14ac:dyDescent="0.3">
      <c r="A274" s="61" t="str">
        <f>+IF(PROVEEDORES[[#This Row],[FECHA DE PAGO]]=PROVEEDORES[[#This Row],[FECHA DE FACTURACIÓN]],"DE CONTADO","CRÉDITO")</f>
        <v>CRÉDITO</v>
      </c>
      <c r="B274" s="38" t="b">
        <f>+IF((PROVEEDORES[[#This Row],[FECHA DE PAGO]]-PROVEEDORES[[#This Row],[FECHA DE FACTURACIÓN]])&gt;PROVEEDORES[[#This Row],[PLAZO Días]],"PAGO VENCIDO")</f>
        <v>0</v>
      </c>
      <c r="C274" s="20">
        <f>+VLOOKUP(PROVEEDORES[[#This Row],[PROVEEDOR]],TERCEROS_INFO[#All],2,FALSE)</f>
        <v>13</v>
      </c>
      <c r="D274" s="25">
        <f>+SUMIFS(PROVEEDORES[Total],PROVEEDORES[PROVEEDOR],PROVEEDORES[[#This Row],[PROVEEDOR]],PROVEEDORES[FECHA DE PAGO],"")</f>
        <v>0</v>
      </c>
      <c r="E274" s="25"/>
      <c r="F274" s="56">
        <f>+VLOOKUP(PROVEEDORES[[#This Row],[PROVEEDOR]],
                       Terceros!$A:$F,
                       5,
                       FALSE)</f>
        <v>0</v>
      </c>
      <c r="G274" s="68">
        <v>44663</v>
      </c>
      <c r="H274" s="26" t="s">
        <v>644</v>
      </c>
      <c r="I274" s="68">
        <v>44652</v>
      </c>
      <c r="J274" s="35"/>
      <c r="K274" s="21">
        <v>948924</v>
      </c>
      <c r="L274" s="21"/>
      <c r="M274" s="22">
        <f>(PROVEEDORES[[#This Row],[SUBTOTAL]]-PROVEEDORES[[#This Row],[descuento sobre subtotal]])*VLOOKUP(PROVEEDORES[[#This Row],[PROVEEDOR]],TERCEROS_INFO[#All],3,FALSE)</f>
        <v>0</v>
      </c>
      <c r="N274" s="23"/>
      <c r="O274" s="22">
        <f>+PROVEEDORES[[#This Row],[Descuento sobre subtotal %]]*(PROVEEDORES[[#This Row],[SUBTOTAL]]-PROVEEDORES[[#This Row],[descuento sobre subtotal]])</f>
        <v>0</v>
      </c>
      <c r="P274" s="74">
        <f>+IF(PROVEEDORES[[#This Row],[SUBTOTAL]]&lt;PROVEEDORES[[#This Row],[base retencion]],0,PROVEEDORES[[#This Row],[retención aplicada]])</f>
        <v>0</v>
      </c>
      <c r="Q274" s="22">
        <f>+PROVEEDORES[[#This Row],[Rete Fuente %]]*(PROVEEDORES[[#This Row],[SUBTOTAL]]-PROVEEDORES[[#This Row],[descuento sobre subtotal]])</f>
        <v>0</v>
      </c>
      <c r="R274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27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63">
        <f ca="1">IF(PROVEEDORES[[#This Row],[FECHA DE PAGO]]=0,TODAY()-PROVEEDORES[[#This Row],[FECHA DE FACTURACIÓN]]-PROVEEDORES[[#This Row],[PLAZO Días]],0)</f>
        <v>0</v>
      </c>
      <c r="U274" s="87">
        <f>+VLOOKUP(PROVEEDORES[[#This Row],[PROVEEDOR]],Terceros!$A:$D,4,FALSE)</f>
        <v>0</v>
      </c>
      <c r="V274" s="88">
        <f>+YEAR(PROVEEDORES[[#This Row],[FECHA DE FACTURACIÓN]])</f>
        <v>2022</v>
      </c>
      <c r="W274" s="88">
        <f>+MATCH(PROVEEDORES[[#This Row],[año facturado]],Retenciones!$1:$1,0)</f>
        <v>5</v>
      </c>
      <c r="X274" s="89">
        <f>+VLOOKUP(PROVEEDORES[[#This Row],[ID RETENCION]],Retenciones!$A$1:$O$25,PROVEEDORES[[#This Row],[indicador de columna]],FALSE)</f>
        <v>0</v>
      </c>
      <c r="Y274" s="90">
        <f>+VLOOKUP(PROVEEDORES[[#This Row],[ID RETENCION]],Retenciones!$A$1:$O$25,2,FALSE)</f>
        <v>0</v>
      </c>
      <c r="Z274" s="116" t="b">
        <f>OR(COUNTIF(PROVEEDORES[[#This Row],[PROVEEDOR]],"*"&amp;'Palabra no opera'!$A$2&amp;"*"))</f>
        <v>1</v>
      </c>
      <c r="AA274" s="24"/>
      <c r="AB274" s="24"/>
      <c r="AC274" s="24"/>
      <c r="AD274" s="24"/>
      <c r="AE274" s="24"/>
    </row>
    <row r="275" spans="1:31" ht="22.35" customHeight="1" x14ac:dyDescent="0.3">
      <c r="A275" s="127" t="str">
        <f>+IF(PROVEEDORES[[#This Row],[FECHA DE PAGO]]=PROVEEDORES[[#This Row],[FECHA DE FACTURACIÓN]],"DE CONTADO","CRÉDITO")</f>
        <v>CRÉDITO</v>
      </c>
      <c r="B275" s="38" t="b">
        <f>+IF((PROVEEDORES[[#This Row],[FECHA DE PAGO]]-PROVEEDORES[[#This Row],[FECHA DE FACTURACIÓN]])&gt;PROVEEDORES[[#This Row],[PLAZO Días]],"PAGO VENCIDO")</f>
        <v>0</v>
      </c>
      <c r="C275" s="20">
        <f>+VLOOKUP(PROVEEDORES[[#This Row],[PROVEEDOR]],TERCEROS_INFO[#All],2,FALSE)</f>
        <v>30</v>
      </c>
      <c r="D275" s="25">
        <f>+SUMIFS(PROVEEDORES[Total],PROVEEDORES[PROVEEDOR],PROVEEDORES[[#This Row],[PROVEEDOR]],PROVEEDORES[FECHA DE PAGO],"")</f>
        <v>0</v>
      </c>
      <c r="E275" s="25"/>
      <c r="F275" s="56" t="str">
        <f>+VLOOKUP(PROVEEDORES[[#This Row],[PROVEEDOR]],
                       Terceros!$A:$F,
                       5,
                       FALSE)</f>
        <v>PSE</v>
      </c>
      <c r="G275" s="68">
        <v>44669</v>
      </c>
      <c r="H275" s="26" t="s">
        <v>645</v>
      </c>
      <c r="I275" s="68">
        <v>44652</v>
      </c>
      <c r="J275" s="35"/>
      <c r="K275" s="21">
        <v>326243</v>
      </c>
      <c r="L275" s="21"/>
      <c r="M275" s="22">
        <f>(PROVEEDORES[[#This Row],[SUBTOTAL]]-PROVEEDORES[[#This Row],[descuento sobre subtotal]])*VLOOKUP(PROVEEDORES[[#This Row],[PROVEEDOR]],TERCEROS_INFO[#All],3,FALSE)</f>
        <v>0</v>
      </c>
      <c r="N275" s="23"/>
      <c r="O275" s="22">
        <f>+PROVEEDORES[[#This Row],[Descuento sobre subtotal %]]*(PROVEEDORES[[#This Row],[SUBTOTAL]]-PROVEEDORES[[#This Row],[descuento sobre subtotal]])</f>
        <v>0</v>
      </c>
      <c r="P275" s="74">
        <f>+IF(PROVEEDORES[[#This Row],[SUBTOTAL]]&lt;PROVEEDORES[[#This Row],[base retencion]],0,PROVEEDORES[[#This Row],[retención aplicada]])</f>
        <v>0</v>
      </c>
      <c r="Q275" s="22">
        <f>+PROVEEDORES[[#This Row],[Rete Fuente %]]*(PROVEEDORES[[#This Row],[SUBTOTAL]]-PROVEEDORES[[#This Row],[descuento sobre subtotal]])</f>
        <v>0</v>
      </c>
      <c r="R275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275" s="1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63">
        <f ca="1">IF(PROVEEDORES[[#This Row],[FECHA DE PAGO]]=0,TODAY()-PROVEEDORES[[#This Row],[FECHA DE FACTURACIÓN]]-PROVEEDORES[[#This Row],[PLAZO Días]],0)</f>
        <v>0</v>
      </c>
      <c r="U275" s="104">
        <f>+VLOOKUP(PROVEEDORES[[#This Row],[PROVEEDOR]],Terceros!$A:$D,4,FALSE)</f>
        <v>0</v>
      </c>
      <c r="V275" s="105">
        <f>+YEAR(PROVEEDORES[[#This Row],[FECHA DE FACTURACIÓN]])</f>
        <v>2022</v>
      </c>
      <c r="W275" s="105">
        <f>+MATCH(PROVEEDORES[[#This Row],[año facturado]],Retenciones!$1:$1,0)</f>
        <v>5</v>
      </c>
      <c r="X275" s="106">
        <f>+VLOOKUP(PROVEEDORES[[#This Row],[ID RETENCION]],Retenciones!$A$1:$O$25,PROVEEDORES[[#This Row],[indicador de columna]],FALSE)</f>
        <v>0</v>
      </c>
      <c r="Y275" s="107">
        <f>+VLOOKUP(PROVEEDORES[[#This Row],[ID RETENCION]],Retenciones!$A$1:$O$25,2,FALSE)</f>
        <v>0</v>
      </c>
      <c r="Z275" s="116" t="b">
        <f>OR(COUNTIF(PROVEEDORES[[#This Row],[PROVEEDOR]],"*"&amp;'Palabra no opera'!$A$2&amp;"*"))</f>
        <v>1</v>
      </c>
      <c r="AA275" s="24"/>
      <c r="AB275" s="24"/>
      <c r="AC275" s="24"/>
      <c r="AD275" s="24"/>
      <c r="AE275" s="24"/>
    </row>
    <row r="276" spans="1:31" ht="22.35" customHeight="1" x14ac:dyDescent="0.3">
      <c r="A276" s="61" t="str">
        <f>+IF(PROVEEDORES[[#This Row],[FECHA DE PAGO]]=PROVEEDORES[[#This Row],[FECHA DE FACTURACIÓN]],"DE CONTADO","CRÉDITO")</f>
        <v>CRÉDITO</v>
      </c>
      <c r="B276" s="38" t="str">
        <f>+IF((PROVEEDORES[[#This Row],[FECHA DE PAGO]]-PROVEEDORES[[#This Row],[FECHA DE FACTURACIÓN]])&gt;PROVEEDORES[[#This Row],[PLAZO Días]],"PAGO VENCIDO")</f>
        <v>PAGO VENCIDO</v>
      </c>
      <c r="C276" s="20">
        <f>+VLOOKUP(PROVEEDORES[[#This Row],[PROVEEDOR]],TERCEROS_INFO[#All],2,FALSE)</f>
        <v>30</v>
      </c>
      <c r="D276" s="25">
        <f>+SUMIFS(PROVEEDORES[Total],PROVEEDORES[PROVEEDOR],PROVEEDORES[[#This Row],[PROVEEDOR]],PROVEEDORES[FECHA DE PAGO],"")</f>
        <v>1316890.8900000001</v>
      </c>
      <c r="E276" s="25"/>
      <c r="F27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76" s="68">
        <v>44670</v>
      </c>
      <c r="H276" s="26" t="s">
        <v>17</v>
      </c>
      <c r="I276" s="68">
        <v>44634</v>
      </c>
      <c r="J276" s="35">
        <v>1890430</v>
      </c>
      <c r="K276" s="21">
        <v>371000</v>
      </c>
      <c r="L276" s="21"/>
      <c r="M276" s="22">
        <f>(PROVEEDORES[[#This Row],[SUBTOTAL]]-PROVEEDORES[[#This Row],[descuento sobre subtotal]])*VLOOKUP(PROVEEDORES[[#This Row],[PROVEEDOR]],TERCEROS_INFO[#All],3,FALSE)</f>
        <v>70490</v>
      </c>
      <c r="N276" s="23"/>
      <c r="O276" s="22">
        <f>+PROVEEDORES[[#This Row],[Descuento sobre subtotal %]]*(PROVEEDORES[[#This Row],[SUBTOTAL]]-PROVEEDORES[[#This Row],[descuento sobre subtotal]])</f>
        <v>0</v>
      </c>
      <c r="P276" s="74">
        <f>+IF(PROVEEDORES[[#This Row],[SUBTOTAL]]&lt;PROVEEDORES[[#This Row],[base retencion]],0,PROVEEDORES[[#This Row],[retención aplicada]])</f>
        <v>0</v>
      </c>
      <c r="Q276" s="22">
        <f>+PROVEEDORES[[#This Row],[Rete Fuente %]]*(PROVEEDORES[[#This Row],[SUBTOTAL]]-PROVEEDORES[[#This Row],[descuento sobre subtotal]])</f>
        <v>0</v>
      </c>
      <c r="R276" s="21">
        <f>+PROVEEDORES[[#This Row],[SUBTOTAL]]+PROVEEDORES[[#This Row],[IVA 19%]]-PROVEEDORES[[#This Row],[descuento sobre subtotal]]-PROVEEDORES[[#This Row],[Descuento sobre subtotal $2]]-PROVEEDORES[[#This Row],[Rete Fuente $]]</f>
        <v>441490</v>
      </c>
      <c r="S27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63">
        <f ca="1">IF(PROVEEDORES[[#This Row],[FECHA DE PAGO]]=0,TODAY()-PROVEEDORES[[#This Row],[FECHA DE FACTURACIÓN]]-PROVEEDORES[[#This Row],[PLAZO Días]],0)</f>
        <v>0</v>
      </c>
      <c r="U276" s="87">
        <f>+VLOOKUP(PROVEEDORES[[#This Row],[PROVEEDOR]],Terceros!$A:$D,4,FALSE)</f>
        <v>0</v>
      </c>
      <c r="V276" s="88">
        <f>+YEAR(PROVEEDORES[[#This Row],[FECHA DE FACTURACIÓN]])</f>
        <v>2022</v>
      </c>
      <c r="W276" s="88">
        <f>+MATCH(PROVEEDORES[[#This Row],[año facturado]],Retenciones!$1:$1,0)</f>
        <v>5</v>
      </c>
      <c r="X276" s="89">
        <f>+VLOOKUP(PROVEEDORES[[#This Row],[ID RETENCION]],Retenciones!$A$1:$O$25,PROVEEDORES[[#This Row],[indicador de columna]],FALSE)</f>
        <v>0</v>
      </c>
      <c r="Y276" s="90">
        <f>+VLOOKUP(PROVEEDORES[[#This Row],[ID RETENCION]],Retenciones!$A$1:$O$25,2,FALSE)</f>
        <v>0</v>
      </c>
      <c r="Z276" s="116" t="b">
        <f>OR(COUNTIF(PROVEEDORES[[#This Row],[PROVEEDOR]],"*"&amp;'Palabra no opera'!$A$2&amp;"*"))</f>
        <v>0</v>
      </c>
      <c r="AA276" s="24"/>
      <c r="AB276" s="24"/>
      <c r="AC276" s="24"/>
      <c r="AD276" s="24"/>
      <c r="AE276" s="24"/>
    </row>
    <row r="277" spans="1:31" ht="22.35" customHeight="1" x14ac:dyDescent="0.3">
      <c r="A277" s="61" t="str">
        <f>+IF(PROVEEDORES[[#This Row],[FECHA DE PAGO]]=PROVEEDORES[[#This Row],[FECHA DE FACTURACIÓN]],"DE CONTADO","CRÉDITO")</f>
        <v>CRÉDITO</v>
      </c>
      <c r="B277" s="38" t="str">
        <f>+IF((PROVEEDORES[[#This Row],[FECHA DE PAGO]]-PROVEEDORES[[#This Row],[FECHA DE FACTURACIÓN]])&gt;PROVEEDORES[[#This Row],[PLAZO Días]],"PAGO VENCIDO")</f>
        <v>PAGO VENCIDO</v>
      </c>
      <c r="C277" s="20">
        <f>+VLOOKUP(PROVEEDORES[[#This Row],[PROVEEDOR]],TERCEROS_INFO[#All],2,FALSE)</f>
        <v>30</v>
      </c>
      <c r="D277" s="25">
        <f>+SUMIFS(PROVEEDORES[Total],PROVEEDORES[PROVEEDOR],PROVEEDORES[[#This Row],[PROVEEDOR]],PROVEEDORES[FECHA DE PAGO],"")</f>
        <v>2773899.95</v>
      </c>
      <c r="E277" s="25"/>
      <c r="F277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77" s="68">
        <v>44670</v>
      </c>
      <c r="H277" s="26" t="s">
        <v>20</v>
      </c>
      <c r="I277" s="68">
        <v>44615</v>
      </c>
      <c r="J277" s="35">
        <v>6379</v>
      </c>
      <c r="K277" s="21">
        <v>614042</v>
      </c>
      <c r="L277" s="21"/>
      <c r="M277" s="22">
        <v>116667.98</v>
      </c>
      <c r="N277" s="23"/>
      <c r="O277" s="22">
        <v>0</v>
      </c>
      <c r="P277" s="74">
        <f>+IF(PROVEEDORES[[#This Row],[SUBTOTAL]]&lt;PROVEEDORES[[#This Row],[base retencion]],0,PROVEEDORES[[#This Row],[retención aplicada]])</f>
        <v>0</v>
      </c>
      <c r="Q277" s="22">
        <f>+PROVEEDORES[[#This Row],[Rete Fuente %]]*(PROVEEDORES[[#This Row],[SUBTOTAL]]-PROVEEDORES[[#This Row],[descuento sobre subtotal]])</f>
        <v>0</v>
      </c>
      <c r="R277" s="21">
        <v>730709.98</v>
      </c>
      <c r="S27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63">
        <f ca="1">IF(PROVEEDORES[[#This Row],[FECHA DE PAGO]]=0,TODAY()-PROVEEDORES[[#This Row],[FECHA DE FACTURACIÓN]]-PROVEEDORES[[#This Row],[PLAZO Días]],0)</f>
        <v>0</v>
      </c>
      <c r="U277" s="87" t="str">
        <f>+VLOOKUP(PROVEEDORES[[#This Row],[PROVEEDOR]],Terceros!$A:$D,4,FALSE)</f>
        <v>2,5% con base</v>
      </c>
      <c r="V277" s="88">
        <f>+YEAR(PROVEEDORES[[#This Row],[FECHA DE FACTURACIÓN]])</f>
        <v>2022</v>
      </c>
      <c r="W277" s="88">
        <f>+MATCH(PROVEEDORES[[#This Row],[año facturado]],Retenciones!$1:$1,0)</f>
        <v>5</v>
      </c>
      <c r="X277" s="89">
        <f>+VLOOKUP(PROVEEDORES[[#This Row],[ID RETENCION]],Retenciones!$A$1:$O$25,PROVEEDORES[[#This Row],[indicador de columna]],FALSE)</f>
        <v>1026000</v>
      </c>
      <c r="Y277" s="90">
        <f>+VLOOKUP(PROVEEDORES[[#This Row],[ID RETENCION]],Retenciones!$A$1:$O$25,2,FALSE)</f>
        <v>2.5000000000000001E-2</v>
      </c>
      <c r="Z277" s="116" t="b">
        <f>OR(COUNTIF(PROVEEDORES[[#This Row],[PROVEEDOR]],"*"&amp;'Palabra no opera'!$A$2&amp;"*"))</f>
        <v>0</v>
      </c>
      <c r="AA277" s="24"/>
      <c r="AB277" s="24"/>
      <c r="AC277" s="24"/>
      <c r="AD277" s="24"/>
      <c r="AE277" s="24"/>
    </row>
    <row r="278" spans="1:31" ht="22.35" customHeight="1" x14ac:dyDescent="0.3">
      <c r="A278" s="61" t="str">
        <f>+IF(PROVEEDORES[[#This Row],[FECHA DE PAGO]]=PROVEEDORES[[#This Row],[FECHA DE FACTURACIÓN]],"DE CONTADO","CRÉDITO")</f>
        <v>CRÉDITO</v>
      </c>
      <c r="B278" s="38" t="str">
        <f>+IF((PROVEEDORES[[#This Row],[FECHA DE PAGO]]-PROVEEDORES[[#This Row],[FECHA DE FACTURACIÓN]])&gt;PROVEEDORES[[#This Row],[PLAZO Días]],"PAGO VENCIDO")</f>
        <v>PAGO VENCIDO</v>
      </c>
      <c r="C278" s="20">
        <f>+VLOOKUP(PROVEEDORES[[#This Row],[PROVEEDOR]],TERCEROS_INFO[#All],2,FALSE)</f>
        <v>30</v>
      </c>
      <c r="D278" s="25">
        <f>+SUMIFS(PROVEEDORES[Total],PROVEEDORES[PROVEEDOR],PROVEEDORES[[#This Row],[PROVEEDOR]],PROVEEDORES[FECHA DE PAGO],"")</f>
        <v>1316890.8900000001</v>
      </c>
      <c r="E278" s="25"/>
      <c r="F27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78" s="68">
        <v>44670</v>
      </c>
      <c r="H278" s="26" t="s">
        <v>17</v>
      </c>
      <c r="I278" s="68">
        <v>44634</v>
      </c>
      <c r="J278" s="35">
        <v>1890377</v>
      </c>
      <c r="K278" s="21">
        <v>570000</v>
      </c>
      <c r="L278" s="21"/>
      <c r="M278" s="22">
        <f>(PROVEEDORES[[#This Row],[SUBTOTAL]]-PROVEEDORES[[#This Row],[descuento sobre subtotal]])*VLOOKUP(PROVEEDORES[[#This Row],[PROVEEDOR]],TERCEROS_INFO[#All],3,FALSE)</f>
        <v>108300</v>
      </c>
      <c r="N278" s="23"/>
      <c r="O278" s="22">
        <f>+PROVEEDORES[[#This Row],[Descuento sobre subtotal %]]*(PROVEEDORES[[#This Row],[SUBTOTAL]]-PROVEEDORES[[#This Row],[descuento sobre subtotal]])</f>
        <v>0</v>
      </c>
      <c r="P278" s="74">
        <f>+IF(PROVEEDORES[[#This Row],[SUBTOTAL]]&lt;PROVEEDORES[[#This Row],[base retencion]],0,PROVEEDORES[[#This Row],[retención aplicada]])</f>
        <v>0</v>
      </c>
      <c r="Q278" s="22">
        <f>+PROVEEDORES[[#This Row],[Rete Fuente %]]*(PROVEEDORES[[#This Row],[SUBTOTAL]]-PROVEEDORES[[#This Row],[descuento sobre subtotal]])</f>
        <v>0</v>
      </c>
      <c r="R278" s="21">
        <f>+PROVEEDORES[[#This Row],[SUBTOTAL]]+PROVEEDORES[[#This Row],[IVA 19%]]-PROVEEDORES[[#This Row],[descuento sobre subtotal]]-PROVEEDORES[[#This Row],[Descuento sobre subtotal $2]]-PROVEEDORES[[#This Row],[Rete Fuente $]]</f>
        <v>678300</v>
      </c>
      <c r="S27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63">
        <f ca="1">IF(PROVEEDORES[[#This Row],[FECHA DE PAGO]]=0,TODAY()-PROVEEDORES[[#This Row],[FECHA DE FACTURACIÓN]]-PROVEEDORES[[#This Row],[PLAZO Días]],0)</f>
        <v>0</v>
      </c>
      <c r="U278" s="87">
        <f>+VLOOKUP(PROVEEDORES[[#This Row],[PROVEEDOR]],Terceros!$A:$D,4,FALSE)</f>
        <v>0</v>
      </c>
      <c r="V278" s="88">
        <f>+YEAR(PROVEEDORES[[#This Row],[FECHA DE FACTURACIÓN]])</f>
        <v>2022</v>
      </c>
      <c r="W278" s="88">
        <f>+MATCH(PROVEEDORES[[#This Row],[año facturado]],Retenciones!$1:$1,0)</f>
        <v>5</v>
      </c>
      <c r="X278" s="89">
        <f>+VLOOKUP(PROVEEDORES[[#This Row],[ID RETENCION]],Retenciones!$A$1:$O$25,PROVEEDORES[[#This Row],[indicador de columna]],FALSE)</f>
        <v>0</v>
      </c>
      <c r="Y278" s="90">
        <f>+VLOOKUP(PROVEEDORES[[#This Row],[ID RETENCION]],Retenciones!$A$1:$O$25,2,FALSE)</f>
        <v>0</v>
      </c>
      <c r="Z278" s="116" t="b">
        <f>OR(COUNTIF(PROVEEDORES[[#This Row],[PROVEEDOR]],"*"&amp;'Palabra no opera'!$A$2&amp;"*"))</f>
        <v>0</v>
      </c>
      <c r="AA278" s="24"/>
      <c r="AB278" s="24"/>
      <c r="AC278" s="24"/>
      <c r="AD278" s="24"/>
      <c r="AE278" s="24"/>
    </row>
    <row r="279" spans="1:31" ht="22.35" customHeight="1" x14ac:dyDescent="0.3">
      <c r="A279" s="103" t="str">
        <f>+IF(PROVEEDORES[[#This Row],[FECHA DE PAGO]]=PROVEEDORES[[#This Row],[FECHA DE FACTURACIÓN]],"DE CONTADO","CRÉDITO")</f>
        <v>DE CONTADO</v>
      </c>
      <c r="B279" s="38" t="b">
        <f>+IF((PROVEEDORES[[#This Row],[FECHA DE PAGO]]-PROVEEDORES[[#This Row],[FECHA DE FACTURACIÓN]])&gt;PROVEEDORES[[#This Row],[PLAZO Días]],"PAGO VENCIDO")</f>
        <v>0</v>
      </c>
      <c r="C279" s="20">
        <f>+VLOOKUP(PROVEEDORES[[#This Row],[PROVEEDOR]],TERCEROS_INFO[#All],2,FALSE)</f>
        <v>30</v>
      </c>
      <c r="D279" s="25">
        <f>+SUMIFS(PROVEEDORES[Total],PROVEEDORES[PROVEEDOR],PROVEEDORES[[#This Row],[PROVEEDOR]],PROVEEDORES[FECHA DE PAGO],"")</f>
        <v>0</v>
      </c>
      <c r="E279" s="25"/>
      <c r="F279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79" s="68">
        <v>44670</v>
      </c>
      <c r="H279" s="26" t="s">
        <v>1069</v>
      </c>
      <c r="I279" s="68">
        <v>44670</v>
      </c>
      <c r="J279" s="35" t="s">
        <v>592</v>
      </c>
      <c r="K279" s="21">
        <v>201681</v>
      </c>
      <c r="L279" s="21"/>
      <c r="M279" s="22">
        <f>(PROVEEDORES[[#This Row],[SUBTOTAL]]-PROVEEDORES[[#This Row],[descuento sobre subtotal]])*VLOOKUP(PROVEEDORES[[#This Row],[PROVEEDOR]],TERCEROS_INFO[#All],3,FALSE)</f>
        <v>38319.39</v>
      </c>
      <c r="N279" s="23"/>
      <c r="O279" s="22">
        <f>+PROVEEDORES[[#This Row],[Descuento sobre subtotal %]]*(PROVEEDORES[[#This Row],[SUBTOTAL]]-PROVEEDORES[[#This Row],[descuento sobre subtotal]])</f>
        <v>0</v>
      </c>
      <c r="P279" s="74">
        <f>+IF(PROVEEDORES[[#This Row],[SUBTOTAL]]&lt;PROVEEDORES[[#This Row],[base retencion]],0,PROVEEDORES[[#This Row],[retención aplicada]])</f>
        <v>0</v>
      </c>
      <c r="Q279" s="22">
        <f>+PROVEEDORES[[#This Row],[Rete Fuente %]]*(PROVEEDORES[[#This Row],[SUBTOTAL]]-PROVEEDORES[[#This Row],[descuento sobre subtotal]])</f>
        <v>0</v>
      </c>
      <c r="R279" s="21">
        <f>+PROVEEDORES[[#This Row],[SUBTOTAL]]+PROVEEDORES[[#This Row],[IVA 19%]]-PROVEEDORES[[#This Row],[descuento sobre subtotal]]-PROVEEDORES[[#This Row],[Descuento sobre subtotal $2]]-PROVEEDORES[[#This Row],[Rete Fuente $]]</f>
        <v>240000.39</v>
      </c>
      <c r="S279" s="1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63">
        <f ca="1">IF(PROVEEDORES[[#This Row],[FECHA DE PAGO]]=0,TODAY()-PROVEEDORES[[#This Row],[FECHA DE FACTURACIÓN]]-PROVEEDORES[[#This Row],[PLAZO Días]],0)</f>
        <v>0</v>
      </c>
      <c r="U279" s="104" t="str">
        <f>+VLOOKUP(PROVEEDORES[[#This Row],[PROVEEDOR]],Terceros!$A:$D,4,FALSE)</f>
        <v>2,5% con base</v>
      </c>
      <c r="V279" s="105">
        <f>+YEAR(PROVEEDORES[[#This Row],[FECHA DE FACTURACIÓN]])</f>
        <v>2022</v>
      </c>
      <c r="W279" s="105">
        <f>+MATCH(PROVEEDORES[[#This Row],[año facturado]],Retenciones!$1:$1,0)</f>
        <v>5</v>
      </c>
      <c r="X279" s="106">
        <f>+VLOOKUP(PROVEEDORES[[#This Row],[ID RETENCION]],Retenciones!$A$1:$O$25,PROVEEDORES[[#This Row],[indicador de columna]],FALSE)</f>
        <v>1026000</v>
      </c>
      <c r="Y279" s="107">
        <f>+VLOOKUP(PROVEEDORES[[#This Row],[ID RETENCION]],Retenciones!$A$1:$O$25,2,FALSE)</f>
        <v>2.5000000000000001E-2</v>
      </c>
      <c r="Z279" s="116" t="b">
        <f>OR(COUNTIF(PROVEEDORES[[#This Row],[PROVEEDOR]],"*"&amp;'Palabra no opera'!$A$2&amp;"*"))</f>
        <v>0</v>
      </c>
      <c r="AA279" s="24"/>
      <c r="AB279" s="24"/>
      <c r="AC279" s="24"/>
      <c r="AD279" s="24"/>
      <c r="AE279" s="24"/>
    </row>
    <row r="280" spans="1:31" ht="22.35" customHeight="1" x14ac:dyDescent="0.3">
      <c r="A280" s="114" t="str">
        <f>+IF(PROVEEDORES[[#This Row],[FECHA DE PAGO]]=PROVEEDORES[[#This Row],[FECHA DE FACTURACIÓN]],"DE CONTADO","CRÉDITO")</f>
        <v>DE CONTADO</v>
      </c>
      <c r="B280" s="38" t="b">
        <f>+IF((PROVEEDORES[[#This Row],[FECHA DE PAGO]]-PROVEEDORES[[#This Row],[FECHA DE FACTURACIÓN]])&gt;PROVEEDORES[[#This Row],[PLAZO Días]],"PAGO VENCIDO")</f>
        <v>0</v>
      </c>
      <c r="C280" s="20">
        <f>+VLOOKUP(PROVEEDORES[[#This Row],[PROVEEDOR]],TERCEROS_INFO[#All],2,FALSE)</f>
        <v>30</v>
      </c>
      <c r="D280" s="25">
        <f>+SUMIFS(PROVEEDORES[Total],PROVEEDORES[PROVEEDOR],PROVEEDORES[[#This Row],[PROVEEDOR]],PROVEEDORES[FECHA DE PAGO],"")</f>
        <v>0</v>
      </c>
      <c r="E280" s="25"/>
      <c r="F280" s="56">
        <f>+VLOOKUP(PROVEEDORES[[#This Row],[PROVEEDOR]],
                       Terceros!$A:$F,
                       5,
                       FALSE)</f>
        <v>0</v>
      </c>
      <c r="G280" s="68">
        <v>44671</v>
      </c>
      <c r="H280" s="26" t="s">
        <v>361</v>
      </c>
      <c r="I280" s="68">
        <v>44671</v>
      </c>
      <c r="J280" s="35" t="s">
        <v>608</v>
      </c>
      <c r="K280" s="21">
        <v>348000</v>
      </c>
      <c r="L280" s="21"/>
      <c r="M280" s="22">
        <f>(PROVEEDORES[[#This Row],[SUBTOTAL]]-PROVEEDORES[[#This Row],[descuento sobre subtotal]])*VLOOKUP(PROVEEDORES[[#This Row],[PROVEEDOR]],TERCEROS_INFO[#All],3,FALSE)</f>
        <v>0</v>
      </c>
      <c r="N280" s="23"/>
      <c r="O280" s="22">
        <f>+PROVEEDORES[[#This Row],[Descuento sobre subtotal %]]*(PROVEEDORES[[#This Row],[SUBTOTAL]]-PROVEEDORES[[#This Row],[descuento sobre subtotal]])</f>
        <v>0</v>
      </c>
      <c r="P280" s="74">
        <f>+IF(PROVEEDORES[[#This Row],[SUBTOTAL]]&lt;PROVEEDORES[[#This Row],[base retencion]],0,PROVEEDORES[[#This Row],[retención aplicada]])</f>
        <v>0</v>
      </c>
      <c r="Q280" s="22">
        <f>+PROVEEDORES[[#This Row],[Rete Fuente %]]*(PROVEEDORES[[#This Row],[SUBTOTAL]]-PROVEEDORES[[#This Row],[descuento sobre subtotal]])</f>
        <v>0</v>
      </c>
      <c r="R280" s="21">
        <f>+PROVEEDORES[[#This Row],[SUBTOTAL]]+PROVEEDORES[[#This Row],[IVA 19%]]-PROVEEDORES[[#This Row],[descuento sobre subtotal]]-PROVEEDORES[[#This Row],[Descuento sobre subtotal $2]]-PROVEEDORES[[#This Row],[Rete Fuente $]]</f>
        <v>348000</v>
      </c>
      <c r="S280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63">
        <f ca="1">IF(PROVEEDORES[[#This Row],[FECHA DE PAGO]]=0,TODAY()-PROVEEDORES[[#This Row],[FECHA DE FACTURACIÓN]]-PROVEEDORES[[#This Row],[PLAZO Días]],0)</f>
        <v>0</v>
      </c>
      <c r="U280" s="104">
        <f>+VLOOKUP(PROVEEDORES[[#This Row],[PROVEEDOR]],Terceros!$A:$D,4,FALSE)</f>
        <v>0</v>
      </c>
      <c r="V280" s="105">
        <f>+YEAR(PROVEEDORES[[#This Row],[FECHA DE FACTURACIÓN]])</f>
        <v>2022</v>
      </c>
      <c r="W280" s="105">
        <f>+MATCH(PROVEEDORES[[#This Row],[año facturado]],Retenciones!$1:$1,0)</f>
        <v>5</v>
      </c>
      <c r="X280" s="106">
        <f>+VLOOKUP(PROVEEDORES[[#This Row],[ID RETENCION]],Retenciones!$A$1:$O$25,PROVEEDORES[[#This Row],[indicador de columna]],FALSE)</f>
        <v>0</v>
      </c>
      <c r="Y280" s="107">
        <f>+VLOOKUP(PROVEEDORES[[#This Row],[ID RETENCION]],Retenciones!$A$1:$O$25,2,FALSE)</f>
        <v>0</v>
      </c>
      <c r="Z280" s="116" t="b">
        <f>OR(COUNTIF(PROVEEDORES[[#This Row],[PROVEEDOR]],"*"&amp;'Palabra no opera'!$A$2&amp;"*"))</f>
        <v>0</v>
      </c>
      <c r="AA280" s="24"/>
      <c r="AB280" s="24"/>
      <c r="AC280" s="24"/>
      <c r="AD280" s="24"/>
      <c r="AE280" s="24"/>
    </row>
    <row r="281" spans="1:31" ht="22.35" customHeight="1" x14ac:dyDescent="0.3">
      <c r="A281" s="103" t="str">
        <f>+IF(PROVEEDORES[[#This Row],[FECHA DE PAGO]]=PROVEEDORES[[#This Row],[FECHA DE FACTURACIÓN]],"DE CONTADO","CRÉDITO")</f>
        <v>CRÉDITO</v>
      </c>
      <c r="B281" s="38" t="b">
        <f>+IF((PROVEEDORES[[#This Row],[FECHA DE PAGO]]-PROVEEDORES[[#This Row],[FECHA DE FACTURACIÓN]])&gt;PROVEEDORES[[#This Row],[PLAZO Días]],"PAGO VENCIDO")</f>
        <v>0</v>
      </c>
      <c r="C281" s="20">
        <f>+VLOOKUP(PROVEEDORES[[#This Row],[PROVEEDOR]],TERCEROS_INFO[#All],2,FALSE)</f>
        <v>30</v>
      </c>
      <c r="D281" s="25">
        <f>+SUMIFS(PROVEEDORES[Total],PROVEEDORES[PROVEEDOR],PROVEEDORES[[#This Row],[PROVEEDOR]],PROVEEDORES[FECHA DE PAGO],"")</f>
        <v>0</v>
      </c>
      <c r="E281" s="25"/>
      <c r="F281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81" s="68">
        <v>44671</v>
      </c>
      <c r="H281" s="26" t="s">
        <v>966</v>
      </c>
      <c r="I281" s="68">
        <v>44668</v>
      </c>
      <c r="J281" s="35"/>
      <c r="K281" s="21">
        <v>400000</v>
      </c>
      <c r="L281" s="21"/>
      <c r="M281" s="22">
        <f>(PROVEEDORES[[#This Row],[SUBTOTAL]]-PROVEEDORES[[#This Row],[descuento sobre subtotal]])*VLOOKUP(PROVEEDORES[[#This Row],[PROVEEDOR]],TERCEROS_INFO[#All],3,FALSE)</f>
        <v>0</v>
      </c>
      <c r="N281" s="23"/>
      <c r="O281" s="22">
        <f>+PROVEEDORES[[#This Row],[Descuento sobre subtotal %]]*(PROVEEDORES[[#This Row],[SUBTOTAL]]-PROVEEDORES[[#This Row],[descuento sobre subtotal]])</f>
        <v>0</v>
      </c>
      <c r="P281" s="74">
        <f>+IF(PROVEEDORES[[#This Row],[SUBTOTAL]]&lt;PROVEEDORES[[#This Row],[base retencion]],0,PROVEEDORES[[#This Row],[retención aplicada]])</f>
        <v>0</v>
      </c>
      <c r="Q281" s="22">
        <f>+PROVEEDORES[[#This Row],[Rete Fuente %]]*(PROVEEDORES[[#This Row],[SUBTOTAL]]-PROVEEDORES[[#This Row],[descuento sobre subtotal]])</f>
        <v>0</v>
      </c>
      <c r="R281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81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63">
        <f ca="1">IF(PROVEEDORES[[#This Row],[FECHA DE PAGO]]=0,TODAY()-PROVEEDORES[[#This Row],[FECHA DE FACTURACIÓN]]-PROVEEDORES[[#This Row],[PLAZO Días]],0)</f>
        <v>0</v>
      </c>
      <c r="U281" s="104">
        <f>+VLOOKUP(PROVEEDORES[[#This Row],[PROVEEDOR]],Terceros!$A:$D,4,FALSE)</f>
        <v>0</v>
      </c>
      <c r="V281" s="105">
        <f>+YEAR(PROVEEDORES[[#This Row],[FECHA DE FACTURACIÓN]])</f>
        <v>2022</v>
      </c>
      <c r="W281" s="105">
        <f>+MATCH(PROVEEDORES[[#This Row],[año facturado]],Retenciones!$1:$1,0)</f>
        <v>5</v>
      </c>
      <c r="X281" s="106">
        <f>+VLOOKUP(PROVEEDORES[[#This Row],[ID RETENCION]],Retenciones!$A$1:$O$25,PROVEEDORES[[#This Row],[indicador de columna]],FALSE)</f>
        <v>0</v>
      </c>
      <c r="Y281" s="107">
        <f>+VLOOKUP(PROVEEDORES[[#This Row],[ID RETENCION]],Retenciones!$A$1:$O$25,2,FALSE)</f>
        <v>0</v>
      </c>
      <c r="Z281" s="116" t="b">
        <f>OR(COUNTIF(PROVEEDORES[[#This Row],[PROVEEDOR]],"*"&amp;'Palabra no opera'!$A$2&amp;"*"))</f>
        <v>0</v>
      </c>
      <c r="AA281" s="24"/>
      <c r="AB281" s="24"/>
      <c r="AC281" s="24"/>
      <c r="AD281" s="24"/>
      <c r="AE281" s="24"/>
    </row>
    <row r="282" spans="1:31" ht="22.35" customHeight="1" x14ac:dyDescent="0.3">
      <c r="A282" s="61" t="str">
        <f>+IF(PROVEEDORES[[#This Row],[FECHA DE PAGO]]=PROVEEDORES[[#This Row],[FECHA DE FACTURACIÓN]],"DE CONTADO","CRÉDITO")</f>
        <v>CRÉDITO</v>
      </c>
      <c r="B282" s="38" t="str">
        <f>+IF((PROVEEDORES[[#This Row],[FECHA DE PAGO]]-PROVEEDORES[[#This Row],[FECHA DE FACTURACIÓN]])&gt;PROVEEDORES[[#This Row],[PLAZO Días]],"PAGO VENCIDO")</f>
        <v>PAGO VENCIDO</v>
      </c>
      <c r="C282" s="20">
        <f>+VLOOKUP(PROVEEDORES[[#This Row],[PROVEEDOR]],TERCEROS_INFO[#All],2,FALSE)</f>
        <v>30</v>
      </c>
      <c r="D282" s="25">
        <f>+SUMIFS(PROVEEDORES[Total],PROVEEDORES[PROVEEDOR],PROVEEDORES[[#This Row],[PROVEEDOR]],PROVEEDORES[FECHA DE PAGO],"")</f>
        <v>0</v>
      </c>
      <c r="E282" s="25"/>
      <c r="F282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82" s="68">
        <v>44671</v>
      </c>
      <c r="H282" s="26" t="s">
        <v>387</v>
      </c>
      <c r="I282" s="68">
        <v>44588</v>
      </c>
      <c r="J282" s="35" t="s">
        <v>997</v>
      </c>
      <c r="K282" s="21">
        <v>148000</v>
      </c>
      <c r="L282" s="21"/>
      <c r="M282" s="22">
        <f>(PROVEEDORES[[#This Row],[SUBTOTAL]]-PROVEEDORES[[#This Row],[descuento sobre subtotal]])*VLOOKUP(PROVEEDORES[[#This Row],[PROVEEDOR]],TERCEROS_INFO[#All],3,FALSE)</f>
        <v>0</v>
      </c>
      <c r="N282" s="23"/>
      <c r="O282" s="22">
        <f>+PROVEEDORES[[#This Row],[Descuento sobre subtotal %]]*(PROVEEDORES[[#This Row],[SUBTOTAL]]-PROVEEDORES[[#This Row],[descuento sobre subtotal]])</f>
        <v>0</v>
      </c>
      <c r="P282" s="74">
        <f>+IF(PROVEEDORES[[#This Row],[SUBTOTAL]]&lt;PROVEEDORES[[#This Row],[base retencion]],0,PROVEEDORES[[#This Row],[retención aplicada]])</f>
        <v>0</v>
      </c>
      <c r="Q282" s="22">
        <f>+PROVEEDORES[[#This Row],[Rete Fuente %]]*(PROVEEDORES[[#This Row],[SUBTOTAL]]-PROVEEDORES[[#This Row],[descuento sobre subtotal]])</f>
        <v>0</v>
      </c>
      <c r="R282" s="21">
        <f>+PROVEEDORES[[#This Row],[SUBTOTAL]]+PROVEEDORES[[#This Row],[IVA 19%]]-PROVEEDORES[[#This Row],[descuento sobre subtotal]]-PROVEEDORES[[#This Row],[Descuento sobre subtotal $2]]-PROVEEDORES[[#This Row],[Rete Fuente $]]</f>
        <v>148000</v>
      </c>
      <c r="S28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63">
        <f ca="1">IF(PROVEEDORES[[#This Row],[FECHA DE PAGO]]=0,TODAY()-PROVEEDORES[[#This Row],[FECHA DE FACTURACIÓN]]-PROVEEDORES[[#This Row],[PLAZO Días]],0)</f>
        <v>0</v>
      </c>
      <c r="U282" s="87">
        <f>+VLOOKUP(PROVEEDORES[[#This Row],[PROVEEDOR]],Terceros!$A:$D,4,FALSE)</f>
        <v>0</v>
      </c>
      <c r="V282" s="88">
        <f>+YEAR(PROVEEDORES[[#This Row],[FECHA DE FACTURACIÓN]])</f>
        <v>2022</v>
      </c>
      <c r="W282" s="88">
        <f>+MATCH(PROVEEDORES[[#This Row],[año facturado]],Retenciones!$1:$1,0)</f>
        <v>5</v>
      </c>
      <c r="X282" s="89">
        <f>+VLOOKUP(PROVEEDORES[[#This Row],[ID RETENCION]],Retenciones!$A$1:$O$25,PROVEEDORES[[#This Row],[indicador de columna]],FALSE)</f>
        <v>0</v>
      </c>
      <c r="Y282" s="90">
        <f>+VLOOKUP(PROVEEDORES[[#This Row],[ID RETENCION]],Retenciones!$A$1:$O$25,2,FALSE)</f>
        <v>0</v>
      </c>
      <c r="Z282" s="116" t="b">
        <f>OR(COUNTIF(PROVEEDORES[[#This Row],[PROVEEDOR]],"*"&amp;'Palabra no opera'!$A$2&amp;"*"))</f>
        <v>0</v>
      </c>
      <c r="AA282" s="24"/>
      <c r="AB282" s="24"/>
      <c r="AC282" s="24"/>
      <c r="AD282" s="24"/>
      <c r="AE282" s="24"/>
    </row>
    <row r="283" spans="1:31" ht="22.35" customHeight="1" x14ac:dyDescent="0.3">
      <c r="A283" s="103" t="str">
        <f>+IF(PROVEEDORES[[#This Row],[FECHA DE PAGO]]=PROVEEDORES[[#This Row],[FECHA DE FACTURACIÓN]],"DE CONTADO","CRÉDITO")</f>
        <v>CRÉDITO</v>
      </c>
      <c r="B283" s="38" t="str">
        <f>+IF((PROVEEDORES[[#This Row],[FECHA DE PAGO]]-PROVEEDORES[[#This Row],[FECHA DE FACTURACIÓN]])&gt;PROVEEDORES[[#This Row],[PLAZO Días]],"PAGO VENCIDO")</f>
        <v>PAGO VENCIDO</v>
      </c>
      <c r="C283" s="20">
        <f>+VLOOKUP(PROVEEDORES[[#This Row],[PROVEEDOR]],TERCEROS_INFO[#All],2,FALSE)</f>
        <v>30</v>
      </c>
      <c r="D283" s="25">
        <f>+SUMIFS(PROVEEDORES[Total],PROVEEDORES[PROVEEDOR],PROVEEDORES[[#This Row],[PROVEEDOR]],PROVEEDORES[FECHA DE PAGO],"")</f>
        <v>680000</v>
      </c>
      <c r="E283" s="25"/>
      <c r="F28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83" s="68">
        <v>44671</v>
      </c>
      <c r="H283" s="26" t="s">
        <v>412</v>
      </c>
      <c r="I283" s="68">
        <v>44511</v>
      </c>
      <c r="J283" s="35" t="s">
        <v>971</v>
      </c>
      <c r="K283" s="21">
        <v>1306000</v>
      </c>
      <c r="L283" s="21"/>
      <c r="M283" s="22">
        <f>(PROVEEDORES[[#This Row],[SUBTOTAL]]-PROVEEDORES[[#This Row],[descuento sobre subtotal]])*VLOOKUP(PROVEEDORES[[#This Row],[PROVEEDOR]],TERCEROS_INFO[#All],3,FALSE)</f>
        <v>0</v>
      </c>
      <c r="N283" s="23"/>
      <c r="O283" s="22">
        <f>+PROVEEDORES[[#This Row],[Descuento sobre subtotal %]]*(PROVEEDORES[[#This Row],[SUBTOTAL]]-PROVEEDORES[[#This Row],[descuento sobre subtotal]])</f>
        <v>0</v>
      </c>
      <c r="P283" s="74">
        <f>+IF(PROVEEDORES[[#This Row],[SUBTOTAL]]&lt;PROVEEDORES[[#This Row],[base retencion]],0,PROVEEDORES[[#This Row],[retención aplicada]])</f>
        <v>0</v>
      </c>
      <c r="Q283" s="22">
        <f>+PROVEEDORES[[#This Row],[Rete Fuente %]]*(PROVEEDORES[[#This Row],[SUBTOTAL]]-PROVEEDORES[[#This Row],[descuento sobre subtotal]])</f>
        <v>0</v>
      </c>
      <c r="R283" s="21">
        <f>+PROVEEDORES[[#This Row],[SUBTOTAL]]+PROVEEDORES[[#This Row],[IVA 19%]]-PROVEEDORES[[#This Row],[descuento sobre subtotal]]-PROVEEDORES[[#This Row],[Descuento sobre subtotal $2]]-PROVEEDORES[[#This Row],[Rete Fuente $]]</f>
        <v>1306000</v>
      </c>
      <c r="S283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63">
        <f ca="1">IF(PROVEEDORES[[#This Row],[FECHA DE PAGO]]=0,TODAY()-PROVEEDORES[[#This Row],[FECHA DE FACTURACIÓN]]-PROVEEDORES[[#This Row],[PLAZO Días]],0)</f>
        <v>0</v>
      </c>
      <c r="U283" s="104">
        <f>+VLOOKUP(PROVEEDORES[[#This Row],[PROVEEDOR]],Terceros!$A:$D,4,FALSE)</f>
        <v>0</v>
      </c>
      <c r="V283" s="105">
        <f>+YEAR(PROVEEDORES[[#This Row],[FECHA DE FACTURACIÓN]])</f>
        <v>2021</v>
      </c>
      <c r="W283" s="105">
        <f>+MATCH(PROVEEDORES[[#This Row],[año facturado]],Retenciones!$1:$1,0)</f>
        <v>4</v>
      </c>
      <c r="X283" s="106">
        <f>+VLOOKUP(PROVEEDORES[[#This Row],[ID RETENCION]],Retenciones!$A$1:$O$25,PROVEEDORES[[#This Row],[indicador de columna]],FALSE)</f>
        <v>0</v>
      </c>
      <c r="Y283" s="107">
        <f>+VLOOKUP(PROVEEDORES[[#This Row],[ID RETENCION]],Retenciones!$A$1:$O$25,2,FALSE)</f>
        <v>0</v>
      </c>
      <c r="Z283" s="116" t="b">
        <f>OR(COUNTIF(PROVEEDORES[[#This Row],[PROVEEDOR]],"*"&amp;'Palabra no opera'!$A$2&amp;"*"))</f>
        <v>0</v>
      </c>
      <c r="AA283" s="24"/>
      <c r="AB283" s="24"/>
      <c r="AC283" s="24"/>
      <c r="AD283" s="24"/>
      <c r="AE283" s="24"/>
    </row>
    <row r="284" spans="1:31" ht="22.35" customHeight="1" x14ac:dyDescent="0.3">
      <c r="A284" s="103" t="str">
        <f>+IF(PROVEEDORES[[#This Row],[FECHA DE PAGO]]=PROVEEDORES[[#This Row],[FECHA DE FACTURACIÓN]],"DE CONTADO","CRÉDITO")</f>
        <v>DE CONTADO</v>
      </c>
      <c r="B284" s="38" t="b">
        <f>+IF((PROVEEDORES[[#This Row],[FECHA DE PAGO]]-PROVEEDORES[[#This Row],[FECHA DE FACTURACIÓN]])&gt;PROVEEDORES[[#This Row],[PLAZO Días]],"PAGO VENCIDO")</f>
        <v>0</v>
      </c>
      <c r="C284" s="20">
        <f>+VLOOKUP(PROVEEDORES[[#This Row],[PROVEEDOR]],TERCEROS_INFO[#All],2,FALSE)</f>
        <v>30</v>
      </c>
      <c r="D284" s="25">
        <f>+SUMIFS(PROVEEDORES[Total],PROVEEDORES[PROVEEDOR],PROVEEDORES[[#This Row],[PROVEEDOR]],PROVEEDORES[FECHA DE PAGO],"")</f>
        <v>0</v>
      </c>
      <c r="E284" s="25"/>
      <c r="F284" s="56" t="str">
        <f>+VLOOKUP(PROVEEDORES[[#This Row],[PROVEEDOR]],
                       Terceros!$A:$F,
                       5,
                       FALSE)</f>
        <v/>
      </c>
      <c r="G284" s="68">
        <v>44673</v>
      </c>
      <c r="H284" s="26" t="s">
        <v>390</v>
      </c>
      <c r="I284" s="68">
        <v>44673</v>
      </c>
      <c r="J284" s="35"/>
      <c r="K284" s="21">
        <v>1000000</v>
      </c>
      <c r="L284" s="21"/>
      <c r="M284" s="22">
        <f>(PROVEEDORES[[#This Row],[SUBTOTAL]]-PROVEEDORES[[#This Row],[descuento sobre subtotal]])*VLOOKUP(PROVEEDORES[[#This Row],[PROVEEDOR]],TERCEROS_INFO[#All],3,FALSE)</f>
        <v>0</v>
      </c>
      <c r="N284" s="23"/>
      <c r="O284" s="22">
        <f>+PROVEEDORES[[#This Row],[Descuento sobre subtotal %]]*(PROVEEDORES[[#This Row],[SUBTOTAL]]-PROVEEDORES[[#This Row],[descuento sobre subtotal]])</f>
        <v>0</v>
      </c>
      <c r="P284" s="74">
        <f>+IF(PROVEEDORES[[#This Row],[SUBTOTAL]]&lt;PROVEEDORES[[#This Row],[base retencion]],0,PROVEEDORES[[#This Row],[retención aplicada]])</f>
        <v>0</v>
      </c>
      <c r="Q284" s="22">
        <f>+PROVEEDORES[[#This Row],[Rete Fuente %]]*(PROVEEDORES[[#This Row],[SUBTOTAL]]-PROVEEDORES[[#This Row],[descuento sobre subtotal]])</f>
        <v>0</v>
      </c>
      <c r="R28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84" s="1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63">
        <f ca="1">IF(PROVEEDORES[[#This Row],[FECHA DE PAGO]]=0,TODAY()-PROVEEDORES[[#This Row],[FECHA DE FACTURACIÓN]]-PROVEEDORES[[#This Row],[PLAZO Días]],0)</f>
        <v>0</v>
      </c>
      <c r="U284" s="104">
        <f>+VLOOKUP(PROVEEDORES[[#This Row],[PROVEEDOR]],Terceros!$A:$D,4,FALSE)</f>
        <v>0</v>
      </c>
      <c r="V284" s="105">
        <f>+YEAR(PROVEEDORES[[#This Row],[FECHA DE FACTURACIÓN]])</f>
        <v>2022</v>
      </c>
      <c r="W284" s="105">
        <f>+MATCH(PROVEEDORES[[#This Row],[año facturado]],Retenciones!$1:$1,0)</f>
        <v>5</v>
      </c>
      <c r="X284" s="106">
        <f>+VLOOKUP(PROVEEDORES[[#This Row],[ID RETENCION]],Retenciones!$A$1:$O$25,PROVEEDORES[[#This Row],[indicador de columna]],FALSE)</f>
        <v>0</v>
      </c>
      <c r="Y284" s="107">
        <f>+VLOOKUP(PROVEEDORES[[#This Row],[ID RETENCION]],Retenciones!$A$1:$O$25,2,FALSE)</f>
        <v>0</v>
      </c>
      <c r="Z284" s="116" t="b">
        <f>OR(COUNTIF(PROVEEDORES[[#This Row],[PROVEEDOR]],"*"&amp;'Palabra no opera'!$A$2&amp;"*"))</f>
        <v>0</v>
      </c>
      <c r="AA284" s="24"/>
      <c r="AB284" s="24"/>
      <c r="AC284" s="24"/>
      <c r="AD284" s="24"/>
      <c r="AE284" s="24"/>
    </row>
    <row r="285" spans="1:31" ht="22.35" customHeight="1" x14ac:dyDescent="0.3">
      <c r="A285" s="61" t="str">
        <f>+IF(PROVEEDORES[[#This Row],[FECHA DE PAGO]]=PROVEEDORES[[#This Row],[FECHA DE FACTURACIÓN]],"DE CONTADO","CRÉDITO")</f>
        <v>CRÉDITO</v>
      </c>
      <c r="B285" s="38" t="b">
        <f>+IF((PROVEEDORES[[#This Row],[FECHA DE PAGO]]-PROVEEDORES[[#This Row],[FECHA DE FACTURACIÓN]])&gt;PROVEEDORES[[#This Row],[PLAZO Días]],"PAGO VENCIDO")</f>
        <v>0</v>
      </c>
      <c r="C285" s="20">
        <f>+VLOOKUP(PROVEEDORES[[#This Row],[PROVEEDOR]],TERCEROS_INFO[#All],2,FALSE)</f>
        <v>30</v>
      </c>
      <c r="D285" s="25">
        <f>+SUMIFS(PROVEEDORES[Total],PROVEEDORES[PROVEEDOR],PROVEEDORES[[#This Row],[PROVEEDOR]],PROVEEDORES[FECHA DE PAGO],"")</f>
        <v>0</v>
      </c>
      <c r="E285" s="25"/>
      <c r="F285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85" s="68">
        <v>44673</v>
      </c>
      <c r="H285" s="26" t="s">
        <v>257</v>
      </c>
      <c r="I285" s="68">
        <v>44648</v>
      </c>
      <c r="J285" s="35">
        <v>28</v>
      </c>
      <c r="K285" s="21">
        <v>3480500</v>
      </c>
      <c r="L285" s="21"/>
      <c r="M285" s="22">
        <f>(PROVEEDORES[[#This Row],[SUBTOTAL]]-PROVEEDORES[[#This Row],[descuento sobre subtotal]])*VLOOKUP(PROVEEDORES[[#This Row],[PROVEEDOR]],TERCEROS_INFO[#All],3,FALSE)</f>
        <v>661295</v>
      </c>
      <c r="N285" s="23"/>
      <c r="O285" s="22">
        <f>+PROVEEDORES[[#This Row],[Descuento sobre subtotal %]]*(PROVEEDORES[[#This Row],[SUBTOTAL]]-PROVEEDORES[[#This Row],[descuento sobre subtotal]])</f>
        <v>0</v>
      </c>
      <c r="P285" s="74">
        <f>+IF(PROVEEDORES[[#This Row],[SUBTOTAL]]&lt;PROVEEDORES[[#This Row],[base retencion]],0,PROVEEDORES[[#This Row],[retención aplicada]])</f>
        <v>2.5000000000000001E-2</v>
      </c>
      <c r="Q285" s="22">
        <f>+PROVEEDORES[[#This Row],[Rete Fuente %]]*(PROVEEDORES[[#This Row],[SUBTOTAL]]-PROVEEDORES[[#This Row],[descuento sobre subtotal]])</f>
        <v>87012.5</v>
      </c>
      <c r="R285" s="21">
        <f>+PROVEEDORES[[#This Row],[SUBTOTAL]]+PROVEEDORES[[#This Row],[IVA 19%]]-PROVEEDORES[[#This Row],[descuento sobre subtotal]]-PROVEEDORES[[#This Row],[Descuento sobre subtotal $2]]-PROVEEDORES[[#This Row],[Rete Fuente $]]</f>
        <v>4054782.5</v>
      </c>
      <c r="S28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63">
        <f ca="1">IF(PROVEEDORES[[#This Row],[FECHA DE PAGO]]=0,TODAY()-PROVEEDORES[[#This Row],[FECHA DE FACTURACIÓN]]-PROVEEDORES[[#This Row],[PLAZO Días]],0)</f>
        <v>0</v>
      </c>
      <c r="U285" s="87" t="str">
        <f>+VLOOKUP(PROVEEDORES[[#This Row],[PROVEEDOR]],Terceros!$A:$D,4,FALSE)</f>
        <v>2,5% con base</v>
      </c>
      <c r="V285" s="88">
        <f>+YEAR(PROVEEDORES[[#This Row],[FECHA DE FACTURACIÓN]])</f>
        <v>2022</v>
      </c>
      <c r="W285" s="88">
        <f>+MATCH(PROVEEDORES[[#This Row],[año facturado]],Retenciones!$1:$1,0)</f>
        <v>5</v>
      </c>
      <c r="X285" s="89">
        <f>+VLOOKUP(PROVEEDORES[[#This Row],[ID RETENCION]],Retenciones!$A$1:$O$25,PROVEEDORES[[#This Row],[indicador de columna]],FALSE)</f>
        <v>1026000</v>
      </c>
      <c r="Y285" s="90">
        <f>+VLOOKUP(PROVEEDORES[[#This Row],[ID RETENCION]],Retenciones!$A$1:$O$25,2,FALSE)</f>
        <v>2.5000000000000001E-2</v>
      </c>
      <c r="Z285" s="116" t="b">
        <f>OR(COUNTIF(PROVEEDORES[[#This Row],[PROVEEDOR]],"*"&amp;'Palabra no opera'!$A$2&amp;"*"))</f>
        <v>0</v>
      </c>
      <c r="AA285" s="24"/>
      <c r="AB285" s="24"/>
      <c r="AC285" s="24"/>
      <c r="AD285" s="24"/>
      <c r="AE285" s="24"/>
    </row>
    <row r="286" spans="1:31" ht="22.35" customHeight="1" x14ac:dyDescent="0.3">
      <c r="A286" s="61" t="str">
        <f>+IF(PROVEEDORES[[#This Row],[FECHA DE PAGO]]=PROVEEDORES[[#This Row],[FECHA DE FACTURACIÓN]],"DE CONTADO","CRÉDITO")</f>
        <v>CRÉDITO</v>
      </c>
      <c r="B286" s="38" t="str">
        <f>+IF((PROVEEDORES[[#This Row],[FECHA DE PAGO]]-PROVEEDORES[[#This Row],[FECHA DE FACTURACIÓN]])&gt;PROVEEDORES[[#This Row],[PLAZO Días]],"PAGO VENCIDO")</f>
        <v>PAGO VENCIDO</v>
      </c>
      <c r="C286" s="20">
        <f>+VLOOKUP(PROVEEDORES[[#This Row],[PROVEEDOR]],TERCEROS_INFO[#All],2,FALSE)</f>
        <v>60</v>
      </c>
      <c r="D286" s="25">
        <f>+SUMIFS(PROVEEDORES[Total],PROVEEDORES[PROVEEDOR],PROVEEDORES[[#This Row],[PROVEEDOR]],PROVEEDORES[FECHA DE PAGO],"")</f>
        <v>0</v>
      </c>
      <c r="E286" s="25"/>
      <c r="F286" s="56">
        <f>+VLOOKUP(PROVEEDORES[[#This Row],[PROVEEDOR]],
                       Terceros!$A:$F,
                       5,
                       FALSE)</f>
        <v>0</v>
      </c>
      <c r="G286" s="68">
        <v>44676</v>
      </c>
      <c r="H286" s="26" t="s">
        <v>951</v>
      </c>
      <c r="I286" s="68">
        <v>44591</v>
      </c>
      <c r="J286" s="35" t="s">
        <v>488</v>
      </c>
      <c r="K286" s="21">
        <v>7278800</v>
      </c>
      <c r="L286" s="21"/>
      <c r="M286" s="22">
        <f>(PROVEEDORES[[#This Row],[SUBTOTAL]]-PROVEEDORES[[#This Row],[descuento sobre subtotal]])*VLOOKUP(PROVEEDORES[[#This Row],[PROVEEDOR]],TERCEROS_INFO[#All],3,FALSE)</f>
        <v>1382972</v>
      </c>
      <c r="N286" s="23"/>
      <c r="O286" s="22">
        <f>+PROVEEDORES[[#This Row],[Descuento sobre subtotal %]]*(PROVEEDORES[[#This Row],[SUBTOTAL]]-PROVEEDORES[[#This Row],[descuento sobre subtotal]])</f>
        <v>0</v>
      </c>
      <c r="P286" s="74">
        <f>+IF(PROVEEDORES[[#This Row],[SUBTOTAL]]&lt;PROVEEDORES[[#This Row],[base retencion]],0,PROVEEDORES[[#This Row],[retención aplicada]])</f>
        <v>0</v>
      </c>
      <c r="Q286" s="22">
        <f>+PROVEEDORES[[#This Row],[Rete Fuente %]]*(PROVEEDORES[[#This Row],[SUBTOTAL]]-PROVEEDORES[[#This Row],[descuento sobre subtotal]])</f>
        <v>0</v>
      </c>
      <c r="R286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28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63">
        <f ca="1">IF(PROVEEDORES[[#This Row],[FECHA DE PAGO]]=0,TODAY()-PROVEEDORES[[#This Row],[FECHA DE FACTURACIÓN]]-PROVEEDORES[[#This Row],[PLAZO Días]],0)</f>
        <v>0</v>
      </c>
      <c r="U286" s="87">
        <f>+VLOOKUP(PROVEEDORES[[#This Row],[PROVEEDOR]],Terceros!$A:$D,4,FALSE)</f>
        <v>0</v>
      </c>
      <c r="V286" s="88">
        <f>+YEAR(PROVEEDORES[[#This Row],[FECHA DE FACTURACIÓN]])</f>
        <v>2022</v>
      </c>
      <c r="W286" s="88">
        <f>+MATCH(PROVEEDORES[[#This Row],[año facturado]],Retenciones!$1:$1,0)</f>
        <v>5</v>
      </c>
      <c r="X286" s="89">
        <f>+VLOOKUP(PROVEEDORES[[#This Row],[ID RETENCION]],Retenciones!$A$1:$O$25,PROVEEDORES[[#This Row],[indicador de columna]],FALSE)</f>
        <v>0</v>
      </c>
      <c r="Y286" s="90">
        <f>+VLOOKUP(PROVEEDORES[[#This Row],[ID RETENCION]],Retenciones!$A$1:$O$25,2,FALSE)</f>
        <v>0</v>
      </c>
      <c r="Z286" s="116" t="b">
        <f>OR(COUNTIF(PROVEEDORES[[#This Row],[PROVEEDOR]],"*"&amp;'Palabra no opera'!$A$2&amp;"*"))</f>
        <v>1</v>
      </c>
      <c r="AA286" s="24"/>
      <c r="AB286" s="24"/>
      <c r="AC286" s="24"/>
      <c r="AD286" s="24"/>
      <c r="AE286" s="24"/>
    </row>
    <row r="287" spans="1:31" ht="22.35" customHeight="1" x14ac:dyDescent="0.3">
      <c r="A287" s="103" t="str">
        <f>+IF(PROVEEDORES[[#This Row],[FECHA DE PAGO]]=PROVEEDORES[[#This Row],[FECHA DE FACTURACIÓN]],"DE CONTADO","CRÉDITO")</f>
        <v>CRÉDITO</v>
      </c>
      <c r="B287" s="38" t="str">
        <f>+IF((PROVEEDORES[[#This Row],[FECHA DE PAGO]]-PROVEEDORES[[#This Row],[FECHA DE FACTURACIÓN]])&gt;PROVEEDORES[[#This Row],[PLAZO Días]],"PAGO VENCIDO")</f>
        <v>PAGO VENCIDO</v>
      </c>
      <c r="C287" s="20">
        <f>+VLOOKUP(PROVEEDORES[[#This Row],[PROVEEDOR]],TERCEROS_INFO[#All],2,FALSE)</f>
        <v>45</v>
      </c>
      <c r="D287" s="25">
        <f>+SUMIFS(PROVEEDORES[Total],PROVEEDORES[PROVEEDOR],PROVEEDORES[[#This Row],[PROVEEDOR]],PROVEEDORES[FECHA DE PAGO],"")</f>
        <v>15770594</v>
      </c>
      <c r="E287" s="25"/>
      <c r="F28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87" s="68">
        <v>44676</v>
      </c>
      <c r="H287" s="26" t="s">
        <v>19</v>
      </c>
      <c r="I287" s="68">
        <v>44622</v>
      </c>
      <c r="J287" s="35" t="s">
        <v>591</v>
      </c>
      <c r="K287" s="21">
        <v>14220800</v>
      </c>
      <c r="L287" s="21"/>
      <c r="M287" s="22">
        <f>(PROVEEDORES[[#This Row],[SUBTOTAL]]-PROVEEDORES[[#This Row],[descuento sobre subtotal]])*VLOOKUP(PROVEEDORES[[#This Row],[PROVEEDOR]],TERCEROS_INFO[#All],3,FALSE)</f>
        <v>2701952</v>
      </c>
      <c r="N287" s="23"/>
      <c r="O287" s="22">
        <f>+PROVEEDORES[[#This Row],[Descuento sobre subtotal %]]*(PROVEEDORES[[#This Row],[SUBTOTAL]]-PROVEEDORES[[#This Row],[descuento sobre subtotal]])</f>
        <v>0</v>
      </c>
      <c r="P287" s="74">
        <f>+IF(PROVEEDORES[[#This Row],[SUBTOTAL]]&lt;PROVEEDORES[[#This Row],[base retencion]],0,PROVEEDORES[[#This Row],[retención aplicada]])</f>
        <v>0</v>
      </c>
      <c r="Q287" s="22">
        <f>+PROVEEDORES[[#This Row],[Rete Fuente %]]*(PROVEEDORES[[#This Row],[SUBTOTAL]]-PROVEEDORES[[#This Row],[descuento sobre subtotal]])</f>
        <v>0</v>
      </c>
      <c r="R287" s="21">
        <f>+PROVEEDORES[[#This Row],[SUBTOTAL]]+PROVEEDORES[[#This Row],[IVA 19%]]-PROVEEDORES[[#This Row],[descuento sobre subtotal]]-PROVEEDORES[[#This Row],[Descuento sobre subtotal $2]]-PROVEEDORES[[#This Row],[Rete Fuente $]]</f>
        <v>16922752</v>
      </c>
      <c r="S2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63">
        <f ca="1">IF(PROVEEDORES[[#This Row],[FECHA DE PAGO]]=0,TODAY()-PROVEEDORES[[#This Row],[FECHA DE FACTURACIÓN]]-PROVEEDORES[[#This Row],[PLAZO Días]],0)</f>
        <v>0</v>
      </c>
      <c r="U287" s="104">
        <f>+VLOOKUP(PROVEEDORES[[#This Row],[PROVEEDOR]],Terceros!$A:$D,4,FALSE)</f>
        <v>0</v>
      </c>
      <c r="V287" s="105">
        <f>+YEAR(PROVEEDORES[[#This Row],[FECHA DE FACTURACIÓN]])</f>
        <v>2022</v>
      </c>
      <c r="W287" s="105">
        <f>+MATCH(PROVEEDORES[[#This Row],[año facturado]],Retenciones!$1:$1,0)</f>
        <v>5</v>
      </c>
      <c r="X287" s="106">
        <f>+VLOOKUP(PROVEEDORES[[#This Row],[ID RETENCION]],Retenciones!$A$1:$O$25,PROVEEDORES[[#This Row],[indicador de columna]],FALSE)</f>
        <v>0</v>
      </c>
      <c r="Y287" s="107">
        <f>+VLOOKUP(PROVEEDORES[[#This Row],[ID RETENCION]],Retenciones!$A$1:$O$25,2,FALSE)</f>
        <v>0</v>
      </c>
      <c r="Z287" s="116" t="b">
        <f>OR(COUNTIF(PROVEEDORES[[#This Row],[PROVEEDOR]],"*"&amp;'Palabra no opera'!$A$2&amp;"*"))</f>
        <v>0</v>
      </c>
      <c r="AA287" s="24"/>
      <c r="AB287" s="24"/>
      <c r="AC287" s="24"/>
      <c r="AD287" s="24"/>
      <c r="AE287" s="24"/>
    </row>
    <row r="288" spans="1:31" ht="22.35" customHeight="1" x14ac:dyDescent="0.3">
      <c r="A288" s="61" t="str">
        <f>+IF(PROVEEDORES[[#This Row],[FECHA DE PAGO]]=PROVEEDORES[[#This Row],[FECHA DE FACTURACIÓN]],"DE CONTADO","CRÉDITO")</f>
        <v>CRÉDITO</v>
      </c>
      <c r="B288" s="38" t="str">
        <f>+IF((PROVEEDORES[[#This Row],[FECHA DE PAGO]]-PROVEEDORES[[#This Row],[FECHA DE FACTURACIÓN]])&gt;PROVEEDORES[[#This Row],[PLAZO Días]],"PAGO VENCIDO")</f>
        <v>PAGO VENCIDO</v>
      </c>
      <c r="C288" s="20">
        <f>+VLOOKUP(PROVEEDORES[[#This Row],[PROVEEDOR]],TERCEROS_INFO[#All],2,FALSE)</f>
        <v>20</v>
      </c>
      <c r="D288" s="25">
        <f>+SUMIFS(PROVEEDORES[Total],PROVEEDORES[PROVEEDOR],PROVEEDORES[[#This Row],[PROVEEDOR]],PROVEEDORES[FECHA DE PAGO],"")</f>
        <v>0</v>
      </c>
      <c r="E288" s="25"/>
      <c r="F288" s="56" t="str">
        <f>+VLOOKUP(PROVEEDORES[[#This Row],[PROVEEDOR]],
                       Terceros!$A:$F,
                       5,
                       FALSE)</f>
        <v>pse</v>
      </c>
      <c r="G288" s="68">
        <v>44678</v>
      </c>
      <c r="H288" s="26" t="s">
        <v>647</v>
      </c>
      <c r="I288" s="68">
        <v>44606</v>
      </c>
      <c r="J288" s="35">
        <v>556</v>
      </c>
      <c r="K288" s="21">
        <v>1890000</v>
      </c>
      <c r="L288" s="21"/>
      <c r="M288" s="22">
        <f>(PROVEEDORES[[#This Row],[SUBTOTAL]]-PROVEEDORES[[#This Row],[descuento sobre subtotal]])*VLOOKUP(PROVEEDORES[[#This Row],[PROVEEDOR]],TERCEROS_INFO[#All],3,FALSE)</f>
        <v>0</v>
      </c>
      <c r="N288" s="23"/>
      <c r="O288" s="22">
        <f>+PROVEEDORES[[#This Row],[Descuento sobre subtotal %]]*(PROVEEDORES[[#This Row],[SUBTOTAL]]-PROVEEDORES[[#This Row],[descuento sobre subtotal]])</f>
        <v>0</v>
      </c>
      <c r="P288" s="74">
        <f>+IF(PROVEEDORES[[#This Row],[SUBTOTAL]]&lt;PROVEEDORES[[#This Row],[base retencion]],0,PROVEEDORES[[#This Row],[retención aplicada]])</f>
        <v>0</v>
      </c>
      <c r="Q288" s="22">
        <f>+PROVEEDORES[[#This Row],[Rete Fuente %]]*(PROVEEDORES[[#This Row],[SUBTOTAL]]-PROVEEDORES[[#This Row],[descuento sobre subtotal]])</f>
        <v>0</v>
      </c>
      <c r="R288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28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63">
        <f ca="1">IF(PROVEEDORES[[#This Row],[FECHA DE PAGO]]=0,TODAY()-PROVEEDORES[[#This Row],[FECHA DE FACTURACIÓN]]-PROVEEDORES[[#This Row],[PLAZO Días]],0)</f>
        <v>0</v>
      </c>
      <c r="U288" s="87">
        <f>+VLOOKUP(PROVEEDORES[[#This Row],[PROVEEDOR]],Terceros!$A:$D,4,FALSE)</f>
        <v>0</v>
      </c>
      <c r="V288" s="88">
        <f>+YEAR(PROVEEDORES[[#This Row],[FECHA DE FACTURACIÓN]])</f>
        <v>2022</v>
      </c>
      <c r="W288" s="88">
        <f>+MATCH(PROVEEDORES[[#This Row],[año facturado]],Retenciones!$1:$1,0)</f>
        <v>5</v>
      </c>
      <c r="X288" s="89">
        <f>+VLOOKUP(PROVEEDORES[[#This Row],[ID RETENCION]],Retenciones!$A$1:$O$25,PROVEEDORES[[#This Row],[indicador de columna]],FALSE)</f>
        <v>0</v>
      </c>
      <c r="Y288" s="90">
        <f>+VLOOKUP(PROVEEDORES[[#This Row],[ID RETENCION]],Retenciones!$A$1:$O$25,2,FALSE)</f>
        <v>0</v>
      </c>
      <c r="Z288" s="116" t="b">
        <f>OR(COUNTIF(PROVEEDORES[[#This Row],[PROVEEDOR]],"*"&amp;'Palabra no opera'!$A$2&amp;"*"))</f>
        <v>1</v>
      </c>
      <c r="AA288" s="24"/>
      <c r="AB288" s="24"/>
      <c r="AC288" s="24"/>
      <c r="AD288" s="24"/>
      <c r="AE288" s="24"/>
    </row>
    <row r="289" spans="1:31" ht="22.35" customHeight="1" x14ac:dyDescent="0.3">
      <c r="A289" s="61" t="str">
        <f>+IF(PROVEEDORES[[#This Row],[FECHA DE PAGO]]=PROVEEDORES[[#This Row],[FECHA DE FACTURACIÓN]],"DE CONTADO","CRÉDITO")</f>
        <v>CRÉDITO</v>
      </c>
      <c r="B289" s="38" t="str">
        <f>+IF((PROVEEDORES[[#This Row],[FECHA DE PAGO]]-PROVEEDORES[[#This Row],[FECHA DE FACTURACIÓN]])&gt;PROVEEDORES[[#This Row],[PLAZO Días]],"PAGO VENCIDO")</f>
        <v>PAGO VENCIDO</v>
      </c>
      <c r="C289" s="20">
        <f>+VLOOKUP(PROVEEDORES[[#This Row],[PROVEEDOR]],TERCEROS_INFO[#All],2,FALSE)</f>
        <v>20</v>
      </c>
      <c r="D289" s="25">
        <f>+SUMIFS(PROVEEDORES[Total],PROVEEDORES[PROVEEDOR],PROVEEDORES[[#This Row],[PROVEEDOR]],PROVEEDORES[FECHA DE PAGO],"")</f>
        <v>0</v>
      </c>
      <c r="E289" s="25"/>
      <c r="F289" s="56" t="str">
        <f>+VLOOKUP(PROVEEDORES[[#This Row],[PROVEEDOR]],
                       Terceros!$A:$F,
                       5,
                       FALSE)</f>
        <v>pse</v>
      </c>
      <c r="G289" s="68">
        <v>44678</v>
      </c>
      <c r="H289" s="26" t="s">
        <v>647</v>
      </c>
      <c r="I289" s="68">
        <v>44617</v>
      </c>
      <c r="J289" s="35" t="s">
        <v>427</v>
      </c>
      <c r="K289" s="21">
        <v>-600000</v>
      </c>
      <c r="L289" s="21"/>
      <c r="M289" s="22">
        <v>0</v>
      </c>
      <c r="N289" s="23"/>
      <c r="O289" s="22">
        <v>0</v>
      </c>
      <c r="P289" s="74">
        <f>+IF(PROVEEDORES[[#This Row],[SUBTOTAL]]&lt;PROVEEDORES[[#This Row],[base retencion]],0,PROVEEDORES[[#This Row],[retención aplicada]])</f>
        <v>0</v>
      </c>
      <c r="Q289" s="22">
        <f>+PROVEEDORES[[#This Row],[Rete Fuente %]]*(PROVEEDORES[[#This Row],[SUBTOTAL]]-PROVEEDORES[[#This Row],[descuento sobre subtotal]])</f>
        <v>0</v>
      </c>
      <c r="R289" s="21">
        <v>-600000</v>
      </c>
      <c r="S28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63">
        <f ca="1">IF(PROVEEDORES[[#This Row],[FECHA DE PAGO]]=0,TODAY()-PROVEEDORES[[#This Row],[FECHA DE FACTURACIÓN]]-PROVEEDORES[[#This Row],[PLAZO Días]],0)</f>
        <v>0</v>
      </c>
      <c r="U289" s="87">
        <f>+VLOOKUP(PROVEEDORES[[#This Row],[PROVEEDOR]],Terceros!$A:$D,4,FALSE)</f>
        <v>0</v>
      </c>
      <c r="V289" s="88">
        <f>+YEAR(PROVEEDORES[[#This Row],[FECHA DE FACTURACIÓN]])</f>
        <v>2022</v>
      </c>
      <c r="W289" s="88">
        <f>+MATCH(PROVEEDORES[[#This Row],[año facturado]],Retenciones!$1:$1,0)</f>
        <v>5</v>
      </c>
      <c r="X289" s="89">
        <f>+VLOOKUP(PROVEEDORES[[#This Row],[ID RETENCION]],Retenciones!$A$1:$O$25,PROVEEDORES[[#This Row],[indicador de columna]],FALSE)</f>
        <v>0</v>
      </c>
      <c r="Y289" s="90">
        <f>+VLOOKUP(PROVEEDORES[[#This Row],[ID RETENCION]],Retenciones!$A$1:$O$25,2,FALSE)</f>
        <v>0</v>
      </c>
      <c r="Z289" s="116" t="b">
        <f>OR(COUNTIF(PROVEEDORES[[#This Row],[PROVEEDOR]],"*"&amp;'Palabra no opera'!$A$2&amp;"*"))</f>
        <v>1</v>
      </c>
      <c r="AA289" s="24"/>
      <c r="AB289" s="24"/>
      <c r="AC289" s="24"/>
      <c r="AD289" s="24"/>
      <c r="AE289" s="24"/>
    </row>
    <row r="290" spans="1:31" ht="22.35" customHeight="1" x14ac:dyDescent="0.3">
      <c r="A290" s="61" t="str">
        <f>+IF(PROVEEDORES[[#This Row],[FECHA DE PAGO]]=PROVEEDORES[[#This Row],[FECHA DE FACTURACIÓN]],"DE CONTADO","CRÉDITO")</f>
        <v>CRÉDITO</v>
      </c>
      <c r="B290" s="38" t="b">
        <f>+IF((PROVEEDORES[[#This Row],[FECHA DE PAGO]]-PROVEEDORES[[#This Row],[FECHA DE FACTURACIÓN]])&gt;PROVEEDORES[[#This Row],[PLAZO Días]],"PAGO VENCIDO")</f>
        <v>0</v>
      </c>
      <c r="C290" s="20">
        <f>+VLOOKUP(PROVEEDORES[[#This Row],[PROVEEDOR]],TERCEROS_INFO[#All],2,FALSE)</f>
        <v>30</v>
      </c>
      <c r="D290" s="25">
        <f>+SUMIFS(PROVEEDORES[Total],PROVEEDORES[PROVEEDOR],PROVEEDORES[[#This Row],[PROVEEDOR]],PROVEEDORES[FECHA DE PAGO],"")</f>
        <v>0</v>
      </c>
      <c r="E290" s="25"/>
      <c r="F29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90" s="68">
        <v>44678</v>
      </c>
      <c r="H290" s="26" t="s">
        <v>623</v>
      </c>
      <c r="I290" s="68">
        <v>44652</v>
      </c>
      <c r="J290" s="35" t="s">
        <v>670</v>
      </c>
      <c r="K290" s="21">
        <v>791781</v>
      </c>
      <c r="L290" s="21"/>
      <c r="M290" s="22">
        <f>(PROVEEDORES[[#This Row],[SUBTOTAL]]-PROVEEDORES[[#This Row],[descuento sobre subtotal]])*VLOOKUP(PROVEEDORES[[#This Row],[PROVEEDOR]],TERCEROS_INFO[#All],3,FALSE)</f>
        <v>150438.39000000001</v>
      </c>
      <c r="N290" s="23"/>
      <c r="O290" s="22">
        <f>+PROVEEDORES[[#This Row],[Descuento sobre subtotal %]]*(PROVEEDORES[[#This Row],[SUBTOTAL]]-PROVEEDORES[[#This Row],[descuento sobre subtotal]])</f>
        <v>0</v>
      </c>
      <c r="P290" s="74">
        <v>0</v>
      </c>
      <c r="Q290" s="22">
        <f>+PROVEEDORES[[#This Row],[Rete Fuente %]]*(PROVEEDORES[[#This Row],[SUBTOTAL]]-PROVEEDORES[[#This Row],[descuento sobre subtotal]])</f>
        <v>0</v>
      </c>
      <c r="R290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29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63">
        <f ca="1">IF(PROVEEDORES[[#This Row],[FECHA DE PAGO]]=0,TODAY()-PROVEEDORES[[#This Row],[FECHA DE FACTURACIÓN]]-PROVEEDORES[[#This Row],[PLAZO Días]],0)</f>
        <v>0</v>
      </c>
      <c r="U290" s="87" t="str">
        <f>+VLOOKUP(PROVEEDORES[[#This Row],[PROVEEDOR]],Terceros!$A:$D,4,FALSE)</f>
        <v>4% sin base</v>
      </c>
      <c r="V290" s="88">
        <f>+YEAR(PROVEEDORES[[#This Row],[FECHA DE FACTURACIÓN]])</f>
        <v>2022</v>
      </c>
      <c r="W290" s="88">
        <f>+MATCH(PROVEEDORES[[#This Row],[año facturado]],Retenciones!$1:$1,0)</f>
        <v>5</v>
      </c>
      <c r="X290" s="89">
        <f>+VLOOKUP(PROVEEDORES[[#This Row],[ID RETENCION]],Retenciones!$A$1:$O$25,PROVEEDORES[[#This Row],[indicador de columna]],FALSE)</f>
        <v>0</v>
      </c>
      <c r="Y290" s="90">
        <f>+VLOOKUP(PROVEEDORES[[#This Row],[ID RETENCION]],Retenciones!$A$1:$O$25,2,FALSE)</f>
        <v>0.04</v>
      </c>
      <c r="Z290" s="116" t="b">
        <f>OR(COUNTIF(PROVEEDORES[[#This Row],[PROVEEDOR]],"*"&amp;'Palabra no opera'!$A$2&amp;"*"))</f>
        <v>1</v>
      </c>
      <c r="AA290" s="24"/>
      <c r="AB290" s="24"/>
      <c r="AC290" s="24"/>
      <c r="AD290" s="24"/>
      <c r="AE290" s="24"/>
    </row>
    <row r="291" spans="1:31" ht="22.35" customHeight="1" x14ac:dyDescent="0.3">
      <c r="A291" s="61" t="str">
        <f>+IF(PROVEEDORES[[#This Row],[FECHA DE PAGO]]=PROVEEDORES[[#This Row],[FECHA DE FACTURACIÓN]],"DE CONTADO","CRÉDITO")</f>
        <v>CRÉDITO</v>
      </c>
      <c r="B291" s="38" t="b">
        <f>+IF((PROVEEDORES[[#This Row],[FECHA DE PAGO]]-PROVEEDORES[[#This Row],[FECHA DE FACTURACIÓN]])&gt;PROVEEDORES[[#This Row],[PLAZO Días]],"PAGO VENCIDO")</f>
        <v>0</v>
      </c>
      <c r="C291" s="20">
        <f>+VLOOKUP(PROVEEDORES[[#This Row],[PROVEEDOR]],TERCEROS_INFO[#All],2,FALSE)</f>
        <v>30</v>
      </c>
      <c r="D291" s="25">
        <f>+SUMIFS(PROVEEDORES[Total],PROVEEDORES[PROVEEDOR],PROVEEDORES[[#This Row],[PROVEEDOR]],PROVEEDORES[FECHA DE PAGO],"")</f>
        <v>0</v>
      </c>
      <c r="E291" s="25"/>
      <c r="F29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91" s="68">
        <v>44678</v>
      </c>
      <c r="H291" s="26" t="s">
        <v>623</v>
      </c>
      <c r="I291" s="68">
        <v>44652</v>
      </c>
      <c r="J291" s="35" t="s">
        <v>669</v>
      </c>
      <c r="K291" s="21">
        <v>3294426</v>
      </c>
      <c r="L291" s="21"/>
      <c r="M291" s="22">
        <f>(PROVEEDORES[[#This Row],[SUBTOTAL]]-PROVEEDORES[[#This Row],[descuento sobre subtotal]])*VLOOKUP(PROVEEDORES[[#This Row],[PROVEEDOR]],TERCEROS_INFO[#All],3,FALSE)</f>
        <v>625940.94000000006</v>
      </c>
      <c r="N291" s="23"/>
      <c r="O291" s="22">
        <f>+PROVEEDORES[[#This Row],[Descuento sobre subtotal %]]*(PROVEEDORES[[#This Row],[SUBTOTAL]]-PROVEEDORES[[#This Row],[descuento sobre subtotal]])</f>
        <v>0</v>
      </c>
      <c r="P291" s="74">
        <v>0</v>
      </c>
      <c r="Q291" s="22">
        <f>+PROVEEDORES[[#This Row],[Rete Fuente %]]*(PROVEEDORES[[#This Row],[SUBTOTAL]]-PROVEEDORES[[#This Row],[descuento sobre subtotal]])</f>
        <v>0</v>
      </c>
      <c r="R291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9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1" s="63">
        <f ca="1">IF(PROVEEDORES[[#This Row],[FECHA DE PAGO]]=0,TODAY()-PROVEEDORES[[#This Row],[FECHA DE FACTURACIÓN]]-PROVEEDORES[[#This Row],[PLAZO Días]],0)</f>
        <v>0</v>
      </c>
      <c r="U291" s="87" t="str">
        <f>+VLOOKUP(PROVEEDORES[[#This Row],[PROVEEDOR]],Terceros!$A:$D,4,FALSE)</f>
        <v>4% sin base</v>
      </c>
      <c r="V291" s="88">
        <f>+YEAR(PROVEEDORES[[#This Row],[FECHA DE FACTURACIÓN]])</f>
        <v>2022</v>
      </c>
      <c r="W291" s="88">
        <f>+MATCH(PROVEEDORES[[#This Row],[año facturado]],Retenciones!$1:$1,0)</f>
        <v>5</v>
      </c>
      <c r="X291" s="89">
        <f>+VLOOKUP(PROVEEDORES[[#This Row],[ID RETENCION]],Retenciones!$A$1:$O$25,PROVEEDORES[[#This Row],[indicador de columna]],FALSE)</f>
        <v>0</v>
      </c>
      <c r="Y291" s="90">
        <f>+VLOOKUP(PROVEEDORES[[#This Row],[ID RETENCION]],Retenciones!$A$1:$O$25,2,FALSE)</f>
        <v>0.04</v>
      </c>
      <c r="Z291" s="116" t="b">
        <f>OR(COUNTIF(PROVEEDORES[[#This Row],[PROVEEDOR]],"*"&amp;'Palabra no opera'!$A$2&amp;"*"))</f>
        <v>1</v>
      </c>
      <c r="AA291" s="24"/>
      <c r="AB291" s="24"/>
      <c r="AC291" s="24"/>
      <c r="AD291" s="24"/>
      <c r="AE291" s="24"/>
    </row>
    <row r="292" spans="1:31" ht="22.35" customHeight="1" x14ac:dyDescent="0.3">
      <c r="A292" s="61" t="str">
        <f>+IF(PROVEEDORES[[#This Row],[FECHA DE PAGO]]=PROVEEDORES[[#This Row],[FECHA DE FACTURACIÓN]],"DE CONTADO","CRÉDITO")</f>
        <v>CRÉDITO</v>
      </c>
      <c r="B292" s="38" t="str">
        <f>+IF((PROVEEDORES[[#This Row],[FECHA DE PAGO]]-PROVEEDORES[[#This Row],[FECHA DE FACTURACIÓN]])&gt;PROVEEDORES[[#This Row],[PLAZO Días]],"PAGO VENCIDO")</f>
        <v>PAGO VENCIDO</v>
      </c>
      <c r="C292" s="20">
        <f>+VLOOKUP(PROVEEDORES[[#This Row],[PROVEEDOR]],TERCEROS_INFO[#All],2,FALSE)</f>
        <v>60</v>
      </c>
      <c r="D292" s="25">
        <f>+SUMIFS(PROVEEDORES[Total],PROVEEDORES[PROVEEDOR],PROVEEDORES[[#This Row],[PROVEEDOR]],PROVEEDORES[FECHA DE PAGO],"")</f>
        <v>0</v>
      </c>
      <c r="E292" s="25"/>
      <c r="F292" s="56">
        <f>+VLOOKUP(PROVEEDORES[[#This Row],[PROVEEDOR]],
                       Terceros!$A:$F,
                       5,
                       FALSE)</f>
        <v>0</v>
      </c>
      <c r="G292" s="68">
        <v>44678</v>
      </c>
      <c r="H292" s="26" t="s">
        <v>951</v>
      </c>
      <c r="I292" s="68">
        <v>44585</v>
      </c>
      <c r="J292" s="35" t="s">
        <v>490</v>
      </c>
      <c r="K292" s="21">
        <v>6152000</v>
      </c>
      <c r="L292" s="21"/>
      <c r="M292" s="22">
        <f>(PROVEEDORES[[#This Row],[SUBTOTAL]]-PROVEEDORES[[#This Row],[descuento sobre subtotal]])*VLOOKUP(PROVEEDORES[[#This Row],[PROVEEDOR]],TERCEROS_INFO[#All],3,FALSE)</f>
        <v>1168880</v>
      </c>
      <c r="N292" s="23"/>
      <c r="O292" s="22">
        <f>+PROVEEDORES[[#This Row],[Descuento sobre subtotal %]]*(PROVEEDORES[[#This Row],[SUBTOTAL]]-PROVEEDORES[[#This Row],[descuento sobre subtotal]])</f>
        <v>0</v>
      </c>
      <c r="P292" s="74">
        <f>+IF(PROVEEDORES[[#This Row],[SUBTOTAL]]&lt;PROVEEDORES[[#This Row],[base retencion]],0,PROVEEDORES[[#This Row],[retención aplicada]])</f>
        <v>0</v>
      </c>
      <c r="Q292" s="22">
        <f>+PROVEEDORES[[#This Row],[Rete Fuente %]]*(PROVEEDORES[[#This Row],[SUBTOTAL]]-PROVEEDORES[[#This Row],[descuento sobre subtotal]])</f>
        <v>0</v>
      </c>
      <c r="R292" s="21">
        <f>+PROVEEDORES[[#This Row],[SUBTOTAL]]+PROVEEDORES[[#This Row],[IVA 19%]]-PROVEEDORES[[#This Row],[descuento sobre subtotal]]-PROVEEDORES[[#This Row],[Descuento sobre subtotal $2]]-PROVEEDORES[[#This Row],[Rete Fuente $]]</f>
        <v>7320880</v>
      </c>
      <c r="S29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63">
        <f ca="1">IF(PROVEEDORES[[#This Row],[FECHA DE PAGO]]=0,TODAY()-PROVEEDORES[[#This Row],[FECHA DE FACTURACIÓN]]-PROVEEDORES[[#This Row],[PLAZO Días]],0)</f>
        <v>0</v>
      </c>
      <c r="U292" s="87">
        <f>+VLOOKUP(PROVEEDORES[[#This Row],[PROVEEDOR]],Terceros!$A:$D,4,FALSE)</f>
        <v>0</v>
      </c>
      <c r="V292" s="88">
        <f>+YEAR(PROVEEDORES[[#This Row],[FECHA DE FACTURACIÓN]])</f>
        <v>2022</v>
      </c>
      <c r="W292" s="88">
        <f>+MATCH(PROVEEDORES[[#This Row],[año facturado]],Retenciones!$1:$1,0)</f>
        <v>5</v>
      </c>
      <c r="X292" s="89">
        <f>+VLOOKUP(PROVEEDORES[[#This Row],[ID RETENCION]],Retenciones!$A$1:$O$25,PROVEEDORES[[#This Row],[indicador de columna]],FALSE)</f>
        <v>0</v>
      </c>
      <c r="Y292" s="90">
        <f>+VLOOKUP(PROVEEDORES[[#This Row],[ID RETENCION]],Retenciones!$A$1:$O$25,2,FALSE)</f>
        <v>0</v>
      </c>
      <c r="Z292" s="116" t="b">
        <f>OR(COUNTIF(PROVEEDORES[[#This Row],[PROVEEDOR]],"*"&amp;'Palabra no opera'!$A$2&amp;"*"))</f>
        <v>1</v>
      </c>
      <c r="AA292" s="24"/>
      <c r="AB292" s="24"/>
      <c r="AC292" s="24"/>
      <c r="AD292" s="24"/>
      <c r="AE292" s="24"/>
    </row>
    <row r="293" spans="1:31" ht="22.35" customHeight="1" x14ac:dyDescent="0.3">
      <c r="A293" s="111" t="str">
        <f>+IF(PROVEEDORES[[#This Row],[FECHA DE PAGO]]=PROVEEDORES[[#This Row],[FECHA DE FACTURACIÓN]],"DE CONTADO","CRÉDITO")</f>
        <v>CRÉDITO</v>
      </c>
      <c r="B293" s="38" t="b">
        <f>+IF((PROVEEDORES[[#This Row],[FECHA DE PAGO]]-PROVEEDORES[[#This Row],[FECHA DE FACTURACIÓN]])&gt;PROVEEDORES[[#This Row],[PLAZO Días]],"PAGO VENCIDO")</f>
        <v>0</v>
      </c>
      <c r="C293" s="20">
        <f>+VLOOKUP(PROVEEDORES[[#This Row],[PROVEEDOR]],TERCEROS_INFO[#All],2,FALSE)</f>
        <v>60</v>
      </c>
      <c r="D293" s="25">
        <f>+SUMIFS(PROVEEDORES[Total],PROVEEDORES[PROVEEDOR],PROVEEDORES[[#This Row],[PROVEEDOR]],PROVEEDORES[FECHA DE PAGO],"")</f>
        <v>0</v>
      </c>
      <c r="E293" s="25"/>
      <c r="F293" s="56">
        <f>+VLOOKUP(PROVEEDORES[[#This Row],[PROVEEDOR]],
                       Terceros!$A:$F,
                       5,
                       FALSE)</f>
        <v>0</v>
      </c>
      <c r="G293" s="68">
        <v>44678</v>
      </c>
      <c r="H293" s="26" t="s">
        <v>951</v>
      </c>
      <c r="I293" s="68">
        <v>44672</v>
      </c>
      <c r="J293" s="35" t="s">
        <v>601</v>
      </c>
      <c r="K293" s="21">
        <v>615900</v>
      </c>
      <c r="L293" s="21"/>
      <c r="M293" s="22">
        <f>(PROVEEDORES[[#This Row],[SUBTOTAL]]-PROVEEDORES[[#This Row],[descuento sobre subtotal]])*VLOOKUP(PROVEEDORES[[#This Row],[PROVEEDOR]],TERCEROS_INFO[#All],3,FALSE)</f>
        <v>117021</v>
      </c>
      <c r="N293" s="23"/>
      <c r="O293" s="22">
        <f>+PROVEEDORES[[#This Row],[Descuento sobre subtotal %]]*(PROVEEDORES[[#This Row],[SUBTOTAL]]-PROVEEDORES[[#This Row],[descuento sobre subtotal]])</f>
        <v>0</v>
      </c>
      <c r="P293" s="74">
        <f>+IF(PROVEEDORES[[#This Row],[SUBTOTAL]]&lt;PROVEEDORES[[#This Row],[base retencion]],0,PROVEEDORES[[#This Row],[retención aplicada]])</f>
        <v>0</v>
      </c>
      <c r="Q293" s="22">
        <f>+PROVEEDORES[[#This Row],[Rete Fuente %]]*(PROVEEDORES[[#This Row],[SUBTOTAL]]-PROVEEDORES[[#This Row],[descuento sobre subtotal]])</f>
        <v>0</v>
      </c>
      <c r="R293" s="21">
        <f>+PROVEEDORES[[#This Row],[SUBTOTAL]]+PROVEEDORES[[#This Row],[IVA 19%]]-PROVEEDORES[[#This Row],[descuento sobre subtotal]]-PROVEEDORES[[#This Row],[Descuento sobre subtotal $2]]-PROVEEDORES[[#This Row],[Rete Fuente $]]</f>
        <v>732921</v>
      </c>
      <c r="S293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63">
        <f ca="1">IF(PROVEEDORES[[#This Row],[FECHA DE PAGO]]=0,TODAY()-PROVEEDORES[[#This Row],[FECHA DE FACTURACIÓN]]-PROVEEDORES[[#This Row],[PLAZO Días]],0)</f>
        <v>0</v>
      </c>
      <c r="U293" s="104">
        <f>+VLOOKUP(PROVEEDORES[[#This Row],[PROVEEDOR]],Terceros!$A:$D,4,FALSE)</f>
        <v>0</v>
      </c>
      <c r="V293" s="105">
        <f>+YEAR(PROVEEDORES[[#This Row],[FECHA DE FACTURACIÓN]])</f>
        <v>2022</v>
      </c>
      <c r="W293" s="105">
        <f>+MATCH(PROVEEDORES[[#This Row],[año facturado]],Retenciones!$1:$1,0)</f>
        <v>5</v>
      </c>
      <c r="X293" s="106">
        <f>+VLOOKUP(PROVEEDORES[[#This Row],[ID RETENCION]],Retenciones!$A$1:$O$25,PROVEEDORES[[#This Row],[indicador de columna]],FALSE)</f>
        <v>0</v>
      </c>
      <c r="Y293" s="107">
        <f>+VLOOKUP(PROVEEDORES[[#This Row],[ID RETENCION]],Retenciones!$A$1:$O$25,2,FALSE)</f>
        <v>0</v>
      </c>
      <c r="Z293" s="116" t="b">
        <f>OR(COUNTIF(PROVEEDORES[[#This Row],[PROVEEDOR]],"*"&amp;'Palabra no opera'!$A$2&amp;"*"))</f>
        <v>1</v>
      </c>
      <c r="AA293" s="24"/>
      <c r="AB293" s="24"/>
      <c r="AC293" s="24"/>
      <c r="AD293" s="24"/>
      <c r="AE293" s="24"/>
    </row>
    <row r="294" spans="1:31" ht="22.35" customHeight="1" x14ac:dyDescent="0.3">
      <c r="A294" s="148" t="str">
        <f>+IF(PROVEEDORES[[#This Row],[FECHA DE PAGO]]=PROVEEDORES[[#This Row],[FECHA DE FACTURACIÓN]],"DE CONTADO","CRÉDITO")</f>
        <v>DE CONTADO</v>
      </c>
      <c r="B294" s="38" t="b">
        <f>+IF((PROVEEDORES[[#This Row],[FECHA DE PAGO]]-PROVEEDORES[[#This Row],[FECHA DE FACTURACIÓN]])&gt;PROVEEDORES[[#This Row],[PLAZO Días]],"PAGO VENCIDO")</f>
        <v>0</v>
      </c>
      <c r="C294" s="20">
        <f>+VLOOKUP(PROVEEDORES[[#This Row],[PROVEEDOR]],TERCEROS_INFO[#All],2,FALSE)</f>
        <v>60</v>
      </c>
      <c r="D294" s="25">
        <f>+SUMIFS(PROVEEDORES[Total],PROVEEDORES[PROVEEDOR],PROVEEDORES[[#This Row],[PROVEEDOR]],PROVEEDORES[FECHA DE PAGO],"")</f>
        <v>0</v>
      </c>
      <c r="E294" s="25"/>
      <c r="F294" s="56">
        <f>+VLOOKUP(PROVEEDORES[[#This Row],[PROVEEDOR]],
                       Terceros!$A:$F,
                       5,
                       FALSE)</f>
        <v>0</v>
      </c>
      <c r="G294" s="68">
        <v>44678</v>
      </c>
      <c r="H294" s="26" t="s">
        <v>951</v>
      </c>
      <c r="I294" s="68">
        <v>44678</v>
      </c>
      <c r="J294" s="35" t="s">
        <v>787</v>
      </c>
      <c r="K294" s="21">
        <v>-615900</v>
      </c>
      <c r="L294" s="21"/>
      <c r="M294" s="22">
        <f>(PROVEEDORES[[#This Row],[SUBTOTAL]]-PROVEEDORES[[#This Row],[descuento sobre subtotal]])*VLOOKUP(PROVEEDORES[[#This Row],[PROVEEDOR]],TERCEROS_INFO[#All],3,FALSE)</f>
        <v>-117021</v>
      </c>
      <c r="N294" s="23"/>
      <c r="O294" s="22">
        <f>+PROVEEDORES[[#This Row],[Descuento sobre subtotal %]]*(PROVEEDORES[[#This Row],[SUBTOTAL]]-PROVEEDORES[[#This Row],[descuento sobre subtotal]])</f>
        <v>0</v>
      </c>
      <c r="P294" s="74">
        <f>+IF(PROVEEDORES[[#This Row],[SUBTOTAL]]&lt;PROVEEDORES[[#This Row],[base retencion]],0,PROVEEDORES[[#This Row],[retención aplicada]])</f>
        <v>0</v>
      </c>
      <c r="Q294" s="22">
        <f>+PROVEEDORES[[#This Row],[Rete Fuente %]]*(PROVEEDORES[[#This Row],[SUBTOTAL]]-PROVEEDORES[[#This Row],[descuento sobre subtotal]])</f>
        <v>0</v>
      </c>
      <c r="R294" s="21">
        <f>+PROVEEDORES[[#This Row],[SUBTOTAL]]+PROVEEDORES[[#This Row],[IVA 19%]]-PROVEEDORES[[#This Row],[descuento sobre subtotal]]-PROVEEDORES[[#This Row],[Descuento sobre subtotal $2]]-PROVEEDORES[[#This Row],[Rete Fuente $]]</f>
        <v>-732921</v>
      </c>
      <c r="S29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63">
        <f ca="1">IF(PROVEEDORES[[#This Row],[FECHA DE PAGO]]=0,TODAY()-PROVEEDORES[[#This Row],[FECHA DE FACTURACIÓN]]-PROVEEDORES[[#This Row],[PLAZO Días]],0)</f>
        <v>0</v>
      </c>
      <c r="U294" s="104">
        <f>+VLOOKUP(PROVEEDORES[[#This Row],[PROVEEDOR]],Terceros!$A:$D,4,FALSE)</f>
        <v>0</v>
      </c>
      <c r="V294" s="105">
        <f>+YEAR(PROVEEDORES[[#This Row],[FECHA DE FACTURACIÓN]])</f>
        <v>2022</v>
      </c>
      <c r="W294" s="105">
        <f>+MATCH(PROVEEDORES[[#This Row],[año facturado]],Retenciones!$1:$1,0)</f>
        <v>5</v>
      </c>
      <c r="X294" s="106">
        <f>+VLOOKUP(PROVEEDORES[[#This Row],[ID RETENCION]],Retenciones!$A$1:$O$25,PROVEEDORES[[#This Row],[indicador de columna]],FALSE)</f>
        <v>0</v>
      </c>
      <c r="Y294" s="107">
        <f>+VLOOKUP(PROVEEDORES[[#This Row],[ID RETENCION]],Retenciones!$A$1:$O$25,2,FALSE)</f>
        <v>0</v>
      </c>
      <c r="Z294" s="116" t="b">
        <f>OR(COUNTIF(PROVEEDORES[[#This Row],[PROVEEDOR]],"*"&amp;'Palabra no opera'!$A$2&amp;"*"))</f>
        <v>1</v>
      </c>
      <c r="AA294" s="24"/>
      <c r="AB294" s="24"/>
      <c r="AC294" s="24"/>
      <c r="AD294" s="24"/>
      <c r="AE294" s="24"/>
    </row>
    <row r="295" spans="1:31" ht="22.35" customHeight="1" x14ac:dyDescent="0.3">
      <c r="A295" s="61" t="str">
        <f>+IF(PROVEEDORES[[#This Row],[FECHA DE PAGO]]=PROVEEDORES[[#This Row],[FECHA DE FACTURACIÓN]],"DE CONTADO","CRÉDITO")</f>
        <v>CRÉDITO</v>
      </c>
      <c r="B295" s="38" t="b">
        <f>+IF((PROVEEDORES[[#This Row],[FECHA DE PAGO]]-PROVEEDORES[[#This Row],[FECHA DE FACTURACIÓN]])&gt;PROVEEDORES[[#This Row],[PLAZO Días]],"PAGO VENCIDO")</f>
        <v>0</v>
      </c>
      <c r="C295" s="20">
        <f>+VLOOKUP(PROVEEDORES[[#This Row],[PROVEEDOR]],TERCEROS_INFO[#All],2,FALSE)</f>
        <v>30</v>
      </c>
      <c r="D295" s="25">
        <f>+SUMIFS(PROVEEDORES[Total],PROVEEDORES[PROVEEDOR],PROVEEDORES[[#This Row],[PROVEEDOR]],PROVEEDORES[FECHA DE PAGO],"")</f>
        <v>0</v>
      </c>
      <c r="E295" s="25"/>
      <c r="F295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95" s="68">
        <v>44678</v>
      </c>
      <c r="H295" s="26" t="s">
        <v>628</v>
      </c>
      <c r="I295" s="68">
        <v>44650</v>
      </c>
      <c r="J295" s="35" t="s">
        <v>418</v>
      </c>
      <c r="K295" s="21">
        <v>-272331</v>
      </c>
      <c r="L295" s="21"/>
      <c r="M295" s="22">
        <f>(PROVEEDORES[[#This Row],[SUBTOTAL]]-PROVEEDORES[[#This Row],[descuento sobre subtotal]])*VLOOKUP(PROVEEDORES[[#This Row],[PROVEEDOR]],TERCEROS_INFO[#All],3,FALSE)</f>
        <v>0</v>
      </c>
      <c r="N295" s="23"/>
      <c r="O295" s="22">
        <f>+PROVEEDORES[[#This Row],[Descuento sobre subtotal %]]*(PROVEEDORES[[#This Row],[SUBTOTAL]]-PROVEEDORES[[#This Row],[descuento sobre subtotal]])</f>
        <v>0</v>
      </c>
      <c r="P295" s="74">
        <f>+IF(PROVEEDORES[[#This Row],[SUBTOTAL]]&lt;PROVEEDORES[[#This Row],[base retencion]],0,PROVEEDORES[[#This Row],[retención aplicada]])</f>
        <v>0</v>
      </c>
      <c r="Q295" s="22">
        <f>+PROVEEDORES[[#This Row],[Rete Fuente %]]*(PROVEEDORES[[#This Row],[SUBTOTAL]]-PROVEEDORES[[#This Row],[descuento sobre subtotal]])</f>
        <v>0</v>
      </c>
      <c r="R295" s="21">
        <f>+PROVEEDORES[[#This Row],[SUBTOTAL]]+PROVEEDORES[[#This Row],[IVA 19%]]-PROVEEDORES[[#This Row],[descuento sobre subtotal]]-PROVEEDORES[[#This Row],[Descuento sobre subtotal $2]]-PROVEEDORES[[#This Row],[Rete Fuente $]]</f>
        <v>-272331</v>
      </c>
      <c r="S29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63">
        <f ca="1">IF(PROVEEDORES[[#This Row],[FECHA DE PAGO]]=0,TODAY()-PROVEEDORES[[#This Row],[FECHA DE FACTURACIÓN]]-PROVEEDORES[[#This Row],[PLAZO Días]],0)</f>
        <v>0</v>
      </c>
      <c r="U295" s="87">
        <f>+VLOOKUP(PROVEEDORES[[#This Row],[PROVEEDOR]],Terceros!$A:$D,4,FALSE)</f>
        <v>0</v>
      </c>
      <c r="V295" s="88">
        <f>+YEAR(PROVEEDORES[[#This Row],[FECHA DE FACTURACIÓN]])</f>
        <v>2022</v>
      </c>
      <c r="W295" s="88">
        <f>+MATCH(PROVEEDORES[[#This Row],[año facturado]],Retenciones!$1:$1,0)</f>
        <v>5</v>
      </c>
      <c r="X295" s="89">
        <f>+VLOOKUP(PROVEEDORES[[#This Row],[ID RETENCION]],Retenciones!$A$1:$O$25,PROVEEDORES[[#This Row],[indicador de columna]],FALSE)</f>
        <v>0</v>
      </c>
      <c r="Y295" s="90">
        <f>+VLOOKUP(PROVEEDORES[[#This Row],[ID RETENCION]],Retenciones!$A$1:$O$25,2,FALSE)</f>
        <v>0</v>
      </c>
      <c r="Z295" s="116" t="b">
        <f>OR(COUNTIF(PROVEEDORES[[#This Row],[PROVEEDOR]],"*"&amp;'Palabra no opera'!$A$2&amp;"*"))</f>
        <v>1</v>
      </c>
      <c r="AA295" s="24"/>
      <c r="AB295" s="24"/>
      <c r="AC295" s="24"/>
      <c r="AD295" s="24"/>
      <c r="AE295" s="24"/>
    </row>
    <row r="296" spans="1:31" ht="22.35" customHeight="1" x14ac:dyDescent="0.3">
      <c r="A296" s="61" t="str">
        <f>+IF(PROVEEDORES[[#This Row],[FECHA DE PAGO]]=PROVEEDORES[[#This Row],[FECHA DE FACTURACIÓN]],"DE CONTADO","CRÉDITO")</f>
        <v>CRÉDITO</v>
      </c>
      <c r="B296" s="38" t="b">
        <f>+IF((PROVEEDORES[[#This Row],[FECHA DE PAGO]]-PROVEEDORES[[#This Row],[FECHA DE FACTURACIÓN]])&gt;PROVEEDORES[[#This Row],[PLAZO Días]],"PAGO VENCIDO")</f>
        <v>0</v>
      </c>
      <c r="C296" s="20">
        <f>+VLOOKUP(PROVEEDORES[[#This Row],[PROVEEDOR]],TERCEROS_INFO[#All],2,FALSE)</f>
        <v>30</v>
      </c>
      <c r="D296" s="25">
        <f>+SUMIFS(PROVEEDORES[Total],PROVEEDORES[PROVEEDOR],PROVEEDORES[[#This Row],[PROVEEDOR]],PROVEEDORES[FECHA DE PAGO],"")</f>
        <v>0</v>
      </c>
      <c r="E296" s="25"/>
      <c r="F296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96" s="68">
        <v>44678</v>
      </c>
      <c r="H296" s="26" t="s">
        <v>628</v>
      </c>
      <c r="I296" s="68">
        <v>44652</v>
      </c>
      <c r="J296" s="35">
        <v>10316</v>
      </c>
      <c r="K296" s="21">
        <v>1922190</v>
      </c>
      <c r="L296" s="21"/>
      <c r="M296" s="22">
        <f>(PROVEEDORES[[#This Row],[SUBTOTAL]]-PROVEEDORES[[#This Row],[descuento sobre subtotal]])*VLOOKUP(PROVEEDORES[[#This Row],[PROVEEDOR]],TERCEROS_INFO[#All],3,FALSE)</f>
        <v>0</v>
      </c>
      <c r="N296" s="23"/>
      <c r="O296" s="22">
        <f>+PROVEEDORES[[#This Row],[Descuento sobre subtotal %]]*(PROVEEDORES[[#This Row],[SUBTOTAL]]-PROVEEDORES[[#This Row],[descuento sobre subtotal]])</f>
        <v>0</v>
      </c>
      <c r="P296" s="74">
        <f>+IF(PROVEEDORES[[#This Row],[SUBTOTAL]]&lt;PROVEEDORES[[#This Row],[base retencion]],0,PROVEEDORES[[#This Row],[retención aplicada]])</f>
        <v>0</v>
      </c>
      <c r="Q296" s="22">
        <f>+PROVEEDORES[[#This Row],[Rete Fuente %]]*(PROVEEDORES[[#This Row],[SUBTOTAL]]-PROVEEDORES[[#This Row],[descuento sobre subtotal]])</f>
        <v>0</v>
      </c>
      <c r="R296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29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63">
        <f ca="1">IF(PROVEEDORES[[#This Row],[FECHA DE PAGO]]=0,TODAY()-PROVEEDORES[[#This Row],[FECHA DE FACTURACIÓN]]-PROVEEDORES[[#This Row],[PLAZO Días]],0)</f>
        <v>0</v>
      </c>
      <c r="U296" s="87">
        <f>+VLOOKUP(PROVEEDORES[[#This Row],[PROVEEDOR]],Terceros!$A:$D,4,FALSE)</f>
        <v>0</v>
      </c>
      <c r="V296" s="88">
        <f>+YEAR(PROVEEDORES[[#This Row],[FECHA DE FACTURACIÓN]])</f>
        <v>2022</v>
      </c>
      <c r="W296" s="88">
        <f>+MATCH(PROVEEDORES[[#This Row],[año facturado]],Retenciones!$1:$1,0)</f>
        <v>5</v>
      </c>
      <c r="X296" s="89">
        <f>+VLOOKUP(PROVEEDORES[[#This Row],[ID RETENCION]],Retenciones!$A$1:$O$25,PROVEEDORES[[#This Row],[indicador de columna]],FALSE)</f>
        <v>0</v>
      </c>
      <c r="Y296" s="90">
        <f>+VLOOKUP(PROVEEDORES[[#This Row],[ID RETENCION]],Retenciones!$A$1:$O$25,2,FALSE)</f>
        <v>0</v>
      </c>
      <c r="Z296" s="116" t="b">
        <f>OR(COUNTIF(PROVEEDORES[[#This Row],[PROVEEDOR]],"*"&amp;'Palabra no opera'!$A$2&amp;"*"))</f>
        <v>1</v>
      </c>
      <c r="AA296" s="24"/>
      <c r="AB296" s="24"/>
      <c r="AC296" s="24"/>
      <c r="AD296" s="24"/>
      <c r="AE296" s="24"/>
    </row>
    <row r="297" spans="1:31" ht="22.35" customHeight="1" x14ac:dyDescent="0.3">
      <c r="A297" s="111" t="str">
        <f>+IF(PROVEEDORES[[#This Row],[FECHA DE PAGO]]=PROVEEDORES[[#This Row],[FECHA DE FACTURACIÓN]],"DE CONTADO","CRÉDITO")</f>
        <v>CRÉDITO</v>
      </c>
      <c r="B297" s="38" t="b">
        <f>+IF((PROVEEDORES[[#This Row],[FECHA DE PAGO]]-PROVEEDORES[[#This Row],[FECHA DE FACTURACIÓN]])&gt;PROVEEDORES[[#This Row],[PLAZO Días]],"PAGO VENCIDO")</f>
        <v>0</v>
      </c>
      <c r="C297" s="20">
        <f>+VLOOKUP(PROVEEDORES[[#This Row],[PROVEEDOR]],TERCEROS_INFO[#All],2,FALSE)</f>
        <v>30</v>
      </c>
      <c r="D297" s="25">
        <f>+SUMIFS(PROVEEDORES[Total],PROVEEDORES[PROVEEDOR],PROVEEDORES[[#This Row],[PROVEEDOR]],PROVEEDORES[FECHA DE PAGO],"")</f>
        <v>0</v>
      </c>
      <c r="E297" s="25"/>
      <c r="F297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97" s="68">
        <v>44678</v>
      </c>
      <c r="H297" s="26" t="s">
        <v>638</v>
      </c>
      <c r="I297" s="68">
        <v>44652</v>
      </c>
      <c r="J297" s="35" t="s">
        <v>605</v>
      </c>
      <c r="K297" s="21">
        <v>3958317</v>
      </c>
      <c r="L297" s="21"/>
      <c r="M297" s="22">
        <f>(PROVEEDORES[[#This Row],[SUBTOTAL]]-PROVEEDORES[[#This Row],[descuento sobre subtotal]])*VLOOKUP(PROVEEDORES[[#This Row],[PROVEEDOR]],TERCEROS_INFO[#All],3,FALSE)</f>
        <v>752080.23</v>
      </c>
      <c r="N297" s="23"/>
      <c r="O297" s="22">
        <f>+PROVEEDORES[[#This Row],[Descuento sobre subtotal %]]*(PROVEEDORES[[#This Row],[SUBTOTAL]]-PROVEEDORES[[#This Row],[descuento sobre subtotal]])</f>
        <v>0</v>
      </c>
      <c r="P297" s="74">
        <f>+IF(PROVEEDORES[[#This Row],[SUBTOTAL]]&lt;PROVEEDORES[[#This Row],[base retencion]],0,PROVEEDORES[[#This Row],[retención aplicada]])</f>
        <v>3.5000000000000003E-2</v>
      </c>
      <c r="Q297" s="22">
        <f>+PROVEEDORES[[#This Row],[Rete Fuente %]]*(PROVEEDORES[[#This Row],[SUBTOTAL]]-PROVEEDORES[[#This Row],[descuento sobre subtotal]])</f>
        <v>138541.095</v>
      </c>
      <c r="R297" s="21">
        <f>+PROVEEDORES[[#This Row],[SUBTOTAL]]+PROVEEDORES[[#This Row],[IVA 19%]]-PROVEEDORES[[#This Row],[descuento sobre subtotal]]-PROVEEDORES[[#This Row],[Descuento sobre subtotal $2]]-PROVEEDORES[[#This Row],[Rete Fuente $]]</f>
        <v>4571856.1350000007</v>
      </c>
      <c r="S297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63">
        <f ca="1">IF(PROVEEDORES[[#This Row],[FECHA DE PAGO]]=0,TODAY()-PROVEEDORES[[#This Row],[FECHA DE FACTURACIÓN]]-PROVEEDORES[[#This Row],[PLAZO Días]],0)</f>
        <v>0</v>
      </c>
      <c r="U297" s="104" t="str">
        <f>+VLOOKUP(PROVEEDORES[[#This Row],[PROVEEDOR]],Terceros!$A:$D,4,FALSE)</f>
        <v>3,5% sin base</v>
      </c>
      <c r="V297" s="105">
        <f>+YEAR(PROVEEDORES[[#This Row],[FECHA DE FACTURACIÓN]])</f>
        <v>2022</v>
      </c>
      <c r="W297" s="105">
        <f>+MATCH(PROVEEDORES[[#This Row],[año facturado]],Retenciones!$1:$1,0)</f>
        <v>5</v>
      </c>
      <c r="X297" s="106">
        <f>+VLOOKUP(PROVEEDORES[[#This Row],[ID RETENCION]],Retenciones!$A$1:$O$25,PROVEEDORES[[#This Row],[indicador de columna]],FALSE)</f>
        <v>0</v>
      </c>
      <c r="Y297" s="107">
        <f>+VLOOKUP(PROVEEDORES[[#This Row],[ID RETENCION]],Retenciones!$A$1:$O$25,2,FALSE)</f>
        <v>3.5000000000000003E-2</v>
      </c>
      <c r="Z297" s="116" t="b">
        <f>OR(COUNTIF(PROVEEDORES[[#This Row],[PROVEEDOR]],"*"&amp;'Palabra no opera'!$A$2&amp;"*"))</f>
        <v>1</v>
      </c>
      <c r="AA297" s="24"/>
      <c r="AB297" s="24"/>
      <c r="AC297" s="24"/>
      <c r="AD297" s="24"/>
      <c r="AE297" s="24"/>
    </row>
    <row r="298" spans="1:31" ht="22.35" customHeight="1" x14ac:dyDescent="0.3">
      <c r="A298" s="61" t="str">
        <f>+IF(PROVEEDORES[[#This Row],[FECHA DE PAGO]]=PROVEEDORES[[#This Row],[FECHA DE FACTURACIÓN]],"DE CONTADO","CRÉDITO")</f>
        <v>CRÉDITO</v>
      </c>
      <c r="B298" s="38" t="b">
        <f>+IF((PROVEEDORES[[#This Row],[FECHA DE PAGO]]-PROVEEDORES[[#This Row],[FECHA DE FACTURACIÓN]])&gt;PROVEEDORES[[#This Row],[PLAZO Días]],"PAGO VENCIDO")</f>
        <v>0</v>
      </c>
      <c r="C298" s="20">
        <f>+VLOOKUP(PROVEEDORES[[#This Row],[PROVEEDOR]],TERCEROS_INFO[#All],2,FALSE)</f>
        <v>30</v>
      </c>
      <c r="D298" s="25">
        <f>+SUMIFS(PROVEEDORES[Total],PROVEEDORES[PROVEEDOR],PROVEEDORES[[#This Row],[PROVEEDOR]],PROVEEDORES[FECHA DE PAGO],"")</f>
        <v>0</v>
      </c>
      <c r="E298" s="25"/>
      <c r="F298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98" s="68">
        <v>44678</v>
      </c>
      <c r="H298" s="26" t="s">
        <v>651</v>
      </c>
      <c r="I298" s="68">
        <v>44652</v>
      </c>
      <c r="J298" s="35">
        <v>4651</v>
      </c>
      <c r="K298" s="21">
        <v>215356</v>
      </c>
      <c r="L298" s="21"/>
      <c r="M298" s="22">
        <f>(PROVEEDORES[[#This Row],[SUBTOTAL]]-PROVEEDORES[[#This Row],[descuento sobre subtotal]])*VLOOKUP(PROVEEDORES[[#This Row],[PROVEEDOR]],TERCEROS_INFO[#All],3,FALSE)</f>
        <v>40917.64</v>
      </c>
      <c r="N298" s="23"/>
      <c r="O298" s="22">
        <f>+PROVEEDORES[[#This Row],[Descuento sobre subtotal %]]*(PROVEEDORES[[#This Row],[SUBTOTAL]]-PROVEEDORES[[#This Row],[descuento sobre subtotal]])</f>
        <v>0</v>
      </c>
      <c r="P298" s="74">
        <f>+IF(PROVEEDORES[[#This Row],[SUBTOTAL]]&lt;PROVEEDORES[[#This Row],[base retencion]],0,PROVEEDORES[[#This Row],[retención aplicada]])</f>
        <v>3.5000000000000003E-2</v>
      </c>
      <c r="Q298" s="22">
        <f>+PROVEEDORES[[#This Row],[Rete Fuente %]]*(PROVEEDORES[[#This Row],[SUBTOTAL]]-PROVEEDORES[[#This Row],[descuento sobre subtotal]])</f>
        <v>7537.4600000000009</v>
      </c>
      <c r="R298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29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63">
        <f ca="1">IF(PROVEEDORES[[#This Row],[FECHA DE PAGO]]=0,TODAY()-PROVEEDORES[[#This Row],[FECHA DE FACTURACIÓN]]-PROVEEDORES[[#This Row],[PLAZO Días]],0)</f>
        <v>0</v>
      </c>
      <c r="U298" s="87" t="str">
        <f>+VLOOKUP(PROVEEDORES[[#This Row],[PROVEEDOR]],Terceros!$A:$D,4,FALSE)</f>
        <v>3,5% sin base</v>
      </c>
      <c r="V298" s="88">
        <f>+YEAR(PROVEEDORES[[#This Row],[FECHA DE FACTURACIÓN]])</f>
        <v>2022</v>
      </c>
      <c r="W298" s="88">
        <f>+MATCH(PROVEEDORES[[#This Row],[año facturado]],Retenciones!$1:$1,0)</f>
        <v>5</v>
      </c>
      <c r="X298" s="89">
        <f>+VLOOKUP(PROVEEDORES[[#This Row],[ID RETENCION]],Retenciones!$A$1:$O$25,PROVEEDORES[[#This Row],[indicador de columna]],FALSE)</f>
        <v>0</v>
      </c>
      <c r="Y298" s="90">
        <f>+VLOOKUP(PROVEEDORES[[#This Row],[ID RETENCION]],Retenciones!$A$1:$O$25,2,FALSE)</f>
        <v>3.5000000000000003E-2</v>
      </c>
      <c r="Z298" s="116" t="b">
        <f>OR(COUNTIF(PROVEEDORES[[#This Row],[PROVEEDOR]],"*"&amp;'Palabra no opera'!$A$2&amp;"*"))</f>
        <v>1</v>
      </c>
      <c r="AA298" s="24"/>
      <c r="AB298" s="24"/>
      <c r="AC298" s="24"/>
      <c r="AD298" s="24"/>
      <c r="AE298" s="24"/>
    </row>
    <row r="299" spans="1:31" ht="22.35" customHeight="1" x14ac:dyDescent="0.3">
      <c r="A299" s="61" t="str">
        <f>+IF(PROVEEDORES[[#This Row],[FECHA DE PAGO]]=PROVEEDORES[[#This Row],[FECHA DE FACTURACIÓN]],"DE CONTADO","CRÉDITO")</f>
        <v>CRÉDITO</v>
      </c>
      <c r="B299" s="38" t="str">
        <f>+IF((PROVEEDORES[[#This Row],[FECHA DE PAGO]]-PROVEEDORES[[#This Row],[FECHA DE FACTURACIÓN]])&gt;PROVEEDORES[[#This Row],[PLAZO Días]],"PAGO VENCIDO")</f>
        <v>PAGO VENCIDO</v>
      </c>
      <c r="C299" s="20">
        <f>+VLOOKUP(PROVEEDORES[[#This Row],[PROVEEDOR]],TERCEROS_INFO[#All],2,FALSE)</f>
        <v>20</v>
      </c>
      <c r="D299" s="25">
        <f>+SUMIFS(PROVEEDORES[Total],PROVEEDORES[PROVEEDOR],PROVEEDORES[[#This Row],[PROVEEDOR]],PROVEEDORES[FECHA DE PAGO],"")</f>
        <v>0</v>
      </c>
      <c r="E299" s="25"/>
      <c r="F299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99" s="68">
        <v>44678</v>
      </c>
      <c r="H299" s="26" t="s">
        <v>652</v>
      </c>
      <c r="I299" s="68">
        <v>44652</v>
      </c>
      <c r="J299" s="35" t="s">
        <v>604</v>
      </c>
      <c r="K299" s="21">
        <v>0</v>
      </c>
      <c r="L299" s="21"/>
      <c r="M299" s="22">
        <f>(PROVEEDORES[[#This Row],[SUBTOTAL]]-PROVEEDORES[[#This Row],[descuento sobre subtotal]])*VLOOKUP(PROVEEDORES[[#This Row],[PROVEEDOR]],TERCEROS_INFO[#All],3,FALSE)</f>
        <v>0</v>
      </c>
      <c r="N299" s="23"/>
      <c r="O299" s="22">
        <f>+PROVEEDORES[[#This Row],[Descuento sobre subtotal %]]*(PROVEEDORES[[#This Row],[SUBTOTAL]]-PROVEEDORES[[#This Row],[descuento sobre subtotal]])</f>
        <v>0</v>
      </c>
      <c r="P299" s="74">
        <f>+IF(PROVEEDORES[[#This Row],[SUBTOTAL]]&lt;PROVEEDORES[[#This Row],[base retencion]],0,PROVEEDORES[[#This Row],[retención aplicada]])</f>
        <v>3.5000000000000003E-2</v>
      </c>
      <c r="Q299" s="22">
        <f>+PROVEEDORES[[#This Row],[Rete Fuente %]]*(PROVEEDORES[[#This Row],[SUBTOTAL]]-PROVEEDORES[[#This Row],[descuento sobre subtotal]])</f>
        <v>0</v>
      </c>
      <c r="R299" s="21">
        <v>47260</v>
      </c>
      <c r="S29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63">
        <f ca="1">IF(PROVEEDORES[[#This Row],[FECHA DE PAGO]]=0,TODAY()-PROVEEDORES[[#This Row],[FECHA DE FACTURACIÓN]]-PROVEEDORES[[#This Row],[PLAZO Días]],0)</f>
        <v>0</v>
      </c>
      <c r="U299" s="87" t="str">
        <f>+VLOOKUP(PROVEEDORES[[#This Row],[PROVEEDOR]],Terceros!$A:$D,4,FALSE)</f>
        <v>3,5% sin base</v>
      </c>
      <c r="V299" s="88">
        <f>+YEAR(PROVEEDORES[[#This Row],[FECHA DE FACTURACIÓN]])</f>
        <v>2022</v>
      </c>
      <c r="W299" s="88">
        <f>+MATCH(PROVEEDORES[[#This Row],[año facturado]],Retenciones!$1:$1,0)</f>
        <v>5</v>
      </c>
      <c r="X299" s="89">
        <f>+VLOOKUP(PROVEEDORES[[#This Row],[ID RETENCION]],Retenciones!$A$1:$O$25,PROVEEDORES[[#This Row],[indicador de columna]],FALSE)</f>
        <v>0</v>
      </c>
      <c r="Y299" s="90">
        <f>+VLOOKUP(PROVEEDORES[[#This Row],[ID RETENCION]],Retenciones!$A$1:$O$25,2,FALSE)</f>
        <v>3.5000000000000003E-2</v>
      </c>
      <c r="Z299" s="117" t="b">
        <f>OR(COUNTIF(PROVEEDORES[[#This Row],[PROVEEDOR]],"*"&amp;'Palabra no opera'!$A$2&amp;"*"))</f>
        <v>1</v>
      </c>
      <c r="AA299" s="24"/>
      <c r="AB299" s="24"/>
      <c r="AC299" s="24"/>
      <c r="AD299" s="24"/>
      <c r="AE299" s="24"/>
    </row>
    <row r="300" spans="1:31" ht="22.35" customHeight="1" x14ac:dyDescent="0.3">
      <c r="A300" s="61" t="str">
        <f>+IF(PROVEEDORES[[#This Row],[FECHA DE PAGO]]=PROVEEDORES[[#This Row],[FECHA DE FACTURACIÓN]],"DE CONTADO","CRÉDITO")</f>
        <v>CRÉDITO</v>
      </c>
      <c r="B300" s="38" t="str">
        <f>+IF((PROVEEDORES[[#This Row],[FECHA DE PAGO]]-PROVEEDORES[[#This Row],[FECHA DE FACTURACIÓN]])&gt;PROVEEDORES[[#This Row],[PLAZO Días]],"PAGO VENCIDO")</f>
        <v>PAGO VENCIDO</v>
      </c>
      <c r="C300" s="20">
        <f>+VLOOKUP(PROVEEDORES[[#This Row],[PROVEEDOR]],TERCEROS_INFO[#All],2,FALSE)</f>
        <v>20</v>
      </c>
      <c r="D300" s="25">
        <f>+SUMIFS(PROVEEDORES[Total],PROVEEDORES[PROVEEDOR],PROVEEDORES[[#This Row],[PROVEEDOR]],PROVEEDORES[FECHA DE PAGO],"")</f>
        <v>0</v>
      </c>
      <c r="E300" s="25"/>
      <c r="F300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300" s="68">
        <v>44678</v>
      </c>
      <c r="H300" s="26" t="s">
        <v>652</v>
      </c>
      <c r="I300" s="68">
        <v>44652</v>
      </c>
      <c r="J300" s="35">
        <v>42651</v>
      </c>
      <c r="K300" s="21">
        <v>4430000</v>
      </c>
      <c r="L300" s="21"/>
      <c r="M300" s="22">
        <f>(PROVEEDORES[[#This Row],[SUBTOTAL]]-PROVEEDORES[[#This Row],[descuento sobre subtotal]])*VLOOKUP(PROVEEDORES[[#This Row],[PROVEEDOR]],TERCEROS_INFO[#All],3,FALSE)</f>
        <v>841700</v>
      </c>
      <c r="N300" s="23"/>
      <c r="O300" s="22">
        <f>+PROVEEDORES[[#This Row],[Descuento sobre subtotal %]]*(PROVEEDORES[[#This Row],[SUBTOTAL]]-PROVEEDORES[[#This Row],[descuento sobre subtotal]])</f>
        <v>0</v>
      </c>
      <c r="P300" s="74">
        <f>+IF(PROVEEDORES[[#This Row],[SUBTOTAL]]&lt;PROVEEDORES[[#This Row],[base retencion]],0,PROVEEDORES[[#This Row],[retención aplicada]])</f>
        <v>3.5000000000000003E-2</v>
      </c>
      <c r="Q300" s="22">
        <f>+PROVEEDORES[[#This Row],[Rete Fuente %]]*(PROVEEDORES[[#This Row],[SUBTOTAL]]-PROVEEDORES[[#This Row],[descuento sobre subtotal]])</f>
        <v>155050.00000000003</v>
      </c>
      <c r="R300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30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63">
        <f ca="1">IF(PROVEEDORES[[#This Row],[FECHA DE PAGO]]=0,TODAY()-PROVEEDORES[[#This Row],[FECHA DE FACTURACIÓN]]-PROVEEDORES[[#This Row],[PLAZO Días]],0)</f>
        <v>0</v>
      </c>
      <c r="U300" s="87" t="str">
        <f>+VLOOKUP(PROVEEDORES[[#This Row],[PROVEEDOR]],Terceros!$A:$D,4,FALSE)</f>
        <v>3,5% sin base</v>
      </c>
      <c r="V300" s="88">
        <f>+YEAR(PROVEEDORES[[#This Row],[FECHA DE FACTURACIÓN]])</f>
        <v>2022</v>
      </c>
      <c r="W300" s="88">
        <f>+MATCH(PROVEEDORES[[#This Row],[año facturado]],Retenciones!$1:$1,0)</f>
        <v>5</v>
      </c>
      <c r="X300" s="89">
        <f>+VLOOKUP(PROVEEDORES[[#This Row],[ID RETENCION]],Retenciones!$A$1:$O$25,PROVEEDORES[[#This Row],[indicador de columna]],FALSE)</f>
        <v>0</v>
      </c>
      <c r="Y300" s="90">
        <f>+VLOOKUP(PROVEEDORES[[#This Row],[ID RETENCION]],Retenciones!$A$1:$O$25,2,FALSE)</f>
        <v>3.5000000000000003E-2</v>
      </c>
      <c r="Z300" s="117" t="b">
        <f>OR(COUNTIF(PROVEEDORES[[#This Row],[PROVEEDOR]],"*"&amp;'Palabra no opera'!$A$2&amp;"*"))</f>
        <v>1</v>
      </c>
      <c r="AA300" s="24"/>
      <c r="AB300" s="24"/>
      <c r="AC300" s="24"/>
      <c r="AD300" s="24"/>
      <c r="AE300" s="24"/>
    </row>
    <row r="301" spans="1:31" ht="22.35" customHeight="1" x14ac:dyDescent="0.3">
      <c r="A301" s="114" t="str">
        <f>+IF(PROVEEDORES[[#This Row],[FECHA DE PAGO]]=PROVEEDORES[[#This Row],[FECHA DE FACTURACIÓN]],"DE CONTADO","CRÉDITO")</f>
        <v>DE CONTADO</v>
      </c>
      <c r="B301" s="38" t="b">
        <f>+IF((PROVEEDORES[[#This Row],[FECHA DE PAGO]]-PROVEEDORES[[#This Row],[FECHA DE FACTURACIÓN]])&gt;PROVEEDORES[[#This Row],[PLAZO Días]],"PAGO VENCIDO")</f>
        <v>0</v>
      </c>
      <c r="C301" s="20">
        <f>+VLOOKUP(PROVEEDORES[[#This Row],[PROVEEDOR]],TERCEROS_INFO[#All],2,FALSE)</f>
        <v>30</v>
      </c>
      <c r="D301" s="25">
        <f>+SUMIFS(PROVEEDORES[Total],PROVEEDORES[PROVEEDOR],PROVEEDORES[[#This Row],[PROVEEDOR]],PROVEEDORES[FECHA DE PAGO],"")</f>
        <v>0</v>
      </c>
      <c r="E301" s="25"/>
      <c r="F301" s="56" t="str">
        <f>+VLOOKUP(PROVEEDORES[[#This Row],[PROVEEDOR]],
                       Terceros!$A:$F,
                       5,
                       FALSE)</f>
        <v/>
      </c>
      <c r="G301" s="68">
        <v>44680</v>
      </c>
      <c r="H301" s="26" t="s">
        <v>378</v>
      </c>
      <c r="I301" s="68">
        <v>44680</v>
      </c>
      <c r="J301" s="35" t="s">
        <v>903</v>
      </c>
      <c r="K301" s="21">
        <v>1300000</v>
      </c>
      <c r="L301" s="21"/>
      <c r="M301" s="22">
        <f>(PROVEEDORES[[#This Row],[SUBTOTAL]]-PROVEEDORES[[#This Row],[descuento sobre subtotal]])*VLOOKUP(PROVEEDORES[[#This Row],[PROVEEDOR]],TERCEROS_INFO[#All],3,FALSE)</f>
        <v>0</v>
      </c>
      <c r="N301" s="23"/>
      <c r="O301" s="22">
        <f>+PROVEEDORES[[#This Row],[Descuento sobre subtotal %]]*(PROVEEDORES[[#This Row],[SUBTOTAL]]-PROVEEDORES[[#This Row],[descuento sobre subtotal]])</f>
        <v>0</v>
      </c>
      <c r="P301" s="74">
        <f>+IF(PROVEEDORES[[#This Row],[SUBTOTAL]]&lt;PROVEEDORES[[#This Row],[base retencion]],0,PROVEEDORES[[#This Row],[retención aplicada]])</f>
        <v>0</v>
      </c>
      <c r="Q301" s="22">
        <f>+PROVEEDORES[[#This Row],[Rete Fuente %]]*(PROVEEDORES[[#This Row],[SUBTOTAL]]-PROVEEDORES[[#This Row],[descuento sobre subtotal]])</f>
        <v>0</v>
      </c>
      <c r="R301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301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63">
        <f ca="1">IF(PROVEEDORES[[#This Row],[FECHA DE PAGO]]=0,TODAY()-PROVEEDORES[[#This Row],[FECHA DE FACTURACIÓN]]-PROVEEDORES[[#This Row],[PLAZO Días]],0)</f>
        <v>0</v>
      </c>
      <c r="U301" s="104">
        <f>+VLOOKUP(PROVEEDORES[[#This Row],[PROVEEDOR]],Terceros!$A:$D,4,FALSE)</f>
        <v>0</v>
      </c>
      <c r="V301" s="105">
        <f>+YEAR(PROVEEDORES[[#This Row],[FECHA DE FACTURACIÓN]])</f>
        <v>2022</v>
      </c>
      <c r="W301" s="105">
        <f>+MATCH(PROVEEDORES[[#This Row],[año facturado]],Retenciones!$1:$1,0)</f>
        <v>5</v>
      </c>
      <c r="X301" s="106">
        <f>+VLOOKUP(PROVEEDORES[[#This Row],[ID RETENCION]],Retenciones!$A$1:$O$25,PROVEEDORES[[#This Row],[indicador de columna]],FALSE)</f>
        <v>0</v>
      </c>
      <c r="Y301" s="107">
        <f>+VLOOKUP(PROVEEDORES[[#This Row],[ID RETENCION]],Retenciones!$A$1:$O$25,2,FALSE)</f>
        <v>0</v>
      </c>
      <c r="Z301" s="116" t="b">
        <f>OR(COUNTIF(PROVEEDORES[[#This Row],[PROVEEDOR]],"*"&amp;'Palabra no opera'!$A$2&amp;"*"))</f>
        <v>0</v>
      </c>
      <c r="AA301" s="24"/>
      <c r="AB301" s="24"/>
      <c r="AC301" s="24"/>
      <c r="AD301" s="24"/>
      <c r="AE301" s="24"/>
    </row>
    <row r="302" spans="1:31" ht="22.35" customHeight="1" x14ac:dyDescent="0.3">
      <c r="A302" s="114" t="str">
        <f>+IF(PROVEEDORES[[#This Row],[FECHA DE PAGO]]=PROVEEDORES[[#This Row],[FECHA DE FACTURACIÓN]],"DE CONTADO","CRÉDITO")</f>
        <v>DE CONTADO</v>
      </c>
      <c r="B302" s="38" t="b">
        <f>+IF((PROVEEDORES[[#This Row],[FECHA DE PAGO]]-PROVEEDORES[[#This Row],[FECHA DE FACTURACIÓN]])&gt;PROVEEDORES[[#This Row],[PLAZO Días]],"PAGO VENCIDO")</f>
        <v>0</v>
      </c>
      <c r="C302" s="20">
        <f>+VLOOKUP(PROVEEDORES[[#This Row],[PROVEEDOR]],TERCEROS_INFO[#All],2,FALSE)</f>
        <v>30</v>
      </c>
      <c r="D302" s="25">
        <f>+SUMIFS(PROVEEDORES[Total],PROVEEDORES[PROVEEDOR],PROVEEDORES[[#This Row],[PROVEEDOR]],PROVEEDORES[FECHA DE PAGO],"")</f>
        <v>0</v>
      </c>
      <c r="E302" s="25"/>
      <c r="F302" s="56" t="str">
        <f>+VLOOKUP(PROVEEDORES[[#This Row],[PROVEEDOR]],
                       Terceros!$A:$F,
                       5,
                       FALSE)</f>
        <v/>
      </c>
      <c r="G302" s="68">
        <v>44680</v>
      </c>
      <c r="H302" s="26" t="s">
        <v>390</v>
      </c>
      <c r="I302" s="68">
        <v>44680</v>
      </c>
      <c r="J302" s="35"/>
      <c r="K302" s="21">
        <v>900000</v>
      </c>
      <c r="L302" s="21"/>
      <c r="M302" s="22">
        <f>(PROVEEDORES[[#This Row],[SUBTOTAL]]-PROVEEDORES[[#This Row],[descuento sobre subtotal]])*VLOOKUP(PROVEEDORES[[#This Row],[PROVEEDOR]],TERCEROS_INFO[#All],3,FALSE)</f>
        <v>0</v>
      </c>
      <c r="N302" s="23"/>
      <c r="O302" s="22">
        <f>+PROVEEDORES[[#This Row],[Descuento sobre subtotal %]]*(PROVEEDORES[[#This Row],[SUBTOTAL]]-PROVEEDORES[[#This Row],[descuento sobre subtotal]])</f>
        <v>0</v>
      </c>
      <c r="P302" s="74">
        <f>+IF(PROVEEDORES[[#This Row],[SUBTOTAL]]&lt;PROVEEDORES[[#This Row],[base retencion]],0,PROVEEDORES[[#This Row],[retención aplicada]])</f>
        <v>0</v>
      </c>
      <c r="Q302" s="22">
        <f>+PROVEEDORES[[#This Row],[Rete Fuente %]]*(PROVEEDORES[[#This Row],[SUBTOTAL]]-PROVEEDORES[[#This Row],[descuento sobre subtotal]])</f>
        <v>0</v>
      </c>
      <c r="R302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302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63">
        <f ca="1">IF(PROVEEDORES[[#This Row],[FECHA DE PAGO]]=0,TODAY()-PROVEEDORES[[#This Row],[FECHA DE FACTURACIÓN]]-PROVEEDORES[[#This Row],[PLAZO Días]],0)</f>
        <v>0</v>
      </c>
      <c r="U302" s="104">
        <f>+VLOOKUP(PROVEEDORES[[#This Row],[PROVEEDOR]],Terceros!$A:$D,4,FALSE)</f>
        <v>0</v>
      </c>
      <c r="V302" s="105">
        <f>+YEAR(PROVEEDORES[[#This Row],[FECHA DE FACTURACIÓN]])</f>
        <v>2022</v>
      </c>
      <c r="W302" s="105">
        <f>+MATCH(PROVEEDORES[[#This Row],[año facturado]],Retenciones!$1:$1,0)</f>
        <v>5</v>
      </c>
      <c r="X302" s="106">
        <f>+VLOOKUP(PROVEEDORES[[#This Row],[ID RETENCION]],Retenciones!$A$1:$O$25,PROVEEDORES[[#This Row],[indicador de columna]],FALSE)</f>
        <v>0</v>
      </c>
      <c r="Y302" s="107">
        <f>+VLOOKUP(PROVEEDORES[[#This Row],[ID RETENCION]],Retenciones!$A$1:$O$25,2,FALSE)</f>
        <v>0</v>
      </c>
      <c r="Z302" s="116" t="b">
        <f>OR(COUNTIF(PROVEEDORES[[#This Row],[PROVEEDOR]],"*"&amp;'Palabra no opera'!$A$2&amp;"*"))</f>
        <v>0</v>
      </c>
      <c r="AA302" s="24"/>
      <c r="AB302" s="24"/>
      <c r="AC302" s="24"/>
      <c r="AD302" s="24"/>
      <c r="AE302" s="24"/>
    </row>
    <row r="303" spans="1:31" ht="22.35" customHeight="1" x14ac:dyDescent="0.3">
      <c r="A303" s="67" t="str">
        <f>+IF(PROVEEDORES[[#This Row],[FECHA DE PAGO]]=PROVEEDORES[[#This Row],[FECHA DE FACTURACIÓN]],"DE CONTADO","CRÉDITO")</f>
        <v>DE CONTADO</v>
      </c>
      <c r="B303" s="38" t="b">
        <f>+IF((PROVEEDORES[[#This Row],[FECHA DE PAGO]]-PROVEEDORES[[#This Row],[FECHA DE FACTURACIÓN]])&gt;PROVEEDORES[[#This Row],[PLAZO Días]],"PAGO VENCIDO")</f>
        <v>0</v>
      </c>
      <c r="C303" s="20">
        <f>+VLOOKUP(PROVEEDORES[[#This Row],[PROVEEDOR]],TERCEROS_INFO[#All],2,FALSE)</f>
        <v>30</v>
      </c>
      <c r="D303" s="25">
        <f>+SUMIFS(PROVEEDORES[Total],PROVEEDORES[PROVEEDOR],PROVEEDORES[[#This Row],[PROVEEDOR]],PROVEEDORES[FECHA DE PAGO],"")</f>
        <v>0</v>
      </c>
      <c r="E303" s="25"/>
      <c r="F303" s="56" t="str">
        <f>+VLOOKUP(PROVEEDORES[[#This Row],[PROVEEDOR]],
                       Terceros!$A:$F,
                       5,
                       FALSE)</f>
        <v/>
      </c>
      <c r="G303" s="68">
        <v>44681</v>
      </c>
      <c r="H303" s="26" t="s">
        <v>362</v>
      </c>
      <c r="I303" s="68">
        <v>44681</v>
      </c>
      <c r="J303" s="35" t="s">
        <v>655</v>
      </c>
      <c r="K303" s="21">
        <v>118000</v>
      </c>
      <c r="L303" s="21"/>
      <c r="M303" s="22">
        <f>(PROVEEDORES[[#This Row],[SUBTOTAL]]-PROVEEDORES[[#This Row],[descuento sobre subtotal]])*VLOOKUP(PROVEEDORES[[#This Row],[PROVEEDOR]],TERCEROS_INFO[#All],3,FALSE)</f>
        <v>0</v>
      </c>
      <c r="N303" s="23"/>
      <c r="O303" s="22">
        <f>+PROVEEDORES[[#This Row],[Descuento sobre subtotal %]]*(PROVEEDORES[[#This Row],[SUBTOTAL]]-PROVEEDORES[[#This Row],[descuento sobre subtotal]])</f>
        <v>0</v>
      </c>
      <c r="P303" s="74">
        <f>+IF(PROVEEDORES[[#This Row],[SUBTOTAL]]&lt;PROVEEDORES[[#This Row],[base retencion]],0,PROVEEDORES[[#This Row],[retención aplicada]])</f>
        <v>0</v>
      </c>
      <c r="Q303" s="22">
        <f>+PROVEEDORES[[#This Row],[Rete Fuente %]]*(PROVEEDORES[[#This Row],[SUBTOTAL]]-PROVEEDORES[[#This Row],[descuento sobre subtotal]])</f>
        <v>0</v>
      </c>
      <c r="R303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3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63">
        <f ca="1">IF(PROVEEDORES[[#This Row],[FECHA DE PAGO]]=0,TODAY()-PROVEEDORES[[#This Row],[FECHA DE FACTURACIÓN]]-PROVEEDORES[[#This Row],[PLAZO Días]],0)</f>
        <v>0</v>
      </c>
      <c r="U303" s="104">
        <f>+VLOOKUP(PROVEEDORES[[#This Row],[PROVEEDOR]],Terceros!$A:$D,4,FALSE)</f>
        <v>0</v>
      </c>
      <c r="V303" s="105">
        <f>+YEAR(PROVEEDORES[[#This Row],[FECHA DE FACTURACIÓN]])</f>
        <v>2022</v>
      </c>
      <c r="W303" s="105">
        <f>+MATCH(PROVEEDORES[[#This Row],[año facturado]],Retenciones!$1:$1,0)</f>
        <v>5</v>
      </c>
      <c r="X303" s="106">
        <f>+VLOOKUP(PROVEEDORES[[#This Row],[ID RETENCION]],Retenciones!$A$1:$O$25,PROVEEDORES[[#This Row],[indicador de columna]],FALSE)</f>
        <v>0</v>
      </c>
      <c r="Y303" s="107">
        <f>+VLOOKUP(PROVEEDORES[[#This Row],[ID RETENCION]],Retenciones!$A$1:$O$25,2,FALSE)</f>
        <v>0</v>
      </c>
      <c r="Z303" s="116" t="b">
        <f>OR(COUNTIF(PROVEEDORES[[#This Row],[PROVEEDOR]],"*"&amp;'Palabra no opera'!$A$2&amp;"*"))</f>
        <v>0</v>
      </c>
      <c r="AA303" s="24"/>
      <c r="AB303" s="24"/>
      <c r="AC303" s="24"/>
      <c r="AD303" s="24"/>
      <c r="AE303" s="24"/>
    </row>
    <row r="304" spans="1:31" ht="22.35" customHeight="1" x14ac:dyDescent="0.3">
      <c r="A304" s="67" t="str">
        <f>+IF(PROVEEDORES[[#This Row],[FECHA DE PAGO]]=PROVEEDORES[[#This Row],[FECHA DE FACTURACIÓN]],"DE CONTADO","CRÉDITO")</f>
        <v>DE CONTADO</v>
      </c>
      <c r="B304" s="38" t="b">
        <f>+IF((PROVEEDORES[[#This Row],[FECHA DE PAGO]]-PROVEEDORES[[#This Row],[FECHA DE FACTURACIÓN]])&gt;PROVEEDORES[[#This Row],[PLAZO Días]],"PAGO VENCIDO")</f>
        <v>0</v>
      </c>
      <c r="C304" s="20">
        <f>+VLOOKUP(PROVEEDORES[[#This Row],[PROVEEDOR]],TERCEROS_INFO[#All],2,FALSE)</f>
        <v>30</v>
      </c>
      <c r="D304" s="25">
        <f>+SUMIFS(PROVEEDORES[Total],PROVEEDORES[PROVEEDOR],PROVEEDORES[[#This Row],[PROVEEDOR]],PROVEEDORES[FECHA DE PAGO],"")</f>
        <v>0</v>
      </c>
      <c r="E304" s="25"/>
      <c r="F304" s="56" t="str">
        <f>+VLOOKUP(PROVEEDORES[[#This Row],[PROVEEDOR]],
                       Terceros!$A:$F,
                       5,
                       FALSE)</f>
        <v/>
      </c>
      <c r="G304" s="68">
        <v>44681</v>
      </c>
      <c r="H304" s="26" t="s">
        <v>362</v>
      </c>
      <c r="I304" s="68">
        <v>44681</v>
      </c>
      <c r="J304" s="35" t="s">
        <v>317</v>
      </c>
      <c r="K304" s="21">
        <v>126000</v>
      </c>
      <c r="L304" s="21"/>
      <c r="M304" s="22">
        <f>(PROVEEDORES[[#This Row],[SUBTOTAL]]-PROVEEDORES[[#This Row],[descuento sobre subtotal]])*VLOOKUP(PROVEEDORES[[#This Row],[PROVEEDOR]],TERCEROS_INFO[#All],3,FALSE)</f>
        <v>0</v>
      </c>
      <c r="N304" s="23"/>
      <c r="O304" s="22">
        <f>+PROVEEDORES[[#This Row],[Descuento sobre subtotal %]]*(PROVEEDORES[[#This Row],[SUBTOTAL]]-PROVEEDORES[[#This Row],[descuento sobre subtotal]])</f>
        <v>0</v>
      </c>
      <c r="P304" s="74">
        <f>+IF(PROVEEDORES[[#This Row],[SUBTOTAL]]&lt;PROVEEDORES[[#This Row],[base retencion]],0,PROVEEDORES[[#This Row],[retención aplicada]])</f>
        <v>0</v>
      </c>
      <c r="Q304" s="22">
        <f>+PROVEEDORES[[#This Row],[Rete Fuente %]]*(PROVEEDORES[[#This Row],[SUBTOTAL]]-PROVEEDORES[[#This Row],[descuento sobre subtotal]])</f>
        <v>0</v>
      </c>
      <c r="R304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3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63">
        <f ca="1">IF(PROVEEDORES[[#This Row],[FECHA DE PAGO]]=0,TODAY()-PROVEEDORES[[#This Row],[FECHA DE FACTURACIÓN]]-PROVEEDORES[[#This Row],[PLAZO Días]],0)</f>
        <v>0</v>
      </c>
      <c r="U304" s="104">
        <f>+VLOOKUP(PROVEEDORES[[#This Row],[PROVEEDOR]],Terceros!$A:$D,4,FALSE)</f>
        <v>0</v>
      </c>
      <c r="V304" s="105">
        <f>+YEAR(PROVEEDORES[[#This Row],[FECHA DE FACTURACIÓN]])</f>
        <v>2022</v>
      </c>
      <c r="W304" s="105">
        <f>+MATCH(PROVEEDORES[[#This Row],[año facturado]],Retenciones!$1:$1,0)</f>
        <v>5</v>
      </c>
      <c r="X304" s="106">
        <f>+VLOOKUP(PROVEEDORES[[#This Row],[ID RETENCION]],Retenciones!$A$1:$O$25,PROVEEDORES[[#This Row],[indicador de columna]],FALSE)</f>
        <v>0</v>
      </c>
      <c r="Y304" s="107">
        <f>+VLOOKUP(PROVEEDORES[[#This Row],[ID RETENCION]],Retenciones!$A$1:$O$25,2,FALSE)</f>
        <v>0</v>
      </c>
      <c r="Z304" s="116" t="b">
        <f>OR(COUNTIF(PROVEEDORES[[#This Row],[PROVEEDOR]],"*"&amp;'Palabra no opera'!$A$2&amp;"*"))</f>
        <v>0</v>
      </c>
      <c r="AA304" s="24"/>
      <c r="AB304" s="24"/>
      <c r="AC304" s="24"/>
      <c r="AD304" s="24"/>
      <c r="AE304" s="24"/>
    </row>
    <row r="305" spans="1:31" ht="22.35" customHeight="1" x14ac:dyDescent="0.3">
      <c r="A305" s="67" t="str">
        <f>+IF(PROVEEDORES[[#This Row],[FECHA DE PAGO]]=PROVEEDORES[[#This Row],[FECHA DE FACTURACIÓN]],"DE CONTADO","CRÉDITO")</f>
        <v>DE CONTADO</v>
      </c>
      <c r="B305" s="38" t="b">
        <f>+IF((PROVEEDORES[[#This Row],[FECHA DE PAGO]]-PROVEEDORES[[#This Row],[FECHA DE FACTURACIÓN]])&gt;PROVEEDORES[[#This Row],[PLAZO Días]],"PAGO VENCIDO")</f>
        <v>0</v>
      </c>
      <c r="C305" s="20">
        <f>+VLOOKUP(PROVEEDORES[[#This Row],[PROVEEDOR]],TERCEROS_INFO[#All],2,FALSE)</f>
        <v>30</v>
      </c>
      <c r="D305" s="25">
        <f>+SUMIFS(PROVEEDORES[Total],PROVEEDORES[PROVEEDOR],PROVEEDORES[[#This Row],[PROVEEDOR]],PROVEEDORES[FECHA DE PAGO],"")</f>
        <v>0</v>
      </c>
      <c r="E305" s="25"/>
      <c r="F305" s="56" t="str">
        <f>+VLOOKUP(PROVEEDORES[[#This Row],[PROVEEDOR]],
                       Terceros!$A:$F,
                       5,
                       FALSE)</f>
        <v/>
      </c>
      <c r="G305" s="68">
        <v>44681</v>
      </c>
      <c r="H305" s="26" t="s">
        <v>362</v>
      </c>
      <c r="I305" s="68">
        <v>44681</v>
      </c>
      <c r="J305" s="35" t="s">
        <v>319</v>
      </c>
      <c r="K305" s="21">
        <v>370000</v>
      </c>
      <c r="L305" s="21"/>
      <c r="M305" s="22">
        <f>(PROVEEDORES[[#This Row],[SUBTOTAL]]-PROVEEDORES[[#This Row],[descuento sobre subtotal]])*VLOOKUP(PROVEEDORES[[#This Row],[PROVEEDOR]],TERCEROS_INFO[#All],3,FALSE)</f>
        <v>0</v>
      </c>
      <c r="N305" s="23"/>
      <c r="O305" s="22">
        <f>+PROVEEDORES[[#This Row],[Descuento sobre subtotal %]]*(PROVEEDORES[[#This Row],[SUBTOTAL]]-PROVEEDORES[[#This Row],[descuento sobre subtotal]])</f>
        <v>0</v>
      </c>
      <c r="P305" s="74">
        <f>+IF(PROVEEDORES[[#This Row],[SUBTOTAL]]&lt;PROVEEDORES[[#This Row],[base retencion]],0,PROVEEDORES[[#This Row],[retención aplicada]])</f>
        <v>0</v>
      </c>
      <c r="Q305" s="22">
        <f>+PROVEEDORES[[#This Row],[Rete Fuente %]]*(PROVEEDORES[[#This Row],[SUBTOTAL]]-PROVEEDORES[[#This Row],[descuento sobre subtotal]])</f>
        <v>0</v>
      </c>
      <c r="R305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3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63">
        <f ca="1">IF(PROVEEDORES[[#This Row],[FECHA DE PAGO]]=0,TODAY()-PROVEEDORES[[#This Row],[FECHA DE FACTURACIÓN]]-PROVEEDORES[[#This Row],[PLAZO Días]],0)</f>
        <v>0</v>
      </c>
      <c r="U305" s="104">
        <f>+VLOOKUP(PROVEEDORES[[#This Row],[PROVEEDOR]],Terceros!$A:$D,4,FALSE)</f>
        <v>0</v>
      </c>
      <c r="V305" s="105">
        <f>+YEAR(PROVEEDORES[[#This Row],[FECHA DE FACTURACIÓN]])</f>
        <v>2022</v>
      </c>
      <c r="W305" s="105">
        <f>+MATCH(PROVEEDORES[[#This Row],[año facturado]],Retenciones!$1:$1,0)</f>
        <v>5</v>
      </c>
      <c r="X305" s="106">
        <f>+VLOOKUP(PROVEEDORES[[#This Row],[ID RETENCION]],Retenciones!$A$1:$O$25,PROVEEDORES[[#This Row],[indicador de columna]],FALSE)</f>
        <v>0</v>
      </c>
      <c r="Y305" s="107">
        <f>+VLOOKUP(PROVEEDORES[[#This Row],[ID RETENCION]],Retenciones!$A$1:$O$25,2,FALSE)</f>
        <v>0</v>
      </c>
      <c r="Z305" s="116" t="b">
        <f>OR(COUNTIF(PROVEEDORES[[#This Row],[PROVEEDOR]],"*"&amp;'Palabra no opera'!$A$2&amp;"*"))</f>
        <v>0</v>
      </c>
      <c r="AA305" s="24"/>
      <c r="AB305" s="24"/>
      <c r="AC305" s="24"/>
      <c r="AD305" s="24"/>
      <c r="AE305" s="24"/>
    </row>
    <row r="306" spans="1:31" ht="22.35" customHeight="1" x14ac:dyDescent="0.3">
      <c r="A306" s="67" t="str">
        <f>+IF(PROVEEDORES[[#This Row],[FECHA DE PAGO]]=PROVEEDORES[[#This Row],[FECHA DE FACTURACIÓN]],"DE CONTADO","CRÉDITO")</f>
        <v>DE CONTADO</v>
      </c>
      <c r="B306" s="38" t="b">
        <f>+IF((PROVEEDORES[[#This Row],[FECHA DE PAGO]]-PROVEEDORES[[#This Row],[FECHA DE FACTURACIÓN]])&gt;PROVEEDORES[[#This Row],[PLAZO Días]],"PAGO VENCIDO")</f>
        <v>0</v>
      </c>
      <c r="C306" s="20">
        <f>+VLOOKUP(PROVEEDORES[[#This Row],[PROVEEDOR]],TERCEROS_INFO[#All],2,FALSE)</f>
        <v>30</v>
      </c>
      <c r="D306" s="25">
        <f>+SUMIFS(PROVEEDORES[Total],PROVEEDORES[PROVEEDOR],PROVEEDORES[[#This Row],[PROVEEDOR]],PROVEEDORES[FECHA DE PAGO],"")</f>
        <v>0</v>
      </c>
      <c r="E306" s="25"/>
      <c r="F306" s="56" t="str">
        <f>+VLOOKUP(PROVEEDORES[[#This Row],[PROVEEDOR]],
                       Terceros!$A:$F,
                       5,
                       FALSE)</f>
        <v/>
      </c>
      <c r="G306" s="68">
        <v>44681</v>
      </c>
      <c r="H306" s="26" t="s">
        <v>362</v>
      </c>
      <c r="I306" s="68">
        <v>44681</v>
      </c>
      <c r="J306" s="35" t="s">
        <v>318</v>
      </c>
      <c r="K306" s="21">
        <v>447000</v>
      </c>
      <c r="L306" s="21"/>
      <c r="M306" s="22">
        <f>(PROVEEDORES[[#This Row],[SUBTOTAL]]-PROVEEDORES[[#This Row],[descuento sobre subtotal]])*VLOOKUP(PROVEEDORES[[#This Row],[PROVEEDOR]],TERCEROS_INFO[#All],3,FALSE)</f>
        <v>0</v>
      </c>
      <c r="N306" s="23"/>
      <c r="O306" s="22">
        <f>+PROVEEDORES[[#This Row],[Descuento sobre subtotal %]]*(PROVEEDORES[[#This Row],[SUBTOTAL]]-PROVEEDORES[[#This Row],[descuento sobre subtotal]])</f>
        <v>0</v>
      </c>
      <c r="P306" s="74">
        <f>+IF(PROVEEDORES[[#This Row],[SUBTOTAL]]&lt;PROVEEDORES[[#This Row],[base retencion]],0,PROVEEDORES[[#This Row],[retención aplicada]])</f>
        <v>0</v>
      </c>
      <c r="Q306" s="22">
        <f>+PROVEEDORES[[#This Row],[Rete Fuente %]]*(PROVEEDORES[[#This Row],[SUBTOTAL]]-PROVEEDORES[[#This Row],[descuento sobre subtotal]])</f>
        <v>0</v>
      </c>
      <c r="R306" s="21">
        <f>+PROVEEDORES[[#This Row],[SUBTOTAL]]+PROVEEDORES[[#This Row],[IVA 19%]]-PROVEEDORES[[#This Row],[descuento sobre subtotal]]-PROVEEDORES[[#This Row],[Descuento sobre subtotal $2]]-PROVEEDORES[[#This Row],[Rete Fuente $]]</f>
        <v>447000</v>
      </c>
      <c r="S3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63">
        <f ca="1">IF(PROVEEDORES[[#This Row],[FECHA DE PAGO]]=0,TODAY()-PROVEEDORES[[#This Row],[FECHA DE FACTURACIÓN]]-PROVEEDORES[[#This Row],[PLAZO Días]],0)</f>
        <v>0</v>
      </c>
      <c r="U306" s="104">
        <f>+VLOOKUP(PROVEEDORES[[#This Row],[PROVEEDOR]],Terceros!$A:$D,4,FALSE)</f>
        <v>0</v>
      </c>
      <c r="V306" s="105">
        <f>+YEAR(PROVEEDORES[[#This Row],[FECHA DE FACTURACIÓN]])</f>
        <v>2022</v>
      </c>
      <c r="W306" s="105">
        <f>+MATCH(PROVEEDORES[[#This Row],[año facturado]],Retenciones!$1:$1,0)</f>
        <v>5</v>
      </c>
      <c r="X306" s="106">
        <f>+VLOOKUP(PROVEEDORES[[#This Row],[ID RETENCION]],Retenciones!$A$1:$O$25,PROVEEDORES[[#This Row],[indicador de columna]],FALSE)</f>
        <v>0</v>
      </c>
      <c r="Y306" s="107">
        <f>+VLOOKUP(PROVEEDORES[[#This Row],[ID RETENCION]],Retenciones!$A$1:$O$25,2,FALSE)</f>
        <v>0</v>
      </c>
      <c r="Z306" s="116" t="b">
        <f>OR(COUNTIF(PROVEEDORES[[#This Row],[PROVEEDOR]],"*"&amp;'Palabra no opera'!$A$2&amp;"*"))</f>
        <v>0</v>
      </c>
      <c r="AA306" s="24"/>
      <c r="AB306" s="24"/>
      <c r="AC306" s="24"/>
      <c r="AD306" s="24"/>
      <c r="AE306" s="24"/>
    </row>
    <row r="307" spans="1:31" ht="22.35" customHeight="1" x14ac:dyDescent="0.3">
      <c r="A307" s="67" t="str">
        <f>+IF(PROVEEDORES[[#This Row],[FECHA DE PAGO]]=PROVEEDORES[[#This Row],[FECHA DE FACTURACIÓN]],"DE CONTADO","CRÉDITO")</f>
        <v>DE CONTADO</v>
      </c>
      <c r="B307" s="38" t="b">
        <f>+IF((PROVEEDORES[[#This Row],[FECHA DE PAGO]]-PROVEEDORES[[#This Row],[FECHA DE FACTURACIÓN]])&gt;PROVEEDORES[[#This Row],[PLAZO Días]],"PAGO VENCIDO")</f>
        <v>0</v>
      </c>
      <c r="C307" s="20">
        <f>+VLOOKUP(PROVEEDORES[[#This Row],[PROVEEDOR]],TERCEROS_INFO[#All],2,FALSE)</f>
        <v>30</v>
      </c>
      <c r="D307" s="25">
        <f>+SUMIFS(PROVEEDORES[Total],PROVEEDORES[PROVEEDOR],PROVEEDORES[[#This Row],[PROVEEDOR]],PROVEEDORES[FECHA DE PAGO],"")</f>
        <v>0</v>
      </c>
      <c r="E307" s="25"/>
      <c r="F307" s="56" t="str">
        <f>+VLOOKUP(PROVEEDORES[[#This Row],[PROVEEDOR]],
                       Terceros!$A:$F,
                       5,
                       FALSE)</f>
        <v/>
      </c>
      <c r="G307" s="68">
        <v>44681</v>
      </c>
      <c r="H307" s="26" t="s">
        <v>362</v>
      </c>
      <c r="I307" s="68">
        <v>44681</v>
      </c>
      <c r="J307" s="35" t="s">
        <v>139</v>
      </c>
      <c r="K307" s="21">
        <v>775000</v>
      </c>
      <c r="L307" s="21"/>
      <c r="M307" s="22">
        <f>(PROVEEDORES[[#This Row],[SUBTOTAL]]-PROVEEDORES[[#This Row],[descuento sobre subtotal]])*VLOOKUP(PROVEEDORES[[#This Row],[PROVEEDOR]],TERCEROS_INFO[#All],3,FALSE)</f>
        <v>0</v>
      </c>
      <c r="N307" s="23"/>
      <c r="O307" s="22">
        <f>+PROVEEDORES[[#This Row],[Descuento sobre subtotal %]]*(PROVEEDORES[[#This Row],[SUBTOTAL]]-PROVEEDORES[[#This Row],[descuento sobre subtotal]])</f>
        <v>0</v>
      </c>
      <c r="P307" s="74">
        <f>+IF(PROVEEDORES[[#This Row],[SUBTOTAL]]&lt;PROVEEDORES[[#This Row],[base retencion]],0,PROVEEDORES[[#This Row],[retención aplicada]])</f>
        <v>0</v>
      </c>
      <c r="Q307" s="22">
        <f>+PROVEEDORES[[#This Row],[Rete Fuente %]]*(PROVEEDORES[[#This Row],[SUBTOTAL]]-PROVEEDORES[[#This Row],[descuento sobre subtotal]])</f>
        <v>0</v>
      </c>
      <c r="R307" s="21">
        <f>+PROVEEDORES[[#This Row],[SUBTOTAL]]+PROVEEDORES[[#This Row],[IVA 19%]]-PROVEEDORES[[#This Row],[descuento sobre subtotal]]-PROVEEDORES[[#This Row],[Descuento sobre subtotal $2]]-PROVEEDORES[[#This Row],[Rete Fuente $]]</f>
        <v>775000</v>
      </c>
      <c r="S3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63">
        <f ca="1">IF(PROVEEDORES[[#This Row],[FECHA DE PAGO]]=0,TODAY()-PROVEEDORES[[#This Row],[FECHA DE FACTURACIÓN]]-PROVEEDORES[[#This Row],[PLAZO Días]],0)</f>
        <v>0</v>
      </c>
      <c r="U307" s="104">
        <f>+VLOOKUP(PROVEEDORES[[#This Row],[PROVEEDOR]],Terceros!$A:$D,4,FALSE)</f>
        <v>0</v>
      </c>
      <c r="V307" s="105">
        <f>+YEAR(PROVEEDORES[[#This Row],[FECHA DE FACTURACIÓN]])</f>
        <v>2022</v>
      </c>
      <c r="W307" s="105">
        <f>+MATCH(PROVEEDORES[[#This Row],[año facturado]],Retenciones!$1:$1,0)</f>
        <v>5</v>
      </c>
      <c r="X307" s="106">
        <f>+VLOOKUP(PROVEEDORES[[#This Row],[ID RETENCION]],Retenciones!$A$1:$O$25,PROVEEDORES[[#This Row],[indicador de columna]],FALSE)</f>
        <v>0</v>
      </c>
      <c r="Y307" s="107">
        <f>+VLOOKUP(PROVEEDORES[[#This Row],[ID RETENCION]],Retenciones!$A$1:$O$25,2,FALSE)</f>
        <v>0</v>
      </c>
      <c r="Z307" s="116" t="b">
        <f>OR(COUNTIF(PROVEEDORES[[#This Row],[PROVEEDOR]],"*"&amp;'Palabra no opera'!$A$2&amp;"*"))</f>
        <v>0</v>
      </c>
      <c r="AA307" s="24"/>
      <c r="AB307" s="24"/>
      <c r="AC307" s="24"/>
      <c r="AD307" s="24"/>
      <c r="AE307" s="24"/>
    </row>
    <row r="308" spans="1:31" ht="22.35" customHeight="1" x14ac:dyDescent="0.3">
      <c r="A308" s="67" t="str">
        <f>+IF(PROVEEDORES[[#This Row],[FECHA DE PAGO]]=PROVEEDORES[[#This Row],[FECHA DE FACTURACIÓN]],"DE CONTADO","CRÉDITO")</f>
        <v>DE CONTADO</v>
      </c>
      <c r="B308" s="38" t="b">
        <f>+IF((PROVEEDORES[[#This Row],[FECHA DE PAGO]]-PROVEEDORES[[#This Row],[FECHA DE FACTURACIÓN]])&gt;PROVEEDORES[[#This Row],[PLAZO Días]],"PAGO VENCIDO")</f>
        <v>0</v>
      </c>
      <c r="C308" s="20">
        <f>+VLOOKUP(PROVEEDORES[[#This Row],[PROVEEDOR]],TERCEROS_INFO[#All],2,FALSE)</f>
        <v>30</v>
      </c>
      <c r="D308" s="25">
        <f>+SUMIFS(PROVEEDORES[Total],PROVEEDORES[PROVEEDOR],PROVEEDORES[[#This Row],[PROVEEDOR]],PROVEEDORES[FECHA DE PAGO],"")</f>
        <v>0</v>
      </c>
      <c r="E308" s="25"/>
      <c r="F308" s="56" t="str">
        <f>+VLOOKUP(PROVEEDORES[[#This Row],[PROVEEDOR]],
                       Terceros!$A:$F,
                       5,
                       FALSE)</f>
        <v/>
      </c>
      <c r="G308" s="68">
        <v>44681</v>
      </c>
      <c r="H308" s="26" t="s">
        <v>362</v>
      </c>
      <c r="I308" s="68">
        <v>44681</v>
      </c>
      <c r="J308" s="35" t="s">
        <v>316</v>
      </c>
      <c r="K308" s="21">
        <v>2012800</v>
      </c>
      <c r="L308" s="21"/>
      <c r="M308" s="22">
        <f>(PROVEEDORES[[#This Row],[SUBTOTAL]]-PROVEEDORES[[#This Row],[descuento sobre subtotal]])*VLOOKUP(PROVEEDORES[[#This Row],[PROVEEDOR]],TERCEROS_INFO[#All],3,FALSE)</f>
        <v>0</v>
      </c>
      <c r="N308" s="23"/>
      <c r="O308" s="22">
        <f>+PROVEEDORES[[#This Row],[Descuento sobre subtotal %]]*(PROVEEDORES[[#This Row],[SUBTOTAL]]-PROVEEDORES[[#This Row],[descuento sobre subtotal]])</f>
        <v>0</v>
      </c>
      <c r="P308" s="74">
        <f>+IF(PROVEEDORES[[#This Row],[SUBTOTAL]]&lt;PROVEEDORES[[#This Row],[base retencion]],0,PROVEEDORES[[#This Row],[retención aplicada]])</f>
        <v>0</v>
      </c>
      <c r="Q308" s="22">
        <f>+PROVEEDORES[[#This Row],[Rete Fuente %]]*(PROVEEDORES[[#This Row],[SUBTOTAL]]-PROVEEDORES[[#This Row],[descuento sobre subtotal]])</f>
        <v>0</v>
      </c>
      <c r="R308" s="21">
        <f>+PROVEEDORES[[#This Row],[SUBTOTAL]]+PROVEEDORES[[#This Row],[IVA 19%]]-PROVEEDORES[[#This Row],[descuento sobre subtotal]]-PROVEEDORES[[#This Row],[Descuento sobre subtotal $2]]-PROVEEDORES[[#This Row],[Rete Fuente $]]</f>
        <v>2012800</v>
      </c>
      <c r="S3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63">
        <f ca="1">IF(PROVEEDORES[[#This Row],[FECHA DE PAGO]]=0,TODAY()-PROVEEDORES[[#This Row],[FECHA DE FACTURACIÓN]]-PROVEEDORES[[#This Row],[PLAZO Días]],0)</f>
        <v>0</v>
      </c>
      <c r="U308" s="104">
        <f>+VLOOKUP(PROVEEDORES[[#This Row],[PROVEEDOR]],Terceros!$A:$D,4,FALSE)</f>
        <v>0</v>
      </c>
      <c r="V308" s="105">
        <f>+YEAR(PROVEEDORES[[#This Row],[FECHA DE FACTURACIÓN]])</f>
        <v>2022</v>
      </c>
      <c r="W308" s="105">
        <f>+MATCH(PROVEEDORES[[#This Row],[año facturado]],Retenciones!$1:$1,0)</f>
        <v>5</v>
      </c>
      <c r="X308" s="106">
        <f>+VLOOKUP(PROVEEDORES[[#This Row],[ID RETENCION]],Retenciones!$A$1:$O$25,PROVEEDORES[[#This Row],[indicador de columna]],FALSE)</f>
        <v>0</v>
      </c>
      <c r="Y308" s="107">
        <f>+VLOOKUP(PROVEEDORES[[#This Row],[ID RETENCION]],Retenciones!$A$1:$O$25,2,FALSE)</f>
        <v>0</v>
      </c>
      <c r="Z308" s="116" t="b">
        <f>OR(COUNTIF(PROVEEDORES[[#This Row],[PROVEEDOR]],"*"&amp;'Palabra no opera'!$A$2&amp;"*"))</f>
        <v>0</v>
      </c>
      <c r="AA308" s="24"/>
      <c r="AB308" s="24"/>
      <c r="AC308" s="24"/>
      <c r="AD308" s="24"/>
      <c r="AE308" s="24"/>
    </row>
    <row r="309" spans="1:31" ht="22.35" customHeight="1" x14ac:dyDescent="0.3">
      <c r="A309" s="124" t="str">
        <f>+IF(PROVEEDORES[[#This Row],[FECHA DE PAGO]]=PROVEEDORES[[#This Row],[FECHA DE FACTURACIÓN]],"DE CONTADO","CRÉDITO")</f>
        <v>CRÉDITO</v>
      </c>
      <c r="B309" s="38" t="b">
        <f>+IF((PROVEEDORES[[#This Row],[FECHA DE PAGO]]-PROVEEDORES[[#This Row],[FECHA DE FACTURACIÓN]])&gt;PROVEEDORES[[#This Row],[PLAZO Días]],"PAGO VENCIDO")</f>
        <v>0</v>
      </c>
      <c r="C309" s="20">
        <f>+VLOOKUP(PROVEEDORES[[#This Row],[PROVEEDOR]],TERCEROS_INFO[#All],2,FALSE)</f>
        <v>30</v>
      </c>
      <c r="D309" s="25">
        <f>+SUMIFS(PROVEEDORES[Total],PROVEEDORES[PROVEEDOR],PROVEEDORES[[#This Row],[PROVEEDOR]],PROVEEDORES[FECHA DE PAGO],"")</f>
        <v>0</v>
      </c>
      <c r="E309" s="25"/>
      <c r="F309" s="56" t="str">
        <f>+VLOOKUP(PROVEEDORES[[#This Row],[PROVEEDOR]],
                       Terceros!$A:$F,
                       5,
                       FALSE)</f>
        <v/>
      </c>
      <c r="G309" s="68">
        <v>44683</v>
      </c>
      <c r="H309" s="26" t="s">
        <v>356</v>
      </c>
      <c r="I309" s="68">
        <v>44682</v>
      </c>
      <c r="J309" s="126" t="s">
        <v>675</v>
      </c>
      <c r="K309" s="21">
        <v>4438000</v>
      </c>
      <c r="L309" s="21"/>
      <c r="M309" s="22">
        <f>(PROVEEDORES[[#This Row],[SUBTOTAL]]-PROVEEDORES[[#This Row],[descuento sobre subtotal]])*VLOOKUP(PROVEEDORES[[#This Row],[PROVEEDOR]],TERCEROS_INFO[#All],3,FALSE)</f>
        <v>0</v>
      </c>
      <c r="N309" s="23"/>
      <c r="O309" s="22">
        <f>+PROVEEDORES[[#This Row],[Descuento sobre subtotal %]]*(PROVEEDORES[[#This Row],[SUBTOTAL]]-PROVEEDORES[[#This Row],[descuento sobre subtotal]])</f>
        <v>0</v>
      </c>
      <c r="P309" s="74">
        <f>+IF(PROVEEDORES[[#This Row],[SUBTOTAL]]&lt;PROVEEDORES[[#This Row],[base retencion]],0,PROVEEDORES[[#This Row],[retención aplicada]])</f>
        <v>0</v>
      </c>
      <c r="Q309" s="22">
        <f>+PROVEEDORES[[#This Row],[Rete Fuente %]]*(PROVEEDORES[[#This Row],[SUBTOTAL]]-PROVEEDORES[[#This Row],[descuento sobre subtotal]])</f>
        <v>0</v>
      </c>
      <c r="R309" s="21">
        <f>+PROVEEDORES[[#This Row],[SUBTOTAL]]+PROVEEDORES[[#This Row],[IVA 19%]]-PROVEEDORES[[#This Row],[descuento sobre subtotal]]-PROVEEDORES[[#This Row],[Descuento sobre subtotal $2]]-PROVEEDORES[[#This Row],[Rete Fuente $]]</f>
        <v>4438000</v>
      </c>
      <c r="S309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63">
        <f ca="1">IF(PROVEEDORES[[#This Row],[FECHA DE PAGO]]=0,TODAY()-PROVEEDORES[[#This Row],[FECHA DE FACTURACIÓN]]-PROVEEDORES[[#This Row],[PLAZO Días]],0)</f>
        <v>0</v>
      </c>
      <c r="U309" s="104">
        <f>+VLOOKUP(PROVEEDORES[[#This Row],[PROVEEDOR]],Terceros!$A:$D,4,FALSE)</f>
        <v>0</v>
      </c>
      <c r="V309" s="105">
        <f>+YEAR(PROVEEDORES[[#This Row],[FECHA DE FACTURACIÓN]])</f>
        <v>2022</v>
      </c>
      <c r="W309" s="105">
        <f>+MATCH(PROVEEDORES[[#This Row],[año facturado]],Retenciones!$1:$1,0)</f>
        <v>5</v>
      </c>
      <c r="X309" s="106">
        <f>+VLOOKUP(PROVEEDORES[[#This Row],[ID RETENCION]],Retenciones!$A$1:$O$25,PROVEEDORES[[#This Row],[indicador de columna]],FALSE)</f>
        <v>0</v>
      </c>
      <c r="Y309" s="107">
        <f>+VLOOKUP(PROVEEDORES[[#This Row],[ID RETENCION]],Retenciones!$A$1:$O$25,2,FALSE)</f>
        <v>0</v>
      </c>
      <c r="Z309" s="116" t="b">
        <f>OR(COUNTIF(PROVEEDORES[[#This Row],[PROVEEDOR]],"*"&amp;'Palabra no opera'!$A$2&amp;"*"))</f>
        <v>0</v>
      </c>
      <c r="AA309" s="24"/>
      <c r="AB309" s="24"/>
      <c r="AC309" s="24"/>
      <c r="AD309" s="24"/>
      <c r="AE309" s="24"/>
    </row>
    <row r="310" spans="1:31" ht="22.35" customHeight="1" x14ac:dyDescent="0.3">
      <c r="A310" s="129" t="str">
        <f>+IF(PROVEEDORES[[#This Row],[FECHA DE PAGO]]=PROVEEDORES[[#This Row],[FECHA DE FACTURACIÓN]],"DE CONTADO","CRÉDITO")</f>
        <v>CRÉDITO</v>
      </c>
      <c r="B310" s="38" t="b">
        <f>+IF((PROVEEDORES[[#This Row],[FECHA DE PAGO]]-PROVEEDORES[[#This Row],[FECHA DE FACTURACIÓN]])&gt;PROVEEDORES[[#This Row],[PLAZO Días]],"PAGO VENCIDO")</f>
        <v>0</v>
      </c>
      <c r="C310" s="20">
        <f>+VLOOKUP(PROVEEDORES[[#This Row],[PROVEEDOR]],TERCEROS_INFO[#All],2,FALSE)</f>
        <v>30</v>
      </c>
      <c r="D310" s="25">
        <f>+SUMIFS(PROVEEDORES[Total],PROVEEDORES[PROVEEDOR],PROVEEDORES[[#This Row],[PROVEEDOR]],PROVEEDORES[FECHA DE PAGO],"")</f>
        <v>0</v>
      </c>
      <c r="E310" s="25"/>
      <c r="F310" s="56" t="str">
        <f>+VLOOKUP(PROVEEDORES[[#This Row],[PROVEEDOR]],
                       Terceros!$A:$F,
                       5,
                       FALSE)</f>
        <v/>
      </c>
      <c r="G310" s="68">
        <v>44683</v>
      </c>
      <c r="H310" s="26" t="s">
        <v>832</v>
      </c>
      <c r="I310" s="68">
        <v>44699</v>
      </c>
      <c r="J310" s="35" t="s">
        <v>683</v>
      </c>
      <c r="K310" s="21">
        <v>76000</v>
      </c>
      <c r="L310" s="21"/>
      <c r="M310" s="22">
        <f>(PROVEEDORES[[#This Row],[SUBTOTAL]]-PROVEEDORES[[#This Row],[descuento sobre subtotal]])*VLOOKUP(PROVEEDORES[[#This Row],[PROVEEDOR]],TERCEROS_INFO[#All],3,FALSE)</f>
        <v>0</v>
      </c>
      <c r="N310" s="23"/>
      <c r="O310" s="22">
        <f>+PROVEEDORES[[#This Row],[Descuento sobre subtotal %]]*(PROVEEDORES[[#This Row],[SUBTOTAL]]-PROVEEDORES[[#This Row],[descuento sobre subtotal]])</f>
        <v>0</v>
      </c>
      <c r="P310" s="74">
        <f>+IF(PROVEEDORES[[#This Row],[SUBTOTAL]]&lt;PROVEEDORES[[#This Row],[base retencion]],0,PROVEEDORES[[#This Row],[retención aplicada]])</f>
        <v>0</v>
      </c>
      <c r="Q310" s="22">
        <f>+PROVEEDORES[[#This Row],[Rete Fuente %]]*(PROVEEDORES[[#This Row],[SUBTOTAL]]-PROVEEDORES[[#This Row],[descuento sobre subtotal]])</f>
        <v>0</v>
      </c>
      <c r="R310" s="21">
        <f>+PROVEEDORES[[#This Row],[SUBTOTAL]]+PROVEEDORES[[#This Row],[IVA 19%]]-PROVEEDORES[[#This Row],[descuento sobre subtotal]]-PROVEEDORES[[#This Row],[Descuento sobre subtotal $2]]-PROVEEDORES[[#This Row],[Rete Fuente $]]</f>
        <v>76000</v>
      </c>
      <c r="S310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63">
        <f ca="1">IF(PROVEEDORES[[#This Row],[FECHA DE PAGO]]=0,TODAY()-PROVEEDORES[[#This Row],[FECHA DE FACTURACIÓN]]-PROVEEDORES[[#This Row],[PLAZO Días]],0)</f>
        <v>0</v>
      </c>
      <c r="U310" s="104">
        <f>+VLOOKUP(PROVEEDORES[[#This Row],[PROVEEDOR]],Terceros!$A:$D,4,FALSE)</f>
        <v>0</v>
      </c>
      <c r="V310" s="105">
        <f>+YEAR(PROVEEDORES[[#This Row],[FECHA DE FACTURACIÓN]])</f>
        <v>2022</v>
      </c>
      <c r="W310" s="105">
        <f>+MATCH(PROVEEDORES[[#This Row],[año facturado]],Retenciones!$1:$1,0)</f>
        <v>5</v>
      </c>
      <c r="X310" s="106">
        <f>+VLOOKUP(PROVEEDORES[[#This Row],[ID RETENCION]],Retenciones!$A$1:$O$25,PROVEEDORES[[#This Row],[indicador de columna]],FALSE)</f>
        <v>0</v>
      </c>
      <c r="Y310" s="107">
        <f>+VLOOKUP(PROVEEDORES[[#This Row],[ID RETENCION]],Retenciones!$A$1:$O$25,2,FALSE)</f>
        <v>0</v>
      </c>
      <c r="Z310" s="116" t="b">
        <f>OR(COUNTIF(PROVEEDORES[[#This Row],[PROVEEDOR]],"*"&amp;'Palabra no opera'!$A$2&amp;"*"))</f>
        <v>1</v>
      </c>
      <c r="AA310" s="24"/>
      <c r="AB310" s="24"/>
      <c r="AC310" s="24"/>
      <c r="AD310" s="24"/>
      <c r="AE310" s="24"/>
    </row>
    <row r="311" spans="1:31" ht="22.35" customHeight="1" x14ac:dyDescent="0.3">
      <c r="A311" s="61" t="str">
        <f>+IF(PROVEEDORES[[#This Row],[FECHA DE PAGO]]=PROVEEDORES[[#This Row],[FECHA DE FACTURACIÓN]],"DE CONTADO","CRÉDITO")</f>
        <v>CRÉDITO</v>
      </c>
      <c r="B311" s="38" t="str">
        <f>+IF((PROVEEDORES[[#This Row],[FECHA DE PAGO]]-PROVEEDORES[[#This Row],[FECHA DE FACTURACIÓN]])&gt;PROVEEDORES[[#This Row],[PLAZO Días]],"PAGO VENCIDO")</f>
        <v>PAGO VENCIDO</v>
      </c>
      <c r="C311" s="20">
        <f>+VLOOKUP(PROVEEDORES[[#This Row],[PROVEEDOR]],TERCEROS_INFO[#All],2,FALSE)</f>
        <v>30</v>
      </c>
      <c r="D311" s="25">
        <f>+SUMIFS(PROVEEDORES[Total],PROVEEDORES[PROVEEDOR],PROVEEDORES[[#This Row],[PROVEEDOR]],PROVEEDORES[FECHA DE PAGO],"")</f>
        <v>0</v>
      </c>
      <c r="E311" s="25"/>
      <c r="F311" s="56">
        <f>+VLOOKUP(PROVEEDORES[[#This Row],[PROVEEDOR]],
                       Terceros!$A:$F,
                       5,
                       FALSE)</f>
        <v>0</v>
      </c>
      <c r="G311" s="68">
        <v>44684</v>
      </c>
      <c r="H311" s="26" t="s">
        <v>367</v>
      </c>
      <c r="I311" s="68">
        <v>44594</v>
      </c>
      <c r="J311" s="35" t="s">
        <v>901</v>
      </c>
      <c r="K311" s="21">
        <v>1356000</v>
      </c>
      <c r="L311" s="21"/>
      <c r="M311" s="22">
        <f>(PROVEEDORES[[#This Row],[SUBTOTAL]]-PROVEEDORES[[#This Row],[descuento sobre subtotal]])*VLOOKUP(PROVEEDORES[[#This Row],[PROVEEDOR]],TERCEROS_INFO[#All],3,FALSE)</f>
        <v>0</v>
      </c>
      <c r="N311" s="23"/>
      <c r="O311" s="22">
        <f>+PROVEEDORES[[#This Row],[Descuento sobre subtotal %]]*(PROVEEDORES[[#This Row],[SUBTOTAL]]-PROVEEDORES[[#This Row],[descuento sobre subtotal]])</f>
        <v>0</v>
      </c>
      <c r="P311" s="74">
        <f>+IF(PROVEEDORES[[#This Row],[SUBTOTAL]]&lt;PROVEEDORES[[#This Row],[base retencion]],0,PROVEEDORES[[#This Row],[retención aplicada]])</f>
        <v>0</v>
      </c>
      <c r="Q311" s="22">
        <f>+PROVEEDORES[[#This Row],[Rete Fuente %]]*(PROVEEDORES[[#This Row],[SUBTOTAL]]-PROVEEDORES[[#This Row],[descuento sobre subtotal]])</f>
        <v>0</v>
      </c>
      <c r="R311" s="21">
        <f>+PROVEEDORES[[#This Row],[SUBTOTAL]]+PROVEEDORES[[#This Row],[IVA 19%]]-PROVEEDORES[[#This Row],[descuento sobre subtotal]]-PROVEEDORES[[#This Row],[Descuento sobre subtotal $2]]-PROVEEDORES[[#This Row],[Rete Fuente $]]</f>
        <v>1356000</v>
      </c>
      <c r="S31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63">
        <f ca="1">IF(PROVEEDORES[[#This Row],[FECHA DE PAGO]]=0,TODAY()-PROVEEDORES[[#This Row],[FECHA DE FACTURACIÓN]]-PROVEEDORES[[#This Row],[PLAZO Días]],0)</f>
        <v>0</v>
      </c>
      <c r="U311" s="87">
        <f>+VLOOKUP(PROVEEDORES[[#This Row],[PROVEEDOR]],Terceros!$A:$D,4,FALSE)</f>
        <v>0</v>
      </c>
      <c r="V311" s="88">
        <f>+YEAR(PROVEEDORES[[#This Row],[FECHA DE FACTURACIÓN]])</f>
        <v>2022</v>
      </c>
      <c r="W311" s="88">
        <f>+MATCH(PROVEEDORES[[#This Row],[año facturado]],Retenciones!$1:$1,0)</f>
        <v>5</v>
      </c>
      <c r="X311" s="89">
        <f>+VLOOKUP(PROVEEDORES[[#This Row],[ID RETENCION]],Retenciones!$A$1:$O$25,PROVEEDORES[[#This Row],[indicador de columna]],FALSE)</f>
        <v>0</v>
      </c>
      <c r="Y311" s="90">
        <f>+VLOOKUP(PROVEEDORES[[#This Row],[ID RETENCION]],Retenciones!$A$1:$O$25,2,FALSE)</f>
        <v>0</v>
      </c>
      <c r="Z311" s="116" t="b">
        <f>OR(COUNTIF(PROVEEDORES[[#This Row],[PROVEEDOR]],"*"&amp;'Palabra no opera'!$A$2&amp;"*"))</f>
        <v>0</v>
      </c>
      <c r="AA311" s="24"/>
      <c r="AB311" s="24"/>
      <c r="AC311" s="24"/>
      <c r="AD311" s="24"/>
      <c r="AE311" s="24"/>
    </row>
    <row r="312" spans="1:31" ht="22.35" customHeight="1" x14ac:dyDescent="0.3">
      <c r="A312" s="114" t="str">
        <f>+IF(PROVEEDORES[[#This Row],[FECHA DE PAGO]]=PROVEEDORES[[#This Row],[FECHA DE FACTURACIÓN]],"DE CONTADO","CRÉDITO")</f>
        <v>CRÉDITO</v>
      </c>
      <c r="B312" s="38" t="b">
        <f>+IF((PROVEEDORES[[#This Row],[FECHA DE PAGO]]-PROVEEDORES[[#This Row],[FECHA DE FACTURACIÓN]])&gt;PROVEEDORES[[#This Row],[PLAZO Días]],"PAGO VENCIDO")</f>
        <v>0</v>
      </c>
      <c r="C312" s="20">
        <f>+VLOOKUP(PROVEEDORES[[#This Row],[PROVEEDOR]],TERCEROS_INFO[#All],2,FALSE)</f>
        <v>30</v>
      </c>
      <c r="D312" s="25">
        <f>+SUMIFS(PROVEEDORES[Total],PROVEEDORES[PROVEEDOR],PROVEEDORES[[#This Row],[PROVEEDOR]],PROVEEDORES[FECHA DE PAGO],"")</f>
        <v>0</v>
      </c>
      <c r="E312" s="25"/>
      <c r="F312" s="56">
        <f>+VLOOKUP(PROVEEDORES[[#This Row],[PROVEEDOR]],
                       Terceros!$A:$F,
                       5,
                       FALSE)</f>
        <v>0</v>
      </c>
      <c r="G312" s="68">
        <v>44684</v>
      </c>
      <c r="H312" s="26" t="s">
        <v>413</v>
      </c>
      <c r="I312" s="68">
        <v>44707</v>
      </c>
      <c r="J312" s="35" t="s">
        <v>1037</v>
      </c>
      <c r="K312" s="21">
        <v>390000</v>
      </c>
      <c r="L312" s="21"/>
      <c r="M312" s="22">
        <f>(PROVEEDORES[[#This Row],[SUBTOTAL]]-PROVEEDORES[[#This Row],[descuento sobre subtotal]])*VLOOKUP(PROVEEDORES[[#This Row],[PROVEEDOR]],TERCEROS_INFO[#All],3,FALSE)</f>
        <v>0</v>
      </c>
      <c r="N312" s="23"/>
      <c r="O312" s="22">
        <f>+PROVEEDORES[[#This Row],[Descuento sobre subtotal %]]*(PROVEEDORES[[#This Row],[SUBTOTAL]]-PROVEEDORES[[#This Row],[descuento sobre subtotal]])</f>
        <v>0</v>
      </c>
      <c r="P312" s="74">
        <f>+IF(PROVEEDORES[[#This Row],[SUBTOTAL]]&lt;PROVEEDORES[[#This Row],[base retencion]],0,PROVEEDORES[[#This Row],[retención aplicada]])</f>
        <v>0</v>
      </c>
      <c r="Q312" s="22">
        <f>+PROVEEDORES[[#This Row],[Rete Fuente %]]*(PROVEEDORES[[#This Row],[SUBTOTAL]]-PROVEEDORES[[#This Row],[descuento sobre subtotal]])</f>
        <v>0</v>
      </c>
      <c r="R312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312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63">
        <f ca="1">IF(PROVEEDORES[[#This Row],[FECHA DE PAGO]]=0,TODAY()-PROVEEDORES[[#This Row],[FECHA DE FACTURACIÓN]]-PROVEEDORES[[#This Row],[PLAZO Días]],0)</f>
        <v>0</v>
      </c>
      <c r="U312" s="104">
        <f>+VLOOKUP(PROVEEDORES[[#This Row],[PROVEEDOR]],Terceros!$A:$D,4,FALSE)</f>
        <v>0</v>
      </c>
      <c r="V312" s="105">
        <f>+YEAR(PROVEEDORES[[#This Row],[FECHA DE FACTURACIÓN]])</f>
        <v>2022</v>
      </c>
      <c r="W312" s="105">
        <f>+MATCH(PROVEEDORES[[#This Row],[año facturado]],Retenciones!$1:$1,0)</f>
        <v>5</v>
      </c>
      <c r="X312" s="106">
        <f>+VLOOKUP(PROVEEDORES[[#This Row],[ID RETENCION]],Retenciones!$A$1:$O$25,PROVEEDORES[[#This Row],[indicador de columna]],FALSE)</f>
        <v>0</v>
      </c>
      <c r="Y312" s="107">
        <f>+VLOOKUP(PROVEEDORES[[#This Row],[ID RETENCION]],Retenciones!$A$1:$O$25,2,FALSE)</f>
        <v>0</v>
      </c>
      <c r="Z312" s="116" t="b">
        <f>OR(COUNTIF(PROVEEDORES[[#This Row],[PROVEEDOR]],"*"&amp;'Palabra no opera'!$A$2&amp;"*"))</f>
        <v>0</v>
      </c>
      <c r="AA312" s="24"/>
      <c r="AB312" s="24"/>
      <c r="AC312" s="24"/>
      <c r="AD312" s="24"/>
      <c r="AE312" s="24"/>
    </row>
    <row r="313" spans="1:31" ht="22.35" customHeight="1" x14ac:dyDescent="0.3">
      <c r="A313" s="61" t="str">
        <f>+IF(PROVEEDORES[[#This Row],[FECHA DE PAGO]]=PROVEEDORES[[#This Row],[FECHA DE FACTURACIÓN]],"DE CONTADO","CRÉDITO")</f>
        <v>CRÉDITO</v>
      </c>
      <c r="B313" s="38" t="str">
        <f>+IF((PROVEEDORES[[#This Row],[FECHA DE PAGO]]-PROVEEDORES[[#This Row],[FECHA DE FACTURACIÓN]])&gt;PROVEEDORES[[#This Row],[PLAZO Días]],"PAGO VENCIDO")</f>
        <v>PAGO VENCIDO</v>
      </c>
      <c r="C313" s="20">
        <f>+VLOOKUP(PROVEEDORES[[#This Row],[PROVEEDOR]],TERCEROS_INFO[#All],2,FALSE)</f>
        <v>30</v>
      </c>
      <c r="D313" s="25">
        <f>+SUMIFS(PROVEEDORES[Total],PROVEEDORES[PROVEEDOR],PROVEEDORES[[#This Row],[PROVEEDOR]],PROVEEDORES[FECHA DE PAGO],"")</f>
        <v>3669750</v>
      </c>
      <c r="E313" s="25"/>
      <c r="F313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313" s="68">
        <v>44684</v>
      </c>
      <c r="H313" s="26" t="s">
        <v>24</v>
      </c>
      <c r="I313" s="68">
        <v>44631</v>
      </c>
      <c r="J313" s="35" t="s">
        <v>454</v>
      </c>
      <c r="K313" s="21">
        <v>1995291</v>
      </c>
      <c r="L313" s="21"/>
      <c r="M313" s="22">
        <f>(PROVEEDORES[[#This Row],[SUBTOTAL]]-PROVEEDORES[[#This Row],[descuento sobre subtotal]])*VLOOKUP(PROVEEDORES[[#This Row],[PROVEEDOR]],TERCEROS_INFO[#All],3,FALSE)</f>
        <v>379105.29</v>
      </c>
      <c r="N313" s="23"/>
      <c r="O313" s="22">
        <f>+PROVEEDORES[[#This Row],[Descuento sobre subtotal %]]*(PROVEEDORES[[#This Row],[SUBTOTAL]]-PROVEEDORES[[#This Row],[descuento sobre subtotal]])</f>
        <v>0</v>
      </c>
      <c r="P313" s="74">
        <f>+IF(PROVEEDORES[[#This Row],[SUBTOTAL]]&lt;PROVEEDORES[[#This Row],[base retencion]],0,PROVEEDORES[[#This Row],[retención aplicada]])</f>
        <v>2.5000000000000001E-2</v>
      </c>
      <c r="Q313" s="22">
        <f>+PROVEEDORES[[#This Row],[Rete Fuente %]]*(PROVEEDORES[[#This Row],[SUBTOTAL]]-PROVEEDORES[[#This Row],[descuento sobre subtotal]])</f>
        <v>49882.275000000001</v>
      </c>
      <c r="R313" s="21">
        <f>+PROVEEDORES[[#This Row],[SUBTOTAL]]+PROVEEDORES[[#This Row],[IVA 19%]]-PROVEEDORES[[#This Row],[descuento sobre subtotal]]-PROVEEDORES[[#This Row],[Descuento sobre subtotal $2]]-PROVEEDORES[[#This Row],[Rete Fuente $]]</f>
        <v>2324514.0150000001</v>
      </c>
      <c r="S31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63">
        <f ca="1">IF(PROVEEDORES[[#This Row],[FECHA DE PAGO]]=0,TODAY()-PROVEEDORES[[#This Row],[FECHA DE FACTURACIÓN]]-PROVEEDORES[[#This Row],[PLAZO Días]],0)</f>
        <v>0</v>
      </c>
      <c r="U313" s="87" t="str">
        <f>+VLOOKUP(PROVEEDORES[[#This Row],[PROVEEDOR]],Terceros!$A:$D,4,FALSE)</f>
        <v>2,5% con base</v>
      </c>
      <c r="V313" s="88">
        <f>+YEAR(PROVEEDORES[[#This Row],[FECHA DE FACTURACIÓN]])</f>
        <v>2022</v>
      </c>
      <c r="W313" s="88">
        <f>+MATCH(PROVEEDORES[[#This Row],[año facturado]],Retenciones!$1:$1,0)</f>
        <v>5</v>
      </c>
      <c r="X313" s="89">
        <f>+VLOOKUP(PROVEEDORES[[#This Row],[ID RETENCION]],Retenciones!$A$1:$O$25,PROVEEDORES[[#This Row],[indicador de columna]],FALSE)</f>
        <v>1026000</v>
      </c>
      <c r="Y313" s="90">
        <f>+VLOOKUP(PROVEEDORES[[#This Row],[ID RETENCION]],Retenciones!$A$1:$O$25,2,FALSE)</f>
        <v>2.5000000000000001E-2</v>
      </c>
      <c r="Z313" s="116" t="b">
        <f>OR(COUNTIF(PROVEEDORES[[#This Row],[PROVEEDOR]],"*"&amp;'Palabra no opera'!$A$2&amp;"*"))</f>
        <v>0</v>
      </c>
      <c r="AA313" s="24"/>
      <c r="AB313" s="24"/>
      <c r="AC313" s="24"/>
      <c r="AD313" s="24"/>
      <c r="AE313" s="24"/>
    </row>
    <row r="314" spans="1:31" ht="22.35" customHeight="1" x14ac:dyDescent="0.3">
      <c r="A314" s="61" t="str">
        <f>+IF(PROVEEDORES[[#This Row],[FECHA DE PAGO]]=PROVEEDORES[[#This Row],[FECHA DE FACTURACIÓN]],"DE CONTADO","CRÉDITO")</f>
        <v>CRÉDITO</v>
      </c>
      <c r="B314" s="38" t="str">
        <f>+IF((PROVEEDORES[[#This Row],[FECHA DE PAGO]]-PROVEEDORES[[#This Row],[FECHA DE FACTURACIÓN]])&gt;PROVEEDORES[[#This Row],[PLAZO Días]],"PAGO VENCIDO")</f>
        <v>PAGO VENCIDO</v>
      </c>
      <c r="C314" s="20">
        <f>+VLOOKUP(PROVEEDORES[[#This Row],[PROVEEDOR]],TERCEROS_INFO[#All],2,FALSE)</f>
        <v>60</v>
      </c>
      <c r="D314" s="25">
        <f>+SUMIFS(PROVEEDORES[Total],PROVEEDORES[PROVEEDOR],PROVEEDORES[[#This Row],[PROVEEDOR]],PROVEEDORES[FECHA DE PAGO],"")</f>
        <v>0</v>
      </c>
      <c r="E314" s="25"/>
      <c r="F314" s="56">
        <f>+VLOOKUP(PROVEEDORES[[#This Row],[PROVEEDOR]],
                       Terceros!$A:$F,
                       5,
                       FALSE)</f>
        <v>0</v>
      </c>
      <c r="G314" s="68">
        <v>44684</v>
      </c>
      <c r="H314" s="26" t="s">
        <v>951</v>
      </c>
      <c r="I314" s="68">
        <v>44593</v>
      </c>
      <c r="J314" s="35" t="s">
        <v>486</v>
      </c>
      <c r="K314" s="21">
        <v>7278800</v>
      </c>
      <c r="L314" s="21"/>
      <c r="M314" s="22">
        <f>(PROVEEDORES[[#This Row],[SUBTOTAL]]-PROVEEDORES[[#This Row],[descuento sobre subtotal]])*VLOOKUP(PROVEEDORES[[#This Row],[PROVEEDOR]],TERCEROS_INFO[#All],3,FALSE)</f>
        <v>1382972</v>
      </c>
      <c r="N314" s="23"/>
      <c r="O314" s="22">
        <f>+PROVEEDORES[[#This Row],[Descuento sobre subtotal %]]*(PROVEEDORES[[#This Row],[SUBTOTAL]]-PROVEEDORES[[#This Row],[descuento sobre subtotal]])</f>
        <v>0</v>
      </c>
      <c r="P314" s="74">
        <f>+IF(PROVEEDORES[[#This Row],[SUBTOTAL]]&lt;PROVEEDORES[[#This Row],[base retencion]],0,PROVEEDORES[[#This Row],[retención aplicada]])</f>
        <v>0</v>
      </c>
      <c r="Q314" s="22">
        <f>+PROVEEDORES[[#This Row],[Rete Fuente %]]*(PROVEEDORES[[#This Row],[SUBTOTAL]]-PROVEEDORES[[#This Row],[descuento sobre subtotal]])</f>
        <v>0</v>
      </c>
      <c r="R314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31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63">
        <f ca="1">IF(PROVEEDORES[[#This Row],[FECHA DE PAGO]]=0,TODAY()-PROVEEDORES[[#This Row],[FECHA DE FACTURACIÓN]]-PROVEEDORES[[#This Row],[PLAZO Días]],0)</f>
        <v>0</v>
      </c>
      <c r="U314" s="87">
        <f>+VLOOKUP(PROVEEDORES[[#This Row],[PROVEEDOR]],Terceros!$A:$D,4,FALSE)</f>
        <v>0</v>
      </c>
      <c r="V314" s="88">
        <f>+YEAR(PROVEEDORES[[#This Row],[FECHA DE FACTURACIÓN]])</f>
        <v>2022</v>
      </c>
      <c r="W314" s="88">
        <f>+MATCH(PROVEEDORES[[#This Row],[año facturado]],Retenciones!$1:$1,0)</f>
        <v>5</v>
      </c>
      <c r="X314" s="89">
        <f>+VLOOKUP(PROVEEDORES[[#This Row],[ID RETENCION]],Retenciones!$A$1:$O$25,PROVEEDORES[[#This Row],[indicador de columna]],FALSE)</f>
        <v>0</v>
      </c>
      <c r="Y314" s="90">
        <f>+VLOOKUP(PROVEEDORES[[#This Row],[ID RETENCION]],Retenciones!$A$1:$O$25,2,FALSE)</f>
        <v>0</v>
      </c>
      <c r="Z314" s="116" t="b">
        <f>OR(COUNTIF(PROVEEDORES[[#This Row],[PROVEEDOR]],"*"&amp;'Palabra no opera'!$A$2&amp;"*"))</f>
        <v>1</v>
      </c>
      <c r="AA314" s="24"/>
      <c r="AB314" s="24"/>
      <c r="AC314" s="24"/>
      <c r="AD314" s="24"/>
      <c r="AE314" s="24"/>
    </row>
    <row r="315" spans="1:31" ht="22.35" customHeight="1" x14ac:dyDescent="0.3">
      <c r="A315" s="61" t="str">
        <f>+IF(PROVEEDORES[[#This Row],[FECHA DE PAGO]]=PROVEEDORES[[#This Row],[FECHA DE FACTURACIÓN]],"DE CONTADO","CRÉDITO")</f>
        <v>CRÉDITO</v>
      </c>
      <c r="B315" s="38" t="str">
        <f>+IF((PROVEEDORES[[#This Row],[FECHA DE PAGO]]-PROVEEDORES[[#This Row],[FECHA DE FACTURACIÓN]])&gt;PROVEEDORES[[#This Row],[PLAZO Días]],"PAGO VENCIDO")</f>
        <v>PAGO VENCIDO</v>
      </c>
      <c r="C315" s="20">
        <f>+VLOOKUP(PROVEEDORES[[#This Row],[PROVEEDOR]],TERCEROS_INFO[#All],2,FALSE)</f>
        <v>30</v>
      </c>
      <c r="D315" s="25">
        <f>+SUMIFS(PROVEEDORES[Total],PROVEEDORES[PROVEEDOR],PROVEEDORES[[#This Row],[PROVEEDOR]],PROVEEDORES[FECHA DE PAGO],"")</f>
        <v>17870934.149999999</v>
      </c>
      <c r="E315" s="25"/>
      <c r="F31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15" s="68">
        <v>44684</v>
      </c>
      <c r="H315" s="26" t="s">
        <v>18</v>
      </c>
      <c r="I315" s="68">
        <v>44629</v>
      </c>
      <c r="J315" s="35">
        <v>1050807</v>
      </c>
      <c r="K315" s="21">
        <v>850000</v>
      </c>
      <c r="L315" s="21"/>
      <c r="M315" s="22">
        <f>(PROVEEDORES[[#This Row],[SUBTOTAL]]-PROVEEDORES[[#This Row],[descuento sobre subtotal]])*VLOOKUP(PROVEEDORES[[#This Row],[PROVEEDOR]],TERCEROS_INFO[#All],3,FALSE)</f>
        <v>161500</v>
      </c>
      <c r="N315" s="23"/>
      <c r="O315" s="22">
        <f>+PROVEEDORES[[#This Row],[Descuento sobre subtotal %]]*(PROVEEDORES[[#This Row],[SUBTOTAL]]-PROVEEDORES[[#This Row],[descuento sobre subtotal]])</f>
        <v>0</v>
      </c>
      <c r="P315" s="74">
        <f>+IF(PROVEEDORES[[#This Row],[SUBTOTAL]]&lt;PROVEEDORES[[#This Row],[base retencion]],0,PROVEEDORES[[#This Row],[retención aplicada]])</f>
        <v>0</v>
      </c>
      <c r="Q315" s="22">
        <f>+PROVEEDORES[[#This Row],[Rete Fuente %]]*(PROVEEDORES[[#This Row],[SUBTOTAL]]-PROVEEDORES[[#This Row],[descuento sobre subtotal]])</f>
        <v>0</v>
      </c>
      <c r="R315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31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63">
        <f ca="1">IF(PROVEEDORES[[#This Row],[FECHA DE PAGO]]=0,TODAY()-PROVEEDORES[[#This Row],[FECHA DE FACTURACIÓN]]-PROVEEDORES[[#This Row],[PLAZO Días]],0)</f>
        <v>0</v>
      </c>
      <c r="U315" s="87" t="str">
        <f>+VLOOKUP(PROVEEDORES[[#This Row],[PROVEEDOR]],Terceros!$A:$D,4,FALSE)</f>
        <v>2,5% con base</v>
      </c>
      <c r="V315" s="88">
        <f>+YEAR(PROVEEDORES[[#This Row],[FECHA DE FACTURACIÓN]])</f>
        <v>2022</v>
      </c>
      <c r="W315" s="88">
        <f>+MATCH(PROVEEDORES[[#This Row],[año facturado]],Retenciones!$1:$1,0)</f>
        <v>5</v>
      </c>
      <c r="X315" s="89">
        <f>+VLOOKUP(PROVEEDORES[[#This Row],[ID RETENCION]],Retenciones!$A$1:$O$25,PROVEEDORES[[#This Row],[indicador de columna]],FALSE)</f>
        <v>1026000</v>
      </c>
      <c r="Y315" s="90">
        <f>+VLOOKUP(PROVEEDORES[[#This Row],[ID RETENCION]],Retenciones!$A$1:$O$25,2,FALSE)</f>
        <v>2.5000000000000001E-2</v>
      </c>
      <c r="Z315" s="116" t="b">
        <f>OR(COUNTIF(PROVEEDORES[[#This Row],[PROVEEDOR]],"*"&amp;'Palabra no opera'!$A$2&amp;"*"))</f>
        <v>0</v>
      </c>
      <c r="AA315" s="24"/>
      <c r="AB315" s="24"/>
      <c r="AC315" s="24"/>
      <c r="AD315" s="24"/>
      <c r="AE315" s="24"/>
    </row>
    <row r="316" spans="1:31" ht="22.35" customHeight="1" x14ac:dyDescent="0.3">
      <c r="A316" s="61" t="str">
        <f>+IF(PROVEEDORES[[#This Row],[FECHA DE PAGO]]=PROVEEDORES[[#This Row],[FECHA DE FACTURACIÓN]],"DE CONTADO","CRÉDITO")</f>
        <v>CRÉDITO</v>
      </c>
      <c r="B316" s="38" t="str">
        <f>+IF((PROVEEDORES[[#This Row],[FECHA DE PAGO]]-PROVEEDORES[[#This Row],[FECHA DE FACTURACIÓN]])&gt;PROVEEDORES[[#This Row],[PLAZO Días]],"PAGO VENCIDO")</f>
        <v>PAGO VENCIDO</v>
      </c>
      <c r="C316" s="20">
        <f>+VLOOKUP(PROVEEDORES[[#This Row],[PROVEEDOR]],TERCEROS_INFO[#All],2,FALSE)</f>
        <v>30</v>
      </c>
      <c r="D316" s="25">
        <f>+SUMIFS(PROVEEDORES[Total],PROVEEDORES[PROVEEDOR],PROVEEDORES[[#This Row],[PROVEEDOR]],PROVEEDORES[FECHA DE PAGO],"")</f>
        <v>17870934.149999999</v>
      </c>
      <c r="E316" s="25"/>
      <c r="F31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16" s="68">
        <v>44684</v>
      </c>
      <c r="H316" s="26" t="s">
        <v>18</v>
      </c>
      <c r="I316" s="68">
        <v>44634</v>
      </c>
      <c r="J316" s="35">
        <v>1051102</v>
      </c>
      <c r="K316" s="21">
        <v>3580988</v>
      </c>
      <c r="L316" s="21"/>
      <c r="M316" s="22">
        <f>(PROVEEDORES[[#This Row],[SUBTOTAL]]-PROVEEDORES[[#This Row],[descuento sobre subtotal]])*VLOOKUP(PROVEEDORES[[#This Row],[PROVEEDOR]],TERCEROS_INFO[#All],3,FALSE)</f>
        <v>680387.72</v>
      </c>
      <c r="N316" s="23"/>
      <c r="O316" s="22">
        <f>+PROVEEDORES[[#This Row],[Descuento sobre subtotal %]]*(PROVEEDORES[[#This Row],[SUBTOTAL]]-PROVEEDORES[[#This Row],[descuento sobre subtotal]])</f>
        <v>0</v>
      </c>
      <c r="P316" s="74">
        <f>+IF(PROVEEDORES[[#This Row],[SUBTOTAL]]&lt;PROVEEDORES[[#This Row],[base retencion]],0,PROVEEDORES[[#This Row],[retención aplicada]])</f>
        <v>2.5000000000000001E-2</v>
      </c>
      <c r="Q316" s="22">
        <f>+PROVEEDORES[[#This Row],[Rete Fuente %]]*(PROVEEDORES[[#This Row],[SUBTOTAL]]-PROVEEDORES[[#This Row],[descuento sobre subtotal]])</f>
        <v>89524.700000000012</v>
      </c>
      <c r="R316" s="21">
        <f>+PROVEEDORES[[#This Row],[SUBTOTAL]]+PROVEEDORES[[#This Row],[IVA 19%]]-PROVEEDORES[[#This Row],[descuento sobre subtotal]]-PROVEEDORES[[#This Row],[Descuento sobre subtotal $2]]-PROVEEDORES[[#This Row],[Rete Fuente $]]</f>
        <v>4171851.0199999996</v>
      </c>
      <c r="S31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63">
        <f ca="1">IF(PROVEEDORES[[#This Row],[FECHA DE PAGO]]=0,TODAY()-PROVEEDORES[[#This Row],[FECHA DE FACTURACIÓN]]-PROVEEDORES[[#This Row],[PLAZO Días]],0)</f>
        <v>0</v>
      </c>
      <c r="U316" s="87" t="str">
        <f>+VLOOKUP(PROVEEDORES[[#This Row],[PROVEEDOR]],Terceros!$A:$D,4,FALSE)</f>
        <v>2,5% con base</v>
      </c>
      <c r="V316" s="88">
        <f>+YEAR(PROVEEDORES[[#This Row],[FECHA DE FACTURACIÓN]])</f>
        <v>2022</v>
      </c>
      <c r="W316" s="88">
        <f>+MATCH(PROVEEDORES[[#This Row],[año facturado]],Retenciones!$1:$1,0)</f>
        <v>5</v>
      </c>
      <c r="X316" s="89">
        <f>+VLOOKUP(PROVEEDORES[[#This Row],[ID RETENCION]],Retenciones!$A$1:$O$25,PROVEEDORES[[#This Row],[indicador de columna]],FALSE)</f>
        <v>1026000</v>
      </c>
      <c r="Y316" s="90">
        <f>+VLOOKUP(PROVEEDORES[[#This Row],[ID RETENCION]],Retenciones!$A$1:$O$25,2,FALSE)</f>
        <v>2.5000000000000001E-2</v>
      </c>
      <c r="Z316" s="116" t="b">
        <f>OR(COUNTIF(PROVEEDORES[[#This Row],[PROVEEDOR]],"*"&amp;'Palabra no opera'!$A$2&amp;"*"))</f>
        <v>0</v>
      </c>
      <c r="AA316" s="24"/>
      <c r="AB316" s="24"/>
      <c r="AC316" s="24"/>
      <c r="AD316" s="24"/>
      <c r="AE316" s="24"/>
    </row>
    <row r="317" spans="1:31" ht="22.35" customHeight="1" x14ac:dyDescent="0.3">
      <c r="A317" s="61" t="str">
        <f>+IF(PROVEEDORES[[#This Row],[FECHA DE PAGO]]=PROVEEDORES[[#This Row],[FECHA DE FACTURACIÓN]],"DE CONTADO","CRÉDITO")</f>
        <v>CRÉDITO</v>
      </c>
      <c r="B317" s="38" t="str">
        <f>+IF((PROVEEDORES[[#This Row],[FECHA DE PAGO]]-PROVEEDORES[[#This Row],[FECHA DE FACTURACIÓN]])&gt;PROVEEDORES[[#This Row],[PLAZO Días]],"PAGO VENCIDO")</f>
        <v>PAGO VENCIDO</v>
      </c>
      <c r="C317" s="20">
        <f>+VLOOKUP(PROVEEDORES[[#This Row],[PROVEEDOR]],TERCEROS_INFO[#All],2,FALSE)</f>
        <v>30</v>
      </c>
      <c r="D317" s="25">
        <f>+SUMIFS(PROVEEDORES[Total],PROVEEDORES[PROVEEDOR],PROVEEDORES[[#This Row],[PROVEEDOR]],PROVEEDORES[FECHA DE PAGO],"")</f>
        <v>17870934.149999999</v>
      </c>
      <c r="E317" s="25"/>
      <c r="F31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17" s="68">
        <v>44684</v>
      </c>
      <c r="H317" s="26" t="s">
        <v>18</v>
      </c>
      <c r="I317" s="68">
        <v>44638</v>
      </c>
      <c r="J317" s="35">
        <v>1051239</v>
      </c>
      <c r="K317" s="21">
        <v>378530.4</v>
      </c>
      <c r="L317" s="21"/>
      <c r="M317" s="22">
        <f>(PROVEEDORES[[#This Row],[SUBTOTAL]]-PROVEEDORES[[#This Row],[descuento sobre subtotal]])*VLOOKUP(PROVEEDORES[[#This Row],[PROVEEDOR]],TERCEROS_INFO[#All],3,FALSE)</f>
        <v>71920.775999999998</v>
      </c>
      <c r="N317" s="23"/>
      <c r="O317" s="22">
        <f>+PROVEEDORES[[#This Row],[Descuento sobre subtotal %]]*(PROVEEDORES[[#This Row],[SUBTOTAL]]-PROVEEDORES[[#This Row],[descuento sobre subtotal]])</f>
        <v>0</v>
      </c>
      <c r="P317" s="74">
        <f>+IF(PROVEEDORES[[#This Row],[SUBTOTAL]]&lt;PROVEEDORES[[#This Row],[base retencion]],0,PROVEEDORES[[#This Row],[retención aplicada]])</f>
        <v>0</v>
      </c>
      <c r="Q317" s="22">
        <f>+PROVEEDORES[[#This Row],[Rete Fuente %]]*(PROVEEDORES[[#This Row],[SUBTOTAL]]-PROVEEDORES[[#This Row],[descuento sobre subtotal]])</f>
        <v>0</v>
      </c>
      <c r="R317" s="21">
        <f>+PROVEEDORES[[#This Row],[SUBTOTAL]]+PROVEEDORES[[#This Row],[IVA 19%]]-PROVEEDORES[[#This Row],[descuento sobre subtotal]]-PROVEEDORES[[#This Row],[Descuento sobre subtotal $2]]-PROVEEDORES[[#This Row],[Rete Fuente $]]</f>
        <v>450451.17600000004</v>
      </c>
      <c r="S31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63">
        <f ca="1">IF(PROVEEDORES[[#This Row],[FECHA DE PAGO]]=0,TODAY()-PROVEEDORES[[#This Row],[FECHA DE FACTURACIÓN]]-PROVEEDORES[[#This Row],[PLAZO Días]],0)</f>
        <v>0</v>
      </c>
      <c r="U317" s="87" t="str">
        <f>+VLOOKUP(PROVEEDORES[[#This Row],[PROVEEDOR]],Terceros!$A:$D,4,FALSE)</f>
        <v>2,5% con base</v>
      </c>
      <c r="V317" s="88">
        <f>+YEAR(PROVEEDORES[[#This Row],[FECHA DE FACTURACIÓN]])</f>
        <v>2022</v>
      </c>
      <c r="W317" s="88">
        <f>+MATCH(PROVEEDORES[[#This Row],[año facturado]],Retenciones!$1:$1,0)</f>
        <v>5</v>
      </c>
      <c r="X317" s="89">
        <f>+VLOOKUP(PROVEEDORES[[#This Row],[ID RETENCION]],Retenciones!$A$1:$O$25,PROVEEDORES[[#This Row],[indicador de columna]],FALSE)</f>
        <v>1026000</v>
      </c>
      <c r="Y317" s="90">
        <f>+VLOOKUP(PROVEEDORES[[#This Row],[ID RETENCION]],Retenciones!$A$1:$O$25,2,FALSE)</f>
        <v>2.5000000000000001E-2</v>
      </c>
      <c r="Z317" s="116" t="b">
        <f>OR(COUNTIF(PROVEEDORES[[#This Row],[PROVEEDOR]],"*"&amp;'Palabra no opera'!$A$2&amp;"*"))</f>
        <v>0</v>
      </c>
      <c r="AA317" s="24"/>
      <c r="AB317" s="24"/>
      <c r="AC317" s="24"/>
      <c r="AD317" s="24"/>
      <c r="AE317" s="24"/>
    </row>
    <row r="318" spans="1:31" ht="22.35" customHeight="1" x14ac:dyDescent="0.3">
      <c r="A318" s="61" t="str">
        <f>+IF(PROVEEDORES[[#This Row],[FECHA DE PAGO]]=PROVEEDORES[[#This Row],[FECHA DE FACTURACIÓN]],"DE CONTADO","CRÉDITO")</f>
        <v>CRÉDITO</v>
      </c>
      <c r="B318" s="38" t="str">
        <f>+IF((PROVEEDORES[[#This Row],[FECHA DE PAGO]]-PROVEEDORES[[#This Row],[FECHA DE FACTURACIÓN]])&gt;PROVEEDORES[[#This Row],[PLAZO Días]],"PAGO VENCIDO")</f>
        <v>PAGO VENCIDO</v>
      </c>
      <c r="C318" s="20">
        <f>+VLOOKUP(PROVEEDORES[[#This Row],[PROVEEDOR]],TERCEROS_INFO[#All],2,FALSE)</f>
        <v>30</v>
      </c>
      <c r="D318" s="25">
        <f>+SUMIFS(PROVEEDORES[Total],PROVEEDORES[PROVEEDOR],PROVEEDORES[[#This Row],[PROVEEDOR]],PROVEEDORES[FECHA DE PAGO],"")</f>
        <v>17870934.149999999</v>
      </c>
      <c r="E318" s="25"/>
      <c r="F31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18" s="68">
        <v>44684</v>
      </c>
      <c r="H318" s="26" t="s">
        <v>18</v>
      </c>
      <c r="I318" s="68">
        <v>44645</v>
      </c>
      <c r="J318" s="35">
        <v>1051505</v>
      </c>
      <c r="K318" s="21">
        <v>713143.68</v>
      </c>
      <c r="L318" s="21"/>
      <c r="M318" s="22">
        <f>(PROVEEDORES[[#This Row],[SUBTOTAL]]-PROVEEDORES[[#This Row],[descuento sobre subtotal]])*VLOOKUP(PROVEEDORES[[#This Row],[PROVEEDOR]],TERCEROS_INFO[#All],3,FALSE)</f>
        <v>135497.29920000001</v>
      </c>
      <c r="N318" s="23"/>
      <c r="O318" s="22">
        <f>+PROVEEDORES[[#This Row],[Descuento sobre subtotal %]]*(PROVEEDORES[[#This Row],[SUBTOTAL]]-PROVEEDORES[[#This Row],[descuento sobre subtotal]])</f>
        <v>0</v>
      </c>
      <c r="P318" s="74">
        <f>+IF(PROVEEDORES[[#This Row],[SUBTOTAL]]&lt;PROVEEDORES[[#This Row],[base retencion]],0,PROVEEDORES[[#This Row],[retención aplicada]])</f>
        <v>0</v>
      </c>
      <c r="Q318" s="22">
        <f>+PROVEEDORES[[#This Row],[Rete Fuente %]]*(PROVEEDORES[[#This Row],[SUBTOTAL]]-PROVEEDORES[[#This Row],[descuento sobre subtotal]])</f>
        <v>0</v>
      </c>
      <c r="R318" s="21">
        <f>+PROVEEDORES[[#This Row],[SUBTOTAL]]+PROVEEDORES[[#This Row],[IVA 19%]]-PROVEEDORES[[#This Row],[descuento sobre subtotal]]-PROVEEDORES[[#This Row],[Descuento sobre subtotal $2]]-PROVEEDORES[[#This Row],[Rete Fuente $]]</f>
        <v>848640.97920000006</v>
      </c>
      <c r="S31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63">
        <f ca="1">IF(PROVEEDORES[[#This Row],[FECHA DE PAGO]]=0,TODAY()-PROVEEDORES[[#This Row],[FECHA DE FACTURACIÓN]]-PROVEEDORES[[#This Row],[PLAZO Días]],0)</f>
        <v>0</v>
      </c>
      <c r="U318" s="87" t="str">
        <f>+VLOOKUP(PROVEEDORES[[#This Row],[PROVEEDOR]],Terceros!$A:$D,4,FALSE)</f>
        <v>2,5% con base</v>
      </c>
      <c r="V318" s="88">
        <f>+YEAR(PROVEEDORES[[#This Row],[FECHA DE FACTURACIÓN]])</f>
        <v>2022</v>
      </c>
      <c r="W318" s="88">
        <f>+MATCH(PROVEEDORES[[#This Row],[año facturado]],Retenciones!$1:$1,0)</f>
        <v>5</v>
      </c>
      <c r="X318" s="89">
        <f>+VLOOKUP(PROVEEDORES[[#This Row],[ID RETENCION]],Retenciones!$A$1:$O$25,PROVEEDORES[[#This Row],[indicador de columna]],FALSE)</f>
        <v>1026000</v>
      </c>
      <c r="Y318" s="90">
        <f>+VLOOKUP(PROVEEDORES[[#This Row],[ID RETENCION]],Retenciones!$A$1:$O$25,2,FALSE)</f>
        <v>2.5000000000000001E-2</v>
      </c>
      <c r="Z318" s="116" t="b">
        <f>OR(COUNTIF(PROVEEDORES[[#This Row],[PROVEEDOR]],"*"&amp;'Palabra no opera'!$A$2&amp;"*"))</f>
        <v>0</v>
      </c>
      <c r="AA318" s="24"/>
      <c r="AB318" s="24"/>
      <c r="AC318" s="24"/>
      <c r="AD318" s="24"/>
      <c r="AE318" s="24"/>
    </row>
    <row r="319" spans="1:31" ht="22.35" customHeight="1" x14ac:dyDescent="0.3">
      <c r="A319" s="61" t="str">
        <f>+IF(PROVEEDORES[[#This Row],[FECHA DE PAGO]]=PROVEEDORES[[#This Row],[FECHA DE FACTURACIÓN]],"DE CONTADO","CRÉDITO")</f>
        <v>CRÉDITO</v>
      </c>
      <c r="B319" s="38" t="str">
        <f>+IF((PROVEEDORES[[#This Row],[FECHA DE PAGO]]-PROVEEDORES[[#This Row],[FECHA DE FACTURACIÓN]])&gt;PROVEEDORES[[#This Row],[PLAZO Días]],"PAGO VENCIDO")</f>
        <v>PAGO VENCIDO</v>
      </c>
      <c r="C319" s="20">
        <f>+VLOOKUP(PROVEEDORES[[#This Row],[PROVEEDOR]],TERCEROS_INFO[#All],2,FALSE)</f>
        <v>30</v>
      </c>
      <c r="D319" s="25">
        <f>+SUMIFS(PROVEEDORES[Total],PROVEEDORES[PROVEEDOR],PROVEEDORES[[#This Row],[PROVEEDOR]],PROVEEDORES[FECHA DE PAGO],"")</f>
        <v>0</v>
      </c>
      <c r="E319" s="25"/>
      <c r="F319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319" s="68">
        <v>44684</v>
      </c>
      <c r="H319" s="26" t="s">
        <v>964</v>
      </c>
      <c r="I319" s="68">
        <v>44632</v>
      </c>
      <c r="J319" s="35">
        <v>28365</v>
      </c>
      <c r="K319" s="21">
        <v>1246200</v>
      </c>
      <c r="L319" s="21"/>
      <c r="M319" s="22">
        <f>(PROVEEDORES[[#This Row],[SUBTOTAL]]-PROVEEDORES[[#This Row],[descuento sobre subtotal]])*VLOOKUP(PROVEEDORES[[#This Row],[PROVEEDOR]],TERCEROS_INFO[#All],3,FALSE)</f>
        <v>236778</v>
      </c>
      <c r="N319" s="23"/>
      <c r="O319" s="22">
        <f>+PROVEEDORES[[#This Row],[Descuento sobre subtotal %]]*(PROVEEDORES[[#This Row],[SUBTOTAL]]-PROVEEDORES[[#This Row],[descuento sobre subtotal]])</f>
        <v>0</v>
      </c>
      <c r="P319" s="74">
        <v>2.5000000000000001E-2</v>
      </c>
      <c r="Q319" s="22">
        <f>+PROVEEDORES[[#This Row],[Rete Fuente %]]*(PROVEEDORES[[#This Row],[SUBTOTAL]]-PROVEEDORES[[#This Row],[descuento sobre subtotal]])</f>
        <v>31155</v>
      </c>
      <c r="R319" s="21">
        <f>+PROVEEDORES[[#This Row],[SUBTOTAL]]+PROVEEDORES[[#This Row],[IVA 19%]]-PROVEEDORES[[#This Row],[descuento sobre subtotal]]-PROVEEDORES[[#This Row],[Descuento sobre subtotal $2]]-PROVEEDORES[[#This Row],[Rete Fuente $]]</f>
        <v>1451823</v>
      </c>
      <c r="S31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63">
        <f ca="1">IF(PROVEEDORES[[#This Row],[FECHA DE PAGO]]=0,TODAY()-PROVEEDORES[[#This Row],[FECHA DE FACTURACIÓN]]-PROVEEDORES[[#This Row],[PLAZO Días]],0)</f>
        <v>0</v>
      </c>
      <c r="U319" s="87">
        <f>+VLOOKUP(PROVEEDORES[[#This Row],[PROVEEDOR]],Terceros!$A:$D,4,FALSE)</f>
        <v>0</v>
      </c>
      <c r="V319" s="88">
        <f>+YEAR(PROVEEDORES[[#This Row],[FECHA DE FACTURACIÓN]])</f>
        <v>2022</v>
      </c>
      <c r="W319" s="88">
        <f>+MATCH(PROVEEDORES[[#This Row],[año facturado]],Retenciones!$1:$1,0)</f>
        <v>5</v>
      </c>
      <c r="X319" s="89">
        <f>+VLOOKUP(PROVEEDORES[[#This Row],[ID RETENCION]],Retenciones!$A$1:$O$25,PROVEEDORES[[#This Row],[indicador de columna]],FALSE)</f>
        <v>0</v>
      </c>
      <c r="Y319" s="90">
        <f>+VLOOKUP(PROVEEDORES[[#This Row],[ID RETENCION]],Retenciones!$A$1:$O$25,2,FALSE)</f>
        <v>0</v>
      </c>
      <c r="Z319" s="116" t="b">
        <f>OR(COUNTIF(PROVEEDORES[[#This Row],[PROVEEDOR]],"*"&amp;'Palabra no opera'!$A$2&amp;"*"))</f>
        <v>0</v>
      </c>
      <c r="AA319" s="24"/>
      <c r="AB319" s="24"/>
      <c r="AC319" s="24"/>
      <c r="AD319" s="24"/>
      <c r="AE319" s="24"/>
    </row>
    <row r="320" spans="1:31" ht="22.35" customHeight="1" x14ac:dyDescent="0.3">
      <c r="A320" s="61" t="str">
        <f>+IF(PROVEEDORES[[#This Row],[FECHA DE PAGO]]=PROVEEDORES[[#This Row],[FECHA DE FACTURACIÓN]],"DE CONTADO","CRÉDITO")</f>
        <v>CRÉDITO</v>
      </c>
      <c r="B320" s="38" t="str">
        <f>+IF((PROVEEDORES[[#This Row],[FECHA DE PAGO]]-PROVEEDORES[[#This Row],[FECHA DE FACTURACIÓN]])&gt;PROVEEDORES[[#This Row],[PLAZO Días]],"PAGO VENCIDO")</f>
        <v>PAGO VENCIDO</v>
      </c>
      <c r="C320" s="20">
        <f>+VLOOKUP(PROVEEDORES[[#This Row],[PROVEEDOR]],TERCEROS_INFO[#All],2,FALSE)</f>
        <v>30</v>
      </c>
      <c r="D320" s="25">
        <f>+SUMIFS(PROVEEDORES[Total],PROVEEDORES[PROVEEDOR],PROVEEDORES[[#This Row],[PROVEEDOR]],PROVEEDORES[FECHA DE PAGO],"")</f>
        <v>10321993.199999999</v>
      </c>
      <c r="E320" s="25"/>
      <c r="F320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20" s="68">
        <v>44684</v>
      </c>
      <c r="H320" s="26" t="s">
        <v>1068</v>
      </c>
      <c r="I320" s="68">
        <v>44610</v>
      </c>
      <c r="J320" s="35">
        <v>24751</v>
      </c>
      <c r="K320" s="21">
        <v>1656000</v>
      </c>
      <c r="L320" s="21"/>
      <c r="M320" s="22">
        <f>(PROVEEDORES[[#This Row],[SUBTOTAL]]-PROVEEDORES[[#This Row],[descuento sobre subtotal]])*VLOOKUP(PROVEEDORES[[#This Row],[PROVEEDOR]],TERCEROS_INFO[#All],3,FALSE)</f>
        <v>314640</v>
      </c>
      <c r="N320" s="23"/>
      <c r="O320" s="22">
        <f>+PROVEEDORES[[#This Row],[Descuento sobre subtotal %]]*(PROVEEDORES[[#This Row],[SUBTOTAL]]-PROVEEDORES[[#This Row],[descuento sobre subtotal]])</f>
        <v>0</v>
      </c>
      <c r="P320" s="74">
        <f>+IF(PROVEEDORES[[#This Row],[SUBTOTAL]]&lt;PROVEEDORES[[#This Row],[base retencion]],0,PROVEEDORES[[#This Row],[retención aplicada]])</f>
        <v>2.5000000000000001E-2</v>
      </c>
      <c r="Q320" s="22">
        <f>+PROVEEDORES[[#This Row],[Rete Fuente %]]*(PROVEEDORES[[#This Row],[SUBTOTAL]]-PROVEEDORES[[#This Row],[descuento sobre subtotal]])</f>
        <v>41400</v>
      </c>
      <c r="R320" s="21">
        <f>+PROVEEDORES[[#This Row],[SUBTOTAL]]+PROVEEDORES[[#This Row],[IVA 19%]]-PROVEEDORES[[#This Row],[descuento sobre subtotal]]-PROVEEDORES[[#This Row],[Descuento sobre subtotal $2]]-PROVEEDORES[[#This Row],[Rete Fuente $]]</f>
        <v>1929240</v>
      </c>
      <c r="S32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63">
        <f ca="1">IF(PROVEEDORES[[#This Row],[FECHA DE PAGO]]=0,TODAY()-PROVEEDORES[[#This Row],[FECHA DE FACTURACIÓN]]-PROVEEDORES[[#This Row],[PLAZO Días]],0)</f>
        <v>0</v>
      </c>
      <c r="U320" s="87" t="str">
        <f>+VLOOKUP(PROVEEDORES[[#This Row],[PROVEEDOR]],Terceros!$A:$D,4,FALSE)</f>
        <v>2,5% con base</v>
      </c>
      <c r="V320" s="88">
        <f>+YEAR(PROVEEDORES[[#This Row],[FECHA DE FACTURACIÓN]])</f>
        <v>2022</v>
      </c>
      <c r="W320" s="88">
        <f>+MATCH(PROVEEDORES[[#This Row],[año facturado]],Retenciones!$1:$1,0)</f>
        <v>5</v>
      </c>
      <c r="X320" s="89">
        <f>+VLOOKUP(PROVEEDORES[[#This Row],[ID RETENCION]],Retenciones!$A$1:$O$25,PROVEEDORES[[#This Row],[indicador de columna]],FALSE)</f>
        <v>1026000</v>
      </c>
      <c r="Y320" s="90">
        <f>+VLOOKUP(PROVEEDORES[[#This Row],[ID RETENCION]],Retenciones!$A$1:$O$25,2,FALSE)</f>
        <v>2.5000000000000001E-2</v>
      </c>
      <c r="Z320" s="116" t="b">
        <f>OR(COUNTIF(PROVEEDORES[[#This Row],[PROVEEDOR]],"*"&amp;'Palabra no opera'!$A$2&amp;"*"))</f>
        <v>0</v>
      </c>
      <c r="AA320" s="24"/>
      <c r="AB320" s="24"/>
      <c r="AC320" s="24"/>
      <c r="AD320" s="24"/>
      <c r="AE320" s="24"/>
    </row>
    <row r="321" spans="1:31" ht="22.35" customHeight="1" x14ac:dyDescent="0.3">
      <c r="A321" s="114" t="str">
        <f>+IF(PROVEEDORES[[#This Row],[FECHA DE PAGO]]=PROVEEDORES[[#This Row],[FECHA DE FACTURACIÓN]],"DE CONTADO","CRÉDITO")</f>
        <v>CRÉDITO</v>
      </c>
      <c r="B321" s="38" t="str">
        <f>+IF((PROVEEDORES[[#This Row],[FECHA DE PAGO]]-PROVEEDORES[[#This Row],[FECHA DE FACTURACIÓN]])&gt;PROVEEDORES[[#This Row],[PLAZO Días]],"PAGO VENCIDO")</f>
        <v>PAGO VENCIDO</v>
      </c>
      <c r="C321" s="20">
        <f>+VLOOKUP(PROVEEDORES[[#This Row],[PROVEEDOR]],TERCEROS_INFO[#All],2,FALSE)</f>
        <v>30</v>
      </c>
      <c r="D321" s="25">
        <f>+SUMIFS(PROVEEDORES[Total],PROVEEDORES[PROVEEDOR],PROVEEDORES[[#This Row],[PROVEEDOR]],PROVEEDORES[FECHA DE PAGO],"")</f>
        <v>10321993.199999999</v>
      </c>
      <c r="E321" s="25"/>
      <c r="F32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21" s="68">
        <v>44684</v>
      </c>
      <c r="H321" s="26" t="s">
        <v>1068</v>
      </c>
      <c r="I321" s="68">
        <v>44614</v>
      </c>
      <c r="J321" s="35">
        <v>53415</v>
      </c>
      <c r="K321" s="21">
        <v>0</v>
      </c>
      <c r="L321" s="21"/>
      <c r="M321" s="22">
        <f>(PROVEEDORES[[#This Row],[SUBTOTAL]]-PROVEEDORES[[#This Row],[descuento sobre subtotal]])*VLOOKUP(PROVEEDORES[[#This Row],[PROVEEDOR]],TERCEROS_INFO[#All],3,FALSE)</f>
        <v>0</v>
      </c>
      <c r="N321" s="23"/>
      <c r="O321" s="22">
        <f>+PROVEEDORES[[#This Row],[Descuento sobre subtotal %]]*(PROVEEDORES[[#This Row],[SUBTOTAL]]-PROVEEDORES[[#This Row],[descuento sobre subtotal]])</f>
        <v>0</v>
      </c>
      <c r="P321" s="74">
        <f>+IF(PROVEEDORES[[#This Row],[SUBTOTAL]]&lt;PROVEEDORES[[#This Row],[base retencion]],0,PROVEEDORES[[#This Row],[retención aplicada]])</f>
        <v>0</v>
      </c>
      <c r="Q321" s="22">
        <f>+PROVEEDORES[[#This Row],[Rete Fuente %]]*(PROVEEDORES[[#This Row],[SUBTOTAL]]-PROVEEDORES[[#This Row],[descuento sobre subtotal]])</f>
        <v>0</v>
      </c>
      <c r="R321" s="21">
        <v>-66594</v>
      </c>
      <c r="S321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63">
        <f ca="1">IF(PROVEEDORES[[#This Row],[FECHA DE PAGO]]=0,TODAY()-PROVEEDORES[[#This Row],[FECHA DE FACTURACIÓN]]-PROVEEDORES[[#This Row],[PLAZO Días]],0)</f>
        <v>0</v>
      </c>
      <c r="U321" s="104" t="str">
        <f>+VLOOKUP(PROVEEDORES[[#This Row],[PROVEEDOR]],Terceros!$A:$D,4,FALSE)</f>
        <v>2,5% con base</v>
      </c>
      <c r="V321" s="105">
        <f>+YEAR(PROVEEDORES[[#This Row],[FECHA DE FACTURACIÓN]])</f>
        <v>2022</v>
      </c>
      <c r="W321" s="105">
        <f>+MATCH(PROVEEDORES[[#This Row],[año facturado]],Retenciones!$1:$1,0)</f>
        <v>5</v>
      </c>
      <c r="X321" s="106">
        <f>+VLOOKUP(PROVEEDORES[[#This Row],[ID RETENCION]],Retenciones!$A$1:$O$25,PROVEEDORES[[#This Row],[indicador de columna]],FALSE)</f>
        <v>1026000</v>
      </c>
      <c r="Y321" s="107">
        <f>+VLOOKUP(PROVEEDORES[[#This Row],[ID RETENCION]],Retenciones!$A$1:$O$25,2,FALSE)</f>
        <v>2.5000000000000001E-2</v>
      </c>
      <c r="Z321" s="116" t="b">
        <f>OR(COUNTIF(PROVEEDORES[[#This Row],[PROVEEDOR]],"*"&amp;'Palabra no opera'!$A$2&amp;"*"))</f>
        <v>0</v>
      </c>
      <c r="AA321" s="24"/>
      <c r="AB321" s="24"/>
      <c r="AC321" s="24"/>
      <c r="AD321" s="24"/>
      <c r="AE321" s="24"/>
    </row>
    <row r="322" spans="1:31" ht="22.35" customHeight="1" x14ac:dyDescent="0.3">
      <c r="A322" s="61" t="str">
        <f>+IF(PROVEEDORES[[#This Row],[FECHA DE PAGO]]=PROVEEDORES[[#This Row],[FECHA DE FACTURACIÓN]],"DE CONTADO","CRÉDITO")</f>
        <v>CRÉDITO</v>
      </c>
      <c r="B322" s="38" t="str">
        <f>+IF((PROVEEDORES[[#This Row],[FECHA DE PAGO]]-PROVEEDORES[[#This Row],[FECHA DE FACTURACIÓN]])&gt;PROVEEDORES[[#This Row],[PLAZO Días]],"PAGO VENCIDO")</f>
        <v>PAGO VENCIDO</v>
      </c>
      <c r="C322" s="20">
        <f>+VLOOKUP(PROVEEDORES[[#This Row],[PROVEEDOR]],TERCEROS_INFO[#All],2,FALSE)</f>
        <v>30</v>
      </c>
      <c r="D322" s="25">
        <f>+SUMIFS(PROVEEDORES[Total],PROVEEDORES[PROVEEDOR],PROVEEDORES[[#This Row],[PROVEEDOR]],PROVEEDORES[FECHA DE PAGO],"")</f>
        <v>10321993.199999999</v>
      </c>
      <c r="E322" s="25"/>
      <c r="F322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22" s="68">
        <v>44684</v>
      </c>
      <c r="H322" s="26" t="s">
        <v>1068</v>
      </c>
      <c r="I322" s="68">
        <v>44644</v>
      </c>
      <c r="J322" s="35">
        <v>25131</v>
      </c>
      <c r="K322" s="21">
        <v>297600</v>
      </c>
      <c r="L322" s="21">
        <v>29760</v>
      </c>
      <c r="M322" s="22">
        <f>(PROVEEDORES[[#This Row],[SUBTOTAL]]-PROVEEDORES[[#This Row],[descuento sobre subtotal]])*VLOOKUP(PROVEEDORES[[#This Row],[PROVEEDOR]],TERCEROS_INFO[#All],3,FALSE)</f>
        <v>50889.599999999999</v>
      </c>
      <c r="N322" s="23"/>
      <c r="O322" s="22">
        <f>+PROVEEDORES[[#This Row],[Descuento sobre subtotal %]]*(PROVEEDORES[[#This Row],[SUBTOTAL]]-PROVEEDORES[[#This Row],[descuento sobre subtotal]])</f>
        <v>0</v>
      </c>
      <c r="P322" s="74">
        <f>+IF(PROVEEDORES[[#This Row],[SUBTOTAL]]&lt;PROVEEDORES[[#This Row],[base retencion]],0,PROVEEDORES[[#This Row],[retención aplicada]])</f>
        <v>0</v>
      </c>
      <c r="Q322" s="22">
        <f>+PROVEEDORES[[#This Row],[Rete Fuente %]]*(PROVEEDORES[[#This Row],[SUBTOTAL]]-PROVEEDORES[[#This Row],[descuento sobre subtotal]])</f>
        <v>0</v>
      </c>
      <c r="R322" s="21">
        <f>+PROVEEDORES[[#This Row],[SUBTOTAL]]+PROVEEDORES[[#This Row],[IVA 19%]]-PROVEEDORES[[#This Row],[descuento sobre subtotal]]-PROVEEDORES[[#This Row],[Descuento sobre subtotal $2]]-PROVEEDORES[[#This Row],[Rete Fuente $]]</f>
        <v>318729.59999999998</v>
      </c>
      <c r="S32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63">
        <f ca="1">IF(PROVEEDORES[[#This Row],[FECHA DE PAGO]]=0,TODAY()-PROVEEDORES[[#This Row],[FECHA DE FACTURACIÓN]]-PROVEEDORES[[#This Row],[PLAZO Días]],0)</f>
        <v>0</v>
      </c>
      <c r="U322" s="87" t="str">
        <f>+VLOOKUP(PROVEEDORES[[#This Row],[PROVEEDOR]],Terceros!$A:$D,4,FALSE)</f>
        <v>2,5% con base</v>
      </c>
      <c r="V322" s="88">
        <f>+YEAR(PROVEEDORES[[#This Row],[FECHA DE FACTURACIÓN]])</f>
        <v>2022</v>
      </c>
      <c r="W322" s="88">
        <f>+MATCH(PROVEEDORES[[#This Row],[año facturado]],Retenciones!$1:$1,0)</f>
        <v>5</v>
      </c>
      <c r="X322" s="89">
        <f>+VLOOKUP(PROVEEDORES[[#This Row],[ID RETENCION]],Retenciones!$A$1:$O$25,PROVEEDORES[[#This Row],[indicador de columna]],FALSE)</f>
        <v>1026000</v>
      </c>
      <c r="Y322" s="90">
        <f>+VLOOKUP(PROVEEDORES[[#This Row],[ID RETENCION]],Retenciones!$A$1:$O$25,2,FALSE)</f>
        <v>2.5000000000000001E-2</v>
      </c>
      <c r="Z322" s="116" t="b">
        <f>OR(COUNTIF(PROVEEDORES[[#This Row],[PROVEEDOR]],"*"&amp;'Palabra no opera'!$A$2&amp;"*"))</f>
        <v>0</v>
      </c>
      <c r="AA322" s="24"/>
      <c r="AB322" s="24"/>
      <c r="AC322" s="24"/>
      <c r="AD322" s="24"/>
      <c r="AE322" s="24"/>
    </row>
    <row r="323" spans="1:31" ht="22.35" customHeight="1" x14ac:dyDescent="0.3">
      <c r="A323" s="61" t="str">
        <f>+IF(PROVEEDORES[[#This Row],[FECHA DE PAGO]]=PROVEEDORES[[#This Row],[FECHA DE FACTURACIÓN]],"DE CONTADO","CRÉDITO")</f>
        <v>CRÉDITO</v>
      </c>
      <c r="B323" s="38" t="str">
        <f>+IF((PROVEEDORES[[#This Row],[FECHA DE PAGO]]-PROVEEDORES[[#This Row],[FECHA DE FACTURACIÓN]])&gt;PROVEEDORES[[#This Row],[PLAZO Días]],"PAGO VENCIDO")</f>
        <v>PAGO VENCIDO</v>
      </c>
      <c r="C323" s="20">
        <f>+VLOOKUP(PROVEEDORES[[#This Row],[PROVEEDOR]],TERCEROS_INFO[#All],2,FALSE)</f>
        <v>30</v>
      </c>
      <c r="D323" s="25">
        <f>+SUMIFS(PROVEEDORES[Total],PROVEEDORES[PROVEEDOR],PROVEEDORES[[#This Row],[PROVEEDOR]],PROVEEDORES[FECHA DE PAGO],"")</f>
        <v>0</v>
      </c>
      <c r="E323" s="25"/>
      <c r="F323" s="56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323" s="68">
        <v>44684</v>
      </c>
      <c r="H323" s="26" t="s">
        <v>105</v>
      </c>
      <c r="I323" s="68">
        <v>44597</v>
      </c>
      <c r="J323" s="35">
        <v>51</v>
      </c>
      <c r="K323" s="21">
        <v>914118</v>
      </c>
      <c r="L323" s="21"/>
      <c r="M323" s="22">
        <f>(PROVEEDORES[[#This Row],[SUBTOTAL]]-PROVEEDORES[[#This Row],[descuento sobre subtotal]])*VLOOKUP(PROVEEDORES[[#This Row],[PROVEEDOR]],TERCEROS_INFO[#All],3,FALSE)</f>
        <v>173682.42</v>
      </c>
      <c r="N323" s="23"/>
      <c r="O323" s="22">
        <f>+PROVEEDORES[[#This Row],[Descuento sobre subtotal %]]*(PROVEEDORES[[#This Row],[SUBTOTAL]]-PROVEEDORES[[#This Row],[descuento sobre subtotal]])</f>
        <v>0</v>
      </c>
      <c r="P323" s="74">
        <f>+IF(PROVEEDORES[[#This Row],[SUBTOTAL]]&lt;PROVEEDORES[[#This Row],[base retencion]],0,PROVEEDORES[[#This Row],[retención aplicada]])</f>
        <v>0</v>
      </c>
      <c r="Q323" s="22">
        <f>+PROVEEDORES[[#This Row],[Rete Fuente %]]*(PROVEEDORES[[#This Row],[SUBTOTAL]]-PROVEEDORES[[#This Row],[descuento sobre subtotal]])</f>
        <v>0</v>
      </c>
      <c r="R323" s="21">
        <f>+PROVEEDORES[[#This Row],[SUBTOTAL]]+PROVEEDORES[[#This Row],[IVA 19%]]-PROVEEDORES[[#This Row],[descuento sobre subtotal]]-PROVEEDORES[[#This Row],[Descuento sobre subtotal $2]]-PROVEEDORES[[#This Row],[Rete Fuente $]]</f>
        <v>1087800.42</v>
      </c>
      <c r="S32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63">
        <f ca="1">IF(PROVEEDORES[[#This Row],[FECHA DE PAGO]]=0,TODAY()-PROVEEDORES[[#This Row],[FECHA DE FACTURACIÓN]]-PROVEEDORES[[#This Row],[PLAZO Días]],0)</f>
        <v>0</v>
      </c>
      <c r="U323" s="87" t="str">
        <f>+VLOOKUP(PROVEEDORES[[#This Row],[PROVEEDOR]],Terceros!$A:$D,4,FALSE)</f>
        <v>2,5% con base</v>
      </c>
      <c r="V323" s="88">
        <f>+YEAR(PROVEEDORES[[#This Row],[FECHA DE FACTURACIÓN]])</f>
        <v>2022</v>
      </c>
      <c r="W323" s="88">
        <f>+MATCH(PROVEEDORES[[#This Row],[año facturado]],Retenciones!$1:$1,0)</f>
        <v>5</v>
      </c>
      <c r="X323" s="89">
        <f>+VLOOKUP(PROVEEDORES[[#This Row],[ID RETENCION]],Retenciones!$A$1:$O$25,PROVEEDORES[[#This Row],[indicador de columna]],FALSE)</f>
        <v>1026000</v>
      </c>
      <c r="Y323" s="90">
        <f>+VLOOKUP(PROVEEDORES[[#This Row],[ID RETENCION]],Retenciones!$A$1:$O$25,2,FALSE)</f>
        <v>2.5000000000000001E-2</v>
      </c>
      <c r="Z323" s="116" t="b">
        <f>OR(COUNTIF(PROVEEDORES[[#This Row],[PROVEEDOR]],"*"&amp;'Palabra no opera'!$A$2&amp;"*"))</f>
        <v>0</v>
      </c>
      <c r="AA323" s="24"/>
      <c r="AB323" s="24"/>
      <c r="AC323" s="24"/>
      <c r="AD323" s="24"/>
      <c r="AE323" s="24"/>
    </row>
    <row r="324" spans="1:31" ht="22.35" customHeight="1" x14ac:dyDescent="0.3">
      <c r="A324" s="61" t="str">
        <f>+IF(PROVEEDORES[[#This Row],[FECHA DE PAGO]]=PROVEEDORES[[#This Row],[FECHA DE FACTURACIÓN]],"DE CONTADO","CRÉDITO")</f>
        <v>CRÉDITO</v>
      </c>
      <c r="B324" s="38" t="str">
        <f>+IF((PROVEEDORES[[#This Row],[FECHA DE PAGO]]-PROVEEDORES[[#This Row],[FECHA DE FACTURACIÓN]])&gt;PROVEEDORES[[#This Row],[PLAZO Días]],"PAGO VENCIDO")</f>
        <v>PAGO VENCIDO</v>
      </c>
      <c r="C324" s="20">
        <f>+VLOOKUP(PROVEEDORES[[#This Row],[PROVEEDOR]],TERCEROS_INFO[#All],2,FALSE)</f>
        <v>30</v>
      </c>
      <c r="D324" s="25">
        <f>+SUMIFS(PROVEEDORES[Total],PROVEEDORES[PROVEEDOR],PROVEEDORES[[#This Row],[PROVEEDOR]],PROVEEDORES[FECHA DE PAGO],"")</f>
        <v>18444236.894999996</v>
      </c>
      <c r="E324" s="25"/>
      <c r="F32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24" s="68">
        <v>44684</v>
      </c>
      <c r="H324" s="26" t="s">
        <v>11</v>
      </c>
      <c r="I324" s="68">
        <v>44627</v>
      </c>
      <c r="J324" s="35" t="s">
        <v>460</v>
      </c>
      <c r="K324" s="21">
        <v>3960000</v>
      </c>
      <c r="L324" s="21"/>
      <c r="M324" s="22">
        <f>(PROVEEDORES[[#This Row],[SUBTOTAL]]-PROVEEDORES[[#This Row],[descuento sobre subtotal]])*VLOOKUP(PROVEEDORES[[#This Row],[PROVEEDOR]],TERCEROS_INFO[#All],3,FALSE)</f>
        <v>752400</v>
      </c>
      <c r="N324" s="23"/>
      <c r="O324" s="22">
        <f>+PROVEEDORES[[#This Row],[Descuento sobre subtotal %]]*(PROVEEDORES[[#This Row],[SUBTOTAL]]-PROVEEDORES[[#This Row],[descuento sobre subtotal]])</f>
        <v>0</v>
      </c>
      <c r="P324" s="74">
        <f>+IF(PROVEEDORES[[#This Row],[SUBTOTAL]]&lt;PROVEEDORES[[#This Row],[base retencion]],0,PROVEEDORES[[#This Row],[retención aplicada]])</f>
        <v>2.5000000000000001E-2</v>
      </c>
      <c r="Q324" s="22">
        <f>+PROVEEDORES[[#This Row],[Rete Fuente %]]*(PROVEEDORES[[#This Row],[SUBTOTAL]]-PROVEEDORES[[#This Row],[descuento sobre subtotal]])</f>
        <v>99000</v>
      </c>
      <c r="R324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32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63">
        <f ca="1">IF(PROVEEDORES[[#This Row],[FECHA DE PAGO]]=0,TODAY()-PROVEEDORES[[#This Row],[FECHA DE FACTURACIÓN]]-PROVEEDORES[[#This Row],[PLAZO Días]],0)</f>
        <v>0</v>
      </c>
      <c r="U324" s="87" t="str">
        <f>+VLOOKUP(PROVEEDORES[[#This Row],[PROVEEDOR]],Terceros!$A:$D,4,FALSE)</f>
        <v>2,5% con base</v>
      </c>
      <c r="V324" s="88">
        <f>+YEAR(PROVEEDORES[[#This Row],[FECHA DE FACTURACIÓN]])</f>
        <v>2022</v>
      </c>
      <c r="W324" s="88">
        <f>+MATCH(PROVEEDORES[[#This Row],[año facturado]],Retenciones!$1:$1,0)</f>
        <v>5</v>
      </c>
      <c r="X324" s="89">
        <f>+VLOOKUP(PROVEEDORES[[#This Row],[ID RETENCION]],Retenciones!$A$1:$O$25,PROVEEDORES[[#This Row],[indicador de columna]],FALSE)</f>
        <v>1026000</v>
      </c>
      <c r="Y324" s="90">
        <f>+VLOOKUP(PROVEEDORES[[#This Row],[ID RETENCION]],Retenciones!$A$1:$O$25,2,FALSE)</f>
        <v>2.5000000000000001E-2</v>
      </c>
      <c r="Z324" s="117" t="b">
        <f>OR(COUNTIF(PROVEEDORES[[#This Row],[PROVEEDOR]],"*"&amp;'Palabra no opera'!$A$2&amp;"*"))</f>
        <v>0</v>
      </c>
      <c r="AA324" s="24"/>
      <c r="AB324" s="24"/>
      <c r="AC324" s="24"/>
      <c r="AD324" s="24"/>
      <c r="AE324" s="24"/>
    </row>
    <row r="325" spans="1:31" ht="22.35" customHeight="1" x14ac:dyDescent="0.3">
      <c r="A325" s="61" t="str">
        <f>+IF(PROVEEDORES[[#This Row],[FECHA DE PAGO]]=PROVEEDORES[[#This Row],[FECHA DE FACTURACIÓN]],"DE CONTADO","CRÉDITO")</f>
        <v>CRÉDITO</v>
      </c>
      <c r="B325" s="38" t="str">
        <f>+IF((PROVEEDORES[[#This Row],[FECHA DE PAGO]]-PROVEEDORES[[#This Row],[FECHA DE FACTURACIÓN]])&gt;PROVEEDORES[[#This Row],[PLAZO Días]],"PAGO VENCIDO")</f>
        <v>PAGO VENCIDO</v>
      </c>
      <c r="C325" s="20">
        <f>+VLOOKUP(PROVEEDORES[[#This Row],[PROVEEDOR]],TERCEROS_INFO[#All],2,FALSE)</f>
        <v>30</v>
      </c>
      <c r="D325" s="25">
        <f>+SUMIFS(PROVEEDORES[Total],PROVEEDORES[PROVEEDOR],PROVEEDORES[[#This Row],[PROVEEDOR]],PROVEEDORES[FECHA DE PAGO],"")</f>
        <v>2773899.95</v>
      </c>
      <c r="E325" s="25"/>
      <c r="F325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325" s="68">
        <v>44685</v>
      </c>
      <c r="H325" s="26" t="s">
        <v>20</v>
      </c>
      <c r="I325" s="68">
        <v>44636</v>
      </c>
      <c r="J325" s="35">
        <v>6577</v>
      </c>
      <c r="K325" s="21">
        <v>2918615.3</v>
      </c>
      <c r="L325" s="21"/>
      <c r="M325" s="22">
        <f>(PROVEEDORES[[#This Row],[SUBTOTAL]]-PROVEEDORES[[#This Row],[descuento sobre subtotal]])*VLOOKUP(PROVEEDORES[[#This Row],[PROVEEDOR]],TERCEROS_INFO[#All],3,FALSE)</f>
        <v>554536.90700000001</v>
      </c>
      <c r="N325" s="23"/>
      <c r="O325" s="22">
        <f>+PROVEEDORES[[#This Row],[Descuento sobre subtotal %]]*(PROVEEDORES[[#This Row],[SUBTOTAL]]-PROVEEDORES[[#This Row],[descuento sobre subtotal]])</f>
        <v>0</v>
      </c>
      <c r="P325" s="74">
        <f>+IF(PROVEEDORES[[#This Row],[SUBTOTAL]]&lt;PROVEEDORES[[#This Row],[base retencion]],0,PROVEEDORES[[#This Row],[retención aplicada]])</f>
        <v>2.5000000000000001E-2</v>
      </c>
      <c r="Q325" s="22">
        <f>+PROVEEDORES[[#This Row],[Rete Fuente %]]*(PROVEEDORES[[#This Row],[SUBTOTAL]]-PROVEEDORES[[#This Row],[descuento sobre subtotal]])</f>
        <v>72965.382499999992</v>
      </c>
      <c r="R325" s="21">
        <f>+PROVEEDORES[[#This Row],[SUBTOTAL]]+PROVEEDORES[[#This Row],[IVA 19%]]-PROVEEDORES[[#This Row],[descuento sobre subtotal]]-PROVEEDORES[[#This Row],[Descuento sobre subtotal $2]]-PROVEEDORES[[#This Row],[Rete Fuente $]]</f>
        <v>3400186.8245000001</v>
      </c>
      <c r="S32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63">
        <f ca="1">IF(PROVEEDORES[[#This Row],[FECHA DE PAGO]]=0,TODAY()-PROVEEDORES[[#This Row],[FECHA DE FACTURACIÓN]]-PROVEEDORES[[#This Row],[PLAZO Días]],0)</f>
        <v>0</v>
      </c>
      <c r="U325" s="87" t="str">
        <f>+VLOOKUP(PROVEEDORES[[#This Row],[PROVEEDOR]],Terceros!$A:$D,4,FALSE)</f>
        <v>2,5% con base</v>
      </c>
      <c r="V325" s="88">
        <f>+YEAR(PROVEEDORES[[#This Row],[FECHA DE FACTURACIÓN]])</f>
        <v>2022</v>
      </c>
      <c r="W325" s="88">
        <f>+MATCH(PROVEEDORES[[#This Row],[año facturado]],Retenciones!$1:$1,0)</f>
        <v>5</v>
      </c>
      <c r="X325" s="89">
        <f>+VLOOKUP(PROVEEDORES[[#This Row],[ID RETENCION]],Retenciones!$A$1:$O$25,PROVEEDORES[[#This Row],[indicador de columna]],FALSE)</f>
        <v>1026000</v>
      </c>
      <c r="Y325" s="90">
        <f>+VLOOKUP(PROVEEDORES[[#This Row],[ID RETENCION]],Retenciones!$A$1:$O$25,2,FALSE)</f>
        <v>2.5000000000000001E-2</v>
      </c>
      <c r="Z325" s="116" t="b">
        <f>OR(COUNTIF(PROVEEDORES[[#This Row],[PROVEEDOR]],"*"&amp;'Palabra no opera'!$A$2&amp;"*"))</f>
        <v>0</v>
      </c>
      <c r="AA325" s="24"/>
      <c r="AB325" s="24"/>
      <c r="AC325" s="24"/>
      <c r="AD325" s="24"/>
      <c r="AE325" s="24"/>
    </row>
    <row r="326" spans="1:31" ht="22.35" customHeight="1" x14ac:dyDescent="0.3">
      <c r="A326" s="103" t="str">
        <f>+IF(PROVEEDORES[[#This Row],[FECHA DE PAGO]]=PROVEEDORES[[#This Row],[FECHA DE FACTURACIÓN]],"DE CONTADO","CRÉDITO")</f>
        <v>CRÉDITO</v>
      </c>
      <c r="B326" s="38" t="b">
        <f>+IF((PROVEEDORES[[#This Row],[FECHA DE PAGO]]-PROVEEDORES[[#This Row],[FECHA DE FACTURACIÓN]])&gt;PROVEEDORES[[#This Row],[PLAZO Días]],"PAGO VENCIDO")</f>
        <v>0</v>
      </c>
      <c r="C326" s="20">
        <f>+VLOOKUP(PROVEEDORES[[#This Row],[PROVEEDOR]],TERCEROS_INFO[#All],2,FALSE)</f>
        <v>30</v>
      </c>
      <c r="D326" s="25">
        <f>+SUMIFS(PROVEEDORES[Total],PROVEEDORES[PROVEEDOR],PROVEEDORES[[#This Row],[PROVEEDOR]],PROVEEDORES[FECHA DE PAGO],"")</f>
        <v>0</v>
      </c>
      <c r="E326" s="25"/>
      <c r="F326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26" s="68">
        <v>44685</v>
      </c>
      <c r="H326" s="26" t="s">
        <v>967</v>
      </c>
      <c r="I326" s="68">
        <v>44668</v>
      </c>
      <c r="J326" s="35">
        <v>220</v>
      </c>
      <c r="K326" s="21">
        <v>399000</v>
      </c>
      <c r="L326" s="21"/>
      <c r="M326" s="22">
        <f>(PROVEEDORES[[#This Row],[SUBTOTAL]]-PROVEEDORES[[#This Row],[descuento sobre subtotal]])*VLOOKUP(PROVEEDORES[[#This Row],[PROVEEDOR]],TERCEROS_INFO[#All],3,FALSE)</f>
        <v>0</v>
      </c>
      <c r="N326" s="23"/>
      <c r="O326" s="22">
        <f>+PROVEEDORES[[#This Row],[Descuento sobre subtotal %]]*(PROVEEDORES[[#This Row],[SUBTOTAL]]-PROVEEDORES[[#This Row],[descuento sobre subtotal]])</f>
        <v>0</v>
      </c>
      <c r="P326" s="74">
        <f>+IF(PROVEEDORES[[#This Row],[SUBTOTAL]]&lt;PROVEEDORES[[#This Row],[base retencion]],0,PROVEEDORES[[#This Row],[retención aplicada]])</f>
        <v>0.01</v>
      </c>
      <c r="Q326" s="22">
        <f>+PROVEEDORES[[#This Row],[Rete Fuente %]]*(PROVEEDORES[[#This Row],[SUBTOTAL]]-PROVEEDORES[[#This Row],[descuento sobre subtotal]])</f>
        <v>3990</v>
      </c>
      <c r="R326" s="21">
        <f>+PROVEEDORES[[#This Row],[SUBTOTAL]]+PROVEEDORES[[#This Row],[IVA 19%]]-PROVEEDORES[[#This Row],[descuento sobre subtotal]]-PROVEEDORES[[#This Row],[Descuento sobre subtotal $2]]-PROVEEDORES[[#This Row],[Rete Fuente $]]</f>
        <v>395010</v>
      </c>
      <c r="S326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63">
        <f ca="1">IF(PROVEEDORES[[#This Row],[FECHA DE PAGO]]=0,TODAY()-PROVEEDORES[[#This Row],[FECHA DE FACTURACIÓN]]-PROVEEDORES[[#This Row],[PLAZO Días]],0)</f>
        <v>0</v>
      </c>
      <c r="U326" s="104" t="str">
        <f>+VLOOKUP(PROVEEDORES[[#This Row],[PROVEEDOR]],Terceros!$A:$D,4,FALSE)</f>
        <v>1% con base</v>
      </c>
      <c r="V326" s="105">
        <f>+YEAR(PROVEEDORES[[#This Row],[FECHA DE FACTURACIÓN]])</f>
        <v>2022</v>
      </c>
      <c r="W326" s="105">
        <f>+MATCH(PROVEEDORES[[#This Row],[año facturado]],Retenciones!$1:$1,0)</f>
        <v>5</v>
      </c>
      <c r="X326" s="106">
        <f>+VLOOKUP(PROVEEDORES[[#This Row],[ID RETENCION]],Retenciones!$A$1:$O$25,PROVEEDORES[[#This Row],[indicador de columna]],FALSE)</f>
        <v>152000</v>
      </c>
      <c r="Y326" s="107">
        <f>+VLOOKUP(PROVEEDORES[[#This Row],[ID RETENCION]],Retenciones!$A$1:$O$25,2,FALSE)</f>
        <v>0.01</v>
      </c>
      <c r="Z326" s="116" t="b">
        <f>OR(COUNTIF(PROVEEDORES[[#This Row],[PROVEEDOR]],"*"&amp;'Palabra no opera'!$A$2&amp;"*"))</f>
        <v>0</v>
      </c>
      <c r="AA326" s="24"/>
      <c r="AB326" s="24"/>
      <c r="AC326" s="24"/>
      <c r="AD326" s="24"/>
      <c r="AE326" s="24"/>
    </row>
    <row r="327" spans="1:31" ht="22.35" customHeight="1" x14ac:dyDescent="0.3">
      <c r="A327" s="61" t="str">
        <f>+IF(PROVEEDORES[[#This Row],[FECHA DE PAGO]]=PROVEEDORES[[#This Row],[FECHA DE FACTURACIÓN]],"DE CONTADO","CRÉDITO")</f>
        <v>CRÉDITO</v>
      </c>
      <c r="B327" s="38" t="b">
        <f>+IF((PROVEEDORES[[#This Row],[FECHA DE PAGO]]-PROVEEDORES[[#This Row],[FECHA DE FACTURACIÓN]])&gt;PROVEEDORES[[#This Row],[PLAZO Días]],"PAGO VENCIDO")</f>
        <v>0</v>
      </c>
      <c r="C327" s="20">
        <f>+VLOOKUP(PROVEEDORES[[#This Row],[PROVEEDOR]],TERCEROS_INFO[#All],2,FALSE)</f>
        <v>30</v>
      </c>
      <c r="D327" s="25">
        <f>+SUMIFS(PROVEEDORES[Total],PROVEEDORES[PROVEEDOR],PROVEEDORES[[#This Row],[PROVEEDOR]],PROVEEDORES[FECHA DE PAGO],"")</f>
        <v>0</v>
      </c>
      <c r="E327" s="25"/>
      <c r="F327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27" s="68">
        <v>44685</v>
      </c>
      <c r="H327" s="26" t="s">
        <v>227</v>
      </c>
      <c r="I327" s="68">
        <v>44665</v>
      </c>
      <c r="J327" s="35" t="s">
        <v>572</v>
      </c>
      <c r="K327" s="21">
        <v>264406</v>
      </c>
      <c r="L327" s="21"/>
      <c r="M327" s="22">
        <f>(PROVEEDORES[[#This Row],[SUBTOTAL]]-PROVEEDORES[[#This Row],[descuento sobre subtotal]])*VLOOKUP(PROVEEDORES[[#This Row],[PROVEEDOR]],TERCEROS_INFO[#All],3,FALSE)</f>
        <v>0</v>
      </c>
      <c r="N327" s="23"/>
      <c r="O327" s="22">
        <f>+PROVEEDORES[[#This Row],[Descuento sobre subtotal %]]*(PROVEEDORES[[#This Row],[SUBTOTAL]]-PROVEEDORES[[#This Row],[descuento sobre subtotal]])</f>
        <v>0</v>
      </c>
      <c r="P327" s="74">
        <f>+IF(PROVEEDORES[[#This Row],[SUBTOTAL]]&lt;PROVEEDORES[[#This Row],[base retencion]],0,PROVEEDORES[[#This Row],[retención aplicada]])</f>
        <v>0</v>
      </c>
      <c r="Q327" s="22">
        <f>+PROVEEDORES[[#This Row],[Rete Fuente %]]*(PROVEEDORES[[#This Row],[SUBTOTAL]]-PROVEEDORES[[#This Row],[descuento sobre subtotal]])</f>
        <v>0</v>
      </c>
      <c r="R327" s="21">
        <f>+PROVEEDORES[[#This Row],[SUBTOTAL]]+PROVEEDORES[[#This Row],[IVA 19%]]-PROVEEDORES[[#This Row],[descuento sobre subtotal]]-PROVEEDORES[[#This Row],[Descuento sobre subtotal $2]]-PROVEEDORES[[#This Row],[Rete Fuente $]]</f>
        <v>264406</v>
      </c>
      <c r="S32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63">
        <f ca="1">IF(PROVEEDORES[[#This Row],[FECHA DE PAGO]]=0,TODAY()-PROVEEDORES[[#This Row],[FECHA DE FACTURACIÓN]]-PROVEEDORES[[#This Row],[PLAZO Días]],0)</f>
        <v>0</v>
      </c>
      <c r="U327" s="87">
        <f>+VLOOKUP(PROVEEDORES[[#This Row],[PROVEEDOR]],Terceros!$A:$D,4,FALSE)</f>
        <v>0</v>
      </c>
      <c r="V327" s="88">
        <f>+YEAR(PROVEEDORES[[#This Row],[FECHA DE FACTURACIÓN]])</f>
        <v>2022</v>
      </c>
      <c r="W327" s="88">
        <f>+MATCH(PROVEEDORES[[#This Row],[año facturado]],Retenciones!$1:$1,0)</f>
        <v>5</v>
      </c>
      <c r="X327" s="89">
        <f>+VLOOKUP(PROVEEDORES[[#This Row],[ID RETENCION]],Retenciones!$A$1:$O$25,PROVEEDORES[[#This Row],[indicador de columna]],FALSE)</f>
        <v>0</v>
      </c>
      <c r="Y327" s="90">
        <f>+VLOOKUP(PROVEEDORES[[#This Row],[ID RETENCION]],Retenciones!$A$1:$O$25,2,FALSE)</f>
        <v>0</v>
      </c>
      <c r="Z327" s="116" t="b">
        <f>OR(COUNTIF(PROVEEDORES[[#This Row],[PROVEEDOR]],"*"&amp;'Palabra no opera'!$A$2&amp;"*"))</f>
        <v>0</v>
      </c>
      <c r="AA327" s="24"/>
      <c r="AB327" s="24"/>
      <c r="AC327" s="24"/>
      <c r="AD327" s="24"/>
      <c r="AE327" s="24"/>
    </row>
    <row r="328" spans="1:31" ht="22.35" customHeight="1" x14ac:dyDescent="0.3">
      <c r="A328" s="61" t="str">
        <f>+IF(PROVEEDORES[[#This Row],[FECHA DE PAGO]]=PROVEEDORES[[#This Row],[FECHA DE FACTURACIÓN]],"DE CONTADO","CRÉDITO")</f>
        <v>CRÉDITO</v>
      </c>
      <c r="B328" s="38" t="str">
        <f>+IF((PROVEEDORES[[#This Row],[FECHA DE PAGO]]-PROVEEDORES[[#This Row],[FECHA DE FACTURACIÓN]])&gt;PROVEEDORES[[#This Row],[PLAZO Días]],"PAGO VENCIDO")</f>
        <v>PAGO VENCIDO</v>
      </c>
      <c r="C328" s="20">
        <f>+VLOOKUP(PROVEEDORES[[#This Row],[PROVEEDOR]],TERCEROS_INFO[#All],2,FALSE)</f>
        <v>30</v>
      </c>
      <c r="D328" s="25">
        <f>+SUMIFS(PROVEEDORES[Total],PROVEEDORES[PROVEEDOR],PROVEEDORES[[#This Row],[PROVEEDOR]],PROVEEDORES[FECHA DE PAGO],"")</f>
        <v>2100000</v>
      </c>
      <c r="E328" s="25"/>
      <c r="F328" s="56" t="str">
        <f>+VLOOKUP(PROVEEDORES[[#This Row],[PROVEEDOR]],
                       Terceros!$A:$F,
                       5,
                       FALSE)</f>
        <v/>
      </c>
      <c r="G328" s="68">
        <v>44686</v>
      </c>
      <c r="H328" s="26" t="s">
        <v>349</v>
      </c>
      <c r="I328" s="68">
        <v>44649</v>
      </c>
      <c r="J328" s="35" t="s">
        <v>424</v>
      </c>
      <c r="K328" s="21">
        <v>3750700</v>
      </c>
      <c r="L328" s="21"/>
      <c r="M328" s="22">
        <f>(PROVEEDORES[[#This Row],[SUBTOTAL]]-PROVEEDORES[[#This Row],[descuento sobre subtotal]])*VLOOKUP(PROVEEDORES[[#This Row],[PROVEEDOR]],TERCEROS_INFO[#All],3,FALSE)</f>
        <v>0</v>
      </c>
      <c r="N328" s="23"/>
      <c r="O328" s="22">
        <f>+PROVEEDORES[[#This Row],[Descuento sobre subtotal %]]*(PROVEEDORES[[#This Row],[SUBTOTAL]]-PROVEEDORES[[#This Row],[descuento sobre subtotal]])</f>
        <v>0</v>
      </c>
      <c r="P328" s="74">
        <f>+IF(PROVEEDORES[[#This Row],[SUBTOTAL]]&lt;PROVEEDORES[[#This Row],[base retencion]],0,PROVEEDORES[[#This Row],[retención aplicada]])</f>
        <v>0</v>
      </c>
      <c r="Q328" s="22">
        <f>+PROVEEDORES[[#This Row],[Rete Fuente %]]*(PROVEEDORES[[#This Row],[SUBTOTAL]]-PROVEEDORES[[#This Row],[descuento sobre subtotal]])</f>
        <v>0</v>
      </c>
      <c r="R328" s="21">
        <f>+PROVEEDORES[[#This Row],[SUBTOTAL]]+PROVEEDORES[[#This Row],[IVA 19%]]-PROVEEDORES[[#This Row],[descuento sobre subtotal]]-PROVEEDORES[[#This Row],[Descuento sobre subtotal $2]]-PROVEEDORES[[#This Row],[Rete Fuente $]]</f>
        <v>3750700</v>
      </c>
      <c r="S32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63">
        <f ca="1">IF(PROVEEDORES[[#This Row],[FECHA DE PAGO]]=0,TODAY()-PROVEEDORES[[#This Row],[FECHA DE FACTURACIÓN]]-PROVEEDORES[[#This Row],[PLAZO Días]],0)</f>
        <v>0</v>
      </c>
      <c r="U328" s="87">
        <f>+VLOOKUP(PROVEEDORES[[#This Row],[PROVEEDOR]],Terceros!$A:$D,4,FALSE)</f>
        <v>0</v>
      </c>
      <c r="V328" s="88">
        <f>+YEAR(PROVEEDORES[[#This Row],[FECHA DE FACTURACIÓN]])</f>
        <v>2022</v>
      </c>
      <c r="W328" s="88">
        <f>+MATCH(PROVEEDORES[[#This Row],[año facturado]],Retenciones!$1:$1,0)</f>
        <v>5</v>
      </c>
      <c r="X328" s="89">
        <f>+VLOOKUP(PROVEEDORES[[#This Row],[ID RETENCION]],Retenciones!$A$1:$O$25,PROVEEDORES[[#This Row],[indicador de columna]],FALSE)</f>
        <v>0</v>
      </c>
      <c r="Y328" s="90">
        <f>+VLOOKUP(PROVEEDORES[[#This Row],[ID RETENCION]],Retenciones!$A$1:$O$25,2,FALSE)</f>
        <v>0</v>
      </c>
      <c r="Z328" s="116" t="b">
        <f>OR(COUNTIF(PROVEEDORES[[#This Row],[PROVEEDOR]],"*"&amp;'Palabra no opera'!$A$2&amp;"*"))</f>
        <v>0</v>
      </c>
      <c r="AA328" s="24"/>
      <c r="AB328" s="24"/>
      <c r="AC328" s="24"/>
      <c r="AD328" s="24"/>
      <c r="AE328" s="24"/>
    </row>
    <row r="329" spans="1:31" ht="22.35" customHeight="1" x14ac:dyDescent="0.3">
      <c r="A329" s="122" t="str">
        <f>+IF(PROVEEDORES[[#This Row],[FECHA DE PAGO]]=PROVEEDORES[[#This Row],[FECHA DE FACTURACIÓN]],"DE CONTADO","CRÉDITO")</f>
        <v>DE CONTADO</v>
      </c>
      <c r="B329" s="38" t="b">
        <f>+IF((PROVEEDORES[[#This Row],[FECHA DE PAGO]]-PROVEEDORES[[#This Row],[FECHA DE FACTURACIÓN]])&gt;PROVEEDORES[[#This Row],[PLAZO Días]],"PAGO VENCIDO")</f>
        <v>0</v>
      </c>
      <c r="C329" s="20">
        <f>+VLOOKUP(PROVEEDORES[[#This Row],[PROVEEDOR]],TERCEROS_INFO[#All],2,FALSE)</f>
        <v>30</v>
      </c>
      <c r="D329" s="25">
        <f>+SUMIFS(PROVEEDORES[Total],PROVEEDORES[PROVEEDOR],PROVEEDORES[[#This Row],[PROVEEDOR]],PROVEEDORES[FECHA DE PAGO],"")</f>
        <v>0</v>
      </c>
      <c r="E329" s="25"/>
      <c r="F329" s="56" t="str">
        <f>+VLOOKUP(PROVEEDORES[[#This Row],[PROVEEDOR]],
                       Terceros!$A:$F,
                       5,
                       FALSE)</f>
        <v/>
      </c>
      <c r="G329" s="68">
        <v>44686</v>
      </c>
      <c r="H329" s="26" t="s">
        <v>390</v>
      </c>
      <c r="I329" s="68">
        <v>44686</v>
      </c>
      <c r="J329" s="35"/>
      <c r="K329" s="21">
        <v>1000000</v>
      </c>
      <c r="L329" s="21"/>
      <c r="M329" s="22">
        <f>(PROVEEDORES[[#This Row],[SUBTOTAL]]-PROVEEDORES[[#This Row],[descuento sobre subtotal]])*VLOOKUP(PROVEEDORES[[#This Row],[PROVEEDOR]],TERCEROS_INFO[#All],3,FALSE)</f>
        <v>0</v>
      </c>
      <c r="N329" s="23"/>
      <c r="O329" s="22">
        <f>+PROVEEDORES[[#This Row],[Descuento sobre subtotal %]]*(PROVEEDORES[[#This Row],[SUBTOTAL]]-PROVEEDORES[[#This Row],[descuento sobre subtotal]])</f>
        <v>0</v>
      </c>
      <c r="P329" s="74">
        <f>+IF(PROVEEDORES[[#This Row],[SUBTOTAL]]&lt;PROVEEDORES[[#This Row],[base retencion]],0,PROVEEDORES[[#This Row],[retención aplicada]])</f>
        <v>0</v>
      </c>
      <c r="Q329" s="22">
        <f>+PROVEEDORES[[#This Row],[Rete Fuente %]]*(PROVEEDORES[[#This Row],[SUBTOTAL]]-PROVEEDORES[[#This Row],[descuento sobre subtotal]])</f>
        <v>0</v>
      </c>
      <c r="R32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29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63">
        <f ca="1">IF(PROVEEDORES[[#This Row],[FECHA DE PAGO]]=0,TODAY()-PROVEEDORES[[#This Row],[FECHA DE FACTURACIÓN]]-PROVEEDORES[[#This Row],[PLAZO Días]],0)</f>
        <v>0</v>
      </c>
      <c r="U329" s="104">
        <f>+VLOOKUP(PROVEEDORES[[#This Row],[PROVEEDOR]],Terceros!$A:$D,4,FALSE)</f>
        <v>0</v>
      </c>
      <c r="V329" s="105">
        <f>+YEAR(PROVEEDORES[[#This Row],[FECHA DE FACTURACIÓN]])</f>
        <v>2022</v>
      </c>
      <c r="W329" s="105">
        <f>+MATCH(PROVEEDORES[[#This Row],[año facturado]],Retenciones!$1:$1,0)</f>
        <v>5</v>
      </c>
      <c r="X329" s="106">
        <f>+VLOOKUP(PROVEEDORES[[#This Row],[ID RETENCION]],Retenciones!$A$1:$O$25,PROVEEDORES[[#This Row],[indicador de columna]],FALSE)</f>
        <v>0</v>
      </c>
      <c r="Y329" s="107">
        <f>+VLOOKUP(PROVEEDORES[[#This Row],[ID RETENCION]],Retenciones!$A$1:$O$25,2,FALSE)</f>
        <v>0</v>
      </c>
      <c r="Z329" s="116" t="b">
        <f>OR(COUNTIF(PROVEEDORES[[#This Row],[PROVEEDOR]],"*"&amp;'Palabra no opera'!$A$2&amp;"*"))</f>
        <v>0</v>
      </c>
      <c r="AA329" s="92"/>
      <c r="AC329" s="93"/>
      <c r="AD329" s="94"/>
      <c r="AE329" s="24"/>
    </row>
    <row r="330" spans="1:31" ht="22.35" customHeight="1" x14ac:dyDescent="0.3">
      <c r="A330" s="61" t="str">
        <f>+IF(PROVEEDORES[[#This Row],[FECHA DE PAGO]]=PROVEEDORES[[#This Row],[FECHA DE FACTURACIÓN]],"DE CONTADO","CRÉDITO")</f>
        <v>CRÉDITO</v>
      </c>
      <c r="B330" s="38" t="str">
        <f>+IF((PROVEEDORES[[#This Row],[FECHA DE PAGO]]-PROVEEDORES[[#This Row],[FECHA DE FACTURACIÓN]])&gt;PROVEEDORES[[#This Row],[PLAZO Días]],"PAGO VENCIDO")</f>
        <v>PAGO VENCIDO</v>
      </c>
      <c r="C330" s="20">
        <f>+VLOOKUP(PROVEEDORES[[#This Row],[PROVEEDOR]],TERCEROS_INFO[#All],2,FALSE)</f>
        <v>30</v>
      </c>
      <c r="D330" s="25">
        <f>+SUMIFS(PROVEEDORES[Total],PROVEEDORES[PROVEEDOR],PROVEEDORES[[#This Row],[PROVEEDOR]],PROVEEDORES[FECHA DE PAGO],"")</f>
        <v>0</v>
      </c>
      <c r="E330" s="25"/>
      <c r="F330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330" s="68">
        <v>44686</v>
      </c>
      <c r="H330" s="26" t="s">
        <v>403</v>
      </c>
      <c r="I330" s="68">
        <v>44617</v>
      </c>
      <c r="J330" s="35" t="s">
        <v>1005</v>
      </c>
      <c r="K330" s="21">
        <v>2760000</v>
      </c>
      <c r="L330" s="21"/>
      <c r="M330" s="22">
        <f>(PROVEEDORES[[#This Row],[SUBTOTAL]]-PROVEEDORES[[#This Row],[descuento sobre subtotal]])*VLOOKUP(PROVEEDORES[[#This Row],[PROVEEDOR]],TERCEROS_INFO[#All],3,FALSE)</f>
        <v>0</v>
      </c>
      <c r="N330" s="23"/>
      <c r="O330" s="22">
        <f>+PROVEEDORES[[#This Row],[Descuento sobre subtotal %]]*(PROVEEDORES[[#This Row],[SUBTOTAL]]-PROVEEDORES[[#This Row],[descuento sobre subtotal]])</f>
        <v>0</v>
      </c>
      <c r="P330" s="74">
        <f>+IF(PROVEEDORES[[#This Row],[SUBTOTAL]]&lt;PROVEEDORES[[#This Row],[base retencion]],0,PROVEEDORES[[#This Row],[retención aplicada]])</f>
        <v>0</v>
      </c>
      <c r="Q330" s="22">
        <f>+PROVEEDORES[[#This Row],[Rete Fuente %]]*(PROVEEDORES[[#This Row],[SUBTOTAL]]-PROVEEDORES[[#This Row],[descuento sobre subtotal]])</f>
        <v>0</v>
      </c>
      <c r="R330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33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63">
        <f ca="1">IF(PROVEEDORES[[#This Row],[FECHA DE PAGO]]=0,TODAY()-PROVEEDORES[[#This Row],[FECHA DE FACTURACIÓN]]-PROVEEDORES[[#This Row],[PLAZO Días]],0)</f>
        <v>0</v>
      </c>
      <c r="U330" s="87">
        <f>+VLOOKUP(PROVEEDORES[[#This Row],[PROVEEDOR]],Terceros!$A:$D,4,FALSE)</f>
        <v>0</v>
      </c>
      <c r="V330" s="88">
        <f>+YEAR(PROVEEDORES[[#This Row],[FECHA DE FACTURACIÓN]])</f>
        <v>2022</v>
      </c>
      <c r="W330" s="88">
        <f>+MATCH(PROVEEDORES[[#This Row],[año facturado]],Retenciones!$1:$1,0)</f>
        <v>5</v>
      </c>
      <c r="X330" s="89">
        <f>+VLOOKUP(PROVEEDORES[[#This Row],[ID RETENCION]],Retenciones!$A$1:$O$25,PROVEEDORES[[#This Row],[indicador de columna]],FALSE)</f>
        <v>0</v>
      </c>
      <c r="Y330" s="90">
        <f>+VLOOKUP(PROVEEDORES[[#This Row],[ID RETENCION]],Retenciones!$A$1:$O$25,2,FALSE)</f>
        <v>0</v>
      </c>
      <c r="Z330" s="116" t="b">
        <f>OR(COUNTIF(PROVEEDORES[[#This Row],[PROVEEDOR]],"*"&amp;'Palabra no opera'!$A$2&amp;"*"))</f>
        <v>0</v>
      </c>
      <c r="AA330" s="92"/>
      <c r="AC330" s="93"/>
      <c r="AD330" s="94"/>
      <c r="AE330" s="24"/>
    </row>
    <row r="331" spans="1:31" ht="22.35" customHeight="1" x14ac:dyDescent="0.3">
      <c r="A331" s="61" t="str">
        <f>+IF(PROVEEDORES[[#This Row],[FECHA DE PAGO]]=PROVEEDORES[[#This Row],[FECHA DE FACTURACIÓN]],"DE CONTADO","CRÉDITO")</f>
        <v>CRÉDITO</v>
      </c>
      <c r="B331" s="38" t="str">
        <f>+IF((PROVEEDORES[[#This Row],[FECHA DE PAGO]]-PROVEEDORES[[#This Row],[FECHA DE FACTURACIÓN]])&gt;PROVEEDORES[[#This Row],[PLAZO Días]],"PAGO VENCIDO")</f>
        <v>PAGO VENCIDO</v>
      </c>
      <c r="C331" s="20">
        <f>+VLOOKUP(PROVEEDORES[[#This Row],[PROVEEDOR]],TERCEROS_INFO[#All],2,FALSE)</f>
        <v>30</v>
      </c>
      <c r="D331" s="25">
        <f>+SUMIFS(PROVEEDORES[Total],PROVEEDORES[PROVEEDOR],PROVEEDORES[[#This Row],[PROVEEDOR]],PROVEEDORES[FECHA DE PAGO],"")</f>
        <v>0</v>
      </c>
      <c r="E331" s="25"/>
      <c r="F331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331" s="68">
        <v>44686</v>
      </c>
      <c r="H331" s="26" t="s">
        <v>403</v>
      </c>
      <c r="I331" s="68">
        <v>44649</v>
      </c>
      <c r="J331" s="35" t="s">
        <v>1013</v>
      </c>
      <c r="K331" s="21">
        <v>936000</v>
      </c>
      <c r="L331" s="21"/>
      <c r="M331" s="22">
        <f>(PROVEEDORES[[#This Row],[SUBTOTAL]]-PROVEEDORES[[#This Row],[descuento sobre subtotal]])*VLOOKUP(PROVEEDORES[[#This Row],[PROVEEDOR]],TERCEROS_INFO[#All],3,FALSE)</f>
        <v>0</v>
      </c>
      <c r="N331" s="23"/>
      <c r="O331" s="22">
        <f>+PROVEEDORES[[#This Row],[Descuento sobre subtotal %]]*(PROVEEDORES[[#This Row],[SUBTOTAL]]-PROVEEDORES[[#This Row],[descuento sobre subtotal]])</f>
        <v>0</v>
      </c>
      <c r="P331" s="74">
        <f>+IF(PROVEEDORES[[#This Row],[SUBTOTAL]]&lt;PROVEEDORES[[#This Row],[base retencion]],0,PROVEEDORES[[#This Row],[retención aplicada]])</f>
        <v>0</v>
      </c>
      <c r="Q331" s="22">
        <f>+PROVEEDORES[[#This Row],[Rete Fuente %]]*(PROVEEDORES[[#This Row],[SUBTOTAL]]-PROVEEDORES[[#This Row],[descuento sobre subtotal]])</f>
        <v>0</v>
      </c>
      <c r="R331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33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63">
        <f ca="1">IF(PROVEEDORES[[#This Row],[FECHA DE PAGO]]=0,TODAY()-PROVEEDORES[[#This Row],[FECHA DE FACTURACIÓN]]-PROVEEDORES[[#This Row],[PLAZO Días]],0)</f>
        <v>0</v>
      </c>
      <c r="U331" s="87">
        <f>+VLOOKUP(PROVEEDORES[[#This Row],[PROVEEDOR]],Terceros!$A:$D,4,FALSE)</f>
        <v>0</v>
      </c>
      <c r="V331" s="88">
        <f>+YEAR(PROVEEDORES[[#This Row],[FECHA DE FACTURACIÓN]])</f>
        <v>2022</v>
      </c>
      <c r="W331" s="88">
        <f>+MATCH(PROVEEDORES[[#This Row],[año facturado]],Retenciones!$1:$1,0)</f>
        <v>5</v>
      </c>
      <c r="X331" s="89">
        <f>+VLOOKUP(PROVEEDORES[[#This Row],[ID RETENCION]],Retenciones!$A$1:$O$25,PROVEEDORES[[#This Row],[indicador de columna]],FALSE)</f>
        <v>0</v>
      </c>
      <c r="Y331" s="90">
        <f>+VLOOKUP(PROVEEDORES[[#This Row],[ID RETENCION]],Retenciones!$A$1:$O$25,2,FALSE)</f>
        <v>0</v>
      </c>
      <c r="Z331" s="116" t="b">
        <f>OR(COUNTIF(PROVEEDORES[[#This Row],[PROVEEDOR]],"*"&amp;'Palabra no opera'!$A$2&amp;"*"))</f>
        <v>0</v>
      </c>
      <c r="AA331" s="92"/>
      <c r="AC331" s="93"/>
      <c r="AD331" s="94"/>
      <c r="AE331" s="24"/>
    </row>
    <row r="332" spans="1:31" ht="22.35" customHeight="1" x14ac:dyDescent="0.3">
      <c r="A332" s="111" t="str">
        <f>+IF(PROVEEDORES[[#This Row],[FECHA DE PAGO]]=PROVEEDORES[[#This Row],[FECHA DE FACTURACIÓN]],"DE CONTADO","CRÉDITO")</f>
        <v>CRÉDITO</v>
      </c>
      <c r="B332" s="38" t="str">
        <f>+IF((PROVEEDORES[[#This Row],[FECHA DE PAGO]]-PROVEEDORES[[#This Row],[FECHA DE FACTURACIÓN]])&gt;PROVEEDORES[[#This Row],[PLAZO Días]],"PAGO VENCIDO")</f>
        <v>PAGO VENCIDO</v>
      </c>
      <c r="C332" s="20">
        <f>+VLOOKUP(PROVEEDORES[[#This Row],[PROVEEDOR]],TERCEROS_INFO[#All],2,FALSE)</f>
        <v>30</v>
      </c>
      <c r="D332" s="25">
        <f>+SUMIFS(PROVEEDORES[Total],PROVEEDORES[PROVEEDOR],PROVEEDORES[[#This Row],[PROVEEDOR]],PROVEEDORES[FECHA DE PAGO],"")</f>
        <v>0</v>
      </c>
      <c r="E332" s="25"/>
      <c r="F332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332" s="68">
        <v>44687</v>
      </c>
      <c r="H332" s="26" t="s">
        <v>394</v>
      </c>
      <c r="I332" s="68">
        <v>44623</v>
      </c>
      <c r="J332" s="35" t="s">
        <v>1007</v>
      </c>
      <c r="K332" s="21">
        <v>1850000</v>
      </c>
      <c r="L332" s="21"/>
      <c r="M332" s="22">
        <f>(PROVEEDORES[[#This Row],[SUBTOTAL]]-PROVEEDORES[[#This Row],[descuento sobre subtotal]])*VLOOKUP(PROVEEDORES[[#This Row],[PROVEEDOR]],TERCEROS_INFO[#All],3,FALSE)</f>
        <v>0</v>
      </c>
      <c r="N332" s="23"/>
      <c r="O332" s="22">
        <f>+PROVEEDORES[[#This Row],[Descuento sobre subtotal %]]*(PROVEEDORES[[#This Row],[SUBTOTAL]]-PROVEEDORES[[#This Row],[descuento sobre subtotal]])</f>
        <v>0</v>
      </c>
      <c r="P332" s="74">
        <f>+IF(PROVEEDORES[[#This Row],[SUBTOTAL]]&lt;PROVEEDORES[[#This Row],[base retencion]],0,PROVEEDORES[[#This Row],[retención aplicada]])</f>
        <v>0</v>
      </c>
      <c r="Q332" s="22">
        <f>+PROVEEDORES[[#This Row],[Rete Fuente %]]*(PROVEEDORES[[#This Row],[SUBTOTAL]]-PROVEEDORES[[#This Row],[descuento sobre subtotal]])</f>
        <v>0</v>
      </c>
      <c r="R332" s="21">
        <f>+PROVEEDORES[[#This Row],[SUBTOTAL]]+PROVEEDORES[[#This Row],[IVA 19%]]-PROVEEDORES[[#This Row],[descuento sobre subtotal]]-PROVEEDORES[[#This Row],[Descuento sobre subtotal $2]]-PROVEEDORES[[#This Row],[Rete Fuente $]]</f>
        <v>1850000</v>
      </c>
      <c r="S332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63">
        <f ca="1">IF(PROVEEDORES[[#This Row],[FECHA DE PAGO]]=0,TODAY()-PROVEEDORES[[#This Row],[FECHA DE FACTURACIÓN]]-PROVEEDORES[[#This Row],[PLAZO Días]],0)</f>
        <v>0</v>
      </c>
      <c r="U332" s="104">
        <f>+VLOOKUP(PROVEEDORES[[#This Row],[PROVEEDOR]],Terceros!$A:$D,4,FALSE)</f>
        <v>0</v>
      </c>
      <c r="V332" s="105">
        <f>+YEAR(PROVEEDORES[[#This Row],[FECHA DE FACTURACIÓN]])</f>
        <v>2022</v>
      </c>
      <c r="W332" s="105">
        <f>+MATCH(PROVEEDORES[[#This Row],[año facturado]],Retenciones!$1:$1,0)</f>
        <v>5</v>
      </c>
      <c r="X332" s="106">
        <f>+VLOOKUP(PROVEEDORES[[#This Row],[ID RETENCION]],Retenciones!$A$1:$O$25,PROVEEDORES[[#This Row],[indicador de columna]],FALSE)</f>
        <v>0</v>
      </c>
      <c r="Y332" s="107">
        <f>+VLOOKUP(PROVEEDORES[[#This Row],[ID RETENCION]],Retenciones!$A$1:$O$25,2,FALSE)</f>
        <v>0</v>
      </c>
      <c r="Z332" s="116" t="b">
        <f>OR(COUNTIF(PROVEEDORES[[#This Row],[PROVEEDOR]],"*"&amp;'Palabra no opera'!$A$2&amp;"*"))</f>
        <v>0</v>
      </c>
      <c r="AA332" s="92"/>
      <c r="AC332" s="93"/>
      <c r="AD332" s="94"/>
      <c r="AE332" s="24"/>
    </row>
    <row r="333" spans="1:31" ht="22.35" customHeight="1" x14ac:dyDescent="0.3">
      <c r="A333" s="61" t="str">
        <f>+IF(PROVEEDORES[[#This Row],[FECHA DE PAGO]]=PROVEEDORES[[#This Row],[FECHA DE FACTURACIÓN]],"DE CONTADO","CRÉDITO")</f>
        <v>CRÉDITO</v>
      </c>
      <c r="B333" s="38" t="str">
        <f>+IF((PROVEEDORES[[#This Row],[FECHA DE PAGO]]-PROVEEDORES[[#This Row],[FECHA DE FACTURACIÓN]])&gt;PROVEEDORES[[#This Row],[PLAZO Días]],"PAGO VENCIDO")</f>
        <v>PAGO VENCIDO</v>
      </c>
      <c r="C333" s="20">
        <f>+VLOOKUP(PROVEEDORES[[#This Row],[PROVEEDOR]],TERCEROS_INFO[#All],2,FALSE)</f>
        <v>30</v>
      </c>
      <c r="D333" s="25">
        <f>+SUMIFS(PROVEEDORES[Total],PROVEEDORES[PROVEEDOR],PROVEEDORES[[#This Row],[PROVEEDOR]],PROVEEDORES[FECHA DE PAGO],"")</f>
        <v>0</v>
      </c>
      <c r="E333" s="25"/>
      <c r="F333" s="56" t="str">
        <f>+VLOOKUP(PROVEEDORES[[#This Row],[PROVEEDOR]],
                       Terceros!$A:$F,
                       5,
                       FALSE)</f>
        <v/>
      </c>
      <c r="G333" s="68">
        <v>44687</v>
      </c>
      <c r="H333" s="26" t="s">
        <v>401</v>
      </c>
      <c r="I333" s="68">
        <v>44644</v>
      </c>
      <c r="J333" s="35" t="s">
        <v>439</v>
      </c>
      <c r="K333" s="21">
        <v>1645000</v>
      </c>
      <c r="L333" s="21"/>
      <c r="M333" s="22">
        <f>(PROVEEDORES[[#This Row],[SUBTOTAL]]-PROVEEDORES[[#This Row],[descuento sobre subtotal]])*VLOOKUP(PROVEEDORES[[#This Row],[PROVEEDOR]],TERCEROS_INFO[#All],3,FALSE)</f>
        <v>0</v>
      </c>
      <c r="N333" s="23"/>
      <c r="O333" s="22">
        <f>+PROVEEDORES[[#This Row],[Descuento sobre subtotal %]]*(PROVEEDORES[[#This Row],[SUBTOTAL]]-PROVEEDORES[[#This Row],[descuento sobre subtotal]])</f>
        <v>0</v>
      </c>
      <c r="P333" s="74">
        <f>+IF(PROVEEDORES[[#This Row],[SUBTOTAL]]&lt;PROVEEDORES[[#This Row],[base retencion]],0,PROVEEDORES[[#This Row],[retención aplicada]])</f>
        <v>0</v>
      </c>
      <c r="Q333" s="22">
        <f>+PROVEEDORES[[#This Row],[Rete Fuente %]]*(PROVEEDORES[[#This Row],[SUBTOTAL]]-PROVEEDORES[[#This Row],[descuento sobre subtotal]])</f>
        <v>0</v>
      </c>
      <c r="R333" s="21">
        <f>+PROVEEDORES[[#This Row],[SUBTOTAL]]+PROVEEDORES[[#This Row],[IVA 19%]]-PROVEEDORES[[#This Row],[descuento sobre subtotal]]-PROVEEDORES[[#This Row],[Descuento sobre subtotal $2]]-PROVEEDORES[[#This Row],[Rete Fuente $]]</f>
        <v>1645000</v>
      </c>
      <c r="S33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63">
        <f ca="1">IF(PROVEEDORES[[#This Row],[FECHA DE PAGO]]=0,TODAY()-PROVEEDORES[[#This Row],[FECHA DE FACTURACIÓN]]-PROVEEDORES[[#This Row],[PLAZO Días]],0)</f>
        <v>0</v>
      </c>
      <c r="U333" s="87">
        <f>+VLOOKUP(PROVEEDORES[[#This Row],[PROVEEDOR]],Terceros!$A:$D,4,FALSE)</f>
        <v>0</v>
      </c>
      <c r="V333" s="88">
        <f>+YEAR(PROVEEDORES[[#This Row],[FECHA DE FACTURACIÓN]])</f>
        <v>2022</v>
      </c>
      <c r="W333" s="88">
        <f>+MATCH(PROVEEDORES[[#This Row],[año facturado]],Retenciones!$1:$1,0)</f>
        <v>5</v>
      </c>
      <c r="X333" s="89">
        <f>+VLOOKUP(PROVEEDORES[[#This Row],[ID RETENCION]],Retenciones!$A$1:$O$25,PROVEEDORES[[#This Row],[indicador de columna]],FALSE)</f>
        <v>0</v>
      </c>
      <c r="Y333" s="90">
        <f>+VLOOKUP(PROVEEDORES[[#This Row],[ID RETENCION]],Retenciones!$A$1:$O$25,2,FALSE)</f>
        <v>0</v>
      </c>
      <c r="Z333" s="116" t="b">
        <f>OR(COUNTIF(PROVEEDORES[[#This Row],[PROVEEDOR]],"*"&amp;'Palabra no opera'!$A$2&amp;"*"))</f>
        <v>0</v>
      </c>
      <c r="AA333" s="92"/>
      <c r="AC333" s="93"/>
      <c r="AD333" s="94"/>
      <c r="AE333" s="24"/>
    </row>
    <row r="334" spans="1:31" ht="22.35" customHeight="1" x14ac:dyDescent="0.3">
      <c r="A334" s="114" t="str">
        <f>+IF(PROVEEDORES[[#This Row],[FECHA DE PAGO]]=PROVEEDORES[[#This Row],[FECHA DE FACTURACIÓN]],"DE CONTADO","CRÉDITO")</f>
        <v>CRÉDITO</v>
      </c>
      <c r="B334" s="38" t="b">
        <f>+IF((PROVEEDORES[[#This Row],[FECHA DE PAGO]]-PROVEEDORES[[#This Row],[FECHA DE FACTURACIÓN]])&gt;PROVEEDORES[[#This Row],[PLAZO Días]],"PAGO VENCIDO")</f>
        <v>0</v>
      </c>
      <c r="C334" s="20">
        <f>+VLOOKUP(PROVEEDORES[[#This Row],[PROVEEDOR]],TERCEROS_INFO[#All],2,FALSE)</f>
        <v>30</v>
      </c>
      <c r="D334" s="25">
        <f>+SUMIFS(PROVEEDORES[Total],PROVEEDORES[PROVEEDOR],PROVEEDORES[[#This Row],[PROVEEDOR]],PROVEEDORES[FECHA DE PAGO],"")</f>
        <v>0</v>
      </c>
      <c r="E334" s="25"/>
      <c r="F334" s="56" t="str">
        <f>+VLOOKUP(PROVEEDORES[[#This Row],[PROVEEDOR]],
                       Terceros!$A:$F,
                       5,
                       FALSE)</f>
        <v/>
      </c>
      <c r="G334" s="68">
        <v>44687</v>
      </c>
      <c r="H334" s="26" t="s">
        <v>401</v>
      </c>
      <c r="I334" s="68">
        <v>44672</v>
      </c>
      <c r="J334" s="35" t="s">
        <v>1020</v>
      </c>
      <c r="K334" s="21">
        <v>215500</v>
      </c>
      <c r="L334" s="21"/>
      <c r="M334" s="22">
        <f>(PROVEEDORES[[#This Row],[SUBTOTAL]]-PROVEEDORES[[#This Row],[descuento sobre subtotal]])*VLOOKUP(PROVEEDORES[[#This Row],[PROVEEDOR]],TERCEROS_INFO[#All],3,FALSE)</f>
        <v>0</v>
      </c>
      <c r="N334" s="23"/>
      <c r="O334" s="22">
        <f>+PROVEEDORES[[#This Row],[Descuento sobre subtotal %]]*(PROVEEDORES[[#This Row],[SUBTOTAL]]-PROVEEDORES[[#This Row],[descuento sobre subtotal]])</f>
        <v>0</v>
      </c>
      <c r="P334" s="74">
        <f>+IF(PROVEEDORES[[#This Row],[SUBTOTAL]]&lt;PROVEEDORES[[#This Row],[base retencion]],0,PROVEEDORES[[#This Row],[retención aplicada]])</f>
        <v>0</v>
      </c>
      <c r="Q334" s="22">
        <f>+PROVEEDORES[[#This Row],[Rete Fuente %]]*(PROVEEDORES[[#This Row],[SUBTOTAL]]-PROVEEDORES[[#This Row],[descuento sobre subtotal]])</f>
        <v>0</v>
      </c>
      <c r="R334" s="21">
        <f>+PROVEEDORES[[#This Row],[SUBTOTAL]]+PROVEEDORES[[#This Row],[IVA 19%]]-PROVEEDORES[[#This Row],[descuento sobre subtotal]]-PROVEEDORES[[#This Row],[Descuento sobre subtotal $2]]-PROVEEDORES[[#This Row],[Rete Fuente $]]</f>
        <v>215500</v>
      </c>
      <c r="S334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63">
        <f ca="1">IF(PROVEEDORES[[#This Row],[FECHA DE PAGO]]=0,TODAY()-PROVEEDORES[[#This Row],[FECHA DE FACTURACIÓN]]-PROVEEDORES[[#This Row],[PLAZO Días]],0)</f>
        <v>0</v>
      </c>
      <c r="U334" s="104">
        <f>+VLOOKUP(PROVEEDORES[[#This Row],[PROVEEDOR]],Terceros!$A:$D,4,FALSE)</f>
        <v>0</v>
      </c>
      <c r="V334" s="105">
        <f>+YEAR(PROVEEDORES[[#This Row],[FECHA DE FACTURACIÓN]])</f>
        <v>2022</v>
      </c>
      <c r="W334" s="105">
        <f>+MATCH(PROVEEDORES[[#This Row],[año facturado]],Retenciones!$1:$1,0)</f>
        <v>5</v>
      </c>
      <c r="X334" s="106">
        <f>+VLOOKUP(PROVEEDORES[[#This Row],[ID RETENCION]],Retenciones!$A$1:$O$25,PROVEEDORES[[#This Row],[indicador de columna]],FALSE)</f>
        <v>0</v>
      </c>
      <c r="Y334" s="107">
        <f>+VLOOKUP(PROVEEDORES[[#This Row],[ID RETENCION]],Retenciones!$A$1:$O$25,2,FALSE)</f>
        <v>0</v>
      </c>
      <c r="Z334" s="116" t="b">
        <f>OR(COUNTIF(PROVEEDORES[[#This Row],[PROVEEDOR]],"*"&amp;'Palabra no opera'!$A$2&amp;"*"))</f>
        <v>0</v>
      </c>
      <c r="AA334" s="92"/>
      <c r="AC334" s="93"/>
      <c r="AD334" s="94"/>
      <c r="AE334" s="24"/>
    </row>
    <row r="335" spans="1:31" ht="22.35" customHeight="1" x14ac:dyDescent="0.3">
      <c r="A335" s="61" t="str">
        <f>+IF(PROVEEDORES[[#This Row],[FECHA DE PAGO]]=PROVEEDORES[[#This Row],[FECHA DE FACTURACIÓN]],"DE CONTADO","CRÉDITO")</f>
        <v>CRÉDITO</v>
      </c>
      <c r="B335" s="38" t="str">
        <f>+IF((PROVEEDORES[[#This Row],[FECHA DE PAGO]]-PROVEEDORES[[#This Row],[FECHA DE FACTURACIÓN]])&gt;PROVEEDORES[[#This Row],[PLAZO Días]],"PAGO VENCIDO")</f>
        <v>PAGO VENCIDO</v>
      </c>
      <c r="C335" s="20">
        <f>+VLOOKUP(PROVEEDORES[[#This Row],[PROVEEDOR]],TERCEROS_INFO[#All],2,FALSE)</f>
        <v>30</v>
      </c>
      <c r="D335" s="25">
        <f>+SUMIFS(PROVEEDORES[Total],PROVEEDORES[PROVEEDOR],PROVEEDORES[[#This Row],[PROVEEDOR]],PROVEEDORES[FECHA DE PAGO],"")</f>
        <v>0</v>
      </c>
      <c r="E335" s="25"/>
      <c r="F335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335" s="68">
        <v>44688</v>
      </c>
      <c r="H335" s="26" t="s">
        <v>400</v>
      </c>
      <c r="I335" s="68">
        <v>44632</v>
      </c>
      <c r="J335" s="35" t="s">
        <v>453</v>
      </c>
      <c r="K335" s="21">
        <v>3320000</v>
      </c>
      <c r="L335" s="21"/>
      <c r="M335" s="22">
        <f>(PROVEEDORES[[#This Row],[SUBTOTAL]]-PROVEEDORES[[#This Row],[descuento sobre subtotal]])*VLOOKUP(PROVEEDORES[[#This Row],[PROVEEDOR]],TERCEROS_INFO[#All],3,FALSE)</f>
        <v>0</v>
      </c>
      <c r="N335" s="23"/>
      <c r="O335" s="22">
        <f>+PROVEEDORES[[#This Row],[Descuento sobre subtotal %]]*(PROVEEDORES[[#This Row],[SUBTOTAL]]-PROVEEDORES[[#This Row],[descuento sobre subtotal]])</f>
        <v>0</v>
      </c>
      <c r="P335" s="74">
        <f>+IF(PROVEEDORES[[#This Row],[SUBTOTAL]]&lt;PROVEEDORES[[#This Row],[base retencion]],0,PROVEEDORES[[#This Row],[retención aplicada]])</f>
        <v>0</v>
      </c>
      <c r="Q335" s="22">
        <f>+PROVEEDORES[[#This Row],[Rete Fuente %]]*(PROVEEDORES[[#This Row],[SUBTOTAL]]-PROVEEDORES[[#This Row],[descuento sobre subtotal]])</f>
        <v>0</v>
      </c>
      <c r="R335" s="21">
        <f>+PROVEEDORES[[#This Row],[SUBTOTAL]]+PROVEEDORES[[#This Row],[IVA 19%]]-PROVEEDORES[[#This Row],[descuento sobre subtotal]]-PROVEEDORES[[#This Row],[Descuento sobre subtotal $2]]-PROVEEDORES[[#This Row],[Rete Fuente $]]</f>
        <v>3320000</v>
      </c>
      <c r="S33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63">
        <f ca="1">IF(PROVEEDORES[[#This Row],[FECHA DE PAGO]]=0,TODAY()-PROVEEDORES[[#This Row],[FECHA DE FACTURACIÓN]]-PROVEEDORES[[#This Row],[PLAZO Días]],0)</f>
        <v>0</v>
      </c>
      <c r="U335" s="87">
        <f>+VLOOKUP(PROVEEDORES[[#This Row],[PROVEEDOR]],Terceros!$A:$D,4,FALSE)</f>
        <v>0</v>
      </c>
      <c r="V335" s="88">
        <f>+YEAR(PROVEEDORES[[#This Row],[FECHA DE FACTURACIÓN]])</f>
        <v>2022</v>
      </c>
      <c r="W335" s="88">
        <f>+MATCH(PROVEEDORES[[#This Row],[año facturado]],Retenciones!$1:$1,0)</f>
        <v>5</v>
      </c>
      <c r="X335" s="89">
        <f>+VLOOKUP(PROVEEDORES[[#This Row],[ID RETENCION]],Retenciones!$A$1:$O$25,PROVEEDORES[[#This Row],[indicador de columna]],FALSE)</f>
        <v>0</v>
      </c>
      <c r="Y335" s="90">
        <f>+VLOOKUP(PROVEEDORES[[#This Row],[ID RETENCION]],Retenciones!$A$1:$O$25,2,FALSE)</f>
        <v>0</v>
      </c>
      <c r="Z335" s="116" t="b">
        <f>OR(COUNTIF(PROVEEDORES[[#This Row],[PROVEEDOR]],"*"&amp;'Palabra no opera'!$A$2&amp;"*"))</f>
        <v>0</v>
      </c>
    </row>
    <row r="336" spans="1:31" ht="22.35" customHeight="1" x14ac:dyDescent="0.3">
      <c r="A336" s="114" t="str">
        <f>+IF(PROVEEDORES[[#This Row],[FECHA DE PAGO]]=PROVEEDORES[[#This Row],[FECHA DE FACTURACIÓN]],"DE CONTADO","CRÉDITO")</f>
        <v>CRÉDITO</v>
      </c>
      <c r="B336" s="38" t="b">
        <f>+IF((PROVEEDORES[[#This Row],[FECHA DE PAGO]]-PROVEEDORES[[#This Row],[FECHA DE FACTURACIÓN]])&gt;PROVEEDORES[[#This Row],[PLAZO Días]],"PAGO VENCIDO")</f>
        <v>0</v>
      </c>
      <c r="C336" s="20">
        <f>+VLOOKUP(PROVEEDORES[[#This Row],[PROVEEDOR]],TERCEROS_INFO[#All],2,FALSE)</f>
        <v>60</v>
      </c>
      <c r="D336" s="25">
        <f>+SUMIFS(PROVEEDORES[Total],PROVEEDORES[PROVEEDOR],PROVEEDORES[[#This Row],[PROVEEDOR]],PROVEEDORES[FECHA DE PAGO],"")</f>
        <v>0</v>
      </c>
      <c r="E336" s="25"/>
      <c r="F336" s="56">
        <f>+VLOOKUP(PROVEEDORES[[#This Row],[PROVEEDOR]],
                       Terceros!$A:$F,
                       5,
                       FALSE)</f>
        <v>0</v>
      </c>
      <c r="G336" s="68">
        <v>44688</v>
      </c>
      <c r="H336" s="26" t="s">
        <v>951</v>
      </c>
      <c r="I336" s="68">
        <v>44680</v>
      </c>
      <c r="J336" s="35" t="s">
        <v>611</v>
      </c>
      <c r="K336" s="21">
        <v>4374000</v>
      </c>
      <c r="L336" s="21"/>
      <c r="M336" s="22">
        <f>(PROVEEDORES[[#This Row],[SUBTOTAL]]-PROVEEDORES[[#This Row],[descuento sobre subtotal]])*VLOOKUP(PROVEEDORES[[#This Row],[PROVEEDOR]],TERCEROS_INFO[#All],3,FALSE)</f>
        <v>831060</v>
      </c>
      <c r="N336" s="23"/>
      <c r="O336" s="22">
        <f>+PROVEEDORES[[#This Row],[Descuento sobre subtotal %]]*(PROVEEDORES[[#This Row],[SUBTOTAL]]-PROVEEDORES[[#This Row],[descuento sobre subtotal]])</f>
        <v>0</v>
      </c>
      <c r="P336" s="74">
        <f>+IF(PROVEEDORES[[#This Row],[SUBTOTAL]]&lt;PROVEEDORES[[#This Row],[base retencion]],0,PROVEEDORES[[#This Row],[retención aplicada]])</f>
        <v>0</v>
      </c>
      <c r="Q336" s="22">
        <f>+PROVEEDORES[[#This Row],[Rete Fuente %]]*(PROVEEDORES[[#This Row],[SUBTOTAL]]-PROVEEDORES[[#This Row],[descuento sobre subtotal]])</f>
        <v>0</v>
      </c>
      <c r="R336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336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63">
        <f ca="1">IF(PROVEEDORES[[#This Row],[FECHA DE PAGO]]=0,TODAY()-PROVEEDORES[[#This Row],[FECHA DE FACTURACIÓN]]-PROVEEDORES[[#This Row],[PLAZO Días]],0)</f>
        <v>0</v>
      </c>
      <c r="U336" s="104">
        <f>+VLOOKUP(PROVEEDORES[[#This Row],[PROVEEDOR]],Terceros!$A:$D,4,FALSE)</f>
        <v>0</v>
      </c>
      <c r="V336" s="105">
        <f>+YEAR(PROVEEDORES[[#This Row],[FECHA DE FACTURACIÓN]])</f>
        <v>2022</v>
      </c>
      <c r="W336" s="105">
        <f>+MATCH(PROVEEDORES[[#This Row],[año facturado]],Retenciones!$1:$1,0)</f>
        <v>5</v>
      </c>
      <c r="X336" s="106">
        <f>+VLOOKUP(PROVEEDORES[[#This Row],[ID RETENCION]],Retenciones!$A$1:$O$25,PROVEEDORES[[#This Row],[indicador de columna]],FALSE)</f>
        <v>0</v>
      </c>
      <c r="Y336" s="107">
        <f>+VLOOKUP(PROVEEDORES[[#This Row],[ID RETENCION]],Retenciones!$A$1:$O$25,2,FALSE)</f>
        <v>0</v>
      </c>
      <c r="Z336" s="116" t="b">
        <f>OR(COUNTIF(PROVEEDORES[[#This Row],[PROVEEDOR]],"*"&amp;'Palabra no opera'!$A$2&amp;"*"))</f>
        <v>1</v>
      </c>
    </row>
    <row r="337" spans="1:26" ht="22.35" customHeight="1" x14ac:dyDescent="0.3">
      <c r="A337" s="124" t="str">
        <f>+IF(PROVEEDORES[[#This Row],[FECHA DE PAGO]]=PROVEEDORES[[#This Row],[FECHA DE FACTURACIÓN]],"DE CONTADO","CRÉDITO")</f>
        <v>CRÉDITO</v>
      </c>
      <c r="B337" s="38" t="b">
        <f>+IF((PROVEEDORES[[#This Row],[FECHA DE PAGO]]-PROVEEDORES[[#This Row],[FECHA DE FACTURACIÓN]])&gt;PROVEEDORES[[#This Row],[PLAZO Días]],"PAGO VENCIDO")</f>
        <v>0</v>
      </c>
      <c r="C337" s="20">
        <f>+VLOOKUP(PROVEEDORES[[#This Row],[PROVEEDOR]],TERCEROS_INFO[#All],2,FALSE)</f>
        <v>60</v>
      </c>
      <c r="D337" s="25">
        <f>+SUMIFS(PROVEEDORES[Total],PROVEEDORES[PROVEEDOR],PROVEEDORES[[#This Row],[PROVEEDOR]],PROVEEDORES[FECHA DE PAGO],"")</f>
        <v>0</v>
      </c>
      <c r="E337" s="25"/>
      <c r="F337" s="56">
        <f>+VLOOKUP(PROVEEDORES[[#This Row],[PROVEEDOR]],
                       Terceros!$A:$F,
                       5,
                       FALSE)</f>
        <v>0</v>
      </c>
      <c r="G337" s="68">
        <v>44689</v>
      </c>
      <c r="H337" s="26" t="s">
        <v>951</v>
      </c>
      <c r="I337" s="68">
        <v>44688</v>
      </c>
      <c r="J337" s="35" t="s">
        <v>671</v>
      </c>
      <c r="K337" s="21">
        <v>-4374000</v>
      </c>
      <c r="L337" s="21"/>
      <c r="M337" s="22">
        <f>(PROVEEDORES[[#This Row],[SUBTOTAL]]-PROVEEDORES[[#This Row],[descuento sobre subtotal]])*VLOOKUP(PROVEEDORES[[#This Row],[PROVEEDOR]],TERCEROS_INFO[#All],3,FALSE)</f>
        <v>-831060</v>
      </c>
      <c r="N337" s="23"/>
      <c r="O337" s="22">
        <f>+PROVEEDORES[[#This Row],[Descuento sobre subtotal %]]*(PROVEEDORES[[#This Row],[SUBTOTAL]]-PROVEEDORES[[#This Row],[descuento sobre subtotal]])</f>
        <v>0</v>
      </c>
      <c r="P337" s="74">
        <f>+IF(PROVEEDORES[[#This Row],[SUBTOTAL]]&lt;PROVEEDORES[[#This Row],[base retencion]],0,PROVEEDORES[[#This Row],[retención aplicada]])</f>
        <v>0</v>
      </c>
      <c r="Q337" s="22">
        <f>+PROVEEDORES[[#This Row],[Rete Fuente %]]*(PROVEEDORES[[#This Row],[SUBTOTAL]]-PROVEEDORES[[#This Row],[descuento sobre subtotal]])</f>
        <v>0</v>
      </c>
      <c r="R337" s="21">
        <f>+PROVEEDORES[[#This Row],[SUBTOTAL]]+PROVEEDORES[[#This Row],[IVA 19%]]-PROVEEDORES[[#This Row],[descuento sobre subtotal]]-PROVEEDORES[[#This Row],[Descuento sobre subtotal $2]]-PROVEEDORES[[#This Row],[Rete Fuente $]]</f>
        <v>-5205060</v>
      </c>
      <c r="S337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63">
        <f ca="1">IF(PROVEEDORES[[#This Row],[FECHA DE PAGO]]=0,TODAY()-PROVEEDORES[[#This Row],[FECHA DE FACTURACIÓN]]-PROVEEDORES[[#This Row],[PLAZO Días]],0)</f>
        <v>0</v>
      </c>
      <c r="U337" s="104">
        <f>+VLOOKUP(PROVEEDORES[[#This Row],[PROVEEDOR]],Terceros!$A:$D,4,FALSE)</f>
        <v>0</v>
      </c>
      <c r="V337" s="105">
        <f>+YEAR(PROVEEDORES[[#This Row],[FECHA DE FACTURACIÓN]])</f>
        <v>2022</v>
      </c>
      <c r="W337" s="105">
        <f>+MATCH(PROVEEDORES[[#This Row],[año facturado]],Retenciones!$1:$1,0)</f>
        <v>5</v>
      </c>
      <c r="X337" s="106">
        <f>+VLOOKUP(PROVEEDORES[[#This Row],[ID RETENCION]],Retenciones!$A$1:$O$25,PROVEEDORES[[#This Row],[indicador de columna]],FALSE)</f>
        <v>0</v>
      </c>
      <c r="Y337" s="107">
        <f>+VLOOKUP(PROVEEDORES[[#This Row],[ID RETENCION]],Retenciones!$A$1:$O$25,2,FALSE)</f>
        <v>0</v>
      </c>
      <c r="Z337" s="116" t="b">
        <f>OR(COUNTIF(PROVEEDORES[[#This Row],[PROVEEDOR]],"*"&amp;'Palabra no opera'!$A$2&amp;"*"))</f>
        <v>1</v>
      </c>
    </row>
    <row r="338" spans="1:26" ht="22.35" customHeight="1" x14ac:dyDescent="0.3">
      <c r="A338" s="61" t="str">
        <f>+IF(PROVEEDORES[[#This Row],[FECHA DE PAGO]]=PROVEEDORES[[#This Row],[FECHA DE FACTURACIÓN]],"DE CONTADO","CRÉDITO")</f>
        <v>CRÉDITO</v>
      </c>
      <c r="B338" s="38" t="str">
        <f>+IF((PROVEEDORES[[#This Row],[FECHA DE PAGO]]-PROVEEDORES[[#This Row],[FECHA DE FACTURACIÓN]])&gt;PROVEEDORES[[#This Row],[PLAZO Días]],"PAGO VENCIDO")</f>
        <v>PAGO VENCIDO</v>
      </c>
      <c r="C338" s="20">
        <f>+VLOOKUP(PROVEEDORES[[#This Row],[PROVEEDOR]],TERCEROS_INFO[#All],2,FALSE)</f>
        <v>30</v>
      </c>
      <c r="D338" s="25">
        <f>+SUMIFS(PROVEEDORES[Total],PROVEEDORES[PROVEEDOR],PROVEEDORES[[#This Row],[PROVEEDOR]],PROVEEDORES[FECHA DE PAGO],"")</f>
        <v>0</v>
      </c>
      <c r="E338" s="25"/>
      <c r="F338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338" s="68">
        <v>44690</v>
      </c>
      <c r="H338" s="26" t="s">
        <v>33</v>
      </c>
      <c r="I338" s="68">
        <v>44623</v>
      </c>
      <c r="J338" s="35">
        <v>2314</v>
      </c>
      <c r="K338" s="21">
        <v>5856000</v>
      </c>
      <c r="L338" s="21"/>
      <c r="M338" s="22">
        <f>(PROVEEDORES[[#This Row],[SUBTOTAL]]-PROVEEDORES[[#This Row],[descuento sobre subtotal]])*VLOOKUP(PROVEEDORES[[#This Row],[PROVEEDOR]],TERCEROS_INFO[#All],3,FALSE)</f>
        <v>1112640</v>
      </c>
      <c r="N338" s="23"/>
      <c r="O338" s="22">
        <f>+PROVEEDORES[[#This Row],[Descuento sobre subtotal %]]*(PROVEEDORES[[#This Row],[SUBTOTAL]]-PROVEEDORES[[#This Row],[descuento sobre subtotal]])</f>
        <v>0</v>
      </c>
      <c r="P338" s="74">
        <f>+IF(PROVEEDORES[[#This Row],[SUBTOTAL]]&lt;PROVEEDORES[[#This Row],[base retencion]],0,PROVEEDORES[[#This Row],[retención aplicada]])</f>
        <v>2.5000000000000001E-2</v>
      </c>
      <c r="Q338" s="22">
        <f>+PROVEEDORES[[#This Row],[Rete Fuente %]]*(PROVEEDORES[[#This Row],[SUBTOTAL]]-PROVEEDORES[[#This Row],[descuento sobre subtotal]])</f>
        <v>146400</v>
      </c>
      <c r="R338" s="21">
        <f>+PROVEEDORES[[#This Row],[SUBTOTAL]]+PROVEEDORES[[#This Row],[IVA 19%]]-PROVEEDORES[[#This Row],[descuento sobre subtotal]]-PROVEEDORES[[#This Row],[Descuento sobre subtotal $2]]-PROVEEDORES[[#This Row],[Rete Fuente $]]</f>
        <v>6822240</v>
      </c>
      <c r="S33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63">
        <f ca="1">IF(PROVEEDORES[[#This Row],[FECHA DE PAGO]]=0,TODAY()-PROVEEDORES[[#This Row],[FECHA DE FACTURACIÓN]]-PROVEEDORES[[#This Row],[PLAZO Días]],0)</f>
        <v>0</v>
      </c>
      <c r="U338" s="87" t="str">
        <f>+VLOOKUP(PROVEEDORES[[#This Row],[PROVEEDOR]],Terceros!$A:$D,4,FALSE)</f>
        <v>2,5% con base</v>
      </c>
      <c r="V338" s="88">
        <f>+YEAR(PROVEEDORES[[#This Row],[FECHA DE FACTURACIÓN]])</f>
        <v>2022</v>
      </c>
      <c r="W338" s="88">
        <f>+MATCH(PROVEEDORES[[#This Row],[año facturado]],Retenciones!$1:$1,0)</f>
        <v>5</v>
      </c>
      <c r="X338" s="89">
        <f>+VLOOKUP(PROVEEDORES[[#This Row],[ID RETENCION]],Retenciones!$A$1:$O$25,PROVEEDORES[[#This Row],[indicador de columna]],FALSE)</f>
        <v>1026000</v>
      </c>
      <c r="Y338" s="90">
        <f>+VLOOKUP(PROVEEDORES[[#This Row],[ID RETENCION]],Retenciones!$A$1:$O$25,2,FALSE)</f>
        <v>2.5000000000000001E-2</v>
      </c>
      <c r="Z338" s="116" t="b">
        <f>OR(COUNTIF(PROVEEDORES[[#This Row],[PROVEEDOR]],"*"&amp;'Palabra no opera'!$A$2&amp;"*"))</f>
        <v>0</v>
      </c>
    </row>
    <row r="339" spans="1:26" ht="22.35" customHeight="1" x14ac:dyDescent="0.3">
      <c r="A339" s="61" t="str">
        <f>+IF(PROVEEDORES[[#This Row],[FECHA DE PAGO]]=PROVEEDORES[[#This Row],[FECHA DE FACTURACIÓN]],"DE CONTADO","CRÉDITO")</f>
        <v>CRÉDITO</v>
      </c>
      <c r="B339" s="38" t="str">
        <f>+IF((PROVEEDORES[[#This Row],[FECHA DE PAGO]]-PROVEEDORES[[#This Row],[FECHA DE FACTURACIÓN]])&gt;PROVEEDORES[[#This Row],[PLAZO Días]],"PAGO VENCIDO")</f>
        <v>PAGO VENCIDO</v>
      </c>
      <c r="C339" s="20">
        <f>+VLOOKUP(PROVEEDORES[[#This Row],[PROVEEDOR]],TERCEROS_INFO[#All],2,FALSE)</f>
        <v>30</v>
      </c>
      <c r="D339" s="25">
        <f>+SUMIFS(PROVEEDORES[Total],PROVEEDORES[PROVEEDOR],PROVEEDORES[[#This Row],[PROVEEDOR]],PROVEEDORES[FECHA DE PAGO],"")</f>
        <v>0</v>
      </c>
      <c r="E339" s="25"/>
      <c r="F339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339" s="68">
        <v>44690</v>
      </c>
      <c r="H339" s="26" t="s">
        <v>33</v>
      </c>
      <c r="I339" s="68">
        <v>44627</v>
      </c>
      <c r="J339" s="35">
        <v>2342</v>
      </c>
      <c r="K339" s="21">
        <v>93000</v>
      </c>
      <c r="L339" s="21"/>
      <c r="M339" s="22">
        <f>(PROVEEDORES[[#This Row],[SUBTOTAL]]-PROVEEDORES[[#This Row],[descuento sobre subtotal]])*VLOOKUP(PROVEEDORES[[#This Row],[PROVEEDOR]],TERCEROS_INFO[#All],3,FALSE)</f>
        <v>17670</v>
      </c>
      <c r="N339" s="23"/>
      <c r="O339" s="22">
        <f>+PROVEEDORES[[#This Row],[Descuento sobre subtotal %]]*(PROVEEDORES[[#This Row],[SUBTOTAL]]-PROVEEDORES[[#This Row],[descuento sobre subtotal]])</f>
        <v>0</v>
      </c>
      <c r="P339" s="74">
        <f>+IF(PROVEEDORES[[#This Row],[SUBTOTAL]]&lt;PROVEEDORES[[#This Row],[base retencion]],0,PROVEEDORES[[#This Row],[retención aplicada]])</f>
        <v>0</v>
      </c>
      <c r="Q339" s="22">
        <f>+PROVEEDORES[[#This Row],[Rete Fuente %]]*(PROVEEDORES[[#This Row],[SUBTOTAL]]-PROVEEDORES[[#This Row],[descuento sobre subtotal]])</f>
        <v>0</v>
      </c>
      <c r="R339" s="21">
        <f>+PROVEEDORES[[#This Row],[SUBTOTAL]]+PROVEEDORES[[#This Row],[IVA 19%]]-PROVEEDORES[[#This Row],[descuento sobre subtotal]]-PROVEEDORES[[#This Row],[Descuento sobre subtotal $2]]-PROVEEDORES[[#This Row],[Rete Fuente $]]</f>
        <v>110670</v>
      </c>
      <c r="S33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63">
        <f ca="1">IF(PROVEEDORES[[#This Row],[FECHA DE PAGO]]=0,TODAY()-PROVEEDORES[[#This Row],[FECHA DE FACTURACIÓN]]-PROVEEDORES[[#This Row],[PLAZO Días]],0)</f>
        <v>0</v>
      </c>
      <c r="U339" s="87" t="str">
        <f>+VLOOKUP(PROVEEDORES[[#This Row],[PROVEEDOR]],Terceros!$A:$D,4,FALSE)</f>
        <v>2,5% con base</v>
      </c>
      <c r="V339" s="88">
        <f>+YEAR(PROVEEDORES[[#This Row],[FECHA DE FACTURACIÓN]])</f>
        <v>2022</v>
      </c>
      <c r="W339" s="88">
        <f>+MATCH(PROVEEDORES[[#This Row],[año facturado]],Retenciones!$1:$1,0)</f>
        <v>5</v>
      </c>
      <c r="X339" s="89">
        <f>+VLOOKUP(PROVEEDORES[[#This Row],[ID RETENCION]],Retenciones!$A$1:$O$25,PROVEEDORES[[#This Row],[indicador de columna]],FALSE)</f>
        <v>1026000</v>
      </c>
      <c r="Y339" s="90">
        <f>+VLOOKUP(PROVEEDORES[[#This Row],[ID RETENCION]],Retenciones!$A$1:$O$25,2,FALSE)</f>
        <v>2.5000000000000001E-2</v>
      </c>
      <c r="Z339" s="116" t="b">
        <f>OR(COUNTIF(PROVEEDORES[[#This Row],[PROVEEDOR]],"*"&amp;'Palabra no opera'!$A$2&amp;"*"))</f>
        <v>0</v>
      </c>
    </row>
    <row r="340" spans="1:26" ht="22.35" customHeight="1" x14ac:dyDescent="0.3">
      <c r="A340" s="114" t="str">
        <f>+IF(PROVEEDORES[[#This Row],[FECHA DE PAGO]]=PROVEEDORES[[#This Row],[FECHA DE FACTURACIÓN]],"DE CONTADO","CRÉDITO")</f>
        <v>CRÉDITO</v>
      </c>
      <c r="B340" s="38" t="str">
        <f>+IF((PROVEEDORES[[#This Row],[FECHA DE PAGO]]-PROVEEDORES[[#This Row],[FECHA DE FACTURACIÓN]])&gt;PROVEEDORES[[#This Row],[PLAZO Días]],"PAGO VENCIDO")</f>
        <v>PAGO VENCIDO</v>
      </c>
      <c r="C340" s="20">
        <f>+VLOOKUP(PROVEEDORES[[#This Row],[PROVEEDOR]],TERCEROS_INFO[#All],2,FALSE)</f>
        <v>30</v>
      </c>
      <c r="D340" s="25">
        <f>+SUMIFS(PROVEEDORES[Total],PROVEEDORES[PROVEEDOR],PROVEEDORES[[#This Row],[PROVEEDOR]],PROVEEDORES[FECHA DE PAGO],"")</f>
        <v>229206</v>
      </c>
      <c r="E340" s="25"/>
      <c r="F340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40" s="68">
        <v>44690</v>
      </c>
      <c r="H340" s="26" t="s">
        <v>95</v>
      </c>
      <c r="I340" s="68">
        <v>44645</v>
      </c>
      <c r="J340" s="35" t="s">
        <v>654</v>
      </c>
      <c r="K340" s="21">
        <v>51495</v>
      </c>
      <c r="L340" s="21"/>
      <c r="M340" s="22">
        <f>(PROVEEDORES[[#This Row],[SUBTOTAL]]-PROVEEDORES[[#This Row],[descuento sobre subtotal]])*VLOOKUP(PROVEEDORES[[#This Row],[PROVEEDOR]],TERCEROS_INFO[#All],3,FALSE)</f>
        <v>0</v>
      </c>
      <c r="N340" s="23"/>
      <c r="O340" s="22">
        <f>+PROVEEDORES[[#This Row],[Descuento sobre subtotal %]]*(PROVEEDORES[[#This Row],[SUBTOTAL]]-PROVEEDORES[[#This Row],[descuento sobre subtotal]])</f>
        <v>0</v>
      </c>
      <c r="P340" s="74">
        <f>+IF(PROVEEDORES[[#This Row],[SUBTOTAL]]&lt;PROVEEDORES[[#This Row],[base retencion]],0,PROVEEDORES[[#This Row],[retención aplicada]])</f>
        <v>0</v>
      </c>
      <c r="Q340" s="22">
        <f>+PROVEEDORES[[#This Row],[Rete Fuente %]]*(PROVEEDORES[[#This Row],[SUBTOTAL]]-PROVEEDORES[[#This Row],[descuento sobre subtotal]])</f>
        <v>0</v>
      </c>
      <c r="R340" s="21">
        <f>+PROVEEDORES[[#This Row],[SUBTOTAL]]+PROVEEDORES[[#This Row],[IVA 19%]]-PROVEEDORES[[#This Row],[descuento sobre subtotal]]-PROVEEDORES[[#This Row],[Descuento sobre subtotal $2]]-PROVEEDORES[[#This Row],[Rete Fuente $]]</f>
        <v>51495</v>
      </c>
      <c r="S340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63">
        <f ca="1">IF(PROVEEDORES[[#This Row],[FECHA DE PAGO]]=0,TODAY()-PROVEEDORES[[#This Row],[FECHA DE FACTURACIÓN]]-PROVEEDORES[[#This Row],[PLAZO Días]],0)</f>
        <v>0</v>
      </c>
      <c r="U340" s="104">
        <f>+VLOOKUP(PROVEEDORES[[#This Row],[PROVEEDOR]],Terceros!$A:$D,4,FALSE)</f>
        <v>0</v>
      </c>
      <c r="V340" s="105">
        <f>+YEAR(PROVEEDORES[[#This Row],[FECHA DE FACTURACIÓN]])</f>
        <v>2022</v>
      </c>
      <c r="W340" s="105">
        <f>+MATCH(PROVEEDORES[[#This Row],[año facturado]],Retenciones!$1:$1,0)</f>
        <v>5</v>
      </c>
      <c r="X340" s="106">
        <f>+VLOOKUP(PROVEEDORES[[#This Row],[ID RETENCION]],Retenciones!$A$1:$O$25,PROVEEDORES[[#This Row],[indicador de columna]],FALSE)</f>
        <v>0</v>
      </c>
      <c r="Y340" s="107">
        <f>+VLOOKUP(PROVEEDORES[[#This Row],[ID RETENCION]],Retenciones!$A$1:$O$25,2,FALSE)</f>
        <v>0</v>
      </c>
      <c r="Z340" s="116" t="b">
        <f>OR(COUNTIF(PROVEEDORES[[#This Row],[PROVEEDOR]],"*"&amp;'Palabra no opera'!$A$2&amp;"*"))</f>
        <v>0</v>
      </c>
    </row>
    <row r="341" spans="1:26" ht="22.35" customHeight="1" x14ac:dyDescent="0.3">
      <c r="A341" s="61" t="str">
        <f>+IF(PROVEEDORES[[#This Row],[FECHA DE PAGO]]=PROVEEDORES[[#This Row],[FECHA DE FACTURACIÓN]],"DE CONTADO","CRÉDITO")</f>
        <v>CRÉDITO</v>
      </c>
      <c r="B341" s="38" t="str">
        <f>+IF((PROVEEDORES[[#This Row],[FECHA DE PAGO]]-PROVEEDORES[[#This Row],[FECHA DE FACTURACIÓN]])&gt;PROVEEDORES[[#This Row],[PLAZO Días]],"PAGO VENCIDO")</f>
        <v>PAGO VENCIDO</v>
      </c>
      <c r="C341" s="20">
        <f>+VLOOKUP(PROVEEDORES[[#This Row],[PROVEEDOR]],TERCEROS_INFO[#All],2,FALSE)</f>
        <v>45</v>
      </c>
      <c r="D341" s="25">
        <f>+SUMIFS(PROVEEDORES[Total],PROVEEDORES[PROVEEDOR],PROVEEDORES[[#This Row],[PROVEEDOR]],PROVEEDORES[FECHA DE PAGO],"")</f>
        <v>15770594</v>
      </c>
      <c r="E341" s="25"/>
      <c r="F34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41" s="68">
        <v>44690</v>
      </c>
      <c r="H341" s="26" t="s">
        <v>19</v>
      </c>
      <c r="I341" s="68">
        <v>44638</v>
      </c>
      <c r="J341" s="35" t="s">
        <v>446</v>
      </c>
      <c r="K341" s="21">
        <v>2756160</v>
      </c>
      <c r="L341" s="21"/>
      <c r="M341" s="22">
        <f>(PROVEEDORES[[#This Row],[SUBTOTAL]]-PROVEEDORES[[#This Row],[descuento sobre subtotal]])*VLOOKUP(PROVEEDORES[[#This Row],[PROVEEDOR]],TERCEROS_INFO[#All],3,FALSE)</f>
        <v>523670.4</v>
      </c>
      <c r="N341" s="23"/>
      <c r="O341" s="22">
        <f>+PROVEEDORES[[#This Row],[Descuento sobre subtotal %]]*(PROVEEDORES[[#This Row],[SUBTOTAL]]-PROVEEDORES[[#This Row],[descuento sobre subtotal]])</f>
        <v>0</v>
      </c>
      <c r="P341" s="74">
        <f>+IF(PROVEEDORES[[#This Row],[SUBTOTAL]]&lt;PROVEEDORES[[#This Row],[base retencion]],0,PROVEEDORES[[#This Row],[retención aplicada]])</f>
        <v>0</v>
      </c>
      <c r="Q341" s="22">
        <f>+PROVEEDORES[[#This Row],[Rete Fuente %]]*(PROVEEDORES[[#This Row],[SUBTOTAL]]-PROVEEDORES[[#This Row],[descuento sobre subtotal]])</f>
        <v>0</v>
      </c>
      <c r="R341" s="21">
        <f>+PROVEEDORES[[#This Row],[SUBTOTAL]]+PROVEEDORES[[#This Row],[IVA 19%]]-PROVEEDORES[[#This Row],[descuento sobre subtotal]]-PROVEEDORES[[#This Row],[Descuento sobre subtotal $2]]-PROVEEDORES[[#This Row],[Rete Fuente $]]</f>
        <v>3279830.4</v>
      </c>
      <c r="S341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63">
        <f ca="1">IF(PROVEEDORES[[#This Row],[FECHA DE PAGO]]=0,TODAY()-PROVEEDORES[[#This Row],[FECHA DE FACTURACIÓN]]-PROVEEDORES[[#This Row],[PLAZO Días]],0)</f>
        <v>0</v>
      </c>
      <c r="U341" s="87">
        <f>+VLOOKUP(PROVEEDORES[[#This Row],[PROVEEDOR]],Terceros!$A:$D,4,FALSE)</f>
        <v>0</v>
      </c>
      <c r="V341" s="88">
        <f>+YEAR(PROVEEDORES[[#This Row],[FECHA DE FACTURACIÓN]])</f>
        <v>2022</v>
      </c>
      <c r="W341" s="88">
        <f>+MATCH(PROVEEDORES[[#This Row],[año facturado]],Retenciones!$1:$1,0)</f>
        <v>5</v>
      </c>
      <c r="X341" s="89">
        <f>+VLOOKUP(PROVEEDORES[[#This Row],[ID RETENCION]],Retenciones!$A$1:$O$25,PROVEEDORES[[#This Row],[indicador de columna]],FALSE)</f>
        <v>0</v>
      </c>
      <c r="Y341" s="90">
        <f>+VLOOKUP(PROVEEDORES[[#This Row],[ID RETENCION]],Retenciones!$A$1:$O$25,2,FALSE)</f>
        <v>0</v>
      </c>
      <c r="Z341" s="116" t="b">
        <f>OR(COUNTIF(PROVEEDORES[[#This Row],[PROVEEDOR]],"*"&amp;'Palabra no opera'!$A$2&amp;"*"))</f>
        <v>0</v>
      </c>
    </row>
    <row r="342" spans="1:26" ht="22.35" customHeight="1" x14ac:dyDescent="0.3">
      <c r="A342" s="61" t="str">
        <f>+IF(PROVEEDORES[[#This Row],[FECHA DE PAGO]]=PROVEEDORES[[#This Row],[FECHA DE FACTURACIÓN]],"DE CONTADO","CRÉDITO")</f>
        <v>CRÉDITO</v>
      </c>
      <c r="B342" s="38" t="str">
        <f>+IF((PROVEEDORES[[#This Row],[FECHA DE PAGO]]-PROVEEDORES[[#This Row],[FECHA DE FACTURACIÓN]])&gt;PROVEEDORES[[#This Row],[PLAZO Días]],"PAGO VENCIDO")</f>
        <v>PAGO VENCIDO</v>
      </c>
      <c r="C342" s="20">
        <f>+VLOOKUP(PROVEEDORES[[#This Row],[PROVEEDOR]],TERCEROS_INFO[#All],2,FALSE)</f>
        <v>45</v>
      </c>
      <c r="D342" s="25">
        <f>+SUMIFS(PROVEEDORES[Total],PROVEEDORES[PROVEEDOR],PROVEEDORES[[#This Row],[PROVEEDOR]],PROVEEDORES[FECHA DE PAGO],"")</f>
        <v>15770594</v>
      </c>
      <c r="E342" s="25"/>
      <c r="F342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42" s="68">
        <v>44690</v>
      </c>
      <c r="H342" s="26" t="s">
        <v>19</v>
      </c>
      <c r="I342" s="68">
        <v>44638</v>
      </c>
      <c r="J342" s="35" t="s">
        <v>445</v>
      </c>
      <c r="K342" s="21">
        <v>10665600</v>
      </c>
      <c r="L342" s="21"/>
      <c r="M342" s="22">
        <f>(PROVEEDORES[[#This Row],[SUBTOTAL]]-PROVEEDORES[[#This Row],[descuento sobre subtotal]])*VLOOKUP(PROVEEDORES[[#This Row],[PROVEEDOR]],TERCEROS_INFO[#All],3,FALSE)</f>
        <v>2026464</v>
      </c>
      <c r="N342" s="23"/>
      <c r="O342" s="22">
        <f>+PROVEEDORES[[#This Row],[Descuento sobre subtotal %]]*(PROVEEDORES[[#This Row],[SUBTOTAL]]-PROVEEDORES[[#This Row],[descuento sobre subtotal]])</f>
        <v>0</v>
      </c>
      <c r="P342" s="74">
        <f>+IF(PROVEEDORES[[#This Row],[SUBTOTAL]]&lt;PROVEEDORES[[#This Row],[base retencion]],0,PROVEEDORES[[#This Row],[retención aplicada]])</f>
        <v>0</v>
      </c>
      <c r="Q342" s="22">
        <f>+PROVEEDORES[[#This Row],[Rete Fuente %]]*(PROVEEDORES[[#This Row],[SUBTOTAL]]-PROVEEDORES[[#This Row],[descuento sobre subtotal]])</f>
        <v>0</v>
      </c>
      <c r="R342" s="21">
        <f>+PROVEEDORES[[#This Row],[SUBTOTAL]]+PROVEEDORES[[#This Row],[IVA 19%]]-PROVEEDORES[[#This Row],[descuento sobre subtotal]]-PROVEEDORES[[#This Row],[Descuento sobre subtotal $2]]-PROVEEDORES[[#This Row],[Rete Fuente $]]</f>
        <v>12692064</v>
      </c>
      <c r="S34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63">
        <f ca="1">IF(PROVEEDORES[[#This Row],[FECHA DE PAGO]]=0,TODAY()-PROVEEDORES[[#This Row],[FECHA DE FACTURACIÓN]]-PROVEEDORES[[#This Row],[PLAZO Días]],0)</f>
        <v>0</v>
      </c>
      <c r="U342" s="87">
        <f>+VLOOKUP(PROVEEDORES[[#This Row],[PROVEEDOR]],Terceros!$A:$D,4,FALSE)</f>
        <v>0</v>
      </c>
      <c r="V342" s="88">
        <f>+YEAR(PROVEEDORES[[#This Row],[FECHA DE FACTURACIÓN]])</f>
        <v>2022</v>
      </c>
      <c r="W342" s="88">
        <f>+MATCH(PROVEEDORES[[#This Row],[año facturado]],Retenciones!$1:$1,0)</f>
        <v>5</v>
      </c>
      <c r="X342" s="89">
        <f>+VLOOKUP(PROVEEDORES[[#This Row],[ID RETENCION]],Retenciones!$A$1:$O$25,PROVEEDORES[[#This Row],[indicador de columna]],FALSE)</f>
        <v>0</v>
      </c>
      <c r="Y342" s="90">
        <f>+VLOOKUP(PROVEEDORES[[#This Row],[ID RETENCION]],Retenciones!$A$1:$O$25,2,FALSE)</f>
        <v>0</v>
      </c>
      <c r="Z342" s="116" t="b">
        <f>OR(COUNTIF(PROVEEDORES[[#This Row],[PROVEEDOR]],"*"&amp;'Palabra no opera'!$A$2&amp;"*"))</f>
        <v>0</v>
      </c>
    </row>
    <row r="343" spans="1:26" ht="22.35" customHeight="1" x14ac:dyDescent="0.3">
      <c r="A343" s="61" t="str">
        <f>+IF(PROVEEDORES[[#This Row],[FECHA DE PAGO]]=PROVEEDORES[[#This Row],[FECHA DE FACTURACIÓN]],"DE CONTADO","CRÉDITO")</f>
        <v>CRÉDITO</v>
      </c>
      <c r="B343" s="38" t="str">
        <f>+IF((PROVEEDORES[[#This Row],[FECHA DE PAGO]]-PROVEEDORES[[#This Row],[FECHA DE FACTURACIÓN]])&gt;PROVEEDORES[[#This Row],[PLAZO Días]],"PAGO VENCIDO")</f>
        <v>PAGO VENCIDO</v>
      </c>
      <c r="C343" s="20">
        <f>+VLOOKUP(PROVEEDORES[[#This Row],[PROVEEDOR]],TERCEROS_INFO[#All],2,FALSE)</f>
        <v>30</v>
      </c>
      <c r="D343" s="25">
        <f>+SUMIFS(PROVEEDORES[Total],PROVEEDORES[PROVEEDOR],PROVEEDORES[[#This Row],[PROVEEDOR]],PROVEEDORES[FECHA DE PAGO],"")</f>
        <v>0</v>
      </c>
      <c r="E343" s="25"/>
      <c r="F343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343" s="68">
        <v>44690</v>
      </c>
      <c r="H343" s="26" t="s">
        <v>248</v>
      </c>
      <c r="I343" s="68">
        <v>44650</v>
      </c>
      <c r="J343" s="35" t="s">
        <v>420</v>
      </c>
      <c r="K343" s="21">
        <v>2285686.25</v>
      </c>
      <c r="L343" s="21"/>
      <c r="M343" s="22">
        <f>(PROVEEDORES[[#This Row],[SUBTOTAL]]-PROVEEDORES[[#This Row],[descuento sobre subtotal]])*VLOOKUP(PROVEEDORES[[#This Row],[PROVEEDOR]],TERCEROS_INFO[#All],3,FALSE)</f>
        <v>434280.38750000001</v>
      </c>
      <c r="N343" s="23"/>
      <c r="O343" s="22">
        <f>+PROVEEDORES[[#This Row],[Descuento sobre subtotal %]]*(PROVEEDORES[[#This Row],[SUBTOTAL]]-PROVEEDORES[[#This Row],[descuento sobre subtotal]])</f>
        <v>0</v>
      </c>
      <c r="P343" s="74">
        <f>+IF(PROVEEDORES[[#This Row],[SUBTOTAL]]&lt;PROVEEDORES[[#This Row],[base retencion]],0,PROVEEDORES[[#This Row],[retención aplicada]])</f>
        <v>0</v>
      </c>
      <c r="Q343" s="22">
        <f>+PROVEEDORES[[#This Row],[Rete Fuente %]]*(PROVEEDORES[[#This Row],[SUBTOTAL]]-PROVEEDORES[[#This Row],[descuento sobre subtotal]])</f>
        <v>0</v>
      </c>
      <c r="R343" s="21">
        <f>+PROVEEDORES[[#This Row],[SUBTOTAL]]+PROVEEDORES[[#This Row],[IVA 19%]]-PROVEEDORES[[#This Row],[descuento sobre subtotal]]-PROVEEDORES[[#This Row],[Descuento sobre subtotal $2]]-PROVEEDORES[[#This Row],[Rete Fuente $]]</f>
        <v>2719966.6375000002</v>
      </c>
      <c r="S34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63">
        <f ca="1">IF(PROVEEDORES[[#This Row],[FECHA DE PAGO]]=0,TODAY()-PROVEEDORES[[#This Row],[FECHA DE FACTURACIÓN]]-PROVEEDORES[[#This Row],[PLAZO Días]],0)</f>
        <v>0</v>
      </c>
      <c r="U343" s="87">
        <f>+VLOOKUP(PROVEEDORES[[#This Row],[PROVEEDOR]],Terceros!$A:$D,4,FALSE)</f>
        <v>0</v>
      </c>
      <c r="V343" s="88">
        <f>+YEAR(PROVEEDORES[[#This Row],[FECHA DE FACTURACIÓN]])</f>
        <v>2022</v>
      </c>
      <c r="W343" s="88">
        <f>+MATCH(PROVEEDORES[[#This Row],[año facturado]],Retenciones!$1:$1,0)</f>
        <v>5</v>
      </c>
      <c r="X343" s="89">
        <f>+VLOOKUP(PROVEEDORES[[#This Row],[ID RETENCION]],Retenciones!$A$1:$O$25,PROVEEDORES[[#This Row],[indicador de columna]],FALSE)</f>
        <v>0</v>
      </c>
      <c r="Y343" s="90">
        <f>+VLOOKUP(PROVEEDORES[[#This Row],[ID RETENCION]],Retenciones!$A$1:$O$25,2,FALSE)</f>
        <v>0</v>
      </c>
      <c r="Z343" s="116" t="b">
        <f>OR(COUNTIF(PROVEEDORES[[#This Row],[PROVEEDOR]],"*"&amp;'Palabra no opera'!$A$2&amp;"*"))</f>
        <v>0</v>
      </c>
    </row>
    <row r="344" spans="1:26" ht="22.35" customHeight="1" x14ac:dyDescent="0.3">
      <c r="A344" s="61" t="str">
        <f>+IF(PROVEEDORES[[#This Row],[FECHA DE PAGO]]=PROVEEDORES[[#This Row],[FECHA DE FACTURACIÓN]],"DE CONTADO","CRÉDITO")</f>
        <v>CRÉDITO</v>
      </c>
      <c r="B344" s="38" t="str">
        <f>+IF((PROVEEDORES[[#This Row],[FECHA DE PAGO]]-PROVEEDORES[[#This Row],[FECHA DE FACTURACIÓN]])&gt;PROVEEDORES[[#This Row],[PLAZO Días]],"PAGO VENCIDO")</f>
        <v>PAGO VENCIDO</v>
      </c>
      <c r="C344" s="20">
        <f>+VLOOKUP(PROVEEDORES[[#This Row],[PROVEEDOR]],TERCEROS_INFO[#All],2,FALSE)</f>
        <v>30</v>
      </c>
      <c r="D344" s="25">
        <f>+SUMIFS(PROVEEDORES[Total],PROVEEDORES[PROVEEDOR],PROVEEDORES[[#This Row],[PROVEEDOR]],PROVEEDORES[FECHA DE PAGO],"")</f>
        <v>429590</v>
      </c>
      <c r="E344" s="25"/>
      <c r="F344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344" s="68">
        <v>44690</v>
      </c>
      <c r="H344" s="26" t="s">
        <v>39</v>
      </c>
      <c r="I344" s="68">
        <v>44658</v>
      </c>
      <c r="J344" s="35">
        <v>1218</v>
      </c>
      <c r="K344" s="21">
        <v>380410</v>
      </c>
      <c r="L344" s="21"/>
      <c r="M344" s="22">
        <f>(PROVEEDORES[[#This Row],[SUBTOTAL]]-PROVEEDORES[[#This Row],[descuento sobre subtotal]])*VLOOKUP(PROVEEDORES[[#This Row],[PROVEEDOR]],TERCEROS_INFO[#All],3,FALSE)</f>
        <v>72277.899999999994</v>
      </c>
      <c r="N344" s="23"/>
      <c r="O344" s="22">
        <f>+PROVEEDORES[[#This Row],[Descuento sobre subtotal %]]*(PROVEEDORES[[#This Row],[SUBTOTAL]]-PROVEEDORES[[#This Row],[descuento sobre subtotal]])</f>
        <v>0</v>
      </c>
      <c r="P344" s="74">
        <f>+IF(PROVEEDORES[[#This Row],[SUBTOTAL]]&lt;PROVEEDORES[[#This Row],[base retencion]],0,PROVEEDORES[[#This Row],[retención aplicada]])</f>
        <v>0</v>
      </c>
      <c r="Q344" s="22">
        <f>+PROVEEDORES[[#This Row],[Rete Fuente %]]*(PROVEEDORES[[#This Row],[SUBTOTAL]]-PROVEEDORES[[#This Row],[descuento sobre subtotal]])</f>
        <v>0</v>
      </c>
      <c r="R344" s="21">
        <f>+PROVEEDORES[[#This Row],[SUBTOTAL]]+PROVEEDORES[[#This Row],[IVA 19%]]-PROVEEDORES[[#This Row],[descuento sobre subtotal]]-PROVEEDORES[[#This Row],[Descuento sobre subtotal $2]]-PROVEEDORES[[#This Row],[Rete Fuente $]]</f>
        <v>452687.9</v>
      </c>
      <c r="S34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63">
        <f ca="1">IF(PROVEEDORES[[#This Row],[FECHA DE PAGO]]=0,TODAY()-PROVEEDORES[[#This Row],[FECHA DE FACTURACIÓN]]-PROVEEDORES[[#This Row],[PLAZO Días]],0)</f>
        <v>0</v>
      </c>
      <c r="U344" s="87" t="str">
        <f>+VLOOKUP(PROVEEDORES[[#This Row],[PROVEEDOR]],Terceros!$A:$D,4,FALSE)</f>
        <v>2,5% con base</v>
      </c>
      <c r="V344" s="88">
        <f>+YEAR(PROVEEDORES[[#This Row],[FECHA DE FACTURACIÓN]])</f>
        <v>2022</v>
      </c>
      <c r="W344" s="88">
        <f>+MATCH(PROVEEDORES[[#This Row],[año facturado]],Retenciones!$1:$1,0)</f>
        <v>5</v>
      </c>
      <c r="X344" s="89">
        <f>+VLOOKUP(PROVEEDORES[[#This Row],[ID RETENCION]],Retenciones!$A$1:$O$25,PROVEEDORES[[#This Row],[indicador de columna]],FALSE)</f>
        <v>1026000</v>
      </c>
      <c r="Y344" s="90">
        <f>+VLOOKUP(PROVEEDORES[[#This Row],[ID RETENCION]],Retenciones!$A$1:$O$25,2,FALSE)</f>
        <v>2.5000000000000001E-2</v>
      </c>
      <c r="Z344" s="116" t="b">
        <f>OR(COUNTIF(PROVEEDORES[[#This Row],[PROVEEDOR]],"*"&amp;'Palabra no opera'!$A$2&amp;"*"))</f>
        <v>0</v>
      </c>
    </row>
    <row r="345" spans="1:26" ht="22.35" customHeight="1" x14ac:dyDescent="0.3">
      <c r="A345" s="103" t="str">
        <f>+IF(PROVEEDORES[[#This Row],[FECHA DE PAGO]]=PROVEEDORES[[#This Row],[FECHA DE FACTURACIÓN]],"DE CONTADO","CRÉDITO")</f>
        <v>CRÉDITO</v>
      </c>
      <c r="B345" s="38" t="str">
        <f>+IF((PROVEEDORES[[#This Row],[FECHA DE PAGO]]-PROVEEDORES[[#This Row],[FECHA DE FACTURACIÓN]])&gt;PROVEEDORES[[#This Row],[PLAZO Días]],"PAGO VENCIDO")</f>
        <v>PAGO VENCIDO</v>
      </c>
      <c r="C345" s="20">
        <f>+VLOOKUP(PROVEEDORES[[#This Row],[PROVEEDOR]],TERCEROS_INFO[#All],2,FALSE)</f>
        <v>30</v>
      </c>
      <c r="D345" s="25">
        <f>+SUMIFS(PROVEEDORES[Total],PROVEEDORES[PROVEEDOR],PROVEEDORES[[#This Row],[PROVEEDOR]],PROVEEDORES[FECHA DE PAGO],"")</f>
        <v>2773899.95</v>
      </c>
      <c r="E345" s="25"/>
      <c r="F345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345" s="68">
        <v>44691</v>
      </c>
      <c r="H345" s="26" t="s">
        <v>20</v>
      </c>
      <c r="I345" s="68">
        <v>44658</v>
      </c>
      <c r="J345" s="35">
        <v>6737</v>
      </c>
      <c r="K345" s="21">
        <v>1065430</v>
      </c>
      <c r="L345" s="21"/>
      <c r="M345" s="22">
        <f>(PROVEEDORES[[#This Row],[SUBTOTAL]]-PROVEEDORES[[#This Row],[descuento sobre subtotal]])*VLOOKUP(PROVEEDORES[[#This Row],[PROVEEDOR]],TERCEROS_INFO[#All],3,FALSE)</f>
        <v>202431.7</v>
      </c>
      <c r="N345" s="23"/>
      <c r="O345" s="22">
        <f>+PROVEEDORES[[#This Row],[Descuento sobre subtotal %]]*(PROVEEDORES[[#This Row],[SUBTOTAL]]-PROVEEDORES[[#This Row],[descuento sobre subtotal]])</f>
        <v>0</v>
      </c>
      <c r="P345" s="74">
        <f>+IF(PROVEEDORES[[#This Row],[SUBTOTAL]]&lt;PROVEEDORES[[#This Row],[base retencion]],0,PROVEEDORES[[#This Row],[retención aplicada]])</f>
        <v>2.5000000000000001E-2</v>
      </c>
      <c r="Q345" s="22">
        <f>+PROVEEDORES[[#This Row],[Rete Fuente %]]*(PROVEEDORES[[#This Row],[SUBTOTAL]]-PROVEEDORES[[#This Row],[descuento sobre subtotal]])</f>
        <v>26635.75</v>
      </c>
      <c r="R345" s="21">
        <f>+PROVEEDORES[[#This Row],[SUBTOTAL]]+PROVEEDORES[[#This Row],[IVA 19%]]-PROVEEDORES[[#This Row],[descuento sobre subtotal]]-PROVEEDORES[[#This Row],[Descuento sobre subtotal $2]]-PROVEEDORES[[#This Row],[Rete Fuente $]]</f>
        <v>1241225.95</v>
      </c>
      <c r="S345" s="1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63">
        <f ca="1">IF(PROVEEDORES[[#This Row],[FECHA DE PAGO]]=0,TODAY()-PROVEEDORES[[#This Row],[FECHA DE FACTURACIÓN]]-PROVEEDORES[[#This Row],[PLAZO Días]],0)</f>
        <v>0</v>
      </c>
      <c r="U345" s="104" t="str">
        <f>+VLOOKUP(PROVEEDORES[[#This Row],[PROVEEDOR]],Terceros!$A:$D,4,FALSE)</f>
        <v>2,5% con base</v>
      </c>
      <c r="V345" s="105">
        <f>+YEAR(PROVEEDORES[[#This Row],[FECHA DE FACTURACIÓN]])</f>
        <v>2022</v>
      </c>
      <c r="W345" s="105">
        <f>+MATCH(PROVEEDORES[[#This Row],[año facturado]],Retenciones!$1:$1,0)</f>
        <v>5</v>
      </c>
      <c r="X345" s="106">
        <f>+VLOOKUP(PROVEEDORES[[#This Row],[ID RETENCION]],Retenciones!$A$1:$O$25,PROVEEDORES[[#This Row],[indicador de columna]],FALSE)</f>
        <v>1026000</v>
      </c>
      <c r="Y345" s="107">
        <f>+VLOOKUP(PROVEEDORES[[#This Row],[ID RETENCION]],Retenciones!$A$1:$O$25,2,FALSE)</f>
        <v>2.5000000000000001E-2</v>
      </c>
      <c r="Z345" s="116" t="b">
        <f>OR(COUNTIF(PROVEEDORES[[#This Row],[PROVEEDOR]],"*"&amp;'Palabra no opera'!$A$2&amp;"*"))</f>
        <v>0</v>
      </c>
    </row>
    <row r="346" spans="1:26" ht="22.35" customHeight="1" x14ac:dyDescent="0.3">
      <c r="A346" s="114" t="str">
        <f>+IF(PROVEEDORES[[#This Row],[FECHA DE PAGO]]=PROVEEDORES[[#This Row],[FECHA DE FACTURACIÓN]],"DE CONTADO","CRÉDITO")</f>
        <v>CRÉDITO</v>
      </c>
      <c r="B346" s="38" t="b">
        <f>+IF((PROVEEDORES[[#This Row],[FECHA DE PAGO]]-PROVEEDORES[[#This Row],[FECHA DE FACTURACIÓN]])&gt;PROVEEDORES[[#This Row],[PLAZO Días]],"PAGO VENCIDO")</f>
        <v>0</v>
      </c>
      <c r="C346" s="20">
        <f>+VLOOKUP(PROVEEDORES[[#This Row],[PROVEEDOR]],TERCEROS_INFO[#All],2,FALSE)</f>
        <v>30</v>
      </c>
      <c r="D346" s="25">
        <f>+SUMIFS(PROVEEDORES[Total],PROVEEDORES[PROVEEDOR],PROVEEDORES[[#This Row],[PROVEEDOR]],PROVEEDORES[FECHA DE PAGO],"")</f>
        <v>352505.48</v>
      </c>
      <c r="E346" s="25"/>
      <c r="F346" s="56" t="str">
        <f>+VLOOKUP(PROVEEDORES[[#This Row],[PROVEEDOR]],
                       Terceros!$A:$F,
                       5,
                       FALSE)</f>
        <v>facturacion@losmolinos.com.co</v>
      </c>
      <c r="G346" s="68">
        <v>44691</v>
      </c>
      <c r="H346" s="26" t="s">
        <v>650</v>
      </c>
      <c r="I346" s="68">
        <v>44682</v>
      </c>
      <c r="J346" s="35">
        <v>67313</v>
      </c>
      <c r="K346" s="21">
        <v>284467</v>
      </c>
      <c r="L346" s="21"/>
      <c r="M346" s="22">
        <f>(PROVEEDORES[[#This Row],[SUBTOTAL]]-PROVEEDORES[[#This Row],[descuento sobre subtotal]])*VLOOKUP(PROVEEDORES[[#This Row],[PROVEEDOR]],TERCEROS_INFO[#All],3,FALSE)</f>
        <v>0</v>
      </c>
      <c r="N346" s="23"/>
      <c r="O346" s="22">
        <f>+PROVEEDORES[[#This Row],[Descuento sobre subtotal %]]*(PROVEEDORES[[#This Row],[SUBTOTAL]]-PROVEEDORES[[#This Row],[descuento sobre subtotal]])</f>
        <v>0</v>
      </c>
      <c r="P346" s="74">
        <f>+IF(PROVEEDORES[[#This Row],[SUBTOTAL]]&lt;PROVEEDORES[[#This Row],[base retencion]],0,PROVEEDORES[[#This Row],[retención aplicada]])</f>
        <v>0</v>
      </c>
      <c r="Q346" s="22">
        <f>+PROVEEDORES[[#This Row],[Rete Fuente %]]*(PROVEEDORES[[#This Row],[SUBTOTAL]]-PROVEEDORES[[#This Row],[descuento sobre subtotal]])</f>
        <v>0</v>
      </c>
      <c r="R346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346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63">
        <f ca="1">IF(PROVEEDORES[[#This Row],[FECHA DE PAGO]]=0,TODAY()-PROVEEDORES[[#This Row],[FECHA DE FACTURACIÓN]]-PROVEEDORES[[#This Row],[PLAZO Días]],0)</f>
        <v>0</v>
      </c>
      <c r="U346" s="104">
        <f>+VLOOKUP(PROVEEDORES[[#This Row],[PROVEEDOR]],Terceros!$A:$D,4,FALSE)</f>
        <v>0</v>
      </c>
      <c r="V346" s="105">
        <f>+YEAR(PROVEEDORES[[#This Row],[FECHA DE FACTURACIÓN]])</f>
        <v>2022</v>
      </c>
      <c r="W346" s="105">
        <f>+MATCH(PROVEEDORES[[#This Row],[año facturado]],Retenciones!$1:$1,0)</f>
        <v>5</v>
      </c>
      <c r="X346" s="106">
        <f>+VLOOKUP(PROVEEDORES[[#This Row],[ID RETENCION]],Retenciones!$A$1:$O$25,PROVEEDORES[[#This Row],[indicador de columna]],FALSE)</f>
        <v>0</v>
      </c>
      <c r="Y346" s="107">
        <f>+VLOOKUP(PROVEEDORES[[#This Row],[ID RETENCION]],Retenciones!$A$1:$O$25,2,FALSE)</f>
        <v>0</v>
      </c>
      <c r="Z346" s="116" t="b">
        <f>OR(COUNTIF(PROVEEDORES[[#This Row],[PROVEEDOR]],"*"&amp;'Palabra no opera'!$A$2&amp;"*"))</f>
        <v>1</v>
      </c>
    </row>
    <row r="347" spans="1:26" ht="22.35" customHeight="1" x14ac:dyDescent="0.3">
      <c r="A347" s="61" t="str">
        <f>+IF(PROVEEDORES[[#This Row],[FECHA DE PAGO]]=PROVEEDORES[[#This Row],[FECHA DE FACTURACIÓN]],"DE CONTADO","CRÉDITO")</f>
        <v>CRÉDITO</v>
      </c>
      <c r="B347" s="38" t="str">
        <f>+IF((PROVEEDORES[[#This Row],[FECHA DE PAGO]]-PROVEEDORES[[#This Row],[FECHA DE FACTURACIÓN]])&gt;PROVEEDORES[[#This Row],[PLAZO Días]],"PAGO VENCIDO")</f>
        <v>PAGO VENCIDO</v>
      </c>
      <c r="C347" s="20">
        <f>+VLOOKUP(PROVEEDORES[[#This Row],[PROVEEDOR]],TERCEROS_INFO[#All],2,FALSE)</f>
        <v>30</v>
      </c>
      <c r="D347" s="25">
        <f>+SUMIFS(PROVEEDORES[Total],PROVEEDORES[PROVEEDOR],PROVEEDORES[[#This Row],[PROVEEDOR]],PROVEEDORES[FECHA DE PAGO],"")</f>
        <v>0</v>
      </c>
      <c r="E347" s="25"/>
      <c r="F347" s="56">
        <f>+VLOOKUP(PROVEEDORES[[#This Row],[PROVEEDOR]],
                       Terceros!$A:$F,
                       5,
                       FALSE)</f>
        <v>0</v>
      </c>
      <c r="G347" s="68">
        <v>44691</v>
      </c>
      <c r="H347" s="26" t="s">
        <v>633</v>
      </c>
      <c r="I347" s="68">
        <v>44655</v>
      </c>
      <c r="J347" s="35" t="s">
        <v>882</v>
      </c>
      <c r="K347" s="21">
        <v>264114</v>
      </c>
      <c r="L347" s="21"/>
      <c r="M347" s="22">
        <f>(PROVEEDORES[[#This Row],[SUBTOTAL]]-PROVEEDORES[[#This Row],[descuento sobre subtotal]])*VLOOKUP(PROVEEDORES[[#This Row],[PROVEEDOR]],TERCEROS_INFO[#All],3,FALSE)</f>
        <v>0</v>
      </c>
      <c r="N347" s="23"/>
      <c r="O347" s="22">
        <f>+PROVEEDORES[[#This Row],[Descuento sobre subtotal %]]*(PROVEEDORES[[#This Row],[SUBTOTAL]]-PROVEEDORES[[#This Row],[descuento sobre subtotal]])</f>
        <v>0</v>
      </c>
      <c r="P347" s="74">
        <f>+IF(PROVEEDORES[[#This Row],[SUBTOTAL]]&lt;PROVEEDORES[[#This Row],[base retencion]],0,PROVEEDORES[[#This Row],[retención aplicada]])</f>
        <v>0</v>
      </c>
      <c r="Q347" s="22">
        <f>+PROVEEDORES[[#This Row],[Rete Fuente %]]*(PROVEEDORES[[#This Row],[SUBTOTAL]]-PROVEEDORES[[#This Row],[descuento sobre subtotal]])</f>
        <v>0</v>
      </c>
      <c r="R347" s="21">
        <f>+PROVEEDORES[[#This Row],[SUBTOTAL]]+PROVEEDORES[[#This Row],[IVA 19%]]-PROVEEDORES[[#This Row],[descuento sobre subtotal]]-PROVEEDORES[[#This Row],[Descuento sobre subtotal $2]]-PROVEEDORES[[#This Row],[Rete Fuente $]]</f>
        <v>264114</v>
      </c>
      <c r="S34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63">
        <f ca="1">IF(PROVEEDORES[[#This Row],[FECHA DE PAGO]]=0,TODAY()-PROVEEDORES[[#This Row],[FECHA DE FACTURACIÓN]]-PROVEEDORES[[#This Row],[PLAZO Días]],0)</f>
        <v>0</v>
      </c>
      <c r="U347" s="87">
        <f>+VLOOKUP(PROVEEDORES[[#This Row],[PROVEEDOR]],Terceros!$A:$D,4,FALSE)</f>
        <v>0</v>
      </c>
      <c r="V347" s="88">
        <f>+YEAR(PROVEEDORES[[#This Row],[FECHA DE FACTURACIÓN]])</f>
        <v>2022</v>
      </c>
      <c r="W347" s="88">
        <f>+MATCH(PROVEEDORES[[#This Row],[año facturado]],Retenciones!$1:$1,0)</f>
        <v>5</v>
      </c>
      <c r="X347" s="89">
        <f>+VLOOKUP(PROVEEDORES[[#This Row],[ID RETENCION]],Retenciones!$A$1:$O$25,PROVEEDORES[[#This Row],[indicador de columna]],FALSE)</f>
        <v>0</v>
      </c>
      <c r="Y347" s="90">
        <f>+VLOOKUP(PROVEEDORES[[#This Row],[ID RETENCION]],Retenciones!$A$1:$O$25,2,FALSE)</f>
        <v>0</v>
      </c>
      <c r="Z347" s="116" t="b">
        <f>OR(COUNTIF(PROVEEDORES[[#This Row],[PROVEEDOR]],"*"&amp;'Palabra no opera'!$A$2&amp;"*"))</f>
        <v>1</v>
      </c>
    </row>
    <row r="348" spans="1:26" ht="22.35" customHeight="1" x14ac:dyDescent="0.3">
      <c r="A348" s="61" t="str">
        <f>+IF(PROVEEDORES[[#This Row],[FECHA DE PAGO]]=PROVEEDORES[[#This Row],[FECHA DE FACTURACIÓN]],"DE CONTADO","CRÉDITO")</f>
        <v>CRÉDITO</v>
      </c>
      <c r="B348" s="38" t="str">
        <f>+IF((PROVEEDORES[[#This Row],[FECHA DE PAGO]]-PROVEEDORES[[#This Row],[FECHA DE FACTURACIÓN]])&gt;PROVEEDORES[[#This Row],[PLAZO Días]],"PAGO VENCIDO")</f>
        <v>PAGO VENCIDO</v>
      </c>
      <c r="C348" s="20">
        <f>+VLOOKUP(PROVEEDORES[[#This Row],[PROVEEDOR]],TERCEROS_INFO[#All],2,FALSE)</f>
        <v>30</v>
      </c>
      <c r="D348" s="25">
        <f>+SUMIFS(PROVEEDORES[Total],PROVEEDORES[PROVEEDOR],PROVEEDORES[[#This Row],[PROVEEDOR]],PROVEEDORES[FECHA DE PAGO],"")</f>
        <v>0</v>
      </c>
      <c r="E348" s="25"/>
      <c r="F348" s="56">
        <f>+VLOOKUP(PROVEEDORES[[#This Row],[PROVEEDOR]],
                       Terceros!$A:$F,
                       5,
                       FALSE)</f>
        <v>0</v>
      </c>
      <c r="G348" s="68">
        <v>44691</v>
      </c>
      <c r="H348" s="26" t="s">
        <v>633</v>
      </c>
      <c r="I348" s="68">
        <v>44655</v>
      </c>
      <c r="J348" s="35" t="s">
        <v>883</v>
      </c>
      <c r="K348" s="21">
        <v>1592378</v>
      </c>
      <c r="L348" s="21"/>
      <c r="M348" s="22">
        <f>(PROVEEDORES[[#This Row],[SUBTOTAL]]-PROVEEDORES[[#This Row],[descuento sobre subtotal]])*VLOOKUP(PROVEEDORES[[#This Row],[PROVEEDOR]],TERCEROS_INFO[#All],3,FALSE)</f>
        <v>0</v>
      </c>
      <c r="N348" s="23"/>
      <c r="O348" s="22">
        <f>+PROVEEDORES[[#This Row],[Descuento sobre subtotal %]]*(PROVEEDORES[[#This Row],[SUBTOTAL]]-PROVEEDORES[[#This Row],[descuento sobre subtotal]])</f>
        <v>0</v>
      </c>
      <c r="P348" s="74">
        <f>+IF(PROVEEDORES[[#This Row],[SUBTOTAL]]&lt;PROVEEDORES[[#This Row],[base retencion]],0,PROVEEDORES[[#This Row],[retención aplicada]])</f>
        <v>0</v>
      </c>
      <c r="Q348" s="22">
        <f>+PROVEEDORES[[#This Row],[Rete Fuente %]]*(PROVEEDORES[[#This Row],[SUBTOTAL]]-PROVEEDORES[[#This Row],[descuento sobre subtotal]])</f>
        <v>0</v>
      </c>
      <c r="R348" s="21">
        <f>+PROVEEDORES[[#This Row],[SUBTOTAL]]+PROVEEDORES[[#This Row],[IVA 19%]]-PROVEEDORES[[#This Row],[descuento sobre subtotal]]-PROVEEDORES[[#This Row],[Descuento sobre subtotal $2]]-PROVEEDORES[[#This Row],[Rete Fuente $]]</f>
        <v>1592378</v>
      </c>
      <c r="S34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63">
        <f ca="1">IF(PROVEEDORES[[#This Row],[FECHA DE PAGO]]=0,TODAY()-PROVEEDORES[[#This Row],[FECHA DE FACTURACIÓN]]-PROVEEDORES[[#This Row],[PLAZO Días]],0)</f>
        <v>0</v>
      </c>
      <c r="U348" s="87">
        <f>+VLOOKUP(PROVEEDORES[[#This Row],[PROVEEDOR]],Terceros!$A:$D,4,FALSE)</f>
        <v>0</v>
      </c>
      <c r="V348" s="88">
        <f>+YEAR(PROVEEDORES[[#This Row],[FECHA DE FACTURACIÓN]])</f>
        <v>2022</v>
      </c>
      <c r="W348" s="88">
        <f>+MATCH(PROVEEDORES[[#This Row],[año facturado]],Retenciones!$1:$1,0)</f>
        <v>5</v>
      </c>
      <c r="X348" s="89">
        <f>+VLOOKUP(PROVEEDORES[[#This Row],[ID RETENCION]],Retenciones!$A$1:$O$25,PROVEEDORES[[#This Row],[indicador de columna]],FALSE)</f>
        <v>0</v>
      </c>
      <c r="Y348" s="90">
        <f>+VLOOKUP(PROVEEDORES[[#This Row],[ID RETENCION]],Retenciones!$A$1:$O$25,2,FALSE)</f>
        <v>0</v>
      </c>
      <c r="Z348" s="116" t="b">
        <f>OR(COUNTIF(PROVEEDORES[[#This Row],[PROVEEDOR]],"*"&amp;'Palabra no opera'!$A$2&amp;"*"))</f>
        <v>1</v>
      </c>
    </row>
    <row r="349" spans="1:26" ht="22.35" customHeight="1" x14ac:dyDescent="0.3">
      <c r="A349" s="122" t="str">
        <f>+IF(PROVEEDORES[[#This Row],[FECHA DE PAGO]]=PROVEEDORES[[#This Row],[FECHA DE FACTURACIÓN]],"DE CONTADO","CRÉDITO")</f>
        <v>CRÉDITO</v>
      </c>
      <c r="B349" s="38" t="b">
        <f>+IF((PROVEEDORES[[#This Row],[FECHA DE PAGO]]-PROVEEDORES[[#This Row],[FECHA DE FACTURACIÓN]])&gt;PROVEEDORES[[#This Row],[PLAZO Días]],"PAGO VENCIDO")</f>
        <v>0</v>
      </c>
      <c r="C349" s="20">
        <f>+VLOOKUP(PROVEEDORES[[#This Row],[PROVEEDOR]],TERCEROS_INFO[#All],2,FALSE)</f>
        <v>30</v>
      </c>
      <c r="D349" s="25">
        <f>+SUMIFS(PROVEEDORES[Total],PROVEEDORES[PROVEEDOR],PROVEEDORES[[#This Row],[PROVEEDOR]],PROVEEDORES[FECHA DE PAGO],"")</f>
        <v>0</v>
      </c>
      <c r="E349" s="25"/>
      <c r="F34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49" s="68">
        <v>44691</v>
      </c>
      <c r="H349" s="26" t="s">
        <v>637</v>
      </c>
      <c r="I349" s="68">
        <v>44682</v>
      </c>
      <c r="J349" s="35" t="s">
        <v>219</v>
      </c>
      <c r="K349" s="21">
        <v>59583</v>
      </c>
      <c r="L349" s="21"/>
      <c r="M349" s="22">
        <f>(PROVEEDORES[[#This Row],[SUBTOTAL]]-PROVEEDORES[[#This Row],[descuento sobre subtotal]])*VLOOKUP(PROVEEDORES[[#This Row],[PROVEEDOR]],TERCEROS_INFO[#All],3,FALSE)</f>
        <v>0</v>
      </c>
      <c r="N349" s="23"/>
      <c r="O349" s="22">
        <f>+PROVEEDORES[[#This Row],[Descuento sobre subtotal %]]*(PROVEEDORES[[#This Row],[SUBTOTAL]]-PROVEEDORES[[#This Row],[descuento sobre subtotal]])</f>
        <v>0</v>
      </c>
      <c r="P349" s="74">
        <f>+IF(PROVEEDORES[[#This Row],[SUBTOTAL]]&lt;PROVEEDORES[[#This Row],[base retencion]],0,PROVEEDORES[[#This Row],[retención aplicada]])</f>
        <v>0</v>
      </c>
      <c r="Q349" s="22">
        <f>+PROVEEDORES[[#This Row],[Rete Fuente %]]*(PROVEEDORES[[#This Row],[SUBTOTAL]]-PROVEEDORES[[#This Row],[descuento sobre subtotal]])</f>
        <v>0</v>
      </c>
      <c r="R349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349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63">
        <f ca="1">IF(PROVEEDORES[[#This Row],[FECHA DE PAGO]]=0,TODAY()-PROVEEDORES[[#This Row],[FECHA DE FACTURACIÓN]]-PROVEEDORES[[#This Row],[PLAZO Días]],0)</f>
        <v>0</v>
      </c>
      <c r="U349" s="104">
        <f>+VLOOKUP(PROVEEDORES[[#This Row],[PROVEEDOR]],Terceros!$A:$D,4,FALSE)</f>
        <v>0</v>
      </c>
      <c r="V349" s="105">
        <f>+YEAR(PROVEEDORES[[#This Row],[FECHA DE FACTURACIÓN]])</f>
        <v>2022</v>
      </c>
      <c r="W349" s="105">
        <f>+MATCH(PROVEEDORES[[#This Row],[año facturado]],Retenciones!$1:$1,0)</f>
        <v>5</v>
      </c>
      <c r="X349" s="106">
        <f>+VLOOKUP(PROVEEDORES[[#This Row],[ID RETENCION]],Retenciones!$A$1:$O$25,PROVEEDORES[[#This Row],[indicador de columna]],FALSE)</f>
        <v>0</v>
      </c>
      <c r="Y349" s="107">
        <f>+VLOOKUP(PROVEEDORES[[#This Row],[ID RETENCION]],Retenciones!$A$1:$O$25,2,FALSE)</f>
        <v>0</v>
      </c>
      <c r="Z349" s="116" t="b">
        <f>OR(COUNTIF(PROVEEDORES[[#This Row],[PROVEEDOR]],"*"&amp;'Palabra no opera'!$A$2&amp;"*"))</f>
        <v>1</v>
      </c>
    </row>
    <row r="350" spans="1:26" ht="22.35" customHeight="1" x14ac:dyDescent="0.3">
      <c r="A350" s="122" t="str">
        <f>+IF(PROVEEDORES[[#This Row],[FECHA DE PAGO]]=PROVEEDORES[[#This Row],[FECHA DE FACTURACIÓN]],"DE CONTADO","CRÉDITO")</f>
        <v>CRÉDITO</v>
      </c>
      <c r="B350" s="38" t="b">
        <f>+IF((PROVEEDORES[[#This Row],[FECHA DE PAGO]]-PROVEEDORES[[#This Row],[FECHA DE FACTURACIÓN]])&gt;PROVEEDORES[[#This Row],[PLAZO Días]],"PAGO VENCIDO")</f>
        <v>0</v>
      </c>
      <c r="C350" s="20">
        <f>+VLOOKUP(PROVEEDORES[[#This Row],[PROVEEDOR]],TERCEROS_INFO[#All],2,FALSE)</f>
        <v>30</v>
      </c>
      <c r="D350" s="25">
        <f>+SUMIFS(PROVEEDORES[Total],PROVEEDORES[PROVEEDOR],PROVEEDORES[[#This Row],[PROVEEDOR]],PROVEEDORES[FECHA DE PAGO],"")</f>
        <v>0</v>
      </c>
      <c r="E350" s="25"/>
      <c r="F35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50" s="68">
        <v>44691</v>
      </c>
      <c r="H350" s="26" t="s">
        <v>637</v>
      </c>
      <c r="I350" s="68">
        <v>44682</v>
      </c>
      <c r="J350" s="35" t="s">
        <v>220</v>
      </c>
      <c r="K350" s="21">
        <v>68166</v>
      </c>
      <c r="L350" s="21"/>
      <c r="M350" s="22">
        <f>(PROVEEDORES[[#This Row],[SUBTOTAL]]-PROVEEDORES[[#This Row],[descuento sobre subtotal]])*VLOOKUP(PROVEEDORES[[#This Row],[PROVEEDOR]],TERCEROS_INFO[#All],3,FALSE)</f>
        <v>0</v>
      </c>
      <c r="N350" s="23"/>
      <c r="O350" s="22">
        <f>+PROVEEDORES[[#This Row],[Descuento sobre subtotal %]]*(PROVEEDORES[[#This Row],[SUBTOTAL]]-PROVEEDORES[[#This Row],[descuento sobre subtotal]])</f>
        <v>0</v>
      </c>
      <c r="P350" s="74">
        <f>+IF(PROVEEDORES[[#This Row],[SUBTOTAL]]&lt;PROVEEDORES[[#This Row],[base retencion]],0,PROVEEDORES[[#This Row],[retención aplicada]])</f>
        <v>0</v>
      </c>
      <c r="Q350" s="22">
        <f>+PROVEEDORES[[#This Row],[Rete Fuente %]]*(PROVEEDORES[[#This Row],[SUBTOTAL]]-PROVEEDORES[[#This Row],[descuento sobre subtotal]])</f>
        <v>0</v>
      </c>
      <c r="R350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350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63">
        <f ca="1">IF(PROVEEDORES[[#This Row],[FECHA DE PAGO]]=0,TODAY()-PROVEEDORES[[#This Row],[FECHA DE FACTURACIÓN]]-PROVEEDORES[[#This Row],[PLAZO Días]],0)</f>
        <v>0</v>
      </c>
      <c r="U350" s="104">
        <f>+VLOOKUP(PROVEEDORES[[#This Row],[PROVEEDOR]],Terceros!$A:$D,4,FALSE)</f>
        <v>0</v>
      </c>
      <c r="V350" s="105">
        <f>+YEAR(PROVEEDORES[[#This Row],[FECHA DE FACTURACIÓN]])</f>
        <v>2022</v>
      </c>
      <c r="W350" s="105">
        <f>+MATCH(PROVEEDORES[[#This Row],[año facturado]],Retenciones!$1:$1,0)</f>
        <v>5</v>
      </c>
      <c r="X350" s="106">
        <f>+VLOOKUP(PROVEEDORES[[#This Row],[ID RETENCION]],Retenciones!$A$1:$O$25,PROVEEDORES[[#This Row],[indicador de columna]],FALSE)</f>
        <v>0</v>
      </c>
      <c r="Y350" s="107">
        <f>+VLOOKUP(PROVEEDORES[[#This Row],[ID RETENCION]],Retenciones!$A$1:$O$25,2,FALSE)</f>
        <v>0</v>
      </c>
      <c r="Z350" s="116" t="b">
        <f>OR(COUNTIF(PROVEEDORES[[#This Row],[PROVEEDOR]],"*"&amp;'Palabra no opera'!$A$2&amp;"*"))</f>
        <v>1</v>
      </c>
    </row>
    <row r="351" spans="1:26" ht="22.35" customHeight="1" x14ac:dyDescent="0.3">
      <c r="A351" s="122" t="str">
        <f>+IF(PROVEEDORES[[#This Row],[FECHA DE PAGO]]=PROVEEDORES[[#This Row],[FECHA DE FACTURACIÓN]],"DE CONTADO","CRÉDITO")</f>
        <v>CRÉDITO</v>
      </c>
      <c r="B351" s="38" t="b">
        <f>+IF((PROVEEDORES[[#This Row],[FECHA DE PAGO]]-PROVEEDORES[[#This Row],[FECHA DE FACTURACIÓN]])&gt;PROVEEDORES[[#This Row],[PLAZO Días]],"PAGO VENCIDO")</f>
        <v>0</v>
      </c>
      <c r="C351" s="20">
        <f>+VLOOKUP(PROVEEDORES[[#This Row],[PROVEEDOR]],TERCEROS_INFO[#All],2,FALSE)</f>
        <v>30</v>
      </c>
      <c r="D351" s="25">
        <f>+SUMIFS(PROVEEDORES[Total],PROVEEDORES[PROVEEDOR],PROVEEDORES[[#This Row],[PROVEEDOR]],PROVEEDORES[FECHA DE PAGO],"")</f>
        <v>0</v>
      </c>
      <c r="E351" s="25"/>
      <c r="F35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51" s="68">
        <v>44691</v>
      </c>
      <c r="H351" s="26" t="s">
        <v>637</v>
      </c>
      <c r="I351" s="68">
        <v>44682</v>
      </c>
      <c r="J351" s="35" t="s">
        <v>220</v>
      </c>
      <c r="K351" s="21">
        <v>818874</v>
      </c>
      <c r="L351" s="21"/>
      <c r="M351" s="22">
        <f>(PROVEEDORES[[#This Row],[SUBTOTAL]]-PROVEEDORES[[#This Row],[descuento sobre subtotal]])*VLOOKUP(PROVEEDORES[[#This Row],[PROVEEDOR]],TERCEROS_INFO[#All],3,FALSE)</f>
        <v>0</v>
      </c>
      <c r="N351" s="23"/>
      <c r="O351" s="22">
        <f>+PROVEEDORES[[#This Row],[Descuento sobre subtotal %]]*(PROVEEDORES[[#This Row],[SUBTOTAL]]-PROVEEDORES[[#This Row],[descuento sobre subtotal]])</f>
        <v>0</v>
      </c>
      <c r="P351" s="74">
        <f>+IF(PROVEEDORES[[#This Row],[SUBTOTAL]]&lt;PROVEEDORES[[#This Row],[base retencion]],0,PROVEEDORES[[#This Row],[retención aplicada]])</f>
        <v>0</v>
      </c>
      <c r="Q351" s="22">
        <f>+PROVEEDORES[[#This Row],[Rete Fuente %]]*(PROVEEDORES[[#This Row],[SUBTOTAL]]-PROVEEDORES[[#This Row],[descuento sobre subtotal]])</f>
        <v>0</v>
      </c>
      <c r="R351" s="21">
        <f>+PROVEEDORES[[#This Row],[SUBTOTAL]]+PROVEEDORES[[#This Row],[IVA 19%]]-PROVEEDORES[[#This Row],[descuento sobre subtotal]]-PROVEEDORES[[#This Row],[Descuento sobre subtotal $2]]-PROVEEDORES[[#This Row],[Rete Fuente $]]</f>
        <v>818874</v>
      </c>
      <c r="S351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63">
        <f ca="1">IF(PROVEEDORES[[#This Row],[FECHA DE PAGO]]=0,TODAY()-PROVEEDORES[[#This Row],[FECHA DE FACTURACIÓN]]-PROVEEDORES[[#This Row],[PLAZO Días]],0)</f>
        <v>0</v>
      </c>
      <c r="U351" s="104">
        <f>+VLOOKUP(PROVEEDORES[[#This Row],[PROVEEDOR]],Terceros!$A:$D,4,FALSE)</f>
        <v>0</v>
      </c>
      <c r="V351" s="105">
        <f>+YEAR(PROVEEDORES[[#This Row],[FECHA DE FACTURACIÓN]])</f>
        <v>2022</v>
      </c>
      <c r="W351" s="105">
        <f>+MATCH(PROVEEDORES[[#This Row],[año facturado]],Retenciones!$1:$1,0)</f>
        <v>5</v>
      </c>
      <c r="X351" s="106">
        <f>+VLOOKUP(PROVEEDORES[[#This Row],[ID RETENCION]],Retenciones!$A$1:$O$25,PROVEEDORES[[#This Row],[indicador de columna]],FALSE)</f>
        <v>0</v>
      </c>
      <c r="Y351" s="107">
        <f>+VLOOKUP(PROVEEDORES[[#This Row],[ID RETENCION]],Retenciones!$A$1:$O$25,2,FALSE)</f>
        <v>0</v>
      </c>
      <c r="Z351" s="116" t="b">
        <f>OR(COUNTIF(PROVEEDORES[[#This Row],[PROVEEDOR]],"*"&amp;'Palabra no opera'!$A$2&amp;"*"))</f>
        <v>1</v>
      </c>
    </row>
    <row r="352" spans="1:26" ht="22.35" customHeight="1" x14ac:dyDescent="0.3">
      <c r="A352" s="122" t="str">
        <f>+IF(PROVEEDORES[[#This Row],[FECHA DE PAGO]]=PROVEEDORES[[#This Row],[FECHA DE FACTURACIÓN]],"DE CONTADO","CRÉDITO")</f>
        <v>CRÉDITO</v>
      </c>
      <c r="B352" s="38" t="b">
        <f>+IF((PROVEEDORES[[#This Row],[FECHA DE PAGO]]-PROVEEDORES[[#This Row],[FECHA DE FACTURACIÓN]])&gt;PROVEEDORES[[#This Row],[PLAZO Días]],"PAGO VENCIDO")</f>
        <v>0</v>
      </c>
      <c r="C352" s="20">
        <f>+VLOOKUP(PROVEEDORES[[#This Row],[PROVEEDOR]],TERCEROS_INFO[#All],2,FALSE)</f>
        <v>30</v>
      </c>
      <c r="D352" s="25">
        <f>+SUMIFS(PROVEEDORES[Total],PROVEEDORES[PROVEEDOR],PROVEEDORES[[#This Row],[PROVEEDOR]],PROVEEDORES[FECHA DE PAGO],"")</f>
        <v>0</v>
      </c>
      <c r="E352" s="25"/>
      <c r="F35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52" s="68">
        <v>44691</v>
      </c>
      <c r="H352" s="26" t="s">
        <v>637</v>
      </c>
      <c r="I352" s="68">
        <v>44682</v>
      </c>
      <c r="J352" s="35" t="s">
        <v>219</v>
      </c>
      <c r="K352" s="21">
        <v>825349</v>
      </c>
      <c r="L352" s="21"/>
      <c r="M352" s="22">
        <f>(PROVEEDORES[[#This Row],[SUBTOTAL]]-PROVEEDORES[[#This Row],[descuento sobre subtotal]])*VLOOKUP(PROVEEDORES[[#This Row],[PROVEEDOR]],TERCEROS_INFO[#All],3,FALSE)</f>
        <v>0</v>
      </c>
      <c r="N352" s="23"/>
      <c r="O352" s="22">
        <f>+PROVEEDORES[[#This Row],[Descuento sobre subtotal %]]*(PROVEEDORES[[#This Row],[SUBTOTAL]]-PROVEEDORES[[#This Row],[descuento sobre subtotal]])</f>
        <v>0</v>
      </c>
      <c r="P352" s="74">
        <f>+IF(PROVEEDORES[[#This Row],[SUBTOTAL]]&lt;PROVEEDORES[[#This Row],[base retencion]],0,PROVEEDORES[[#This Row],[retención aplicada]])</f>
        <v>0</v>
      </c>
      <c r="Q352" s="22">
        <f>+PROVEEDORES[[#This Row],[Rete Fuente %]]*(PROVEEDORES[[#This Row],[SUBTOTAL]]-PROVEEDORES[[#This Row],[descuento sobre subtotal]])</f>
        <v>0</v>
      </c>
      <c r="R352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352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63">
        <f ca="1">IF(PROVEEDORES[[#This Row],[FECHA DE PAGO]]=0,TODAY()-PROVEEDORES[[#This Row],[FECHA DE FACTURACIÓN]]-PROVEEDORES[[#This Row],[PLAZO Días]],0)</f>
        <v>0</v>
      </c>
      <c r="U352" s="104">
        <f>+VLOOKUP(PROVEEDORES[[#This Row],[PROVEEDOR]],Terceros!$A:$D,4,FALSE)</f>
        <v>0</v>
      </c>
      <c r="V352" s="105">
        <f>+YEAR(PROVEEDORES[[#This Row],[FECHA DE FACTURACIÓN]])</f>
        <v>2022</v>
      </c>
      <c r="W352" s="105">
        <f>+MATCH(PROVEEDORES[[#This Row],[año facturado]],Retenciones!$1:$1,0)</f>
        <v>5</v>
      </c>
      <c r="X352" s="106">
        <f>+VLOOKUP(PROVEEDORES[[#This Row],[ID RETENCION]],Retenciones!$A$1:$O$25,PROVEEDORES[[#This Row],[indicador de columna]],FALSE)</f>
        <v>0</v>
      </c>
      <c r="Y352" s="107">
        <f>+VLOOKUP(PROVEEDORES[[#This Row],[ID RETENCION]],Retenciones!$A$1:$O$25,2,FALSE)</f>
        <v>0</v>
      </c>
      <c r="Z352" s="116" t="b">
        <f>OR(COUNTIF(PROVEEDORES[[#This Row],[PROVEEDOR]],"*"&amp;'Palabra no opera'!$A$2&amp;"*"))</f>
        <v>1</v>
      </c>
    </row>
    <row r="353" spans="1:26" ht="22.35" customHeight="1" x14ac:dyDescent="0.3">
      <c r="A353" s="114" t="str">
        <f>+IF(PROVEEDORES[[#This Row],[FECHA DE PAGO]]=PROVEEDORES[[#This Row],[FECHA DE FACTURACIÓN]],"DE CONTADO","CRÉDITO")</f>
        <v>CRÉDITO</v>
      </c>
      <c r="B353" s="38" t="b">
        <f>+IF((PROVEEDORES[[#This Row],[FECHA DE PAGO]]-PROVEEDORES[[#This Row],[FECHA DE FACTURACIÓN]])&gt;PROVEEDORES[[#This Row],[PLAZO Días]],"PAGO VENCIDO")</f>
        <v>0</v>
      </c>
      <c r="C353" s="20">
        <v>12</v>
      </c>
      <c r="D353" s="25">
        <f>+SUMIFS(PROVEEDORES[Total],PROVEEDORES[PROVEEDOR],PROVEEDORES[[#This Row],[PROVEEDOR]],PROVEEDORES[FECHA DE PAGO],"")</f>
        <v>0</v>
      </c>
      <c r="E353" s="25"/>
      <c r="F353" s="56">
        <f>+VLOOKUP(PROVEEDORES[[#This Row],[PROVEEDOR]],
                       Terceros!$A:$F,
                       5,
                       FALSE)</f>
        <v>0</v>
      </c>
      <c r="G353" s="68">
        <v>44691</v>
      </c>
      <c r="H353" s="26" t="s">
        <v>641</v>
      </c>
      <c r="I353" s="68">
        <v>44682</v>
      </c>
      <c r="J353" s="35" t="s">
        <v>904</v>
      </c>
      <c r="K353" s="21">
        <v>6445820</v>
      </c>
      <c r="L353" s="21"/>
      <c r="M353" s="22">
        <f>(PROVEEDORES[[#This Row],[SUBTOTAL]]-PROVEEDORES[[#This Row],[descuento sobre subtotal]])*VLOOKUP(PROVEEDORES[[#This Row],[PROVEEDOR]],TERCEROS_INFO[#All],3,FALSE)</f>
        <v>1224705.8</v>
      </c>
      <c r="N353" s="23"/>
      <c r="O353" s="22">
        <f>+PROVEEDORES[[#This Row],[Descuento sobre subtotal %]]*(PROVEEDORES[[#This Row],[SUBTOTAL]]-PROVEEDORES[[#This Row],[descuento sobre subtotal]])</f>
        <v>0</v>
      </c>
      <c r="P353" s="74">
        <f>+IF(PROVEEDORES[[#This Row],[SUBTOTAL]]&lt;PROVEEDORES[[#This Row],[base retencion]],0,PROVEEDORES[[#This Row],[retención aplicada]])</f>
        <v>3.5000000000000003E-2</v>
      </c>
      <c r="Q353" s="22">
        <f>+PROVEEDORES[[#This Row],[Rete Fuente %]]*(PROVEEDORES[[#This Row],[SUBTOTAL]]-PROVEEDORES[[#This Row],[descuento sobre subtotal]])</f>
        <v>225603.7</v>
      </c>
      <c r="R353" s="21">
        <f>+PROVEEDORES[[#This Row],[SUBTOTAL]]+PROVEEDORES[[#This Row],[IVA 19%]]-PROVEEDORES[[#This Row],[descuento sobre subtotal]]-PROVEEDORES[[#This Row],[Descuento sobre subtotal $2]]-PROVEEDORES[[#This Row],[Rete Fuente $]]</f>
        <v>7444922.0999999996</v>
      </c>
      <c r="S353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63">
        <f ca="1">IF(PROVEEDORES[[#This Row],[FECHA DE PAGO]]=0,TODAY()-PROVEEDORES[[#This Row],[FECHA DE FACTURACIÓN]]-PROVEEDORES[[#This Row],[PLAZO Días]],0)</f>
        <v>0</v>
      </c>
      <c r="U353" s="104" t="str">
        <f>+VLOOKUP(PROVEEDORES[[#This Row],[PROVEEDOR]],Terceros!$A:$D,4,FALSE)</f>
        <v>3,5% sin base</v>
      </c>
      <c r="V353" s="105">
        <f>+YEAR(PROVEEDORES[[#This Row],[FECHA DE FACTURACIÓN]])</f>
        <v>2022</v>
      </c>
      <c r="W353" s="105">
        <f>+MATCH(PROVEEDORES[[#This Row],[año facturado]],Retenciones!$1:$1,0)</f>
        <v>5</v>
      </c>
      <c r="X353" s="106">
        <f>+VLOOKUP(PROVEEDORES[[#This Row],[ID RETENCION]],Retenciones!$A$1:$O$25,PROVEEDORES[[#This Row],[indicador de columna]],FALSE)</f>
        <v>0</v>
      </c>
      <c r="Y353" s="107">
        <f>+VLOOKUP(PROVEEDORES[[#This Row],[ID RETENCION]],Retenciones!$A$1:$O$25,2,FALSE)</f>
        <v>3.5000000000000003E-2</v>
      </c>
      <c r="Z353" s="116" t="b">
        <f>OR(COUNTIF(PROVEEDORES[[#This Row],[PROVEEDOR]],"*"&amp;'Palabra no opera'!$A$2&amp;"*"))</f>
        <v>1</v>
      </c>
    </row>
    <row r="354" spans="1:26" ht="22.35" customHeight="1" x14ac:dyDescent="0.3">
      <c r="A354" s="114" t="str">
        <f>+IF(PROVEEDORES[[#This Row],[FECHA DE PAGO]]=PROVEEDORES[[#This Row],[FECHA DE FACTURACIÓN]],"DE CONTADO","CRÉDITO")</f>
        <v>CRÉDITO</v>
      </c>
      <c r="B354" s="38" t="b">
        <f>+IF((PROVEEDORES[[#This Row],[FECHA DE PAGO]]-PROVEEDORES[[#This Row],[FECHA DE FACTURACIÓN]])&gt;PROVEEDORES[[#This Row],[PLAZO Días]],"PAGO VENCIDO")</f>
        <v>0</v>
      </c>
      <c r="C354" s="20">
        <f>+VLOOKUP(PROVEEDORES[[#This Row],[PROVEEDOR]],TERCEROS_INFO[#All],2,FALSE)</f>
        <v>30</v>
      </c>
      <c r="D354" s="25">
        <f>+SUMIFS(PROVEEDORES[Total],PROVEEDORES[PROVEEDOR],PROVEEDORES[[#This Row],[PROVEEDOR]],PROVEEDORES[FECHA DE PAGO],"")</f>
        <v>0</v>
      </c>
      <c r="E354" s="25"/>
      <c r="F354" s="56">
        <f>+VLOOKUP(PROVEEDORES[[#This Row],[PROVEEDOR]],
                       Terceros!$A:$F,
                       5,
                       FALSE)</f>
        <v>0</v>
      </c>
      <c r="G354" s="68">
        <v>44691</v>
      </c>
      <c r="H354" s="26" t="s">
        <v>642</v>
      </c>
      <c r="I354" s="68">
        <v>44682</v>
      </c>
      <c r="J354" s="35" t="s">
        <v>217</v>
      </c>
      <c r="K354" s="21">
        <v>414178</v>
      </c>
      <c r="L354" s="21"/>
      <c r="M354" s="22">
        <f>(PROVEEDORES[[#This Row],[SUBTOTAL]]-PROVEEDORES[[#This Row],[descuento sobre subtotal]])*VLOOKUP(PROVEEDORES[[#This Row],[PROVEEDOR]],TERCEROS_INFO[#All],3,FALSE)</f>
        <v>0</v>
      </c>
      <c r="N354" s="23"/>
      <c r="O354" s="22">
        <f>+PROVEEDORES[[#This Row],[Descuento sobre subtotal %]]*(PROVEEDORES[[#This Row],[SUBTOTAL]]-PROVEEDORES[[#This Row],[descuento sobre subtotal]])</f>
        <v>0</v>
      </c>
      <c r="P354" s="74">
        <f>+IF(PROVEEDORES[[#This Row],[SUBTOTAL]]&lt;PROVEEDORES[[#This Row],[base retencion]],0,PROVEEDORES[[#This Row],[retención aplicada]])</f>
        <v>0</v>
      </c>
      <c r="Q354" s="22">
        <f>+PROVEEDORES[[#This Row],[Rete Fuente %]]*(PROVEEDORES[[#This Row],[SUBTOTAL]]-PROVEEDORES[[#This Row],[descuento sobre subtotal]])</f>
        <v>0</v>
      </c>
      <c r="R354" s="21">
        <f>+PROVEEDORES[[#This Row],[SUBTOTAL]]+PROVEEDORES[[#This Row],[IVA 19%]]-PROVEEDORES[[#This Row],[descuento sobre subtotal]]-PROVEEDORES[[#This Row],[Descuento sobre subtotal $2]]-PROVEEDORES[[#This Row],[Rete Fuente $]]</f>
        <v>414178</v>
      </c>
      <c r="S354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63">
        <f ca="1">IF(PROVEEDORES[[#This Row],[FECHA DE PAGO]]=0,TODAY()-PROVEEDORES[[#This Row],[FECHA DE FACTURACIÓN]]-PROVEEDORES[[#This Row],[PLAZO Días]],0)</f>
        <v>0</v>
      </c>
      <c r="U354" s="104">
        <f>+VLOOKUP(PROVEEDORES[[#This Row],[PROVEEDOR]],Terceros!$A:$D,4,FALSE)</f>
        <v>0</v>
      </c>
      <c r="V354" s="105">
        <f>+YEAR(PROVEEDORES[[#This Row],[FECHA DE FACTURACIÓN]])</f>
        <v>2022</v>
      </c>
      <c r="W354" s="105">
        <f>+MATCH(PROVEEDORES[[#This Row],[año facturado]],Retenciones!$1:$1,0)</f>
        <v>5</v>
      </c>
      <c r="X354" s="106">
        <f>+VLOOKUP(PROVEEDORES[[#This Row],[ID RETENCION]],Retenciones!$A$1:$O$25,PROVEEDORES[[#This Row],[indicador de columna]],FALSE)</f>
        <v>0</v>
      </c>
      <c r="Y354" s="107">
        <f>+VLOOKUP(PROVEEDORES[[#This Row],[ID RETENCION]],Retenciones!$A$1:$O$25,2,FALSE)</f>
        <v>0</v>
      </c>
      <c r="Z354" s="116" t="b">
        <f>OR(COUNTIF(PROVEEDORES[[#This Row],[PROVEEDOR]],"*"&amp;'Palabra no opera'!$A$2&amp;"*"))</f>
        <v>1</v>
      </c>
    </row>
    <row r="355" spans="1:26" ht="22.35" customHeight="1" x14ac:dyDescent="0.3">
      <c r="A355" s="67" t="str">
        <f>+IF(PROVEEDORES[[#This Row],[FECHA DE PAGO]]=PROVEEDORES[[#This Row],[FECHA DE FACTURACIÓN]],"DE CONTADO","CRÉDITO")</f>
        <v>CRÉDITO</v>
      </c>
      <c r="B355" s="38" t="b">
        <f>+IF((PROVEEDORES[[#This Row],[FECHA DE PAGO]]-PROVEEDORES[[#This Row],[FECHA DE FACTURACIÓN]])&gt;PROVEEDORES[[#This Row],[PLAZO Días]],"PAGO VENCIDO")</f>
        <v>0</v>
      </c>
      <c r="C355" s="20">
        <f>+VLOOKUP(PROVEEDORES[[#This Row],[PROVEEDOR]],TERCEROS_INFO[#All],2,FALSE)</f>
        <v>13</v>
      </c>
      <c r="D355" s="25">
        <f>+SUMIFS(PROVEEDORES[Total],PROVEEDORES[PROVEEDOR],PROVEEDORES[[#This Row],[PROVEEDOR]],PROVEEDORES[FECHA DE PAGO],"")</f>
        <v>0</v>
      </c>
      <c r="E355" s="25"/>
      <c r="F355" s="56">
        <f>+VLOOKUP(PROVEEDORES[[#This Row],[PROVEEDOR]],
                       Terceros!$A:$F,
                       5,
                       FALSE)</f>
        <v>0</v>
      </c>
      <c r="G355" s="68">
        <v>44691</v>
      </c>
      <c r="H355" s="26" t="s">
        <v>644</v>
      </c>
      <c r="I355" s="68">
        <v>44682</v>
      </c>
      <c r="J355" s="35"/>
      <c r="K355" s="21">
        <v>948924</v>
      </c>
      <c r="L355" s="21"/>
      <c r="M355" s="22">
        <f>(PROVEEDORES[[#This Row],[SUBTOTAL]]-PROVEEDORES[[#This Row],[descuento sobre subtotal]])*VLOOKUP(PROVEEDORES[[#This Row],[PROVEEDOR]],TERCEROS_INFO[#All],3,FALSE)</f>
        <v>0</v>
      </c>
      <c r="N355" s="23"/>
      <c r="O355" s="22">
        <f>+PROVEEDORES[[#This Row],[Descuento sobre subtotal %]]*(PROVEEDORES[[#This Row],[SUBTOTAL]]-PROVEEDORES[[#This Row],[descuento sobre subtotal]])</f>
        <v>0</v>
      </c>
      <c r="P355" s="74">
        <f>+IF(PROVEEDORES[[#This Row],[SUBTOTAL]]&lt;PROVEEDORES[[#This Row],[base retencion]],0,PROVEEDORES[[#This Row],[retención aplicada]])</f>
        <v>0</v>
      </c>
      <c r="Q355" s="22">
        <f>+PROVEEDORES[[#This Row],[Rete Fuente %]]*(PROVEEDORES[[#This Row],[SUBTOTAL]]-PROVEEDORES[[#This Row],[descuento sobre subtotal]])</f>
        <v>0</v>
      </c>
      <c r="R355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35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63">
        <f ca="1">IF(PROVEEDORES[[#This Row],[FECHA DE PAGO]]=0,TODAY()-PROVEEDORES[[#This Row],[FECHA DE FACTURACIÓN]]-PROVEEDORES[[#This Row],[PLAZO Días]],0)</f>
        <v>0</v>
      </c>
      <c r="U355" s="104">
        <f>+VLOOKUP(PROVEEDORES[[#This Row],[PROVEEDOR]],Terceros!$A:$D,4,FALSE)</f>
        <v>0</v>
      </c>
      <c r="V355" s="105">
        <f>+YEAR(PROVEEDORES[[#This Row],[FECHA DE FACTURACIÓN]])</f>
        <v>2022</v>
      </c>
      <c r="W355" s="105">
        <f>+MATCH(PROVEEDORES[[#This Row],[año facturado]],Retenciones!$1:$1,0)</f>
        <v>5</v>
      </c>
      <c r="X355" s="106">
        <f>+VLOOKUP(PROVEEDORES[[#This Row],[ID RETENCION]],Retenciones!$A$1:$O$25,PROVEEDORES[[#This Row],[indicador de columna]],FALSE)</f>
        <v>0</v>
      </c>
      <c r="Y355" s="107">
        <f>+VLOOKUP(PROVEEDORES[[#This Row],[ID RETENCION]],Retenciones!$A$1:$O$25,2,FALSE)</f>
        <v>0</v>
      </c>
      <c r="Z355" s="116" t="b">
        <f>OR(COUNTIF(PROVEEDORES[[#This Row],[PROVEEDOR]],"*"&amp;'Palabra no opera'!$A$2&amp;"*"))</f>
        <v>1</v>
      </c>
    </row>
    <row r="356" spans="1:26" ht="22.35" customHeight="1" x14ac:dyDescent="0.3">
      <c r="A356" s="61" t="str">
        <f>+IF(PROVEEDORES[[#This Row],[FECHA DE PAGO]]=PROVEEDORES[[#This Row],[FECHA DE FACTURACIÓN]],"DE CONTADO","CRÉDITO")</f>
        <v>CRÉDITO</v>
      </c>
      <c r="B356" s="38" t="b">
        <f>+IF((PROVEEDORES[[#This Row],[FECHA DE PAGO]]-PROVEEDORES[[#This Row],[FECHA DE FACTURACIÓN]])&gt;PROVEEDORES[[#This Row],[PLAZO Días]],"PAGO VENCIDO")</f>
        <v>0</v>
      </c>
      <c r="C356" s="20">
        <f>+VLOOKUP(PROVEEDORES[[#This Row],[PROVEEDOR]],TERCEROS_INFO[#All],2,FALSE)</f>
        <v>30</v>
      </c>
      <c r="D356" s="25">
        <f>+SUMIFS(PROVEEDORES[Total],PROVEEDORES[PROVEEDOR],PROVEEDORES[[#This Row],[PROVEEDOR]],PROVEEDORES[FECHA DE PAGO],"")</f>
        <v>0</v>
      </c>
      <c r="E356" s="25"/>
      <c r="F356" s="56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356" s="68">
        <v>44693</v>
      </c>
      <c r="H356" s="26" t="s">
        <v>573</v>
      </c>
      <c r="I356" s="68">
        <v>44663</v>
      </c>
      <c r="J356" s="35" t="s">
        <v>575</v>
      </c>
      <c r="K356" s="21">
        <v>1013201</v>
      </c>
      <c r="L356" s="21"/>
      <c r="M356" s="22">
        <f>(PROVEEDORES[[#This Row],[SUBTOTAL]]-PROVEEDORES[[#This Row],[descuento sobre subtotal]])*VLOOKUP(PROVEEDORES[[#This Row],[PROVEEDOR]],TERCEROS_INFO[#All],3,FALSE)</f>
        <v>192508.19</v>
      </c>
      <c r="N356" s="23"/>
      <c r="O356" s="22">
        <f>+PROVEEDORES[[#This Row],[Descuento sobre subtotal %]]*(PROVEEDORES[[#This Row],[SUBTOTAL]]-PROVEEDORES[[#This Row],[descuento sobre subtotal]])</f>
        <v>0</v>
      </c>
      <c r="P356" s="74">
        <f>+IF(PROVEEDORES[[#This Row],[SUBTOTAL]]&lt;PROVEEDORES[[#This Row],[base retencion]],0,PROVEEDORES[[#This Row],[retención aplicada]])</f>
        <v>0</v>
      </c>
      <c r="Q356" s="22">
        <f>+PROVEEDORES[[#This Row],[Rete Fuente %]]*(PROVEEDORES[[#This Row],[SUBTOTAL]]-PROVEEDORES[[#This Row],[descuento sobre subtotal]])</f>
        <v>0</v>
      </c>
      <c r="R356" s="21">
        <f>+PROVEEDORES[[#This Row],[SUBTOTAL]]+PROVEEDORES[[#This Row],[IVA 19%]]-PROVEEDORES[[#This Row],[descuento sobre subtotal]]-PROVEEDORES[[#This Row],[Descuento sobre subtotal $2]]-PROVEEDORES[[#This Row],[Rete Fuente $]]</f>
        <v>1205709.19</v>
      </c>
      <c r="S356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63">
        <f ca="1">IF(PROVEEDORES[[#This Row],[FECHA DE PAGO]]=0,TODAY()-PROVEEDORES[[#This Row],[FECHA DE FACTURACIÓN]]-PROVEEDORES[[#This Row],[PLAZO Días]],0)</f>
        <v>0</v>
      </c>
      <c r="U356" s="87">
        <f>+VLOOKUP(PROVEEDORES[[#This Row],[PROVEEDOR]],Terceros!$A:$D,4,FALSE)</f>
        <v>0</v>
      </c>
      <c r="V356" s="88">
        <f>+YEAR(PROVEEDORES[[#This Row],[FECHA DE FACTURACIÓN]])</f>
        <v>2022</v>
      </c>
      <c r="W356" s="88">
        <f>+MATCH(PROVEEDORES[[#This Row],[año facturado]],Retenciones!$1:$1,0)</f>
        <v>5</v>
      </c>
      <c r="X356" s="89">
        <f>+VLOOKUP(PROVEEDORES[[#This Row],[ID RETENCION]],Retenciones!$A$1:$O$25,PROVEEDORES[[#This Row],[indicador de columna]],FALSE)</f>
        <v>0</v>
      </c>
      <c r="Y356" s="90">
        <f>+VLOOKUP(PROVEEDORES[[#This Row],[ID RETENCION]],Retenciones!$A$1:$O$25,2,FALSE)</f>
        <v>0</v>
      </c>
      <c r="Z356" s="116" t="b">
        <f>OR(COUNTIF(PROVEEDORES[[#This Row],[PROVEEDOR]],"*"&amp;'Palabra no opera'!$A$2&amp;"*"))</f>
        <v>0</v>
      </c>
    </row>
    <row r="357" spans="1:26" ht="22.35" customHeight="1" x14ac:dyDescent="0.3">
      <c r="A357" s="67" t="str">
        <f>+IF(PROVEEDORES[[#This Row],[FECHA DE PAGO]]=PROVEEDORES[[#This Row],[FECHA DE FACTURACIÓN]],"DE CONTADO","CRÉDITO")</f>
        <v>CRÉDITO</v>
      </c>
      <c r="B357" s="38" t="str">
        <f>+IF((PROVEEDORES[[#This Row],[FECHA DE PAGO]]-PROVEEDORES[[#This Row],[FECHA DE FACTURACIÓN]])&gt;PROVEEDORES[[#This Row],[PLAZO Días]],"PAGO VENCIDO")</f>
        <v>PAGO VENCIDO</v>
      </c>
      <c r="C357" s="20">
        <f>+VLOOKUP(PROVEEDORES[[#This Row],[PROVEEDOR]],TERCEROS_INFO[#All],2,FALSE)</f>
        <v>30</v>
      </c>
      <c r="D357" s="25">
        <f>+SUMIFS(PROVEEDORES[Total],PROVEEDORES[PROVEEDOR],PROVEEDORES[[#This Row],[PROVEEDOR]],PROVEEDORES[FECHA DE PAGO],"")</f>
        <v>0</v>
      </c>
      <c r="E357" s="25"/>
      <c r="F357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57" s="68">
        <v>44693</v>
      </c>
      <c r="H357" s="26" t="s">
        <v>635</v>
      </c>
      <c r="I357" s="68">
        <v>44652</v>
      </c>
      <c r="J357" s="35">
        <v>2784</v>
      </c>
      <c r="K357" s="21">
        <v>3002200</v>
      </c>
      <c r="L357" s="21"/>
      <c r="M357" s="22">
        <f>(PROVEEDORES[[#This Row],[SUBTOTAL]]-PROVEEDORES[[#This Row],[descuento sobre subtotal]])*VLOOKUP(PROVEEDORES[[#This Row],[PROVEEDOR]],TERCEROS_INFO[#All],3,FALSE)</f>
        <v>0</v>
      </c>
      <c r="N357" s="23"/>
      <c r="O357" s="22">
        <f>+PROVEEDORES[[#This Row],[Descuento sobre subtotal %]]*(PROVEEDORES[[#This Row],[SUBTOTAL]]-PROVEEDORES[[#This Row],[descuento sobre subtotal]])</f>
        <v>0</v>
      </c>
      <c r="P357" s="74">
        <f>+IF(PROVEEDORES[[#This Row],[SUBTOTAL]]&lt;PROVEEDORES[[#This Row],[base retencion]],0,PROVEEDORES[[#This Row],[retención aplicada]])</f>
        <v>3.5000000000000003E-2</v>
      </c>
      <c r="Q357" s="22">
        <f>+PROVEEDORES[[#This Row],[Rete Fuente %]]*(PROVEEDORES[[#This Row],[SUBTOTAL]]-PROVEEDORES[[#This Row],[descuento sobre subtotal]])</f>
        <v>105077.00000000001</v>
      </c>
      <c r="R357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3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63">
        <f ca="1">IF(PROVEEDORES[[#This Row],[FECHA DE PAGO]]=0,TODAY()-PROVEEDORES[[#This Row],[FECHA DE FACTURACIÓN]]-PROVEEDORES[[#This Row],[PLAZO Días]],0)</f>
        <v>0</v>
      </c>
      <c r="U357" s="104" t="str">
        <f>+VLOOKUP(PROVEEDORES[[#This Row],[PROVEEDOR]],Terceros!$A:$D,4,FALSE)</f>
        <v>3,5% sin base</v>
      </c>
      <c r="V357" s="105">
        <f>+YEAR(PROVEEDORES[[#This Row],[FECHA DE FACTURACIÓN]])</f>
        <v>2022</v>
      </c>
      <c r="W357" s="105">
        <f>+MATCH(PROVEEDORES[[#This Row],[año facturado]],Retenciones!$1:$1,0)</f>
        <v>5</v>
      </c>
      <c r="X357" s="106">
        <f>+VLOOKUP(PROVEEDORES[[#This Row],[ID RETENCION]],Retenciones!$A$1:$O$25,PROVEEDORES[[#This Row],[indicador de columna]],FALSE)</f>
        <v>0</v>
      </c>
      <c r="Y357" s="107">
        <f>+VLOOKUP(PROVEEDORES[[#This Row],[ID RETENCION]],Retenciones!$A$1:$O$25,2,FALSE)</f>
        <v>3.5000000000000003E-2</v>
      </c>
      <c r="Z357" s="116" t="b">
        <f>OR(COUNTIF(PROVEEDORES[[#This Row],[PROVEEDOR]],"*"&amp;'Palabra no opera'!$A$2&amp;"*"))</f>
        <v>1</v>
      </c>
    </row>
    <row r="358" spans="1:26" ht="22.35" customHeight="1" x14ac:dyDescent="0.3">
      <c r="A358" s="124" t="str">
        <f>+IF(PROVEEDORES[[#This Row],[FECHA DE PAGO]]=PROVEEDORES[[#This Row],[FECHA DE FACTURACIÓN]],"DE CONTADO","CRÉDITO")</f>
        <v>DE CONTADO</v>
      </c>
      <c r="B358" s="38" t="b">
        <f>+IF((PROVEEDORES[[#This Row],[FECHA DE PAGO]]-PROVEEDORES[[#This Row],[FECHA DE FACTURACIÓN]])&gt;PROVEEDORES[[#This Row],[PLAZO Días]],"PAGO VENCIDO")</f>
        <v>0</v>
      </c>
      <c r="C358" s="20">
        <f>+VLOOKUP(PROVEEDORES[[#This Row],[PROVEEDOR]],TERCEROS_INFO[#All],2,FALSE)</f>
        <v>30</v>
      </c>
      <c r="D358" s="25">
        <f>+SUMIFS(PROVEEDORES[Total],PROVEEDORES[PROVEEDOR],PROVEEDORES[[#This Row],[PROVEEDOR]],PROVEEDORES[FECHA DE PAGO],"")</f>
        <v>0</v>
      </c>
      <c r="E358" s="25"/>
      <c r="F358" s="56" t="str">
        <f>+VLOOKUP(PROVEEDORES[[#This Row],[PROVEEDOR]],
                       Terceros!$A:$F,
                       5,
                       FALSE)</f>
        <v/>
      </c>
      <c r="G358" s="68">
        <v>44694</v>
      </c>
      <c r="H358" s="26" t="s">
        <v>390</v>
      </c>
      <c r="I358" s="68">
        <v>44694</v>
      </c>
      <c r="J358" s="35"/>
      <c r="K358" s="21">
        <v>1000000</v>
      </c>
      <c r="L358" s="21"/>
      <c r="M358" s="22">
        <f>(PROVEEDORES[[#This Row],[SUBTOTAL]]-PROVEEDORES[[#This Row],[descuento sobre subtotal]])*VLOOKUP(PROVEEDORES[[#This Row],[PROVEEDOR]],TERCEROS_INFO[#All],3,FALSE)</f>
        <v>0</v>
      </c>
      <c r="N358" s="23"/>
      <c r="O358" s="22">
        <f>+PROVEEDORES[[#This Row],[Descuento sobre subtotal %]]*(PROVEEDORES[[#This Row],[SUBTOTAL]]-PROVEEDORES[[#This Row],[descuento sobre subtotal]])</f>
        <v>0</v>
      </c>
      <c r="P358" s="74">
        <f>+IF(PROVEEDORES[[#This Row],[SUBTOTAL]]&lt;PROVEEDORES[[#This Row],[base retencion]],0,PROVEEDORES[[#This Row],[retención aplicada]])</f>
        <v>0</v>
      </c>
      <c r="Q358" s="22">
        <f>+PROVEEDORES[[#This Row],[Rete Fuente %]]*(PROVEEDORES[[#This Row],[SUBTOTAL]]-PROVEEDORES[[#This Row],[descuento sobre subtotal]])</f>
        <v>0</v>
      </c>
      <c r="R35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58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63">
        <f ca="1">IF(PROVEEDORES[[#This Row],[FECHA DE PAGO]]=0,TODAY()-PROVEEDORES[[#This Row],[FECHA DE FACTURACIÓN]]-PROVEEDORES[[#This Row],[PLAZO Días]],0)</f>
        <v>0</v>
      </c>
      <c r="U358" s="104">
        <f>+VLOOKUP(PROVEEDORES[[#This Row],[PROVEEDOR]],Terceros!$A:$D,4,FALSE)</f>
        <v>0</v>
      </c>
      <c r="V358" s="105">
        <f>+YEAR(PROVEEDORES[[#This Row],[FECHA DE FACTURACIÓN]])</f>
        <v>2022</v>
      </c>
      <c r="W358" s="105">
        <f>+MATCH(PROVEEDORES[[#This Row],[año facturado]],Retenciones!$1:$1,0)</f>
        <v>5</v>
      </c>
      <c r="X358" s="106">
        <f>+VLOOKUP(PROVEEDORES[[#This Row],[ID RETENCION]],Retenciones!$A$1:$O$25,PROVEEDORES[[#This Row],[indicador de columna]],FALSE)</f>
        <v>0</v>
      </c>
      <c r="Y358" s="107">
        <f>+VLOOKUP(PROVEEDORES[[#This Row],[ID RETENCION]],Retenciones!$A$1:$O$25,2,FALSE)</f>
        <v>0</v>
      </c>
      <c r="Z358" s="116" t="b">
        <f>OR(COUNTIF(PROVEEDORES[[#This Row],[PROVEEDOR]],"*"&amp;'Palabra no opera'!$A$2&amp;"*"))</f>
        <v>0</v>
      </c>
    </row>
    <row r="359" spans="1:26" ht="22.35" customHeight="1" x14ac:dyDescent="0.3">
      <c r="A359" s="135" t="str">
        <f>+IF(PROVEEDORES[[#This Row],[FECHA DE PAGO]]=PROVEEDORES[[#This Row],[FECHA DE FACTURACIÓN]],"DE CONTADO","CRÉDITO")</f>
        <v>DE CONTADO</v>
      </c>
      <c r="B359" s="38" t="b">
        <f>+IF((PROVEEDORES[[#This Row],[FECHA DE PAGO]]-PROVEEDORES[[#This Row],[FECHA DE FACTURACIÓN]])&gt;PROVEEDORES[[#This Row],[PLAZO Días]],"PAGO VENCIDO")</f>
        <v>0</v>
      </c>
      <c r="C359" s="20">
        <f>+VLOOKUP(PROVEEDORES[[#This Row],[PROVEEDOR]],TERCEROS_INFO[#All],2,FALSE)</f>
        <v>30</v>
      </c>
      <c r="D359" s="25">
        <f>+SUMIFS(PROVEEDORES[Total],PROVEEDORES[PROVEEDOR],PROVEEDORES[[#This Row],[PROVEEDOR]],PROVEEDORES[FECHA DE PAGO],"")</f>
        <v>0</v>
      </c>
      <c r="E359" s="25"/>
      <c r="F359" s="56" t="str">
        <f>+VLOOKUP(PROVEEDORES[[#This Row],[PROVEEDOR]],
                       Terceros!$A:$F,
                       5,
                       FALSE)</f>
        <v/>
      </c>
      <c r="G359" s="68">
        <v>44695</v>
      </c>
      <c r="H359" s="26" t="s">
        <v>354</v>
      </c>
      <c r="I359" s="68">
        <v>44695</v>
      </c>
      <c r="J359" s="35">
        <v>2403</v>
      </c>
      <c r="K359" s="21">
        <v>600000</v>
      </c>
      <c r="L359" s="21"/>
      <c r="M359" s="22">
        <f>(PROVEEDORES[[#This Row],[SUBTOTAL]]-PROVEEDORES[[#This Row],[descuento sobre subtotal]])*VLOOKUP(PROVEEDORES[[#This Row],[PROVEEDOR]],TERCEROS_INFO[#All],3,FALSE)</f>
        <v>0</v>
      </c>
      <c r="N359" s="23"/>
      <c r="O359" s="22">
        <f>+PROVEEDORES[[#This Row],[Descuento sobre subtotal %]]*(PROVEEDORES[[#This Row],[SUBTOTAL]]-PROVEEDORES[[#This Row],[descuento sobre subtotal]])</f>
        <v>0</v>
      </c>
      <c r="P359" s="74">
        <f>+IF(PROVEEDORES[[#This Row],[SUBTOTAL]]&lt;PROVEEDORES[[#This Row],[base retencion]],0,PROVEEDORES[[#This Row],[retención aplicada]])</f>
        <v>0</v>
      </c>
      <c r="Q359" s="22">
        <f>+PROVEEDORES[[#This Row],[Rete Fuente %]]*(PROVEEDORES[[#This Row],[SUBTOTAL]]-PROVEEDORES[[#This Row],[descuento sobre subtotal]])</f>
        <v>0</v>
      </c>
      <c r="R359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359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63">
        <f ca="1">IF(PROVEEDORES[[#This Row],[FECHA DE PAGO]]=0,TODAY()-PROVEEDORES[[#This Row],[FECHA DE FACTURACIÓN]]-PROVEEDORES[[#This Row],[PLAZO Días]],0)</f>
        <v>0</v>
      </c>
      <c r="U359" s="104">
        <f>+VLOOKUP(PROVEEDORES[[#This Row],[PROVEEDOR]],Terceros!$A:$D,4,FALSE)</f>
        <v>0</v>
      </c>
      <c r="V359" s="105">
        <f>+YEAR(PROVEEDORES[[#This Row],[FECHA DE FACTURACIÓN]])</f>
        <v>2022</v>
      </c>
      <c r="W359" s="105">
        <f>+MATCH(PROVEEDORES[[#This Row],[año facturado]],Retenciones!$1:$1,0)</f>
        <v>5</v>
      </c>
      <c r="X359" s="106">
        <f>+VLOOKUP(PROVEEDORES[[#This Row],[ID RETENCION]],Retenciones!$A$1:$O$25,PROVEEDORES[[#This Row],[indicador de columna]],FALSE)</f>
        <v>0</v>
      </c>
      <c r="Y359" s="107">
        <f>+VLOOKUP(PROVEEDORES[[#This Row],[ID RETENCION]],Retenciones!$A$1:$O$25,2,FALSE)</f>
        <v>0</v>
      </c>
      <c r="Z359" s="116" t="b">
        <f>OR(COUNTIF(PROVEEDORES[[#This Row],[PROVEEDOR]],"*"&amp;'Palabra no opera'!$A$2&amp;"*"))</f>
        <v>0</v>
      </c>
    </row>
    <row r="360" spans="1:26" ht="22.35" customHeight="1" x14ac:dyDescent="0.3">
      <c r="A360" s="124" t="str">
        <f>+IF(PROVEEDORES[[#This Row],[FECHA DE PAGO]]=PROVEEDORES[[#This Row],[FECHA DE FACTURACIÓN]],"DE CONTADO","CRÉDITO")</f>
        <v>CRÉDITO</v>
      </c>
      <c r="B360" s="38" t="b">
        <f>+IF((PROVEEDORES[[#This Row],[FECHA DE PAGO]]-PROVEEDORES[[#This Row],[FECHA DE FACTURACIÓN]])&gt;PROVEEDORES[[#This Row],[PLAZO Días]],"PAGO VENCIDO")</f>
        <v>0</v>
      </c>
      <c r="C360" s="20">
        <f>+VLOOKUP(PROVEEDORES[[#This Row],[PROVEEDOR]],TERCEROS_INFO[#All],2,FALSE)</f>
        <v>30</v>
      </c>
      <c r="D360" s="25">
        <f>+SUMIFS(PROVEEDORES[Total],PROVEEDORES[PROVEEDOR],PROVEEDORES[[#This Row],[PROVEEDOR]],PROVEEDORES[FECHA DE PAGO],"")</f>
        <v>0</v>
      </c>
      <c r="E360" s="25"/>
      <c r="F360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60" s="68">
        <v>44697</v>
      </c>
      <c r="H360" s="26" t="s">
        <v>966</v>
      </c>
      <c r="I360" s="68">
        <v>44691</v>
      </c>
      <c r="J360" s="35">
        <v>229</v>
      </c>
      <c r="K360" s="21">
        <v>253000</v>
      </c>
      <c r="L360" s="21"/>
      <c r="M360" s="22">
        <f>(PROVEEDORES[[#This Row],[SUBTOTAL]]-PROVEEDORES[[#This Row],[descuento sobre subtotal]])*VLOOKUP(PROVEEDORES[[#This Row],[PROVEEDOR]],TERCEROS_INFO[#All],3,FALSE)</f>
        <v>0</v>
      </c>
      <c r="N360" s="23"/>
      <c r="O360" s="22">
        <f>+PROVEEDORES[[#This Row],[Descuento sobre subtotal %]]*(PROVEEDORES[[#This Row],[SUBTOTAL]]-PROVEEDORES[[#This Row],[descuento sobre subtotal]])</f>
        <v>0</v>
      </c>
      <c r="P360" s="74">
        <f>+IF(PROVEEDORES[[#This Row],[SUBTOTAL]]&lt;PROVEEDORES[[#This Row],[base retencion]],0,PROVEEDORES[[#This Row],[retención aplicada]])</f>
        <v>0</v>
      </c>
      <c r="Q360" s="22">
        <f>+PROVEEDORES[[#This Row],[Rete Fuente %]]*(PROVEEDORES[[#This Row],[SUBTOTAL]]-PROVEEDORES[[#This Row],[descuento sobre subtotal]])</f>
        <v>0</v>
      </c>
      <c r="R360" s="21">
        <f>+PROVEEDORES[[#This Row],[SUBTOTAL]]+PROVEEDORES[[#This Row],[IVA 19%]]-PROVEEDORES[[#This Row],[descuento sobre subtotal]]-PROVEEDORES[[#This Row],[Descuento sobre subtotal $2]]-PROVEEDORES[[#This Row],[Rete Fuente $]]</f>
        <v>253000</v>
      </c>
      <c r="S360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63">
        <f ca="1">IF(PROVEEDORES[[#This Row],[FECHA DE PAGO]]=0,TODAY()-PROVEEDORES[[#This Row],[FECHA DE FACTURACIÓN]]-PROVEEDORES[[#This Row],[PLAZO Días]],0)</f>
        <v>0</v>
      </c>
      <c r="U360" s="104">
        <f>+VLOOKUP(PROVEEDORES[[#This Row],[PROVEEDOR]],Terceros!$A:$D,4,FALSE)</f>
        <v>0</v>
      </c>
      <c r="V360" s="105">
        <f>+YEAR(PROVEEDORES[[#This Row],[FECHA DE FACTURACIÓN]])</f>
        <v>2022</v>
      </c>
      <c r="W360" s="105">
        <f>+MATCH(PROVEEDORES[[#This Row],[año facturado]],Retenciones!$1:$1,0)</f>
        <v>5</v>
      </c>
      <c r="X360" s="106">
        <f>+VLOOKUP(PROVEEDORES[[#This Row],[ID RETENCION]],Retenciones!$A$1:$O$25,PROVEEDORES[[#This Row],[indicador de columna]],FALSE)</f>
        <v>0</v>
      </c>
      <c r="Y360" s="107">
        <f>+VLOOKUP(PROVEEDORES[[#This Row],[ID RETENCION]],Retenciones!$A$1:$O$25,2,FALSE)</f>
        <v>0</v>
      </c>
      <c r="Z360" s="116" t="b">
        <f>OR(COUNTIF(PROVEEDORES[[#This Row],[PROVEEDOR]],"*"&amp;'Palabra no opera'!$A$2&amp;"*"))</f>
        <v>0</v>
      </c>
    </row>
    <row r="361" spans="1:26" ht="22.35" customHeight="1" x14ac:dyDescent="0.3">
      <c r="A361" s="124" t="str">
        <f>+IF(PROVEEDORES[[#This Row],[FECHA DE PAGO]]=PROVEEDORES[[#This Row],[FECHA DE FACTURACIÓN]],"DE CONTADO","CRÉDITO")</f>
        <v>CRÉDITO</v>
      </c>
      <c r="B361" s="38" t="b">
        <f>+IF((PROVEEDORES[[#This Row],[FECHA DE PAGO]]-PROVEEDORES[[#This Row],[FECHA DE FACTURACIÓN]])&gt;PROVEEDORES[[#This Row],[PLAZO Días]],"PAGO VENCIDO")</f>
        <v>0</v>
      </c>
      <c r="C361" s="20">
        <f>+VLOOKUP(PROVEEDORES[[#This Row],[PROVEEDOR]],TERCEROS_INFO[#All],2,FALSE)</f>
        <v>8</v>
      </c>
      <c r="D361" s="25">
        <f>+SUMIFS(PROVEEDORES[Total],PROVEEDORES[PROVEEDOR],PROVEEDORES[[#This Row],[PROVEEDOR]],PROVEEDORES[FECHA DE PAGO],"")</f>
        <v>0</v>
      </c>
      <c r="E361" s="25"/>
      <c r="F361" s="56">
        <f>+VLOOKUP(PROVEEDORES[[#This Row],[PROVEEDOR]],
                       Terceros!$A:$F,
                       5,
                       FALSE)</f>
        <v>0</v>
      </c>
      <c r="G361" s="68">
        <v>44698</v>
      </c>
      <c r="H361" s="26" t="s">
        <v>676</v>
      </c>
      <c r="I361" s="68">
        <v>44690</v>
      </c>
      <c r="J361" s="35" t="s">
        <v>1025</v>
      </c>
      <c r="K361" s="21">
        <v>111000</v>
      </c>
      <c r="L361" s="21"/>
      <c r="M361" s="22">
        <f>(PROVEEDORES[[#This Row],[SUBTOTAL]]-PROVEEDORES[[#This Row],[descuento sobre subtotal]])*VLOOKUP(PROVEEDORES[[#This Row],[PROVEEDOR]],TERCEROS_INFO[#All],3,FALSE)</f>
        <v>0</v>
      </c>
      <c r="N361" s="23"/>
      <c r="O361" s="22">
        <f>+PROVEEDORES[[#This Row],[Descuento sobre subtotal %]]*(PROVEEDORES[[#This Row],[SUBTOTAL]]-PROVEEDORES[[#This Row],[descuento sobre subtotal]])</f>
        <v>0</v>
      </c>
      <c r="P361" s="74">
        <f>+IF(PROVEEDORES[[#This Row],[SUBTOTAL]]&lt;PROVEEDORES[[#This Row],[base retencion]],0,PROVEEDORES[[#This Row],[retención aplicada]])</f>
        <v>0</v>
      </c>
      <c r="Q361" s="22">
        <f>+PROVEEDORES[[#This Row],[Rete Fuente %]]*(PROVEEDORES[[#This Row],[SUBTOTAL]]-PROVEEDORES[[#This Row],[descuento sobre subtotal]])</f>
        <v>0</v>
      </c>
      <c r="R361" s="21">
        <f>+PROVEEDORES[[#This Row],[SUBTOTAL]]+PROVEEDORES[[#This Row],[IVA 19%]]-PROVEEDORES[[#This Row],[descuento sobre subtotal]]-PROVEEDORES[[#This Row],[Descuento sobre subtotal $2]]-PROVEEDORES[[#This Row],[Rete Fuente $]]</f>
        <v>111000</v>
      </c>
      <c r="S361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63">
        <f ca="1">IF(PROVEEDORES[[#This Row],[FECHA DE PAGO]]=0,TODAY()-PROVEEDORES[[#This Row],[FECHA DE FACTURACIÓN]]-PROVEEDORES[[#This Row],[PLAZO Días]],0)</f>
        <v>0</v>
      </c>
      <c r="U361" s="104">
        <f>+VLOOKUP(PROVEEDORES[[#This Row],[PROVEEDOR]],Terceros!$A:$D,4,FALSE)</f>
        <v>0</v>
      </c>
      <c r="V361" s="105">
        <f>+YEAR(PROVEEDORES[[#This Row],[FECHA DE FACTURACIÓN]])</f>
        <v>2022</v>
      </c>
      <c r="W361" s="105">
        <f>+MATCH(PROVEEDORES[[#This Row],[año facturado]],Retenciones!$1:$1,0)</f>
        <v>5</v>
      </c>
      <c r="X361" s="106">
        <f>+VLOOKUP(PROVEEDORES[[#This Row],[ID RETENCION]],Retenciones!$A$1:$O$25,PROVEEDORES[[#This Row],[indicador de columna]],FALSE)</f>
        <v>0</v>
      </c>
      <c r="Y361" s="107">
        <f>+VLOOKUP(PROVEEDORES[[#This Row],[ID RETENCION]],Retenciones!$A$1:$O$25,2,FALSE)</f>
        <v>0</v>
      </c>
      <c r="Z361" s="116" t="b">
        <f>OR(COUNTIF(PROVEEDORES[[#This Row],[PROVEEDOR]],"*"&amp;'Palabra no opera'!$A$2&amp;"*"))</f>
        <v>0</v>
      </c>
    </row>
    <row r="362" spans="1:26" ht="22.35" customHeight="1" x14ac:dyDescent="0.3">
      <c r="A362" s="124" t="str">
        <f>+IF(PROVEEDORES[[#This Row],[FECHA DE PAGO]]=PROVEEDORES[[#This Row],[FECHA DE FACTURACIÓN]],"DE CONTADO","CRÉDITO")</f>
        <v>CRÉDITO</v>
      </c>
      <c r="B362" s="38" t="b">
        <f>+IF((PROVEEDORES[[#This Row],[FECHA DE PAGO]]-PROVEEDORES[[#This Row],[FECHA DE FACTURACIÓN]])&gt;PROVEEDORES[[#This Row],[PLAZO Días]],"PAGO VENCIDO")</f>
        <v>0</v>
      </c>
      <c r="C362" s="20">
        <f>+VLOOKUP(PROVEEDORES[[#This Row],[PROVEEDOR]],TERCEROS_INFO[#All],2,FALSE)</f>
        <v>8</v>
      </c>
      <c r="D362" s="25">
        <f>+SUMIFS(PROVEEDORES[Total],PROVEEDORES[PROVEEDOR],PROVEEDORES[[#This Row],[PROVEEDOR]],PROVEEDORES[FECHA DE PAGO],"")</f>
        <v>0</v>
      </c>
      <c r="E362" s="25"/>
      <c r="F362" s="56">
        <f>+VLOOKUP(PROVEEDORES[[#This Row],[PROVEEDOR]],
                       Terceros!$A:$F,
                       5,
                       FALSE)</f>
        <v>0</v>
      </c>
      <c r="G362" s="68">
        <v>44698</v>
      </c>
      <c r="H362" s="26" t="s">
        <v>676</v>
      </c>
      <c r="I362" s="68">
        <v>44691</v>
      </c>
      <c r="J362" s="35" t="s">
        <v>1026</v>
      </c>
      <c r="K362" s="21">
        <v>608000</v>
      </c>
      <c r="L362" s="21"/>
      <c r="M362" s="22">
        <f>(PROVEEDORES[[#This Row],[SUBTOTAL]]-PROVEEDORES[[#This Row],[descuento sobre subtotal]])*VLOOKUP(PROVEEDORES[[#This Row],[PROVEEDOR]],TERCEROS_INFO[#All],3,FALSE)</f>
        <v>0</v>
      </c>
      <c r="N362" s="23"/>
      <c r="O362" s="22">
        <f>+PROVEEDORES[[#This Row],[Descuento sobre subtotal %]]*(PROVEEDORES[[#This Row],[SUBTOTAL]]-PROVEEDORES[[#This Row],[descuento sobre subtotal]])</f>
        <v>0</v>
      </c>
      <c r="P362" s="74">
        <f>+IF(PROVEEDORES[[#This Row],[SUBTOTAL]]&lt;PROVEEDORES[[#This Row],[base retencion]],0,PROVEEDORES[[#This Row],[retención aplicada]])</f>
        <v>0</v>
      </c>
      <c r="Q362" s="22">
        <f>+PROVEEDORES[[#This Row],[Rete Fuente %]]*(PROVEEDORES[[#This Row],[SUBTOTAL]]-PROVEEDORES[[#This Row],[descuento sobre subtotal]])</f>
        <v>0</v>
      </c>
      <c r="R362" s="21">
        <f>+PROVEEDORES[[#This Row],[SUBTOTAL]]+PROVEEDORES[[#This Row],[IVA 19%]]-PROVEEDORES[[#This Row],[descuento sobre subtotal]]-PROVEEDORES[[#This Row],[Descuento sobre subtotal $2]]-PROVEEDORES[[#This Row],[Rete Fuente $]]</f>
        <v>608000</v>
      </c>
      <c r="S362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63">
        <f ca="1">IF(PROVEEDORES[[#This Row],[FECHA DE PAGO]]=0,TODAY()-PROVEEDORES[[#This Row],[FECHA DE FACTURACIÓN]]-PROVEEDORES[[#This Row],[PLAZO Días]],0)</f>
        <v>0</v>
      </c>
      <c r="U362" s="104">
        <f>+VLOOKUP(PROVEEDORES[[#This Row],[PROVEEDOR]],Terceros!$A:$D,4,FALSE)</f>
        <v>0</v>
      </c>
      <c r="V362" s="105">
        <f>+YEAR(PROVEEDORES[[#This Row],[FECHA DE FACTURACIÓN]])</f>
        <v>2022</v>
      </c>
      <c r="W362" s="105">
        <f>+MATCH(PROVEEDORES[[#This Row],[año facturado]],Retenciones!$1:$1,0)</f>
        <v>5</v>
      </c>
      <c r="X362" s="106">
        <f>+VLOOKUP(PROVEEDORES[[#This Row],[ID RETENCION]],Retenciones!$A$1:$O$25,PROVEEDORES[[#This Row],[indicador de columna]],FALSE)</f>
        <v>0</v>
      </c>
      <c r="Y362" s="107">
        <f>+VLOOKUP(PROVEEDORES[[#This Row],[ID RETENCION]],Retenciones!$A$1:$O$25,2,FALSE)</f>
        <v>0</v>
      </c>
      <c r="Z362" s="116" t="b">
        <f>OR(COUNTIF(PROVEEDORES[[#This Row],[PROVEEDOR]],"*"&amp;'Palabra no opera'!$A$2&amp;"*"))</f>
        <v>0</v>
      </c>
    </row>
    <row r="363" spans="1:26" ht="22.35" customHeight="1" x14ac:dyDescent="0.3">
      <c r="A363" s="124" t="str">
        <f>+IF(PROVEEDORES[[#This Row],[FECHA DE PAGO]]=PROVEEDORES[[#This Row],[FECHA DE FACTURACIÓN]],"DE CONTADO","CRÉDITO")</f>
        <v>CRÉDITO</v>
      </c>
      <c r="B363" s="38" t="b">
        <f>+IF((PROVEEDORES[[#This Row],[FECHA DE PAGO]]-PROVEEDORES[[#This Row],[FECHA DE FACTURACIÓN]])&gt;PROVEEDORES[[#This Row],[PLAZO Días]],"PAGO VENCIDO")</f>
        <v>0</v>
      </c>
      <c r="C363" s="20">
        <f>+VLOOKUP(PROVEEDORES[[#This Row],[PROVEEDOR]],TERCEROS_INFO[#All],2,FALSE)</f>
        <v>8</v>
      </c>
      <c r="D363" s="25">
        <f>+SUMIFS(PROVEEDORES[Total],PROVEEDORES[PROVEEDOR],PROVEEDORES[[#This Row],[PROVEEDOR]],PROVEEDORES[FECHA DE PAGO],"")</f>
        <v>0</v>
      </c>
      <c r="E363" s="25"/>
      <c r="F363" s="56">
        <f>+VLOOKUP(PROVEEDORES[[#This Row],[PROVEEDOR]],
                       Terceros!$A:$F,
                       5,
                       FALSE)</f>
        <v>0</v>
      </c>
      <c r="G363" s="68">
        <v>44698</v>
      </c>
      <c r="H363" s="26" t="s">
        <v>676</v>
      </c>
      <c r="I363" s="68">
        <v>44691</v>
      </c>
      <c r="J363" s="35" t="s">
        <v>1027</v>
      </c>
      <c r="K363" s="21">
        <v>815000</v>
      </c>
      <c r="L363" s="21"/>
      <c r="M363" s="22">
        <f>(PROVEEDORES[[#This Row],[SUBTOTAL]]-PROVEEDORES[[#This Row],[descuento sobre subtotal]])*VLOOKUP(PROVEEDORES[[#This Row],[PROVEEDOR]],TERCEROS_INFO[#All],3,FALSE)</f>
        <v>0</v>
      </c>
      <c r="N363" s="23"/>
      <c r="O363" s="22">
        <f>+PROVEEDORES[[#This Row],[Descuento sobre subtotal %]]*(PROVEEDORES[[#This Row],[SUBTOTAL]]-PROVEEDORES[[#This Row],[descuento sobre subtotal]])</f>
        <v>0</v>
      </c>
      <c r="P363" s="74">
        <f>+IF(PROVEEDORES[[#This Row],[SUBTOTAL]]&lt;PROVEEDORES[[#This Row],[base retencion]],0,PROVEEDORES[[#This Row],[retención aplicada]])</f>
        <v>0</v>
      </c>
      <c r="Q363" s="22">
        <f>+PROVEEDORES[[#This Row],[Rete Fuente %]]*(PROVEEDORES[[#This Row],[SUBTOTAL]]-PROVEEDORES[[#This Row],[descuento sobre subtotal]])</f>
        <v>0</v>
      </c>
      <c r="R363" s="21">
        <f>+PROVEEDORES[[#This Row],[SUBTOTAL]]+PROVEEDORES[[#This Row],[IVA 19%]]-PROVEEDORES[[#This Row],[descuento sobre subtotal]]-PROVEEDORES[[#This Row],[Descuento sobre subtotal $2]]-PROVEEDORES[[#This Row],[Rete Fuente $]]</f>
        <v>815000</v>
      </c>
      <c r="S363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63">
        <f ca="1">IF(PROVEEDORES[[#This Row],[FECHA DE PAGO]]=0,TODAY()-PROVEEDORES[[#This Row],[FECHA DE FACTURACIÓN]]-PROVEEDORES[[#This Row],[PLAZO Días]],0)</f>
        <v>0</v>
      </c>
      <c r="U363" s="104">
        <f>+VLOOKUP(PROVEEDORES[[#This Row],[PROVEEDOR]],Terceros!$A:$D,4,FALSE)</f>
        <v>0</v>
      </c>
      <c r="V363" s="105">
        <f>+YEAR(PROVEEDORES[[#This Row],[FECHA DE FACTURACIÓN]])</f>
        <v>2022</v>
      </c>
      <c r="W363" s="105">
        <f>+MATCH(PROVEEDORES[[#This Row],[año facturado]],Retenciones!$1:$1,0)</f>
        <v>5</v>
      </c>
      <c r="X363" s="106">
        <f>+VLOOKUP(PROVEEDORES[[#This Row],[ID RETENCION]],Retenciones!$A$1:$O$25,PROVEEDORES[[#This Row],[indicador de columna]],FALSE)</f>
        <v>0</v>
      </c>
      <c r="Y363" s="107">
        <f>+VLOOKUP(PROVEEDORES[[#This Row],[ID RETENCION]],Retenciones!$A$1:$O$25,2,FALSE)</f>
        <v>0</v>
      </c>
      <c r="Z363" s="116" t="b">
        <f>OR(COUNTIF(PROVEEDORES[[#This Row],[PROVEEDOR]],"*"&amp;'Palabra no opera'!$A$2&amp;"*"))</f>
        <v>0</v>
      </c>
    </row>
    <row r="364" spans="1:26" ht="22.35" customHeight="1" x14ac:dyDescent="0.3">
      <c r="A364" s="61" t="str">
        <f>+IF(PROVEEDORES[[#This Row],[FECHA DE PAGO]]=PROVEEDORES[[#This Row],[FECHA DE FACTURACIÓN]],"DE CONTADO","CRÉDITO")</f>
        <v>CRÉDITO</v>
      </c>
      <c r="B364" s="38" t="str">
        <f>+IF((PROVEEDORES[[#This Row],[FECHA DE PAGO]]-PROVEEDORES[[#This Row],[FECHA DE FACTURACIÓN]])&gt;PROVEEDORES[[#This Row],[PLAZO Días]],"PAGO VENCIDO")</f>
        <v>PAGO VENCIDO</v>
      </c>
      <c r="C364" s="20">
        <f>+VLOOKUP(PROVEEDORES[[#This Row],[PROVEEDOR]],TERCEROS_INFO[#All],2,FALSE)</f>
        <v>30</v>
      </c>
      <c r="D364" s="25">
        <f>+SUMIFS(PROVEEDORES[Total],PROVEEDORES[PROVEEDOR],PROVEEDORES[[#This Row],[PROVEEDOR]],PROVEEDORES[FECHA DE PAGO],"")</f>
        <v>1125118.8199999998</v>
      </c>
      <c r="E364" s="25"/>
      <c r="F364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364" s="68">
        <v>44698</v>
      </c>
      <c r="H364" s="26" t="s">
        <v>279</v>
      </c>
      <c r="I364" s="68">
        <v>44646</v>
      </c>
      <c r="J364" s="35" t="s">
        <v>432</v>
      </c>
      <c r="K364" s="21">
        <v>1494455</v>
      </c>
      <c r="L364" s="21"/>
      <c r="M364" s="22">
        <f>(PROVEEDORES[[#This Row],[SUBTOTAL]]-PROVEEDORES[[#This Row],[descuento sobre subtotal]])*VLOOKUP(PROVEEDORES[[#This Row],[PROVEEDOR]],TERCEROS_INFO[#All],3,FALSE)</f>
        <v>283946.45</v>
      </c>
      <c r="N364" s="23"/>
      <c r="O364" s="22">
        <f>+PROVEEDORES[[#This Row],[Descuento sobre subtotal %]]*(PROVEEDORES[[#This Row],[SUBTOTAL]]-PROVEEDORES[[#This Row],[descuento sobre subtotal]])</f>
        <v>0</v>
      </c>
      <c r="P364" s="74">
        <f>+IF(PROVEEDORES[[#This Row],[SUBTOTAL]]&lt;PROVEEDORES[[#This Row],[base retencion]],0,PROVEEDORES[[#This Row],[retención aplicada]])</f>
        <v>2.5000000000000001E-2</v>
      </c>
      <c r="Q364" s="22">
        <f>+PROVEEDORES[[#This Row],[Rete Fuente %]]*(PROVEEDORES[[#This Row],[SUBTOTAL]]-PROVEEDORES[[#This Row],[descuento sobre subtotal]])</f>
        <v>37361.375</v>
      </c>
      <c r="R364" s="21">
        <f>+PROVEEDORES[[#This Row],[SUBTOTAL]]+PROVEEDORES[[#This Row],[IVA 19%]]-PROVEEDORES[[#This Row],[descuento sobre subtotal]]-PROVEEDORES[[#This Row],[Descuento sobre subtotal $2]]-PROVEEDORES[[#This Row],[Rete Fuente $]]</f>
        <v>1741040.075</v>
      </c>
      <c r="S36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63">
        <f ca="1">IF(PROVEEDORES[[#This Row],[FECHA DE PAGO]]=0,TODAY()-PROVEEDORES[[#This Row],[FECHA DE FACTURACIÓN]]-PROVEEDORES[[#This Row],[PLAZO Días]],0)</f>
        <v>0</v>
      </c>
      <c r="U364" s="87" t="str">
        <f>+VLOOKUP(PROVEEDORES[[#This Row],[PROVEEDOR]],Terceros!$A:$D,4,FALSE)</f>
        <v>2,5% con base</v>
      </c>
      <c r="V364" s="88">
        <f>+YEAR(PROVEEDORES[[#This Row],[FECHA DE FACTURACIÓN]])</f>
        <v>2022</v>
      </c>
      <c r="W364" s="88">
        <f>+MATCH(PROVEEDORES[[#This Row],[año facturado]],Retenciones!$1:$1,0)</f>
        <v>5</v>
      </c>
      <c r="X364" s="89">
        <f>+VLOOKUP(PROVEEDORES[[#This Row],[ID RETENCION]],Retenciones!$A$1:$O$25,PROVEEDORES[[#This Row],[indicador de columna]],FALSE)</f>
        <v>1026000</v>
      </c>
      <c r="Y364" s="90">
        <f>+VLOOKUP(PROVEEDORES[[#This Row],[ID RETENCION]],Retenciones!$A$1:$O$25,2,FALSE)</f>
        <v>2.5000000000000001E-2</v>
      </c>
      <c r="Z364" s="116" t="b">
        <f>OR(COUNTIF(PROVEEDORES[[#This Row],[PROVEEDOR]],"*"&amp;'Palabra no opera'!$A$2&amp;"*"))</f>
        <v>0</v>
      </c>
    </row>
    <row r="365" spans="1:26" ht="22.35" customHeight="1" x14ac:dyDescent="0.3">
      <c r="A365" s="127" t="str">
        <f>+IF(PROVEEDORES[[#This Row],[FECHA DE PAGO]]=PROVEEDORES[[#This Row],[FECHA DE FACTURACIÓN]],"DE CONTADO","CRÉDITO")</f>
        <v>CRÉDITO</v>
      </c>
      <c r="B365" s="38" t="b">
        <f>+IF((PROVEEDORES[[#This Row],[FECHA DE PAGO]]-PROVEEDORES[[#This Row],[FECHA DE FACTURACIÓN]])&gt;PROVEEDORES[[#This Row],[PLAZO Días]],"PAGO VENCIDO")</f>
        <v>0</v>
      </c>
      <c r="C365" s="20">
        <f>+VLOOKUP(PROVEEDORES[[#This Row],[PROVEEDOR]],TERCEROS_INFO[#All],2,FALSE)</f>
        <v>30</v>
      </c>
      <c r="D365" s="25">
        <f>+SUMIFS(PROVEEDORES[Total],PROVEEDORES[PROVEEDOR],PROVEEDORES[[#This Row],[PROVEEDOR]],PROVEEDORES[FECHA DE PAGO],"")</f>
        <v>0</v>
      </c>
      <c r="E365" s="25"/>
      <c r="F365" s="56" t="str">
        <f>+VLOOKUP(PROVEEDORES[[#This Row],[PROVEEDOR]],
                       Terceros!$A:$F,
                       5,
                       FALSE)</f>
        <v>PSE</v>
      </c>
      <c r="G365" s="68">
        <v>44698</v>
      </c>
      <c r="H365" s="26" t="s">
        <v>645</v>
      </c>
      <c r="I365" s="68">
        <v>44682</v>
      </c>
      <c r="J365" s="35"/>
      <c r="K365" s="21">
        <v>326243</v>
      </c>
      <c r="L365" s="21"/>
      <c r="M365" s="22">
        <f>(PROVEEDORES[[#This Row],[SUBTOTAL]]-PROVEEDORES[[#This Row],[descuento sobre subtotal]])*VLOOKUP(PROVEEDORES[[#This Row],[PROVEEDOR]],TERCEROS_INFO[#All],3,FALSE)</f>
        <v>0</v>
      </c>
      <c r="N365" s="23"/>
      <c r="O365" s="22">
        <f>+PROVEEDORES[[#This Row],[Descuento sobre subtotal %]]*(PROVEEDORES[[#This Row],[SUBTOTAL]]-PROVEEDORES[[#This Row],[descuento sobre subtotal]])</f>
        <v>0</v>
      </c>
      <c r="P365" s="74">
        <f>+IF(PROVEEDORES[[#This Row],[SUBTOTAL]]&lt;PROVEEDORES[[#This Row],[base retencion]],0,PROVEEDORES[[#This Row],[retención aplicada]])</f>
        <v>0</v>
      </c>
      <c r="Q365" s="22">
        <f>+PROVEEDORES[[#This Row],[Rete Fuente %]]*(PROVEEDORES[[#This Row],[SUBTOTAL]]-PROVEEDORES[[#This Row],[descuento sobre subtotal]])</f>
        <v>0</v>
      </c>
      <c r="R365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365" s="1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63">
        <f ca="1">IF(PROVEEDORES[[#This Row],[FECHA DE PAGO]]=0,TODAY()-PROVEEDORES[[#This Row],[FECHA DE FACTURACIÓN]]-PROVEEDORES[[#This Row],[PLAZO Días]],0)</f>
        <v>0</v>
      </c>
      <c r="U365" s="104">
        <f>+VLOOKUP(PROVEEDORES[[#This Row],[PROVEEDOR]],Terceros!$A:$D,4,FALSE)</f>
        <v>0</v>
      </c>
      <c r="V365" s="105">
        <f>+YEAR(PROVEEDORES[[#This Row],[FECHA DE FACTURACIÓN]])</f>
        <v>2022</v>
      </c>
      <c r="W365" s="105">
        <f>+MATCH(PROVEEDORES[[#This Row],[año facturado]],Retenciones!$1:$1,0)</f>
        <v>5</v>
      </c>
      <c r="X365" s="106">
        <f>+VLOOKUP(PROVEEDORES[[#This Row],[ID RETENCION]],Retenciones!$A$1:$O$25,PROVEEDORES[[#This Row],[indicador de columna]],FALSE)</f>
        <v>0</v>
      </c>
      <c r="Y365" s="107">
        <f>+VLOOKUP(PROVEEDORES[[#This Row],[ID RETENCION]],Retenciones!$A$1:$O$25,2,FALSE)</f>
        <v>0</v>
      </c>
      <c r="Z365" s="116" t="b">
        <f>OR(COUNTIF(PROVEEDORES[[#This Row],[PROVEEDOR]],"*"&amp;'Palabra no opera'!$A$2&amp;"*"))</f>
        <v>1</v>
      </c>
    </row>
    <row r="366" spans="1:26" ht="22.35" customHeight="1" x14ac:dyDescent="0.3">
      <c r="A366" s="124" t="str">
        <f>+IF(PROVEEDORES[[#This Row],[FECHA DE PAGO]]=PROVEEDORES[[#This Row],[FECHA DE FACTURACIÓN]],"DE CONTADO","CRÉDITO")</f>
        <v>CRÉDITO</v>
      </c>
      <c r="B366" s="38" t="b">
        <f>+IF((PROVEEDORES[[#This Row],[FECHA DE PAGO]]-PROVEEDORES[[#This Row],[FECHA DE FACTURACIÓN]])&gt;PROVEEDORES[[#This Row],[PLAZO Días]],"PAGO VENCIDO")</f>
        <v>0</v>
      </c>
      <c r="C366" s="20">
        <f>+VLOOKUP(PROVEEDORES[[#This Row],[PROVEEDOR]],TERCEROS_INFO[#All],2,FALSE)</f>
        <v>30</v>
      </c>
      <c r="D366" s="25">
        <f>+SUMIFS(PROVEEDORES[Total],PROVEEDORES[PROVEEDOR],PROVEEDORES[[#This Row],[PROVEEDOR]],PROVEEDORES[FECHA DE PAGO],"")</f>
        <v>0</v>
      </c>
      <c r="E366" s="25"/>
      <c r="F36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66" s="68">
        <v>44699</v>
      </c>
      <c r="H366" s="26" t="s">
        <v>623</v>
      </c>
      <c r="I366" s="68">
        <v>44682</v>
      </c>
      <c r="J366" s="35" t="s">
        <v>666</v>
      </c>
      <c r="K366" s="21">
        <v>9501</v>
      </c>
      <c r="L366" s="21"/>
      <c r="M366" s="22">
        <f>(PROVEEDORES[[#This Row],[SUBTOTAL]]-PROVEEDORES[[#This Row],[descuento sobre subtotal]])*VLOOKUP(PROVEEDORES[[#This Row],[PROVEEDOR]],TERCEROS_INFO[#All],3,FALSE)</f>
        <v>1805.19</v>
      </c>
      <c r="N366" s="23"/>
      <c r="O366" s="22">
        <f>+PROVEEDORES[[#This Row],[Descuento sobre subtotal %]]*(PROVEEDORES[[#This Row],[SUBTOTAL]]-PROVEEDORES[[#This Row],[descuento sobre subtotal]])</f>
        <v>0</v>
      </c>
      <c r="P366" s="74">
        <v>0</v>
      </c>
      <c r="Q366" s="22">
        <f>+PROVEEDORES[[#This Row],[Rete Fuente %]]*(PROVEEDORES[[#This Row],[SUBTOTAL]]-PROVEEDORES[[#This Row],[descuento sobre subtotal]])</f>
        <v>0</v>
      </c>
      <c r="R366" s="21">
        <f>+PROVEEDORES[[#This Row],[SUBTOTAL]]+PROVEEDORES[[#This Row],[IVA 19%]]-PROVEEDORES[[#This Row],[descuento sobre subtotal]]-PROVEEDORES[[#This Row],[Descuento sobre subtotal $2]]-PROVEEDORES[[#This Row],[Rete Fuente $]]</f>
        <v>11306.19</v>
      </c>
      <c r="S366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63">
        <f ca="1">IF(PROVEEDORES[[#This Row],[FECHA DE PAGO]]=0,TODAY()-PROVEEDORES[[#This Row],[FECHA DE FACTURACIÓN]]-PROVEEDORES[[#This Row],[PLAZO Días]],0)</f>
        <v>0</v>
      </c>
      <c r="U366" s="104" t="str">
        <f>+VLOOKUP(PROVEEDORES[[#This Row],[PROVEEDOR]],Terceros!$A:$D,4,FALSE)</f>
        <v>4% sin base</v>
      </c>
      <c r="V366" s="105">
        <f>+YEAR(PROVEEDORES[[#This Row],[FECHA DE FACTURACIÓN]])</f>
        <v>2022</v>
      </c>
      <c r="W366" s="105">
        <f>+MATCH(PROVEEDORES[[#This Row],[año facturado]],Retenciones!$1:$1,0)</f>
        <v>5</v>
      </c>
      <c r="X366" s="106">
        <f>+VLOOKUP(PROVEEDORES[[#This Row],[ID RETENCION]],Retenciones!$A$1:$O$25,PROVEEDORES[[#This Row],[indicador de columna]],FALSE)</f>
        <v>0</v>
      </c>
      <c r="Y366" s="107">
        <f>+VLOOKUP(PROVEEDORES[[#This Row],[ID RETENCION]],Retenciones!$A$1:$O$25,2,FALSE)</f>
        <v>0.04</v>
      </c>
      <c r="Z366" s="116" t="b">
        <f>OR(COUNTIF(PROVEEDORES[[#This Row],[PROVEEDOR]],"*"&amp;'Palabra no opera'!$A$2&amp;"*"))</f>
        <v>1</v>
      </c>
    </row>
    <row r="367" spans="1:26" ht="22.35" customHeight="1" x14ac:dyDescent="0.3">
      <c r="A367" s="124" t="str">
        <f>+IF(PROVEEDORES[[#This Row],[FECHA DE PAGO]]=PROVEEDORES[[#This Row],[FECHA DE FACTURACIÓN]],"DE CONTADO","CRÉDITO")</f>
        <v>CRÉDITO</v>
      </c>
      <c r="B367" s="38" t="b">
        <f>+IF((PROVEEDORES[[#This Row],[FECHA DE PAGO]]-PROVEEDORES[[#This Row],[FECHA DE FACTURACIÓN]])&gt;PROVEEDORES[[#This Row],[PLAZO Días]],"PAGO VENCIDO")</f>
        <v>0</v>
      </c>
      <c r="C367" s="20">
        <f>+VLOOKUP(PROVEEDORES[[#This Row],[PROVEEDOR]],TERCEROS_INFO[#All],2,FALSE)</f>
        <v>30</v>
      </c>
      <c r="D367" s="25">
        <f>+SUMIFS(PROVEEDORES[Total],PROVEEDORES[PROVEEDOR],PROVEEDORES[[#This Row],[PROVEEDOR]],PROVEEDORES[FECHA DE PAGO],"")</f>
        <v>0</v>
      </c>
      <c r="E367" s="25"/>
      <c r="F36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67" s="68">
        <v>44699</v>
      </c>
      <c r="H367" s="26" t="s">
        <v>623</v>
      </c>
      <c r="I367" s="68">
        <v>44682</v>
      </c>
      <c r="J367" s="35" t="s">
        <v>665</v>
      </c>
      <c r="K367" s="21">
        <v>39533</v>
      </c>
      <c r="L367" s="21"/>
      <c r="M367" s="22">
        <f>(PROVEEDORES[[#This Row],[SUBTOTAL]]-PROVEEDORES[[#This Row],[descuento sobre subtotal]])*VLOOKUP(PROVEEDORES[[#This Row],[PROVEEDOR]],TERCEROS_INFO[#All],3,FALSE)</f>
        <v>7511.27</v>
      </c>
      <c r="N367" s="23"/>
      <c r="O367" s="22">
        <f>+PROVEEDORES[[#This Row],[Descuento sobre subtotal %]]*(PROVEEDORES[[#This Row],[SUBTOTAL]]-PROVEEDORES[[#This Row],[descuento sobre subtotal]])</f>
        <v>0</v>
      </c>
      <c r="P367" s="74">
        <v>0</v>
      </c>
      <c r="Q367" s="22">
        <f>+PROVEEDORES[[#This Row],[Rete Fuente %]]*(PROVEEDORES[[#This Row],[SUBTOTAL]]-PROVEEDORES[[#This Row],[descuento sobre subtotal]])</f>
        <v>0</v>
      </c>
      <c r="R367" s="21">
        <f>+PROVEEDORES[[#This Row],[SUBTOTAL]]+PROVEEDORES[[#This Row],[IVA 19%]]-PROVEEDORES[[#This Row],[descuento sobre subtotal]]-PROVEEDORES[[#This Row],[Descuento sobre subtotal $2]]-PROVEEDORES[[#This Row],[Rete Fuente $]]</f>
        <v>47044.270000000004</v>
      </c>
      <c r="S367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63">
        <f ca="1">IF(PROVEEDORES[[#This Row],[FECHA DE PAGO]]=0,TODAY()-PROVEEDORES[[#This Row],[FECHA DE FACTURACIÓN]]-PROVEEDORES[[#This Row],[PLAZO Días]],0)</f>
        <v>0</v>
      </c>
      <c r="U367" s="104" t="str">
        <f>+VLOOKUP(PROVEEDORES[[#This Row],[PROVEEDOR]],Terceros!$A:$D,4,FALSE)</f>
        <v>4% sin base</v>
      </c>
      <c r="V367" s="105">
        <f>+YEAR(PROVEEDORES[[#This Row],[FECHA DE FACTURACIÓN]])</f>
        <v>2022</v>
      </c>
      <c r="W367" s="105">
        <f>+MATCH(PROVEEDORES[[#This Row],[año facturado]],Retenciones!$1:$1,0)</f>
        <v>5</v>
      </c>
      <c r="X367" s="106">
        <f>+VLOOKUP(PROVEEDORES[[#This Row],[ID RETENCION]],Retenciones!$A$1:$O$25,PROVEEDORES[[#This Row],[indicador de columna]],FALSE)</f>
        <v>0</v>
      </c>
      <c r="Y367" s="107">
        <f>+VLOOKUP(PROVEEDORES[[#This Row],[ID RETENCION]],Retenciones!$A$1:$O$25,2,FALSE)</f>
        <v>0.04</v>
      </c>
      <c r="Z367" s="116" t="b">
        <f>OR(COUNTIF(PROVEEDORES[[#This Row],[PROVEEDOR]],"*"&amp;'Palabra no opera'!$A$2&amp;"*"))</f>
        <v>1</v>
      </c>
    </row>
    <row r="368" spans="1:26" ht="22.35" customHeight="1" x14ac:dyDescent="0.3">
      <c r="A368" s="114" t="str">
        <f>+IF(PROVEEDORES[[#This Row],[FECHA DE PAGO]]=PROVEEDORES[[#This Row],[FECHA DE FACTURACIÓN]],"DE CONTADO","CRÉDITO")</f>
        <v>CRÉDITO</v>
      </c>
      <c r="B368" s="38" t="b">
        <f>+IF((PROVEEDORES[[#This Row],[FECHA DE PAGO]]-PROVEEDORES[[#This Row],[FECHA DE FACTURACIÓN]])&gt;PROVEEDORES[[#This Row],[PLAZO Días]],"PAGO VENCIDO")</f>
        <v>0</v>
      </c>
      <c r="C368" s="20">
        <f>+VLOOKUP(PROVEEDORES[[#This Row],[PROVEEDOR]],TERCEROS_INFO[#All],2,FALSE)</f>
        <v>30</v>
      </c>
      <c r="D368" s="25">
        <f>+SUMIFS(PROVEEDORES[Total],PROVEEDORES[PROVEEDOR],PROVEEDORES[[#This Row],[PROVEEDOR]],PROVEEDORES[FECHA DE PAGO],"")</f>
        <v>0</v>
      </c>
      <c r="E368" s="25"/>
      <c r="F36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68" s="68">
        <v>44699</v>
      </c>
      <c r="H368" s="26" t="s">
        <v>623</v>
      </c>
      <c r="I368" s="68">
        <v>44682</v>
      </c>
      <c r="J368" s="35" t="s">
        <v>664</v>
      </c>
      <c r="K368" s="21">
        <v>791781</v>
      </c>
      <c r="L368" s="21"/>
      <c r="M368" s="22">
        <f>(PROVEEDORES[[#This Row],[SUBTOTAL]]-PROVEEDORES[[#This Row],[descuento sobre subtotal]])*VLOOKUP(PROVEEDORES[[#This Row],[PROVEEDOR]],TERCEROS_INFO[#All],3,FALSE)</f>
        <v>150438.39000000001</v>
      </c>
      <c r="N368" s="23"/>
      <c r="O368" s="22">
        <f>+PROVEEDORES[[#This Row],[Descuento sobre subtotal %]]*(PROVEEDORES[[#This Row],[SUBTOTAL]]-PROVEEDORES[[#This Row],[descuento sobre subtotal]])</f>
        <v>0</v>
      </c>
      <c r="P368" s="74">
        <v>0</v>
      </c>
      <c r="Q368" s="22">
        <f>+PROVEEDORES[[#This Row],[Rete Fuente %]]*(PROVEEDORES[[#This Row],[SUBTOTAL]]-PROVEEDORES[[#This Row],[descuento sobre subtotal]])</f>
        <v>0</v>
      </c>
      <c r="R368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368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63">
        <f ca="1">IF(PROVEEDORES[[#This Row],[FECHA DE PAGO]]=0,TODAY()-PROVEEDORES[[#This Row],[FECHA DE FACTURACIÓN]]-PROVEEDORES[[#This Row],[PLAZO Días]],0)</f>
        <v>0</v>
      </c>
      <c r="U368" s="104" t="str">
        <f>+VLOOKUP(PROVEEDORES[[#This Row],[PROVEEDOR]],Terceros!$A:$D,4,FALSE)</f>
        <v>4% sin base</v>
      </c>
      <c r="V368" s="105">
        <f>+YEAR(PROVEEDORES[[#This Row],[FECHA DE FACTURACIÓN]])</f>
        <v>2022</v>
      </c>
      <c r="W368" s="105">
        <f>+MATCH(PROVEEDORES[[#This Row],[año facturado]],Retenciones!$1:$1,0)</f>
        <v>5</v>
      </c>
      <c r="X368" s="106">
        <f>+VLOOKUP(PROVEEDORES[[#This Row],[ID RETENCION]],Retenciones!$A$1:$O$25,PROVEEDORES[[#This Row],[indicador de columna]],FALSE)</f>
        <v>0</v>
      </c>
      <c r="Y368" s="107">
        <f>+VLOOKUP(PROVEEDORES[[#This Row],[ID RETENCION]],Retenciones!$A$1:$O$25,2,FALSE)</f>
        <v>0.04</v>
      </c>
      <c r="Z368" s="116" t="b">
        <f>OR(COUNTIF(PROVEEDORES[[#This Row],[PROVEEDOR]],"*"&amp;'Palabra no opera'!$A$2&amp;"*"))</f>
        <v>1</v>
      </c>
    </row>
    <row r="369" spans="1:26" ht="22.35" customHeight="1" x14ac:dyDescent="0.3">
      <c r="A369" s="114" t="str">
        <f>+IF(PROVEEDORES[[#This Row],[FECHA DE PAGO]]=PROVEEDORES[[#This Row],[FECHA DE FACTURACIÓN]],"DE CONTADO","CRÉDITO")</f>
        <v>CRÉDITO</v>
      </c>
      <c r="B369" s="38" t="b">
        <f>+IF((PROVEEDORES[[#This Row],[FECHA DE PAGO]]-PROVEEDORES[[#This Row],[FECHA DE FACTURACIÓN]])&gt;PROVEEDORES[[#This Row],[PLAZO Días]],"PAGO VENCIDO")</f>
        <v>0</v>
      </c>
      <c r="C369" s="20">
        <f>+VLOOKUP(PROVEEDORES[[#This Row],[PROVEEDOR]],TERCEROS_INFO[#All],2,FALSE)</f>
        <v>30</v>
      </c>
      <c r="D369" s="25">
        <f>+SUMIFS(PROVEEDORES[Total],PROVEEDORES[PROVEEDOR],PROVEEDORES[[#This Row],[PROVEEDOR]],PROVEEDORES[FECHA DE PAGO],"")</f>
        <v>0</v>
      </c>
      <c r="E369" s="25"/>
      <c r="F36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69" s="68">
        <v>44699</v>
      </c>
      <c r="H369" s="26" t="s">
        <v>623</v>
      </c>
      <c r="I369" s="68">
        <v>44682</v>
      </c>
      <c r="J369" s="35" t="s">
        <v>663</v>
      </c>
      <c r="K369" s="21">
        <v>3294426</v>
      </c>
      <c r="L369" s="21"/>
      <c r="M369" s="22">
        <f>(PROVEEDORES[[#This Row],[SUBTOTAL]]-PROVEEDORES[[#This Row],[descuento sobre subtotal]])*VLOOKUP(PROVEEDORES[[#This Row],[PROVEEDOR]],TERCEROS_INFO[#All],3,FALSE)</f>
        <v>625940.94000000006</v>
      </c>
      <c r="N369" s="23"/>
      <c r="O369" s="22">
        <f>+PROVEEDORES[[#This Row],[Descuento sobre subtotal %]]*(PROVEEDORES[[#This Row],[SUBTOTAL]]-PROVEEDORES[[#This Row],[descuento sobre subtotal]])</f>
        <v>0</v>
      </c>
      <c r="P369" s="74">
        <v>0</v>
      </c>
      <c r="Q369" s="22">
        <f>+PROVEEDORES[[#This Row],[Rete Fuente %]]*(PROVEEDORES[[#This Row],[SUBTOTAL]]-PROVEEDORES[[#This Row],[descuento sobre subtotal]])</f>
        <v>0</v>
      </c>
      <c r="R369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369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63">
        <f ca="1">IF(PROVEEDORES[[#This Row],[FECHA DE PAGO]]=0,TODAY()-PROVEEDORES[[#This Row],[FECHA DE FACTURACIÓN]]-PROVEEDORES[[#This Row],[PLAZO Días]],0)</f>
        <v>0</v>
      </c>
      <c r="U369" s="104" t="str">
        <f>+VLOOKUP(PROVEEDORES[[#This Row],[PROVEEDOR]],Terceros!$A:$D,4,FALSE)</f>
        <v>4% sin base</v>
      </c>
      <c r="V369" s="105">
        <f>+YEAR(PROVEEDORES[[#This Row],[FECHA DE FACTURACIÓN]])</f>
        <v>2022</v>
      </c>
      <c r="W369" s="105">
        <f>+MATCH(PROVEEDORES[[#This Row],[año facturado]],Retenciones!$1:$1,0)</f>
        <v>5</v>
      </c>
      <c r="X369" s="106">
        <f>+VLOOKUP(PROVEEDORES[[#This Row],[ID RETENCION]],Retenciones!$A$1:$O$25,PROVEEDORES[[#This Row],[indicador de columna]],FALSE)</f>
        <v>0</v>
      </c>
      <c r="Y369" s="107">
        <f>+VLOOKUP(PROVEEDORES[[#This Row],[ID RETENCION]],Retenciones!$A$1:$O$25,2,FALSE)</f>
        <v>0.04</v>
      </c>
      <c r="Z369" s="116" t="b">
        <f>OR(COUNTIF(PROVEEDORES[[#This Row],[PROVEEDOR]],"*"&amp;'Palabra no opera'!$A$2&amp;"*"))</f>
        <v>1</v>
      </c>
    </row>
    <row r="370" spans="1:26" ht="22.35" customHeight="1" x14ac:dyDescent="0.3">
      <c r="A370" s="61" t="str">
        <f>+IF(PROVEEDORES[[#This Row],[FECHA DE PAGO]]=PROVEEDORES[[#This Row],[FECHA DE FACTURACIÓN]],"DE CONTADO","CRÉDITO")</f>
        <v>CRÉDITO</v>
      </c>
      <c r="B370" s="38" t="str">
        <f>+IF((PROVEEDORES[[#This Row],[FECHA DE PAGO]]-PROVEEDORES[[#This Row],[FECHA DE FACTURACIÓN]])&gt;PROVEEDORES[[#This Row],[PLAZO Días]],"PAGO VENCIDO")</f>
        <v>PAGO VENCIDO</v>
      </c>
      <c r="C370" s="20">
        <f>+VLOOKUP(PROVEEDORES[[#This Row],[PROVEEDOR]],TERCEROS_INFO[#All],2,FALSE)</f>
        <v>30</v>
      </c>
      <c r="D370" s="25">
        <f>+SUMIFS(PROVEEDORES[Total],PROVEEDORES[PROVEEDOR],PROVEEDORES[[#This Row],[PROVEEDOR]],PROVEEDORES[FECHA DE PAGO],"")</f>
        <v>27189617.395</v>
      </c>
      <c r="E370" s="25"/>
      <c r="F370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370" s="68">
        <v>44699</v>
      </c>
      <c r="H370" s="26" t="s">
        <v>77</v>
      </c>
      <c r="I370" s="68">
        <v>44425</v>
      </c>
      <c r="J370" s="35" t="s">
        <v>264</v>
      </c>
      <c r="K370" s="21">
        <v>-358200</v>
      </c>
      <c r="L370" s="21"/>
      <c r="M370" s="22">
        <v>-68058</v>
      </c>
      <c r="N370" s="23"/>
      <c r="O370" s="22">
        <v>0</v>
      </c>
      <c r="P370" s="74">
        <f>+IF(PROVEEDORES[[#This Row],[SUBTOTAL]]&lt;PROVEEDORES[[#This Row],[base retencion]],0,PROVEEDORES[[#This Row],[retención aplicada]])</f>
        <v>0</v>
      </c>
      <c r="Q370" s="22">
        <f>+PROVEEDORES[[#This Row],[Rete Fuente %]]*(PROVEEDORES[[#This Row],[SUBTOTAL]]-PROVEEDORES[[#This Row],[descuento sobre subtotal]])</f>
        <v>0</v>
      </c>
      <c r="R370" s="21">
        <v>-417303</v>
      </c>
      <c r="S37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63">
        <f ca="1">IF(PROVEEDORES[[#This Row],[FECHA DE PAGO]]=0,TODAY()-PROVEEDORES[[#This Row],[FECHA DE FACTURACIÓN]]-PROVEEDORES[[#This Row],[PLAZO Días]],0)</f>
        <v>0</v>
      </c>
      <c r="U370" s="87" t="str">
        <f>+VLOOKUP(PROVEEDORES[[#This Row],[PROVEEDOR]],Terceros!$A:$D,4,FALSE)</f>
        <v>2,5% con base</v>
      </c>
      <c r="V370" s="88">
        <f>+YEAR(PROVEEDORES[[#This Row],[FECHA DE FACTURACIÓN]])</f>
        <v>2021</v>
      </c>
      <c r="W370" s="88">
        <f>+MATCH(PROVEEDORES[[#This Row],[año facturado]],Retenciones!$1:$1,0)</f>
        <v>4</v>
      </c>
      <c r="X370" s="89">
        <f>+VLOOKUP(PROVEEDORES[[#This Row],[ID RETENCION]],Retenciones!$A$1:$O$25,PROVEEDORES[[#This Row],[indicador de columna]],FALSE)</f>
        <v>980000</v>
      </c>
      <c r="Y370" s="90">
        <f>+VLOOKUP(PROVEEDORES[[#This Row],[ID RETENCION]],Retenciones!$A$1:$O$25,2,FALSE)</f>
        <v>2.5000000000000001E-2</v>
      </c>
      <c r="Z370" s="116" t="b">
        <f>OR(COUNTIF(PROVEEDORES[[#This Row],[PROVEEDOR]],"*"&amp;'Palabra no opera'!$A$2&amp;"*"))</f>
        <v>0</v>
      </c>
    </row>
    <row r="371" spans="1:26" ht="22.35" customHeight="1" x14ac:dyDescent="0.3">
      <c r="A371" s="127" t="str">
        <f>+IF(PROVEEDORES[[#This Row],[FECHA DE PAGO]]=PROVEEDORES[[#This Row],[FECHA DE FACTURACIÓN]],"DE CONTADO","CRÉDITO")</f>
        <v>CRÉDITO</v>
      </c>
      <c r="B371" s="38" t="b">
        <f>+IF((PROVEEDORES[[#This Row],[FECHA DE PAGO]]-PROVEEDORES[[#This Row],[FECHA DE FACTURACIÓN]])&gt;PROVEEDORES[[#This Row],[PLAZO Días]],"PAGO VENCIDO")</f>
        <v>0</v>
      </c>
      <c r="C371" s="20">
        <f>+VLOOKUP(PROVEEDORES[[#This Row],[PROVEEDOR]],TERCEROS_INFO[#All],2,FALSE)</f>
        <v>30</v>
      </c>
      <c r="D371" s="25">
        <f>+SUMIFS(PROVEEDORES[Total],PROVEEDORES[PROVEEDOR],PROVEEDORES[[#This Row],[PROVEEDOR]],PROVEEDORES[FECHA DE PAGO],"")</f>
        <v>27189617.395</v>
      </c>
      <c r="E371" s="25"/>
      <c r="F371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371" s="68">
        <v>44699</v>
      </c>
      <c r="H371" s="26" t="s">
        <v>77</v>
      </c>
      <c r="I371" s="68">
        <v>44692</v>
      </c>
      <c r="J371" s="35" t="s">
        <v>677</v>
      </c>
      <c r="K371" s="21">
        <v>4704300</v>
      </c>
      <c r="L371" s="21"/>
      <c r="M371" s="22">
        <f>(PROVEEDORES[[#This Row],[SUBTOTAL]]-PROVEEDORES[[#This Row],[descuento sobre subtotal]])*VLOOKUP(PROVEEDORES[[#This Row],[PROVEEDOR]],TERCEROS_INFO[#All],3,FALSE)</f>
        <v>893817</v>
      </c>
      <c r="N371" s="23"/>
      <c r="O371" s="22">
        <f>+PROVEEDORES[[#This Row],[Descuento sobre subtotal %]]*(PROVEEDORES[[#This Row],[SUBTOTAL]]-PROVEEDORES[[#This Row],[descuento sobre subtotal]])</f>
        <v>0</v>
      </c>
      <c r="P371" s="74">
        <f>+IF(PROVEEDORES[[#This Row],[SUBTOTAL]]&lt;PROVEEDORES[[#This Row],[base retencion]],0,PROVEEDORES[[#This Row],[retención aplicada]])</f>
        <v>2.5000000000000001E-2</v>
      </c>
      <c r="Q371" s="22">
        <f>+PROVEEDORES[[#This Row],[Rete Fuente %]]*(PROVEEDORES[[#This Row],[SUBTOTAL]]-PROVEEDORES[[#This Row],[descuento sobre subtotal]])</f>
        <v>117607.5</v>
      </c>
      <c r="R371" s="21">
        <f>+PROVEEDORES[[#This Row],[SUBTOTAL]]+PROVEEDORES[[#This Row],[IVA 19%]]-PROVEEDORES[[#This Row],[descuento sobre subtotal]]-PROVEEDORES[[#This Row],[Descuento sobre subtotal $2]]-PROVEEDORES[[#This Row],[Rete Fuente $]]</f>
        <v>5480509.5</v>
      </c>
      <c r="S371" s="1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63">
        <f ca="1">IF(PROVEEDORES[[#This Row],[FECHA DE PAGO]]=0,TODAY()-PROVEEDORES[[#This Row],[FECHA DE FACTURACIÓN]]-PROVEEDORES[[#This Row],[PLAZO Días]],0)</f>
        <v>0</v>
      </c>
      <c r="U371" s="104" t="str">
        <f>+VLOOKUP(PROVEEDORES[[#This Row],[PROVEEDOR]],Terceros!$A:$D,4,FALSE)</f>
        <v>2,5% con base</v>
      </c>
      <c r="V371" s="105">
        <f>+YEAR(PROVEEDORES[[#This Row],[FECHA DE FACTURACIÓN]])</f>
        <v>2022</v>
      </c>
      <c r="W371" s="105">
        <f>+MATCH(PROVEEDORES[[#This Row],[año facturado]],Retenciones!$1:$1,0)</f>
        <v>5</v>
      </c>
      <c r="X371" s="106">
        <f>+VLOOKUP(PROVEEDORES[[#This Row],[ID RETENCION]],Retenciones!$A$1:$O$25,PROVEEDORES[[#This Row],[indicador de columna]],FALSE)</f>
        <v>1026000</v>
      </c>
      <c r="Y371" s="107">
        <f>+VLOOKUP(PROVEEDORES[[#This Row],[ID RETENCION]],Retenciones!$A$1:$O$25,2,FALSE)</f>
        <v>2.5000000000000001E-2</v>
      </c>
      <c r="Z371" s="116" t="b">
        <f>OR(COUNTIF(PROVEEDORES[[#This Row],[PROVEEDOR]],"*"&amp;'Palabra no opera'!$A$2&amp;"*"))</f>
        <v>0</v>
      </c>
    </row>
    <row r="372" spans="1:26" ht="22.35" customHeight="1" x14ac:dyDescent="0.3">
      <c r="A372" s="124" t="str">
        <f>+IF(PROVEEDORES[[#This Row],[FECHA DE PAGO]]=PROVEEDORES[[#This Row],[FECHA DE FACTURACIÓN]],"DE CONTADO","CRÉDITO")</f>
        <v>CRÉDITO</v>
      </c>
      <c r="B372" s="38" t="b">
        <f>+IF((PROVEEDORES[[#This Row],[FECHA DE PAGO]]-PROVEEDORES[[#This Row],[FECHA DE FACTURACIÓN]])&gt;PROVEEDORES[[#This Row],[PLAZO Días]],"PAGO VENCIDO")</f>
        <v>0</v>
      </c>
      <c r="C372" s="20">
        <f>+VLOOKUP(PROVEEDORES[[#This Row],[PROVEEDOR]],TERCEROS_INFO[#All],2,FALSE)</f>
        <v>30</v>
      </c>
      <c r="D372" s="25">
        <f>+SUMIFS(PROVEEDORES[Total],PROVEEDORES[PROVEEDOR],PROVEEDORES[[#This Row],[PROVEEDOR]],PROVEEDORES[FECHA DE PAGO],"")</f>
        <v>0</v>
      </c>
      <c r="E372" s="25"/>
      <c r="F372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72" s="68">
        <v>44699</v>
      </c>
      <c r="H372" s="26" t="s">
        <v>967</v>
      </c>
      <c r="I372" s="68">
        <v>44691</v>
      </c>
      <c r="J372" s="35">
        <v>339</v>
      </c>
      <c r="K372" s="21">
        <v>253000</v>
      </c>
      <c r="L372" s="21"/>
      <c r="M372" s="22">
        <f>(PROVEEDORES[[#This Row],[SUBTOTAL]]-PROVEEDORES[[#This Row],[descuento sobre subtotal]])*VLOOKUP(PROVEEDORES[[#This Row],[PROVEEDOR]],TERCEROS_INFO[#All],3,FALSE)</f>
        <v>0</v>
      </c>
      <c r="N372" s="23"/>
      <c r="O372" s="22">
        <f>+PROVEEDORES[[#This Row],[Descuento sobre subtotal %]]*(PROVEEDORES[[#This Row],[SUBTOTAL]]-PROVEEDORES[[#This Row],[descuento sobre subtotal]])</f>
        <v>0</v>
      </c>
      <c r="P372" s="74">
        <f>+IF(PROVEEDORES[[#This Row],[SUBTOTAL]]&lt;PROVEEDORES[[#This Row],[base retencion]],0,PROVEEDORES[[#This Row],[retención aplicada]])</f>
        <v>0.01</v>
      </c>
      <c r="Q372" s="22">
        <f>+PROVEEDORES[[#This Row],[Rete Fuente %]]*(PROVEEDORES[[#This Row],[SUBTOTAL]]-PROVEEDORES[[#This Row],[descuento sobre subtotal]])</f>
        <v>2530</v>
      </c>
      <c r="R372" s="21">
        <f>+PROVEEDORES[[#This Row],[SUBTOTAL]]+PROVEEDORES[[#This Row],[IVA 19%]]-PROVEEDORES[[#This Row],[descuento sobre subtotal]]-PROVEEDORES[[#This Row],[Descuento sobre subtotal $2]]-PROVEEDORES[[#This Row],[Rete Fuente $]]</f>
        <v>250470</v>
      </c>
      <c r="S372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63">
        <f ca="1">IF(PROVEEDORES[[#This Row],[FECHA DE PAGO]]=0,TODAY()-PROVEEDORES[[#This Row],[FECHA DE FACTURACIÓN]]-PROVEEDORES[[#This Row],[PLAZO Días]],0)</f>
        <v>0</v>
      </c>
      <c r="U372" s="104" t="str">
        <f>+VLOOKUP(PROVEEDORES[[#This Row],[PROVEEDOR]],Terceros!$A:$D,4,FALSE)</f>
        <v>1% con base</v>
      </c>
      <c r="V372" s="105">
        <f>+YEAR(PROVEEDORES[[#This Row],[FECHA DE FACTURACIÓN]])</f>
        <v>2022</v>
      </c>
      <c r="W372" s="105">
        <f>+MATCH(PROVEEDORES[[#This Row],[año facturado]],Retenciones!$1:$1,0)</f>
        <v>5</v>
      </c>
      <c r="X372" s="106">
        <f>+VLOOKUP(PROVEEDORES[[#This Row],[ID RETENCION]],Retenciones!$A$1:$O$25,PROVEEDORES[[#This Row],[indicador de columna]],FALSE)</f>
        <v>152000</v>
      </c>
      <c r="Y372" s="107">
        <f>+VLOOKUP(PROVEEDORES[[#This Row],[ID RETENCION]],Retenciones!$A$1:$O$25,2,FALSE)</f>
        <v>0.01</v>
      </c>
      <c r="Z372" s="116" t="b">
        <f>OR(COUNTIF(PROVEEDORES[[#This Row],[PROVEEDOR]],"*"&amp;'Palabra no opera'!$A$2&amp;"*"))</f>
        <v>0</v>
      </c>
    </row>
    <row r="373" spans="1:26" ht="22.35" customHeight="1" x14ac:dyDescent="0.3">
      <c r="A373" s="114" t="str">
        <f>+IF(PROVEEDORES[[#This Row],[FECHA DE PAGO]]=PROVEEDORES[[#This Row],[FECHA DE FACTURACIÓN]],"DE CONTADO","CRÉDITO")</f>
        <v>CRÉDITO</v>
      </c>
      <c r="B373" s="38" t="str">
        <f>+IF((PROVEEDORES[[#This Row],[FECHA DE PAGO]]-PROVEEDORES[[#This Row],[FECHA DE FACTURACIÓN]])&gt;PROVEEDORES[[#This Row],[PLAZO Días]],"PAGO VENCIDO")</f>
        <v>PAGO VENCIDO</v>
      </c>
      <c r="C373" s="20">
        <f>+VLOOKUP(PROVEEDORES[[#This Row],[PROVEEDOR]],TERCEROS_INFO[#All],2,FALSE)</f>
        <v>30</v>
      </c>
      <c r="D373" s="25">
        <f>+SUMIFS(PROVEEDORES[Total],PROVEEDORES[PROVEEDOR],PROVEEDORES[[#This Row],[PROVEEDOR]],PROVEEDORES[FECHA DE PAGO],"")</f>
        <v>229206</v>
      </c>
      <c r="E373" s="25"/>
      <c r="F37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73" s="68">
        <v>44699</v>
      </c>
      <c r="H373" s="26" t="s">
        <v>95</v>
      </c>
      <c r="I373" s="68">
        <v>44505</v>
      </c>
      <c r="J373" s="35" t="s">
        <v>609</v>
      </c>
      <c r="K373" s="21">
        <v>367873.4</v>
      </c>
      <c r="L373" s="21"/>
      <c r="M373" s="22">
        <f>(PROVEEDORES[[#This Row],[SUBTOTAL]]-PROVEEDORES[[#This Row],[descuento sobre subtotal]])*VLOOKUP(PROVEEDORES[[#This Row],[PROVEEDOR]],TERCEROS_INFO[#All],3,FALSE)</f>
        <v>0</v>
      </c>
      <c r="N373" s="23"/>
      <c r="O373" s="22">
        <f>+PROVEEDORES[[#This Row],[Descuento sobre subtotal %]]*(PROVEEDORES[[#This Row],[SUBTOTAL]]-PROVEEDORES[[#This Row],[descuento sobre subtotal]])</f>
        <v>0</v>
      </c>
      <c r="P373" s="74">
        <f>+IF(PROVEEDORES[[#This Row],[SUBTOTAL]]&lt;PROVEEDORES[[#This Row],[base retencion]],0,PROVEEDORES[[#This Row],[retención aplicada]])</f>
        <v>0</v>
      </c>
      <c r="Q373" s="22">
        <f>+PROVEEDORES[[#This Row],[Rete Fuente %]]*(PROVEEDORES[[#This Row],[SUBTOTAL]]-PROVEEDORES[[#This Row],[descuento sobre subtotal]])</f>
        <v>0</v>
      </c>
      <c r="R373" s="21">
        <f>+PROVEEDORES[[#This Row],[SUBTOTAL]]+PROVEEDORES[[#This Row],[IVA 19%]]-PROVEEDORES[[#This Row],[descuento sobre subtotal]]-PROVEEDORES[[#This Row],[Descuento sobre subtotal $2]]-PROVEEDORES[[#This Row],[Rete Fuente $]]</f>
        <v>367873.4</v>
      </c>
      <c r="S373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63">
        <f ca="1">IF(PROVEEDORES[[#This Row],[FECHA DE PAGO]]=0,TODAY()-PROVEEDORES[[#This Row],[FECHA DE FACTURACIÓN]]-PROVEEDORES[[#This Row],[PLAZO Días]],0)</f>
        <v>0</v>
      </c>
      <c r="U373" s="104">
        <f>+VLOOKUP(PROVEEDORES[[#This Row],[PROVEEDOR]],Terceros!$A:$D,4,FALSE)</f>
        <v>0</v>
      </c>
      <c r="V373" s="105">
        <f>+YEAR(PROVEEDORES[[#This Row],[FECHA DE FACTURACIÓN]])</f>
        <v>2021</v>
      </c>
      <c r="W373" s="105">
        <f>+MATCH(PROVEEDORES[[#This Row],[año facturado]],Retenciones!$1:$1,0)</f>
        <v>4</v>
      </c>
      <c r="X373" s="106">
        <f>+VLOOKUP(PROVEEDORES[[#This Row],[ID RETENCION]],Retenciones!$A$1:$O$25,PROVEEDORES[[#This Row],[indicador de columna]],FALSE)</f>
        <v>0</v>
      </c>
      <c r="Y373" s="107">
        <f>+VLOOKUP(PROVEEDORES[[#This Row],[ID RETENCION]],Retenciones!$A$1:$O$25,2,FALSE)</f>
        <v>0</v>
      </c>
      <c r="Z373" s="116" t="b">
        <f>OR(COUNTIF(PROVEEDORES[[#This Row],[PROVEEDOR]],"*"&amp;'Palabra no opera'!$A$2&amp;"*"))</f>
        <v>0</v>
      </c>
    </row>
    <row r="374" spans="1:26" ht="22.35" customHeight="1" x14ac:dyDescent="0.3">
      <c r="A374" s="111" t="str">
        <f>+IF(PROVEEDORES[[#This Row],[FECHA DE PAGO]]=PROVEEDORES[[#This Row],[FECHA DE FACTURACIÓN]],"DE CONTADO","CRÉDITO")</f>
        <v>CRÉDITO</v>
      </c>
      <c r="B374" s="38" t="b">
        <f>+IF((PROVEEDORES[[#This Row],[FECHA DE PAGO]]-PROVEEDORES[[#This Row],[FECHA DE FACTURACIÓN]])&gt;PROVEEDORES[[#This Row],[PLAZO Días]],"PAGO VENCIDO")</f>
        <v>0</v>
      </c>
      <c r="C374" s="20">
        <f>+VLOOKUP(PROVEEDORES[[#This Row],[PROVEEDOR]],TERCEROS_INFO[#All],2,FALSE)</f>
        <v>30</v>
      </c>
      <c r="D374" s="25">
        <f>+SUMIFS(PROVEEDORES[Total],PROVEEDORES[PROVEEDOR],PROVEEDORES[[#This Row],[PROVEEDOR]],PROVEEDORES[FECHA DE PAGO],"")</f>
        <v>0</v>
      </c>
      <c r="E374" s="25"/>
      <c r="F374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374" s="68">
        <v>44699</v>
      </c>
      <c r="H374" s="26" t="s">
        <v>248</v>
      </c>
      <c r="I374" s="68">
        <v>44669</v>
      </c>
      <c r="J374" s="35" t="s">
        <v>599</v>
      </c>
      <c r="K374" s="21">
        <v>1887203.25</v>
      </c>
      <c r="L374" s="21"/>
      <c r="M374" s="22">
        <f>(PROVEEDORES[[#This Row],[SUBTOTAL]]-PROVEEDORES[[#This Row],[descuento sobre subtotal]])*VLOOKUP(PROVEEDORES[[#This Row],[PROVEEDOR]],TERCEROS_INFO[#All],3,FALSE)</f>
        <v>358568.61749999999</v>
      </c>
      <c r="N374" s="23"/>
      <c r="O374" s="22">
        <f>+PROVEEDORES[[#This Row],[Descuento sobre subtotal %]]*(PROVEEDORES[[#This Row],[SUBTOTAL]]-PROVEEDORES[[#This Row],[descuento sobre subtotal]])</f>
        <v>0</v>
      </c>
      <c r="P374" s="74">
        <f>+IF(PROVEEDORES[[#This Row],[SUBTOTAL]]&lt;PROVEEDORES[[#This Row],[base retencion]],0,PROVEEDORES[[#This Row],[retención aplicada]])</f>
        <v>0</v>
      </c>
      <c r="Q374" s="22">
        <f>+PROVEEDORES[[#This Row],[Rete Fuente %]]*(PROVEEDORES[[#This Row],[SUBTOTAL]]-PROVEEDORES[[#This Row],[descuento sobre subtotal]])</f>
        <v>0</v>
      </c>
      <c r="R374" s="21">
        <f>+PROVEEDORES[[#This Row],[SUBTOTAL]]+PROVEEDORES[[#This Row],[IVA 19%]]-PROVEEDORES[[#This Row],[descuento sobre subtotal]]-PROVEEDORES[[#This Row],[Descuento sobre subtotal $2]]-PROVEEDORES[[#This Row],[Rete Fuente $]]</f>
        <v>2245771.8675000002</v>
      </c>
      <c r="S374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63">
        <f ca="1">IF(PROVEEDORES[[#This Row],[FECHA DE PAGO]]=0,TODAY()-PROVEEDORES[[#This Row],[FECHA DE FACTURACIÓN]]-PROVEEDORES[[#This Row],[PLAZO Días]],0)</f>
        <v>0</v>
      </c>
      <c r="U374" s="104">
        <f>+VLOOKUP(PROVEEDORES[[#This Row],[PROVEEDOR]],Terceros!$A:$D,4,FALSE)</f>
        <v>0</v>
      </c>
      <c r="V374" s="105">
        <f>+YEAR(PROVEEDORES[[#This Row],[FECHA DE FACTURACIÓN]])</f>
        <v>2022</v>
      </c>
      <c r="W374" s="105">
        <f>+MATCH(PROVEEDORES[[#This Row],[año facturado]],Retenciones!$1:$1,0)</f>
        <v>5</v>
      </c>
      <c r="X374" s="106">
        <f>+VLOOKUP(PROVEEDORES[[#This Row],[ID RETENCION]],Retenciones!$A$1:$O$25,PROVEEDORES[[#This Row],[indicador de columna]],FALSE)</f>
        <v>0</v>
      </c>
      <c r="Y374" s="107">
        <f>+VLOOKUP(PROVEEDORES[[#This Row],[ID RETENCION]],Retenciones!$A$1:$O$25,2,FALSE)</f>
        <v>0</v>
      </c>
      <c r="Z374" s="116" t="b">
        <f>OR(COUNTIF(PROVEEDORES[[#This Row],[PROVEEDOR]],"*"&amp;'Palabra no opera'!$A$2&amp;"*"))</f>
        <v>0</v>
      </c>
    </row>
    <row r="375" spans="1:26" ht="22.35" customHeight="1" x14ac:dyDescent="0.3">
      <c r="A375" s="103" t="str">
        <f>+IF(PROVEEDORES[[#This Row],[FECHA DE PAGO]]=PROVEEDORES[[#This Row],[FECHA DE FACTURACIÓN]],"DE CONTADO","CRÉDITO")</f>
        <v>CRÉDITO</v>
      </c>
      <c r="B375" s="38" t="str">
        <f>+IF((PROVEEDORES[[#This Row],[FECHA DE PAGO]]-PROVEEDORES[[#This Row],[FECHA DE FACTURACIÓN]])&gt;PROVEEDORES[[#This Row],[PLAZO Días]],"PAGO VENCIDO")</f>
        <v>PAGO VENCIDO</v>
      </c>
      <c r="C375" s="20">
        <f>+VLOOKUP(PROVEEDORES[[#This Row],[PROVEEDOR]],TERCEROS_INFO[#All],2,FALSE)</f>
        <v>30</v>
      </c>
      <c r="D375" s="25">
        <f>+SUMIFS(PROVEEDORES[Total],PROVEEDORES[PROVEEDOR],PROVEEDORES[[#This Row],[PROVEEDOR]],PROVEEDORES[FECHA DE PAGO],"")</f>
        <v>680000</v>
      </c>
      <c r="E375" s="25"/>
      <c r="F37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75" s="68">
        <v>44700</v>
      </c>
      <c r="H375" s="26" t="s">
        <v>412</v>
      </c>
      <c r="I375" s="68">
        <v>44669</v>
      </c>
      <c r="J375" s="35" t="s">
        <v>1016</v>
      </c>
      <c r="K375" s="21">
        <v>703500</v>
      </c>
      <c r="L375" s="21"/>
      <c r="M375" s="22">
        <f>(PROVEEDORES[[#This Row],[SUBTOTAL]]-PROVEEDORES[[#This Row],[descuento sobre subtotal]])*VLOOKUP(PROVEEDORES[[#This Row],[PROVEEDOR]],TERCEROS_INFO[#All],3,FALSE)</f>
        <v>0</v>
      </c>
      <c r="N375" s="23"/>
      <c r="O375" s="22">
        <f>+PROVEEDORES[[#This Row],[Descuento sobre subtotal %]]*(PROVEEDORES[[#This Row],[SUBTOTAL]]-PROVEEDORES[[#This Row],[descuento sobre subtotal]])</f>
        <v>0</v>
      </c>
      <c r="P375" s="74">
        <f>+IF(PROVEEDORES[[#This Row],[SUBTOTAL]]&lt;PROVEEDORES[[#This Row],[base retencion]],0,PROVEEDORES[[#This Row],[retención aplicada]])</f>
        <v>0</v>
      </c>
      <c r="Q375" s="22">
        <f>+PROVEEDORES[[#This Row],[Rete Fuente %]]*(PROVEEDORES[[#This Row],[SUBTOTAL]]-PROVEEDORES[[#This Row],[descuento sobre subtotal]])</f>
        <v>0</v>
      </c>
      <c r="R375" s="21">
        <f>+PROVEEDORES[[#This Row],[SUBTOTAL]]+PROVEEDORES[[#This Row],[IVA 19%]]-PROVEEDORES[[#This Row],[descuento sobre subtotal]]-PROVEEDORES[[#This Row],[Descuento sobre subtotal $2]]-PROVEEDORES[[#This Row],[Rete Fuente $]]</f>
        <v>703500</v>
      </c>
      <c r="S375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63">
        <f ca="1">IF(PROVEEDORES[[#This Row],[FECHA DE PAGO]]=0,TODAY()-PROVEEDORES[[#This Row],[FECHA DE FACTURACIÓN]]-PROVEEDORES[[#This Row],[PLAZO Días]],0)</f>
        <v>0</v>
      </c>
      <c r="U375" s="104">
        <f>+VLOOKUP(PROVEEDORES[[#This Row],[PROVEEDOR]],Terceros!$A:$D,4,FALSE)</f>
        <v>0</v>
      </c>
      <c r="V375" s="105">
        <f>+YEAR(PROVEEDORES[[#This Row],[FECHA DE FACTURACIÓN]])</f>
        <v>2022</v>
      </c>
      <c r="W375" s="105">
        <f>+MATCH(PROVEEDORES[[#This Row],[año facturado]],Retenciones!$1:$1,0)</f>
        <v>5</v>
      </c>
      <c r="X375" s="106">
        <f>+VLOOKUP(PROVEEDORES[[#This Row],[ID RETENCION]],Retenciones!$A$1:$O$25,PROVEEDORES[[#This Row],[indicador de columna]],FALSE)</f>
        <v>0</v>
      </c>
      <c r="Y375" s="107">
        <f>+VLOOKUP(PROVEEDORES[[#This Row],[ID RETENCION]],Retenciones!$A$1:$O$25,2,FALSE)</f>
        <v>0</v>
      </c>
      <c r="Z375" s="116" t="b">
        <f>OR(COUNTIF(PROVEEDORES[[#This Row],[PROVEEDOR]],"*"&amp;'Palabra no opera'!$A$2&amp;"*"))</f>
        <v>0</v>
      </c>
    </row>
    <row r="376" spans="1:26" ht="22.35" customHeight="1" x14ac:dyDescent="0.3">
      <c r="A376" s="103" t="str">
        <f>+IF(PROVEEDORES[[#This Row],[FECHA DE PAGO]]=PROVEEDORES[[#This Row],[FECHA DE FACTURACIÓN]],"DE CONTADO","CRÉDITO")</f>
        <v>CRÉDITO</v>
      </c>
      <c r="B376" s="38" t="str">
        <f>+IF((PROVEEDORES[[#This Row],[FECHA DE PAGO]]-PROVEEDORES[[#This Row],[FECHA DE FACTURACIÓN]])&gt;PROVEEDORES[[#This Row],[PLAZO Días]],"PAGO VENCIDO")</f>
        <v>PAGO VENCIDO</v>
      </c>
      <c r="C376" s="20">
        <f>+VLOOKUP(PROVEEDORES[[#This Row],[PROVEEDOR]],TERCEROS_INFO[#All],2,FALSE)</f>
        <v>30</v>
      </c>
      <c r="D376" s="25">
        <f>+SUMIFS(PROVEEDORES[Total],PROVEEDORES[PROVEEDOR],PROVEEDORES[[#This Row],[PROVEEDOR]],PROVEEDORES[FECHA DE PAGO],"")</f>
        <v>680000</v>
      </c>
      <c r="E376" s="25"/>
      <c r="F376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76" s="68">
        <v>44700</v>
      </c>
      <c r="H376" s="26" t="s">
        <v>412</v>
      </c>
      <c r="I376" s="68">
        <v>44669</v>
      </c>
      <c r="J376" s="35" t="s">
        <v>1018</v>
      </c>
      <c r="K376" s="21">
        <v>1054000</v>
      </c>
      <c r="L376" s="21"/>
      <c r="M376" s="22">
        <f>(PROVEEDORES[[#This Row],[SUBTOTAL]]-PROVEEDORES[[#This Row],[descuento sobre subtotal]])*VLOOKUP(PROVEEDORES[[#This Row],[PROVEEDOR]],TERCEROS_INFO[#All],3,FALSE)</f>
        <v>0</v>
      </c>
      <c r="N376" s="23"/>
      <c r="O376" s="22">
        <f>+PROVEEDORES[[#This Row],[Descuento sobre subtotal %]]*(PROVEEDORES[[#This Row],[SUBTOTAL]]-PROVEEDORES[[#This Row],[descuento sobre subtotal]])</f>
        <v>0</v>
      </c>
      <c r="P376" s="74">
        <f>+IF(PROVEEDORES[[#This Row],[SUBTOTAL]]&lt;PROVEEDORES[[#This Row],[base retencion]],0,PROVEEDORES[[#This Row],[retención aplicada]])</f>
        <v>0</v>
      </c>
      <c r="Q376" s="22">
        <f>+PROVEEDORES[[#This Row],[Rete Fuente %]]*(PROVEEDORES[[#This Row],[SUBTOTAL]]-PROVEEDORES[[#This Row],[descuento sobre subtotal]])</f>
        <v>0</v>
      </c>
      <c r="R376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376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63">
        <f ca="1">IF(PROVEEDORES[[#This Row],[FECHA DE PAGO]]=0,TODAY()-PROVEEDORES[[#This Row],[FECHA DE FACTURACIÓN]]-PROVEEDORES[[#This Row],[PLAZO Días]],0)</f>
        <v>0</v>
      </c>
      <c r="U376" s="104">
        <f>+VLOOKUP(PROVEEDORES[[#This Row],[PROVEEDOR]],Terceros!$A:$D,4,FALSE)</f>
        <v>0</v>
      </c>
      <c r="V376" s="105">
        <f>+YEAR(PROVEEDORES[[#This Row],[FECHA DE FACTURACIÓN]])</f>
        <v>2022</v>
      </c>
      <c r="W376" s="105">
        <f>+MATCH(PROVEEDORES[[#This Row],[año facturado]],Retenciones!$1:$1,0)</f>
        <v>5</v>
      </c>
      <c r="X376" s="106">
        <f>+VLOOKUP(PROVEEDORES[[#This Row],[ID RETENCION]],Retenciones!$A$1:$O$25,PROVEEDORES[[#This Row],[indicador de columna]],FALSE)</f>
        <v>0</v>
      </c>
      <c r="Y376" s="107">
        <f>+VLOOKUP(PROVEEDORES[[#This Row],[ID RETENCION]],Retenciones!$A$1:$O$25,2,FALSE)</f>
        <v>0</v>
      </c>
      <c r="Z376" s="116" t="b">
        <f>OR(COUNTIF(PROVEEDORES[[#This Row],[PROVEEDOR]],"*"&amp;'Palabra no opera'!$A$2&amp;"*"))</f>
        <v>0</v>
      </c>
    </row>
    <row r="377" spans="1:26" ht="22.35" customHeight="1" x14ac:dyDescent="0.3">
      <c r="A377" s="103" t="str">
        <f>+IF(PROVEEDORES[[#This Row],[FECHA DE PAGO]]=PROVEEDORES[[#This Row],[FECHA DE FACTURACIÓN]],"DE CONTADO","CRÉDITO")</f>
        <v>CRÉDITO</v>
      </c>
      <c r="B377" s="38" t="str">
        <f>+IF((PROVEEDORES[[#This Row],[FECHA DE PAGO]]-PROVEEDORES[[#This Row],[FECHA DE FACTURACIÓN]])&gt;PROVEEDORES[[#This Row],[PLAZO Días]],"PAGO VENCIDO")</f>
        <v>PAGO VENCIDO</v>
      </c>
      <c r="C377" s="20">
        <f>+VLOOKUP(PROVEEDORES[[#This Row],[PROVEEDOR]],TERCEROS_INFO[#All],2,FALSE)</f>
        <v>30</v>
      </c>
      <c r="D377" s="25">
        <f>+SUMIFS(PROVEEDORES[Total],PROVEEDORES[PROVEEDOR],PROVEEDORES[[#This Row],[PROVEEDOR]],PROVEEDORES[FECHA DE PAGO],"")</f>
        <v>680000</v>
      </c>
      <c r="E377" s="25"/>
      <c r="F377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77" s="68">
        <v>44700</v>
      </c>
      <c r="H377" s="26" t="s">
        <v>412</v>
      </c>
      <c r="I377" s="68">
        <v>44669</v>
      </c>
      <c r="J377" s="35" t="s">
        <v>1017</v>
      </c>
      <c r="K377" s="21">
        <v>1341500</v>
      </c>
      <c r="L377" s="21"/>
      <c r="M377" s="22">
        <f>(PROVEEDORES[[#This Row],[SUBTOTAL]]-PROVEEDORES[[#This Row],[descuento sobre subtotal]])*VLOOKUP(PROVEEDORES[[#This Row],[PROVEEDOR]],TERCEROS_INFO[#All],3,FALSE)</f>
        <v>0</v>
      </c>
      <c r="N377" s="23"/>
      <c r="O377" s="22">
        <f>+PROVEEDORES[[#This Row],[Descuento sobre subtotal %]]*(PROVEEDORES[[#This Row],[SUBTOTAL]]-PROVEEDORES[[#This Row],[descuento sobre subtotal]])</f>
        <v>0</v>
      </c>
      <c r="P377" s="74">
        <f>+IF(PROVEEDORES[[#This Row],[SUBTOTAL]]&lt;PROVEEDORES[[#This Row],[base retencion]],0,PROVEEDORES[[#This Row],[retención aplicada]])</f>
        <v>0</v>
      </c>
      <c r="Q377" s="22">
        <f>+PROVEEDORES[[#This Row],[Rete Fuente %]]*(PROVEEDORES[[#This Row],[SUBTOTAL]]-PROVEEDORES[[#This Row],[descuento sobre subtotal]])</f>
        <v>0</v>
      </c>
      <c r="R377" s="21">
        <f>+PROVEEDORES[[#This Row],[SUBTOTAL]]+PROVEEDORES[[#This Row],[IVA 19%]]-PROVEEDORES[[#This Row],[descuento sobre subtotal]]-PROVEEDORES[[#This Row],[Descuento sobre subtotal $2]]-PROVEEDORES[[#This Row],[Rete Fuente $]]</f>
        <v>1341500</v>
      </c>
      <c r="S377" s="10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63">
        <f ca="1">IF(PROVEEDORES[[#This Row],[FECHA DE PAGO]]=0,TODAY()-PROVEEDORES[[#This Row],[FECHA DE FACTURACIÓN]]-PROVEEDORES[[#This Row],[PLAZO Días]],0)</f>
        <v>0</v>
      </c>
      <c r="U377" s="104">
        <f>+VLOOKUP(PROVEEDORES[[#This Row],[PROVEEDOR]],Terceros!$A:$D,4,FALSE)</f>
        <v>0</v>
      </c>
      <c r="V377" s="105">
        <f>+YEAR(PROVEEDORES[[#This Row],[FECHA DE FACTURACIÓN]])</f>
        <v>2022</v>
      </c>
      <c r="W377" s="105">
        <f>+MATCH(PROVEEDORES[[#This Row],[año facturado]],Retenciones!$1:$1,0)</f>
        <v>5</v>
      </c>
      <c r="X377" s="106">
        <f>+VLOOKUP(PROVEEDORES[[#This Row],[ID RETENCION]],Retenciones!$A$1:$O$25,PROVEEDORES[[#This Row],[indicador de columna]],FALSE)</f>
        <v>0</v>
      </c>
      <c r="Y377" s="107">
        <f>+VLOOKUP(PROVEEDORES[[#This Row],[ID RETENCION]],Retenciones!$A$1:$O$25,2,FALSE)</f>
        <v>0</v>
      </c>
      <c r="Z377" s="116" t="b">
        <f>OR(COUNTIF(PROVEEDORES[[#This Row],[PROVEEDOR]],"*"&amp;'Palabra no opera'!$A$2&amp;"*"))</f>
        <v>0</v>
      </c>
    </row>
    <row r="378" spans="1:26" ht="22.35" customHeight="1" x14ac:dyDescent="0.3">
      <c r="A378" s="135" t="str">
        <f>+IF(PROVEEDORES[[#This Row],[FECHA DE PAGO]]=PROVEEDORES[[#This Row],[FECHA DE FACTURACIÓN]],"DE CONTADO","CRÉDITO")</f>
        <v>DE CONTADO</v>
      </c>
      <c r="B378" s="38" t="b">
        <f>+IF((PROVEEDORES[[#This Row],[FECHA DE PAGO]]-PROVEEDORES[[#This Row],[FECHA DE FACTURACIÓN]])&gt;PROVEEDORES[[#This Row],[PLAZO Días]],"PAGO VENCIDO")</f>
        <v>0</v>
      </c>
      <c r="C378" s="20">
        <f>+VLOOKUP(PROVEEDORES[[#This Row],[PROVEEDOR]],TERCEROS_INFO[#All],2,FALSE)</f>
        <v>30</v>
      </c>
      <c r="D378" s="25">
        <f>+SUMIFS(PROVEEDORES[Total],PROVEEDORES[PROVEEDOR],PROVEEDORES[[#This Row],[PROVEEDOR]],PROVEEDORES[FECHA DE PAGO],"")</f>
        <v>0</v>
      </c>
      <c r="E378" s="25"/>
      <c r="F378" s="56" t="str">
        <f>+VLOOKUP(PROVEEDORES[[#This Row],[PROVEEDOR]],
                       Terceros!$A:$F,
                       5,
                       FALSE)</f>
        <v/>
      </c>
      <c r="G378" s="68">
        <v>44701</v>
      </c>
      <c r="H378" s="26" t="s">
        <v>378</v>
      </c>
      <c r="I378" s="68">
        <v>44701</v>
      </c>
      <c r="J378" s="35" t="s">
        <v>905</v>
      </c>
      <c r="K378" s="21">
        <v>1240000</v>
      </c>
      <c r="L378" s="21"/>
      <c r="M378" s="22">
        <f>(PROVEEDORES[[#This Row],[SUBTOTAL]]-PROVEEDORES[[#This Row],[descuento sobre subtotal]])*VLOOKUP(PROVEEDORES[[#This Row],[PROVEEDOR]],TERCEROS_INFO[#All],3,FALSE)</f>
        <v>0</v>
      </c>
      <c r="N378" s="23"/>
      <c r="O378" s="22">
        <f>+PROVEEDORES[[#This Row],[Descuento sobre subtotal %]]*(PROVEEDORES[[#This Row],[SUBTOTAL]]-PROVEEDORES[[#This Row],[descuento sobre subtotal]])</f>
        <v>0</v>
      </c>
      <c r="P378" s="74">
        <f>+IF(PROVEEDORES[[#This Row],[SUBTOTAL]]&lt;PROVEEDORES[[#This Row],[base retencion]],0,PROVEEDORES[[#This Row],[retención aplicada]])</f>
        <v>0</v>
      </c>
      <c r="Q378" s="22">
        <f>+PROVEEDORES[[#This Row],[Rete Fuente %]]*(PROVEEDORES[[#This Row],[SUBTOTAL]]-PROVEEDORES[[#This Row],[descuento sobre subtotal]])</f>
        <v>0</v>
      </c>
      <c r="R378" s="21">
        <f>+PROVEEDORES[[#This Row],[SUBTOTAL]]+PROVEEDORES[[#This Row],[IVA 19%]]-PROVEEDORES[[#This Row],[descuento sobre subtotal]]-PROVEEDORES[[#This Row],[Descuento sobre subtotal $2]]-PROVEEDORES[[#This Row],[Rete Fuente $]]</f>
        <v>1240000</v>
      </c>
      <c r="S378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63">
        <f ca="1">IF(PROVEEDORES[[#This Row],[FECHA DE PAGO]]=0,TODAY()-PROVEEDORES[[#This Row],[FECHA DE FACTURACIÓN]]-PROVEEDORES[[#This Row],[PLAZO Días]],0)</f>
        <v>0</v>
      </c>
      <c r="U378" s="104">
        <f>+VLOOKUP(PROVEEDORES[[#This Row],[PROVEEDOR]],Terceros!$A:$D,4,FALSE)</f>
        <v>0</v>
      </c>
      <c r="V378" s="105">
        <f>+YEAR(PROVEEDORES[[#This Row],[FECHA DE FACTURACIÓN]])</f>
        <v>2022</v>
      </c>
      <c r="W378" s="105">
        <f>+MATCH(PROVEEDORES[[#This Row],[año facturado]],Retenciones!$1:$1,0)</f>
        <v>5</v>
      </c>
      <c r="X378" s="106">
        <f>+VLOOKUP(PROVEEDORES[[#This Row],[ID RETENCION]],Retenciones!$A$1:$O$25,PROVEEDORES[[#This Row],[indicador de columna]],FALSE)</f>
        <v>0</v>
      </c>
      <c r="Y378" s="107">
        <f>+VLOOKUP(PROVEEDORES[[#This Row],[ID RETENCION]],Retenciones!$A$1:$O$25,2,FALSE)</f>
        <v>0</v>
      </c>
      <c r="Z378" s="116" t="b">
        <f>OR(COUNTIF(PROVEEDORES[[#This Row],[PROVEEDOR]],"*"&amp;'Palabra no opera'!$A$2&amp;"*"))</f>
        <v>0</v>
      </c>
    </row>
    <row r="379" spans="1:26" ht="22.35" customHeight="1" x14ac:dyDescent="0.3">
      <c r="A379" s="61" t="str">
        <f>+IF(PROVEEDORES[[#This Row],[FECHA DE PAGO]]=PROVEEDORES[[#This Row],[FECHA DE FACTURACIÓN]],"DE CONTADO","CRÉDITO")</f>
        <v>CRÉDITO</v>
      </c>
      <c r="B379" s="38" t="str">
        <f>+IF((PROVEEDORES[[#This Row],[FECHA DE PAGO]]-PROVEEDORES[[#This Row],[FECHA DE FACTURACIÓN]])&gt;PROVEEDORES[[#This Row],[PLAZO Días]],"PAGO VENCIDO")</f>
        <v>PAGO VENCIDO</v>
      </c>
      <c r="C379" s="20">
        <f>+VLOOKUP(PROVEEDORES[[#This Row],[PROVEEDOR]],TERCEROS_INFO[#All],2,FALSE)</f>
        <v>30</v>
      </c>
      <c r="D379" s="25">
        <f>+SUMIFS(PROVEEDORES[Total],PROVEEDORES[PROVEEDOR],PROVEEDORES[[#This Row],[PROVEEDOR]],PROVEEDORES[FECHA DE PAGO],"")</f>
        <v>121187115</v>
      </c>
      <c r="E379" s="25"/>
      <c r="F379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379" s="68">
        <v>44701</v>
      </c>
      <c r="H379" s="26" t="s">
        <v>31</v>
      </c>
      <c r="I379" s="68">
        <v>44629</v>
      </c>
      <c r="J379" s="35">
        <v>56143</v>
      </c>
      <c r="K379" s="21">
        <v>39058718</v>
      </c>
      <c r="L379" s="21"/>
      <c r="M379" s="22">
        <f>(PROVEEDORES[[#This Row],[SUBTOTAL]]-PROVEEDORES[[#This Row],[descuento sobre subtotal]])*VLOOKUP(PROVEEDORES[[#This Row],[PROVEEDOR]],TERCEROS_INFO[#All],3,FALSE)</f>
        <v>0</v>
      </c>
      <c r="N379" s="23"/>
      <c r="O379" s="22">
        <f>+PROVEEDORES[[#This Row],[Descuento sobre subtotal %]]*(PROVEEDORES[[#This Row],[SUBTOTAL]]-PROVEEDORES[[#This Row],[descuento sobre subtotal]])</f>
        <v>0</v>
      </c>
      <c r="P379" s="74">
        <f>+IF(PROVEEDORES[[#This Row],[SUBTOTAL]]&lt;PROVEEDORES[[#This Row],[base retencion]],0,PROVEEDORES[[#This Row],[retención aplicada]])</f>
        <v>0</v>
      </c>
      <c r="Q379" s="22">
        <f>+PROVEEDORES[[#This Row],[Rete Fuente %]]*(PROVEEDORES[[#This Row],[SUBTOTAL]]-PROVEEDORES[[#This Row],[descuento sobre subtotal]])</f>
        <v>0</v>
      </c>
      <c r="R379" s="21">
        <f>+PROVEEDORES[[#This Row],[SUBTOTAL]]+PROVEEDORES[[#This Row],[IVA 19%]]-PROVEEDORES[[#This Row],[descuento sobre subtotal]]-PROVEEDORES[[#This Row],[Descuento sobre subtotal $2]]-PROVEEDORES[[#This Row],[Rete Fuente $]]</f>
        <v>39058718</v>
      </c>
      <c r="S37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63">
        <f ca="1">IF(PROVEEDORES[[#This Row],[FECHA DE PAGO]]=0,TODAY()-PROVEEDORES[[#This Row],[FECHA DE FACTURACIÓN]]-PROVEEDORES[[#This Row],[PLAZO Días]],0)</f>
        <v>0</v>
      </c>
      <c r="U379" s="87">
        <f>+VLOOKUP(PROVEEDORES[[#This Row],[PROVEEDOR]],Terceros!$A:$D,4,FALSE)</f>
        <v>0</v>
      </c>
      <c r="V379" s="88">
        <f>+YEAR(PROVEEDORES[[#This Row],[FECHA DE FACTURACIÓN]])</f>
        <v>2022</v>
      </c>
      <c r="W379" s="88">
        <f>+MATCH(PROVEEDORES[[#This Row],[año facturado]],Retenciones!$1:$1,0)</f>
        <v>5</v>
      </c>
      <c r="X379" s="89">
        <f>+VLOOKUP(PROVEEDORES[[#This Row],[ID RETENCION]],Retenciones!$A$1:$O$25,PROVEEDORES[[#This Row],[indicador de columna]],FALSE)</f>
        <v>0</v>
      </c>
      <c r="Y379" s="90">
        <f>+VLOOKUP(PROVEEDORES[[#This Row],[ID RETENCION]],Retenciones!$A$1:$O$25,2,FALSE)</f>
        <v>0</v>
      </c>
      <c r="Z379" s="116" t="b">
        <f>OR(COUNTIF(PROVEEDORES[[#This Row],[PROVEEDOR]],"*"&amp;'Palabra no opera'!$A$2&amp;"*"))</f>
        <v>0</v>
      </c>
    </row>
    <row r="380" spans="1:26" ht="22.35" customHeight="1" x14ac:dyDescent="0.3">
      <c r="A380" s="111" t="str">
        <f>+IF(PROVEEDORES[[#This Row],[FECHA DE PAGO]]=PROVEEDORES[[#This Row],[FECHA DE FACTURACIÓN]],"DE CONTADO","CRÉDITO")</f>
        <v>CRÉDITO</v>
      </c>
      <c r="B380" s="38" t="str">
        <f>+IF((PROVEEDORES[[#This Row],[FECHA DE PAGO]]-PROVEEDORES[[#This Row],[FECHA DE FACTURACIÓN]])&gt;PROVEEDORES[[#This Row],[PLAZO Días]],"PAGO VENCIDO")</f>
        <v>PAGO VENCIDO</v>
      </c>
      <c r="C380" s="20">
        <f>+VLOOKUP(PROVEEDORES[[#This Row],[PROVEEDOR]],TERCEROS_INFO[#All],2,FALSE)</f>
        <v>30</v>
      </c>
      <c r="D380" s="25">
        <f>+SUMIFS(PROVEEDORES[Total],PROVEEDORES[PROVEEDOR],PROVEEDORES[[#This Row],[PROVEEDOR]],PROVEEDORES[FECHA DE PAGO],"")</f>
        <v>1316890.8900000001</v>
      </c>
      <c r="E380" s="25"/>
      <c r="F38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380" s="68">
        <v>44704</v>
      </c>
      <c r="H380" s="26" t="s">
        <v>17</v>
      </c>
      <c r="I380" s="68">
        <v>44670</v>
      </c>
      <c r="J380" s="35">
        <v>1903629</v>
      </c>
      <c r="K380" s="21">
        <v>1663470</v>
      </c>
      <c r="L380" s="21"/>
      <c r="M380" s="22">
        <f>(PROVEEDORES[[#This Row],[SUBTOTAL]]-PROVEEDORES[[#This Row],[descuento sobre subtotal]])*VLOOKUP(PROVEEDORES[[#This Row],[PROVEEDOR]],TERCEROS_INFO[#All],3,FALSE)</f>
        <v>316059.3</v>
      </c>
      <c r="N380" s="23"/>
      <c r="O380" s="22">
        <f>+PROVEEDORES[[#This Row],[Descuento sobre subtotal %]]*(PROVEEDORES[[#This Row],[SUBTOTAL]]-PROVEEDORES[[#This Row],[descuento sobre subtotal]])</f>
        <v>0</v>
      </c>
      <c r="P380" s="74">
        <f>+IF(PROVEEDORES[[#This Row],[SUBTOTAL]]&lt;PROVEEDORES[[#This Row],[base retencion]],0,PROVEEDORES[[#This Row],[retención aplicada]])</f>
        <v>0</v>
      </c>
      <c r="Q380" s="22">
        <f>+PROVEEDORES[[#This Row],[Rete Fuente %]]*(PROVEEDORES[[#This Row],[SUBTOTAL]]-PROVEEDORES[[#This Row],[descuento sobre subtotal]])</f>
        <v>0</v>
      </c>
      <c r="R380" s="21">
        <f>+PROVEEDORES[[#This Row],[SUBTOTAL]]+PROVEEDORES[[#This Row],[IVA 19%]]-PROVEEDORES[[#This Row],[descuento sobre subtotal]]-PROVEEDORES[[#This Row],[Descuento sobre subtotal $2]]-PROVEEDORES[[#This Row],[Rete Fuente $]]</f>
        <v>1979529.3</v>
      </c>
      <c r="S380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63">
        <f ca="1">IF(PROVEEDORES[[#This Row],[FECHA DE PAGO]]=0,TODAY()-PROVEEDORES[[#This Row],[FECHA DE FACTURACIÓN]]-PROVEEDORES[[#This Row],[PLAZO Días]],0)</f>
        <v>0</v>
      </c>
      <c r="U380" s="104">
        <f>+VLOOKUP(PROVEEDORES[[#This Row],[PROVEEDOR]],Terceros!$A:$D,4,FALSE)</f>
        <v>0</v>
      </c>
      <c r="V380" s="105">
        <f>+YEAR(PROVEEDORES[[#This Row],[FECHA DE FACTURACIÓN]])</f>
        <v>2022</v>
      </c>
      <c r="W380" s="105">
        <f>+MATCH(PROVEEDORES[[#This Row],[año facturado]],Retenciones!$1:$1,0)</f>
        <v>5</v>
      </c>
      <c r="X380" s="106">
        <f>+VLOOKUP(PROVEEDORES[[#This Row],[ID RETENCION]],Retenciones!$A$1:$O$25,PROVEEDORES[[#This Row],[indicador de columna]],FALSE)</f>
        <v>0</v>
      </c>
      <c r="Y380" s="107">
        <f>+VLOOKUP(PROVEEDORES[[#This Row],[ID RETENCION]],Retenciones!$A$1:$O$25,2,FALSE)</f>
        <v>0</v>
      </c>
      <c r="Z380" s="116" t="b">
        <f>OR(COUNTIF(PROVEEDORES[[#This Row],[PROVEEDOR]],"*"&amp;'Palabra no opera'!$A$2&amp;"*"))</f>
        <v>0</v>
      </c>
    </row>
    <row r="381" spans="1:26" ht="22.35" customHeight="1" x14ac:dyDescent="0.3">
      <c r="A381" s="135" t="str">
        <f>+IF(PROVEEDORES[[#This Row],[FECHA DE PAGO]]=PROVEEDORES[[#This Row],[FECHA DE FACTURACIÓN]],"DE CONTADO","CRÉDITO")</f>
        <v>CRÉDITO</v>
      </c>
      <c r="B381" s="38" t="b">
        <f>+IF((PROVEEDORES[[#This Row],[FECHA DE PAGO]]-PROVEEDORES[[#This Row],[FECHA DE FACTURACIÓN]])&gt;PROVEEDORES[[#This Row],[PLAZO Días]],"PAGO VENCIDO")</f>
        <v>0</v>
      </c>
      <c r="C381" s="20">
        <f>+VLOOKUP(PROVEEDORES[[#This Row],[PROVEEDOR]],TERCEROS_INFO[#All],2,FALSE)</f>
        <v>30</v>
      </c>
      <c r="D381" s="25">
        <f>+SUMIFS(PROVEEDORES[Total],PROVEEDORES[PROVEEDOR],PROVEEDORES[[#This Row],[PROVEEDOR]],PROVEEDORES[FECHA DE PAGO],"")</f>
        <v>0</v>
      </c>
      <c r="E381" s="25"/>
      <c r="F381" s="56" t="str">
        <f>+VLOOKUP(PROVEEDORES[[#This Row],[PROVEEDOR]],
                       Terceros!$A:$F,
                       5,
                       FALSE)</f>
        <v/>
      </c>
      <c r="G381" s="68">
        <v>44704</v>
      </c>
      <c r="H381" s="26" t="s">
        <v>356</v>
      </c>
      <c r="I381" s="68">
        <v>44703</v>
      </c>
      <c r="J381" s="35" t="s">
        <v>709</v>
      </c>
      <c r="K381" s="21">
        <v>377597</v>
      </c>
      <c r="L381" s="21"/>
      <c r="M381" s="22">
        <f>(PROVEEDORES[[#This Row],[SUBTOTAL]]-PROVEEDORES[[#This Row],[descuento sobre subtotal]])*VLOOKUP(PROVEEDORES[[#This Row],[PROVEEDOR]],TERCEROS_INFO[#All],3,FALSE)</f>
        <v>0</v>
      </c>
      <c r="N381" s="23"/>
      <c r="O381" s="22">
        <f>+PROVEEDORES[[#This Row],[Descuento sobre subtotal %]]*(PROVEEDORES[[#This Row],[SUBTOTAL]]-PROVEEDORES[[#This Row],[descuento sobre subtotal]])</f>
        <v>0</v>
      </c>
      <c r="P381" s="74">
        <f>+IF(PROVEEDORES[[#This Row],[SUBTOTAL]]&lt;PROVEEDORES[[#This Row],[base retencion]],0,PROVEEDORES[[#This Row],[retención aplicada]])</f>
        <v>0</v>
      </c>
      <c r="Q381" s="22">
        <f>+PROVEEDORES[[#This Row],[Rete Fuente %]]*(PROVEEDORES[[#This Row],[SUBTOTAL]]-PROVEEDORES[[#This Row],[descuento sobre subtotal]])</f>
        <v>0</v>
      </c>
      <c r="R381" s="21">
        <f>+PROVEEDORES[[#This Row],[SUBTOTAL]]+PROVEEDORES[[#This Row],[IVA 19%]]-PROVEEDORES[[#This Row],[descuento sobre subtotal]]-PROVEEDORES[[#This Row],[Descuento sobre subtotal $2]]-PROVEEDORES[[#This Row],[Rete Fuente $]]</f>
        <v>377597</v>
      </c>
      <c r="S381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63">
        <f ca="1">IF(PROVEEDORES[[#This Row],[FECHA DE PAGO]]=0,TODAY()-PROVEEDORES[[#This Row],[FECHA DE FACTURACIÓN]]-PROVEEDORES[[#This Row],[PLAZO Días]],0)</f>
        <v>0</v>
      </c>
      <c r="U381" s="104">
        <f>+VLOOKUP(PROVEEDORES[[#This Row],[PROVEEDOR]],Terceros!$A:$D,4,FALSE)</f>
        <v>0</v>
      </c>
      <c r="V381" s="105">
        <f>+YEAR(PROVEEDORES[[#This Row],[FECHA DE FACTURACIÓN]])</f>
        <v>2022</v>
      </c>
      <c r="W381" s="105">
        <f>+MATCH(PROVEEDORES[[#This Row],[año facturado]],Retenciones!$1:$1,0)</f>
        <v>5</v>
      </c>
      <c r="X381" s="106">
        <f>+VLOOKUP(PROVEEDORES[[#This Row],[ID RETENCION]],Retenciones!$A$1:$O$25,PROVEEDORES[[#This Row],[indicador de columna]],FALSE)</f>
        <v>0</v>
      </c>
      <c r="Y381" s="107">
        <f>+VLOOKUP(PROVEEDORES[[#This Row],[ID RETENCION]],Retenciones!$A$1:$O$25,2,FALSE)</f>
        <v>0</v>
      </c>
      <c r="Z381" s="116" t="b">
        <f>OR(COUNTIF(PROVEEDORES[[#This Row],[PROVEEDOR]],"*"&amp;'Palabra no opera'!$A$2&amp;"*"))</f>
        <v>0</v>
      </c>
    </row>
    <row r="382" spans="1:26" ht="22.35" customHeight="1" x14ac:dyDescent="0.3">
      <c r="A382" s="61" t="str">
        <f>+IF(PROVEEDORES[[#This Row],[FECHA DE PAGO]]=PROVEEDORES[[#This Row],[FECHA DE FACTURACIÓN]],"DE CONTADO","CRÉDITO")</f>
        <v>CRÉDITO</v>
      </c>
      <c r="B382" s="38" t="str">
        <f>+IF((PROVEEDORES[[#This Row],[FECHA DE PAGO]]-PROVEEDORES[[#This Row],[FECHA DE FACTURACIÓN]])&gt;PROVEEDORES[[#This Row],[PLAZO Días]],"PAGO VENCIDO")</f>
        <v>PAGO VENCIDO</v>
      </c>
      <c r="C382" s="20">
        <f>+VLOOKUP(PROVEEDORES[[#This Row],[PROVEEDOR]],TERCEROS_INFO[#All],2,FALSE)</f>
        <v>30</v>
      </c>
      <c r="D382" s="25">
        <f>+SUMIFS(PROVEEDORES[Total],PROVEEDORES[PROVEEDOR],PROVEEDORES[[#This Row],[PROVEEDOR]],PROVEEDORES[FECHA DE PAGO],"")</f>
        <v>0</v>
      </c>
      <c r="E382" s="25"/>
      <c r="F382" s="56" t="str">
        <f>+VLOOKUP(PROVEEDORES[[#This Row],[PROVEEDOR]],
                       Terceros!$A:$F,
                       5,
                       FALSE)</f>
        <v/>
      </c>
      <c r="G382" s="68">
        <v>44704</v>
      </c>
      <c r="H382" s="26" t="s">
        <v>388</v>
      </c>
      <c r="I382" s="68">
        <v>44607</v>
      </c>
      <c r="J382" s="35" t="s">
        <v>473</v>
      </c>
      <c r="K382" s="21">
        <v>710000</v>
      </c>
      <c r="L382" s="21"/>
      <c r="M382" s="22">
        <f>(PROVEEDORES[[#This Row],[SUBTOTAL]]-PROVEEDORES[[#This Row],[descuento sobre subtotal]])*VLOOKUP(PROVEEDORES[[#This Row],[PROVEEDOR]],TERCEROS_INFO[#All],3,FALSE)</f>
        <v>0</v>
      </c>
      <c r="N382" s="23"/>
      <c r="O382" s="22">
        <f>+PROVEEDORES[[#This Row],[Descuento sobre subtotal %]]*(PROVEEDORES[[#This Row],[SUBTOTAL]]-PROVEEDORES[[#This Row],[descuento sobre subtotal]])</f>
        <v>0</v>
      </c>
      <c r="P382" s="74">
        <f>+IF(PROVEEDORES[[#This Row],[SUBTOTAL]]&lt;PROVEEDORES[[#This Row],[base retencion]],0,PROVEEDORES[[#This Row],[retención aplicada]])</f>
        <v>0</v>
      </c>
      <c r="Q382" s="22">
        <f>+PROVEEDORES[[#This Row],[Rete Fuente %]]*(PROVEEDORES[[#This Row],[SUBTOTAL]]-PROVEEDORES[[#This Row],[descuento sobre subtotal]])</f>
        <v>0</v>
      </c>
      <c r="R382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38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63">
        <f ca="1">IF(PROVEEDORES[[#This Row],[FECHA DE PAGO]]=0,TODAY()-PROVEEDORES[[#This Row],[FECHA DE FACTURACIÓN]]-PROVEEDORES[[#This Row],[PLAZO Días]],0)</f>
        <v>0</v>
      </c>
      <c r="U382" s="87">
        <f>+VLOOKUP(PROVEEDORES[[#This Row],[PROVEEDOR]],Terceros!$A:$D,4,FALSE)</f>
        <v>0</v>
      </c>
      <c r="V382" s="88">
        <f>+YEAR(PROVEEDORES[[#This Row],[FECHA DE FACTURACIÓN]])</f>
        <v>2022</v>
      </c>
      <c r="W382" s="88">
        <f>+MATCH(PROVEEDORES[[#This Row],[año facturado]],Retenciones!$1:$1,0)</f>
        <v>5</v>
      </c>
      <c r="X382" s="89">
        <f>+VLOOKUP(PROVEEDORES[[#This Row],[ID RETENCION]],Retenciones!$A$1:$O$25,PROVEEDORES[[#This Row],[indicador de columna]],FALSE)</f>
        <v>0</v>
      </c>
      <c r="Y382" s="90">
        <f>+VLOOKUP(PROVEEDORES[[#This Row],[ID RETENCION]],Retenciones!$A$1:$O$25,2,FALSE)</f>
        <v>0</v>
      </c>
      <c r="Z382" s="116" t="b">
        <f>OR(COUNTIF(PROVEEDORES[[#This Row],[PROVEEDOR]],"*"&amp;'Palabra no opera'!$A$2&amp;"*"))</f>
        <v>0</v>
      </c>
    </row>
    <row r="383" spans="1:26" ht="22.35" customHeight="1" x14ac:dyDescent="0.3">
      <c r="A383" s="61" t="str">
        <f>+IF(PROVEEDORES[[#This Row],[FECHA DE PAGO]]=PROVEEDORES[[#This Row],[FECHA DE FACTURACIÓN]],"DE CONTADO","CRÉDITO")</f>
        <v>CRÉDITO</v>
      </c>
      <c r="B383" s="38" t="str">
        <f>+IF((PROVEEDORES[[#This Row],[FECHA DE PAGO]]-PROVEEDORES[[#This Row],[FECHA DE FACTURACIÓN]])&gt;PROVEEDORES[[#This Row],[PLAZO Días]],"PAGO VENCIDO")</f>
        <v>PAGO VENCIDO</v>
      </c>
      <c r="C383" s="20">
        <f>+VLOOKUP(PROVEEDORES[[#This Row],[PROVEEDOR]],TERCEROS_INFO[#All],2,FALSE)</f>
        <v>30</v>
      </c>
      <c r="D383" s="25">
        <f>+SUMIFS(PROVEEDORES[Total],PROVEEDORES[PROVEEDOR],PROVEEDORES[[#This Row],[PROVEEDOR]],PROVEEDORES[FECHA DE PAGO],"")</f>
        <v>0</v>
      </c>
      <c r="E383" s="25"/>
      <c r="F383" s="56" t="str">
        <f>+VLOOKUP(PROVEEDORES[[#This Row],[PROVEEDOR]],
                       Terceros!$A:$F,
                       5,
                       FALSE)</f>
        <v/>
      </c>
      <c r="G383" s="68">
        <v>44704</v>
      </c>
      <c r="H383" s="26" t="s">
        <v>388</v>
      </c>
      <c r="I383" s="68">
        <v>44624</v>
      </c>
      <c r="J383" s="35" t="s">
        <v>462</v>
      </c>
      <c r="K383" s="21">
        <v>6748000</v>
      </c>
      <c r="L383" s="21"/>
      <c r="M383" s="22">
        <f>(PROVEEDORES[[#This Row],[SUBTOTAL]]-PROVEEDORES[[#This Row],[descuento sobre subtotal]])*VLOOKUP(PROVEEDORES[[#This Row],[PROVEEDOR]],TERCEROS_INFO[#All],3,FALSE)</f>
        <v>0</v>
      </c>
      <c r="N383" s="23"/>
      <c r="O383" s="22">
        <f>+PROVEEDORES[[#This Row],[Descuento sobre subtotal %]]*(PROVEEDORES[[#This Row],[SUBTOTAL]]-PROVEEDORES[[#This Row],[descuento sobre subtotal]])</f>
        <v>0</v>
      </c>
      <c r="P383" s="74">
        <f>+IF(PROVEEDORES[[#This Row],[SUBTOTAL]]&lt;PROVEEDORES[[#This Row],[base retencion]],0,PROVEEDORES[[#This Row],[retención aplicada]])</f>
        <v>0</v>
      </c>
      <c r="Q383" s="22">
        <f>+PROVEEDORES[[#This Row],[Rete Fuente %]]*(PROVEEDORES[[#This Row],[SUBTOTAL]]-PROVEEDORES[[#This Row],[descuento sobre subtotal]])</f>
        <v>0</v>
      </c>
      <c r="R383" s="21">
        <f>+PROVEEDORES[[#This Row],[SUBTOTAL]]+PROVEEDORES[[#This Row],[IVA 19%]]-PROVEEDORES[[#This Row],[descuento sobre subtotal]]-PROVEEDORES[[#This Row],[Descuento sobre subtotal $2]]-PROVEEDORES[[#This Row],[Rete Fuente $]]</f>
        <v>6748000</v>
      </c>
      <c r="S38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3" s="63">
        <f ca="1">IF(PROVEEDORES[[#This Row],[FECHA DE PAGO]]=0,TODAY()-PROVEEDORES[[#This Row],[FECHA DE FACTURACIÓN]]-PROVEEDORES[[#This Row],[PLAZO Días]],0)</f>
        <v>0</v>
      </c>
      <c r="U383" s="87">
        <f>+VLOOKUP(PROVEEDORES[[#This Row],[PROVEEDOR]],Terceros!$A:$D,4,FALSE)</f>
        <v>0</v>
      </c>
      <c r="V383" s="88">
        <f>+YEAR(PROVEEDORES[[#This Row],[FECHA DE FACTURACIÓN]])</f>
        <v>2022</v>
      </c>
      <c r="W383" s="88">
        <f>+MATCH(PROVEEDORES[[#This Row],[año facturado]],Retenciones!$1:$1,0)</f>
        <v>5</v>
      </c>
      <c r="X383" s="89">
        <f>+VLOOKUP(PROVEEDORES[[#This Row],[ID RETENCION]],Retenciones!$A$1:$O$25,PROVEEDORES[[#This Row],[indicador de columna]],FALSE)</f>
        <v>0</v>
      </c>
      <c r="Y383" s="90">
        <f>+VLOOKUP(PROVEEDORES[[#This Row],[ID RETENCION]],Retenciones!$A$1:$O$25,2,FALSE)</f>
        <v>0</v>
      </c>
      <c r="Z383" s="116" t="b">
        <f>OR(COUNTIF(PROVEEDORES[[#This Row],[PROVEEDOR]],"*"&amp;'Palabra no opera'!$A$2&amp;"*"))</f>
        <v>0</v>
      </c>
    </row>
    <row r="384" spans="1:26" ht="22.35" customHeight="1" x14ac:dyDescent="0.3">
      <c r="A384" s="61" t="str">
        <f>+IF(PROVEEDORES[[#This Row],[FECHA DE PAGO]]=PROVEEDORES[[#This Row],[FECHA DE FACTURACIÓN]],"DE CONTADO","CRÉDITO")</f>
        <v>CRÉDITO</v>
      </c>
      <c r="B384" s="38" t="str">
        <f>+IF((PROVEEDORES[[#This Row],[FECHA DE PAGO]]-PROVEEDORES[[#This Row],[FECHA DE FACTURACIÓN]])&gt;PROVEEDORES[[#This Row],[PLAZO Días]],"PAGO VENCIDO")</f>
        <v>PAGO VENCIDO</v>
      </c>
      <c r="C384" s="20">
        <f>+VLOOKUP(PROVEEDORES[[#This Row],[PROVEEDOR]],TERCEROS_INFO[#All],2,FALSE)</f>
        <v>30</v>
      </c>
      <c r="D384" s="25">
        <f>+SUMIFS(PROVEEDORES[Total],PROVEEDORES[PROVEEDOR],PROVEEDORES[[#This Row],[PROVEEDOR]],PROVEEDORES[FECHA DE PAGO],"")</f>
        <v>0</v>
      </c>
      <c r="E384" s="25"/>
      <c r="F384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384" s="68">
        <v>44704</v>
      </c>
      <c r="H384" s="26" t="s">
        <v>21</v>
      </c>
      <c r="I384" s="68">
        <v>44587</v>
      </c>
      <c r="J384" s="35" t="s">
        <v>489</v>
      </c>
      <c r="K384" s="21">
        <v>0</v>
      </c>
      <c r="L384" s="21"/>
      <c r="M384" s="22">
        <v>0</v>
      </c>
      <c r="N384" s="23"/>
      <c r="O384" s="22">
        <v>0</v>
      </c>
      <c r="P384" s="74">
        <f>+IF(PROVEEDORES[[#This Row],[SUBTOTAL]]&lt;PROVEEDORES[[#This Row],[base retencion]],0,PROVEEDORES[[#This Row],[retención aplicada]])</f>
        <v>0</v>
      </c>
      <c r="Q384" s="22">
        <f>+PROVEEDORES[[#This Row],[Rete Fuente %]]*(PROVEEDORES[[#This Row],[SUBTOTAL]]-PROVEEDORES[[#This Row],[descuento sobre subtotal]])</f>
        <v>0</v>
      </c>
      <c r="R384" s="21">
        <v>-34393</v>
      </c>
      <c r="S38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63">
        <f ca="1">IF(PROVEEDORES[[#This Row],[FECHA DE PAGO]]=0,TODAY()-PROVEEDORES[[#This Row],[FECHA DE FACTURACIÓN]]-PROVEEDORES[[#This Row],[PLAZO Días]],0)</f>
        <v>0</v>
      </c>
      <c r="U384" s="87" t="str">
        <f>+VLOOKUP(PROVEEDORES[[#This Row],[PROVEEDOR]],Terceros!$A:$D,4,FALSE)</f>
        <v>2,5% con base</v>
      </c>
      <c r="V384" s="88">
        <f>+YEAR(PROVEEDORES[[#This Row],[FECHA DE FACTURACIÓN]])</f>
        <v>2022</v>
      </c>
      <c r="W384" s="88">
        <f>+MATCH(PROVEEDORES[[#This Row],[año facturado]],Retenciones!$1:$1,0)</f>
        <v>5</v>
      </c>
      <c r="X384" s="89">
        <f>+VLOOKUP(PROVEEDORES[[#This Row],[ID RETENCION]],Retenciones!$A$1:$O$25,PROVEEDORES[[#This Row],[indicador de columna]],FALSE)</f>
        <v>1026000</v>
      </c>
      <c r="Y384" s="90">
        <f>+VLOOKUP(PROVEEDORES[[#This Row],[ID RETENCION]],Retenciones!$A$1:$O$25,2,FALSE)</f>
        <v>2.5000000000000001E-2</v>
      </c>
      <c r="Z384" s="116" t="b">
        <f>OR(COUNTIF(PROVEEDORES[[#This Row],[PROVEEDOR]],"*"&amp;'Palabra no opera'!$A$2&amp;"*"))</f>
        <v>0</v>
      </c>
    </row>
    <row r="385" spans="1:26" ht="22.35" customHeight="1" x14ac:dyDescent="0.3">
      <c r="A385" s="67" t="str">
        <f>+IF(PROVEEDORES[[#This Row],[FECHA DE PAGO]]=PROVEEDORES[[#This Row],[FECHA DE FACTURACIÓN]],"DE CONTADO","CRÉDITO")</f>
        <v>DE CONTADO</v>
      </c>
      <c r="B385" s="38" t="b">
        <f>+IF((PROVEEDORES[[#This Row],[FECHA DE PAGO]]-PROVEEDORES[[#This Row],[FECHA DE FACTURACIÓN]])&gt;PROVEEDORES[[#This Row],[PLAZO Días]],"PAGO VENCIDO")</f>
        <v>0</v>
      </c>
      <c r="C385" s="20">
        <f>+VLOOKUP(PROVEEDORES[[#This Row],[PROVEEDOR]],TERCEROS_INFO[#All],2,FALSE)</f>
        <v>30</v>
      </c>
      <c r="D385" s="25">
        <f>+SUMIFS(PROVEEDORES[Total],PROVEEDORES[PROVEEDOR],PROVEEDORES[[#This Row],[PROVEEDOR]],PROVEEDORES[FECHA DE PAGO],"")</f>
        <v>0</v>
      </c>
      <c r="E385" s="25"/>
      <c r="F385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385" s="68">
        <v>44704</v>
      </c>
      <c r="H385" s="26" t="s">
        <v>829</v>
      </c>
      <c r="I385" s="68">
        <v>44704</v>
      </c>
      <c r="J385" s="35" t="s">
        <v>687</v>
      </c>
      <c r="K385" s="21">
        <f>2*26050</f>
        <v>52100</v>
      </c>
      <c r="L385" s="21"/>
      <c r="M385" s="22">
        <f>(PROVEEDORES[[#This Row],[SUBTOTAL]]-PROVEEDORES[[#This Row],[descuento sobre subtotal]])*VLOOKUP(PROVEEDORES[[#This Row],[PROVEEDOR]],TERCEROS_INFO[#All],3,FALSE)</f>
        <v>9899</v>
      </c>
      <c r="N385" s="23"/>
      <c r="O385" s="22">
        <f>+PROVEEDORES[[#This Row],[Descuento sobre subtotal %]]*(PROVEEDORES[[#This Row],[SUBTOTAL]]-PROVEEDORES[[#This Row],[descuento sobre subtotal]])</f>
        <v>0</v>
      </c>
      <c r="P385" s="74">
        <f>+IF(PROVEEDORES[[#This Row],[SUBTOTAL]]&lt;PROVEEDORES[[#This Row],[base retencion]],0,PROVEEDORES[[#This Row],[retención aplicada]])</f>
        <v>0</v>
      </c>
      <c r="Q385" s="22">
        <f>+PROVEEDORES[[#This Row],[Rete Fuente %]]*(PROVEEDORES[[#This Row],[SUBTOTAL]]-PROVEEDORES[[#This Row],[descuento sobre subtotal]])</f>
        <v>0</v>
      </c>
      <c r="R385" s="21">
        <f>+PROVEEDORES[[#This Row],[SUBTOTAL]]+PROVEEDORES[[#This Row],[IVA 19%]]-PROVEEDORES[[#This Row],[descuento sobre subtotal]]-PROVEEDORES[[#This Row],[Descuento sobre subtotal $2]]-PROVEEDORES[[#This Row],[Rete Fuente $]]</f>
        <v>61999</v>
      </c>
      <c r="S38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63">
        <f ca="1">IF(PROVEEDORES[[#This Row],[FECHA DE PAGO]]=0,TODAY()-PROVEEDORES[[#This Row],[FECHA DE FACTURACIÓN]]-PROVEEDORES[[#This Row],[PLAZO Días]],0)</f>
        <v>0</v>
      </c>
      <c r="U385" s="104" t="str">
        <f>+VLOOKUP(PROVEEDORES[[#This Row],[PROVEEDOR]],Terceros!$A:$D,4,FALSE)</f>
        <v>2,5% con base</v>
      </c>
      <c r="V385" s="105">
        <f>+YEAR(PROVEEDORES[[#This Row],[FECHA DE FACTURACIÓN]])</f>
        <v>2022</v>
      </c>
      <c r="W385" s="105">
        <f>+MATCH(PROVEEDORES[[#This Row],[año facturado]],Retenciones!$1:$1,0)</f>
        <v>5</v>
      </c>
      <c r="X385" s="106">
        <f>+VLOOKUP(PROVEEDORES[[#This Row],[ID RETENCION]],Retenciones!$A$1:$O$25,PROVEEDORES[[#This Row],[indicador de columna]],FALSE)</f>
        <v>1026000</v>
      </c>
      <c r="Y385" s="107">
        <f>+VLOOKUP(PROVEEDORES[[#This Row],[ID RETENCION]],Retenciones!$A$1:$O$25,2,FALSE)</f>
        <v>2.5000000000000001E-2</v>
      </c>
      <c r="Z385" s="116" t="b">
        <f>OR(COUNTIF(PROVEEDORES[[#This Row],[PROVEEDOR]],"*"&amp;'Palabra no opera'!$A$2&amp;"*"))</f>
        <v>1</v>
      </c>
    </row>
    <row r="386" spans="1:26" ht="22.35" customHeight="1" x14ac:dyDescent="0.3">
      <c r="A386" s="103" t="str">
        <f>+IF(PROVEEDORES[[#This Row],[FECHA DE PAGO]]=PROVEEDORES[[#This Row],[FECHA DE FACTURACIÓN]],"DE CONTADO","CRÉDITO")</f>
        <v>CRÉDITO</v>
      </c>
      <c r="B386" s="38" t="str">
        <f>+IF((PROVEEDORES[[#This Row],[FECHA DE PAGO]]-PROVEEDORES[[#This Row],[FECHA DE FACTURACIÓN]])&gt;PROVEEDORES[[#This Row],[PLAZO Días]],"PAGO VENCIDO")</f>
        <v>PAGO VENCIDO</v>
      </c>
      <c r="C386" s="20">
        <f>+VLOOKUP(PROVEEDORES[[#This Row],[PROVEEDOR]],TERCEROS_INFO[#All],2,FALSE)</f>
        <v>30</v>
      </c>
      <c r="D386" s="25">
        <f>+SUMIFS(PROVEEDORES[Total],PROVEEDORES[PROVEEDOR],PROVEEDORES[[#This Row],[PROVEEDOR]],PROVEEDORES[FECHA DE PAGO],"")</f>
        <v>17870934.149999999</v>
      </c>
      <c r="E386" s="25"/>
      <c r="F38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86" s="68">
        <v>44704</v>
      </c>
      <c r="H386" s="26" t="s">
        <v>18</v>
      </c>
      <c r="I386" s="68">
        <v>44660</v>
      </c>
      <c r="J386" s="35">
        <v>15</v>
      </c>
      <c r="K386" s="21">
        <v>1083711.5</v>
      </c>
      <c r="L386" s="21"/>
      <c r="M386" s="22">
        <f>(PROVEEDORES[[#This Row],[SUBTOTAL]]-PROVEEDORES[[#This Row],[descuento sobre subtotal]])*VLOOKUP(PROVEEDORES[[#This Row],[PROVEEDOR]],TERCEROS_INFO[#All],3,FALSE)</f>
        <v>205905.185</v>
      </c>
      <c r="N386" s="23"/>
      <c r="O386" s="22">
        <f>+PROVEEDORES[[#This Row],[Descuento sobre subtotal %]]*(PROVEEDORES[[#This Row],[SUBTOTAL]]-PROVEEDORES[[#This Row],[descuento sobre subtotal]])</f>
        <v>0</v>
      </c>
      <c r="P386" s="74">
        <f>+IF(PROVEEDORES[[#This Row],[SUBTOTAL]]&lt;PROVEEDORES[[#This Row],[base retencion]],0,PROVEEDORES[[#This Row],[retención aplicada]])</f>
        <v>2.5000000000000001E-2</v>
      </c>
      <c r="Q386" s="22">
        <f>+PROVEEDORES[[#This Row],[Rete Fuente %]]*(PROVEEDORES[[#This Row],[SUBTOTAL]]-PROVEEDORES[[#This Row],[descuento sobre subtotal]])</f>
        <v>27092.787500000002</v>
      </c>
      <c r="R386" s="21">
        <f>+PROVEEDORES[[#This Row],[SUBTOTAL]]+PROVEEDORES[[#This Row],[IVA 19%]]-PROVEEDORES[[#This Row],[descuento sobre subtotal]]-PROVEEDORES[[#This Row],[Descuento sobre subtotal $2]]-PROVEEDORES[[#This Row],[Rete Fuente $]]</f>
        <v>1262523.8975</v>
      </c>
      <c r="S386" s="1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63">
        <f ca="1">IF(PROVEEDORES[[#This Row],[FECHA DE PAGO]]=0,TODAY()-PROVEEDORES[[#This Row],[FECHA DE FACTURACIÓN]]-PROVEEDORES[[#This Row],[PLAZO Días]],0)</f>
        <v>0</v>
      </c>
      <c r="U386" s="104" t="str">
        <f>+VLOOKUP(PROVEEDORES[[#This Row],[PROVEEDOR]],Terceros!$A:$D,4,FALSE)</f>
        <v>2,5% con base</v>
      </c>
      <c r="V386" s="105">
        <f>+YEAR(PROVEEDORES[[#This Row],[FECHA DE FACTURACIÓN]])</f>
        <v>2022</v>
      </c>
      <c r="W386" s="105">
        <f>+MATCH(PROVEEDORES[[#This Row],[año facturado]],Retenciones!$1:$1,0)</f>
        <v>5</v>
      </c>
      <c r="X386" s="106">
        <f>+VLOOKUP(PROVEEDORES[[#This Row],[ID RETENCION]],Retenciones!$A$1:$O$25,PROVEEDORES[[#This Row],[indicador de columna]],FALSE)</f>
        <v>1026000</v>
      </c>
      <c r="Y386" s="107">
        <f>+VLOOKUP(PROVEEDORES[[#This Row],[ID RETENCION]],Retenciones!$A$1:$O$25,2,FALSE)</f>
        <v>2.5000000000000001E-2</v>
      </c>
      <c r="Z386" s="116" t="b">
        <f>OR(COUNTIF(PROVEEDORES[[#This Row],[PROVEEDOR]],"*"&amp;'Palabra no opera'!$A$2&amp;"*"))</f>
        <v>0</v>
      </c>
    </row>
    <row r="387" spans="1:26" ht="22.35" customHeight="1" x14ac:dyDescent="0.3">
      <c r="A387" s="103" t="str">
        <f>+IF(PROVEEDORES[[#This Row],[FECHA DE PAGO]]=PROVEEDORES[[#This Row],[FECHA DE FACTURACIÓN]],"DE CONTADO","CRÉDITO")</f>
        <v>CRÉDITO</v>
      </c>
      <c r="B387" s="38" t="str">
        <f>+IF((PROVEEDORES[[#This Row],[FECHA DE PAGO]]-PROVEEDORES[[#This Row],[FECHA DE FACTURACIÓN]])&gt;PROVEEDORES[[#This Row],[PLAZO Días]],"PAGO VENCIDO")</f>
        <v>PAGO VENCIDO</v>
      </c>
      <c r="C387" s="20">
        <f>+VLOOKUP(PROVEEDORES[[#This Row],[PROVEEDOR]],TERCEROS_INFO[#All],2,FALSE)</f>
        <v>30</v>
      </c>
      <c r="D387" s="25">
        <f>+SUMIFS(PROVEEDORES[Total],PROVEEDORES[PROVEEDOR],PROVEEDORES[[#This Row],[PROVEEDOR]],PROVEEDORES[FECHA DE PAGO],"")</f>
        <v>17870934.149999999</v>
      </c>
      <c r="E387" s="25"/>
      <c r="F38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87" s="68">
        <v>44704</v>
      </c>
      <c r="H387" s="26" t="s">
        <v>18</v>
      </c>
      <c r="I387" s="68">
        <v>44670</v>
      </c>
      <c r="J387" s="35">
        <v>1052292</v>
      </c>
      <c r="K387" s="21">
        <v>2216230.56</v>
      </c>
      <c r="L387" s="21"/>
      <c r="M387" s="22">
        <f>(PROVEEDORES[[#This Row],[SUBTOTAL]]-PROVEEDORES[[#This Row],[descuento sobre subtotal]])*VLOOKUP(PROVEEDORES[[#This Row],[PROVEEDOR]],TERCEROS_INFO[#All],3,FALSE)</f>
        <v>421083.8064</v>
      </c>
      <c r="N387" s="23"/>
      <c r="O387" s="22">
        <f>+PROVEEDORES[[#This Row],[Descuento sobre subtotal %]]*(PROVEEDORES[[#This Row],[SUBTOTAL]]-PROVEEDORES[[#This Row],[descuento sobre subtotal]])</f>
        <v>0</v>
      </c>
      <c r="P387" s="74">
        <f>+IF(PROVEEDORES[[#This Row],[SUBTOTAL]]&lt;PROVEEDORES[[#This Row],[base retencion]],0,PROVEEDORES[[#This Row],[retención aplicada]])</f>
        <v>2.5000000000000001E-2</v>
      </c>
      <c r="Q387" s="22">
        <f>+PROVEEDORES[[#This Row],[Rete Fuente %]]*(PROVEEDORES[[#This Row],[SUBTOTAL]]-PROVEEDORES[[#This Row],[descuento sobre subtotal]])</f>
        <v>55405.764000000003</v>
      </c>
      <c r="R387" s="21">
        <f>+PROVEEDORES[[#This Row],[SUBTOTAL]]+PROVEEDORES[[#This Row],[IVA 19%]]-PROVEEDORES[[#This Row],[descuento sobre subtotal]]-PROVEEDORES[[#This Row],[Descuento sobre subtotal $2]]-PROVEEDORES[[#This Row],[Rete Fuente $]]</f>
        <v>2581908.6024000002</v>
      </c>
      <c r="S387" s="1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63">
        <f ca="1">IF(PROVEEDORES[[#This Row],[FECHA DE PAGO]]=0,TODAY()-PROVEEDORES[[#This Row],[FECHA DE FACTURACIÓN]]-PROVEEDORES[[#This Row],[PLAZO Días]],0)</f>
        <v>0</v>
      </c>
      <c r="U387" s="104" t="str">
        <f>+VLOOKUP(PROVEEDORES[[#This Row],[PROVEEDOR]],Terceros!$A:$D,4,FALSE)</f>
        <v>2,5% con base</v>
      </c>
      <c r="V387" s="105">
        <f>+YEAR(PROVEEDORES[[#This Row],[FECHA DE FACTURACIÓN]])</f>
        <v>2022</v>
      </c>
      <c r="W387" s="105">
        <f>+MATCH(PROVEEDORES[[#This Row],[año facturado]],Retenciones!$1:$1,0)</f>
        <v>5</v>
      </c>
      <c r="X387" s="106">
        <f>+VLOOKUP(PROVEEDORES[[#This Row],[ID RETENCION]],Retenciones!$A$1:$O$25,PROVEEDORES[[#This Row],[indicador de columna]],FALSE)</f>
        <v>1026000</v>
      </c>
      <c r="Y387" s="107">
        <f>+VLOOKUP(PROVEEDORES[[#This Row],[ID RETENCION]],Retenciones!$A$1:$O$25,2,FALSE)</f>
        <v>2.5000000000000001E-2</v>
      </c>
      <c r="Z387" s="116" t="b">
        <f>OR(COUNTIF(PROVEEDORES[[#This Row],[PROVEEDOR]],"*"&amp;'Palabra no opera'!$A$2&amp;"*"))</f>
        <v>0</v>
      </c>
    </row>
    <row r="388" spans="1:26" ht="22.35" customHeight="1" x14ac:dyDescent="0.3">
      <c r="A388" s="61" t="str">
        <f>+IF(PROVEEDORES[[#This Row],[FECHA DE PAGO]]=PROVEEDORES[[#This Row],[FECHA DE FACTURACIÓN]],"DE CONTADO","CRÉDITO")</f>
        <v>CRÉDITO</v>
      </c>
      <c r="B388" s="38" t="str">
        <f>+IF((PROVEEDORES[[#This Row],[FECHA DE PAGO]]-PROVEEDORES[[#This Row],[FECHA DE FACTURACIÓN]])&gt;PROVEEDORES[[#This Row],[PLAZO Días]],"PAGO VENCIDO")</f>
        <v>PAGO VENCIDO</v>
      </c>
      <c r="C388" s="20">
        <f>+VLOOKUP(PROVEEDORES[[#This Row],[PROVEEDOR]],TERCEROS_INFO[#All],2,FALSE)</f>
        <v>30</v>
      </c>
      <c r="D388" s="25">
        <f>+SUMIFS(PROVEEDORES[Total],PROVEEDORES[PROVEEDOR],PROVEEDORES[[#This Row],[PROVEEDOR]],PROVEEDORES[FECHA DE PAGO],"")</f>
        <v>10321993.199999999</v>
      </c>
      <c r="E388" s="25"/>
      <c r="F38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88" s="68">
        <v>44704</v>
      </c>
      <c r="H388" s="26" t="s">
        <v>1068</v>
      </c>
      <c r="I388" s="68">
        <v>44650</v>
      </c>
      <c r="J388" s="35">
        <v>25208</v>
      </c>
      <c r="K388" s="21">
        <v>1728540</v>
      </c>
      <c r="L388" s="21">
        <v>157140</v>
      </c>
      <c r="M388" s="22">
        <f>(PROVEEDORES[[#This Row],[SUBTOTAL]]-PROVEEDORES[[#This Row],[descuento sobre subtotal]])*VLOOKUP(PROVEEDORES[[#This Row],[PROVEEDOR]],TERCEROS_INFO[#All],3,FALSE)</f>
        <v>298566</v>
      </c>
      <c r="N388" s="23"/>
      <c r="O388" s="22">
        <f>+PROVEEDORES[[#This Row],[Descuento sobre subtotal %]]*(PROVEEDORES[[#This Row],[SUBTOTAL]]-PROVEEDORES[[#This Row],[descuento sobre subtotal]])</f>
        <v>0</v>
      </c>
      <c r="P388" s="74">
        <f>+IF(PROVEEDORES[[#This Row],[SUBTOTAL]]&lt;PROVEEDORES[[#This Row],[base retencion]],0,PROVEEDORES[[#This Row],[retención aplicada]])</f>
        <v>2.5000000000000001E-2</v>
      </c>
      <c r="Q388" s="22">
        <f>+PROVEEDORES[[#This Row],[Rete Fuente %]]*(PROVEEDORES[[#This Row],[SUBTOTAL]]-PROVEEDORES[[#This Row],[descuento sobre subtotal]])</f>
        <v>39285</v>
      </c>
      <c r="R388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38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63">
        <f ca="1">IF(PROVEEDORES[[#This Row],[FECHA DE PAGO]]=0,TODAY()-PROVEEDORES[[#This Row],[FECHA DE FACTURACIÓN]]-PROVEEDORES[[#This Row],[PLAZO Días]],0)</f>
        <v>0</v>
      </c>
      <c r="U388" s="87" t="str">
        <f>+VLOOKUP(PROVEEDORES[[#This Row],[PROVEEDOR]],Terceros!$A:$D,4,FALSE)</f>
        <v>2,5% con base</v>
      </c>
      <c r="V388" s="88">
        <f>+YEAR(PROVEEDORES[[#This Row],[FECHA DE FACTURACIÓN]])</f>
        <v>2022</v>
      </c>
      <c r="W388" s="88">
        <f>+MATCH(PROVEEDORES[[#This Row],[año facturado]],Retenciones!$1:$1,0)</f>
        <v>5</v>
      </c>
      <c r="X388" s="89">
        <f>+VLOOKUP(PROVEEDORES[[#This Row],[ID RETENCION]],Retenciones!$A$1:$O$25,PROVEEDORES[[#This Row],[indicador de columna]],FALSE)</f>
        <v>1026000</v>
      </c>
      <c r="Y388" s="90">
        <f>+VLOOKUP(PROVEEDORES[[#This Row],[ID RETENCION]],Retenciones!$A$1:$O$25,2,FALSE)</f>
        <v>2.5000000000000001E-2</v>
      </c>
      <c r="Z388" s="116" t="b">
        <f>OR(COUNTIF(PROVEEDORES[[#This Row],[PROVEEDOR]],"*"&amp;'Palabra no opera'!$A$2&amp;"*"))</f>
        <v>0</v>
      </c>
    </row>
    <row r="389" spans="1:26" ht="22.35" customHeight="1" x14ac:dyDescent="0.3">
      <c r="A389" s="111" t="str">
        <f>+IF(PROVEEDORES[[#This Row],[FECHA DE PAGO]]=PROVEEDORES[[#This Row],[FECHA DE FACTURACIÓN]],"DE CONTADO","CRÉDITO")</f>
        <v>CRÉDITO</v>
      </c>
      <c r="B389" s="38" t="str">
        <f>+IF((PROVEEDORES[[#This Row],[FECHA DE PAGO]]-PROVEEDORES[[#This Row],[FECHA DE FACTURACIÓN]])&gt;PROVEEDORES[[#This Row],[PLAZO Días]],"PAGO VENCIDO")</f>
        <v>PAGO VENCIDO</v>
      </c>
      <c r="C389" s="20">
        <f>+VLOOKUP(PROVEEDORES[[#This Row],[PROVEEDOR]],TERCEROS_INFO[#All],2,FALSE)</f>
        <v>30</v>
      </c>
      <c r="D389" s="25">
        <f>+SUMIFS(PROVEEDORES[Total],PROVEEDORES[PROVEEDOR],PROVEEDORES[[#This Row],[PROVEEDOR]],PROVEEDORES[FECHA DE PAGO],"")</f>
        <v>10321993.199999999</v>
      </c>
      <c r="E389" s="25"/>
      <c r="F38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89" s="68">
        <v>44704</v>
      </c>
      <c r="H389" s="26" t="s">
        <v>1068</v>
      </c>
      <c r="I389" s="68">
        <v>44669</v>
      </c>
      <c r="J389" s="35">
        <v>25352</v>
      </c>
      <c r="K389" s="21">
        <v>640000</v>
      </c>
      <c r="L389" s="21"/>
      <c r="M389" s="22">
        <f>(PROVEEDORES[[#This Row],[SUBTOTAL]]-PROVEEDORES[[#This Row],[descuento sobre subtotal]])*VLOOKUP(PROVEEDORES[[#This Row],[PROVEEDOR]],TERCEROS_INFO[#All],3,FALSE)</f>
        <v>121600</v>
      </c>
      <c r="N389" s="23"/>
      <c r="O389" s="22">
        <f>+PROVEEDORES[[#This Row],[Descuento sobre subtotal %]]*(PROVEEDORES[[#This Row],[SUBTOTAL]]-PROVEEDORES[[#This Row],[descuento sobre subtotal]])</f>
        <v>0</v>
      </c>
      <c r="P389" s="74">
        <f>+IF(PROVEEDORES[[#This Row],[SUBTOTAL]]&lt;PROVEEDORES[[#This Row],[base retencion]],0,PROVEEDORES[[#This Row],[retención aplicada]])</f>
        <v>0</v>
      </c>
      <c r="Q389" s="22">
        <f>+PROVEEDORES[[#This Row],[Rete Fuente %]]*(PROVEEDORES[[#This Row],[SUBTOTAL]]-PROVEEDORES[[#This Row],[descuento sobre subtotal]])</f>
        <v>0</v>
      </c>
      <c r="R389" s="21">
        <f>+PROVEEDORES[[#This Row],[SUBTOTAL]]+PROVEEDORES[[#This Row],[IVA 19%]]-PROVEEDORES[[#This Row],[descuento sobre subtotal]]-PROVEEDORES[[#This Row],[Descuento sobre subtotal $2]]-PROVEEDORES[[#This Row],[Rete Fuente $]]</f>
        <v>761600</v>
      </c>
      <c r="S389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63">
        <f ca="1">IF(PROVEEDORES[[#This Row],[FECHA DE PAGO]]=0,TODAY()-PROVEEDORES[[#This Row],[FECHA DE FACTURACIÓN]]-PROVEEDORES[[#This Row],[PLAZO Días]],0)</f>
        <v>0</v>
      </c>
      <c r="U389" s="104" t="str">
        <f>+VLOOKUP(PROVEEDORES[[#This Row],[PROVEEDOR]],Terceros!$A:$D,4,FALSE)</f>
        <v>2,5% con base</v>
      </c>
      <c r="V389" s="105">
        <f>+YEAR(PROVEEDORES[[#This Row],[FECHA DE FACTURACIÓN]])</f>
        <v>2022</v>
      </c>
      <c r="W389" s="105">
        <f>+MATCH(PROVEEDORES[[#This Row],[año facturado]],Retenciones!$1:$1,0)</f>
        <v>5</v>
      </c>
      <c r="X389" s="106">
        <f>+VLOOKUP(PROVEEDORES[[#This Row],[ID RETENCION]],Retenciones!$A$1:$O$25,PROVEEDORES[[#This Row],[indicador de columna]],FALSE)</f>
        <v>1026000</v>
      </c>
      <c r="Y389" s="107">
        <f>+VLOOKUP(PROVEEDORES[[#This Row],[ID RETENCION]],Retenciones!$A$1:$O$25,2,FALSE)</f>
        <v>2.5000000000000001E-2</v>
      </c>
      <c r="Z389" s="116" t="b">
        <f>OR(COUNTIF(PROVEEDORES[[#This Row],[PROVEEDOR]],"*"&amp;'Palabra no opera'!$A$2&amp;"*"))</f>
        <v>0</v>
      </c>
    </row>
    <row r="390" spans="1:26" ht="22.35" customHeight="1" x14ac:dyDescent="0.3">
      <c r="A390" s="61" t="str">
        <f>+IF(PROVEEDORES[[#This Row],[FECHA DE PAGO]]=PROVEEDORES[[#This Row],[FECHA DE FACTURACIÓN]],"DE CONTADO","CRÉDITO")</f>
        <v>CRÉDITO</v>
      </c>
      <c r="B390" s="38" t="str">
        <f>+IF((PROVEEDORES[[#This Row],[FECHA DE PAGO]]-PROVEEDORES[[#This Row],[FECHA DE FACTURACIÓN]])&gt;PROVEEDORES[[#This Row],[PLAZO Días]],"PAGO VENCIDO")</f>
        <v>PAGO VENCIDO</v>
      </c>
      <c r="C390" s="20">
        <f>+VLOOKUP(PROVEEDORES[[#This Row],[PROVEEDOR]],TERCEROS_INFO[#All],2,FALSE)</f>
        <v>45</v>
      </c>
      <c r="D390" s="25">
        <f>+SUMIFS(PROVEEDORES[Total],PROVEEDORES[PROVEEDOR],PROVEEDORES[[#This Row],[PROVEEDOR]],PROVEEDORES[FECHA DE PAGO],"")</f>
        <v>15770594</v>
      </c>
      <c r="E390" s="25"/>
      <c r="F390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90" s="68">
        <v>44704</v>
      </c>
      <c r="H390" s="26" t="s">
        <v>19</v>
      </c>
      <c r="I390" s="68">
        <v>44658</v>
      </c>
      <c r="J390" s="35" t="s">
        <v>569</v>
      </c>
      <c r="K390" s="21">
        <v>1503180</v>
      </c>
      <c r="L390" s="21"/>
      <c r="M390" s="22">
        <f>(PROVEEDORES[[#This Row],[SUBTOTAL]]-PROVEEDORES[[#This Row],[descuento sobre subtotal]])*VLOOKUP(PROVEEDORES[[#This Row],[PROVEEDOR]],TERCEROS_INFO[#All],3,FALSE)</f>
        <v>285604.2</v>
      </c>
      <c r="N390" s="23"/>
      <c r="O390" s="22">
        <f>+PROVEEDORES[[#This Row],[Descuento sobre subtotal %]]*(PROVEEDORES[[#This Row],[SUBTOTAL]]-PROVEEDORES[[#This Row],[descuento sobre subtotal]])</f>
        <v>0</v>
      </c>
      <c r="P390" s="74">
        <f>+IF(PROVEEDORES[[#This Row],[SUBTOTAL]]&lt;PROVEEDORES[[#This Row],[base retencion]],0,PROVEEDORES[[#This Row],[retención aplicada]])</f>
        <v>0</v>
      </c>
      <c r="Q390" s="22">
        <f>+PROVEEDORES[[#This Row],[Rete Fuente %]]*(PROVEEDORES[[#This Row],[SUBTOTAL]]-PROVEEDORES[[#This Row],[descuento sobre subtotal]])</f>
        <v>0</v>
      </c>
      <c r="R390" s="21">
        <f>+PROVEEDORES[[#This Row],[SUBTOTAL]]+PROVEEDORES[[#This Row],[IVA 19%]]-PROVEEDORES[[#This Row],[descuento sobre subtotal]]-PROVEEDORES[[#This Row],[Descuento sobre subtotal $2]]-PROVEEDORES[[#This Row],[Rete Fuente $]]</f>
        <v>1788784.2</v>
      </c>
      <c r="S39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63">
        <f ca="1">IF(PROVEEDORES[[#This Row],[FECHA DE PAGO]]=0,TODAY()-PROVEEDORES[[#This Row],[FECHA DE FACTURACIÓN]]-PROVEEDORES[[#This Row],[PLAZO Días]],0)</f>
        <v>0</v>
      </c>
      <c r="U390" s="87">
        <f>+VLOOKUP(PROVEEDORES[[#This Row],[PROVEEDOR]],Terceros!$A:$D,4,FALSE)</f>
        <v>0</v>
      </c>
      <c r="V390" s="88">
        <f>+YEAR(PROVEEDORES[[#This Row],[FECHA DE FACTURACIÓN]])</f>
        <v>2022</v>
      </c>
      <c r="W390" s="88">
        <f>+MATCH(PROVEEDORES[[#This Row],[año facturado]],Retenciones!$1:$1,0)</f>
        <v>5</v>
      </c>
      <c r="X390" s="89">
        <f>+VLOOKUP(PROVEEDORES[[#This Row],[ID RETENCION]],Retenciones!$A$1:$O$25,PROVEEDORES[[#This Row],[indicador de columna]],FALSE)</f>
        <v>0</v>
      </c>
      <c r="Y390" s="90">
        <f>+VLOOKUP(PROVEEDORES[[#This Row],[ID RETENCION]],Retenciones!$A$1:$O$25,2,FALSE)</f>
        <v>0</v>
      </c>
      <c r="Z390" s="116" t="b">
        <f>OR(COUNTIF(PROVEEDORES[[#This Row],[PROVEEDOR]],"*"&amp;'Palabra no opera'!$A$2&amp;"*"))</f>
        <v>0</v>
      </c>
    </row>
    <row r="391" spans="1:26" ht="22.35" customHeight="1" x14ac:dyDescent="0.3">
      <c r="A391" s="111" t="str">
        <f>+IF(PROVEEDORES[[#This Row],[FECHA DE PAGO]]=PROVEEDORES[[#This Row],[FECHA DE FACTURACIÓN]],"DE CONTADO","CRÉDITO")</f>
        <v>CRÉDITO</v>
      </c>
      <c r="B391" s="38" t="str">
        <f>+IF((PROVEEDORES[[#This Row],[FECHA DE PAGO]]-PROVEEDORES[[#This Row],[FECHA DE FACTURACIÓN]])&gt;PROVEEDORES[[#This Row],[PLAZO Días]],"PAGO VENCIDO")</f>
        <v>PAGO VENCIDO</v>
      </c>
      <c r="C391" s="20">
        <f>+VLOOKUP(PROVEEDORES[[#This Row],[PROVEEDOR]],TERCEROS_INFO[#All],2,FALSE)</f>
        <v>30</v>
      </c>
      <c r="D391" s="25">
        <f>+SUMIFS(PROVEEDORES[Total],PROVEEDORES[PROVEEDOR],PROVEEDORES[[#This Row],[PROVEEDOR]],PROVEEDORES[FECHA DE PAGO],"")</f>
        <v>0</v>
      </c>
      <c r="E391" s="25"/>
      <c r="F391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91" s="68">
        <v>44704</v>
      </c>
      <c r="H391" s="26" t="s">
        <v>1069</v>
      </c>
      <c r="I391" s="68">
        <v>44672</v>
      </c>
      <c r="J391" s="35" t="s">
        <v>598</v>
      </c>
      <c r="K391" s="21">
        <v>161344.56</v>
      </c>
      <c r="L391" s="21"/>
      <c r="M391" s="22">
        <f>(PROVEEDORES[[#This Row],[SUBTOTAL]]-PROVEEDORES[[#This Row],[descuento sobre subtotal]])*VLOOKUP(PROVEEDORES[[#This Row],[PROVEEDOR]],TERCEROS_INFO[#All],3,FALSE)</f>
        <v>30655.466400000001</v>
      </c>
      <c r="N391" s="23"/>
      <c r="O391" s="22">
        <f>+PROVEEDORES[[#This Row],[Descuento sobre subtotal %]]*(PROVEEDORES[[#This Row],[SUBTOTAL]]-PROVEEDORES[[#This Row],[descuento sobre subtotal]])</f>
        <v>0</v>
      </c>
      <c r="P391" s="74">
        <f>+IF(PROVEEDORES[[#This Row],[SUBTOTAL]]&lt;PROVEEDORES[[#This Row],[base retencion]],0,PROVEEDORES[[#This Row],[retención aplicada]])</f>
        <v>0</v>
      </c>
      <c r="Q391" s="22">
        <f>+PROVEEDORES[[#This Row],[Rete Fuente %]]*(PROVEEDORES[[#This Row],[SUBTOTAL]]-PROVEEDORES[[#This Row],[descuento sobre subtotal]])</f>
        <v>0</v>
      </c>
      <c r="R391" s="21">
        <f>+PROVEEDORES[[#This Row],[SUBTOTAL]]+PROVEEDORES[[#This Row],[IVA 19%]]-PROVEEDORES[[#This Row],[descuento sobre subtotal]]-PROVEEDORES[[#This Row],[Descuento sobre subtotal $2]]-PROVEEDORES[[#This Row],[Rete Fuente $]]</f>
        <v>192000.0264</v>
      </c>
      <c r="S391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1" s="63">
        <f ca="1">IF(PROVEEDORES[[#This Row],[FECHA DE PAGO]]=0,TODAY()-PROVEEDORES[[#This Row],[FECHA DE FACTURACIÓN]]-PROVEEDORES[[#This Row],[PLAZO Días]],0)</f>
        <v>0</v>
      </c>
      <c r="U391" s="104" t="str">
        <f>+VLOOKUP(PROVEEDORES[[#This Row],[PROVEEDOR]],Terceros!$A:$D,4,FALSE)</f>
        <v>2,5% con base</v>
      </c>
      <c r="V391" s="105">
        <f>+YEAR(PROVEEDORES[[#This Row],[FECHA DE FACTURACIÓN]])</f>
        <v>2022</v>
      </c>
      <c r="W391" s="105">
        <f>+MATCH(PROVEEDORES[[#This Row],[año facturado]],Retenciones!$1:$1,0)</f>
        <v>5</v>
      </c>
      <c r="X391" s="106">
        <f>+VLOOKUP(PROVEEDORES[[#This Row],[ID RETENCION]],Retenciones!$A$1:$O$25,PROVEEDORES[[#This Row],[indicador de columna]],FALSE)</f>
        <v>1026000</v>
      </c>
      <c r="Y391" s="107">
        <f>+VLOOKUP(PROVEEDORES[[#This Row],[ID RETENCION]],Retenciones!$A$1:$O$25,2,FALSE)</f>
        <v>2.5000000000000001E-2</v>
      </c>
      <c r="Z391" s="116" t="b">
        <f>OR(COUNTIF(PROVEEDORES[[#This Row],[PROVEEDOR]],"*"&amp;'Palabra no opera'!$A$2&amp;"*"))</f>
        <v>0</v>
      </c>
    </row>
    <row r="392" spans="1:26" ht="22.35" customHeight="1" x14ac:dyDescent="0.3">
      <c r="A392" s="61" t="str">
        <f>+IF(PROVEEDORES[[#This Row],[FECHA DE PAGO]]=PROVEEDORES[[#This Row],[FECHA DE FACTURACIÓN]],"DE CONTADO","CRÉDITO")</f>
        <v>CRÉDITO</v>
      </c>
      <c r="B392" s="38" t="str">
        <f>+IF((PROVEEDORES[[#This Row],[FECHA DE PAGO]]-PROVEEDORES[[#This Row],[FECHA DE FACTURACIÓN]])&gt;PROVEEDORES[[#This Row],[PLAZO Días]],"PAGO VENCIDO")</f>
        <v>PAGO VENCIDO</v>
      </c>
      <c r="C392" s="20">
        <f>+VLOOKUP(PROVEEDORES[[#This Row],[PROVEEDOR]],TERCEROS_INFO[#All],2,FALSE)</f>
        <v>30</v>
      </c>
      <c r="D392" s="25">
        <f>+SUMIFS(PROVEEDORES[Total],PROVEEDORES[PROVEEDOR],PROVEEDORES[[#This Row],[PROVEEDOR]],PROVEEDORES[FECHA DE PAGO],"")</f>
        <v>18444236.894999996</v>
      </c>
      <c r="E392" s="25"/>
      <c r="F392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92" s="68">
        <v>44704</v>
      </c>
      <c r="H392" s="26" t="s">
        <v>11</v>
      </c>
      <c r="I392" s="68">
        <v>44657</v>
      </c>
      <c r="J392" s="35" t="s">
        <v>571</v>
      </c>
      <c r="K392" s="21">
        <v>5280000</v>
      </c>
      <c r="L392" s="21"/>
      <c r="M392" s="22">
        <f>(PROVEEDORES[[#This Row],[SUBTOTAL]]-PROVEEDORES[[#This Row],[descuento sobre subtotal]])*VLOOKUP(PROVEEDORES[[#This Row],[PROVEEDOR]],TERCEROS_INFO[#All],3,FALSE)</f>
        <v>1003200</v>
      </c>
      <c r="N392" s="23"/>
      <c r="O392" s="22">
        <f>+PROVEEDORES[[#This Row],[Descuento sobre subtotal %]]*(PROVEEDORES[[#This Row],[SUBTOTAL]]-PROVEEDORES[[#This Row],[descuento sobre subtotal]])</f>
        <v>0</v>
      </c>
      <c r="P392" s="74">
        <f>+IF(PROVEEDORES[[#This Row],[SUBTOTAL]]&lt;PROVEEDORES[[#This Row],[base retencion]],0,PROVEEDORES[[#This Row],[retención aplicada]])</f>
        <v>2.5000000000000001E-2</v>
      </c>
      <c r="Q392" s="22">
        <f>+PROVEEDORES[[#This Row],[Rete Fuente %]]*(PROVEEDORES[[#This Row],[SUBTOTAL]]-PROVEEDORES[[#This Row],[descuento sobre subtotal]])</f>
        <v>132000</v>
      </c>
      <c r="R392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39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63">
        <f ca="1">IF(PROVEEDORES[[#This Row],[FECHA DE PAGO]]=0,TODAY()-PROVEEDORES[[#This Row],[FECHA DE FACTURACIÓN]]-PROVEEDORES[[#This Row],[PLAZO Días]],0)</f>
        <v>0</v>
      </c>
      <c r="U392" s="87" t="str">
        <f>+VLOOKUP(PROVEEDORES[[#This Row],[PROVEEDOR]],Terceros!$A:$D,4,FALSE)</f>
        <v>2,5% con base</v>
      </c>
      <c r="V392" s="88">
        <f>+YEAR(PROVEEDORES[[#This Row],[FECHA DE FACTURACIÓN]])</f>
        <v>2022</v>
      </c>
      <c r="W392" s="88">
        <f>+MATCH(PROVEEDORES[[#This Row],[año facturado]],Retenciones!$1:$1,0)</f>
        <v>5</v>
      </c>
      <c r="X392" s="89">
        <f>+VLOOKUP(PROVEEDORES[[#This Row],[ID RETENCION]],Retenciones!$A$1:$O$25,PROVEEDORES[[#This Row],[indicador de columna]],FALSE)</f>
        <v>1026000</v>
      </c>
      <c r="Y392" s="90">
        <f>+VLOOKUP(PROVEEDORES[[#This Row],[ID RETENCION]],Retenciones!$A$1:$O$25,2,FALSE)</f>
        <v>2.5000000000000001E-2</v>
      </c>
      <c r="Z392" s="117" t="b">
        <f>OR(COUNTIF(PROVEEDORES[[#This Row],[PROVEEDOR]],"*"&amp;'Palabra no opera'!$A$2&amp;"*"))</f>
        <v>0</v>
      </c>
    </row>
    <row r="393" spans="1:26" ht="22.35" customHeight="1" x14ac:dyDescent="0.3">
      <c r="A393" s="133" t="str">
        <f>+IF(PROVEEDORES[[#This Row],[FECHA DE PAGO]]=PROVEEDORES[[#This Row],[FECHA DE FACTURACIÓN]],"DE CONTADO","CRÉDITO")</f>
        <v>DE CONTADO</v>
      </c>
      <c r="B393" s="38" t="b">
        <f>+IF((PROVEEDORES[[#This Row],[FECHA DE PAGO]]-PROVEEDORES[[#This Row],[FECHA DE FACTURACIÓN]])&gt;PROVEEDORES[[#This Row],[PLAZO Días]],"PAGO VENCIDO")</f>
        <v>0</v>
      </c>
      <c r="C393" s="20">
        <f>+VLOOKUP(PROVEEDORES[[#This Row],[PROVEEDOR]],TERCEROS_INFO[#All],2,FALSE)</f>
        <v>30</v>
      </c>
      <c r="D393" s="25">
        <f>+SUMIFS(PROVEEDORES[Total],PROVEEDORES[PROVEEDOR],PROVEEDORES[[#This Row],[PROVEEDOR]],PROVEEDORES[FECHA DE PAGO],"")</f>
        <v>2950000</v>
      </c>
      <c r="E393" s="25"/>
      <c r="F393" s="56">
        <f>+VLOOKUP(PROVEEDORES[[#This Row],[PROVEEDOR]],
                       Terceros!$A:$F,
                       5,
                       FALSE)</f>
        <v>0</v>
      </c>
      <c r="G393" s="68">
        <v>44706</v>
      </c>
      <c r="H393" s="26" t="s">
        <v>703</v>
      </c>
      <c r="I393" s="68">
        <v>44706</v>
      </c>
      <c r="J393" s="35" t="s">
        <v>1034</v>
      </c>
      <c r="K393" s="21">
        <v>744000</v>
      </c>
      <c r="L393" s="21"/>
      <c r="M393" s="22">
        <f>(PROVEEDORES[[#This Row],[SUBTOTAL]]-PROVEEDORES[[#This Row],[descuento sobre subtotal]])*VLOOKUP(PROVEEDORES[[#This Row],[PROVEEDOR]],TERCEROS_INFO[#All],3,FALSE)</f>
        <v>0</v>
      </c>
      <c r="N393" s="23"/>
      <c r="O393" s="22">
        <f>+PROVEEDORES[[#This Row],[Descuento sobre subtotal %]]*(PROVEEDORES[[#This Row],[SUBTOTAL]]-PROVEEDORES[[#This Row],[descuento sobre subtotal]])</f>
        <v>0</v>
      </c>
      <c r="P393" s="74">
        <f>+IF(PROVEEDORES[[#This Row],[SUBTOTAL]]&lt;PROVEEDORES[[#This Row],[base retencion]],0,PROVEEDORES[[#This Row],[retención aplicada]])</f>
        <v>0</v>
      </c>
      <c r="Q393" s="22">
        <f>+PROVEEDORES[[#This Row],[Rete Fuente %]]*(PROVEEDORES[[#This Row],[SUBTOTAL]]-PROVEEDORES[[#This Row],[descuento sobre subtotal]])</f>
        <v>0</v>
      </c>
      <c r="R393" s="21">
        <f>+PROVEEDORES[[#This Row],[SUBTOTAL]]+PROVEEDORES[[#This Row],[IVA 19%]]-PROVEEDORES[[#This Row],[descuento sobre subtotal]]-PROVEEDORES[[#This Row],[Descuento sobre subtotal $2]]-PROVEEDORES[[#This Row],[Rete Fuente $]]</f>
        <v>744000</v>
      </c>
      <c r="S393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63">
        <f ca="1">IF(PROVEEDORES[[#This Row],[FECHA DE PAGO]]=0,TODAY()-PROVEEDORES[[#This Row],[FECHA DE FACTURACIÓN]]-PROVEEDORES[[#This Row],[PLAZO Días]],0)</f>
        <v>0</v>
      </c>
      <c r="U393" s="104">
        <f>+VLOOKUP(PROVEEDORES[[#This Row],[PROVEEDOR]],Terceros!$A:$D,4,FALSE)</f>
        <v>0</v>
      </c>
      <c r="V393" s="105">
        <f>+YEAR(PROVEEDORES[[#This Row],[FECHA DE FACTURACIÓN]])</f>
        <v>2022</v>
      </c>
      <c r="W393" s="105">
        <f>+MATCH(PROVEEDORES[[#This Row],[año facturado]],Retenciones!$1:$1,0)</f>
        <v>5</v>
      </c>
      <c r="X393" s="106">
        <f>+VLOOKUP(PROVEEDORES[[#This Row],[ID RETENCION]],Retenciones!$A$1:$O$25,PROVEEDORES[[#This Row],[indicador de columna]],FALSE)</f>
        <v>0</v>
      </c>
      <c r="Y393" s="107">
        <f>+VLOOKUP(PROVEEDORES[[#This Row],[ID RETENCION]],Retenciones!$A$1:$O$25,2,FALSE)</f>
        <v>0</v>
      </c>
      <c r="Z393" s="116" t="b">
        <f>OR(COUNTIF(PROVEEDORES[[#This Row],[PROVEEDOR]],"*"&amp;'Palabra no opera'!$A$2&amp;"*"))</f>
        <v>0</v>
      </c>
    </row>
    <row r="394" spans="1:26" ht="22.35" customHeight="1" x14ac:dyDescent="0.3">
      <c r="A394" s="135" t="str">
        <f>+IF(PROVEEDORES[[#This Row],[FECHA DE PAGO]]=PROVEEDORES[[#This Row],[FECHA DE FACTURACIÓN]],"DE CONTADO","CRÉDITO")</f>
        <v>DE CONTADO</v>
      </c>
      <c r="B394" s="38" t="b">
        <f>+IF((PROVEEDORES[[#This Row],[FECHA DE PAGO]]-PROVEEDORES[[#This Row],[FECHA DE FACTURACIÓN]])&gt;PROVEEDORES[[#This Row],[PLAZO Días]],"PAGO VENCIDO")</f>
        <v>0</v>
      </c>
      <c r="C394" s="20">
        <f>+VLOOKUP(PROVEEDORES[[#This Row],[PROVEEDOR]],TERCEROS_INFO[#All],2,FALSE)</f>
        <v>30</v>
      </c>
      <c r="D394" s="25">
        <f>+SUMIFS(PROVEEDORES[Total],PROVEEDORES[PROVEEDOR],PROVEEDORES[[#This Row],[PROVEEDOR]],PROVEEDORES[FECHA DE PAGO],"")</f>
        <v>342000</v>
      </c>
      <c r="E394" s="25"/>
      <c r="F394" s="56" t="str">
        <f>+VLOOKUP(PROVEEDORES[[#This Row],[PROVEEDOR]],
                       Terceros!$A:$F,
                       5,
                       FALSE)</f>
        <v/>
      </c>
      <c r="G394" s="68">
        <v>44707</v>
      </c>
      <c r="H394" s="26" t="s">
        <v>344</v>
      </c>
      <c r="I394" s="68">
        <v>44707</v>
      </c>
      <c r="J394" s="35" t="s">
        <v>1035</v>
      </c>
      <c r="K394" s="21">
        <v>275500</v>
      </c>
      <c r="L394" s="21"/>
      <c r="M394" s="22">
        <f>(PROVEEDORES[[#This Row],[SUBTOTAL]]-PROVEEDORES[[#This Row],[descuento sobre subtotal]])*VLOOKUP(PROVEEDORES[[#This Row],[PROVEEDOR]],TERCEROS_INFO[#All],3,FALSE)</f>
        <v>0</v>
      </c>
      <c r="N394" s="23"/>
      <c r="O394" s="22">
        <f>+PROVEEDORES[[#This Row],[Descuento sobre subtotal %]]*(PROVEEDORES[[#This Row],[SUBTOTAL]]-PROVEEDORES[[#This Row],[descuento sobre subtotal]])</f>
        <v>0</v>
      </c>
      <c r="P394" s="74">
        <f>+IF(PROVEEDORES[[#This Row],[SUBTOTAL]]&lt;PROVEEDORES[[#This Row],[base retencion]],0,PROVEEDORES[[#This Row],[retención aplicada]])</f>
        <v>0</v>
      </c>
      <c r="Q394" s="22">
        <f>+PROVEEDORES[[#This Row],[Rete Fuente %]]*(PROVEEDORES[[#This Row],[SUBTOTAL]]-PROVEEDORES[[#This Row],[descuento sobre subtotal]])</f>
        <v>0</v>
      </c>
      <c r="R394" s="21">
        <f>+PROVEEDORES[[#This Row],[SUBTOTAL]]+PROVEEDORES[[#This Row],[IVA 19%]]-PROVEEDORES[[#This Row],[descuento sobre subtotal]]-PROVEEDORES[[#This Row],[Descuento sobre subtotal $2]]-PROVEEDORES[[#This Row],[Rete Fuente $]]</f>
        <v>275500</v>
      </c>
      <c r="S394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63">
        <f ca="1">IF(PROVEEDORES[[#This Row],[FECHA DE PAGO]]=0,TODAY()-PROVEEDORES[[#This Row],[FECHA DE FACTURACIÓN]]-PROVEEDORES[[#This Row],[PLAZO Días]],0)</f>
        <v>0</v>
      </c>
      <c r="U394" s="104">
        <f>+VLOOKUP(PROVEEDORES[[#This Row],[PROVEEDOR]],Terceros!$A:$D,4,FALSE)</f>
        <v>0</v>
      </c>
      <c r="V394" s="105">
        <f>+YEAR(PROVEEDORES[[#This Row],[FECHA DE FACTURACIÓN]])</f>
        <v>2022</v>
      </c>
      <c r="W394" s="105">
        <f>+MATCH(PROVEEDORES[[#This Row],[año facturado]],Retenciones!$1:$1,0)</f>
        <v>5</v>
      </c>
      <c r="X394" s="106">
        <f>+VLOOKUP(PROVEEDORES[[#This Row],[ID RETENCION]],Retenciones!$A$1:$O$25,PROVEEDORES[[#This Row],[indicador de columna]],FALSE)</f>
        <v>0</v>
      </c>
      <c r="Y394" s="107">
        <f>+VLOOKUP(PROVEEDORES[[#This Row],[ID RETENCION]],Retenciones!$A$1:$O$25,2,FALSE)</f>
        <v>0</v>
      </c>
      <c r="Z394" s="116" t="b">
        <f>OR(COUNTIF(PROVEEDORES[[#This Row],[PROVEEDOR]],"*"&amp;'Palabra no opera'!$A$2&amp;"*"))</f>
        <v>0</v>
      </c>
    </row>
    <row r="395" spans="1:26" ht="22.35" customHeight="1" x14ac:dyDescent="0.3">
      <c r="A395" s="133" t="str">
        <f>+IF(PROVEEDORES[[#This Row],[FECHA DE PAGO]]=PROVEEDORES[[#This Row],[FECHA DE FACTURACIÓN]],"DE CONTADO","CRÉDITO")</f>
        <v>DE CONTADO</v>
      </c>
      <c r="B395" s="38" t="b">
        <f>+IF((PROVEEDORES[[#This Row],[FECHA DE PAGO]]-PROVEEDORES[[#This Row],[FECHA DE FACTURACIÓN]])&gt;PROVEEDORES[[#This Row],[PLAZO Días]],"PAGO VENCIDO")</f>
        <v>0</v>
      </c>
      <c r="C395" s="20">
        <f>+VLOOKUP(PROVEEDORES[[#This Row],[PROVEEDOR]],TERCEROS_INFO[#All],2,FALSE)</f>
        <v>30</v>
      </c>
      <c r="D395" s="25">
        <f>+SUMIFS(PROVEEDORES[Total],PROVEEDORES[PROVEEDOR],PROVEEDORES[[#This Row],[PROVEEDOR]],PROVEEDORES[FECHA DE PAGO],"")</f>
        <v>0</v>
      </c>
      <c r="E395" s="25"/>
      <c r="F395" s="56" t="str">
        <f>+VLOOKUP(PROVEEDORES[[#This Row],[PROVEEDOR]],
                       Terceros!$A:$F,
                       5,
                       FALSE)</f>
        <v/>
      </c>
      <c r="G395" s="68">
        <v>44707</v>
      </c>
      <c r="H395" s="26" t="s">
        <v>390</v>
      </c>
      <c r="I395" s="68">
        <v>44707</v>
      </c>
      <c r="J395" s="35"/>
      <c r="K395" s="21">
        <v>1000000</v>
      </c>
      <c r="L395" s="21"/>
      <c r="M395" s="22">
        <f>(PROVEEDORES[[#This Row],[SUBTOTAL]]-PROVEEDORES[[#This Row],[descuento sobre subtotal]])*VLOOKUP(PROVEEDORES[[#This Row],[PROVEEDOR]],TERCEROS_INFO[#All],3,FALSE)</f>
        <v>0</v>
      </c>
      <c r="N395" s="23"/>
      <c r="O395" s="22">
        <f>+PROVEEDORES[[#This Row],[Descuento sobre subtotal %]]*(PROVEEDORES[[#This Row],[SUBTOTAL]]-PROVEEDORES[[#This Row],[descuento sobre subtotal]])</f>
        <v>0</v>
      </c>
      <c r="P395" s="74">
        <f>+IF(PROVEEDORES[[#This Row],[SUBTOTAL]]&lt;PROVEEDORES[[#This Row],[base retencion]],0,PROVEEDORES[[#This Row],[retención aplicada]])</f>
        <v>0</v>
      </c>
      <c r="Q395" s="22">
        <f>+PROVEEDORES[[#This Row],[Rete Fuente %]]*(PROVEEDORES[[#This Row],[SUBTOTAL]]-PROVEEDORES[[#This Row],[descuento sobre subtotal]])</f>
        <v>0</v>
      </c>
      <c r="R39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395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63">
        <f ca="1">IF(PROVEEDORES[[#This Row],[FECHA DE PAGO]]=0,TODAY()-PROVEEDORES[[#This Row],[FECHA DE FACTURACIÓN]]-PROVEEDORES[[#This Row],[PLAZO Días]],0)</f>
        <v>0</v>
      </c>
      <c r="U395" s="104">
        <f>+VLOOKUP(PROVEEDORES[[#This Row],[PROVEEDOR]],Terceros!$A:$D,4,FALSE)</f>
        <v>0</v>
      </c>
      <c r="V395" s="105">
        <f>+YEAR(PROVEEDORES[[#This Row],[FECHA DE FACTURACIÓN]])</f>
        <v>2022</v>
      </c>
      <c r="W395" s="105">
        <f>+MATCH(PROVEEDORES[[#This Row],[año facturado]],Retenciones!$1:$1,0)</f>
        <v>5</v>
      </c>
      <c r="X395" s="106">
        <f>+VLOOKUP(PROVEEDORES[[#This Row],[ID RETENCION]],Retenciones!$A$1:$O$25,PROVEEDORES[[#This Row],[indicador de columna]],FALSE)</f>
        <v>0</v>
      </c>
      <c r="Y395" s="107">
        <f>+VLOOKUP(PROVEEDORES[[#This Row],[ID RETENCION]],Retenciones!$A$1:$O$25,2,FALSE)</f>
        <v>0</v>
      </c>
      <c r="Z395" s="116" t="b">
        <f>OR(COUNTIF(PROVEEDORES[[#This Row],[PROVEEDOR]],"*"&amp;'Palabra no opera'!$A$2&amp;"*"))</f>
        <v>0</v>
      </c>
    </row>
    <row r="396" spans="1:26" ht="22.35" customHeight="1" x14ac:dyDescent="0.3">
      <c r="A396" s="114" t="str">
        <f>+IF(PROVEEDORES[[#This Row],[FECHA DE PAGO]]=PROVEEDORES[[#This Row],[FECHA DE FACTURACIÓN]],"DE CONTADO","CRÉDITO")</f>
        <v>CRÉDITO</v>
      </c>
      <c r="B396" s="38" t="b">
        <f>+IF((PROVEEDORES[[#This Row],[FECHA DE PAGO]]-PROVEEDORES[[#This Row],[FECHA DE FACTURACIÓN]])&gt;PROVEEDORES[[#This Row],[PLAZO Días]],"PAGO VENCIDO")</f>
        <v>0</v>
      </c>
      <c r="C396" s="20">
        <f>+VLOOKUP(PROVEEDORES[[#This Row],[PROVEEDOR]],TERCEROS_INFO[#All],2,FALSE)</f>
        <v>30</v>
      </c>
      <c r="D396" s="25">
        <f>+SUMIFS(PROVEEDORES[Total],PROVEEDORES[PROVEEDOR],PROVEEDORES[[#This Row],[PROVEEDOR]],PROVEEDORES[FECHA DE PAGO],"")</f>
        <v>0</v>
      </c>
      <c r="E396" s="25"/>
      <c r="F396" s="56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396" s="68">
        <v>44707</v>
      </c>
      <c r="H396" s="26" t="s">
        <v>49</v>
      </c>
      <c r="I396" s="68">
        <v>44678</v>
      </c>
      <c r="J396" s="35">
        <v>6844</v>
      </c>
      <c r="K396" s="21">
        <v>700840.2</v>
      </c>
      <c r="L396" s="21"/>
      <c r="M396" s="22">
        <f>(PROVEEDORES[[#This Row],[SUBTOTAL]]-PROVEEDORES[[#This Row],[descuento sobre subtotal]])*VLOOKUP(PROVEEDORES[[#This Row],[PROVEEDOR]],TERCEROS_INFO[#All],3,FALSE)</f>
        <v>133159.63800000001</v>
      </c>
      <c r="N396" s="23"/>
      <c r="O396" s="22">
        <f>+PROVEEDORES[[#This Row],[Descuento sobre subtotal %]]*(PROVEEDORES[[#This Row],[SUBTOTAL]]-PROVEEDORES[[#This Row],[descuento sobre subtotal]])</f>
        <v>0</v>
      </c>
      <c r="P396" s="74">
        <f>+IF(PROVEEDORES[[#This Row],[SUBTOTAL]]&lt;PROVEEDORES[[#This Row],[base retencion]],0,PROVEEDORES[[#This Row],[retención aplicada]])</f>
        <v>0</v>
      </c>
      <c r="Q396" s="22">
        <f>+PROVEEDORES[[#This Row],[Rete Fuente %]]*(PROVEEDORES[[#This Row],[SUBTOTAL]]-PROVEEDORES[[#This Row],[descuento sobre subtotal]])</f>
        <v>0</v>
      </c>
      <c r="R396" s="21">
        <f>+PROVEEDORES[[#This Row],[SUBTOTAL]]+PROVEEDORES[[#This Row],[IVA 19%]]-PROVEEDORES[[#This Row],[descuento sobre subtotal]]-PROVEEDORES[[#This Row],[Descuento sobre subtotal $2]]-PROVEEDORES[[#This Row],[Rete Fuente $]]</f>
        <v>833999.83799999999</v>
      </c>
      <c r="S396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63">
        <f ca="1">IF(PROVEEDORES[[#This Row],[FECHA DE PAGO]]=0,TODAY()-PROVEEDORES[[#This Row],[FECHA DE FACTURACIÓN]]-PROVEEDORES[[#This Row],[PLAZO Días]],0)</f>
        <v>0</v>
      </c>
      <c r="U396" s="104" t="str">
        <f>+VLOOKUP(PROVEEDORES[[#This Row],[PROVEEDOR]],Terceros!$A:$D,4,FALSE)</f>
        <v>2,5% con base</v>
      </c>
      <c r="V396" s="105">
        <f>+YEAR(PROVEEDORES[[#This Row],[FECHA DE FACTURACIÓN]])</f>
        <v>2022</v>
      </c>
      <c r="W396" s="105">
        <f>+MATCH(PROVEEDORES[[#This Row],[año facturado]],Retenciones!$1:$1,0)</f>
        <v>5</v>
      </c>
      <c r="X396" s="106">
        <f>+VLOOKUP(PROVEEDORES[[#This Row],[ID RETENCION]],Retenciones!$A$1:$O$25,PROVEEDORES[[#This Row],[indicador de columna]],FALSE)</f>
        <v>1026000</v>
      </c>
      <c r="Y396" s="107">
        <f>+VLOOKUP(PROVEEDORES[[#This Row],[ID RETENCION]],Retenciones!$A$1:$O$25,2,FALSE)</f>
        <v>2.5000000000000001E-2</v>
      </c>
      <c r="Z396" s="116" t="b">
        <f>OR(COUNTIF(PROVEEDORES[[#This Row],[PROVEEDOR]],"*"&amp;'Palabra no opera'!$A$2&amp;"*"))</f>
        <v>0</v>
      </c>
    </row>
    <row r="397" spans="1:26" ht="22.35" customHeight="1" x14ac:dyDescent="0.3">
      <c r="A397" s="122" t="str">
        <f>+IF(PROVEEDORES[[#This Row],[FECHA DE PAGO]]=PROVEEDORES[[#This Row],[FECHA DE FACTURACIÓN]],"DE CONTADO","CRÉDITO")</f>
        <v>CRÉDITO</v>
      </c>
      <c r="B397" s="38" t="b">
        <f>+IF((PROVEEDORES[[#This Row],[FECHA DE PAGO]]-PROVEEDORES[[#This Row],[FECHA DE FACTURACIÓN]])&gt;PROVEEDORES[[#This Row],[PLAZO Días]],"PAGO VENCIDO")</f>
        <v>0</v>
      </c>
      <c r="C397" s="20">
        <f>+VLOOKUP(PROVEEDORES[[#This Row],[PROVEEDOR]],TERCEROS_INFO[#All],2,FALSE)</f>
        <v>30</v>
      </c>
      <c r="D397" s="25">
        <f>+SUMIFS(PROVEEDORES[Total],PROVEEDORES[PROVEEDOR],PROVEEDORES[[#This Row],[PROVEEDOR]],PROVEEDORES[FECHA DE PAGO],"")</f>
        <v>0</v>
      </c>
      <c r="E397" s="25"/>
      <c r="F397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397" s="68">
        <v>44707</v>
      </c>
      <c r="H397" s="26" t="s">
        <v>628</v>
      </c>
      <c r="I397" s="68">
        <v>44682</v>
      </c>
      <c r="J397" s="35">
        <v>10533</v>
      </c>
      <c r="K397" s="21">
        <v>1649859</v>
      </c>
      <c r="L397" s="21"/>
      <c r="M397" s="22">
        <f>(PROVEEDORES[[#This Row],[SUBTOTAL]]-PROVEEDORES[[#This Row],[descuento sobre subtotal]])*VLOOKUP(PROVEEDORES[[#This Row],[PROVEEDOR]],TERCEROS_INFO[#All],3,FALSE)</f>
        <v>0</v>
      </c>
      <c r="N397" s="23"/>
      <c r="O397" s="22">
        <f>+PROVEEDORES[[#This Row],[Descuento sobre subtotal %]]*(PROVEEDORES[[#This Row],[SUBTOTAL]]-PROVEEDORES[[#This Row],[descuento sobre subtotal]])</f>
        <v>0</v>
      </c>
      <c r="P397" s="74">
        <f>+IF(PROVEEDORES[[#This Row],[SUBTOTAL]]&lt;PROVEEDORES[[#This Row],[base retencion]],0,PROVEEDORES[[#This Row],[retención aplicada]])</f>
        <v>0</v>
      </c>
      <c r="Q397" s="22">
        <f>+PROVEEDORES[[#This Row],[Rete Fuente %]]*(PROVEEDORES[[#This Row],[SUBTOTAL]]-PROVEEDORES[[#This Row],[descuento sobre subtotal]])</f>
        <v>0</v>
      </c>
      <c r="R397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397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63">
        <f ca="1">IF(PROVEEDORES[[#This Row],[FECHA DE PAGO]]=0,TODAY()-PROVEEDORES[[#This Row],[FECHA DE FACTURACIÓN]]-PROVEEDORES[[#This Row],[PLAZO Días]],0)</f>
        <v>0</v>
      </c>
      <c r="U397" s="104">
        <f>+VLOOKUP(PROVEEDORES[[#This Row],[PROVEEDOR]],Terceros!$A:$D,4,FALSE)</f>
        <v>0</v>
      </c>
      <c r="V397" s="105">
        <f>+YEAR(PROVEEDORES[[#This Row],[FECHA DE FACTURACIÓN]])</f>
        <v>2022</v>
      </c>
      <c r="W397" s="105">
        <f>+MATCH(PROVEEDORES[[#This Row],[año facturado]],Retenciones!$1:$1,0)</f>
        <v>5</v>
      </c>
      <c r="X397" s="106">
        <f>+VLOOKUP(PROVEEDORES[[#This Row],[ID RETENCION]],Retenciones!$A$1:$O$25,PROVEEDORES[[#This Row],[indicador de columna]],FALSE)</f>
        <v>0</v>
      </c>
      <c r="Y397" s="107">
        <f>+VLOOKUP(PROVEEDORES[[#This Row],[ID RETENCION]],Retenciones!$A$1:$O$25,2,FALSE)</f>
        <v>0</v>
      </c>
      <c r="Z397" s="116" t="b">
        <f>OR(COUNTIF(PROVEEDORES[[#This Row],[PROVEEDOR]],"*"&amp;'Palabra no opera'!$A$2&amp;"*"))</f>
        <v>1</v>
      </c>
    </row>
    <row r="398" spans="1:26" ht="22.35" customHeight="1" x14ac:dyDescent="0.3">
      <c r="A398" s="148" t="str">
        <f>+IF(PROVEEDORES[[#This Row],[FECHA DE PAGO]]=PROVEEDORES[[#This Row],[FECHA DE FACTURACIÓN]],"DE CONTADO","CRÉDITO")</f>
        <v>CRÉDITO</v>
      </c>
      <c r="B398" s="38" t="str">
        <f>+IF((PROVEEDORES[[#This Row],[FECHA DE PAGO]]-PROVEEDORES[[#This Row],[FECHA DE FACTURACIÓN]])&gt;PROVEEDORES[[#This Row],[PLAZO Días]],"PAGO VENCIDO")</f>
        <v>PAGO VENCIDO</v>
      </c>
      <c r="C398" s="20">
        <f>+VLOOKUP(PROVEEDORES[[#This Row],[PROVEEDOR]],TERCEROS_INFO[#All],2,FALSE)</f>
        <v>30</v>
      </c>
      <c r="D398" s="25">
        <f>+SUMIFS(PROVEEDORES[Total],PROVEEDORES[PROVEEDOR],PROVEEDORES[[#This Row],[PROVEEDOR]],PROVEEDORES[FECHA DE PAGO],"")</f>
        <v>229206</v>
      </c>
      <c r="E398" s="25"/>
      <c r="F39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98" s="68">
        <v>44707</v>
      </c>
      <c r="H398" s="26" t="s">
        <v>95</v>
      </c>
      <c r="I398" s="68">
        <v>44676</v>
      </c>
      <c r="J398" s="35" t="s">
        <v>784</v>
      </c>
      <c r="K398" s="21">
        <v>1793000</v>
      </c>
      <c r="L398" s="21"/>
      <c r="M398" s="22">
        <f>(PROVEEDORES[[#This Row],[SUBTOTAL]]-PROVEEDORES[[#This Row],[descuento sobre subtotal]])*VLOOKUP(PROVEEDORES[[#This Row],[PROVEEDOR]],TERCEROS_INFO[#All],3,FALSE)</f>
        <v>0</v>
      </c>
      <c r="N398" s="23"/>
      <c r="O398" s="22">
        <f>+PROVEEDORES[[#This Row],[Descuento sobre subtotal %]]*(PROVEEDORES[[#This Row],[SUBTOTAL]]-PROVEEDORES[[#This Row],[descuento sobre subtotal]])</f>
        <v>0</v>
      </c>
      <c r="P398" s="74">
        <f>+IF(PROVEEDORES[[#This Row],[SUBTOTAL]]&lt;PROVEEDORES[[#This Row],[base retencion]],0,PROVEEDORES[[#This Row],[retención aplicada]])</f>
        <v>0</v>
      </c>
      <c r="Q398" s="22">
        <f>+PROVEEDORES[[#This Row],[Rete Fuente %]]*(PROVEEDORES[[#This Row],[SUBTOTAL]]-PROVEEDORES[[#This Row],[descuento sobre subtotal]])</f>
        <v>0</v>
      </c>
      <c r="R398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39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63">
        <f ca="1">IF(PROVEEDORES[[#This Row],[FECHA DE PAGO]]=0,TODAY()-PROVEEDORES[[#This Row],[FECHA DE FACTURACIÓN]]-PROVEEDORES[[#This Row],[PLAZO Días]],0)</f>
        <v>0</v>
      </c>
      <c r="U398" s="104">
        <f>+VLOOKUP(PROVEEDORES[[#This Row],[PROVEEDOR]],Terceros!$A:$D,4,FALSE)</f>
        <v>0</v>
      </c>
      <c r="V398" s="105">
        <f>+YEAR(PROVEEDORES[[#This Row],[FECHA DE FACTURACIÓN]])</f>
        <v>2022</v>
      </c>
      <c r="W398" s="105">
        <f>+MATCH(PROVEEDORES[[#This Row],[año facturado]],Retenciones!$1:$1,0)</f>
        <v>5</v>
      </c>
      <c r="X398" s="106">
        <f>+VLOOKUP(PROVEEDORES[[#This Row],[ID RETENCION]],Retenciones!$A$1:$O$25,PROVEEDORES[[#This Row],[indicador de columna]],FALSE)</f>
        <v>0</v>
      </c>
      <c r="Y398" s="107">
        <f>+VLOOKUP(PROVEEDORES[[#This Row],[ID RETENCION]],Retenciones!$A$1:$O$25,2,FALSE)</f>
        <v>0</v>
      </c>
      <c r="Z398" s="116" t="b">
        <f>OR(COUNTIF(PROVEEDORES[[#This Row],[PROVEEDOR]],"*"&amp;'Palabra no opera'!$A$2&amp;"*"))</f>
        <v>0</v>
      </c>
    </row>
    <row r="399" spans="1:26" ht="22.35" customHeight="1" x14ac:dyDescent="0.3">
      <c r="A399" s="129" t="str">
        <f>+IF(PROVEEDORES[[#This Row],[FECHA DE PAGO]]=PROVEEDORES[[#This Row],[FECHA DE FACTURACIÓN]],"DE CONTADO","CRÉDITO")</f>
        <v>CRÉDITO</v>
      </c>
      <c r="B399" s="38" t="b">
        <f>+IF((PROVEEDORES[[#This Row],[FECHA DE PAGO]]-PROVEEDORES[[#This Row],[FECHA DE FACTURACIÓN]])&gt;PROVEEDORES[[#This Row],[PLAZO Días]],"PAGO VENCIDO")</f>
        <v>0</v>
      </c>
      <c r="C399" s="20">
        <f>+VLOOKUP(PROVEEDORES[[#This Row],[PROVEEDOR]],TERCEROS_INFO[#All],2,FALSE)</f>
        <v>30</v>
      </c>
      <c r="D399" s="25">
        <f>+SUMIFS(PROVEEDORES[Total],PROVEEDORES[PROVEEDOR],PROVEEDORES[[#This Row],[PROVEEDOR]],PROVEEDORES[FECHA DE PAGO],"")</f>
        <v>0</v>
      </c>
      <c r="E399" s="25"/>
      <c r="F399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99" s="68">
        <v>44707</v>
      </c>
      <c r="H399" s="26" t="s">
        <v>635</v>
      </c>
      <c r="I399" s="68">
        <v>44682</v>
      </c>
      <c r="J399" s="35">
        <v>3118</v>
      </c>
      <c r="K399" s="21">
        <v>3002200</v>
      </c>
      <c r="L399" s="21"/>
      <c r="M399" s="22">
        <f>(PROVEEDORES[[#This Row],[SUBTOTAL]]-PROVEEDORES[[#This Row],[descuento sobre subtotal]])*VLOOKUP(PROVEEDORES[[#This Row],[PROVEEDOR]],TERCEROS_INFO[#All],3,FALSE)</f>
        <v>0</v>
      </c>
      <c r="N399" s="23"/>
      <c r="O399" s="22">
        <f>+PROVEEDORES[[#This Row],[Descuento sobre subtotal %]]*(PROVEEDORES[[#This Row],[SUBTOTAL]]-PROVEEDORES[[#This Row],[descuento sobre subtotal]])</f>
        <v>0</v>
      </c>
      <c r="P399" s="74">
        <f>+IF(PROVEEDORES[[#This Row],[SUBTOTAL]]&lt;PROVEEDORES[[#This Row],[base retencion]],0,PROVEEDORES[[#This Row],[retención aplicada]])</f>
        <v>3.5000000000000003E-2</v>
      </c>
      <c r="Q399" s="22">
        <f>+PROVEEDORES[[#This Row],[Rete Fuente %]]*(PROVEEDORES[[#This Row],[SUBTOTAL]]-PROVEEDORES[[#This Row],[descuento sobre subtotal]])</f>
        <v>105077.00000000001</v>
      </c>
      <c r="R399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399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63">
        <f ca="1">IF(PROVEEDORES[[#This Row],[FECHA DE PAGO]]=0,TODAY()-PROVEEDORES[[#This Row],[FECHA DE FACTURACIÓN]]-PROVEEDORES[[#This Row],[PLAZO Días]],0)</f>
        <v>0</v>
      </c>
      <c r="U399" s="104" t="str">
        <f>+VLOOKUP(PROVEEDORES[[#This Row],[PROVEEDOR]],Terceros!$A:$D,4,FALSE)</f>
        <v>3,5% sin base</v>
      </c>
      <c r="V399" s="105">
        <f>+YEAR(PROVEEDORES[[#This Row],[FECHA DE FACTURACIÓN]])</f>
        <v>2022</v>
      </c>
      <c r="W399" s="105">
        <f>+MATCH(PROVEEDORES[[#This Row],[año facturado]],Retenciones!$1:$1,0)</f>
        <v>5</v>
      </c>
      <c r="X399" s="106">
        <f>+VLOOKUP(PROVEEDORES[[#This Row],[ID RETENCION]],Retenciones!$A$1:$O$25,PROVEEDORES[[#This Row],[indicador de columna]],FALSE)</f>
        <v>0</v>
      </c>
      <c r="Y399" s="107">
        <f>+VLOOKUP(PROVEEDORES[[#This Row],[ID RETENCION]],Retenciones!$A$1:$O$25,2,FALSE)</f>
        <v>3.5000000000000003E-2</v>
      </c>
      <c r="Z399" s="116" t="b">
        <f>OR(COUNTIF(PROVEEDORES[[#This Row],[PROVEEDOR]],"*"&amp;'Palabra no opera'!$A$2&amp;"*"))</f>
        <v>1</v>
      </c>
    </row>
    <row r="400" spans="1:26" ht="22.35" customHeight="1" x14ac:dyDescent="0.3">
      <c r="A400" s="133" t="str">
        <f>+IF(PROVEEDORES[[#This Row],[FECHA DE PAGO]]=PROVEEDORES[[#This Row],[FECHA DE FACTURACIÓN]],"DE CONTADO","CRÉDITO")</f>
        <v>CRÉDITO</v>
      </c>
      <c r="B400" s="38" t="b">
        <f>+IF((PROVEEDORES[[#This Row],[FECHA DE PAGO]]-PROVEEDORES[[#This Row],[FECHA DE FACTURACIÓN]])&gt;PROVEEDORES[[#This Row],[PLAZO Días]],"PAGO VENCIDO")</f>
        <v>0</v>
      </c>
      <c r="C400" s="20">
        <f>+VLOOKUP(PROVEEDORES[[#This Row],[PROVEEDOR]],TERCEROS_INFO[#All],2,FALSE)</f>
        <v>30</v>
      </c>
      <c r="D400" s="25">
        <f>+SUMIFS(PROVEEDORES[Total],PROVEEDORES[PROVEEDOR],PROVEEDORES[[#This Row],[PROVEEDOR]],PROVEEDORES[FECHA DE PAGO],"")</f>
        <v>0</v>
      </c>
      <c r="E400" s="25"/>
      <c r="F400" s="56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400" s="68">
        <v>44707</v>
      </c>
      <c r="H400" s="26" t="s">
        <v>636</v>
      </c>
      <c r="I400" s="68">
        <v>44704</v>
      </c>
      <c r="J400" s="35" t="s">
        <v>689</v>
      </c>
      <c r="K400" s="21">
        <v>1650000</v>
      </c>
      <c r="L400" s="21"/>
      <c r="M400" s="22">
        <f>(PROVEEDORES[[#This Row],[SUBTOTAL]]-PROVEEDORES[[#This Row],[descuento sobre subtotal]])*VLOOKUP(PROVEEDORES[[#This Row],[PROVEEDOR]],TERCEROS_INFO[#All],3,FALSE)</f>
        <v>313500</v>
      </c>
      <c r="N400" s="23"/>
      <c r="O400" s="22">
        <f>+PROVEEDORES[[#This Row],[Descuento sobre subtotal %]]*(PROVEEDORES[[#This Row],[SUBTOTAL]]-PROVEEDORES[[#This Row],[descuento sobre subtotal]])</f>
        <v>0</v>
      </c>
      <c r="P400" s="74">
        <f>+IF(PROVEEDORES[[#This Row],[SUBTOTAL]]&lt;PROVEEDORES[[#This Row],[base retencion]],0,PROVEEDORES[[#This Row],[retención aplicada]])</f>
        <v>0.11</v>
      </c>
      <c r="Q400" s="22">
        <f>+PROVEEDORES[[#This Row],[Rete Fuente %]]*(PROVEEDORES[[#This Row],[SUBTOTAL]]-PROVEEDORES[[#This Row],[descuento sobre subtotal]])</f>
        <v>181500</v>
      </c>
      <c r="R400" s="21">
        <f>+PROVEEDORES[[#This Row],[SUBTOTAL]]+PROVEEDORES[[#This Row],[IVA 19%]]-PROVEEDORES[[#This Row],[descuento sobre subtotal]]-PROVEEDORES[[#This Row],[Descuento sobre subtotal $2]]-PROVEEDORES[[#This Row],[Rete Fuente $]]</f>
        <v>1782000</v>
      </c>
      <c r="S400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63">
        <f ca="1">IF(PROVEEDORES[[#This Row],[FECHA DE PAGO]]=0,TODAY()-PROVEEDORES[[#This Row],[FECHA DE FACTURACIÓN]]-PROVEEDORES[[#This Row],[PLAZO Días]],0)</f>
        <v>0</v>
      </c>
      <c r="U400" s="104" t="str">
        <f>+VLOOKUP(PROVEEDORES[[#This Row],[PROVEEDOR]],Terceros!$A:$D,4,FALSE)</f>
        <v>11% sin base</v>
      </c>
      <c r="V400" s="105">
        <f>+YEAR(PROVEEDORES[[#This Row],[FECHA DE FACTURACIÓN]])</f>
        <v>2022</v>
      </c>
      <c r="W400" s="105">
        <f>+MATCH(PROVEEDORES[[#This Row],[año facturado]],Retenciones!$1:$1,0)</f>
        <v>5</v>
      </c>
      <c r="X400" s="106">
        <f>+VLOOKUP(PROVEEDORES[[#This Row],[ID RETENCION]],Retenciones!$A$1:$O$25,PROVEEDORES[[#This Row],[indicador de columna]],FALSE)</f>
        <v>0</v>
      </c>
      <c r="Y400" s="107">
        <f>+VLOOKUP(PROVEEDORES[[#This Row],[ID RETENCION]],Retenciones!$A$1:$O$25,2,FALSE)</f>
        <v>0.11</v>
      </c>
      <c r="Z400" s="116" t="b">
        <f>OR(COUNTIF(PROVEEDORES[[#This Row],[PROVEEDOR]],"*"&amp;'Palabra no opera'!$A$2&amp;"*"))</f>
        <v>1</v>
      </c>
    </row>
    <row r="401" spans="1:26" ht="22.35" customHeight="1" x14ac:dyDescent="0.3">
      <c r="A401" s="133" t="str">
        <f>+IF(PROVEEDORES[[#This Row],[FECHA DE PAGO]]=PROVEEDORES[[#This Row],[FECHA DE FACTURACIÓN]],"DE CONTADO","CRÉDITO")</f>
        <v>CRÉDITO</v>
      </c>
      <c r="B401" s="38" t="b">
        <f>+IF((PROVEEDORES[[#This Row],[FECHA DE PAGO]]-PROVEEDORES[[#This Row],[FECHA DE FACTURACIÓN]])&gt;PROVEEDORES[[#This Row],[PLAZO Días]],"PAGO VENCIDO")</f>
        <v>0</v>
      </c>
      <c r="C401" s="20">
        <f>+VLOOKUP(PROVEEDORES[[#This Row],[PROVEEDOR]],TERCEROS_INFO[#All],2,FALSE)</f>
        <v>30</v>
      </c>
      <c r="D401" s="25">
        <f>+SUMIFS(PROVEEDORES[Total],PROVEEDORES[PROVEEDOR],PROVEEDORES[[#This Row],[PROVEEDOR]],PROVEEDORES[FECHA DE PAGO],"")</f>
        <v>0</v>
      </c>
      <c r="E401" s="25"/>
      <c r="F401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401" s="68">
        <v>44707</v>
      </c>
      <c r="H401" s="26" t="s">
        <v>638</v>
      </c>
      <c r="I401" s="68">
        <v>44682</v>
      </c>
      <c r="J401" s="35" t="s">
        <v>695</v>
      </c>
      <c r="K401" s="21">
        <v>-12815</v>
      </c>
      <c r="L401" s="21"/>
      <c r="M401" s="22">
        <f>(PROVEEDORES[[#This Row],[SUBTOTAL]]-PROVEEDORES[[#This Row],[descuento sobre subtotal]])*VLOOKUP(PROVEEDORES[[#This Row],[PROVEEDOR]],TERCEROS_INFO[#All],3,FALSE)</f>
        <v>-2434.85</v>
      </c>
      <c r="N401" s="23"/>
      <c r="O401" s="22">
        <f>+PROVEEDORES[[#This Row],[Descuento sobre subtotal %]]*(PROVEEDORES[[#This Row],[SUBTOTAL]]-PROVEEDORES[[#This Row],[descuento sobre subtotal]])</f>
        <v>0</v>
      </c>
      <c r="P401" s="74">
        <f>+IF(PROVEEDORES[[#This Row],[SUBTOTAL]]&lt;PROVEEDORES[[#This Row],[base retencion]],0,PROVEEDORES[[#This Row],[retención aplicada]])</f>
        <v>0</v>
      </c>
      <c r="Q401" s="22">
        <f>+PROVEEDORES[[#This Row],[Rete Fuente %]]*(PROVEEDORES[[#This Row],[SUBTOTAL]]-PROVEEDORES[[#This Row],[descuento sobre subtotal]])</f>
        <v>0</v>
      </c>
      <c r="R401" s="21">
        <f>+PROVEEDORES[[#This Row],[SUBTOTAL]]+PROVEEDORES[[#This Row],[IVA 19%]]-PROVEEDORES[[#This Row],[descuento sobre subtotal]]-PROVEEDORES[[#This Row],[Descuento sobre subtotal $2]]-PROVEEDORES[[#This Row],[Rete Fuente $]]</f>
        <v>-15249.85</v>
      </c>
      <c r="S40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63">
        <f ca="1">IF(PROVEEDORES[[#This Row],[FECHA DE PAGO]]=0,TODAY()-PROVEEDORES[[#This Row],[FECHA DE FACTURACIÓN]]-PROVEEDORES[[#This Row],[PLAZO Días]],0)</f>
        <v>0</v>
      </c>
      <c r="U401" s="104" t="str">
        <f>+VLOOKUP(PROVEEDORES[[#This Row],[PROVEEDOR]],Terceros!$A:$D,4,FALSE)</f>
        <v>3,5% sin base</v>
      </c>
      <c r="V401" s="105">
        <f>+YEAR(PROVEEDORES[[#This Row],[FECHA DE FACTURACIÓN]])</f>
        <v>2022</v>
      </c>
      <c r="W401" s="105">
        <f>+MATCH(PROVEEDORES[[#This Row],[año facturado]],Retenciones!$1:$1,0)</f>
        <v>5</v>
      </c>
      <c r="X401" s="106">
        <f>+VLOOKUP(PROVEEDORES[[#This Row],[ID RETENCION]],Retenciones!$A$1:$O$25,PROVEEDORES[[#This Row],[indicador de columna]],FALSE)</f>
        <v>0</v>
      </c>
      <c r="Y401" s="107">
        <f>+VLOOKUP(PROVEEDORES[[#This Row],[ID RETENCION]],Retenciones!$A$1:$O$25,2,FALSE)</f>
        <v>3.5000000000000003E-2</v>
      </c>
      <c r="Z401" s="116" t="b">
        <f>OR(COUNTIF(PROVEEDORES[[#This Row],[PROVEEDOR]],"*"&amp;'Palabra no opera'!$A$2&amp;"*"))</f>
        <v>1</v>
      </c>
    </row>
    <row r="402" spans="1:26" ht="22.35" customHeight="1" x14ac:dyDescent="0.3">
      <c r="A402" s="133" t="str">
        <f>+IF(PROVEEDORES[[#This Row],[FECHA DE PAGO]]=PROVEEDORES[[#This Row],[FECHA DE FACTURACIÓN]],"DE CONTADO","CRÉDITO")</f>
        <v>CRÉDITO</v>
      </c>
      <c r="B402" s="38" t="b">
        <f>+IF((PROVEEDORES[[#This Row],[FECHA DE PAGO]]-PROVEEDORES[[#This Row],[FECHA DE FACTURACIÓN]])&gt;PROVEEDORES[[#This Row],[PLAZO Días]],"PAGO VENCIDO")</f>
        <v>0</v>
      </c>
      <c r="C402" s="20">
        <f>+VLOOKUP(PROVEEDORES[[#This Row],[PROVEEDOR]],TERCEROS_INFO[#All],2,FALSE)</f>
        <v>30</v>
      </c>
      <c r="D402" s="25">
        <f>+SUMIFS(PROVEEDORES[Total],PROVEEDORES[PROVEEDOR],PROVEEDORES[[#This Row],[PROVEEDOR]],PROVEEDORES[FECHA DE PAGO],"")</f>
        <v>0</v>
      </c>
      <c r="E402" s="25"/>
      <c r="F402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402" s="68">
        <v>44707</v>
      </c>
      <c r="H402" s="26" t="s">
        <v>638</v>
      </c>
      <c r="I402" s="68">
        <v>44682</v>
      </c>
      <c r="J402" s="35" t="s">
        <v>700</v>
      </c>
      <c r="K402" s="21">
        <v>5105</v>
      </c>
      <c r="L402" s="21"/>
      <c r="M402" s="22">
        <f>(PROVEEDORES[[#This Row],[SUBTOTAL]]-PROVEEDORES[[#This Row],[descuento sobre subtotal]])*VLOOKUP(PROVEEDORES[[#This Row],[PROVEEDOR]],TERCEROS_INFO[#All],3,FALSE)</f>
        <v>969.95</v>
      </c>
      <c r="N402" s="23"/>
      <c r="O402" s="22">
        <f>+PROVEEDORES[[#This Row],[Descuento sobre subtotal %]]*(PROVEEDORES[[#This Row],[SUBTOTAL]]-PROVEEDORES[[#This Row],[descuento sobre subtotal]])</f>
        <v>0</v>
      </c>
      <c r="P402" s="74">
        <f>+IF(PROVEEDORES[[#This Row],[SUBTOTAL]]&lt;PROVEEDORES[[#This Row],[base retencion]],0,PROVEEDORES[[#This Row],[retención aplicada]])</f>
        <v>3.5000000000000003E-2</v>
      </c>
      <c r="Q402" s="22">
        <f>+PROVEEDORES[[#This Row],[Rete Fuente %]]*(PROVEEDORES[[#This Row],[SUBTOTAL]]-PROVEEDORES[[#This Row],[descuento sobre subtotal]])</f>
        <v>178.67500000000001</v>
      </c>
      <c r="R402" s="21">
        <f>+PROVEEDORES[[#This Row],[SUBTOTAL]]+PROVEEDORES[[#This Row],[IVA 19%]]-PROVEEDORES[[#This Row],[descuento sobre subtotal]]-PROVEEDORES[[#This Row],[Descuento sobre subtotal $2]]-PROVEEDORES[[#This Row],[Rete Fuente $]]</f>
        <v>5896.2749999999996</v>
      </c>
      <c r="S402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63">
        <f ca="1">IF(PROVEEDORES[[#This Row],[FECHA DE PAGO]]=0,TODAY()-PROVEEDORES[[#This Row],[FECHA DE FACTURACIÓN]]-PROVEEDORES[[#This Row],[PLAZO Días]],0)</f>
        <v>0</v>
      </c>
      <c r="U402" s="104" t="str">
        <f>+VLOOKUP(PROVEEDORES[[#This Row],[PROVEEDOR]],Terceros!$A:$D,4,FALSE)</f>
        <v>3,5% sin base</v>
      </c>
      <c r="V402" s="105">
        <f>+YEAR(PROVEEDORES[[#This Row],[FECHA DE FACTURACIÓN]])</f>
        <v>2022</v>
      </c>
      <c r="W402" s="105">
        <f>+MATCH(PROVEEDORES[[#This Row],[año facturado]],Retenciones!$1:$1,0)</f>
        <v>5</v>
      </c>
      <c r="X402" s="106">
        <f>+VLOOKUP(PROVEEDORES[[#This Row],[ID RETENCION]],Retenciones!$A$1:$O$25,PROVEEDORES[[#This Row],[indicador de columna]],FALSE)</f>
        <v>0</v>
      </c>
      <c r="Y402" s="107">
        <f>+VLOOKUP(PROVEEDORES[[#This Row],[ID RETENCION]],Retenciones!$A$1:$O$25,2,FALSE)</f>
        <v>3.5000000000000003E-2</v>
      </c>
      <c r="Z402" s="116" t="b">
        <f>OR(COUNTIF(PROVEEDORES[[#This Row],[PROVEEDOR]],"*"&amp;'Palabra no opera'!$A$2&amp;"*"))</f>
        <v>1</v>
      </c>
    </row>
    <row r="403" spans="1:26" ht="22.35" customHeight="1" x14ac:dyDescent="0.3">
      <c r="A403" s="114" t="str">
        <f>+IF(PROVEEDORES[[#This Row],[FECHA DE PAGO]]=PROVEEDORES[[#This Row],[FECHA DE FACTURACIÓN]],"DE CONTADO","CRÉDITO")</f>
        <v>CRÉDITO</v>
      </c>
      <c r="B403" s="38" t="b">
        <f>+IF((PROVEEDORES[[#This Row],[FECHA DE PAGO]]-PROVEEDORES[[#This Row],[FECHA DE FACTURACIÓN]])&gt;PROVEEDORES[[#This Row],[PLAZO Días]],"PAGO VENCIDO")</f>
        <v>0</v>
      </c>
      <c r="C403" s="20">
        <f>+VLOOKUP(PROVEEDORES[[#This Row],[PROVEEDOR]],TERCEROS_INFO[#All],2,FALSE)</f>
        <v>30</v>
      </c>
      <c r="D403" s="25">
        <f>+SUMIFS(PROVEEDORES[Total],PROVEEDORES[PROVEEDOR],PROVEEDORES[[#This Row],[PROVEEDOR]],PROVEEDORES[FECHA DE PAGO],"")</f>
        <v>0</v>
      </c>
      <c r="E403" s="25"/>
      <c r="F403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403" s="68">
        <v>44707</v>
      </c>
      <c r="H403" s="26" t="s">
        <v>638</v>
      </c>
      <c r="I403" s="68">
        <v>44682</v>
      </c>
      <c r="J403" s="35" t="s">
        <v>699</v>
      </c>
      <c r="K403" s="21">
        <v>3958317</v>
      </c>
      <c r="L403" s="21"/>
      <c r="M403" s="22">
        <f>(PROVEEDORES[[#This Row],[SUBTOTAL]]-PROVEEDORES[[#This Row],[descuento sobre subtotal]])*VLOOKUP(PROVEEDORES[[#This Row],[PROVEEDOR]],TERCEROS_INFO[#All],3,FALSE)</f>
        <v>752080.23</v>
      </c>
      <c r="N403" s="23"/>
      <c r="O403" s="22">
        <f>+PROVEEDORES[[#This Row],[Descuento sobre subtotal %]]*(PROVEEDORES[[#This Row],[SUBTOTAL]]-PROVEEDORES[[#This Row],[descuento sobre subtotal]])</f>
        <v>0</v>
      </c>
      <c r="P403" s="74">
        <f>+IF(PROVEEDORES[[#This Row],[SUBTOTAL]]&lt;PROVEEDORES[[#This Row],[base retencion]],0,PROVEEDORES[[#This Row],[retención aplicada]])</f>
        <v>3.5000000000000003E-2</v>
      </c>
      <c r="Q403" s="22">
        <f>+PROVEEDORES[[#This Row],[Rete Fuente %]]*(PROVEEDORES[[#This Row],[SUBTOTAL]]-PROVEEDORES[[#This Row],[descuento sobre subtotal]])</f>
        <v>138541.095</v>
      </c>
      <c r="R403" s="21">
        <f>+PROVEEDORES[[#This Row],[SUBTOTAL]]+PROVEEDORES[[#This Row],[IVA 19%]]-PROVEEDORES[[#This Row],[descuento sobre subtotal]]-PROVEEDORES[[#This Row],[Descuento sobre subtotal $2]]-PROVEEDORES[[#This Row],[Rete Fuente $]]</f>
        <v>4571856.1350000007</v>
      </c>
      <c r="S403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63">
        <f ca="1">IF(PROVEEDORES[[#This Row],[FECHA DE PAGO]]=0,TODAY()-PROVEEDORES[[#This Row],[FECHA DE FACTURACIÓN]]-PROVEEDORES[[#This Row],[PLAZO Días]],0)</f>
        <v>0</v>
      </c>
      <c r="U403" s="104" t="str">
        <f>+VLOOKUP(PROVEEDORES[[#This Row],[PROVEEDOR]],Terceros!$A:$D,4,FALSE)</f>
        <v>3,5% sin base</v>
      </c>
      <c r="V403" s="105">
        <f>+YEAR(PROVEEDORES[[#This Row],[FECHA DE FACTURACIÓN]])</f>
        <v>2022</v>
      </c>
      <c r="W403" s="105">
        <f>+MATCH(PROVEEDORES[[#This Row],[año facturado]],Retenciones!$1:$1,0)</f>
        <v>5</v>
      </c>
      <c r="X403" s="106">
        <f>+VLOOKUP(PROVEEDORES[[#This Row],[ID RETENCION]],Retenciones!$A$1:$O$25,PROVEEDORES[[#This Row],[indicador de columna]],FALSE)</f>
        <v>0</v>
      </c>
      <c r="Y403" s="107">
        <f>+VLOOKUP(PROVEEDORES[[#This Row],[ID RETENCION]],Retenciones!$A$1:$O$25,2,FALSE)</f>
        <v>3.5000000000000003E-2</v>
      </c>
      <c r="Z403" s="116" t="b">
        <f>OR(COUNTIF(PROVEEDORES[[#This Row],[PROVEEDOR]],"*"&amp;'Palabra no opera'!$A$2&amp;"*"))</f>
        <v>1</v>
      </c>
    </row>
    <row r="404" spans="1:26" ht="22.35" customHeight="1" x14ac:dyDescent="0.3">
      <c r="A404" s="114" t="str">
        <f>+IF(PROVEEDORES[[#This Row],[FECHA DE PAGO]]=PROVEEDORES[[#This Row],[FECHA DE FACTURACIÓN]],"DE CONTADO","CRÉDITO")</f>
        <v>CRÉDITO</v>
      </c>
      <c r="B404" s="38" t="b">
        <f>+IF((PROVEEDORES[[#This Row],[FECHA DE PAGO]]-PROVEEDORES[[#This Row],[FECHA DE FACTURACIÓN]])&gt;PROVEEDORES[[#This Row],[PLAZO Días]],"PAGO VENCIDO")</f>
        <v>0</v>
      </c>
      <c r="C404" s="20">
        <f>+VLOOKUP(PROVEEDORES[[#This Row],[PROVEEDOR]],TERCEROS_INFO[#All],2,FALSE)</f>
        <v>30</v>
      </c>
      <c r="D404" s="25">
        <f>+SUMIFS(PROVEEDORES[Total],PROVEEDORES[PROVEEDOR],PROVEEDORES[[#This Row],[PROVEEDOR]],PROVEEDORES[FECHA DE PAGO],"")</f>
        <v>0</v>
      </c>
      <c r="E404" s="25"/>
      <c r="F404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4" s="68">
        <v>44707</v>
      </c>
      <c r="H404" s="26" t="s">
        <v>651</v>
      </c>
      <c r="I404" s="68">
        <v>44682</v>
      </c>
      <c r="J404" s="35">
        <v>4923</v>
      </c>
      <c r="K404" s="21">
        <v>215356</v>
      </c>
      <c r="L404" s="21"/>
      <c r="M404" s="22">
        <f>(PROVEEDORES[[#This Row],[SUBTOTAL]]-PROVEEDORES[[#This Row],[descuento sobre subtotal]])*VLOOKUP(PROVEEDORES[[#This Row],[PROVEEDOR]],TERCEROS_INFO[#All],3,FALSE)</f>
        <v>40917.64</v>
      </c>
      <c r="N404" s="23"/>
      <c r="O404" s="22">
        <f>+PROVEEDORES[[#This Row],[Descuento sobre subtotal %]]*(PROVEEDORES[[#This Row],[SUBTOTAL]]-PROVEEDORES[[#This Row],[descuento sobre subtotal]])</f>
        <v>0</v>
      </c>
      <c r="P404" s="74">
        <f>+IF(PROVEEDORES[[#This Row],[SUBTOTAL]]&lt;PROVEEDORES[[#This Row],[base retencion]],0,PROVEEDORES[[#This Row],[retención aplicada]])</f>
        <v>3.5000000000000003E-2</v>
      </c>
      <c r="Q404" s="22">
        <f>+PROVEEDORES[[#This Row],[Rete Fuente %]]*(PROVEEDORES[[#This Row],[SUBTOTAL]]-PROVEEDORES[[#This Row],[descuento sobre subtotal]])</f>
        <v>7537.4600000000009</v>
      </c>
      <c r="R404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04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63">
        <f ca="1">IF(PROVEEDORES[[#This Row],[FECHA DE PAGO]]=0,TODAY()-PROVEEDORES[[#This Row],[FECHA DE FACTURACIÓN]]-PROVEEDORES[[#This Row],[PLAZO Días]],0)</f>
        <v>0</v>
      </c>
      <c r="U404" s="104" t="str">
        <f>+VLOOKUP(PROVEEDORES[[#This Row],[PROVEEDOR]],Terceros!$A:$D,4,FALSE)</f>
        <v>3,5% sin base</v>
      </c>
      <c r="V404" s="105">
        <f>+YEAR(PROVEEDORES[[#This Row],[FECHA DE FACTURACIÓN]])</f>
        <v>2022</v>
      </c>
      <c r="W404" s="105">
        <f>+MATCH(PROVEEDORES[[#This Row],[año facturado]],Retenciones!$1:$1,0)</f>
        <v>5</v>
      </c>
      <c r="X404" s="106">
        <f>+VLOOKUP(PROVEEDORES[[#This Row],[ID RETENCION]],Retenciones!$A$1:$O$25,PROVEEDORES[[#This Row],[indicador de columna]],FALSE)</f>
        <v>0</v>
      </c>
      <c r="Y404" s="107">
        <f>+VLOOKUP(PROVEEDORES[[#This Row],[ID RETENCION]],Retenciones!$A$1:$O$25,2,FALSE)</f>
        <v>3.5000000000000003E-2</v>
      </c>
      <c r="Z404" s="116" t="b">
        <f>OR(COUNTIF(PROVEEDORES[[#This Row],[PROVEEDOR]],"*"&amp;'Palabra no opera'!$A$2&amp;"*"))</f>
        <v>1</v>
      </c>
    </row>
    <row r="405" spans="1:26" ht="22.35" customHeight="1" x14ac:dyDescent="0.3">
      <c r="A405" s="114" t="str">
        <f>+IF(PROVEEDORES[[#This Row],[FECHA DE PAGO]]=PROVEEDORES[[#This Row],[FECHA DE FACTURACIÓN]],"DE CONTADO","CRÉDITO")</f>
        <v>CRÉDITO</v>
      </c>
      <c r="B405" s="38" t="str">
        <f>+IF((PROVEEDORES[[#This Row],[FECHA DE PAGO]]-PROVEEDORES[[#This Row],[FECHA DE FACTURACIÓN]])&gt;PROVEEDORES[[#This Row],[PLAZO Días]],"PAGO VENCIDO")</f>
        <v>PAGO VENCIDO</v>
      </c>
      <c r="C405" s="20">
        <f>+VLOOKUP(PROVEEDORES[[#This Row],[PROVEEDOR]],TERCEROS_INFO[#All],2,FALSE)</f>
        <v>20</v>
      </c>
      <c r="D405" s="25">
        <f>+SUMIFS(PROVEEDORES[Total],PROVEEDORES[PROVEEDOR],PROVEEDORES[[#This Row],[PROVEEDOR]],PROVEEDORES[FECHA DE PAGO],"")</f>
        <v>0</v>
      </c>
      <c r="E405" s="25"/>
      <c r="F405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405" s="68">
        <v>44707</v>
      </c>
      <c r="H405" s="26" t="s">
        <v>652</v>
      </c>
      <c r="I405" s="68">
        <v>44682</v>
      </c>
      <c r="J405" s="35">
        <v>43002</v>
      </c>
      <c r="K405" s="21">
        <v>4730000</v>
      </c>
      <c r="L405" s="21"/>
      <c r="M405" s="22">
        <f>(PROVEEDORES[[#This Row],[SUBTOTAL]]-PROVEEDORES[[#This Row],[descuento sobre subtotal]])*VLOOKUP(PROVEEDORES[[#This Row],[PROVEEDOR]],TERCEROS_INFO[#All],3,FALSE)</f>
        <v>898700</v>
      </c>
      <c r="N405" s="23"/>
      <c r="O405" s="22">
        <f>+PROVEEDORES[[#This Row],[Descuento sobre subtotal %]]*(PROVEEDORES[[#This Row],[SUBTOTAL]]-PROVEEDORES[[#This Row],[descuento sobre subtotal]])</f>
        <v>0</v>
      </c>
      <c r="P405" s="74">
        <f>+IF(PROVEEDORES[[#This Row],[SUBTOTAL]]&lt;PROVEEDORES[[#This Row],[base retencion]],0,PROVEEDORES[[#This Row],[retención aplicada]])</f>
        <v>3.5000000000000003E-2</v>
      </c>
      <c r="Q405" s="22">
        <f>+PROVEEDORES[[#This Row],[Rete Fuente %]]*(PROVEEDORES[[#This Row],[SUBTOTAL]]-PROVEEDORES[[#This Row],[descuento sobre subtotal]])</f>
        <v>165550.00000000003</v>
      </c>
      <c r="R405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405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63">
        <f ca="1">IF(PROVEEDORES[[#This Row],[FECHA DE PAGO]]=0,TODAY()-PROVEEDORES[[#This Row],[FECHA DE FACTURACIÓN]]-PROVEEDORES[[#This Row],[PLAZO Días]],0)</f>
        <v>0</v>
      </c>
      <c r="U405" s="104" t="str">
        <f>+VLOOKUP(PROVEEDORES[[#This Row],[PROVEEDOR]],Terceros!$A:$D,4,FALSE)</f>
        <v>3,5% sin base</v>
      </c>
      <c r="V405" s="105">
        <f>+YEAR(PROVEEDORES[[#This Row],[FECHA DE FACTURACIÓN]])</f>
        <v>2022</v>
      </c>
      <c r="W405" s="105">
        <f>+MATCH(PROVEEDORES[[#This Row],[año facturado]],Retenciones!$1:$1,0)</f>
        <v>5</v>
      </c>
      <c r="X405" s="106">
        <f>+VLOOKUP(PROVEEDORES[[#This Row],[ID RETENCION]],Retenciones!$A$1:$O$25,PROVEEDORES[[#This Row],[indicador de columna]],FALSE)</f>
        <v>0</v>
      </c>
      <c r="Y405" s="107">
        <f>+VLOOKUP(PROVEEDORES[[#This Row],[ID RETENCION]],Retenciones!$A$1:$O$25,2,FALSE)</f>
        <v>3.5000000000000003E-2</v>
      </c>
      <c r="Z405" s="117" t="b">
        <f>OR(COUNTIF(PROVEEDORES[[#This Row],[PROVEEDOR]],"*"&amp;'Palabra no opera'!$A$2&amp;"*"))</f>
        <v>1</v>
      </c>
    </row>
    <row r="406" spans="1:26" ht="22.35" customHeight="1" x14ac:dyDescent="0.3">
      <c r="A406" s="135" t="str">
        <f>+IF(PROVEEDORES[[#This Row],[FECHA DE PAGO]]=PROVEEDORES[[#This Row],[FECHA DE FACTURACIÓN]],"DE CONTADO","CRÉDITO")</f>
        <v>CRÉDITO</v>
      </c>
      <c r="B406" s="38" t="b">
        <f>+IF((PROVEEDORES[[#This Row],[FECHA DE PAGO]]-PROVEEDORES[[#This Row],[FECHA DE FACTURACIÓN]])&gt;PROVEEDORES[[#This Row],[PLAZO Días]],"PAGO VENCIDO")</f>
        <v>0</v>
      </c>
      <c r="C406" s="20">
        <f>+VLOOKUP(PROVEEDORES[[#This Row],[PROVEEDOR]],TERCEROS_INFO[#All],2,FALSE)</f>
        <v>30</v>
      </c>
      <c r="D406" s="25">
        <f>+SUMIFS(PROVEEDORES[Total],PROVEEDORES[PROVEEDOR],PROVEEDORES[[#This Row],[PROVEEDOR]],PROVEEDORES[FECHA DE PAGO],"")</f>
        <v>0</v>
      </c>
      <c r="E406" s="25"/>
      <c r="F406" s="56" t="str">
        <f>+VLOOKUP(PROVEEDORES[[#This Row],[PROVEEDOR]],
                       Terceros!$A:$F,
                       5,
                       FALSE)</f>
        <v/>
      </c>
      <c r="G406" s="68">
        <v>44712</v>
      </c>
      <c r="H406" s="26" t="s">
        <v>356</v>
      </c>
      <c r="I406" s="68">
        <v>44711</v>
      </c>
      <c r="J406" s="35" t="s">
        <v>710</v>
      </c>
      <c r="K406" s="21">
        <v>25376000</v>
      </c>
      <c r="L406" s="21"/>
      <c r="M406" s="22">
        <f>(PROVEEDORES[[#This Row],[SUBTOTAL]]-PROVEEDORES[[#This Row],[descuento sobre subtotal]])*VLOOKUP(PROVEEDORES[[#This Row],[PROVEEDOR]],TERCEROS_INFO[#All],3,FALSE)</f>
        <v>0</v>
      </c>
      <c r="N406" s="23"/>
      <c r="O406" s="22">
        <f>+PROVEEDORES[[#This Row],[Descuento sobre subtotal %]]*(PROVEEDORES[[#This Row],[SUBTOTAL]]-PROVEEDORES[[#This Row],[descuento sobre subtotal]])</f>
        <v>0</v>
      </c>
      <c r="P406" s="74">
        <f>+IF(PROVEEDORES[[#This Row],[SUBTOTAL]]&lt;PROVEEDORES[[#This Row],[base retencion]],0,PROVEEDORES[[#This Row],[retención aplicada]])</f>
        <v>0</v>
      </c>
      <c r="Q406" s="22">
        <f>+PROVEEDORES[[#This Row],[Rete Fuente %]]*(PROVEEDORES[[#This Row],[SUBTOTAL]]-PROVEEDORES[[#This Row],[descuento sobre subtotal]])</f>
        <v>0</v>
      </c>
      <c r="R406" s="21">
        <f>+PROVEEDORES[[#This Row],[SUBTOTAL]]+PROVEEDORES[[#This Row],[IVA 19%]]-PROVEEDORES[[#This Row],[descuento sobre subtotal]]-PROVEEDORES[[#This Row],[Descuento sobre subtotal $2]]-PROVEEDORES[[#This Row],[Rete Fuente $]]</f>
        <v>25376000</v>
      </c>
      <c r="S40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63">
        <f ca="1">IF(PROVEEDORES[[#This Row],[FECHA DE PAGO]]=0,TODAY()-PROVEEDORES[[#This Row],[FECHA DE FACTURACIÓN]]-PROVEEDORES[[#This Row],[PLAZO Días]],0)</f>
        <v>0</v>
      </c>
      <c r="U406" s="104">
        <f>+VLOOKUP(PROVEEDORES[[#This Row],[PROVEEDOR]],Terceros!$A:$D,4,FALSE)</f>
        <v>0</v>
      </c>
      <c r="V406" s="105">
        <f>+YEAR(PROVEEDORES[[#This Row],[FECHA DE FACTURACIÓN]])</f>
        <v>2022</v>
      </c>
      <c r="W406" s="105">
        <f>+MATCH(PROVEEDORES[[#This Row],[año facturado]],Retenciones!$1:$1,0)</f>
        <v>5</v>
      </c>
      <c r="X406" s="106">
        <f>+VLOOKUP(PROVEEDORES[[#This Row],[ID RETENCION]],Retenciones!$A$1:$O$25,PROVEEDORES[[#This Row],[indicador de columna]],FALSE)</f>
        <v>0</v>
      </c>
      <c r="Y406" s="107">
        <f>+VLOOKUP(PROVEEDORES[[#This Row],[ID RETENCION]],Retenciones!$A$1:$O$25,2,FALSE)</f>
        <v>0</v>
      </c>
      <c r="Z406" s="116" t="b">
        <f>OR(COUNTIF(PROVEEDORES[[#This Row],[PROVEEDOR]],"*"&amp;'Palabra no opera'!$A$2&amp;"*"))</f>
        <v>0</v>
      </c>
    </row>
    <row r="407" spans="1:26" ht="22.35" customHeight="1" x14ac:dyDescent="0.3">
      <c r="A407" s="67" t="str">
        <f>+IF(PROVEEDORES[[#This Row],[FECHA DE PAGO]]=PROVEEDORES[[#This Row],[FECHA DE FACTURACIÓN]],"DE CONTADO","CRÉDITO")</f>
        <v>DE CONTADO</v>
      </c>
      <c r="B407" s="38" t="b">
        <f>+IF((PROVEEDORES[[#This Row],[FECHA DE PAGO]]-PROVEEDORES[[#This Row],[FECHA DE FACTURACIÓN]])&gt;PROVEEDORES[[#This Row],[PLAZO Días]],"PAGO VENCIDO")</f>
        <v>0</v>
      </c>
      <c r="C407" s="20">
        <f>+VLOOKUP(PROVEEDORES[[#This Row],[PROVEEDOR]],TERCEROS_INFO[#All],2,FALSE)</f>
        <v>30</v>
      </c>
      <c r="D407" s="25">
        <f>+SUMIFS(PROVEEDORES[Total],PROVEEDORES[PROVEEDOR],PROVEEDORES[[#This Row],[PROVEEDOR]],PROVEEDORES[FECHA DE PAGO],"")</f>
        <v>0</v>
      </c>
      <c r="E407" s="25"/>
      <c r="F407" s="56" t="str">
        <f>+VLOOKUP(PROVEEDORES[[#This Row],[PROVEEDOR]],
                       Terceros!$A:$F,
                       5,
                       FALSE)</f>
        <v/>
      </c>
      <c r="G407" s="68">
        <v>44712</v>
      </c>
      <c r="H407" s="26" t="s">
        <v>362</v>
      </c>
      <c r="I407" s="68">
        <v>44712</v>
      </c>
      <c r="J407" s="35" t="s">
        <v>319</v>
      </c>
      <c r="K407" s="21">
        <v>45000</v>
      </c>
      <c r="L407" s="21"/>
      <c r="M407" s="22">
        <f>(PROVEEDORES[[#This Row],[SUBTOTAL]]-PROVEEDORES[[#This Row],[descuento sobre subtotal]])*VLOOKUP(PROVEEDORES[[#This Row],[PROVEEDOR]],TERCEROS_INFO[#All],3,FALSE)</f>
        <v>0</v>
      </c>
      <c r="N407" s="23"/>
      <c r="O407" s="22">
        <f>+PROVEEDORES[[#This Row],[Descuento sobre subtotal %]]*(PROVEEDORES[[#This Row],[SUBTOTAL]]-PROVEEDORES[[#This Row],[descuento sobre subtotal]])</f>
        <v>0</v>
      </c>
      <c r="P407" s="74">
        <f>+IF(PROVEEDORES[[#This Row],[SUBTOTAL]]&lt;PROVEEDORES[[#This Row],[base retencion]],0,PROVEEDORES[[#This Row],[retención aplicada]])</f>
        <v>0</v>
      </c>
      <c r="Q407" s="22">
        <f>+PROVEEDORES[[#This Row],[Rete Fuente %]]*(PROVEEDORES[[#This Row],[SUBTOTAL]]-PROVEEDORES[[#This Row],[descuento sobre subtotal]])</f>
        <v>0</v>
      </c>
      <c r="R407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4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63">
        <f ca="1">IF(PROVEEDORES[[#This Row],[FECHA DE PAGO]]=0,TODAY()-PROVEEDORES[[#This Row],[FECHA DE FACTURACIÓN]]-PROVEEDORES[[#This Row],[PLAZO Días]],0)</f>
        <v>0</v>
      </c>
      <c r="U407" s="104">
        <f>+VLOOKUP(PROVEEDORES[[#This Row],[PROVEEDOR]],Terceros!$A:$D,4,FALSE)</f>
        <v>0</v>
      </c>
      <c r="V407" s="105">
        <f>+YEAR(PROVEEDORES[[#This Row],[FECHA DE FACTURACIÓN]])</f>
        <v>2022</v>
      </c>
      <c r="W407" s="105">
        <f>+MATCH(PROVEEDORES[[#This Row],[año facturado]],Retenciones!$1:$1,0)</f>
        <v>5</v>
      </c>
      <c r="X407" s="106">
        <f>+VLOOKUP(PROVEEDORES[[#This Row],[ID RETENCION]],Retenciones!$A$1:$O$25,PROVEEDORES[[#This Row],[indicador de columna]],FALSE)</f>
        <v>0</v>
      </c>
      <c r="Y407" s="107">
        <f>+VLOOKUP(PROVEEDORES[[#This Row],[ID RETENCION]],Retenciones!$A$1:$O$25,2,FALSE)</f>
        <v>0</v>
      </c>
      <c r="Z407" s="116" t="b">
        <f>OR(COUNTIF(PROVEEDORES[[#This Row],[PROVEEDOR]],"*"&amp;'Palabra no opera'!$A$2&amp;"*"))</f>
        <v>0</v>
      </c>
    </row>
    <row r="408" spans="1:26" ht="22.35" customHeight="1" x14ac:dyDescent="0.3">
      <c r="A408" s="67" t="str">
        <f>+IF(PROVEEDORES[[#This Row],[FECHA DE PAGO]]=PROVEEDORES[[#This Row],[FECHA DE FACTURACIÓN]],"DE CONTADO","CRÉDITO")</f>
        <v>DE CONTADO</v>
      </c>
      <c r="B408" s="38" t="b">
        <f>+IF((PROVEEDORES[[#This Row],[FECHA DE PAGO]]-PROVEEDORES[[#This Row],[FECHA DE FACTURACIÓN]])&gt;PROVEEDORES[[#This Row],[PLAZO Días]],"PAGO VENCIDO")</f>
        <v>0</v>
      </c>
      <c r="C408" s="20">
        <f>+VLOOKUP(PROVEEDORES[[#This Row],[PROVEEDOR]],TERCEROS_INFO[#All],2,FALSE)</f>
        <v>30</v>
      </c>
      <c r="D408" s="25">
        <f>+SUMIFS(PROVEEDORES[Total],PROVEEDORES[PROVEEDOR],PROVEEDORES[[#This Row],[PROVEEDOR]],PROVEEDORES[FECHA DE PAGO],"")</f>
        <v>0</v>
      </c>
      <c r="E408" s="25"/>
      <c r="F408" s="56" t="str">
        <f>+VLOOKUP(PROVEEDORES[[#This Row],[PROVEEDOR]],
                       Terceros!$A:$F,
                       5,
                       FALSE)</f>
        <v/>
      </c>
      <c r="G408" s="68">
        <v>44712</v>
      </c>
      <c r="H408" s="26" t="s">
        <v>362</v>
      </c>
      <c r="I408" s="68">
        <v>44712</v>
      </c>
      <c r="J408" s="35" t="s">
        <v>655</v>
      </c>
      <c r="K408" s="21">
        <v>60000</v>
      </c>
      <c r="L408" s="21"/>
      <c r="M408" s="22">
        <f>(PROVEEDORES[[#This Row],[SUBTOTAL]]-PROVEEDORES[[#This Row],[descuento sobre subtotal]])*VLOOKUP(PROVEEDORES[[#This Row],[PROVEEDOR]],TERCEROS_INFO[#All],3,FALSE)</f>
        <v>0</v>
      </c>
      <c r="N408" s="23"/>
      <c r="O408" s="22">
        <f>+PROVEEDORES[[#This Row],[Descuento sobre subtotal %]]*(PROVEEDORES[[#This Row],[SUBTOTAL]]-PROVEEDORES[[#This Row],[descuento sobre subtotal]])</f>
        <v>0</v>
      </c>
      <c r="P408" s="74">
        <f>+IF(PROVEEDORES[[#This Row],[SUBTOTAL]]&lt;PROVEEDORES[[#This Row],[base retencion]],0,PROVEEDORES[[#This Row],[retención aplicada]])</f>
        <v>0</v>
      </c>
      <c r="Q408" s="22">
        <f>+PROVEEDORES[[#This Row],[Rete Fuente %]]*(PROVEEDORES[[#This Row],[SUBTOTAL]]-PROVEEDORES[[#This Row],[descuento sobre subtotal]])</f>
        <v>0</v>
      </c>
      <c r="R408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4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63">
        <f ca="1">IF(PROVEEDORES[[#This Row],[FECHA DE PAGO]]=0,TODAY()-PROVEEDORES[[#This Row],[FECHA DE FACTURACIÓN]]-PROVEEDORES[[#This Row],[PLAZO Días]],0)</f>
        <v>0</v>
      </c>
      <c r="U408" s="104">
        <f>+VLOOKUP(PROVEEDORES[[#This Row],[PROVEEDOR]],Terceros!$A:$D,4,FALSE)</f>
        <v>0</v>
      </c>
      <c r="V408" s="105">
        <f>+YEAR(PROVEEDORES[[#This Row],[FECHA DE FACTURACIÓN]])</f>
        <v>2022</v>
      </c>
      <c r="W408" s="105">
        <f>+MATCH(PROVEEDORES[[#This Row],[año facturado]],Retenciones!$1:$1,0)</f>
        <v>5</v>
      </c>
      <c r="X408" s="106">
        <f>+VLOOKUP(PROVEEDORES[[#This Row],[ID RETENCION]],Retenciones!$A$1:$O$25,PROVEEDORES[[#This Row],[indicador de columna]],FALSE)</f>
        <v>0</v>
      </c>
      <c r="Y408" s="107">
        <f>+VLOOKUP(PROVEEDORES[[#This Row],[ID RETENCION]],Retenciones!$A$1:$O$25,2,FALSE)</f>
        <v>0</v>
      </c>
      <c r="Z408" s="116" t="b">
        <f>OR(COUNTIF(PROVEEDORES[[#This Row],[PROVEEDOR]],"*"&amp;'Palabra no opera'!$A$2&amp;"*"))</f>
        <v>0</v>
      </c>
    </row>
    <row r="409" spans="1:26" ht="22.35" customHeight="1" x14ac:dyDescent="0.3">
      <c r="A409" s="67" t="str">
        <f>+IF(PROVEEDORES[[#This Row],[FECHA DE PAGO]]=PROVEEDORES[[#This Row],[FECHA DE FACTURACIÓN]],"DE CONTADO","CRÉDITO")</f>
        <v>DE CONTADO</v>
      </c>
      <c r="B409" s="38" t="b">
        <f>+IF((PROVEEDORES[[#This Row],[FECHA DE PAGO]]-PROVEEDORES[[#This Row],[FECHA DE FACTURACIÓN]])&gt;PROVEEDORES[[#This Row],[PLAZO Días]],"PAGO VENCIDO")</f>
        <v>0</v>
      </c>
      <c r="C409" s="20">
        <f>+VLOOKUP(PROVEEDORES[[#This Row],[PROVEEDOR]],TERCEROS_INFO[#All],2,FALSE)</f>
        <v>30</v>
      </c>
      <c r="D409" s="25">
        <f>+SUMIFS(PROVEEDORES[Total],PROVEEDORES[PROVEEDOR],PROVEEDORES[[#This Row],[PROVEEDOR]],PROVEEDORES[FECHA DE PAGO],"")</f>
        <v>0</v>
      </c>
      <c r="E409" s="25"/>
      <c r="F409" s="56" t="str">
        <f>+VLOOKUP(PROVEEDORES[[#This Row],[PROVEEDOR]],
                       Terceros!$A:$F,
                       5,
                       FALSE)</f>
        <v/>
      </c>
      <c r="G409" s="68">
        <v>44712</v>
      </c>
      <c r="H409" s="26" t="s">
        <v>362</v>
      </c>
      <c r="I409" s="68">
        <v>44712</v>
      </c>
      <c r="J409" s="35" t="s">
        <v>317</v>
      </c>
      <c r="K409" s="21">
        <v>79900</v>
      </c>
      <c r="L409" s="21"/>
      <c r="M409" s="22">
        <f>(PROVEEDORES[[#This Row],[SUBTOTAL]]-PROVEEDORES[[#This Row],[descuento sobre subtotal]])*VLOOKUP(PROVEEDORES[[#This Row],[PROVEEDOR]],TERCEROS_INFO[#All],3,FALSE)</f>
        <v>0</v>
      </c>
      <c r="N409" s="23"/>
      <c r="O409" s="22">
        <f>+PROVEEDORES[[#This Row],[Descuento sobre subtotal %]]*(PROVEEDORES[[#This Row],[SUBTOTAL]]-PROVEEDORES[[#This Row],[descuento sobre subtotal]])</f>
        <v>0</v>
      </c>
      <c r="P409" s="74">
        <f>+IF(PROVEEDORES[[#This Row],[SUBTOTAL]]&lt;PROVEEDORES[[#This Row],[base retencion]],0,PROVEEDORES[[#This Row],[retención aplicada]])</f>
        <v>0</v>
      </c>
      <c r="Q409" s="22">
        <f>+PROVEEDORES[[#This Row],[Rete Fuente %]]*(PROVEEDORES[[#This Row],[SUBTOTAL]]-PROVEEDORES[[#This Row],[descuento sobre subtotal]])</f>
        <v>0</v>
      </c>
      <c r="R409" s="21">
        <f>+PROVEEDORES[[#This Row],[SUBTOTAL]]+PROVEEDORES[[#This Row],[IVA 19%]]-PROVEEDORES[[#This Row],[descuento sobre subtotal]]-PROVEEDORES[[#This Row],[Descuento sobre subtotal $2]]-PROVEEDORES[[#This Row],[Rete Fuente $]]</f>
        <v>79900</v>
      </c>
      <c r="S4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63">
        <f ca="1">IF(PROVEEDORES[[#This Row],[FECHA DE PAGO]]=0,TODAY()-PROVEEDORES[[#This Row],[FECHA DE FACTURACIÓN]]-PROVEEDORES[[#This Row],[PLAZO Días]],0)</f>
        <v>0</v>
      </c>
      <c r="U409" s="104">
        <f>+VLOOKUP(PROVEEDORES[[#This Row],[PROVEEDOR]],Terceros!$A:$D,4,FALSE)</f>
        <v>0</v>
      </c>
      <c r="V409" s="105">
        <f>+YEAR(PROVEEDORES[[#This Row],[FECHA DE FACTURACIÓN]])</f>
        <v>2022</v>
      </c>
      <c r="W409" s="105">
        <f>+MATCH(PROVEEDORES[[#This Row],[año facturado]],Retenciones!$1:$1,0)</f>
        <v>5</v>
      </c>
      <c r="X409" s="106">
        <f>+VLOOKUP(PROVEEDORES[[#This Row],[ID RETENCION]],Retenciones!$A$1:$O$25,PROVEEDORES[[#This Row],[indicador de columna]],FALSE)</f>
        <v>0</v>
      </c>
      <c r="Y409" s="107">
        <f>+VLOOKUP(PROVEEDORES[[#This Row],[ID RETENCION]],Retenciones!$A$1:$O$25,2,FALSE)</f>
        <v>0</v>
      </c>
      <c r="Z409" s="116" t="b">
        <f>OR(COUNTIF(PROVEEDORES[[#This Row],[PROVEEDOR]],"*"&amp;'Palabra no opera'!$A$2&amp;"*"))</f>
        <v>0</v>
      </c>
    </row>
    <row r="410" spans="1:26" ht="22.35" customHeight="1" x14ac:dyDescent="0.3">
      <c r="A410" s="67" t="str">
        <f>+IF(PROVEEDORES[[#This Row],[FECHA DE PAGO]]=PROVEEDORES[[#This Row],[FECHA DE FACTURACIÓN]],"DE CONTADO","CRÉDITO")</f>
        <v>DE CONTADO</v>
      </c>
      <c r="B410" s="38" t="b">
        <f>+IF((PROVEEDORES[[#This Row],[FECHA DE PAGO]]-PROVEEDORES[[#This Row],[FECHA DE FACTURACIÓN]])&gt;PROVEEDORES[[#This Row],[PLAZO Días]],"PAGO VENCIDO")</f>
        <v>0</v>
      </c>
      <c r="C410" s="20">
        <f>+VLOOKUP(PROVEEDORES[[#This Row],[PROVEEDOR]],TERCEROS_INFO[#All],2,FALSE)</f>
        <v>30</v>
      </c>
      <c r="D410" s="25">
        <f>+SUMIFS(PROVEEDORES[Total],PROVEEDORES[PROVEEDOR],PROVEEDORES[[#This Row],[PROVEEDOR]],PROVEEDORES[FECHA DE PAGO],"")</f>
        <v>0</v>
      </c>
      <c r="E410" s="25"/>
      <c r="F410" s="56" t="str">
        <f>+VLOOKUP(PROVEEDORES[[#This Row],[PROVEEDOR]],
                       Terceros!$A:$F,
                       5,
                       FALSE)</f>
        <v/>
      </c>
      <c r="G410" s="68">
        <v>44712</v>
      </c>
      <c r="H410" s="26" t="s">
        <v>362</v>
      </c>
      <c r="I410" s="68">
        <v>44712</v>
      </c>
      <c r="J410" s="35" t="s">
        <v>318</v>
      </c>
      <c r="K410" s="21">
        <v>274800</v>
      </c>
      <c r="L410" s="21"/>
      <c r="M410" s="22">
        <f>(PROVEEDORES[[#This Row],[SUBTOTAL]]-PROVEEDORES[[#This Row],[descuento sobre subtotal]])*VLOOKUP(PROVEEDORES[[#This Row],[PROVEEDOR]],TERCEROS_INFO[#All],3,FALSE)</f>
        <v>0</v>
      </c>
      <c r="N410" s="23"/>
      <c r="O410" s="22">
        <f>+PROVEEDORES[[#This Row],[Descuento sobre subtotal %]]*(PROVEEDORES[[#This Row],[SUBTOTAL]]-PROVEEDORES[[#This Row],[descuento sobre subtotal]])</f>
        <v>0</v>
      </c>
      <c r="P410" s="74">
        <f>+IF(PROVEEDORES[[#This Row],[SUBTOTAL]]&lt;PROVEEDORES[[#This Row],[base retencion]],0,PROVEEDORES[[#This Row],[retención aplicada]])</f>
        <v>0</v>
      </c>
      <c r="Q410" s="22">
        <f>+PROVEEDORES[[#This Row],[Rete Fuente %]]*(PROVEEDORES[[#This Row],[SUBTOTAL]]-PROVEEDORES[[#This Row],[descuento sobre subtotal]])</f>
        <v>0</v>
      </c>
      <c r="R410" s="21">
        <f>+PROVEEDORES[[#This Row],[SUBTOTAL]]+PROVEEDORES[[#This Row],[IVA 19%]]-PROVEEDORES[[#This Row],[descuento sobre subtotal]]-PROVEEDORES[[#This Row],[Descuento sobre subtotal $2]]-PROVEEDORES[[#This Row],[Rete Fuente $]]</f>
        <v>274800</v>
      </c>
      <c r="S4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63">
        <f ca="1">IF(PROVEEDORES[[#This Row],[FECHA DE PAGO]]=0,TODAY()-PROVEEDORES[[#This Row],[FECHA DE FACTURACIÓN]]-PROVEEDORES[[#This Row],[PLAZO Días]],0)</f>
        <v>0</v>
      </c>
      <c r="U410" s="104">
        <f>+VLOOKUP(PROVEEDORES[[#This Row],[PROVEEDOR]],Terceros!$A:$D,4,FALSE)</f>
        <v>0</v>
      </c>
      <c r="V410" s="105">
        <f>+YEAR(PROVEEDORES[[#This Row],[FECHA DE FACTURACIÓN]])</f>
        <v>2022</v>
      </c>
      <c r="W410" s="105">
        <f>+MATCH(PROVEEDORES[[#This Row],[año facturado]],Retenciones!$1:$1,0)</f>
        <v>5</v>
      </c>
      <c r="X410" s="106">
        <f>+VLOOKUP(PROVEEDORES[[#This Row],[ID RETENCION]],Retenciones!$A$1:$O$25,PROVEEDORES[[#This Row],[indicador de columna]],FALSE)</f>
        <v>0</v>
      </c>
      <c r="Y410" s="107">
        <f>+VLOOKUP(PROVEEDORES[[#This Row],[ID RETENCION]],Retenciones!$A$1:$O$25,2,FALSE)</f>
        <v>0</v>
      </c>
      <c r="Z410" s="116" t="b">
        <f>OR(COUNTIF(PROVEEDORES[[#This Row],[PROVEEDOR]],"*"&amp;'Palabra no opera'!$A$2&amp;"*"))</f>
        <v>0</v>
      </c>
    </row>
    <row r="411" spans="1:26" ht="22.35" customHeight="1" x14ac:dyDescent="0.3">
      <c r="A411" s="67" t="str">
        <f>+IF(PROVEEDORES[[#This Row],[FECHA DE PAGO]]=PROVEEDORES[[#This Row],[FECHA DE FACTURACIÓN]],"DE CONTADO","CRÉDITO")</f>
        <v>DE CONTADO</v>
      </c>
      <c r="B411" s="38" t="b">
        <f>+IF((PROVEEDORES[[#This Row],[FECHA DE PAGO]]-PROVEEDORES[[#This Row],[FECHA DE FACTURACIÓN]])&gt;PROVEEDORES[[#This Row],[PLAZO Días]],"PAGO VENCIDO")</f>
        <v>0</v>
      </c>
      <c r="C411" s="20">
        <f>+VLOOKUP(PROVEEDORES[[#This Row],[PROVEEDOR]],TERCEROS_INFO[#All],2,FALSE)</f>
        <v>30</v>
      </c>
      <c r="D411" s="25">
        <f>+SUMIFS(PROVEEDORES[Total],PROVEEDORES[PROVEEDOR],PROVEEDORES[[#This Row],[PROVEEDOR]],PROVEEDORES[FECHA DE PAGO],"")</f>
        <v>0</v>
      </c>
      <c r="E411" s="25"/>
      <c r="F411" s="56" t="str">
        <f>+VLOOKUP(PROVEEDORES[[#This Row],[PROVEEDOR]],
                       Terceros!$A:$F,
                       5,
                       FALSE)</f>
        <v/>
      </c>
      <c r="G411" s="68">
        <v>44712</v>
      </c>
      <c r="H411" s="26" t="s">
        <v>362</v>
      </c>
      <c r="I411" s="68">
        <v>44712</v>
      </c>
      <c r="J411" s="35" t="s">
        <v>139</v>
      </c>
      <c r="K411" s="21">
        <v>594600</v>
      </c>
      <c r="L411" s="21"/>
      <c r="M411" s="22">
        <f>(PROVEEDORES[[#This Row],[SUBTOTAL]]-PROVEEDORES[[#This Row],[descuento sobre subtotal]])*VLOOKUP(PROVEEDORES[[#This Row],[PROVEEDOR]],TERCEROS_INFO[#All],3,FALSE)</f>
        <v>0</v>
      </c>
      <c r="N411" s="23"/>
      <c r="O411" s="22">
        <f>+PROVEEDORES[[#This Row],[Descuento sobre subtotal %]]*(PROVEEDORES[[#This Row],[SUBTOTAL]]-PROVEEDORES[[#This Row],[descuento sobre subtotal]])</f>
        <v>0</v>
      </c>
      <c r="P411" s="74">
        <f>+IF(PROVEEDORES[[#This Row],[SUBTOTAL]]&lt;PROVEEDORES[[#This Row],[base retencion]],0,PROVEEDORES[[#This Row],[retención aplicada]])</f>
        <v>0</v>
      </c>
      <c r="Q411" s="22">
        <f>+PROVEEDORES[[#This Row],[Rete Fuente %]]*(PROVEEDORES[[#This Row],[SUBTOTAL]]-PROVEEDORES[[#This Row],[descuento sobre subtotal]])</f>
        <v>0</v>
      </c>
      <c r="R411" s="21">
        <f>+PROVEEDORES[[#This Row],[SUBTOTAL]]+PROVEEDORES[[#This Row],[IVA 19%]]-PROVEEDORES[[#This Row],[descuento sobre subtotal]]-PROVEEDORES[[#This Row],[Descuento sobre subtotal $2]]-PROVEEDORES[[#This Row],[Rete Fuente $]]</f>
        <v>594600</v>
      </c>
      <c r="S4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63">
        <f ca="1">IF(PROVEEDORES[[#This Row],[FECHA DE PAGO]]=0,TODAY()-PROVEEDORES[[#This Row],[FECHA DE FACTURACIÓN]]-PROVEEDORES[[#This Row],[PLAZO Días]],0)</f>
        <v>0</v>
      </c>
      <c r="U411" s="104">
        <f>+VLOOKUP(PROVEEDORES[[#This Row],[PROVEEDOR]],Terceros!$A:$D,4,FALSE)</f>
        <v>0</v>
      </c>
      <c r="V411" s="105">
        <f>+YEAR(PROVEEDORES[[#This Row],[FECHA DE FACTURACIÓN]])</f>
        <v>2022</v>
      </c>
      <c r="W411" s="105">
        <f>+MATCH(PROVEEDORES[[#This Row],[año facturado]],Retenciones!$1:$1,0)</f>
        <v>5</v>
      </c>
      <c r="X411" s="106">
        <f>+VLOOKUP(PROVEEDORES[[#This Row],[ID RETENCION]],Retenciones!$A$1:$O$25,PROVEEDORES[[#This Row],[indicador de columna]],FALSE)</f>
        <v>0</v>
      </c>
      <c r="Y411" s="107">
        <f>+VLOOKUP(PROVEEDORES[[#This Row],[ID RETENCION]],Retenciones!$A$1:$O$25,2,FALSE)</f>
        <v>0</v>
      </c>
      <c r="Z411" s="116" t="b">
        <f>OR(COUNTIF(PROVEEDORES[[#This Row],[PROVEEDOR]],"*"&amp;'Palabra no opera'!$A$2&amp;"*"))</f>
        <v>0</v>
      </c>
    </row>
    <row r="412" spans="1:26" ht="22.35" customHeight="1" x14ac:dyDescent="0.3">
      <c r="A412" s="67" t="str">
        <f>+IF(PROVEEDORES[[#This Row],[FECHA DE PAGO]]=PROVEEDORES[[#This Row],[FECHA DE FACTURACIÓN]],"DE CONTADO","CRÉDITO")</f>
        <v>DE CONTADO</v>
      </c>
      <c r="B412" s="38" t="b">
        <f>+IF((PROVEEDORES[[#This Row],[FECHA DE PAGO]]-PROVEEDORES[[#This Row],[FECHA DE FACTURACIÓN]])&gt;PROVEEDORES[[#This Row],[PLAZO Días]],"PAGO VENCIDO")</f>
        <v>0</v>
      </c>
      <c r="C412" s="20">
        <f>+VLOOKUP(PROVEEDORES[[#This Row],[PROVEEDOR]],TERCEROS_INFO[#All],2,FALSE)</f>
        <v>30</v>
      </c>
      <c r="D412" s="25">
        <f>+SUMIFS(PROVEEDORES[Total],PROVEEDORES[PROVEEDOR],PROVEEDORES[[#This Row],[PROVEEDOR]],PROVEEDORES[FECHA DE PAGO],"")</f>
        <v>0</v>
      </c>
      <c r="E412" s="25"/>
      <c r="F412" s="56" t="str">
        <f>+VLOOKUP(PROVEEDORES[[#This Row],[PROVEEDOR]],
                       Terceros!$A:$F,
                       5,
                       FALSE)</f>
        <v/>
      </c>
      <c r="G412" s="68">
        <v>44712</v>
      </c>
      <c r="H412" s="26" t="s">
        <v>362</v>
      </c>
      <c r="I412" s="68">
        <v>44712</v>
      </c>
      <c r="J412" s="35" t="s">
        <v>316</v>
      </c>
      <c r="K412" s="21">
        <v>2633897</v>
      </c>
      <c r="L412" s="21"/>
      <c r="M412" s="22">
        <f>(PROVEEDORES[[#This Row],[SUBTOTAL]]-PROVEEDORES[[#This Row],[descuento sobre subtotal]])*VLOOKUP(PROVEEDORES[[#This Row],[PROVEEDOR]],TERCEROS_INFO[#All],3,FALSE)</f>
        <v>0</v>
      </c>
      <c r="N412" s="23"/>
      <c r="O412" s="22">
        <f>+PROVEEDORES[[#This Row],[Descuento sobre subtotal %]]*(PROVEEDORES[[#This Row],[SUBTOTAL]]-PROVEEDORES[[#This Row],[descuento sobre subtotal]])</f>
        <v>0</v>
      </c>
      <c r="P412" s="74">
        <f>+IF(PROVEEDORES[[#This Row],[SUBTOTAL]]&lt;PROVEEDORES[[#This Row],[base retencion]],0,PROVEEDORES[[#This Row],[retención aplicada]])</f>
        <v>0</v>
      </c>
      <c r="Q412" s="22">
        <f>+PROVEEDORES[[#This Row],[Rete Fuente %]]*(PROVEEDORES[[#This Row],[SUBTOTAL]]-PROVEEDORES[[#This Row],[descuento sobre subtotal]])</f>
        <v>0</v>
      </c>
      <c r="R412" s="21">
        <f>+PROVEEDORES[[#This Row],[SUBTOTAL]]+PROVEEDORES[[#This Row],[IVA 19%]]-PROVEEDORES[[#This Row],[descuento sobre subtotal]]-PROVEEDORES[[#This Row],[Descuento sobre subtotal $2]]-PROVEEDORES[[#This Row],[Rete Fuente $]]</f>
        <v>2633897</v>
      </c>
      <c r="S4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63">
        <f ca="1">IF(PROVEEDORES[[#This Row],[FECHA DE PAGO]]=0,TODAY()-PROVEEDORES[[#This Row],[FECHA DE FACTURACIÓN]]-PROVEEDORES[[#This Row],[PLAZO Días]],0)</f>
        <v>0</v>
      </c>
      <c r="U412" s="104">
        <f>+VLOOKUP(PROVEEDORES[[#This Row],[PROVEEDOR]],Terceros!$A:$D,4,FALSE)</f>
        <v>0</v>
      </c>
      <c r="V412" s="105">
        <f>+YEAR(PROVEEDORES[[#This Row],[FECHA DE FACTURACIÓN]])</f>
        <v>2022</v>
      </c>
      <c r="W412" s="105">
        <f>+MATCH(PROVEEDORES[[#This Row],[año facturado]],Retenciones!$1:$1,0)</f>
        <v>5</v>
      </c>
      <c r="X412" s="106">
        <f>+VLOOKUP(PROVEEDORES[[#This Row],[ID RETENCION]],Retenciones!$A$1:$O$25,PROVEEDORES[[#This Row],[indicador de columna]],FALSE)</f>
        <v>0</v>
      </c>
      <c r="Y412" s="107">
        <f>+VLOOKUP(PROVEEDORES[[#This Row],[ID RETENCION]],Retenciones!$A$1:$O$25,2,FALSE)</f>
        <v>0</v>
      </c>
      <c r="Z412" s="116" t="b">
        <f>OR(COUNTIF(PROVEEDORES[[#This Row],[PROVEEDOR]],"*"&amp;'Palabra no opera'!$A$2&amp;"*"))</f>
        <v>0</v>
      </c>
    </row>
    <row r="413" spans="1:26" ht="22.35" customHeight="1" x14ac:dyDescent="0.3">
      <c r="A413" s="61" t="str">
        <f>+IF(PROVEEDORES[[#This Row],[FECHA DE PAGO]]=PROVEEDORES[[#This Row],[FECHA DE FACTURACIÓN]],"DE CONTADO","CRÉDITO")</f>
        <v>CRÉDITO</v>
      </c>
      <c r="B413" s="38" t="str">
        <f>+IF((PROVEEDORES[[#This Row],[FECHA DE PAGO]]-PROVEEDORES[[#This Row],[FECHA DE FACTURACIÓN]])&gt;PROVEEDORES[[#This Row],[PLAZO Días]],"PAGO VENCIDO")</f>
        <v>PAGO VENCIDO</v>
      </c>
      <c r="C413" s="20">
        <f>+VLOOKUP(PROVEEDORES[[#This Row],[PROVEEDOR]],TERCEROS_INFO[#All],2,FALSE)</f>
        <v>30</v>
      </c>
      <c r="D413" s="25">
        <f>+SUMIFS(PROVEEDORES[Total],PROVEEDORES[PROVEEDOR],PROVEEDORES[[#This Row],[PROVEEDOR]],PROVEEDORES[FECHA DE PAGO],"")</f>
        <v>0</v>
      </c>
      <c r="E413" s="25"/>
      <c r="F413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413" s="68">
        <v>44712</v>
      </c>
      <c r="H413" s="26" t="s">
        <v>76</v>
      </c>
      <c r="I413" s="68">
        <v>44639</v>
      </c>
      <c r="J413" s="35" t="s">
        <v>442</v>
      </c>
      <c r="K413" s="21">
        <v>23357104</v>
      </c>
      <c r="L413" s="21"/>
      <c r="M413" s="22">
        <f>(PROVEEDORES[[#This Row],[SUBTOTAL]]-PROVEEDORES[[#This Row],[descuento sobre subtotal]])*VLOOKUP(PROVEEDORES[[#This Row],[PROVEEDOR]],TERCEROS_INFO[#All],3,FALSE)</f>
        <v>4437849.76</v>
      </c>
      <c r="N413" s="23">
        <v>0.05</v>
      </c>
      <c r="O413" s="22">
        <f>+PROVEEDORES[[#This Row],[Descuento sobre subtotal %]]*(PROVEEDORES[[#This Row],[SUBTOTAL]]-PROVEEDORES[[#This Row],[descuento sobre subtotal]])</f>
        <v>1167855.2</v>
      </c>
      <c r="P413" s="74">
        <f>+IF(PROVEEDORES[[#This Row],[SUBTOTAL]]&lt;PROVEEDORES[[#This Row],[base retencion]],0,PROVEEDORES[[#This Row],[retención aplicada]])</f>
        <v>2.5000000000000001E-2</v>
      </c>
      <c r="Q413" s="22">
        <f>+PROVEEDORES[[#This Row],[Rete Fuente %]]*(PROVEEDORES[[#This Row],[SUBTOTAL]]-PROVEEDORES[[#This Row],[descuento sobre subtotal]])</f>
        <v>583927.6</v>
      </c>
      <c r="R413" s="21">
        <f>+PROVEEDORES[[#This Row],[SUBTOTAL]]+PROVEEDORES[[#This Row],[IVA 19%]]-PROVEEDORES[[#This Row],[descuento sobre subtotal]]-PROVEEDORES[[#This Row],[Descuento sobre subtotal $2]]-PROVEEDORES[[#This Row],[Rete Fuente $]]</f>
        <v>26043170.959999997</v>
      </c>
      <c r="S41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63">
        <f ca="1">IF(PROVEEDORES[[#This Row],[FECHA DE PAGO]]=0,TODAY()-PROVEEDORES[[#This Row],[FECHA DE FACTURACIÓN]]-PROVEEDORES[[#This Row],[PLAZO Días]],0)</f>
        <v>0</v>
      </c>
      <c r="U413" s="87" t="str">
        <f>+VLOOKUP(PROVEEDORES[[#This Row],[PROVEEDOR]],Terceros!$A:$D,4,FALSE)</f>
        <v>2,5% con base</v>
      </c>
      <c r="V413" s="88">
        <f>+YEAR(PROVEEDORES[[#This Row],[FECHA DE FACTURACIÓN]])</f>
        <v>2022</v>
      </c>
      <c r="W413" s="88">
        <f>+MATCH(PROVEEDORES[[#This Row],[año facturado]],Retenciones!$1:$1,0)</f>
        <v>5</v>
      </c>
      <c r="X413" s="89">
        <f>+VLOOKUP(PROVEEDORES[[#This Row],[ID RETENCION]],Retenciones!$A$1:$O$25,PROVEEDORES[[#This Row],[indicador de columna]],FALSE)</f>
        <v>1026000</v>
      </c>
      <c r="Y413" s="90">
        <f>+VLOOKUP(PROVEEDORES[[#This Row],[ID RETENCION]],Retenciones!$A$1:$O$25,2,FALSE)</f>
        <v>2.5000000000000001E-2</v>
      </c>
      <c r="Z413" s="116" t="b">
        <f>OR(COUNTIF(PROVEEDORES[[#This Row],[PROVEEDOR]],"*"&amp;'Palabra no opera'!$A$2&amp;"*"))</f>
        <v>0</v>
      </c>
    </row>
    <row r="414" spans="1:26" ht="22.35" customHeight="1" x14ac:dyDescent="0.3">
      <c r="A414" s="61" t="str">
        <f>+IF(PROVEEDORES[[#This Row],[FECHA DE PAGO]]=PROVEEDORES[[#This Row],[FECHA DE FACTURACIÓN]],"DE CONTADO","CRÉDITO")</f>
        <v>CRÉDITO</v>
      </c>
      <c r="B414" s="38" t="str">
        <f>+IF((PROVEEDORES[[#This Row],[FECHA DE PAGO]]-PROVEEDORES[[#This Row],[FECHA DE FACTURACIÓN]])&gt;PROVEEDORES[[#This Row],[PLAZO Días]],"PAGO VENCIDO")</f>
        <v>PAGO VENCIDO</v>
      </c>
      <c r="C414" s="20">
        <f>+VLOOKUP(PROVEEDORES[[#This Row],[PROVEEDOR]],TERCEROS_INFO[#All],2,FALSE)</f>
        <v>30</v>
      </c>
      <c r="D414" s="25">
        <f>+SUMIFS(PROVEEDORES[Total],PROVEEDORES[PROVEEDOR],PROVEEDORES[[#This Row],[PROVEEDOR]],PROVEEDORES[FECHA DE PAGO],"")</f>
        <v>0</v>
      </c>
      <c r="E414" s="25"/>
      <c r="F414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414" s="68">
        <v>44712</v>
      </c>
      <c r="H414" s="26" t="s">
        <v>76</v>
      </c>
      <c r="I414" s="68">
        <v>44651</v>
      </c>
      <c r="J414" s="35" t="s">
        <v>593</v>
      </c>
      <c r="K414" s="21">
        <v>-1920170</v>
      </c>
      <c r="L414" s="21"/>
      <c r="M414" s="22">
        <f>(PROVEEDORES[[#This Row],[SUBTOTAL]]-PROVEEDORES[[#This Row],[descuento sobre subtotal]])*VLOOKUP(PROVEEDORES[[#This Row],[PROVEEDOR]],TERCEROS_INFO[#All],3,FALSE)</f>
        <v>-364832.3</v>
      </c>
      <c r="N414" s="23">
        <v>0.05</v>
      </c>
      <c r="O414" s="22">
        <f>+PROVEEDORES[[#This Row],[Descuento sobre subtotal %]]*(PROVEEDORES[[#This Row],[SUBTOTAL]]-PROVEEDORES[[#This Row],[descuento sobre subtotal]])</f>
        <v>-96008.5</v>
      </c>
      <c r="P414" s="74">
        <v>2.5000000000000001E-2</v>
      </c>
      <c r="Q414" s="22">
        <f>+PROVEEDORES[[#This Row],[Rete Fuente %]]*(PROVEEDORES[[#This Row],[SUBTOTAL]]-PROVEEDORES[[#This Row],[descuento sobre subtotal]])</f>
        <v>-48004.25</v>
      </c>
      <c r="R414" s="21">
        <f>+PROVEEDORES[[#This Row],[SUBTOTAL]]+PROVEEDORES[[#This Row],[IVA 19%]]-PROVEEDORES[[#This Row],[descuento sobre subtotal]]-PROVEEDORES[[#This Row],[Descuento sobre subtotal $2]]-PROVEEDORES[[#This Row],[Rete Fuente $]]</f>
        <v>-2140989.5499999998</v>
      </c>
      <c r="S41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63">
        <f ca="1">IF(PROVEEDORES[[#This Row],[FECHA DE PAGO]]=0,TODAY()-PROVEEDORES[[#This Row],[FECHA DE FACTURACIÓN]]-PROVEEDORES[[#This Row],[PLAZO Días]],0)</f>
        <v>0</v>
      </c>
      <c r="U414" s="87" t="str">
        <f>+VLOOKUP(PROVEEDORES[[#This Row],[PROVEEDOR]],Terceros!$A:$D,4,FALSE)</f>
        <v>2,5% con base</v>
      </c>
      <c r="V414" s="88">
        <f>+YEAR(PROVEEDORES[[#This Row],[FECHA DE FACTURACIÓN]])</f>
        <v>2022</v>
      </c>
      <c r="W414" s="88">
        <f>+MATCH(PROVEEDORES[[#This Row],[año facturado]],Retenciones!$1:$1,0)</f>
        <v>5</v>
      </c>
      <c r="X414" s="89">
        <f>+VLOOKUP(PROVEEDORES[[#This Row],[ID RETENCION]],Retenciones!$A$1:$O$25,PROVEEDORES[[#This Row],[indicador de columna]],FALSE)</f>
        <v>1026000</v>
      </c>
      <c r="Y414" s="90">
        <f>+VLOOKUP(PROVEEDORES[[#This Row],[ID RETENCION]],Retenciones!$A$1:$O$25,2,FALSE)</f>
        <v>2.5000000000000001E-2</v>
      </c>
      <c r="Z414" s="116" t="b">
        <f>OR(COUNTIF(PROVEEDORES[[#This Row],[PROVEEDOR]],"*"&amp;'Palabra no opera'!$A$2&amp;"*"))</f>
        <v>0</v>
      </c>
    </row>
    <row r="415" spans="1:26" ht="22.35" customHeight="1" x14ac:dyDescent="0.3">
      <c r="A415" s="111" t="str">
        <f>+IF(PROVEEDORES[[#This Row],[FECHA DE PAGO]]=PROVEEDORES[[#This Row],[FECHA DE FACTURACIÓN]],"DE CONTADO","CRÉDITO")</f>
        <v>CRÉDITO</v>
      </c>
      <c r="B415" s="38" t="str">
        <f>+IF((PROVEEDORES[[#This Row],[FECHA DE PAGO]]-PROVEEDORES[[#This Row],[FECHA DE FACTURACIÓN]])&gt;PROVEEDORES[[#This Row],[PLAZO Días]],"PAGO VENCIDO")</f>
        <v>PAGO VENCIDO</v>
      </c>
      <c r="C415" s="20">
        <f>+VLOOKUP(PROVEEDORES[[#This Row],[PROVEEDOR]],TERCEROS_INFO[#All],2,FALSE)</f>
        <v>30</v>
      </c>
      <c r="D415" s="25">
        <f>+SUMIFS(PROVEEDORES[Total],PROVEEDORES[PROVEEDOR],PROVEEDORES[[#This Row],[PROVEEDOR]],PROVEEDORES[FECHA DE PAGO],"")</f>
        <v>0</v>
      </c>
      <c r="E415" s="25"/>
      <c r="F415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415" s="68">
        <v>44712</v>
      </c>
      <c r="H415" s="26" t="s">
        <v>76</v>
      </c>
      <c r="I415" s="68">
        <v>44669</v>
      </c>
      <c r="J415" s="35" t="s">
        <v>600</v>
      </c>
      <c r="K415" s="21">
        <v>2642854</v>
      </c>
      <c r="L415" s="21"/>
      <c r="M415" s="22">
        <f>(PROVEEDORES[[#This Row],[SUBTOTAL]]-PROVEEDORES[[#This Row],[descuento sobre subtotal]])*VLOOKUP(PROVEEDORES[[#This Row],[PROVEEDOR]],TERCEROS_INFO[#All],3,FALSE)</f>
        <v>502142.26</v>
      </c>
      <c r="N415" s="23">
        <v>0.05</v>
      </c>
      <c r="O415" s="22">
        <f>+PROVEEDORES[[#This Row],[Descuento sobre subtotal %]]*(PROVEEDORES[[#This Row],[SUBTOTAL]]-PROVEEDORES[[#This Row],[descuento sobre subtotal]])</f>
        <v>132142.70000000001</v>
      </c>
      <c r="P415" s="74">
        <f>+IF(PROVEEDORES[[#This Row],[SUBTOTAL]]&lt;PROVEEDORES[[#This Row],[base retencion]],0,PROVEEDORES[[#This Row],[retención aplicada]])</f>
        <v>2.5000000000000001E-2</v>
      </c>
      <c r="Q415" s="22">
        <f>+PROVEEDORES[[#This Row],[Rete Fuente %]]*(PROVEEDORES[[#This Row],[SUBTOTAL]]-PROVEEDORES[[#This Row],[descuento sobre subtotal]])</f>
        <v>66071.350000000006</v>
      </c>
      <c r="R415" s="21">
        <f>+PROVEEDORES[[#This Row],[SUBTOTAL]]+PROVEEDORES[[#This Row],[IVA 19%]]-PROVEEDORES[[#This Row],[descuento sobre subtotal]]-PROVEEDORES[[#This Row],[Descuento sobre subtotal $2]]-PROVEEDORES[[#This Row],[Rete Fuente $]]</f>
        <v>2946782.2099999995</v>
      </c>
      <c r="S415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63">
        <f ca="1">IF(PROVEEDORES[[#This Row],[FECHA DE PAGO]]=0,TODAY()-PROVEEDORES[[#This Row],[FECHA DE FACTURACIÓN]]-PROVEEDORES[[#This Row],[PLAZO Días]],0)</f>
        <v>0</v>
      </c>
      <c r="U415" s="104" t="str">
        <f>+VLOOKUP(PROVEEDORES[[#This Row],[PROVEEDOR]],Terceros!$A:$D,4,FALSE)</f>
        <v>2,5% con base</v>
      </c>
      <c r="V415" s="105">
        <f>+YEAR(PROVEEDORES[[#This Row],[FECHA DE FACTURACIÓN]])</f>
        <v>2022</v>
      </c>
      <c r="W415" s="105">
        <f>+MATCH(PROVEEDORES[[#This Row],[año facturado]],Retenciones!$1:$1,0)</f>
        <v>5</v>
      </c>
      <c r="X415" s="106">
        <f>+VLOOKUP(PROVEEDORES[[#This Row],[ID RETENCION]],Retenciones!$A$1:$O$25,PROVEEDORES[[#This Row],[indicador de columna]],FALSE)</f>
        <v>1026000</v>
      </c>
      <c r="Y415" s="107">
        <f>+VLOOKUP(PROVEEDORES[[#This Row],[ID RETENCION]],Retenciones!$A$1:$O$25,2,FALSE)</f>
        <v>2.5000000000000001E-2</v>
      </c>
      <c r="Z415" s="116" t="b">
        <f>OR(COUNTIF(PROVEEDORES[[#This Row],[PROVEEDOR]],"*"&amp;'Palabra no opera'!$A$2&amp;"*"))</f>
        <v>0</v>
      </c>
    </row>
    <row r="416" spans="1:26" ht="22.35" customHeight="1" x14ac:dyDescent="0.3">
      <c r="A416" s="67" t="str">
        <f>+IF(PROVEEDORES[[#This Row],[FECHA DE PAGO]]=PROVEEDORES[[#This Row],[FECHA DE FACTURACIÓN]],"DE CONTADO","CRÉDITO")</f>
        <v>CRÉDITO</v>
      </c>
      <c r="B416" s="38" t="str">
        <f>+IF((PROVEEDORES[[#This Row],[FECHA DE PAGO]]-PROVEEDORES[[#This Row],[FECHA DE FACTURACIÓN]])&gt;PROVEEDORES[[#This Row],[PLAZO Días]],"PAGO VENCIDO")</f>
        <v>PAGO VENCIDO</v>
      </c>
      <c r="C416" s="20">
        <f>+VLOOKUP(PROVEEDORES[[#This Row],[PROVEEDOR]],TERCEROS_INFO[#All],2,FALSE)</f>
        <v>30</v>
      </c>
      <c r="D416" s="25">
        <f>+SUMIFS(PROVEEDORES[Total],PROVEEDORES[PROVEEDOR],PROVEEDORES[[#This Row],[PROVEEDOR]],PROVEEDORES[FECHA DE PAGO],"")</f>
        <v>0</v>
      </c>
      <c r="E416" s="25"/>
      <c r="F416" s="56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416" s="68">
        <v>44713</v>
      </c>
      <c r="H416" s="26" t="s">
        <v>384</v>
      </c>
      <c r="I416" s="68">
        <v>44672</v>
      </c>
      <c r="J416" s="35" t="s">
        <v>1019</v>
      </c>
      <c r="K416" s="21">
        <v>750000</v>
      </c>
      <c r="L416" s="21"/>
      <c r="M416" s="22">
        <f>(PROVEEDORES[[#This Row],[SUBTOTAL]]-PROVEEDORES[[#This Row],[descuento sobre subtotal]])*VLOOKUP(PROVEEDORES[[#This Row],[PROVEEDOR]],TERCEROS_INFO[#All],3,FALSE)</f>
        <v>0</v>
      </c>
      <c r="N416" s="23"/>
      <c r="O416" s="22">
        <f>+PROVEEDORES[[#This Row],[Descuento sobre subtotal %]]*(PROVEEDORES[[#This Row],[SUBTOTAL]]-PROVEEDORES[[#This Row],[descuento sobre subtotal]])</f>
        <v>0</v>
      </c>
      <c r="P416" s="74">
        <f>+IF(PROVEEDORES[[#This Row],[SUBTOTAL]]&lt;PROVEEDORES[[#This Row],[base retencion]],0,PROVEEDORES[[#This Row],[retención aplicada]])</f>
        <v>0</v>
      </c>
      <c r="Q416" s="22">
        <f>+PROVEEDORES[[#This Row],[Rete Fuente %]]*(PROVEEDORES[[#This Row],[SUBTOTAL]]-PROVEEDORES[[#This Row],[descuento sobre subtotal]])</f>
        <v>0</v>
      </c>
      <c r="R416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4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63">
        <f ca="1">IF(PROVEEDORES[[#This Row],[FECHA DE PAGO]]=0,TODAY()-PROVEEDORES[[#This Row],[FECHA DE FACTURACIÓN]]-PROVEEDORES[[#This Row],[PLAZO Días]],0)</f>
        <v>0</v>
      </c>
      <c r="U416" s="104">
        <f>+VLOOKUP(PROVEEDORES[[#This Row],[PROVEEDOR]],Terceros!$A:$D,4,FALSE)</f>
        <v>0</v>
      </c>
      <c r="V416" s="105">
        <f>+YEAR(PROVEEDORES[[#This Row],[FECHA DE FACTURACIÓN]])</f>
        <v>2022</v>
      </c>
      <c r="W416" s="105">
        <f>+MATCH(PROVEEDORES[[#This Row],[año facturado]],Retenciones!$1:$1,0)</f>
        <v>5</v>
      </c>
      <c r="X416" s="106">
        <f>+VLOOKUP(PROVEEDORES[[#This Row],[ID RETENCION]],Retenciones!$A$1:$O$25,PROVEEDORES[[#This Row],[indicador de columna]],FALSE)</f>
        <v>0</v>
      </c>
      <c r="Y416" s="107">
        <f>+VLOOKUP(PROVEEDORES[[#This Row],[ID RETENCION]],Retenciones!$A$1:$O$25,2,FALSE)</f>
        <v>0</v>
      </c>
      <c r="Z416" s="116" t="b">
        <f>OR(COUNTIF(PROVEEDORES[[#This Row],[PROVEEDOR]],"*"&amp;'Palabra no opera'!$A$2&amp;"*"))</f>
        <v>0</v>
      </c>
    </row>
    <row r="417" spans="1:26" ht="22.35" customHeight="1" x14ac:dyDescent="0.3">
      <c r="A417" s="135" t="str">
        <f>+IF(PROVEEDORES[[#This Row],[FECHA DE PAGO]]=PROVEEDORES[[#This Row],[FECHA DE FACTURACIÓN]],"DE CONTADO","CRÉDITO")</f>
        <v>DE CONTADO</v>
      </c>
      <c r="B417" s="38" t="b">
        <f>+IF((PROVEEDORES[[#This Row],[FECHA DE PAGO]]-PROVEEDORES[[#This Row],[FECHA DE FACTURACIÓN]])&gt;PROVEEDORES[[#This Row],[PLAZO Días]],"PAGO VENCIDO")</f>
        <v>0</v>
      </c>
      <c r="C417" s="20">
        <f>+VLOOKUP(PROVEEDORES[[#This Row],[PROVEEDOR]],TERCEROS_INFO[#All],2,FALSE)</f>
        <v>0</v>
      </c>
      <c r="D417" s="25">
        <f>+SUMIFS(PROVEEDORES[Total],PROVEEDORES[PROVEEDOR],PROVEEDORES[[#This Row],[PROVEEDOR]],PROVEEDORES[FECHA DE PAGO],"")</f>
        <v>0</v>
      </c>
      <c r="E417" s="25"/>
      <c r="F417" s="56">
        <f>+VLOOKUP(PROVEEDORES[[#This Row],[PROVEEDOR]],
                       Terceros!$A:$F,
                       5,
                       FALSE)</f>
        <v>0</v>
      </c>
      <c r="G417" s="68">
        <v>44713</v>
      </c>
      <c r="H417" s="26" t="s">
        <v>711</v>
      </c>
      <c r="I417" s="68">
        <v>44713</v>
      </c>
      <c r="J417" s="35" t="s">
        <v>908</v>
      </c>
      <c r="K417" s="21">
        <v>159663.87</v>
      </c>
      <c r="L417" s="21"/>
      <c r="M417" s="22">
        <f>(PROVEEDORES[[#This Row],[SUBTOTAL]]-PROVEEDORES[[#This Row],[descuento sobre subtotal]])*VLOOKUP(PROVEEDORES[[#This Row],[PROVEEDOR]],TERCEROS_INFO[#All],3,FALSE)</f>
        <v>30336.135299999998</v>
      </c>
      <c r="N417" s="23"/>
      <c r="O417" s="22">
        <f>+PROVEEDORES[[#This Row],[Descuento sobre subtotal %]]*(PROVEEDORES[[#This Row],[SUBTOTAL]]-PROVEEDORES[[#This Row],[descuento sobre subtotal]])</f>
        <v>0</v>
      </c>
      <c r="P417" s="74">
        <f>+IF(PROVEEDORES[[#This Row],[SUBTOTAL]]&lt;PROVEEDORES[[#This Row],[base retencion]],0,PROVEEDORES[[#This Row],[retención aplicada]])</f>
        <v>0</v>
      </c>
      <c r="Q417" s="22">
        <f>+PROVEEDORES[[#This Row],[Rete Fuente %]]*(PROVEEDORES[[#This Row],[SUBTOTAL]]-PROVEEDORES[[#This Row],[descuento sobre subtotal]])</f>
        <v>0</v>
      </c>
      <c r="R417" s="21">
        <f>+PROVEEDORES[[#This Row],[SUBTOTAL]]+PROVEEDORES[[#This Row],[IVA 19%]]-PROVEEDORES[[#This Row],[descuento sobre subtotal]]-PROVEEDORES[[#This Row],[Descuento sobre subtotal $2]]-PROVEEDORES[[#This Row],[Rete Fuente $]]</f>
        <v>190000.00529999999</v>
      </c>
      <c r="S417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63">
        <f ca="1">IF(PROVEEDORES[[#This Row],[FECHA DE PAGO]]=0,TODAY()-PROVEEDORES[[#This Row],[FECHA DE FACTURACIÓN]]-PROVEEDORES[[#This Row],[PLAZO Días]],0)</f>
        <v>0</v>
      </c>
      <c r="U417" s="104">
        <f>+VLOOKUP(PROVEEDORES[[#This Row],[PROVEEDOR]],Terceros!$A:$D,4,FALSE)</f>
        <v>0</v>
      </c>
      <c r="V417" s="105">
        <f>+YEAR(PROVEEDORES[[#This Row],[FECHA DE FACTURACIÓN]])</f>
        <v>2022</v>
      </c>
      <c r="W417" s="105">
        <f>+MATCH(PROVEEDORES[[#This Row],[año facturado]],Retenciones!$1:$1,0)</f>
        <v>5</v>
      </c>
      <c r="X417" s="106">
        <f>+VLOOKUP(PROVEEDORES[[#This Row],[ID RETENCION]],Retenciones!$A$1:$O$25,PROVEEDORES[[#This Row],[indicador de columna]],FALSE)</f>
        <v>0</v>
      </c>
      <c r="Y417" s="107">
        <f>+VLOOKUP(PROVEEDORES[[#This Row],[ID RETENCION]],Retenciones!$A$1:$O$25,2,FALSE)</f>
        <v>0</v>
      </c>
      <c r="Z417" s="116" t="b">
        <f>OR(COUNTIF(PROVEEDORES[[#This Row],[PROVEEDOR]],"*"&amp;'Palabra no opera'!$A$2&amp;"*"))</f>
        <v>1</v>
      </c>
    </row>
    <row r="418" spans="1:26" ht="22.35" customHeight="1" x14ac:dyDescent="0.3">
      <c r="A418" s="124" t="str">
        <f>+IF(PROVEEDORES[[#This Row],[FECHA DE PAGO]]=PROVEEDORES[[#This Row],[FECHA DE FACTURACIÓN]],"DE CONTADO","CRÉDITO")</f>
        <v>CRÉDITO</v>
      </c>
      <c r="B418" s="38" t="b">
        <f>+IF((PROVEEDORES[[#This Row],[FECHA DE PAGO]]-PROVEEDORES[[#This Row],[FECHA DE FACTURACIÓN]])&gt;PROVEEDORES[[#This Row],[PLAZO Días]],"PAGO VENCIDO")</f>
        <v>0</v>
      </c>
      <c r="C418" s="20">
        <f>+VLOOKUP(PROVEEDORES[[#This Row],[PROVEEDOR]],TERCEROS_INFO[#All],2,FALSE)</f>
        <v>30</v>
      </c>
      <c r="D418" s="25">
        <f>+SUMIFS(PROVEEDORES[Total],PROVEEDORES[PROVEEDOR],PROVEEDORES[[#This Row],[PROVEEDOR]],PROVEEDORES[FECHA DE PAGO],"")</f>
        <v>0</v>
      </c>
      <c r="E418" s="25"/>
      <c r="F418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418" s="68">
        <v>44713</v>
      </c>
      <c r="H418" s="26" t="s">
        <v>1069</v>
      </c>
      <c r="I418" s="68">
        <v>44691</v>
      </c>
      <c r="J418" s="35" t="s">
        <v>662</v>
      </c>
      <c r="K418" s="21">
        <v>142857.5</v>
      </c>
      <c r="L418" s="21"/>
      <c r="M418" s="22">
        <f>(PROVEEDORES[[#This Row],[SUBTOTAL]]-PROVEEDORES[[#This Row],[descuento sobre subtotal]])*VLOOKUP(PROVEEDORES[[#This Row],[PROVEEDOR]],TERCEROS_INFO[#All],3,FALSE)</f>
        <v>27142.924999999999</v>
      </c>
      <c r="N418" s="23"/>
      <c r="O418" s="22">
        <f>+PROVEEDORES[[#This Row],[Descuento sobre subtotal %]]*(PROVEEDORES[[#This Row],[SUBTOTAL]]-PROVEEDORES[[#This Row],[descuento sobre subtotal]])</f>
        <v>0</v>
      </c>
      <c r="P418" s="74">
        <f>+IF(PROVEEDORES[[#This Row],[SUBTOTAL]]&lt;PROVEEDORES[[#This Row],[base retencion]],0,PROVEEDORES[[#This Row],[retención aplicada]])</f>
        <v>0</v>
      </c>
      <c r="Q418" s="22">
        <f>+PROVEEDORES[[#This Row],[Rete Fuente %]]*(PROVEEDORES[[#This Row],[SUBTOTAL]]-PROVEEDORES[[#This Row],[descuento sobre subtotal]])</f>
        <v>0</v>
      </c>
      <c r="R418" s="21">
        <f>+PROVEEDORES[[#This Row],[SUBTOTAL]]+PROVEEDORES[[#This Row],[IVA 19%]]-PROVEEDORES[[#This Row],[descuento sobre subtotal]]-PROVEEDORES[[#This Row],[Descuento sobre subtotal $2]]-PROVEEDORES[[#This Row],[Rete Fuente $]]</f>
        <v>170000.42499999999</v>
      </c>
      <c r="S418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63">
        <f ca="1">IF(PROVEEDORES[[#This Row],[FECHA DE PAGO]]=0,TODAY()-PROVEEDORES[[#This Row],[FECHA DE FACTURACIÓN]]-PROVEEDORES[[#This Row],[PLAZO Días]],0)</f>
        <v>0</v>
      </c>
      <c r="U418" s="104" t="str">
        <f>+VLOOKUP(PROVEEDORES[[#This Row],[PROVEEDOR]],Terceros!$A:$D,4,FALSE)</f>
        <v>2,5% con base</v>
      </c>
      <c r="V418" s="105">
        <f>+YEAR(PROVEEDORES[[#This Row],[FECHA DE FACTURACIÓN]])</f>
        <v>2022</v>
      </c>
      <c r="W418" s="105">
        <f>+MATCH(PROVEEDORES[[#This Row],[año facturado]],Retenciones!$1:$1,0)</f>
        <v>5</v>
      </c>
      <c r="X418" s="106">
        <f>+VLOOKUP(PROVEEDORES[[#This Row],[ID RETENCION]],Retenciones!$A$1:$O$25,PROVEEDORES[[#This Row],[indicador de columna]],FALSE)</f>
        <v>1026000</v>
      </c>
      <c r="Y418" s="107">
        <f>+VLOOKUP(PROVEEDORES[[#This Row],[ID RETENCION]],Retenciones!$A$1:$O$25,2,FALSE)</f>
        <v>2.5000000000000001E-2</v>
      </c>
      <c r="Z418" s="116" t="b">
        <f>OR(COUNTIF(PROVEEDORES[[#This Row],[PROVEEDOR]],"*"&amp;'Palabra no opera'!$A$2&amp;"*"))</f>
        <v>0</v>
      </c>
    </row>
    <row r="419" spans="1:26" ht="22.35" customHeight="1" x14ac:dyDescent="0.3">
      <c r="A419" s="146" t="str">
        <f>+IF(PROVEEDORES[[#This Row],[FECHA DE PAGO]]=PROVEEDORES[[#This Row],[FECHA DE FACTURACIÓN]],"DE CONTADO","CRÉDITO")</f>
        <v>CRÉDITO</v>
      </c>
      <c r="B419" s="38" t="b">
        <f>+IF((PROVEEDORES[[#This Row],[FECHA DE PAGO]]-PROVEEDORES[[#This Row],[FECHA DE FACTURACIÓN]])&gt;PROVEEDORES[[#This Row],[PLAZO Días]],"PAGO VENCIDO")</f>
        <v>0</v>
      </c>
      <c r="C419" s="20">
        <f>+VLOOKUP(PROVEEDORES[[#This Row],[PROVEEDOR]],TERCEROS_INFO[#All],2,FALSE)</f>
        <v>30</v>
      </c>
      <c r="D419" s="25">
        <f>+SUMIFS(PROVEEDORES[Total],PROVEEDORES[PROVEEDOR],PROVEEDORES[[#This Row],[PROVEEDOR]],PROVEEDORES[FECHA DE PAGO],"")</f>
        <v>0</v>
      </c>
      <c r="E419" s="25"/>
      <c r="F419" s="56" t="str">
        <f>+VLOOKUP(PROVEEDORES[[#This Row],[PROVEEDOR]],
                       Terceros!$A:$F,
                       5,
                       FALSE)</f>
        <v/>
      </c>
      <c r="G419" s="68">
        <v>44714</v>
      </c>
      <c r="H419" s="26" t="s">
        <v>23</v>
      </c>
      <c r="I419" s="68">
        <v>44713</v>
      </c>
      <c r="J419" s="35">
        <v>291707</v>
      </c>
      <c r="K419" s="21">
        <f>2641.96*3900</f>
        <v>10303644</v>
      </c>
      <c r="L419" s="21"/>
      <c r="M419" s="22">
        <f>(PROVEEDORES[[#This Row],[SUBTOTAL]]-PROVEEDORES[[#This Row],[descuento sobre subtotal]])*VLOOKUP(PROVEEDORES[[#This Row],[PROVEEDOR]],TERCEROS_INFO[#All],3,FALSE)</f>
        <v>0</v>
      </c>
      <c r="N419" s="23"/>
      <c r="O419" s="22">
        <f>+PROVEEDORES[[#This Row],[Descuento sobre subtotal %]]*(PROVEEDORES[[#This Row],[SUBTOTAL]]-PROVEEDORES[[#This Row],[descuento sobre subtotal]])</f>
        <v>0</v>
      </c>
      <c r="P419" s="74">
        <f>+IF(PROVEEDORES[[#This Row],[SUBTOTAL]]&lt;PROVEEDORES[[#This Row],[base retencion]],0,PROVEEDORES[[#This Row],[retención aplicada]])</f>
        <v>0</v>
      </c>
      <c r="Q419" s="22">
        <f>+PROVEEDORES[[#This Row],[Rete Fuente %]]*(PROVEEDORES[[#This Row],[SUBTOTAL]]-PROVEEDORES[[#This Row],[descuento sobre subtotal]])</f>
        <v>0</v>
      </c>
      <c r="R419" s="21">
        <f>+PROVEEDORES[[#This Row],[SUBTOTAL]]+PROVEEDORES[[#This Row],[IVA 19%]]-PROVEEDORES[[#This Row],[descuento sobre subtotal]]-PROVEEDORES[[#This Row],[Descuento sobre subtotal $2]]-PROVEEDORES[[#This Row],[Rete Fuente $]]</f>
        <v>10303644</v>
      </c>
      <c r="S419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63">
        <f ca="1">IF(PROVEEDORES[[#This Row],[FECHA DE PAGO]]=0,TODAY()-PROVEEDORES[[#This Row],[FECHA DE FACTURACIÓN]]-PROVEEDORES[[#This Row],[PLAZO Días]],0)</f>
        <v>0</v>
      </c>
      <c r="U419" s="104">
        <f>+VLOOKUP(PROVEEDORES[[#This Row],[PROVEEDOR]],Terceros!$A:$D,4,FALSE)</f>
        <v>0</v>
      </c>
      <c r="V419" s="105">
        <f>+YEAR(PROVEEDORES[[#This Row],[FECHA DE FACTURACIÓN]])</f>
        <v>2022</v>
      </c>
      <c r="W419" s="105">
        <f>+MATCH(PROVEEDORES[[#This Row],[año facturado]],Retenciones!$1:$1,0)</f>
        <v>5</v>
      </c>
      <c r="X419" s="106">
        <f>+VLOOKUP(PROVEEDORES[[#This Row],[ID RETENCION]],Retenciones!$A$1:$O$25,PROVEEDORES[[#This Row],[indicador de columna]],FALSE)</f>
        <v>0</v>
      </c>
      <c r="Y419" s="107">
        <f>+VLOOKUP(PROVEEDORES[[#This Row],[ID RETENCION]],Retenciones!$A$1:$O$25,2,FALSE)</f>
        <v>0</v>
      </c>
      <c r="Z419" s="116" t="b">
        <f>OR(COUNTIF(PROVEEDORES[[#This Row],[PROVEEDOR]],"*"&amp;'Palabra no opera'!$A$2&amp;"*"))</f>
        <v>0</v>
      </c>
    </row>
    <row r="420" spans="1:26" ht="22.35" customHeight="1" x14ac:dyDescent="0.3">
      <c r="A420" s="146" t="str">
        <f>+IF(PROVEEDORES[[#This Row],[FECHA DE PAGO]]=PROVEEDORES[[#This Row],[FECHA DE FACTURACIÓN]],"DE CONTADO","CRÉDITO")</f>
        <v>CRÉDITO</v>
      </c>
      <c r="B420" s="38" t="b">
        <f>+IF((PROVEEDORES[[#This Row],[FECHA DE PAGO]]-PROVEEDORES[[#This Row],[FECHA DE FACTURACIÓN]])&gt;PROVEEDORES[[#This Row],[PLAZO Días]],"PAGO VENCIDO")</f>
        <v>0</v>
      </c>
      <c r="C420" s="20">
        <f>+VLOOKUP(PROVEEDORES[[#This Row],[PROVEEDOR]],TERCEROS_INFO[#All],2,FALSE)</f>
        <v>30</v>
      </c>
      <c r="D420" s="25">
        <f>+SUMIFS(PROVEEDORES[Total],PROVEEDORES[PROVEEDOR],PROVEEDORES[[#This Row],[PROVEEDOR]],PROVEEDORES[FECHA DE PAGO],"")</f>
        <v>0</v>
      </c>
      <c r="E420" s="25"/>
      <c r="F420" s="56" t="str">
        <f>+VLOOKUP(PROVEEDORES[[#This Row],[PROVEEDOR]],
                       Terceros!$A:$F,
                       5,
                       FALSE)</f>
        <v/>
      </c>
      <c r="G420" s="68">
        <v>44714</v>
      </c>
      <c r="H420" s="26" t="s">
        <v>23</v>
      </c>
      <c r="I420" s="68">
        <v>44713</v>
      </c>
      <c r="J420" s="35">
        <v>291706</v>
      </c>
      <c r="K420" s="21">
        <v>11058911.52</v>
      </c>
      <c r="L420" s="21"/>
      <c r="M420" s="22">
        <f>(PROVEEDORES[[#This Row],[SUBTOTAL]]-PROVEEDORES[[#This Row],[descuento sobre subtotal]])*VLOOKUP(PROVEEDORES[[#This Row],[PROVEEDOR]],TERCEROS_INFO[#All],3,FALSE)</f>
        <v>0</v>
      </c>
      <c r="N420" s="23"/>
      <c r="O420" s="22">
        <f>+PROVEEDORES[[#This Row],[Descuento sobre subtotal %]]*(PROVEEDORES[[#This Row],[SUBTOTAL]]-PROVEEDORES[[#This Row],[descuento sobre subtotal]])</f>
        <v>0</v>
      </c>
      <c r="P420" s="74">
        <f>+IF(PROVEEDORES[[#This Row],[SUBTOTAL]]&lt;PROVEEDORES[[#This Row],[base retencion]],0,PROVEEDORES[[#This Row],[retención aplicada]])</f>
        <v>0</v>
      </c>
      <c r="Q420" s="22">
        <f>+PROVEEDORES[[#This Row],[Rete Fuente %]]*(PROVEEDORES[[#This Row],[SUBTOTAL]]-PROVEEDORES[[#This Row],[descuento sobre subtotal]])</f>
        <v>0</v>
      </c>
      <c r="R420" s="21">
        <f>+PROVEEDORES[[#This Row],[SUBTOTAL]]+PROVEEDORES[[#This Row],[IVA 19%]]-PROVEEDORES[[#This Row],[descuento sobre subtotal]]-PROVEEDORES[[#This Row],[Descuento sobre subtotal $2]]-PROVEEDORES[[#This Row],[Rete Fuente $]]</f>
        <v>11058911.52</v>
      </c>
      <c r="S42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63">
        <f ca="1">IF(PROVEEDORES[[#This Row],[FECHA DE PAGO]]=0,TODAY()-PROVEEDORES[[#This Row],[FECHA DE FACTURACIÓN]]-PROVEEDORES[[#This Row],[PLAZO Días]],0)</f>
        <v>0</v>
      </c>
      <c r="U420" s="104">
        <f>+VLOOKUP(PROVEEDORES[[#This Row],[PROVEEDOR]],Terceros!$A:$D,4,FALSE)</f>
        <v>0</v>
      </c>
      <c r="V420" s="105">
        <f>+YEAR(PROVEEDORES[[#This Row],[FECHA DE FACTURACIÓN]])</f>
        <v>2022</v>
      </c>
      <c r="W420" s="105">
        <f>+MATCH(PROVEEDORES[[#This Row],[año facturado]],Retenciones!$1:$1,0)</f>
        <v>5</v>
      </c>
      <c r="X420" s="106">
        <f>+VLOOKUP(PROVEEDORES[[#This Row],[ID RETENCION]],Retenciones!$A$1:$O$25,PROVEEDORES[[#This Row],[indicador de columna]],FALSE)</f>
        <v>0</v>
      </c>
      <c r="Y420" s="107">
        <f>+VLOOKUP(PROVEEDORES[[#This Row],[ID RETENCION]],Retenciones!$A$1:$O$25,2,FALSE)</f>
        <v>0</v>
      </c>
      <c r="Z420" s="116" t="b">
        <f>OR(COUNTIF(PROVEEDORES[[#This Row],[PROVEEDOR]],"*"&amp;'Palabra no opera'!$A$2&amp;"*"))</f>
        <v>0</v>
      </c>
    </row>
    <row r="421" spans="1:26" ht="22.35" customHeight="1" x14ac:dyDescent="0.3">
      <c r="A421" s="135" t="str">
        <f>+IF(PROVEEDORES[[#This Row],[FECHA DE PAGO]]=PROVEEDORES[[#This Row],[FECHA DE FACTURACIÓN]],"DE CONTADO","CRÉDITO")</f>
        <v>DE CONTADO</v>
      </c>
      <c r="B421" s="38" t="b">
        <f>+IF((PROVEEDORES[[#This Row],[FECHA DE PAGO]]-PROVEEDORES[[#This Row],[FECHA DE FACTURACIÓN]])&gt;PROVEEDORES[[#This Row],[PLAZO Días]],"PAGO VENCIDO")</f>
        <v>0</v>
      </c>
      <c r="C421" s="20">
        <f>+VLOOKUP(PROVEEDORES[[#This Row],[PROVEEDOR]],TERCEROS_INFO[#All],2,FALSE)</f>
        <v>30</v>
      </c>
      <c r="D421" s="25">
        <f>+SUMIFS(PROVEEDORES[Total],PROVEEDORES[PROVEEDOR],PROVEEDORES[[#This Row],[PROVEEDOR]],PROVEEDORES[FECHA DE PAGO],"")</f>
        <v>0</v>
      </c>
      <c r="E421" s="25"/>
      <c r="F421" s="56" t="str">
        <f>+VLOOKUP(PROVEEDORES[[#This Row],[PROVEEDOR]],
                       Terceros!$A:$F,
                       5,
                       FALSE)</f>
        <v/>
      </c>
      <c r="G421" s="68">
        <v>44715</v>
      </c>
      <c r="H421" s="26" t="s">
        <v>390</v>
      </c>
      <c r="I421" s="68">
        <v>44715</v>
      </c>
      <c r="J421" s="35"/>
      <c r="K421" s="21">
        <v>1000000</v>
      </c>
      <c r="L421" s="21"/>
      <c r="M421" s="22">
        <f>(PROVEEDORES[[#This Row],[SUBTOTAL]]-PROVEEDORES[[#This Row],[descuento sobre subtotal]])*VLOOKUP(PROVEEDORES[[#This Row],[PROVEEDOR]],TERCEROS_INFO[#All],3,FALSE)</f>
        <v>0</v>
      </c>
      <c r="N421" s="23"/>
      <c r="O421" s="22">
        <f>+PROVEEDORES[[#This Row],[Descuento sobre subtotal %]]*(PROVEEDORES[[#This Row],[SUBTOTAL]]-PROVEEDORES[[#This Row],[descuento sobre subtotal]])</f>
        <v>0</v>
      </c>
      <c r="P421" s="74">
        <f>+IF(PROVEEDORES[[#This Row],[SUBTOTAL]]&lt;PROVEEDORES[[#This Row],[base retencion]],0,PROVEEDORES[[#This Row],[retención aplicada]])</f>
        <v>0</v>
      </c>
      <c r="Q421" s="22">
        <f>+PROVEEDORES[[#This Row],[Rete Fuente %]]*(PROVEEDORES[[#This Row],[SUBTOTAL]]-PROVEEDORES[[#This Row],[descuento sobre subtotal]])</f>
        <v>0</v>
      </c>
      <c r="R42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21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63">
        <f ca="1">IF(PROVEEDORES[[#This Row],[FECHA DE PAGO]]=0,TODAY()-PROVEEDORES[[#This Row],[FECHA DE FACTURACIÓN]]-PROVEEDORES[[#This Row],[PLAZO Días]],0)</f>
        <v>0</v>
      </c>
      <c r="U421" s="104">
        <f>+VLOOKUP(PROVEEDORES[[#This Row],[PROVEEDOR]],Terceros!$A:$D,4,FALSE)</f>
        <v>0</v>
      </c>
      <c r="V421" s="105">
        <f>+YEAR(PROVEEDORES[[#This Row],[FECHA DE FACTURACIÓN]])</f>
        <v>2022</v>
      </c>
      <c r="W421" s="105">
        <f>+MATCH(PROVEEDORES[[#This Row],[año facturado]],Retenciones!$1:$1,0)</f>
        <v>5</v>
      </c>
      <c r="X421" s="106">
        <f>+VLOOKUP(PROVEEDORES[[#This Row],[ID RETENCION]],Retenciones!$A$1:$O$25,PROVEEDORES[[#This Row],[indicador de columna]],FALSE)</f>
        <v>0</v>
      </c>
      <c r="Y421" s="107">
        <f>+VLOOKUP(PROVEEDORES[[#This Row],[ID RETENCION]],Retenciones!$A$1:$O$25,2,FALSE)</f>
        <v>0</v>
      </c>
      <c r="Z421" s="116" t="b">
        <f>OR(COUNTIF(PROVEEDORES[[#This Row],[PROVEEDOR]],"*"&amp;'Palabra no opera'!$A$2&amp;"*"))</f>
        <v>0</v>
      </c>
    </row>
    <row r="422" spans="1:26" ht="22.35" customHeight="1" x14ac:dyDescent="0.3">
      <c r="A422" s="61" t="str">
        <f>+IF(PROVEEDORES[[#This Row],[FECHA DE PAGO]]=PROVEEDORES[[#This Row],[FECHA DE FACTURACIÓN]],"DE CONTADO","CRÉDITO")</f>
        <v>CRÉDITO</v>
      </c>
      <c r="B422" s="38" t="str">
        <f>+IF((PROVEEDORES[[#This Row],[FECHA DE PAGO]]-PROVEEDORES[[#This Row],[FECHA DE FACTURACIÓN]])&gt;PROVEEDORES[[#This Row],[PLAZO Días]],"PAGO VENCIDO")</f>
        <v>PAGO VENCIDO</v>
      </c>
      <c r="C422" s="20">
        <f>+VLOOKUP(PROVEEDORES[[#This Row],[PROVEEDOR]],TERCEROS_INFO[#All],2,FALSE)</f>
        <v>30</v>
      </c>
      <c r="D422" s="25">
        <f>+SUMIFS(PROVEEDORES[Total],PROVEEDORES[PROVEEDOR],PROVEEDORES[[#This Row],[PROVEEDOR]],PROVEEDORES[FECHA DE PAGO],"")</f>
        <v>0</v>
      </c>
      <c r="E422" s="25"/>
      <c r="F422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422" s="68">
        <v>44718</v>
      </c>
      <c r="H422" s="26" t="s">
        <v>47</v>
      </c>
      <c r="I422" s="68">
        <v>44655</v>
      </c>
      <c r="J422" s="35" t="s">
        <v>360</v>
      </c>
      <c r="K422" s="21">
        <v>3406</v>
      </c>
      <c r="L422" s="21"/>
      <c r="M422" s="22">
        <f>(PROVEEDORES[[#This Row],[SUBTOTAL]]-PROVEEDORES[[#This Row],[descuento sobre subtotal]])*VLOOKUP(PROVEEDORES[[#This Row],[PROVEEDOR]],TERCEROS_INFO[#All],3,FALSE)</f>
        <v>647.14</v>
      </c>
      <c r="N422" s="23"/>
      <c r="O422" s="22">
        <f>+PROVEEDORES[[#This Row],[Descuento sobre subtotal %]]*(PROVEEDORES[[#This Row],[SUBTOTAL]]-PROVEEDORES[[#This Row],[descuento sobre subtotal]])</f>
        <v>0</v>
      </c>
      <c r="P422" s="74">
        <f>+IF(PROVEEDORES[[#This Row],[SUBTOTAL]]&lt;PROVEEDORES[[#This Row],[base retencion]],0,PROVEEDORES[[#This Row],[retención aplicada]])</f>
        <v>0</v>
      </c>
      <c r="Q422" s="22">
        <f>+PROVEEDORES[[#This Row],[Rete Fuente %]]*(PROVEEDORES[[#This Row],[SUBTOTAL]]-PROVEEDORES[[#This Row],[descuento sobre subtotal]])</f>
        <v>0</v>
      </c>
      <c r="R422" s="21">
        <f>+PROVEEDORES[[#This Row],[SUBTOTAL]]+PROVEEDORES[[#This Row],[IVA 19%]]-PROVEEDORES[[#This Row],[descuento sobre subtotal]]-PROVEEDORES[[#This Row],[Descuento sobre subtotal $2]]-PROVEEDORES[[#This Row],[Rete Fuente $]]</f>
        <v>4053.14</v>
      </c>
      <c r="S42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63">
        <f ca="1">IF(PROVEEDORES[[#This Row],[FECHA DE PAGO]]=0,TODAY()-PROVEEDORES[[#This Row],[FECHA DE FACTURACIÓN]]-PROVEEDORES[[#This Row],[PLAZO Días]],0)</f>
        <v>0</v>
      </c>
      <c r="U422" s="87" t="str">
        <f>+VLOOKUP(PROVEEDORES[[#This Row],[PROVEEDOR]],Terceros!$A:$D,4,FALSE)</f>
        <v>2,5% con base</v>
      </c>
      <c r="V422" s="88">
        <f>+YEAR(PROVEEDORES[[#This Row],[FECHA DE FACTURACIÓN]])</f>
        <v>2022</v>
      </c>
      <c r="W422" s="88">
        <f>+MATCH(PROVEEDORES[[#This Row],[año facturado]],Retenciones!$1:$1,0)</f>
        <v>5</v>
      </c>
      <c r="X422" s="89">
        <f>+VLOOKUP(PROVEEDORES[[#This Row],[ID RETENCION]],Retenciones!$A$1:$O$25,PROVEEDORES[[#This Row],[indicador de columna]],FALSE)</f>
        <v>1026000</v>
      </c>
      <c r="Y422" s="90">
        <f>+VLOOKUP(PROVEEDORES[[#This Row],[ID RETENCION]],Retenciones!$A$1:$O$25,2,FALSE)</f>
        <v>2.5000000000000001E-2</v>
      </c>
      <c r="Z422" s="116" t="b">
        <f>OR(COUNTIF(PROVEEDORES[[#This Row],[PROVEEDOR]],"*"&amp;'Palabra no opera'!$A$2&amp;"*"))</f>
        <v>0</v>
      </c>
    </row>
    <row r="423" spans="1:26" ht="22.35" customHeight="1" x14ac:dyDescent="0.3">
      <c r="A423" s="114" t="str">
        <f>+IF(PROVEEDORES[[#This Row],[FECHA DE PAGO]]=PROVEEDORES[[#This Row],[FECHA DE FACTURACIÓN]],"DE CONTADO","CRÉDITO")</f>
        <v>CRÉDITO</v>
      </c>
      <c r="B423" s="38" t="str">
        <f>+IF((PROVEEDORES[[#This Row],[FECHA DE PAGO]]-PROVEEDORES[[#This Row],[FECHA DE FACTURACIÓN]])&gt;PROVEEDORES[[#This Row],[PLAZO Días]],"PAGO VENCIDO")</f>
        <v>PAGO VENCIDO</v>
      </c>
      <c r="C423" s="20">
        <f>+VLOOKUP(PROVEEDORES[[#This Row],[PROVEEDOR]],TERCEROS_INFO[#All],2,FALSE)</f>
        <v>30</v>
      </c>
      <c r="D423" s="25">
        <f>+SUMIFS(PROVEEDORES[Total],PROVEEDORES[PROVEEDOR],PROVEEDORES[[#This Row],[PROVEEDOR]],PROVEEDORES[FECHA DE PAGO],"")</f>
        <v>0</v>
      </c>
      <c r="E423" s="25"/>
      <c r="F423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423" s="68">
        <v>44718</v>
      </c>
      <c r="H423" s="26" t="s">
        <v>47</v>
      </c>
      <c r="I423" s="68">
        <v>44676</v>
      </c>
      <c r="J423" s="35" t="s">
        <v>610</v>
      </c>
      <c r="K423" s="21">
        <v>523580</v>
      </c>
      <c r="L423" s="21"/>
      <c r="M423" s="22">
        <f>(PROVEEDORES[[#This Row],[SUBTOTAL]]-PROVEEDORES[[#This Row],[descuento sobre subtotal]])*VLOOKUP(PROVEEDORES[[#This Row],[PROVEEDOR]],TERCEROS_INFO[#All],3,FALSE)</f>
        <v>99480.2</v>
      </c>
      <c r="N423" s="23"/>
      <c r="O423" s="22">
        <f>+PROVEEDORES[[#This Row],[Descuento sobre subtotal %]]*(PROVEEDORES[[#This Row],[SUBTOTAL]]-PROVEEDORES[[#This Row],[descuento sobre subtotal]])</f>
        <v>0</v>
      </c>
      <c r="P423" s="74">
        <f>+IF(PROVEEDORES[[#This Row],[SUBTOTAL]]&lt;PROVEEDORES[[#This Row],[base retencion]],0,PROVEEDORES[[#This Row],[retención aplicada]])</f>
        <v>0</v>
      </c>
      <c r="Q423" s="22">
        <f>+PROVEEDORES[[#This Row],[Rete Fuente %]]*(PROVEEDORES[[#This Row],[SUBTOTAL]]-PROVEEDORES[[#This Row],[descuento sobre subtotal]])</f>
        <v>0</v>
      </c>
      <c r="R423" s="21">
        <f>+PROVEEDORES[[#This Row],[SUBTOTAL]]+PROVEEDORES[[#This Row],[IVA 19%]]-PROVEEDORES[[#This Row],[descuento sobre subtotal]]-PROVEEDORES[[#This Row],[Descuento sobre subtotal $2]]-PROVEEDORES[[#This Row],[Rete Fuente $]]</f>
        <v>623060.19999999995</v>
      </c>
      <c r="S423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63">
        <f ca="1">IF(PROVEEDORES[[#This Row],[FECHA DE PAGO]]=0,TODAY()-PROVEEDORES[[#This Row],[FECHA DE FACTURACIÓN]]-PROVEEDORES[[#This Row],[PLAZO Días]],0)</f>
        <v>0</v>
      </c>
      <c r="U423" s="104" t="str">
        <f>+VLOOKUP(PROVEEDORES[[#This Row],[PROVEEDOR]],Terceros!$A:$D,4,FALSE)</f>
        <v>2,5% con base</v>
      </c>
      <c r="V423" s="105">
        <f>+YEAR(PROVEEDORES[[#This Row],[FECHA DE FACTURACIÓN]])</f>
        <v>2022</v>
      </c>
      <c r="W423" s="105">
        <f>+MATCH(PROVEEDORES[[#This Row],[año facturado]],Retenciones!$1:$1,0)</f>
        <v>5</v>
      </c>
      <c r="X423" s="106">
        <f>+VLOOKUP(PROVEEDORES[[#This Row],[ID RETENCION]],Retenciones!$A$1:$O$25,PROVEEDORES[[#This Row],[indicador de columna]],FALSE)</f>
        <v>1026000</v>
      </c>
      <c r="Y423" s="107">
        <f>+VLOOKUP(PROVEEDORES[[#This Row],[ID RETENCION]],Retenciones!$A$1:$O$25,2,FALSE)</f>
        <v>2.5000000000000001E-2</v>
      </c>
      <c r="Z423" s="116" t="b">
        <f>OR(COUNTIF(PROVEEDORES[[#This Row],[PROVEEDOR]],"*"&amp;'Palabra no opera'!$A$2&amp;"*"))</f>
        <v>0</v>
      </c>
    </row>
    <row r="424" spans="1:26" ht="22.35" customHeight="1" x14ac:dyDescent="0.3">
      <c r="A424" s="129" t="str">
        <f>+IF(PROVEEDORES[[#This Row],[FECHA DE PAGO]]=PROVEEDORES[[#This Row],[FECHA DE FACTURACIÓN]],"DE CONTADO","CRÉDITO")</f>
        <v>CRÉDITO</v>
      </c>
      <c r="B424" s="38" t="b">
        <f>+IF((PROVEEDORES[[#This Row],[FECHA DE PAGO]]-PROVEEDORES[[#This Row],[FECHA DE FACTURACIÓN]])&gt;PROVEEDORES[[#This Row],[PLAZO Días]],"PAGO VENCIDO")</f>
        <v>0</v>
      </c>
      <c r="C424" s="20">
        <f>+VLOOKUP(PROVEEDORES[[#This Row],[PROVEEDOR]],TERCEROS_INFO[#All],2,FALSE)</f>
        <v>30</v>
      </c>
      <c r="D424" s="25">
        <f>+SUMIFS(PROVEEDORES[Total],PROVEEDORES[PROVEEDOR],PROVEEDORES[[#This Row],[PROVEEDOR]],PROVEEDORES[FECHA DE PAGO],"")</f>
        <v>-139600.09</v>
      </c>
      <c r="E424" s="25"/>
      <c r="F424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424" s="68">
        <v>44718</v>
      </c>
      <c r="H424" s="26" t="s">
        <v>32</v>
      </c>
      <c r="I424" s="68">
        <v>44697</v>
      </c>
      <c r="J424" s="35" t="s">
        <v>682</v>
      </c>
      <c r="K424" s="21">
        <v>149369.75</v>
      </c>
      <c r="L424" s="21"/>
      <c r="M424" s="22">
        <f>(PROVEEDORES[[#This Row],[SUBTOTAL]]-PROVEEDORES[[#This Row],[descuento sobre subtotal]])*VLOOKUP(PROVEEDORES[[#This Row],[PROVEEDOR]],TERCEROS_INFO[#All],3,FALSE)</f>
        <v>28380.252499999999</v>
      </c>
      <c r="N424" s="23"/>
      <c r="O424" s="22">
        <f>+PROVEEDORES[[#This Row],[Descuento sobre subtotal %]]*(PROVEEDORES[[#This Row],[SUBTOTAL]]-PROVEEDORES[[#This Row],[descuento sobre subtotal]])</f>
        <v>0</v>
      </c>
      <c r="P424" s="74">
        <f>+IF(PROVEEDORES[[#This Row],[SUBTOTAL]]&lt;PROVEEDORES[[#This Row],[base retencion]],0,PROVEEDORES[[#This Row],[retención aplicada]])</f>
        <v>0</v>
      </c>
      <c r="Q424" s="22">
        <f>+PROVEEDORES[[#This Row],[Rete Fuente %]]*(PROVEEDORES[[#This Row],[SUBTOTAL]]-PROVEEDORES[[#This Row],[descuento sobre subtotal]])</f>
        <v>0</v>
      </c>
      <c r="R424" s="21">
        <f>+PROVEEDORES[[#This Row],[SUBTOTAL]]+PROVEEDORES[[#This Row],[IVA 19%]]-PROVEEDORES[[#This Row],[descuento sobre subtotal]]-PROVEEDORES[[#This Row],[Descuento sobre subtotal $2]]-PROVEEDORES[[#This Row],[Rete Fuente $]]</f>
        <v>177750.0025</v>
      </c>
      <c r="S424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63">
        <f ca="1">IF(PROVEEDORES[[#This Row],[FECHA DE PAGO]]=0,TODAY()-PROVEEDORES[[#This Row],[FECHA DE FACTURACIÓN]]-PROVEEDORES[[#This Row],[PLAZO Días]],0)</f>
        <v>0</v>
      </c>
      <c r="U424" s="104" t="str">
        <f>+VLOOKUP(PROVEEDORES[[#This Row],[PROVEEDOR]],Terceros!$A:$D,4,FALSE)</f>
        <v>2,5% con base</v>
      </c>
      <c r="V424" s="105">
        <f>+YEAR(PROVEEDORES[[#This Row],[FECHA DE FACTURACIÓN]])</f>
        <v>2022</v>
      </c>
      <c r="W424" s="105">
        <f>+MATCH(PROVEEDORES[[#This Row],[año facturado]],Retenciones!$1:$1,0)</f>
        <v>5</v>
      </c>
      <c r="X424" s="106">
        <f>+VLOOKUP(PROVEEDORES[[#This Row],[ID RETENCION]],Retenciones!$A$1:$O$25,PROVEEDORES[[#This Row],[indicador de columna]],FALSE)</f>
        <v>1026000</v>
      </c>
      <c r="Y424" s="107">
        <f>+VLOOKUP(PROVEEDORES[[#This Row],[ID RETENCION]],Retenciones!$A$1:$O$25,2,FALSE)</f>
        <v>2.5000000000000001E-2</v>
      </c>
      <c r="Z424" s="116" t="b">
        <f>OR(COUNTIF(PROVEEDORES[[#This Row],[PROVEEDOR]],"*"&amp;'Palabra no opera'!$A$2&amp;"*"))</f>
        <v>0</v>
      </c>
    </row>
    <row r="425" spans="1:26" ht="22.35" customHeight="1" x14ac:dyDescent="0.3">
      <c r="A425" s="61" t="str">
        <f>+IF(PROVEEDORES[[#This Row],[FECHA DE PAGO]]=PROVEEDORES[[#This Row],[FECHA DE FACTURACIÓN]],"DE CONTADO","CRÉDITO")</f>
        <v>CRÉDITO</v>
      </c>
      <c r="B425" s="38" t="str">
        <f>+IF((PROVEEDORES[[#This Row],[FECHA DE PAGO]]-PROVEEDORES[[#This Row],[FECHA DE FACTURACIÓN]])&gt;PROVEEDORES[[#This Row],[PLAZO Días]],"PAGO VENCIDO")</f>
        <v>PAGO VENCIDO</v>
      </c>
      <c r="C425" s="20">
        <f>+VLOOKUP(PROVEEDORES[[#This Row],[PROVEEDOR]],TERCEROS_INFO[#All],2,FALSE)</f>
        <v>30</v>
      </c>
      <c r="D425" s="25">
        <f>+SUMIFS(PROVEEDORES[Total],PROVEEDORES[PROVEEDOR],PROVEEDORES[[#This Row],[PROVEEDOR]],PROVEEDORES[FECHA DE PAGO],"")</f>
        <v>-66999.998800000001</v>
      </c>
      <c r="E425" s="25"/>
      <c r="F425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425" s="68">
        <v>44718</v>
      </c>
      <c r="H425" s="26" t="s">
        <v>459</v>
      </c>
      <c r="I425" s="68">
        <v>44592</v>
      </c>
      <c r="J425" s="35" t="s">
        <v>487</v>
      </c>
      <c r="K425" s="21">
        <v>-21428.57</v>
      </c>
      <c r="L425" s="21"/>
      <c r="M425" s="22">
        <f>(PROVEEDORES[[#This Row],[SUBTOTAL]]-PROVEEDORES[[#This Row],[descuento sobre subtotal]])*VLOOKUP(PROVEEDORES[[#This Row],[PROVEEDOR]],TERCEROS_INFO[#All],3,FALSE)</f>
        <v>-4071.4283</v>
      </c>
      <c r="N425" s="23"/>
      <c r="O425" s="22">
        <f>+PROVEEDORES[[#This Row],[Descuento sobre subtotal %]]*(PROVEEDORES[[#This Row],[SUBTOTAL]]-PROVEEDORES[[#This Row],[descuento sobre subtotal]])</f>
        <v>0</v>
      </c>
      <c r="P425" s="74">
        <f>+IF(PROVEEDORES[[#This Row],[SUBTOTAL]]&lt;PROVEEDORES[[#This Row],[base retencion]],0,PROVEEDORES[[#This Row],[retención aplicada]])</f>
        <v>0</v>
      </c>
      <c r="Q425" s="22">
        <f>+PROVEEDORES[[#This Row],[Rete Fuente %]]*(PROVEEDORES[[#This Row],[SUBTOTAL]]-PROVEEDORES[[#This Row],[descuento sobre subtotal]])</f>
        <v>0</v>
      </c>
      <c r="R425" s="21">
        <f>+PROVEEDORES[[#This Row],[SUBTOTAL]]+PROVEEDORES[[#This Row],[IVA 19%]]-PROVEEDORES[[#This Row],[descuento sobre subtotal]]-PROVEEDORES[[#This Row],[Descuento sobre subtotal $2]]-PROVEEDORES[[#This Row],[Rete Fuente $]]</f>
        <v>-25499.998299999999</v>
      </c>
      <c r="S425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63">
        <f ca="1">IF(PROVEEDORES[[#This Row],[FECHA DE PAGO]]=0,TODAY()-PROVEEDORES[[#This Row],[FECHA DE FACTURACIÓN]]-PROVEEDORES[[#This Row],[PLAZO Días]],0)</f>
        <v>0</v>
      </c>
      <c r="U425" s="87" t="str">
        <f>+VLOOKUP(PROVEEDORES[[#This Row],[PROVEEDOR]],Terceros!$A:$D,4,FALSE)</f>
        <v>2,5% con base</v>
      </c>
      <c r="V425" s="88">
        <f>+YEAR(PROVEEDORES[[#This Row],[FECHA DE FACTURACIÓN]])</f>
        <v>2022</v>
      </c>
      <c r="W425" s="88">
        <f>+MATCH(PROVEEDORES[[#This Row],[año facturado]],Retenciones!$1:$1,0)</f>
        <v>5</v>
      </c>
      <c r="X425" s="89">
        <f>+VLOOKUP(PROVEEDORES[[#This Row],[ID RETENCION]],Retenciones!$A$1:$O$25,PROVEEDORES[[#This Row],[indicador de columna]],FALSE)</f>
        <v>1026000</v>
      </c>
      <c r="Y425" s="90">
        <f>+VLOOKUP(PROVEEDORES[[#This Row],[ID RETENCION]],Retenciones!$A$1:$O$25,2,FALSE)</f>
        <v>2.5000000000000001E-2</v>
      </c>
      <c r="Z425" s="116" t="b">
        <f>OR(COUNTIF(PROVEEDORES[[#This Row],[PROVEEDOR]],"*"&amp;'Palabra no opera'!$A$2&amp;"*"))</f>
        <v>0</v>
      </c>
    </row>
    <row r="426" spans="1:26" ht="22.35" customHeight="1" x14ac:dyDescent="0.3">
      <c r="A426" s="111" t="str">
        <f>+IF(PROVEEDORES[[#This Row],[FECHA DE PAGO]]=PROVEEDORES[[#This Row],[FECHA DE FACTURACIÓN]],"DE CONTADO","CRÉDITO")</f>
        <v>CRÉDITO</v>
      </c>
      <c r="B426" s="38" t="str">
        <f>+IF((PROVEEDORES[[#This Row],[FECHA DE PAGO]]-PROVEEDORES[[#This Row],[FECHA DE FACTURACIÓN]])&gt;PROVEEDORES[[#This Row],[PLAZO Días]],"PAGO VENCIDO")</f>
        <v>PAGO VENCIDO</v>
      </c>
      <c r="C426" s="20">
        <f>+VLOOKUP(PROVEEDORES[[#This Row],[PROVEEDOR]],TERCEROS_INFO[#All],2,FALSE)</f>
        <v>30</v>
      </c>
      <c r="D426" s="25">
        <f>+SUMIFS(PROVEEDORES[Total],PROVEEDORES[PROVEEDOR],PROVEEDORES[[#This Row],[PROVEEDOR]],PROVEEDORES[FECHA DE PAGO],"")</f>
        <v>-66999.998800000001</v>
      </c>
      <c r="E426" s="25"/>
      <c r="F426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426" s="68">
        <v>44718</v>
      </c>
      <c r="H426" s="26" t="s">
        <v>459</v>
      </c>
      <c r="I426" s="68">
        <v>44672</v>
      </c>
      <c r="J426" s="35">
        <v>2150</v>
      </c>
      <c r="K426" s="21">
        <v>428571.42</v>
      </c>
      <c r="L426" s="21"/>
      <c r="M426" s="22">
        <f>(PROVEEDORES[[#This Row],[SUBTOTAL]]-PROVEEDORES[[#This Row],[descuento sobre subtotal]])*VLOOKUP(PROVEEDORES[[#This Row],[PROVEEDOR]],TERCEROS_INFO[#All],3,FALSE)</f>
        <v>81428.569799999997</v>
      </c>
      <c r="N426" s="23"/>
      <c r="O426" s="22">
        <f>+PROVEEDORES[[#This Row],[Descuento sobre subtotal %]]*(PROVEEDORES[[#This Row],[SUBTOTAL]]-PROVEEDORES[[#This Row],[descuento sobre subtotal]])</f>
        <v>0</v>
      </c>
      <c r="P426" s="74">
        <f>+IF(PROVEEDORES[[#This Row],[SUBTOTAL]]&lt;PROVEEDORES[[#This Row],[base retencion]],0,PROVEEDORES[[#This Row],[retención aplicada]])</f>
        <v>0</v>
      </c>
      <c r="Q426" s="22">
        <f>+PROVEEDORES[[#This Row],[Rete Fuente %]]*(PROVEEDORES[[#This Row],[SUBTOTAL]]-PROVEEDORES[[#This Row],[descuento sobre subtotal]])</f>
        <v>0</v>
      </c>
      <c r="R426" s="21">
        <f>+PROVEEDORES[[#This Row],[SUBTOTAL]]+PROVEEDORES[[#This Row],[IVA 19%]]-PROVEEDORES[[#This Row],[descuento sobre subtotal]]-PROVEEDORES[[#This Row],[Descuento sobre subtotal $2]]-PROVEEDORES[[#This Row],[Rete Fuente $]]</f>
        <v>509999.98979999998</v>
      </c>
      <c r="S426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63">
        <f ca="1">IF(PROVEEDORES[[#This Row],[FECHA DE PAGO]]=0,TODAY()-PROVEEDORES[[#This Row],[FECHA DE FACTURACIÓN]]-PROVEEDORES[[#This Row],[PLAZO Días]],0)</f>
        <v>0</v>
      </c>
      <c r="U426" s="104" t="str">
        <f>+VLOOKUP(PROVEEDORES[[#This Row],[PROVEEDOR]],Terceros!$A:$D,4,FALSE)</f>
        <v>2,5% con base</v>
      </c>
      <c r="V426" s="105">
        <f>+YEAR(PROVEEDORES[[#This Row],[FECHA DE FACTURACIÓN]])</f>
        <v>2022</v>
      </c>
      <c r="W426" s="105">
        <f>+MATCH(PROVEEDORES[[#This Row],[año facturado]],Retenciones!$1:$1,0)</f>
        <v>5</v>
      </c>
      <c r="X426" s="106">
        <f>+VLOOKUP(PROVEEDORES[[#This Row],[ID RETENCION]],Retenciones!$A$1:$O$25,PROVEEDORES[[#This Row],[indicador de columna]],FALSE)</f>
        <v>1026000</v>
      </c>
      <c r="Y426" s="107">
        <f>+VLOOKUP(PROVEEDORES[[#This Row],[ID RETENCION]],Retenciones!$A$1:$O$25,2,FALSE)</f>
        <v>2.5000000000000001E-2</v>
      </c>
      <c r="Z426" s="116" t="b">
        <f>OR(COUNTIF(PROVEEDORES[[#This Row],[PROVEEDOR]],"*"&amp;'Palabra no opera'!$A$2&amp;"*"))</f>
        <v>0</v>
      </c>
    </row>
    <row r="427" spans="1:26" ht="22.35" customHeight="1" x14ac:dyDescent="0.3">
      <c r="A427" s="61" t="str">
        <f>+IF(PROVEEDORES[[#This Row],[FECHA DE PAGO]]=PROVEEDORES[[#This Row],[FECHA DE FACTURACIÓN]],"DE CONTADO","CRÉDITO")</f>
        <v>CRÉDITO</v>
      </c>
      <c r="B427" s="38" t="str">
        <f>+IF((PROVEEDORES[[#This Row],[FECHA DE PAGO]]-PROVEEDORES[[#This Row],[FECHA DE FACTURACIÓN]])&gt;PROVEEDORES[[#This Row],[PLAZO Días]],"PAGO VENCIDO")</f>
        <v>PAGO VENCIDO</v>
      </c>
      <c r="C427" s="20">
        <f>+VLOOKUP(PROVEEDORES[[#This Row],[PROVEEDOR]],TERCEROS_INFO[#All],2,FALSE)</f>
        <v>30</v>
      </c>
      <c r="D427" s="25">
        <f>+SUMIFS(PROVEEDORES[Total],PROVEEDORES[PROVEEDOR],PROVEEDORES[[#This Row],[PROVEEDOR]],PROVEEDORES[FECHA DE PAGO],"")</f>
        <v>1034000.52</v>
      </c>
      <c r="E427" s="25"/>
      <c r="F427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27" s="68">
        <v>44718</v>
      </c>
      <c r="H427" s="26" t="s">
        <v>168</v>
      </c>
      <c r="I427" s="68">
        <v>44636</v>
      </c>
      <c r="J427" s="35">
        <v>544</v>
      </c>
      <c r="K427" s="21">
        <v>2519329</v>
      </c>
      <c r="L427" s="21"/>
      <c r="M427" s="22">
        <f>(PROVEEDORES[[#This Row],[SUBTOTAL]]-PROVEEDORES[[#This Row],[descuento sobre subtotal]])*VLOOKUP(PROVEEDORES[[#This Row],[PROVEEDOR]],TERCEROS_INFO[#All],3,FALSE)</f>
        <v>478672.51</v>
      </c>
      <c r="N427" s="23"/>
      <c r="O427" s="22">
        <f>+PROVEEDORES[[#This Row],[Descuento sobre subtotal %]]*(PROVEEDORES[[#This Row],[SUBTOTAL]]-PROVEEDORES[[#This Row],[descuento sobre subtotal]])</f>
        <v>0</v>
      </c>
      <c r="P427" s="74">
        <f>+IF(PROVEEDORES[[#This Row],[SUBTOTAL]]&lt;PROVEEDORES[[#This Row],[base retencion]],0,PROVEEDORES[[#This Row],[retención aplicada]])</f>
        <v>2.5000000000000001E-2</v>
      </c>
      <c r="Q427" s="22">
        <f>+PROVEEDORES[[#This Row],[Rete Fuente %]]*(PROVEEDORES[[#This Row],[SUBTOTAL]]-PROVEEDORES[[#This Row],[descuento sobre subtotal]])</f>
        <v>62983.225000000006</v>
      </c>
      <c r="R427" s="21">
        <f>+PROVEEDORES[[#This Row],[SUBTOTAL]]+PROVEEDORES[[#This Row],[IVA 19%]]-PROVEEDORES[[#This Row],[descuento sobre subtotal]]-PROVEEDORES[[#This Row],[Descuento sobre subtotal $2]]-PROVEEDORES[[#This Row],[Rete Fuente $]]</f>
        <v>2935018.2849999997</v>
      </c>
      <c r="S427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63">
        <f ca="1">IF(PROVEEDORES[[#This Row],[FECHA DE PAGO]]=0,TODAY()-PROVEEDORES[[#This Row],[FECHA DE FACTURACIÓN]]-PROVEEDORES[[#This Row],[PLAZO Días]],0)</f>
        <v>0</v>
      </c>
      <c r="U427" s="87" t="str">
        <f>+VLOOKUP(PROVEEDORES[[#This Row],[PROVEEDOR]],Terceros!$A:$D,4,FALSE)</f>
        <v>2,5% con base</v>
      </c>
      <c r="V427" s="88">
        <f>+YEAR(PROVEEDORES[[#This Row],[FECHA DE FACTURACIÓN]])</f>
        <v>2022</v>
      </c>
      <c r="W427" s="88">
        <f>+MATCH(PROVEEDORES[[#This Row],[año facturado]],Retenciones!$1:$1,0)</f>
        <v>5</v>
      </c>
      <c r="X427" s="89">
        <f>+VLOOKUP(PROVEEDORES[[#This Row],[ID RETENCION]],Retenciones!$A$1:$O$25,PROVEEDORES[[#This Row],[indicador de columna]],FALSE)</f>
        <v>1026000</v>
      </c>
      <c r="Y427" s="90">
        <f>+VLOOKUP(PROVEEDORES[[#This Row],[ID RETENCION]],Retenciones!$A$1:$O$25,2,FALSE)</f>
        <v>2.5000000000000001E-2</v>
      </c>
      <c r="Z427" s="116" t="b">
        <f>OR(COUNTIF(PROVEEDORES[[#This Row],[PROVEEDOR]],"*"&amp;'Palabra no opera'!$A$2&amp;"*"))</f>
        <v>0</v>
      </c>
    </row>
    <row r="428" spans="1:26" ht="22.35" customHeight="1" x14ac:dyDescent="0.3">
      <c r="A428" s="61" t="str">
        <f>+IF(PROVEEDORES[[#This Row],[FECHA DE PAGO]]=PROVEEDORES[[#This Row],[FECHA DE FACTURACIÓN]],"DE CONTADO","CRÉDITO")</f>
        <v>CRÉDITO</v>
      </c>
      <c r="B428" s="38" t="str">
        <f>+IF((PROVEEDORES[[#This Row],[FECHA DE PAGO]]-PROVEEDORES[[#This Row],[FECHA DE FACTURACIÓN]])&gt;PROVEEDORES[[#This Row],[PLAZO Días]],"PAGO VENCIDO")</f>
        <v>PAGO VENCIDO</v>
      </c>
      <c r="C428" s="20">
        <f>+VLOOKUP(PROVEEDORES[[#This Row],[PROVEEDOR]],TERCEROS_INFO[#All],2,FALSE)</f>
        <v>30</v>
      </c>
      <c r="D428" s="25">
        <f>+SUMIFS(PROVEEDORES[Total],PROVEEDORES[PROVEEDOR],PROVEEDORES[[#This Row],[PROVEEDOR]],PROVEEDORES[FECHA DE PAGO],"")</f>
        <v>1034000.52</v>
      </c>
      <c r="E428" s="25"/>
      <c r="F428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28" s="68">
        <v>44718</v>
      </c>
      <c r="H428" s="26" t="s">
        <v>168</v>
      </c>
      <c r="I428" s="68">
        <v>44648</v>
      </c>
      <c r="J428" s="35">
        <v>556</v>
      </c>
      <c r="K428" s="21">
        <v>352941</v>
      </c>
      <c r="L428" s="21"/>
      <c r="M428" s="22">
        <f>(PROVEEDORES[[#This Row],[SUBTOTAL]]-PROVEEDORES[[#This Row],[descuento sobre subtotal]])*VLOOKUP(PROVEEDORES[[#This Row],[PROVEEDOR]],TERCEROS_INFO[#All],3,FALSE)</f>
        <v>67058.789999999994</v>
      </c>
      <c r="N428" s="23"/>
      <c r="O428" s="22">
        <f>+PROVEEDORES[[#This Row],[Descuento sobre subtotal %]]*(PROVEEDORES[[#This Row],[SUBTOTAL]]-PROVEEDORES[[#This Row],[descuento sobre subtotal]])</f>
        <v>0</v>
      </c>
      <c r="P428" s="74">
        <f>+IF(PROVEEDORES[[#This Row],[SUBTOTAL]]&lt;PROVEEDORES[[#This Row],[base retencion]],0,PROVEEDORES[[#This Row],[retención aplicada]])</f>
        <v>0</v>
      </c>
      <c r="Q428" s="22">
        <f>+PROVEEDORES[[#This Row],[Rete Fuente %]]*(PROVEEDORES[[#This Row],[SUBTOTAL]]-PROVEEDORES[[#This Row],[descuento sobre subtotal]])</f>
        <v>0</v>
      </c>
      <c r="R428" s="21">
        <f>+PROVEEDORES[[#This Row],[SUBTOTAL]]+PROVEEDORES[[#This Row],[IVA 19%]]-PROVEEDORES[[#This Row],[descuento sobre subtotal]]-PROVEEDORES[[#This Row],[Descuento sobre subtotal $2]]-PROVEEDORES[[#This Row],[Rete Fuente $]]</f>
        <v>419999.79</v>
      </c>
      <c r="S428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63">
        <f ca="1">IF(PROVEEDORES[[#This Row],[FECHA DE PAGO]]=0,TODAY()-PROVEEDORES[[#This Row],[FECHA DE FACTURACIÓN]]-PROVEEDORES[[#This Row],[PLAZO Días]],0)</f>
        <v>0</v>
      </c>
      <c r="U428" s="87" t="str">
        <f>+VLOOKUP(PROVEEDORES[[#This Row],[PROVEEDOR]],Terceros!$A:$D,4,FALSE)</f>
        <v>2,5% con base</v>
      </c>
      <c r="V428" s="88">
        <f>+YEAR(PROVEEDORES[[#This Row],[FECHA DE FACTURACIÓN]])</f>
        <v>2022</v>
      </c>
      <c r="W428" s="88">
        <f>+MATCH(PROVEEDORES[[#This Row],[año facturado]],Retenciones!$1:$1,0)</f>
        <v>5</v>
      </c>
      <c r="X428" s="89">
        <f>+VLOOKUP(PROVEEDORES[[#This Row],[ID RETENCION]],Retenciones!$A$1:$O$25,PROVEEDORES[[#This Row],[indicador de columna]],FALSE)</f>
        <v>1026000</v>
      </c>
      <c r="Y428" s="90">
        <f>+VLOOKUP(PROVEEDORES[[#This Row],[ID RETENCION]],Retenciones!$A$1:$O$25,2,FALSE)</f>
        <v>2.5000000000000001E-2</v>
      </c>
      <c r="Z428" s="116" t="b">
        <f>OR(COUNTIF(PROVEEDORES[[#This Row],[PROVEEDOR]],"*"&amp;'Palabra no opera'!$A$2&amp;"*"))</f>
        <v>0</v>
      </c>
    </row>
    <row r="429" spans="1:26" ht="22.35" customHeight="1" x14ac:dyDescent="0.3">
      <c r="A429" s="61" t="str">
        <f>+IF(PROVEEDORES[[#This Row],[FECHA DE PAGO]]=PROVEEDORES[[#This Row],[FECHA DE FACTURACIÓN]],"DE CONTADO","CRÉDITO")</f>
        <v>CRÉDITO</v>
      </c>
      <c r="B429" s="38" t="str">
        <f>+IF((PROVEEDORES[[#This Row],[FECHA DE PAGO]]-PROVEEDORES[[#This Row],[FECHA DE FACTURACIÓN]])&gt;PROVEEDORES[[#This Row],[PLAZO Días]],"PAGO VENCIDO")</f>
        <v>PAGO VENCIDO</v>
      </c>
      <c r="C429" s="20">
        <f>+VLOOKUP(PROVEEDORES[[#This Row],[PROVEEDOR]],TERCEROS_INFO[#All],2,FALSE)</f>
        <v>30</v>
      </c>
      <c r="D429" s="25">
        <f>+SUMIFS(PROVEEDORES[Total],PROVEEDORES[PROVEEDOR],PROVEEDORES[[#This Row],[PROVEEDOR]],PROVEEDORES[FECHA DE PAGO],"")</f>
        <v>22881826.27</v>
      </c>
      <c r="E429" s="25"/>
      <c r="F429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429" s="68">
        <v>44718</v>
      </c>
      <c r="H429" s="26" t="s">
        <v>9</v>
      </c>
      <c r="I429" s="68">
        <v>44649</v>
      </c>
      <c r="J429" s="35" t="s">
        <v>568</v>
      </c>
      <c r="K429" s="21">
        <v>-344533</v>
      </c>
      <c r="L429" s="21"/>
      <c r="M429" s="22">
        <f>(PROVEEDORES[[#This Row],[SUBTOTAL]]-PROVEEDORES[[#This Row],[descuento sobre subtotal]])*VLOOKUP(PROVEEDORES[[#This Row],[PROVEEDOR]],TERCEROS_INFO[#All],3,FALSE)</f>
        <v>-65461.270000000004</v>
      </c>
      <c r="N429" s="23"/>
      <c r="O429" s="22">
        <f>+PROVEEDORES[[#This Row],[Descuento sobre subtotal %]]*(PROVEEDORES[[#This Row],[SUBTOTAL]]-PROVEEDORES[[#This Row],[descuento sobre subtotal]])</f>
        <v>0</v>
      </c>
      <c r="P429" s="74">
        <f>+IF(PROVEEDORES[[#This Row],[SUBTOTAL]]&lt;PROVEEDORES[[#This Row],[base retencion]],0,PROVEEDORES[[#This Row],[retención aplicada]])</f>
        <v>0</v>
      </c>
      <c r="Q429" s="22">
        <f>+PROVEEDORES[[#This Row],[Rete Fuente %]]*(PROVEEDORES[[#This Row],[SUBTOTAL]]-PROVEEDORES[[#This Row],[descuento sobre subtotal]])</f>
        <v>0</v>
      </c>
      <c r="R429" s="21">
        <v>0</v>
      </c>
      <c r="S429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63">
        <f ca="1">IF(PROVEEDORES[[#This Row],[FECHA DE PAGO]]=0,TODAY()-PROVEEDORES[[#This Row],[FECHA DE FACTURACIÓN]]-PROVEEDORES[[#This Row],[PLAZO Días]],0)</f>
        <v>0</v>
      </c>
      <c r="U429" s="87" t="str">
        <f>+VLOOKUP(PROVEEDORES[[#This Row],[PROVEEDOR]],Terceros!$A:$D,4,FALSE)</f>
        <v>2,5% con base</v>
      </c>
      <c r="V429" s="88">
        <f>+YEAR(PROVEEDORES[[#This Row],[FECHA DE FACTURACIÓN]])</f>
        <v>2022</v>
      </c>
      <c r="W429" s="88">
        <f>+MATCH(PROVEEDORES[[#This Row],[año facturado]],Retenciones!$1:$1,0)</f>
        <v>5</v>
      </c>
      <c r="X429" s="89">
        <f>+VLOOKUP(PROVEEDORES[[#This Row],[ID RETENCION]],Retenciones!$A$1:$O$25,PROVEEDORES[[#This Row],[indicador de columna]],FALSE)</f>
        <v>1026000</v>
      </c>
      <c r="Y429" s="90">
        <f>+VLOOKUP(PROVEEDORES[[#This Row],[ID RETENCION]],Retenciones!$A$1:$O$25,2,FALSE)</f>
        <v>2.5000000000000001E-2</v>
      </c>
      <c r="Z429" s="116" t="b">
        <f>OR(COUNTIF(PROVEEDORES[[#This Row],[PROVEEDOR]],"*"&amp;'Palabra no opera'!$A$2&amp;"*"))</f>
        <v>0</v>
      </c>
    </row>
    <row r="430" spans="1:26" ht="22.35" customHeight="1" x14ac:dyDescent="0.3">
      <c r="A430" s="61" t="str">
        <f>+IF(PROVEEDORES[[#This Row],[FECHA DE PAGO]]=PROVEEDORES[[#This Row],[FECHA DE FACTURACIÓN]],"DE CONTADO","CRÉDITO")</f>
        <v>CRÉDITO</v>
      </c>
      <c r="B430" s="38" t="str">
        <f>+IF((PROVEEDORES[[#This Row],[FECHA DE PAGO]]-PROVEEDORES[[#This Row],[FECHA DE FACTURACIÓN]])&gt;PROVEEDORES[[#This Row],[PLAZO Días]],"PAGO VENCIDO")</f>
        <v>PAGO VENCIDO</v>
      </c>
      <c r="C430" s="20">
        <f>+VLOOKUP(PROVEEDORES[[#This Row],[PROVEEDOR]],TERCEROS_INFO[#All],2,FALSE)</f>
        <v>30</v>
      </c>
      <c r="D430" s="25">
        <f>+SUMIFS(PROVEEDORES[Total],PROVEEDORES[PROVEEDOR],PROVEEDORES[[#This Row],[PROVEEDOR]],PROVEEDORES[FECHA DE PAGO],"")</f>
        <v>22881826.27</v>
      </c>
      <c r="E430" s="25"/>
      <c r="F43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430" s="68">
        <v>44718</v>
      </c>
      <c r="H430" s="26" t="s">
        <v>9</v>
      </c>
      <c r="I430" s="68">
        <v>44649</v>
      </c>
      <c r="J430" s="35">
        <v>75600</v>
      </c>
      <c r="K430" s="21">
        <v>19035762</v>
      </c>
      <c r="L430" s="21"/>
      <c r="M430" s="22">
        <f>(PROVEEDORES[[#This Row],[SUBTOTAL]]-PROVEEDORES[[#This Row],[descuento sobre subtotal]])*VLOOKUP(PROVEEDORES[[#This Row],[PROVEEDOR]],TERCEROS_INFO[#All],3,FALSE)</f>
        <v>3616794.7800000003</v>
      </c>
      <c r="N430" s="23"/>
      <c r="O430" s="22">
        <f>+PROVEEDORES[[#This Row],[Descuento sobre subtotal %]]*(PROVEEDORES[[#This Row],[SUBTOTAL]]-PROVEEDORES[[#This Row],[descuento sobre subtotal]])</f>
        <v>0</v>
      </c>
      <c r="P430" s="74">
        <f>+IF(PROVEEDORES[[#This Row],[SUBTOTAL]]&lt;PROVEEDORES[[#This Row],[base retencion]],0,PROVEEDORES[[#This Row],[retención aplicada]])</f>
        <v>2.5000000000000001E-2</v>
      </c>
      <c r="Q430" s="22">
        <f>+PROVEEDORES[[#This Row],[Rete Fuente %]]*(PROVEEDORES[[#This Row],[SUBTOTAL]]-PROVEEDORES[[#This Row],[descuento sobre subtotal]])</f>
        <v>475894.05000000005</v>
      </c>
      <c r="R430" s="21">
        <f>+PROVEEDORES[[#This Row],[SUBTOTAL]]+PROVEEDORES[[#This Row],[IVA 19%]]-PROVEEDORES[[#This Row],[descuento sobre subtotal]]-PROVEEDORES[[#This Row],[Descuento sobre subtotal $2]]-PROVEEDORES[[#This Row],[Rete Fuente $]]</f>
        <v>22176662.73</v>
      </c>
      <c r="S430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63">
        <f ca="1">IF(PROVEEDORES[[#This Row],[FECHA DE PAGO]]=0,TODAY()-PROVEEDORES[[#This Row],[FECHA DE FACTURACIÓN]]-PROVEEDORES[[#This Row],[PLAZO Días]],0)</f>
        <v>0</v>
      </c>
      <c r="U430" s="87" t="str">
        <f>+VLOOKUP(PROVEEDORES[[#This Row],[PROVEEDOR]],Terceros!$A:$D,4,FALSE)</f>
        <v>2,5% con base</v>
      </c>
      <c r="V430" s="88">
        <f>+YEAR(PROVEEDORES[[#This Row],[FECHA DE FACTURACIÓN]])</f>
        <v>2022</v>
      </c>
      <c r="W430" s="88">
        <f>+MATCH(PROVEEDORES[[#This Row],[año facturado]],Retenciones!$1:$1,0)</f>
        <v>5</v>
      </c>
      <c r="X430" s="89">
        <f>+VLOOKUP(PROVEEDORES[[#This Row],[ID RETENCION]],Retenciones!$A$1:$O$25,PROVEEDORES[[#This Row],[indicador de columna]],FALSE)</f>
        <v>1026000</v>
      </c>
      <c r="Y430" s="90">
        <f>+VLOOKUP(PROVEEDORES[[#This Row],[ID RETENCION]],Retenciones!$A$1:$O$25,2,FALSE)</f>
        <v>2.5000000000000001E-2</v>
      </c>
      <c r="Z430" s="116" t="b">
        <f>OR(COUNTIF(PROVEEDORES[[#This Row],[PROVEEDOR]],"*"&amp;'Palabra no opera'!$A$2&amp;"*"))</f>
        <v>0</v>
      </c>
    </row>
    <row r="431" spans="1:26" ht="22.35" customHeight="1" x14ac:dyDescent="0.3">
      <c r="A431" s="67" t="str">
        <f>+IF(PROVEEDORES[[#This Row],[FECHA DE PAGO]]=PROVEEDORES[[#This Row],[FECHA DE FACTURACIÓN]],"DE CONTADO","CRÉDITO")</f>
        <v>CRÉDITO</v>
      </c>
      <c r="B431" s="38" t="b">
        <f>+IF((PROVEEDORES[[#This Row],[FECHA DE PAGO]]-PROVEEDORES[[#This Row],[FECHA DE FACTURACIÓN]])&gt;PROVEEDORES[[#This Row],[PLAZO Días]],"PAGO VENCIDO")</f>
        <v>0</v>
      </c>
      <c r="C431" s="20">
        <f>+VLOOKUP(PROVEEDORES[[#This Row],[PROVEEDOR]],TERCEROS_INFO[#All],2,FALSE)</f>
        <v>30</v>
      </c>
      <c r="D431" s="25">
        <f>+SUMIFS(PROVEEDORES[Total],PROVEEDORES[PROVEEDOR],PROVEEDORES[[#This Row],[PROVEEDOR]],PROVEEDORES[FECHA DE PAGO],"")</f>
        <v>22881826.27</v>
      </c>
      <c r="E431" s="25"/>
      <c r="F431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431" s="68">
        <v>44718</v>
      </c>
      <c r="H431" s="26" t="s">
        <v>9</v>
      </c>
      <c r="I431" s="68">
        <v>44704</v>
      </c>
      <c r="J431" s="35" t="s">
        <v>1032</v>
      </c>
      <c r="K431" s="21">
        <v>-7000000</v>
      </c>
      <c r="L431" s="21"/>
      <c r="M431" s="22">
        <f>(PROVEEDORES[[#This Row],[SUBTOTAL]]-PROVEEDORES[[#This Row],[descuento sobre subtotal]])*VLOOKUP(PROVEEDORES[[#This Row],[PROVEEDOR]],TERCEROS_INFO[#All],3,FALSE)</f>
        <v>-1330000</v>
      </c>
      <c r="N431" s="23"/>
      <c r="O431" s="22">
        <f>+PROVEEDORES[[#This Row],[Descuento sobre subtotal %]]*(PROVEEDORES[[#This Row],[SUBTOTAL]]-PROVEEDORES[[#This Row],[descuento sobre subtotal]])</f>
        <v>0</v>
      </c>
      <c r="P431" s="74">
        <f>+IF(PROVEEDORES[[#This Row],[SUBTOTAL]]&lt;PROVEEDORES[[#This Row],[base retencion]],0,PROVEEDORES[[#This Row],[retención aplicada]])</f>
        <v>0</v>
      </c>
      <c r="Q431" s="22">
        <f>+PROVEEDORES[[#This Row],[Rete Fuente %]]*(PROVEEDORES[[#This Row],[SUBTOTAL]]-PROVEEDORES[[#This Row],[descuento sobre subtotal]])</f>
        <v>0</v>
      </c>
      <c r="R431" s="21">
        <v>0</v>
      </c>
      <c r="S4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63">
        <f ca="1">IF(PROVEEDORES[[#This Row],[FECHA DE PAGO]]=0,TODAY()-PROVEEDORES[[#This Row],[FECHA DE FACTURACIÓN]]-PROVEEDORES[[#This Row],[PLAZO Días]],0)</f>
        <v>0</v>
      </c>
      <c r="U431" s="104" t="str">
        <f>+VLOOKUP(PROVEEDORES[[#This Row],[PROVEEDOR]],Terceros!$A:$D,4,FALSE)</f>
        <v>2,5% con base</v>
      </c>
      <c r="V431" s="105">
        <f>+YEAR(PROVEEDORES[[#This Row],[FECHA DE FACTURACIÓN]])</f>
        <v>2022</v>
      </c>
      <c r="W431" s="105">
        <f>+MATCH(PROVEEDORES[[#This Row],[año facturado]],Retenciones!$1:$1,0)</f>
        <v>5</v>
      </c>
      <c r="X431" s="106">
        <f>+VLOOKUP(PROVEEDORES[[#This Row],[ID RETENCION]],Retenciones!$A$1:$O$25,PROVEEDORES[[#This Row],[indicador de columna]],FALSE)</f>
        <v>1026000</v>
      </c>
      <c r="Y431" s="107">
        <f>+VLOOKUP(PROVEEDORES[[#This Row],[ID RETENCION]],Retenciones!$A$1:$O$25,2,FALSE)</f>
        <v>2.5000000000000001E-2</v>
      </c>
      <c r="Z431" s="116" t="b">
        <f>OR(COUNTIF(PROVEEDORES[[#This Row],[PROVEEDOR]],"*"&amp;'Palabra no opera'!$A$2&amp;"*"))</f>
        <v>0</v>
      </c>
    </row>
    <row r="432" spans="1:26" ht="22.35" customHeight="1" x14ac:dyDescent="0.3">
      <c r="A432" s="67" t="str">
        <f>+IF(PROVEEDORES[[#This Row],[FECHA DE PAGO]]=PROVEEDORES[[#This Row],[FECHA DE FACTURACIÓN]],"DE CONTADO","CRÉDITO")</f>
        <v>DE CONTADO</v>
      </c>
      <c r="B432" s="38" t="b">
        <f>+IF((PROVEEDORES[[#This Row],[FECHA DE PAGO]]-PROVEEDORES[[#This Row],[FECHA DE FACTURACIÓN]])&gt;PROVEEDORES[[#This Row],[PLAZO Días]],"PAGO VENCIDO")</f>
        <v>0</v>
      </c>
      <c r="C432" s="20">
        <f>+VLOOKUP(PROVEEDORES[[#This Row],[PROVEEDOR]],TERCEROS_INFO[#All],2,FALSE)</f>
        <v>30</v>
      </c>
      <c r="D432" s="25">
        <f>+SUMIFS(PROVEEDORES[Total],PROVEEDORES[PROVEEDOR],PROVEEDORES[[#This Row],[PROVEEDOR]],PROVEEDORES[FECHA DE PAGO],"")</f>
        <v>22881826.27</v>
      </c>
      <c r="E432" s="25"/>
      <c r="F432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432" s="68">
        <v>44718</v>
      </c>
      <c r="H432" s="26" t="s">
        <v>9</v>
      </c>
      <c r="I432" s="68">
        <v>44718</v>
      </c>
      <c r="J432" s="35" t="s">
        <v>1032</v>
      </c>
      <c r="K432" s="21">
        <v>-14832130</v>
      </c>
      <c r="L432" s="21"/>
      <c r="M432" s="22">
        <f>(PROVEEDORES[[#This Row],[SUBTOTAL]]-PROVEEDORES[[#This Row],[descuento sobre subtotal]])*VLOOKUP(PROVEEDORES[[#This Row],[PROVEEDOR]],TERCEROS_INFO[#All],3,FALSE)</f>
        <v>-2818104.7</v>
      </c>
      <c r="N432" s="23"/>
      <c r="O432" s="22">
        <f>+PROVEEDORES[[#This Row],[Descuento sobre subtotal %]]*(PROVEEDORES[[#This Row],[SUBTOTAL]]-PROVEEDORES[[#This Row],[descuento sobre subtotal]])</f>
        <v>0</v>
      </c>
      <c r="P432" s="74">
        <f>+IF(PROVEEDORES[[#This Row],[SUBTOTAL]]&lt;PROVEEDORES[[#This Row],[base retencion]],0,PROVEEDORES[[#This Row],[retención aplicada]])</f>
        <v>0</v>
      </c>
      <c r="Q432" s="22">
        <f>+PROVEEDORES[[#This Row],[Rete Fuente %]]*(PROVEEDORES[[#This Row],[SUBTOTAL]]-PROVEEDORES[[#This Row],[descuento sobre subtotal]])</f>
        <v>0</v>
      </c>
      <c r="R432" s="21">
        <v>0</v>
      </c>
      <c r="S4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63">
        <f ca="1">IF(PROVEEDORES[[#This Row],[FECHA DE PAGO]]=0,TODAY()-PROVEEDORES[[#This Row],[FECHA DE FACTURACIÓN]]-PROVEEDORES[[#This Row],[PLAZO Días]],0)</f>
        <v>0</v>
      </c>
      <c r="U432" s="104" t="str">
        <f>+VLOOKUP(PROVEEDORES[[#This Row],[PROVEEDOR]],Terceros!$A:$D,4,FALSE)</f>
        <v>2,5% con base</v>
      </c>
      <c r="V432" s="105">
        <f>+YEAR(PROVEEDORES[[#This Row],[FECHA DE FACTURACIÓN]])</f>
        <v>2022</v>
      </c>
      <c r="W432" s="105">
        <f>+MATCH(PROVEEDORES[[#This Row],[año facturado]],Retenciones!$1:$1,0)</f>
        <v>5</v>
      </c>
      <c r="X432" s="106">
        <f>+VLOOKUP(PROVEEDORES[[#This Row],[ID RETENCION]],Retenciones!$A$1:$O$25,PROVEEDORES[[#This Row],[indicador de columna]],FALSE)</f>
        <v>1026000</v>
      </c>
      <c r="Y432" s="107">
        <f>+VLOOKUP(PROVEEDORES[[#This Row],[ID RETENCION]],Retenciones!$A$1:$O$25,2,FALSE)</f>
        <v>2.5000000000000001E-2</v>
      </c>
      <c r="Z432" s="116" t="b">
        <f>OR(COUNTIF(PROVEEDORES[[#This Row],[PROVEEDOR]],"*"&amp;'Palabra no opera'!$A$2&amp;"*"))</f>
        <v>0</v>
      </c>
    </row>
    <row r="433" spans="1:26" ht="22.35" customHeight="1" x14ac:dyDescent="0.3">
      <c r="A433" s="61" t="str">
        <f>+IF(PROVEEDORES[[#This Row],[FECHA DE PAGO]]=PROVEEDORES[[#This Row],[FECHA DE FACTURACIÓN]],"DE CONTADO","CRÉDITO")</f>
        <v>CRÉDITO</v>
      </c>
      <c r="B433" s="38" t="str">
        <f>+IF((PROVEEDORES[[#This Row],[FECHA DE PAGO]]-PROVEEDORES[[#This Row],[FECHA DE FACTURACIÓN]])&gt;PROVEEDORES[[#This Row],[PLAZO Días]],"PAGO VENCIDO")</f>
        <v>PAGO VENCIDO</v>
      </c>
      <c r="C433" s="20">
        <f>+VLOOKUP(PROVEEDORES[[#This Row],[PROVEEDOR]],TERCEROS_INFO[#All],2,FALSE)</f>
        <v>45</v>
      </c>
      <c r="D433" s="25">
        <f>+SUMIFS(PROVEEDORES[Total],PROVEEDORES[PROVEEDOR],PROVEEDORES[[#This Row],[PROVEEDOR]],PROVEEDORES[FECHA DE PAGO],"")</f>
        <v>8072960</v>
      </c>
      <c r="E433" s="25"/>
      <c r="F43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33" s="68">
        <v>44718</v>
      </c>
      <c r="H433" s="26" t="s">
        <v>10</v>
      </c>
      <c r="I433" s="68">
        <v>44650</v>
      </c>
      <c r="J433" s="35" t="s">
        <v>421</v>
      </c>
      <c r="K433" s="21">
        <v>322000</v>
      </c>
      <c r="L433" s="21"/>
      <c r="M433" s="22">
        <f>(PROVEEDORES[[#This Row],[SUBTOTAL]]-PROVEEDORES[[#This Row],[descuento sobre subtotal]])*VLOOKUP(PROVEEDORES[[#This Row],[PROVEEDOR]],TERCEROS_INFO[#All],3,FALSE)</f>
        <v>61180</v>
      </c>
      <c r="N433" s="23"/>
      <c r="O433" s="22">
        <f>+PROVEEDORES[[#This Row],[Descuento sobre subtotal %]]*(PROVEEDORES[[#This Row],[SUBTOTAL]]-PROVEEDORES[[#This Row],[descuento sobre subtotal]])</f>
        <v>0</v>
      </c>
      <c r="P433" s="74">
        <f>+IF(PROVEEDORES[[#This Row],[SUBTOTAL]]&lt;PROVEEDORES[[#This Row],[base retencion]],0,PROVEEDORES[[#This Row],[retención aplicada]])</f>
        <v>0</v>
      </c>
      <c r="Q433" s="22">
        <f>+PROVEEDORES[[#This Row],[Rete Fuente %]]*(PROVEEDORES[[#This Row],[SUBTOTAL]]-PROVEEDORES[[#This Row],[descuento sobre subtotal]])</f>
        <v>0</v>
      </c>
      <c r="R433" s="21">
        <f>+PROVEEDORES[[#This Row],[SUBTOTAL]]+PROVEEDORES[[#This Row],[IVA 19%]]-PROVEEDORES[[#This Row],[descuento sobre subtotal]]-PROVEEDORES[[#This Row],[Descuento sobre subtotal $2]]-PROVEEDORES[[#This Row],[Rete Fuente $]]</f>
        <v>383180</v>
      </c>
      <c r="S433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63">
        <f ca="1">IF(PROVEEDORES[[#This Row],[FECHA DE PAGO]]=0,TODAY()-PROVEEDORES[[#This Row],[FECHA DE FACTURACIÓN]]-PROVEEDORES[[#This Row],[PLAZO Días]],0)</f>
        <v>0</v>
      </c>
      <c r="U433" s="87">
        <f>+VLOOKUP(PROVEEDORES[[#This Row],[PROVEEDOR]],Terceros!$A:$D,4,FALSE)</f>
        <v>0</v>
      </c>
      <c r="V433" s="88">
        <f>+YEAR(PROVEEDORES[[#This Row],[FECHA DE FACTURACIÓN]])</f>
        <v>2022</v>
      </c>
      <c r="W433" s="88">
        <f>+MATCH(PROVEEDORES[[#This Row],[año facturado]],Retenciones!$1:$1,0)</f>
        <v>5</v>
      </c>
      <c r="X433" s="89">
        <f>+VLOOKUP(PROVEEDORES[[#This Row],[ID RETENCION]],Retenciones!$A$1:$O$25,PROVEEDORES[[#This Row],[indicador de columna]],FALSE)</f>
        <v>0</v>
      </c>
      <c r="Y433" s="90">
        <f>+VLOOKUP(PROVEEDORES[[#This Row],[ID RETENCION]],Retenciones!$A$1:$O$25,2,FALSE)</f>
        <v>0</v>
      </c>
      <c r="Z433" s="116" t="b">
        <f>OR(COUNTIF(PROVEEDORES[[#This Row],[PROVEEDOR]],"*"&amp;'Palabra no opera'!$A$2&amp;"*"))</f>
        <v>0</v>
      </c>
    </row>
    <row r="434" spans="1:26" ht="22.35" customHeight="1" x14ac:dyDescent="0.3">
      <c r="A434" s="61" t="str">
        <f>+IF(PROVEEDORES[[#This Row],[FECHA DE PAGO]]=PROVEEDORES[[#This Row],[FECHA DE FACTURACIÓN]],"DE CONTADO","CRÉDITO")</f>
        <v>CRÉDITO</v>
      </c>
      <c r="B434" s="38" t="str">
        <f>+IF((PROVEEDORES[[#This Row],[FECHA DE PAGO]]-PROVEEDORES[[#This Row],[FECHA DE FACTURACIÓN]])&gt;PROVEEDORES[[#This Row],[PLAZO Días]],"PAGO VENCIDO")</f>
        <v>PAGO VENCIDO</v>
      </c>
      <c r="C434" s="20">
        <f>+VLOOKUP(PROVEEDORES[[#This Row],[PROVEEDOR]],TERCEROS_INFO[#All],2,FALSE)</f>
        <v>45</v>
      </c>
      <c r="D434" s="25">
        <f>+SUMIFS(PROVEEDORES[Total],PROVEEDORES[PROVEEDOR],PROVEEDORES[[#This Row],[PROVEEDOR]],PROVEEDORES[FECHA DE PAGO],"")</f>
        <v>8072960</v>
      </c>
      <c r="E434" s="25"/>
      <c r="F43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34" s="68">
        <v>44718</v>
      </c>
      <c r="H434" s="26" t="s">
        <v>10</v>
      </c>
      <c r="I434" s="68">
        <v>44657</v>
      </c>
      <c r="J434" s="35" t="s">
        <v>570</v>
      </c>
      <c r="K434" s="21">
        <v>516000</v>
      </c>
      <c r="L434" s="21"/>
      <c r="M434" s="22">
        <f>(PROVEEDORES[[#This Row],[SUBTOTAL]]-PROVEEDORES[[#This Row],[descuento sobre subtotal]])*VLOOKUP(PROVEEDORES[[#This Row],[PROVEEDOR]],TERCEROS_INFO[#All],3,FALSE)</f>
        <v>98040</v>
      </c>
      <c r="N434" s="23"/>
      <c r="O434" s="22">
        <f>+PROVEEDORES[[#This Row],[Descuento sobre subtotal %]]*(PROVEEDORES[[#This Row],[SUBTOTAL]]-PROVEEDORES[[#This Row],[descuento sobre subtotal]])</f>
        <v>0</v>
      </c>
      <c r="P434" s="74">
        <f>+IF(PROVEEDORES[[#This Row],[SUBTOTAL]]&lt;PROVEEDORES[[#This Row],[base retencion]],0,PROVEEDORES[[#This Row],[retención aplicada]])</f>
        <v>0</v>
      </c>
      <c r="Q434" s="22">
        <f>+PROVEEDORES[[#This Row],[Rete Fuente %]]*(PROVEEDORES[[#This Row],[SUBTOTAL]]-PROVEEDORES[[#This Row],[descuento sobre subtotal]])</f>
        <v>0</v>
      </c>
      <c r="R434" s="21">
        <f>+PROVEEDORES[[#This Row],[SUBTOTAL]]+PROVEEDORES[[#This Row],[IVA 19%]]-PROVEEDORES[[#This Row],[descuento sobre subtotal]]-PROVEEDORES[[#This Row],[Descuento sobre subtotal $2]]-PROVEEDORES[[#This Row],[Rete Fuente $]]</f>
        <v>614040</v>
      </c>
      <c r="S434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63">
        <f ca="1">IF(PROVEEDORES[[#This Row],[FECHA DE PAGO]]=0,TODAY()-PROVEEDORES[[#This Row],[FECHA DE FACTURACIÓN]]-PROVEEDORES[[#This Row],[PLAZO Días]],0)</f>
        <v>0</v>
      </c>
      <c r="U434" s="87">
        <f>+VLOOKUP(PROVEEDORES[[#This Row],[PROVEEDOR]],Terceros!$A:$D,4,FALSE)</f>
        <v>0</v>
      </c>
      <c r="V434" s="88">
        <f>+YEAR(PROVEEDORES[[#This Row],[FECHA DE FACTURACIÓN]])</f>
        <v>2022</v>
      </c>
      <c r="W434" s="88">
        <f>+MATCH(PROVEEDORES[[#This Row],[año facturado]],Retenciones!$1:$1,0)</f>
        <v>5</v>
      </c>
      <c r="X434" s="89">
        <f>+VLOOKUP(PROVEEDORES[[#This Row],[ID RETENCION]],Retenciones!$A$1:$O$25,PROVEEDORES[[#This Row],[indicador de columna]],FALSE)</f>
        <v>0</v>
      </c>
      <c r="Y434" s="90">
        <f>+VLOOKUP(PROVEEDORES[[#This Row],[ID RETENCION]],Retenciones!$A$1:$O$25,2,FALSE)</f>
        <v>0</v>
      </c>
      <c r="Z434" s="116" t="b">
        <f>OR(COUNTIF(PROVEEDORES[[#This Row],[PROVEEDOR]],"*"&amp;'Palabra no opera'!$A$2&amp;"*"))</f>
        <v>0</v>
      </c>
    </row>
    <row r="435" spans="1:26" ht="22.35" customHeight="1" x14ac:dyDescent="0.3">
      <c r="A435" s="122" t="str">
        <f>+IF(PROVEEDORES[[#This Row],[FECHA DE PAGO]]=PROVEEDORES[[#This Row],[FECHA DE FACTURACIÓN]],"DE CONTADO","CRÉDITO")</f>
        <v>CRÉDITO</v>
      </c>
      <c r="B435" s="38" t="str">
        <f>+IF((PROVEEDORES[[#This Row],[FECHA DE PAGO]]-PROVEEDORES[[#This Row],[FECHA DE FACTURACIÓN]])&gt;PROVEEDORES[[#This Row],[PLAZO Días]],"PAGO VENCIDO")</f>
        <v>PAGO VENCIDO</v>
      </c>
      <c r="C435" s="20">
        <f>+VLOOKUP(PROVEEDORES[[#This Row],[PROVEEDOR]],TERCEROS_INFO[#All],2,FALSE)</f>
        <v>30</v>
      </c>
      <c r="D435" s="25">
        <f>+SUMIFS(PROVEEDORES[Total],PROVEEDORES[PROVEEDOR],PROVEEDORES[[#This Row],[PROVEEDOR]],PROVEEDORES[FECHA DE PAGO],"")</f>
        <v>18444236.894999996</v>
      </c>
      <c r="E435" s="25"/>
      <c r="F435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35" s="68">
        <v>44718</v>
      </c>
      <c r="H435" s="26" t="s">
        <v>11</v>
      </c>
      <c r="I435" s="68">
        <v>44683</v>
      </c>
      <c r="J435" s="35" t="s">
        <v>656</v>
      </c>
      <c r="K435" s="21">
        <v>1320000</v>
      </c>
      <c r="L435" s="21"/>
      <c r="M435" s="22">
        <f>(PROVEEDORES[[#This Row],[SUBTOTAL]]-PROVEEDORES[[#This Row],[descuento sobre subtotal]])*VLOOKUP(PROVEEDORES[[#This Row],[PROVEEDOR]],TERCEROS_INFO[#All],3,FALSE)</f>
        <v>250800</v>
      </c>
      <c r="N435" s="23"/>
      <c r="O435" s="22">
        <f>+PROVEEDORES[[#This Row],[Descuento sobre subtotal %]]*(PROVEEDORES[[#This Row],[SUBTOTAL]]-PROVEEDORES[[#This Row],[descuento sobre subtotal]])</f>
        <v>0</v>
      </c>
      <c r="P435" s="74">
        <f>+IF(PROVEEDORES[[#This Row],[SUBTOTAL]]&lt;PROVEEDORES[[#This Row],[base retencion]],0,PROVEEDORES[[#This Row],[retención aplicada]])</f>
        <v>2.5000000000000001E-2</v>
      </c>
      <c r="Q435" s="22">
        <f>+PROVEEDORES[[#This Row],[Rete Fuente %]]*(PROVEEDORES[[#This Row],[SUBTOTAL]]-PROVEEDORES[[#This Row],[descuento sobre subtotal]])</f>
        <v>33000</v>
      </c>
      <c r="R435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435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63">
        <f ca="1">IF(PROVEEDORES[[#This Row],[FECHA DE PAGO]]=0,TODAY()-PROVEEDORES[[#This Row],[FECHA DE FACTURACIÓN]]-PROVEEDORES[[#This Row],[PLAZO Días]],0)</f>
        <v>0</v>
      </c>
      <c r="U435" s="104" t="str">
        <f>+VLOOKUP(PROVEEDORES[[#This Row],[PROVEEDOR]],Terceros!$A:$D,4,FALSE)</f>
        <v>2,5% con base</v>
      </c>
      <c r="V435" s="105">
        <f>+YEAR(PROVEEDORES[[#This Row],[FECHA DE FACTURACIÓN]])</f>
        <v>2022</v>
      </c>
      <c r="W435" s="105">
        <f>+MATCH(PROVEEDORES[[#This Row],[año facturado]],Retenciones!$1:$1,0)</f>
        <v>5</v>
      </c>
      <c r="X435" s="106">
        <f>+VLOOKUP(PROVEEDORES[[#This Row],[ID RETENCION]],Retenciones!$A$1:$O$25,PROVEEDORES[[#This Row],[indicador de columna]],FALSE)</f>
        <v>1026000</v>
      </c>
      <c r="Y435" s="107">
        <f>+VLOOKUP(PROVEEDORES[[#This Row],[ID RETENCION]],Retenciones!$A$1:$O$25,2,FALSE)</f>
        <v>2.5000000000000001E-2</v>
      </c>
      <c r="Z435" s="116" t="b">
        <f>OR(COUNTIF(PROVEEDORES[[#This Row],[PROVEEDOR]],"*"&amp;'Palabra no opera'!$A$2&amp;"*"))</f>
        <v>0</v>
      </c>
    </row>
    <row r="436" spans="1:26" ht="22.35" customHeight="1" x14ac:dyDescent="0.3">
      <c r="A436" s="146" t="str">
        <f>+IF(PROVEEDORES[[#This Row],[FECHA DE PAGO]]=PROVEEDORES[[#This Row],[FECHA DE FACTURACIÓN]],"DE CONTADO","CRÉDITO")</f>
        <v>DE CONTADO</v>
      </c>
      <c r="B436" s="38" t="b">
        <f>+IF((PROVEEDORES[[#This Row],[FECHA DE PAGO]]-PROVEEDORES[[#This Row],[FECHA DE FACTURACIÓN]])&gt;PROVEEDORES[[#This Row],[PLAZO Días]],"PAGO VENCIDO")</f>
        <v>0</v>
      </c>
      <c r="C436" s="20">
        <f>+VLOOKUP(PROVEEDORES[[#This Row],[PROVEEDOR]],TERCEROS_INFO[#All],2,FALSE)</f>
        <v>30</v>
      </c>
      <c r="D436" s="25">
        <f>+SUMIFS(PROVEEDORES[Total],PROVEEDORES[PROVEEDOR],PROVEEDORES[[#This Row],[PROVEEDOR]],PROVEEDORES[FECHA DE PAGO],"")</f>
        <v>0</v>
      </c>
      <c r="E436" s="25"/>
      <c r="F436" s="56">
        <f>+VLOOKUP(PROVEEDORES[[#This Row],[PROVEEDOR]],
                       Terceros!$A:$F,
                       5,
                       FALSE)</f>
        <v>0</v>
      </c>
      <c r="G436" s="68">
        <v>44720</v>
      </c>
      <c r="H436" s="26" t="s">
        <v>413</v>
      </c>
      <c r="I436" s="68">
        <v>44720</v>
      </c>
      <c r="J436" s="35" t="s">
        <v>775</v>
      </c>
      <c r="K436" s="21">
        <v>968000</v>
      </c>
      <c r="L436" s="21"/>
      <c r="M436" s="22">
        <f>(PROVEEDORES[[#This Row],[SUBTOTAL]]-PROVEEDORES[[#This Row],[descuento sobre subtotal]])*VLOOKUP(PROVEEDORES[[#This Row],[PROVEEDOR]],TERCEROS_INFO[#All],3,FALSE)</f>
        <v>0</v>
      </c>
      <c r="N436" s="23"/>
      <c r="O436" s="22">
        <f>+PROVEEDORES[[#This Row],[Descuento sobre subtotal %]]*(PROVEEDORES[[#This Row],[SUBTOTAL]]-PROVEEDORES[[#This Row],[descuento sobre subtotal]])</f>
        <v>0</v>
      </c>
      <c r="P436" s="74">
        <f>+IF(PROVEEDORES[[#This Row],[SUBTOTAL]]&lt;PROVEEDORES[[#This Row],[base retencion]],0,PROVEEDORES[[#This Row],[retención aplicada]])</f>
        <v>0</v>
      </c>
      <c r="Q436" s="22">
        <f>+PROVEEDORES[[#This Row],[Rete Fuente %]]*(PROVEEDORES[[#This Row],[SUBTOTAL]]-PROVEEDORES[[#This Row],[descuento sobre subtotal]])</f>
        <v>0</v>
      </c>
      <c r="R436" s="21">
        <f>+PROVEEDORES[[#This Row],[SUBTOTAL]]+PROVEEDORES[[#This Row],[IVA 19%]]-PROVEEDORES[[#This Row],[descuento sobre subtotal]]-PROVEEDORES[[#This Row],[Descuento sobre subtotal $2]]-PROVEEDORES[[#This Row],[Rete Fuente $]]</f>
        <v>968000</v>
      </c>
      <c r="S436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63">
        <f ca="1">IF(PROVEEDORES[[#This Row],[FECHA DE PAGO]]=0,TODAY()-PROVEEDORES[[#This Row],[FECHA DE FACTURACIÓN]]-PROVEEDORES[[#This Row],[PLAZO Días]],0)</f>
        <v>0</v>
      </c>
      <c r="U436" s="104">
        <f>+VLOOKUP(PROVEEDORES[[#This Row],[PROVEEDOR]],Terceros!$A:$D,4,FALSE)</f>
        <v>0</v>
      </c>
      <c r="V436" s="105">
        <f>+YEAR(PROVEEDORES[[#This Row],[FECHA DE FACTURACIÓN]])</f>
        <v>2022</v>
      </c>
      <c r="W436" s="105">
        <f>+MATCH(PROVEEDORES[[#This Row],[año facturado]],Retenciones!$1:$1,0)</f>
        <v>5</v>
      </c>
      <c r="X436" s="106">
        <f>+VLOOKUP(PROVEEDORES[[#This Row],[ID RETENCION]],Retenciones!$A$1:$O$25,PROVEEDORES[[#This Row],[indicador de columna]],FALSE)</f>
        <v>0</v>
      </c>
      <c r="Y436" s="107">
        <f>+VLOOKUP(PROVEEDORES[[#This Row],[ID RETENCION]],Retenciones!$A$1:$O$25,2,FALSE)</f>
        <v>0</v>
      </c>
      <c r="Z436" s="116" t="b">
        <f>OR(COUNTIF(PROVEEDORES[[#This Row],[PROVEEDOR]],"*"&amp;'Palabra no opera'!$A$2&amp;"*"))</f>
        <v>0</v>
      </c>
    </row>
    <row r="437" spans="1:26" ht="22.35" customHeight="1" x14ac:dyDescent="0.3">
      <c r="A437" s="124" t="str">
        <f>+IF(PROVEEDORES[[#This Row],[FECHA DE PAGO]]=PROVEEDORES[[#This Row],[FECHA DE FACTURACIÓN]],"DE CONTADO","CRÉDITO")</f>
        <v>CRÉDITO</v>
      </c>
      <c r="B437" s="38" t="str">
        <f>+IF((PROVEEDORES[[#This Row],[FECHA DE PAGO]]-PROVEEDORES[[#This Row],[FECHA DE FACTURACIÓN]])&gt;PROVEEDORES[[#This Row],[PLAZO Días]],"PAGO VENCIDO")</f>
        <v>PAGO VENCIDO</v>
      </c>
      <c r="C437" s="20">
        <f>+VLOOKUP(PROVEEDORES[[#This Row],[PROVEEDOR]],TERCEROS_INFO[#All],2,FALSE)</f>
        <v>30</v>
      </c>
      <c r="D437" s="25">
        <f>+SUMIFS(PROVEEDORES[Total],PROVEEDORES[PROVEEDOR],PROVEEDORES[[#This Row],[PROVEEDOR]],PROVEEDORES[FECHA DE PAGO],"")</f>
        <v>2100000</v>
      </c>
      <c r="E437" s="25"/>
      <c r="F437" s="56" t="str">
        <f>+VLOOKUP(PROVEEDORES[[#This Row],[PROVEEDOR]],
                       Terceros!$A:$F,
                       5,
                       FALSE)</f>
        <v/>
      </c>
      <c r="G437" s="68">
        <v>44721</v>
      </c>
      <c r="H437" s="26" t="s">
        <v>349</v>
      </c>
      <c r="I437" s="68">
        <v>44690</v>
      </c>
      <c r="J437" s="35" t="s">
        <v>674</v>
      </c>
      <c r="K437" s="21">
        <v>2320000</v>
      </c>
      <c r="L437" s="21"/>
      <c r="M437" s="22">
        <f>(PROVEEDORES[[#This Row],[SUBTOTAL]]-PROVEEDORES[[#This Row],[descuento sobre subtotal]])*VLOOKUP(PROVEEDORES[[#This Row],[PROVEEDOR]],TERCEROS_INFO[#All],3,FALSE)</f>
        <v>0</v>
      </c>
      <c r="N437" s="23"/>
      <c r="O437" s="22">
        <f>+PROVEEDORES[[#This Row],[Descuento sobre subtotal %]]*(PROVEEDORES[[#This Row],[SUBTOTAL]]-PROVEEDORES[[#This Row],[descuento sobre subtotal]])</f>
        <v>0</v>
      </c>
      <c r="P437" s="74">
        <f>+IF(PROVEEDORES[[#This Row],[SUBTOTAL]]&lt;PROVEEDORES[[#This Row],[base retencion]],0,PROVEEDORES[[#This Row],[retención aplicada]])</f>
        <v>0</v>
      </c>
      <c r="Q437" s="22">
        <f>+PROVEEDORES[[#This Row],[Rete Fuente %]]*(PROVEEDORES[[#This Row],[SUBTOTAL]]-PROVEEDORES[[#This Row],[descuento sobre subtotal]])</f>
        <v>0</v>
      </c>
      <c r="R437" s="21">
        <f>+PROVEEDORES[[#This Row],[SUBTOTAL]]+PROVEEDORES[[#This Row],[IVA 19%]]-PROVEEDORES[[#This Row],[descuento sobre subtotal]]-PROVEEDORES[[#This Row],[Descuento sobre subtotal $2]]-PROVEEDORES[[#This Row],[Rete Fuente $]]</f>
        <v>2320000</v>
      </c>
      <c r="S437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63">
        <f ca="1">IF(PROVEEDORES[[#This Row],[FECHA DE PAGO]]=0,TODAY()-PROVEEDORES[[#This Row],[FECHA DE FACTURACIÓN]]-PROVEEDORES[[#This Row],[PLAZO Días]],0)</f>
        <v>0</v>
      </c>
      <c r="U437" s="104">
        <f>+VLOOKUP(PROVEEDORES[[#This Row],[PROVEEDOR]],Terceros!$A:$D,4,FALSE)</f>
        <v>0</v>
      </c>
      <c r="V437" s="105">
        <f>+YEAR(PROVEEDORES[[#This Row],[FECHA DE FACTURACIÓN]])</f>
        <v>2022</v>
      </c>
      <c r="W437" s="105">
        <f>+MATCH(PROVEEDORES[[#This Row],[año facturado]],Retenciones!$1:$1,0)</f>
        <v>5</v>
      </c>
      <c r="X437" s="106">
        <f>+VLOOKUP(PROVEEDORES[[#This Row],[ID RETENCION]],Retenciones!$A$1:$O$25,PROVEEDORES[[#This Row],[indicador de columna]],FALSE)</f>
        <v>0</v>
      </c>
      <c r="Y437" s="107">
        <f>+VLOOKUP(PROVEEDORES[[#This Row],[ID RETENCION]],Retenciones!$A$1:$O$25,2,FALSE)</f>
        <v>0</v>
      </c>
      <c r="Z437" s="116" t="b">
        <f>OR(COUNTIF(PROVEEDORES[[#This Row],[PROVEEDOR]],"*"&amp;'Palabra no opera'!$A$2&amp;"*"))</f>
        <v>0</v>
      </c>
    </row>
    <row r="438" spans="1:26" ht="22.35" customHeight="1" x14ac:dyDescent="0.3">
      <c r="A438" s="146" t="str">
        <f>+IF(PROVEEDORES[[#This Row],[FECHA DE PAGO]]=PROVEEDORES[[#This Row],[FECHA DE FACTURACIÓN]],"DE CONTADO","CRÉDITO")</f>
        <v>DE CONTADO</v>
      </c>
      <c r="B438" s="38" t="b">
        <f>+IF((PROVEEDORES[[#This Row],[FECHA DE PAGO]]-PROVEEDORES[[#This Row],[FECHA DE FACTURACIÓN]])&gt;PROVEEDORES[[#This Row],[PLAZO Días]],"PAGO VENCIDO")</f>
        <v>0</v>
      </c>
      <c r="C438" s="20">
        <f>+VLOOKUP(PROVEEDORES[[#This Row],[PROVEEDOR]],TERCEROS_INFO[#All],2,FALSE)</f>
        <v>30</v>
      </c>
      <c r="D438" s="25">
        <f>+SUMIFS(PROVEEDORES[Total],PROVEEDORES[PROVEEDOR],PROVEEDORES[[#This Row],[PROVEEDOR]],PROVEEDORES[FECHA DE PAGO],"")</f>
        <v>0</v>
      </c>
      <c r="E438" s="25"/>
      <c r="F438" s="56" t="str">
        <f>+VLOOKUP(PROVEEDORES[[#This Row],[PROVEEDOR]],
                       Terceros!$A:$F,
                       5,
                       FALSE)</f>
        <v/>
      </c>
      <c r="G438" s="68">
        <v>44722</v>
      </c>
      <c r="H438" s="26" t="s">
        <v>390</v>
      </c>
      <c r="I438" s="68">
        <v>44722</v>
      </c>
      <c r="J438" s="35"/>
      <c r="K438" s="21">
        <v>782000</v>
      </c>
      <c r="L438" s="21"/>
      <c r="M438" s="22">
        <f>(PROVEEDORES[[#This Row],[SUBTOTAL]]-PROVEEDORES[[#This Row],[descuento sobre subtotal]])*VLOOKUP(PROVEEDORES[[#This Row],[PROVEEDOR]],TERCEROS_INFO[#All],3,FALSE)</f>
        <v>0</v>
      </c>
      <c r="N438" s="23"/>
      <c r="O438" s="22">
        <f>+PROVEEDORES[[#This Row],[Descuento sobre subtotal %]]*(PROVEEDORES[[#This Row],[SUBTOTAL]]-PROVEEDORES[[#This Row],[descuento sobre subtotal]])</f>
        <v>0</v>
      </c>
      <c r="P438" s="74">
        <f>+IF(PROVEEDORES[[#This Row],[SUBTOTAL]]&lt;PROVEEDORES[[#This Row],[base retencion]],0,PROVEEDORES[[#This Row],[retención aplicada]])</f>
        <v>0</v>
      </c>
      <c r="Q438" s="22">
        <f>+PROVEEDORES[[#This Row],[Rete Fuente %]]*(PROVEEDORES[[#This Row],[SUBTOTAL]]-PROVEEDORES[[#This Row],[descuento sobre subtotal]])</f>
        <v>0</v>
      </c>
      <c r="R438" s="21">
        <f>+PROVEEDORES[[#This Row],[SUBTOTAL]]+PROVEEDORES[[#This Row],[IVA 19%]]-PROVEEDORES[[#This Row],[descuento sobre subtotal]]-PROVEEDORES[[#This Row],[Descuento sobre subtotal $2]]-PROVEEDORES[[#This Row],[Rete Fuente $]]</f>
        <v>782000</v>
      </c>
      <c r="S438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63">
        <f ca="1">IF(PROVEEDORES[[#This Row],[FECHA DE PAGO]]=0,TODAY()-PROVEEDORES[[#This Row],[FECHA DE FACTURACIÓN]]-PROVEEDORES[[#This Row],[PLAZO Días]],0)</f>
        <v>0</v>
      </c>
      <c r="U438" s="104">
        <f>+VLOOKUP(PROVEEDORES[[#This Row],[PROVEEDOR]],Terceros!$A:$D,4,FALSE)</f>
        <v>0</v>
      </c>
      <c r="V438" s="105">
        <f>+YEAR(PROVEEDORES[[#This Row],[FECHA DE FACTURACIÓN]])</f>
        <v>2022</v>
      </c>
      <c r="W438" s="105">
        <f>+MATCH(PROVEEDORES[[#This Row],[año facturado]],Retenciones!$1:$1,0)</f>
        <v>5</v>
      </c>
      <c r="X438" s="106">
        <f>+VLOOKUP(PROVEEDORES[[#This Row],[ID RETENCION]],Retenciones!$A$1:$O$25,PROVEEDORES[[#This Row],[indicador de columna]],FALSE)</f>
        <v>0</v>
      </c>
      <c r="Y438" s="107">
        <f>+VLOOKUP(PROVEEDORES[[#This Row],[ID RETENCION]],Retenciones!$A$1:$O$25,2,FALSE)</f>
        <v>0</v>
      </c>
      <c r="Z438" s="116" t="b">
        <f>OR(COUNTIF(PROVEEDORES[[#This Row],[PROVEEDOR]],"*"&amp;'Palabra no opera'!$A$2&amp;"*"))</f>
        <v>0</v>
      </c>
    </row>
    <row r="439" spans="1:26" ht="22.35" customHeight="1" x14ac:dyDescent="0.3">
      <c r="A439" s="124" t="str">
        <f>+IF(PROVEEDORES[[#This Row],[FECHA DE PAGO]]=PROVEEDORES[[#This Row],[FECHA DE FACTURACIÓN]],"DE CONTADO","CRÉDITO")</f>
        <v>CRÉDITO</v>
      </c>
      <c r="B439" s="38" t="str">
        <f>+IF((PROVEEDORES[[#This Row],[FECHA DE PAGO]]-PROVEEDORES[[#This Row],[FECHA DE FACTURACIÓN]])&gt;PROVEEDORES[[#This Row],[PLAZO Días]],"PAGO VENCIDO")</f>
        <v>PAGO VENCIDO</v>
      </c>
      <c r="C439" s="20">
        <f>+VLOOKUP(PROVEEDORES[[#This Row],[PROVEEDOR]],TERCEROS_INFO[#All],2,FALSE)</f>
        <v>30</v>
      </c>
      <c r="D439" s="25">
        <f>+SUMIFS(PROVEEDORES[Total],PROVEEDORES[PROVEEDOR],PROVEEDORES[[#This Row],[PROVEEDOR]],PROVEEDORES[FECHA DE PAGO],"")</f>
        <v>0</v>
      </c>
      <c r="E439" s="25"/>
      <c r="F439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439" s="68">
        <v>44725</v>
      </c>
      <c r="H439" s="26" t="s">
        <v>394</v>
      </c>
      <c r="I439" s="68">
        <v>44690</v>
      </c>
      <c r="J439" s="35" t="s">
        <v>1024</v>
      </c>
      <c r="K439" s="21">
        <v>1735000</v>
      </c>
      <c r="L439" s="21"/>
      <c r="M439" s="22">
        <f>(PROVEEDORES[[#This Row],[SUBTOTAL]]-PROVEEDORES[[#This Row],[descuento sobre subtotal]])*VLOOKUP(PROVEEDORES[[#This Row],[PROVEEDOR]],TERCEROS_INFO[#All],3,FALSE)</f>
        <v>0</v>
      </c>
      <c r="N439" s="23"/>
      <c r="O439" s="22">
        <f>+PROVEEDORES[[#This Row],[Descuento sobre subtotal %]]*(PROVEEDORES[[#This Row],[SUBTOTAL]]-PROVEEDORES[[#This Row],[descuento sobre subtotal]])</f>
        <v>0</v>
      </c>
      <c r="P439" s="74">
        <f>+IF(PROVEEDORES[[#This Row],[SUBTOTAL]]&lt;PROVEEDORES[[#This Row],[base retencion]],0,PROVEEDORES[[#This Row],[retención aplicada]])</f>
        <v>0</v>
      </c>
      <c r="Q439" s="22">
        <f>+PROVEEDORES[[#This Row],[Rete Fuente %]]*(PROVEEDORES[[#This Row],[SUBTOTAL]]-PROVEEDORES[[#This Row],[descuento sobre subtotal]])</f>
        <v>0</v>
      </c>
      <c r="R439" s="21">
        <f>+PROVEEDORES[[#This Row],[SUBTOTAL]]+PROVEEDORES[[#This Row],[IVA 19%]]-PROVEEDORES[[#This Row],[descuento sobre subtotal]]-PROVEEDORES[[#This Row],[Descuento sobre subtotal $2]]-PROVEEDORES[[#This Row],[Rete Fuente $]]</f>
        <v>1735000</v>
      </c>
      <c r="S439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63">
        <f ca="1">IF(PROVEEDORES[[#This Row],[FECHA DE PAGO]]=0,TODAY()-PROVEEDORES[[#This Row],[FECHA DE FACTURACIÓN]]-PROVEEDORES[[#This Row],[PLAZO Días]],0)</f>
        <v>0</v>
      </c>
      <c r="U439" s="104">
        <f>+VLOOKUP(PROVEEDORES[[#This Row],[PROVEEDOR]],Terceros!$A:$D,4,FALSE)</f>
        <v>0</v>
      </c>
      <c r="V439" s="105">
        <f>+YEAR(PROVEEDORES[[#This Row],[FECHA DE FACTURACIÓN]])</f>
        <v>2022</v>
      </c>
      <c r="W439" s="105">
        <f>+MATCH(PROVEEDORES[[#This Row],[año facturado]],Retenciones!$1:$1,0)</f>
        <v>5</v>
      </c>
      <c r="X439" s="106">
        <f>+VLOOKUP(PROVEEDORES[[#This Row],[ID RETENCION]],Retenciones!$A$1:$O$25,PROVEEDORES[[#This Row],[indicador de columna]],FALSE)</f>
        <v>0</v>
      </c>
      <c r="Y439" s="107">
        <f>+VLOOKUP(PROVEEDORES[[#This Row],[ID RETENCION]],Retenciones!$A$1:$O$25,2,FALSE)</f>
        <v>0</v>
      </c>
      <c r="Z439" s="116" t="b">
        <f>OR(COUNTIF(PROVEEDORES[[#This Row],[PROVEEDOR]],"*"&amp;'Palabra no opera'!$A$2&amp;"*"))</f>
        <v>0</v>
      </c>
    </row>
    <row r="440" spans="1:26" ht="22.35" customHeight="1" x14ac:dyDescent="0.3">
      <c r="A440" s="114" t="str">
        <f>+IF(PROVEEDORES[[#This Row],[FECHA DE PAGO]]=PROVEEDORES[[#This Row],[FECHA DE FACTURACIÓN]],"DE CONTADO","CRÉDITO")</f>
        <v>CRÉDITO</v>
      </c>
      <c r="B440" s="38" t="str">
        <f>+IF((PROVEEDORES[[#This Row],[FECHA DE PAGO]]-PROVEEDORES[[#This Row],[FECHA DE FACTURACIÓN]])&gt;PROVEEDORES[[#This Row],[PLAZO Días]],"PAGO VENCIDO")</f>
        <v>PAGO VENCIDO</v>
      </c>
      <c r="C440" s="20">
        <f>+VLOOKUP(PROVEEDORES[[#This Row],[PROVEEDOR]],TERCEROS_INFO[#All],2,FALSE)</f>
        <v>30</v>
      </c>
      <c r="D440" s="25">
        <f>+SUMIFS(PROVEEDORES[Total],PROVEEDORES[PROVEEDOR],PROVEEDORES[[#This Row],[PROVEEDOR]],PROVEEDORES[FECHA DE PAGO],"")</f>
        <v>4282200</v>
      </c>
      <c r="E440" s="25"/>
      <c r="F440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440" s="68">
        <v>44725</v>
      </c>
      <c r="H440" s="26" t="s">
        <v>406</v>
      </c>
      <c r="I440" s="68">
        <v>44679</v>
      </c>
      <c r="J440" s="35" t="s">
        <v>956</v>
      </c>
      <c r="K440" s="21">
        <v>144400</v>
      </c>
      <c r="L440" s="21"/>
      <c r="M440" s="22">
        <f>(PROVEEDORES[[#This Row],[SUBTOTAL]]-PROVEEDORES[[#This Row],[descuento sobre subtotal]])*VLOOKUP(PROVEEDORES[[#This Row],[PROVEEDOR]],TERCEROS_INFO[#All],3,FALSE)</f>
        <v>0</v>
      </c>
      <c r="N440" s="23"/>
      <c r="O440" s="22">
        <f>+PROVEEDORES[[#This Row],[Descuento sobre subtotal %]]*(PROVEEDORES[[#This Row],[SUBTOTAL]]-PROVEEDORES[[#This Row],[descuento sobre subtotal]])</f>
        <v>0</v>
      </c>
      <c r="P440" s="74">
        <f>+IF(PROVEEDORES[[#This Row],[SUBTOTAL]]&lt;PROVEEDORES[[#This Row],[base retencion]],0,PROVEEDORES[[#This Row],[retención aplicada]])</f>
        <v>0</v>
      </c>
      <c r="Q440" s="22">
        <f>+PROVEEDORES[[#This Row],[Rete Fuente %]]*(PROVEEDORES[[#This Row],[SUBTOTAL]]-PROVEEDORES[[#This Row],[descuento sobre subtotal]])</f>
        <v>0</v>
      </c>
      <c r="R440" s="21">
        <f>+PROVEEDORES[[#This Row],[SUBTOTAL]]+PROVEEDORES[[#This Row],[IVA 19%]]-PROVEEDORES[[#This Row],[descuento sobre subtotal]]-PROVEEDORES[[#This Row],[Descuento sobre subtotal $2]]-PROVEEDORES[[#This Row],[Rete Fuente $]]</f>
        <v>144400</v>
      </c>
      <c r="S440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63">
        <f ca="1">IF(PROVEEDORES[[#This Row],[FECHA DE PAGO]]=0,TODAY()-PROVEEDORES[[#This Row],[FECHA DE FACTURACIÓN]]-PROVEEDORES[[#This Row],[PLAZO Días]],0)</f>
        <v>0</v>
      </c>
      <c r="U440" s="104">
        <f>+VLOOKUP(PROVEEDORES[[#This Row],[PROVEEDOR]],Terceros!$A:$D,4,FALSE)</f>
        <v>0</v>
      </c>
      <c r="V440" s="105">
        <f>+YEAR(PROVEEDORES[[#This Row],[FECHA DE FACTURACIÓN]])</f>
        <v>2022</v>
      </c>
      <c r="W440" s="105">
        <f>+MATCH(PROVEEDORES[[#This Row],[año facturado]],Retenciones!$1:$1,0)</f>
        <v>5</v>
      </c>
      <c r="X440" s="106">
        <f>+VLOOKUP(PROVEEDORES[[#This Row],[ID RETENCION]],Retenciones!$A$1:$O$25,PROVEEDORES[[#This Row],[indicador de columna]],FALSE)</f>
        <v>0</v>
      </c>
      <c r="Y440" s="107">
        <f>+VLOOKUP(PROVEEDORES[[#This Row],[ID RETENCION]],Retenciones!$A$1:$O$25,2,FALSE)</f>
        <v>0</v>
      </c>
      <c r="Z440" s="116" t="b">
        <f>OR(COUNTIF(PROVEEDORES[[#This Row],[PROVEEDOR]],"*"&amp;'Palabra no opera'!$A$2&amp;"*"))</f>
        <v>0</v>
      </c>
    </row>
    <row r="441" spans="1:26" ht="22.35" customHeight="1" x14ac:dyDescent="0.3">
      <c r="A441" s="114" t="str">
        <f>+IF(PROVEEDORES[[#This Row],[FECHA DE PAGO]]=PROVEEDORES[[#This Row],[FECHA DE FACTURACIÓN]],"DE CONTADO","CRÉDITO")</f>
        <v>CRÉDITO</v>
      </c>
      <c r="B441" s="38" t="str">
        <f>+IF((PROVEEDORES[[#This Row],[FECHA DE PAGO]]-PROVEEDORES[[#This Row],[FECHA DE FACTURACIÓN]])&gt;PROVEEDORES[[#This Row],[PLAZO Días]],"PAGO VENCIDO")</f>
        <v>PAGO VENCIDO</v>
      </c>
      <c r="C441" s="20">
        <f>+VLOOKUP(PROVEEDORES[[#This Row],[PROVEEDOR]],TERCEROS_INFO[#All],2,FALSE)</f>
        <v>30</v>
      </c>
      <c r="D441" s="25">
        <f>+SUMIFS(PROVEEDORES[Total],PROVEEDORES[PROVEEDOR],PROVEEDORES[[#This Row],[PROVEEDOR]],PROVEEDORES[FECHA DE PAGO],"")</f>
        <v>4282200</v>
      </c>
      <c r="E441" s="25"/>
      <c r="F441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441" s="68">
        <v>44725</v>
      </c>
      <c r="H441" s="26" t="s">
        <v>406</v>
      </c>
      <c r="I441" s="68">
        <v>44679</v>
      </c>
      <c r="J441" s="35" t="s">
        <v>957</v>
      </c>
      <c r="K441" s="21">
        <v>2905300</v>
      </c>
      <c r="L441" s="21"/>
      <c r="M441" s="22">
        <f>(PROVEEDORES[[#This Row],[SUBTOTAL]]-PROVEEDORES[[#This Row],[descuento sobre subtotal]])*VLOOKUP(PROVEEDORES[[#This Row],[PROVEEDOR]],TERCEROS_INFO[#All],3,FALSE)</f>
        <v>0</v>
      </c>
      <c r="N441" s="23"/>
      <c r="O441" s="22">
        <f>+PROVEEDORES[[#This Row],[Descuento sobre subtotal %]]*(PROVEEDORES[[#This Row],[SUBTOTAL]]-PROVEEDORES[[#This Row],[descuento sobre subtotal]])</f>
        <v>0</v>
      </c>
      <c r="P441" s="74">
        <f>+IF(PROVEEDORES[[#This Row],[SUBTOTAL]]&lt;PROVEEDORES[[#This Row],[base retencion]],0,PROVEEDORES[[#This Row],[retención aplicada]])</f>
        <v>0</v>
      </c>
      <c r="Q441" s="22">
        <f>+PROVEEDORES[[#This Row],[Rete Fuente %]]*(PROVEEDORES[[#This Row],[SUBTOTAL]]-PROVEEDORES[[#This Row],[descuento sobre subtotal]])</f>
        <v>0</v>
      </c>
      <c r="R441" s="21">
        <f>+PROVEEDORES[[#This Row],[SUBTOTAL]]+PROVEEDORES[[#This Row],[IVA 19%]]-PROVEEDORES[[#This Row],[descuento sobre subtotal]]-PROVEEDORES[[#This Row],[Descuento sobre subtotal $2]]-PROVEEDORES[[#This Row],[Rete Fuente $]]</f>
        <v>2905300</v>
      </c>
      <c r="S441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63">
        <f ca="1">IF(PROVEEDORES[[#This Row],[FECHA DE PAGO]]=0,TODAY()-PROVEEDORES[[#This Row],[FECHA DE FACTURACIÓN]]-PROVEEDORES[[#This Row],[PLAZO Días]],0)</f>
        <v>0</v>
      </c>
      <c r="U441" s="104">
        <f>+VLOOKUP(PROVEEDORES[[#This Row],[PROVEEDOR]],Terceros!$A:$D,4,FALSE)</f>
        <v>0</v>
      </c>
      <c r="V441" s="105">
        <f>+YEAR(PROVEEDORES[[#This Row],[FECHA DE FACTURACIÓN]])</f>
        <v>2022</v>
      </c>
      <c r="W441" s="105">
        <f>+MATCH(PROVEEDORES[[#This Row],[año facturado]],Retenciones!$1:$1,0)</f>
        <v>5</v>
      </c>
      <c r="X441" s="106">
        <f>+VLOOKUP(PROVEEDORES[[#This Row],[ID RETENCION]],Retenciones!$A$1:$O$25,PROVEEDORES[[#This Row],[indicador de columna]],FALSE)</f>
        <v>0</v>
      </c>
      <c r="Y441" s="107">
        <f>+VLOOKUP(PROVEEDORES[[#This Row],[ID RETENCION]],Retenciones!$A$1:$O$25,2,FALSE)</f>
        <v>0</v>
      </c>
      <c r="Z441" s="116" t="b">
        <f>OR(COUNTIF(PROVEEDORES[[#This Row],[PROVEEDOR]],"*"&amp;'Palabra no opera'!$A$2&amp;"*"))</f>
        <v>0</v>
      </c>
    </row>
    <row r="442" spans="1:26" ht="22.35" customHeight="1" x14ac:dyDescent="0.3">
      <c r="A442" s="124" t="str">
        <f>+IF(PROVEEDORES[[#This Row],[FECHA DE PAGO]]=PROVEEDORES[[#This Row],[FECHA DE FACTURACIÓN]],"DE CONTADO","CRÉDITO")</f>
        <v>CRÉDITO</v>
      </c>
      <c r="B442" s="38" t="str">
        <f>+IF((PROVEEDORES[[#This Row],[FECHA DE PAGO]]-PROVEEDORES[[#This Row],[FECHA DE FACTURACIÓN]])&gt;PROVEEDORES[[#This Row],[PLAZO Días]],"PAGO VENCIDO")</f>
        <v>PAGO VENCIDO</v>
      </c>
      <c r="C442" s="20">
        <f>+VLOOKUP(PROVEEDORES[[#This Row],[PROVEEDOR]],TERCEROS_INFO[#All],2,FALSE)</f>
        <v>30</v>
      </c>
      <c r="D442" s="25">
        <f>+SUMIFS(PROVEEDORES[Total],PROVEEDORES[PROVEEDOR],PROVEEDORES[[#This Row],[PROVEEDOR]],PROVEEDORES[FECHA DE PAGO],"")</f>
        <v>4282200</v>
      </c>
      <c r="E442" s="25"/>
      <c r="F442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442" s="68">
        <v>44725</v>
      </c>
      <c r="H442" s="26" t="s">
        <v>406</v>
      </c>
      <c r="I442" s="68">
        <v>44684</v>
      </c>
      <c r="J442" s="35" t="s">
        <v>958</v>
      </c>
      <c r="K442" s="21">
        <v>233700</v>
      </c>
      <c r="L442" s="21"/>
      <c r="M442" s="22">
        <f>(PROVEEDORES[[#This Row],[SUBTOTAL]]-PROVEEDORES[[#This Row],[descuento sobre subtotal]])*VLOOKUP(PROVEEDORES[[#This Row],[PROVEEDOR]],TERCEROS_INFO[#All],3,FALSE)</f>
        <v>0</v>
      </c>
      <c r="N442" s="23"/>
      <c r="O442" s="22">
        <f>+PROVEEDORES[[#This Row],[Descuento sobre subtotal %]]*(PROVEEDORES[[#This Row],[SUBTOTAL]]-PROVEEDORES[[#This Row],[descuento sobre subtotal]])</f>
        <v>0</v>
      </c>
      <c r="P442" s="74">
        <f>+IF(PROVEEDORES[[#This Row],[SUBTOTAL]]&lt;PROVEEDORES[[#This Row],[base retencion]],0,PROVEEDORES[[#This Row],[retención aplicada]])</f>
        <v>0</v>
      </c>
      <c r="Q442" s="22">
        <f>+PROVEEDORES[[#This Row],[Rete Fuente %]]*(PROVEEDORES[[#This Row],[SUBTOTAL]]-PROVEEDORES[[#This Row],[descuento sobre subtotal]])</f>
        <v>0</v>
      </c>
      <c r="R442" s="21">
        <f>+PROVEEDORES[[#This Row],[SUBTOTAL]]+PROVEEDORES[[#This Row],[IVA 19%]]-PROVEEDORES[[#This Row],[descuento sobre subtotal]]-PROVEEDORES[[#This Row],[Descuento sobre subtotal $2]]-PROVEEDORES[[#This Row],[Rete Fuente $]]</f>
        <v>233700</v>
      </c>
      <c r="S442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63">
        <f ca="1">IF(PROVEEDORES[[#This Row],[FECHA DE PAGO]]=0,TODAY()-PROVEEDORES[[#This Row],[FECHA DE FACTURACIÓN]]-PROVEEDORES[[#This Row],[PLAZO Días]],0)</f>
        <v>0</v>
      </c>
      <c r="U442" s="104">
        <f>+VLOOKUP(PROVEEDORES[[#This Row],[PROVEEDOR]],Terceros!$A:$D,4,FALSE)</f>
        <v>0</v>
      </c>
      <c r="V442" s="105">
        <f>+YEAR(PROVEEDORES[[#This Row],[FECHA DE FACTURACIÓN]])</f>
        <v>2022</v>
      </c>
      <c r="W442" s="105">
        <f>+MATCH(PROVEEDORES[[#This Row],[año facturado]],Retenciones!$1:$1,0)</f>
        <v>5</v>
      </c>
      <c r="X442" s="106">
        <f>+VLOOKUP(PROVEEDORES[[#This Row],[ID RETENCION]],Retenciones!$A$1:$O$25,PROVEEDORES[[#This Row],[indicador de columna]],FALSE)</f>
        <v>0</v>
      </c>
      <c r="Y442" s="107">
        <f>+VLOOKUP(PROVEEDORES[[#This Row],[ID RETENCION]],Retenciones!$A$1:$O$25,2,FALSE)</f>
        <v>0</v>
      </c>
      <c r="Z442" s="116" t="b">
        <f>OR(COUNTIF(PROVEEDORES[[#This Row],[PROVEEDOR]],"*"&amp;'Palabra no opera'!$A$2&amp;"*"))</f>
        <v>0</v>
      </c>
    </row>
    <row r="443" spans="1:26" ht="22.35" customHeight="1" x14ac:dyDescent="0.3">
      <c r="A443" s="124" t="str">
        <f>+IF(PROVEEDORES[[#This Row],[FECHA DE PAGO]]=PROVEEDORES[[#This Row],[FECHA DE FACTURACIÓN]],"DE CONTADO","CRÉDITO")</f>
        <v>CRÉDITO</v>
      </c>
      <c r="B443" s="38" t="str">
        <f>+IF((PROVEEDORES[[#This Row],[FECHA DE PAGO]]-PROVEEDORES[[#This Row],[FECHA DE FACTURACIÓN]])&gt;PROVEEDORES[[#This Row],[PLAZO Días]],"PAGO VENCIDO")</f>
        <v>PAGO VENCIDO</v>
      </c>
      <c r="C443" s="20">
        <f>+VLOOKUP(PROVEEDORES[[#This Row],[PROVEEDOR]],TERCEROS_INFO[#All],2,FALSE)</f>
        <v>30</v>
      </c>
      <c r="D443" s="25">
        <f>+SUMIFS(PROVEEDORES[Total],PROVEEDORES[PROVEEDOR],PROVEEDORES[[#This Row],[PROVEEDOR]],PROVEEDORES[FECHA DE PAGO],"")</f>
        <v>4282200</v>
      </c>
      <c r="E443" s="25"/>
      <c r="F443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443" s="68">
        <v>44725</v>
      </c>
      <c r="H443" s="26" t="s">
        <v>406</v>
      </c>
      <c r="I443" s="68">
        <v>44684</v>
      </c>
      <c r="J443" s="35" t="s">
        <v>959</v>
      </c>
      <c r="K443" s="21">
        <v>858500</v>
      </c>
      <c r="L443" s="21"/>
      <c r="M443" s="22">
        <f>(PROVEEDORES[[#This Row],[SUBTOTAL]]-PROVEEDORES[[#This Row],[descuento sobre subtotal]])*VLOOKUP(PROVEEDORES[[#This Row],[PROVEEDOR]],TERCEROS_INFO[#All],3,FALSE)</f>
        <v>0</v>
      </c>
      <c r="N443" s="23"/>
      <c r="O443" s="22">
        <f>+PROVEEDORES[[#This Row],[Descuento sobre subtotal %]]*(PROVEEDORES[[#This Row],[SUBTOTAL]]-PROVEEDORES[[#This Row],[descuento sobre subtotal]])</f>
        <v>0</v>
      </c>
      <c r="P443" s="74">
        <f>+IF(PROVEEDORES[[#This Row],[SUBTOTAL]]&lt;PROVEEDORES[[#This Row],[base retencion]],0,PROVEEDORES[[#This Row],[retención aplicada]])</f>
        <v>0</v>
      </c>
      <c r="Q443" s="22">
        <f>+PROVEEDORES[[#This Row],[Rete Fuente %]]*(PROVEEDORES[[#This Row],[SUBTOTAL]]-PROVEEDORES[[#This Row],[descuento sobre subtotal]])</f>
        <v>0</v>
      </c>
      <c r="R443" s="21">
        <f>+PROVEEDORES[[#This Row],[SUBTOTAL]]+PROVEEDORES[[#This Row],[IVA 19%]]-PROVEEDORES[[#This Row],[descuento sobre subtotal]]-PROVEEDORES[[#This Row],[Descuento sobre subtotal $2]]-PROVEEDORES[[#This Row],[Rete Fuente $]]</f>
        <v>858500</v>
      </c>
      <c r="S443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63">
        <f ca="1">IF(PROVEEDORES[[#This Row],[FECHA DE PAGO]]=0,TODAY()-PROVEEDORES[[#This Row],[FECHA DE FACTURACIÓN]]-PROVEEDORES[[#This Row],[PLAZO Días]],0)</f>
        <v>0</v>
      </c>
      <c r="U443" s="104">
        <f>+VLOOKUP(PROVEEDORES[[#This Row],[PROVEEDOR]],Terceros!$A:$D,4,FALSE)</f>
        <v>0</v>
      </c>
      <c r="V443" s="105">
        <f>+YEAR(PROVEEDORES[[#This Row],[FECHA DE FACTURACIÓN]])</f>
        <v>2022</v>
      </c>
      <c r="W443" s="105">
        <f>+MATCH(PROVEEDORES[[#This Row],[año facturado]],Retenciones!$1:$1,0)</f>
        <v>5</v>
      </c>
      <c r="X443" s="106">
        <f>+VLOOKUP(PROVEEDORES[[#This Row],[ID RETENCION]],Retenciones!$A$1:$O$25,PROVEEDORES[[#This Row],[indicador de columna]],FALSE)</f>
        <v>0</v>
      </c>
      <c r="Y443" s="107">
        <f>+VLOOKUP(PROVEEDORES[[#This Row],[ID RETENCION]],Retenciones!$A$1:$O$25,2,FALSE)</f>
        <v>0</v>
      </c>
      <c r="Z443" s="116" t="b">
        <f>OR(COUNTIF(PROVEEDORES[[#This Row],[PROVEEDOR]],"*"&amp;'Palabra no opera'!$A$2&amp;"*"))</f>
        <v>0</v>
      </c>
    </row>
    <row r="444" spans="1:26" ht="22.35" customHeight="1" x14ac:dyDescent="0.3">
      <c r="A444" s="124" t="str">
        <f>+IF(PROVEEDORES[[#This Row],[FECHA DE PAGO]]=PROVEEDORES[[#This Row],[FECHA DE FACTURACIÓN]],"DE CONTADO","CRÉDITO")</f>
        <v>CRÉDITO</v>
      </c>
      <c r="B444" s="38" t="str">
        <f>+IF((PROVEEDORES[[#This Row],[FECHA DE PAGO]]-PROVEEDORES[[#This Row],[FECHA DE FACTURACIÓN]])&gt;PROVEEDORES[[#This Row],[PLAZO Días]],"PAGO VENCIDO")</f>
        <v>PAGO VENCIDO</v>
      </c>
      <c r="C444" s="20">
        <f>+VLOOKUP(PROVEEDORES[[#This Row],[PROVEEDOR]],TERCEROS_INFO[#All],2,FALSE)</f>
        <v>30</v>
      </c>
      <c r="D444" s="25">
        <f>+SUMIFS(PROVEEDORES[Total],PROVEEDORES[PROVEEDOR],PROVEEDORES[[#This Row],[PROVEEDOR]],PROVEEDORES[FECHA DE PAGO],"")</f>
        <v>17870934.149999999</v>
      </c>
      <c r="E444" s="25"/>
      <c r="F44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44" s="68">
        <v>44725</v>
      </c>
      <c r="H444" s="26" t="s">
        <v>18</v>
      </c>
      <c r="I444" s="68">
        <v>44685</v>
      </c>
      <c r="J444" s="35">
        <v>1053105</v>
      </c>
      <c r="K444" s="21">
        <v>1962124.48</v>
      </c>
      <c r="L444" s="21"/>
      <c r="M444" s="22">
        <f>(PROVEEDORES[[#This Row],[SUBTOTAL]]-PROVEEDORES[[#This Row],[descuento sobre subtotal]])*VLOOKUP(PROVEEDORES[[#This Row],[PROVEEDOR]],TERCEROS_INFO[#All],3,FALSE)</f>
        <v>372803.65120000002</v>
      </c>
      <c r="N444" s="23"/>
      <c r="O444" s="22">
        <f>+PROVEEDORES[[#This Row],[Descuento sobre subtotal %]]*(PROVEEDORES[[#This Row],[SUBTOTAL]]-PROVEEDORES[[#This Row],[descuento sobre subtotal]])</f>
        <v>0</v>
      </c>
      <c r="P444" s="74">
        <f>+IF(PROVEEDORES[[#This Row],[SUBTOTAL]]&lt;PROVEEDORES[[#This Row],[base retencion]],0,PROVEEDORES[[#This Row],[retención aplicada]])</f>
        <v>2.5000000000000001E-2</v>
      </c>
      <c r="Q444" s="22">
        <f>+PROVEEDORES[[#This Row],[Rete Fuente %]]*(PROVEEDORES[[#This Row],[SUBTOTAL]]-PROVEEDORES[[#This Row],[descuento sobre subtotal]])</f>
        <v>49053.112000000001</v>
      </c>
      <c r="R444" s="21">
        <f>+PROVEEDORES[[#This Row],[SUBTOTAL]]+PROVEEDORES[[#This Row],[IVA 19%]]-PROVEEDORES[[#This Row],[descuento sobre subtotal]]-PROVEEDORES[[#This Row],[Descuento sobre subtotal $2]]-PROVEEDORES[[#This Row],[Rete Fuente $]]</f>
        <v>2285875.0192</v>
      </c>
      <c r="S444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63">
        <f ca="1">IF(PROVEEDORES[[#This Row],[FECHA DE PAGO]]=0,TODAY()-PROVEEDORES[[#This Row],[FECHA DE FACTURACIÓN]]-PROVEEDORES[[#This Row],[PLAZO Días]],0)</f>
        <v>0</v>
      </c>
      <c r="U444" s="104" t="str">
        <f>+VLOOKUP(PROVEEDORES[[#This Row],[PROVEEDOR]],Terceros!$A:$D,4,FALSE)</f>
        <v>2,5% con base</v>
      </c>
      <c r="V444" s="105">
        <f>+YEAR(PROVEEDORES[[#This Row],[FECHA DE FACTURACIÓN]])</f>
        <v>2022</v>
      </c>
      <c r="W444" s="105">
        <f>+MATCH(PROVEEDORES[[#This Row],[año facturado]],Retenciones!$1:$1,0)</f>
        <v>5</v>
      </c>
      <c r="X444" s="106">
        <f>+VLOOKUP(PROVEEDORES[[#This Row],[ID RETENCION]],Retenciones!$A$1:$O$25,PROVEEDORES[[#This Row],[indicador de columna]],FALSE)</f>
        <v>1026000</v>
      </c>
      <c r="Y444" s="107">
        <f>+VLOOKUP(PROVEEDORES[[#This Row],[ID RETENCION]],Retenciones!$A$1:$O$25,2,FALSE)</f>
        <v>2.5000000000000001E-2</v>
      </c>
      <c r="Z444" s="116" t="b">
        <f>OR(COUNTIF(PROVEEDORES[[#This Row],[PROVEEDOR]],"*"&amp;'Palabra no opera'!$A$2&amp;"*"))</f>
        <v>0</v>
      </c>
    </row>
    <row r="445" spans="1:26" ht="22.35" customHeight="1" x14ac:dyDescent="0.3">
      <c r="A445" s="124" t="str">
        <f>+IF(PROVEEDORES[[#This Row],[FECHA DE PAGO]]=PROVEEDORES[[#This Row],[FECHA DE FACTURACIÓN]],"DE CONTADO","CRÉDITO")</f>
        <v>CRÉDITO</v>
      </c>
      <c r="B445" s="38" t="str">
        <f>+IF((PROVEEDORES[[#This Row],[FECHA DE PAGO]]-PROVEEDORES[[#This Row],[FECHA DE FACTURACIÓN]])&gt;PROVEEDORES[[#This Row],[PLAZO Días]],"PAGO VENCIDO")</f>
        <v>PAGO VENCIDO</v>
      </c>
      <c r="C445" s="20">
        <f>+VLOOKUP(PROVEEDORES[[#This Row],[PROVEEDOR]],TERCEROS_INFO[#All],2,FALSE)</f>
        <v>30</v>
      </c>
      <c r="D445" s="25">
        <f>+SUMIFS(PROVEEDORES[Total],PROVEEDORES[PROVEEDOR],PROVEEDORES[[#This Row],[PROVEEDOR]],PROVEEDORES[FECHA DE PAGO],"")</f>
        <v>17870934.149999999</v>
      </c>
      <c r="E445" s="25"/>
      <c r="F44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45" s="68">
        <v>44725</v>
      </c>
      <c r="H445" s="26" t="s">
        <v>18</v>
      </c>
      <c r="I445" s="68">
        <v>44691</v>
      </c>
      <c r="J445" s="35">
        <v>1053351</v>
      </c>
      <c r="K445" s="21">
        <v>1234232.6399999999</v>
      </c>
      <c r="L445" s="21"/>
      <c r="M445" s="22">
        <f>(PROVEEDORES[[#This Row],[SUBTOTAL]]-PROVEEDORES[[#This Row],[descuento sobre subtotal]])*VLOOKUP(PROVEEDORES[[#This Row],[PROVEEDOR]],TERCEROS_INFO[#All],3,FALSE)</f>
        <v>234504.20159999997</v>
      </c>
      <c r="N445" s="23"/>
      <c r="O445" s="22">
        <f>+PROVEEDORES[[#This Row],[Descuento sobre subtotal %]]*(PROVEEDORES[[#This Row],[SUBTOTAL]]-PROVEEDORES[[#This Row],[descuento sobre subtotal]])</f>
        <v>0</v>
      </c>
      <c r="P445" s="74">
        <f>+IF(PROVEEDORES[[#This Row],[SUBTOTAL]]&lt;PROVEEDORES[[#This Row],[base retencion]],0,PROVEEDORES[[#This Row],[retención aplicada]])</f>
        <v>2.5000000000000001E-2</v>
      </c>
      <c r="Q445" s="22">
        <f>+PROVEEDORES[[#This Row],[Rete Fuente %]]*(PROVEEDORES[[#This Row],[SUBTOTAL]]-PROVEEDORES[[#This Row],[descuento sobre subtotal]])</f>
        <v>30855.815999999999</v>
      </c>
      <c r="R445" s="21">
        <f>+PROVEEDORES[[#This Row],[SUBTOTAL]]+PROVEEDORES[[#This Row],[IVA 19%]]-PROVEEDORES[[#This Row],[descuento sobre subtotal]]-PROVEEDORES[[#This Row],[Descuento sobre subtotal $2]]-PROVEEDORES[[#This Row],[Rete Fuente $]]</f>
        <v>1437881.0255999998</v>
      </c>
      <c r="S445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63">
        <f ca="1">IF(PROVEEDORES[[#This Row],[FECHA DE PAGO]]=0,TODAY()-PROVEEDORES[[#This Row],[FECHA DE FACTURACIÓN]]-PROVEEDORES[[#This Row],[PLAZO Días]],0)</f>
        <v>0</v>
      </c>
      <c r="U445" s="104" t="str">
        <f>+VLOOKUP(PROVEEDORES[[#This Row],[PROVEEDOR]],Terceros!$A:$D,4,FALSE)</f>
        <v>2,5% con base</v>
      </c>
      <c r="V445" s="105">
        <f>+YEAR(PROVEEDORES[[#This Row],[FECHA DE FACTURACIÓN]])</f>
        <v>2022</v>
      </c>
      <c r="W445" s="105">
        <f>+MATCH(PROVEEDORES[[#This Row],[año facturado]],Retenciones!$1:$1,0)</f>
        <v>5</v>
      </c>
      <c r="X445" s="106">
        <f>+VLOOKUP(PROVEEDORES[[#This Row],[ID RETENCION]],Retenciones!$A$1:$O$25,PROVEEDORES[[#This Row],[indicador de columna]],FALSE)</f>
        <v>1026000</v>
      </c>
      <c r="Y445" s="107">
        <f>+VLOOKUP(PROVEEDORES[[#This Row],[ID RETENCION]],Retenciones!$A$1:$O$25,2,FALSE)</f>
        <v>2.5000000000000001E-2</v>
      </c>
      <c r="Z445" s="116" t="b">
        <f>OR(COUNTIF(PROVEEDORES[[#This Row],[PROVEEDOR]],"*"&amp;'Palabra no opera'!$A$2&amp;"*"))</f>
        <v>0</v>
      </c>
    </row>
    <row r="446" spans="1:26" ht="22.35" customHeight="1" x14ac:dyDescent="0.3">
      <c r="A446" s="111" t="str">
        <f>+IF(PROVEEDORES[[#This Row],[FECHA DE PAGO]]=PROVEEDORES[[#This Row],[FECHA DE FACTURACIÓN]],"DE CONTADO","CRÉDITO")</f>
        <v>CRÉDITO</v>
      </c>
      <c r="B446" s="38" t="b">
        <f>+IF((PROVEEDORES[[#This Row],[FECHA DE PAGO]]-PROVEEDORES[[#This Row],[FECHA DE FACTURACIÓN]])&gt;PROVEEDORES[[#This Row],[PLAZO Días]],"PAGO VENCIDO")</f>
        <v>0</v>
      </c>
      <c r="C446" s="20">
        <v>90</v>
      </c>
      <c r="D446" s="25">
        <f>+SUMIFS(PROVEEDORES[Total],PROVEEDORES[PROVEEDOR],PROVEEDORES[[#This Row],[PROVEEDOR]],PROVEEDORES[FECHA DE PAGO],"")</f>
        <v>0</v>
      </c>
      <c r="E446" s="25"/>
      <c r="F446" s="56">
        <f>+VLOOKUP(PROVEEDORES[[#This Row],[PROVEEDOR]],
                       Terceros!$A:$F,
                       5,
                       FALSE)</f>
        <v>0</v>
      </c>
      <c r="G446" s="68">
        <v>44725</v>
      </c>
      <c r="H446" s="26" t="s">
        <v>642</v>
      </c>
      <c r="I446" s="68">
        <v>44671</v>
      </c>
      <c r="J446" s="35" t="s">
        <v>595</v>
      </c>
      <c r="K446" s="21">
        <v>188646</v>
      </c>
      <c r="L446" s="21"/>
      <c r="M446" s="22">
        <f>(PROVEEDORES[[#This Row],[SUBTOTAL]]-PROVEEDORES[[#This Row],[descuento sobre subtotal]])*VLOOKUP(PROVEEDORES[[#This Row],[PROVEEDOR]],TERCEROS_INFO[#All],3,FALSE)</f>
        <v>0</v>
      </c>
      <c r="N446" s="23"/>
      <c r="O446" s="22">
        <f>+PROVEEDORES[[#This Row],[Descuento sobre subtotal %]]*(PROVEEDORES[[#This Row],[SUBTOTAL]]-PROVEEDORES[[#This Row],[descuento sobre subtotal]])</f>
        <v>0</v>
      </c>
      <c r="P446" s="74">
        <f>+IF(PROVEEDORES[[#This Row],[SUBTOTAL]]&lt;PROVEEDORES[[#This Row],[base retencion]],0,PROVEEDORES[[#This Row],[retención aplicada]])</f>
        <v>0</v>
      </c>
      <c r="Q446" s="22">
        <f>+PROVEEDORES[[#This Row],[Rete Fuente %]]*(PROVEEDORES[[#This Row],[SUBTOTAL]]-PROVEEDORES[[#This Row],[descuento sobre subtotal]])</f>
        <v>0</v>
      </c>
      <c r="R446" s="21">
        <f>+PROVEEDORES[[#This Row],[SUBTOTAL]]+PROVEEDORES[[#This Row],[IVA 19%]]-PROVEEDORES[[#This Row],[descuento sobre subtotal]]-PROVEEDORES[[#This Row],[Descuento sobre subtotal $2]]-PROVEEDORES[[#This Row],[Rete Fuente $]]</f>
        <v>188646</v>
      </c>
      <c r="S446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63">
        <f ca="1">IF(PROVEEDORES[[#This Row],[FECHA DE PAGO]]=0,TODAY()-PROVEEDORES[[#This Row],[FECHA DE FACTURACIÓN]]-PROVEEDORES[[#This Row],[PLAZO Días]],0)</f>
        <v>0</v>
      </c>
      <c r="U446" s="104">
        <f>+VLOOKUP(PROVEEDORES[[#This Row],[PROVEEDOR]],Terceros!$A:$D,4,FALSE)</f>
        <v>0</v>
      </c>
      <c r="V446" s="105">
        <f>+YEAR(PROVEEDORES[[#This Row],[FECHA DE FACTURACIÓN]])</f>
        <v>2022</v>
      </c>
      <c r="W446" s="105">
        <f>+MATCH(PROVEEDORES[[#This Row],[año facturado]],Retenciones!$1:$1,0)</f>
        <v>5</v>
      </c>
      <c r="X446" s="106">
        <f>+VLOOKUP(PROVEEDORES[[#This Row],[ID RETENCION]],Retenciones!$A$1:$O$25,PROVEEDORES[[#This Row],[indicador de columna]],FALSE)</f>
        <v>0</v>
      </c>
      <c r="Y446" s="107">
        <f>+VLOOKUP(PROVEEDORES[[#This Row],[ID RETENCION]],Retenciones!$A$1:$O$25,2,FALSE)</f>
        <v>0</v>
      </c>
      <c r="Z446" s="116" t="b">
        <f>OR(COUNTIF(PROVEEDORES[[#This Row],[PROVEEDOR]],"*"&amp;'Palabra no opera'!$A$2&amp;"*"))</f>
        <v>1</v>
      </c>
    </row>
    <row r="447" spans="1:26" ht="22.35" customHeight="1" x14ac:dyDescent="0.3">
      <c r="A447" s="111" t="str">
        <f>+IF(PROVEEDORES[[#This Row],[FECHA DE PAGO]]=PROVEEDORES[[#This Row],[FECHA DE FACTURACIÓN]],"DE CONTADO","CRÉDITO")</f>
        <v>CRÉDITO</v>
      </c>
      <c r="B447" s="38" t="b">
        <f>+IF((PROVEEDORES[[#This Row],[FECHA DE PAGO]]-PROVEEDORES[[#This Row],[FECHA DE FACTURACIÓN]])&gt;PROVEEDORES[[#This Row],[PLAZO Días]],"PAGO VENCIDO")</f>
        <v>0</v>
      </c>
      <c r="C447" s="20">
        <v>90</v>
      </c>
      <c r="D447" s="25">
        <f>+SUMIFS(PROVEEDORES[Total],PROVEEDORES[PROVEEDOR],PROVEEDORES[[#This Row],[PROVEEDOR]],PROVEEDORES[FECHA DE PAGO],"")</f>
        <v>0</v>
      </c>
      <c r="E447" s="25"/>
      <c r="F447" s="56">
        <f>+VLOOKUP(PROVEEDORES[[#This Row],[PROVEEDOR]],
                       Terceros!$A:$F,
                       5,
                       FALSE)</f>
        <v>0</v>
      </c>
      <c r="G447" s="68">
        <v>44725</v>
      </c>
      <c r="H447" s="26" t="s">
        <v>642</v>
      </c>
      <c r="I447" s="68">
        <v>44671</v>
      </c>
      <c r="J447" s="35" t="s">
        <v>595</v>
      </c>
      <c r="K447" s="21">
        <v>1527459</v>
      </c>
      <c r="L447" s="21"/>
      <c r="M447" s="22">
        <f>(PROVEEDORES[[#This Row],[SUBTOTAL]]-PROVEEDORES[[#This Row],[descuento sobre subtotal]])*VLOOKUP(PROVEEDORES[[#This Row],[PROVEEDOR]],TERCEROS_INFO[#All],3,FALSE)</f>
        <v>0</v>
      </c>
      <c r="N447" s="23"/>
      <c r="O447" s="22">
        <f>+PROVEEDORES[[#This Row],[Descuento sobre subtotal %]]*(PROVEEDORES[[#This Row],[SUBTOTAL]]-PROVEEDORES[[#This Row],[descuento sobre subtotal]])</f>
        <v>0</v>
      </c>
      <c r="P447" s="74">
        <f>+IF(PROVEEDORES[[#This Row],[SUBTOTAL]]&lt;PROVEEDORES[[#This Row],[base retencion]],0,PROVEEDORES[[#This Row],[retención aplicada]])</f>
        <v>0</v>
      </c>
      <c r="Q447" s="22">
        <f>+PROVEEDORES[[#This Row],[Rete Fuente %]]*(PROVEEDORES[[#This Row],[SUBTOTAL]]-PROVEEDORES[[#This Row],[descuento sobre subtotal]])</f>
        <v>0</v>
      </c>
      <c r="R447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447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63">
        <f ca="1">IF(PROVEEDORES[[#This Row],[FECHA DE PAGO]]=0,TODAY()-PROVEEDORES[[#This Row],[FECHA DE FACTURACIÓN]]-PROVEEDORES[[#This Row],[PLAZO Días]],0)</f>
        <v>0</v>
      </c>
      <c r="U447" s="104">
        <f>+VLOOKUP(PROVEEDORES[[#This Row],[PROVEEDOR]],Terceros!$A:$D,4,FALSE)</f>
        <v>0</v>
      </c>
      <c r="V447" s="105">
        <f>+YEAR(PROVEEDORES[[#This Row],[FECHA DE FACTURACIÓN]])</f>
        <v>2022</v>
      </c>
      <c r="W447" s="105">
        <f>+MATCH(PROVEEDORES[[#This Row],[año facturado]],Retenciones!$1:$1,0)</f>
        <v>5</v>
      </c>
      <c r="X447" s="106">
        <f>+VLOOKUP(PROVEEDORES[[#This Row],[ID RETENCION]],Retenciones!$A$1:$O$25,PROVEEDORES[[#This Row],[indicador de columna]],FALSE)</f>
        <v>0</v>
      </c>
      <c r="Y447" s="107">
        <f>+VLOOKUP(PROVEEDORES[[#This Row],[ID RETENCION]],Retenciones!$A$1:$O$25,2,FALSE)</f>
        <v>0</v>
      </c>
      <c r="Z447" s="116" t="b">
        <f>OR(COUNTIF(PROVEEDORES[[#This Row],[PROVEEDOR]],"*"&amp;'Palabra no opera'!$A$2&amp;"*"))</f>
        <v>1</v>
      </c>
    </row>
    <row r="448" spans="1:26" ht="22.35" customHeight="1" x14ac:dyDescent="0.3">
      <c r="A448" s="133" t="str">
        <f>+IF(PROVEEDORES[[#This Row],[FECHA DE PAGO]]=PROVEEDORES[[#This Row],[FECHA DE FACTURACIÓN]],"DE CONTADO","CRÉDITO")</f>
        <v>CRÉDITO</v>
      </c>
      <c r="B448" s="38" t="str">
        <f>+IF((PROVEEDORES[[#This Row],[FECHA DE PAGO]]-PROVEEDORES[[#This Row],[FECHA DE FACTURACIÓN]])&gt;PROVEEDORES[[#This Row],[PLAZO Días]],"PAGO VENCIDO")</f>
        <v>PAGO VENCIDO</v>
      </c>
      <c r="C448" s="20">
        <f>+VLOOKUP(PROVEEDORES[[#This Row],[PROVEEDOR]],TERCEROS_INFO[#All],2,FALSE)</f>
        <v>30</v>
      </c>
      <c r="D448" s="25">
        <f>+SUMIFS(PROVEEDORES[Total],PROVEEDORES[PROVEEDOR],PROVEEDORES[[#This Row],[PROVEEDOR]],PROVEEDORES[FECHA DE PAGO],"")</f>
        <v>0</v>
      </c>
      <c r="E448" s="25"/>
      <c r="F448" s="56">
        <f>+VLOOKUP(PROVEEDORES[[#This Row],[PROVEEDOR]],
                       Terceros!$A:$F,
                       5,
                       FALSE)</f>
        <v>0</v>
      </c>
      <c r="G448" s="68">
        <v>44725</v>
      </c>
      <c r="H448" s="26" t="s">
        <v>642</v>
      </c>
      <c r="I448" s="68">
        <v>44682</v>
      </c>
      <c r="J448" s="35" t="s">
        <v>691</v>
      </c>
      <c r="K448" s="21">
        <v>6054880</v>
      </c>
      <c r="L448" s="21"/>
      <c r="M448" s="22">
        <f>(PROVEEDORES[[#This Row],[SUBTOTAL]]-PROVEEDORES[[#This Row],[descuento sobre subtotal]])*VLOOKUP(PROVEEDORES[[#This Row],[PROVEEDOR]],TERCEROS_INFO[#All],3,FALSE)</f>
        <v>0</v>
      </c>
      <c r="N448" s="23"/>
      <c r="O448" s="22">
        <f>+PROVEEDORES[[#This Row],[Descuento sobre subtotal %]]*(PROVEEDORES[[#This Row],[SUBTOTAL]]-PROVEEDORES[[#This Row],[descuento sobre subtotal]])</f>
        <v>0</v>
      </c>
      <c r="P448" s="74">
        <f>+IF(PROVEEDORES[[#This Row],[SUBTOTAL]]&lt;PROVEEDORES[[#This Row],[base retencion]],0,PROVEEDORES[[#This Row],[retención aplicada]])</f>
        <v>0</v>
      </c>
      <c r="Q448" s="22">
        <f>+PROVEEDORES[[#This Row],[Rete Fuente %]]*(PROVEEDORES[[#This Row],[SUBTOTAL]]-PROVEEDORES[[#This Row],[descuento sobre subtotal]])</f>
        <v>0</v>
      </c>
      <c r="R448" s="21">
        <f>+PROVEEDORES[[#This Row],[SUBTOTAL]]+PROVEEDORES[[#This Row],[IVA 19%]]-PROVEEDORES[[#This Row],[descuento sobre subtotal]]-PROVEEDORES[[#This Row],[Descuento sobre subtotal $2]]-PROVEEDORES[[#This Row],[Rete Fuente $]]</f>
        <v>6054880</v>
      </c>
      <c r="S448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63">
        <f ca="1">IF(PROVEEDORES[[#This Row],[FECHA DE PAGO]]=0,TODAY()-PROVEEDORES[[#This Row],[FECHA DE FACTURACIÓN]]-PROVEEDORES[[#This Row],[PLAZO Días]],0)</f>
        <v>0</v>
      </c>
      <c r="U448" s="104">
        <f>+VLOOKUP(PROVEEDORES[[#This Row],[PROVEEDOR]],Terceros!$A:$D,4,FALSE)</f>
        <v>0</v>
      </c>
      <c r="V448" s="105">
        <f>+YEAR(PROVEEDORES[[#This Row],[FECHA DE FACTURACIÓN]])</f>
        <v>2022</v>
      </c>
      <c r="W448" s="105">
        <f>+MATCH(PROVEEDORES[[#This Row],[año facturado]],Retenciones!$1:$1,0)</f>
        <v>5</v>
      </c>
      <c r="X448" s="106">
        <f>+VLOOKUP(PROVEEDORES[[#This Row],[ID RETENCION]],Retenciones!$A$1:$O$25,PROVEEDORES[[#This Row],[indicador de columna]],FALSE)</f>
        <v>0</v>
      </c>
      <c r="Y448" s="107">
        <f>+VLOOKUP(PROVEEDORES[[#This Row],[ID RETENCION]],Retenciones!$A$1:$O$25,2,FALSE)</f>
        <v>0</v>
      </c>
      <c r="Z448" s="116" t="b">
        <f>OR(COUNTIF(PROVEEDORES[[#This Row],[PROVEEDOR]],"*"&amp;'Palabra no opera'!$A$2&amp;"*"))</f>
        <v>1</v>
      </c>
    </row>
    <row r="449" spans="1:26" ht="22.35" customHeight="1" x14ac:dyDescent="0.3">
      <c r="A449" s="135" t="str">
        <f>+IF(PROVEEDORES[[#This Row],[FECHA DE PAGO]]=PROVEEDORES[[#This Row],[FECHA DE FACTURACIÓN]],"DE CONTADO","CRÉDITO")</f>
        <v>CRÉDITO</v>
      </c>
      <c r="B449" s="38" t="b">
        <f>+IF((PROVEEDORES[[#This Row],[FECHA DE PAGO]]-PROVEEDORES[[#This Row],[FECHA DE FACTURACIÓN]])&gt;PROVEEDORES[[#This Row],[PLAZO Días]],"PAGO VENCIDO")</f>
        <v>0</v>
      </c>
      <c r="C449" s="20">
        <f>+VLOOKUP(PROVEEDORES[[#This Row],[PROVEEDOR]],TERCEROS_INFO[#All],2,FALSE)</f>
        <v>30</v>
      </c>
      <c r="D449" s="25">
        <f>+SUMIFS(PROVEEDORES[Total],PROVEEDORES[PROVEEDOR],PROVEEDORES[[#This Row],[PROVEEDOR]],PROVEEDORES[FECHA DE PAGO],"")</f>
        <v>0</v>
      </c>
      <c r="E449" s="25"/>
      <c r="F449" s="56">
        <f>+VLOOKUP(PROVEEDORES[[#This Row],[PROVEEDOR]],
                       Terceros!$A:$F,
                       5,
                       FALSE)</f>
        <v>0</v>
      </c>
      <c r="G449" s="68">
        <v>44725</v>
      </c>
      <c r="H449" s="26" t="s">
        <v>642</v>
      </c>
      <c r="I449" s="68">
        <v>44713</v>
      </c>
      <c r="J449" s="35" t="s">
        <v>217</v>
      </c>
      <c r="K449" s="21">
        <v>455823</v>
      </c>
      <c r="L449" s="21"/>
      <c r="M449" s="22">
        <f>(PROVEEDORES[[#This Row],[SUBTOTAL]]-PROVEEDORES[[#This Row],[descuento sobre subtotal]])*VLOOKUP(PROVEEDORES[[#This Row],[PROVEEDOR]],TERCEROS_INFO[#All],3,FALSE)</f>
        <v>0</v>
      </c>
      <c r="N449" s="23"/>
      <c r="O449" s="22">
        <f>+PROVEEDORES[[#This Row],[Descuento sobre subtotal %]]*(PROVEEDORES[[#This Row],[SUBTOTAL]]-PROVEEDORES[[#This Row],[descuento sobre subtotal]])</f>
        <v>0</v>
      </c>
      <c r="P449" s="74">
        <f>+IF(PROVEEDORES[[#This Row],[SUBTOTAL]]&lt;PROVEEDORES[[#This Row],[base retencion]],0,PROVEEDORES[[#This Row],[retención aplicada]])</f>
        <v>0</v>
      </c>
      <c r="Q449" s="22">
        <f>+PROVEEDORES[[#This Row],[Rete Fuente %]]*(PROVEEDORES[[#This Row],[SUBTOTAL]]-PROVEEDORES[[#This Row],[descuento sobre subtotal]])</f>
        <v>0</v>
      </c>
      <c r="R449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449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63">
        <f ca="1">IF(PROVEEDORES[[#This Row],[FECHA DE PAGO]]=0,TODAY()-PROVEEDORES[[#This Row],[FECHA DE FACTURACIÓN]]-PROVEEDORES[[#This Row],[PLAZO Días]],0)</f>
        <v>0</v>
      </c>
      <c r="U449" s="104">
        <f>+VLOOKUP(PROVEEDORES[[#This Row],[PROVEEDOR]],Terceros!$A:$D,4,FALSE)</f>
        <v>0</v>
      </c>
      <c r="V449" s="105">
        <f>+YEAR(PROVEEDORES[[#This Row],[FECHA DE FACTURACIÓN]])</f>
        <v>2022</v>
      </c>
      <c r="W449" s="105">
        <f>+MATCH(PROVEEDORES[[#This Row],[año facturado]],Retenciones!$1:$1,0)</f>
        <v>5</v>
      </c>
      <c r="X449" s="106">
        <f>+VLOOKUP(PROVEEDORES[[#This Row],[ID RETENCION]],Retenciones!$A$1:$O$25,PROVEEDORES[[#This Row],[indicador de columna]],FALSE)</f>
        <v>0</v>
      </c>
      <c r="Y449" s="107">
        <f>+VLOOKUP(PROVEEDORES[[#This Row],[ID RETENCION]],Retenciones!$A$1:$O$25,2,FALSE)</f>
        <v>0</v>
      </c>
      <c r="Z449" s="116" t="b">
        <f>OR(COUNTIF(PROVEEDORES[[#This Row],[PROVEEDOR]],"*"&amp;'Palabra no opera'!$A$2&amp;"*"))</f>
        <v>1</v>
      </c>
    </row>
    <row r="450" spans="1:26" ht="22.35" customHeight="1" x14ac:dyDescent="0.3">
      <c r="A450" s="146" t="str">
        <f>+IF(PROVEEDORES[[#This Row],[FECHA DE PAGO]]=PROVEEDORES[[#This Row],[FECHA DE FACTURACIÓN]],"DE CONTADO","CRÉDITO")</f>
        <v>CRÉDITO</v>
      </c>
      <c r="B450" s="38" t="b">
        <f>+IF((PROVEEDORES[[#This Row],[FECHA DE PAGO]]-PROVEEDORES[[#This Row],[FECHA DE FACTURACIÓN]])&gt;PROVEEDORES[[#This Row],[PLAZO Días]],"PAGO VENCIDO")</f>
        <v>0</v>
      </c>
      <c r="C450" s="20">
        <f>+VLOOKUP(PROVEEDORES[[#This Row],[PROVEEDOR]],TERCEROS_INFO[#All],2,FALSE)</f>
        <v>13</v>
      </c>
      <c r="D450" s="25">
        <f>+SUMIFS(PROVEEDORES[Total],PROVEEDORES[PROVEEDOR],PROVEEDORES[[#This Row],[PROVEEDOR]],PROVEEDORES[FECHA DE PAGO],"")</f>
        <v>0</v>
      </c>
      <c r="E450" s="25"/>
      <c r="F450" s="56">
        <f>+VLOOKUP(PROVEEDORES[[#This Row],[PROVEEDOR]],
                       Terceros!$A:$F,
                       5,
                       FALSE)</f>
        <v>0</v>
      </c>
      <c r="G450" s="68">
        <v>44725</v>
      </c>
      <c r="H450" s="26" t="s">
        <v>644</v>
      </c>
      <c r="I450" s="68">
        <v>44713</v>
      </c>
      <c r="J450" s="35"/>
      <c r="K450" s="21">
        <v>948924</v>
      </c>
      <c r="L450" s="21"/>
      <c r="M450" s="22">
        <f>(PROVEEDORES[[#This Row],[SUBTOTAL]]-PROVEEDORES[[#This Row],[descuento sobre subtotal]])*VLOOKUP(PROVEEDORES[[#This Row],[PROVEEDOR]],TERCEROS_INFO[#All],3,FALSE)</f>
        <v>0</v>
      </c>
      <c r="N450" s="23"/>
      <c r="O450" s="22">
        <f>+PROVEEDORES[[#This Row],[Descuento sobre subtotal %]]*(PROVEEDORES[[#This Row],[SUBTOTAL]]-PROVEEDORES[[#This Row],[descuento sobre subtotal]])</f>
        <v>0</v>
      </c>
      <c r="P450" s="74">
        <f>+IF(PROVEEDORES[[#This Row],[SUBTOTAL]]&lt;PROVEEDORES[[#This Row],[base retencion]],0,PROVEEDORES[[#This Row],[retención aplicada]])</f>
        <v>0</v>
      </c>
      <c r="Q450" s="22">
        <f>+PROVEEDORES[[#This Row],[Rete Fuente %]]*(PROVEEDORES[[#This Row],[SUBTOTAL]]-PROVEEDORES[[#This Row],[descuento sobre subtotal]])</f>
        <v>0</v>
      </c>
      <c r="R450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45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63">
        <f ca="1">IF(PROVEEDORES[[#This Row],[FECHA DE PAGO]]=0,TODAY()-PROVEEDORES[[#This Row],[FECHA DE FACTURACIÓN]]-PROVEEDORES[[#This Row],[PLAZO Días]],0)</f>
        <v>0</v>
      </c>
      <c r="U450" s="104">
        <f>+VLOOKUP(PROVEEDORES[[#This Row],[PROVEEDOR]],Terceros!$A:$D,4,FALSE)</f>
        <v>0</v>
      </c>
      <c r="V450" s="105">
        <f>+YEAR(PROVEEDORES[[#This Row],[FECHA DE FACTURACIÓN]])</f>
        <v>2022</v>
      </c>
      <c r="W450" s="105">
        <f>+MATCH(PROVEEDORES[[#This Row],[año facturado]],Retenciones!$1:$1,0)</f>
        <v>5</v>
      </c>
      <c r="X450" s="106">
        <f>+VLOOKUP(PROVEEDORES[[#This Row],[ID RETENCION]],Retenciones!$A$1:$O$25,PROVEEDORES[[#This Row],[indicador de columna]],FALSE)</f>
        <v>0</v>
      </c>
      <c r="Y450" s="107">
        <f>+VLOOKUP(PROVEEDORES[[#This Row],[ID RETENCION]],Retenciones!$A$1:$O$25,2,FALSE)</f>
        <v>0</v>
      </c>
      <c r="Z450" s="116" t="b">
        <f>OR(COUNTIF(PROVEEDORES[[#This Row],[PROVEEDOR]],"*"&amp;'Palabra no opera'!$A$2&amp;"*"))</f>
        <v>1</v>
      </c>
    </row>
    <row r="451" spans="1:26" ht="22.35" customHeight="1" x14ac:dyDescent="0.3">
      <c r="A451" s="124" t="str">
        <f>+IF(PROVEEDORES[[#This Row],[FECHA DE PAGO]]=PROVEEDORES[[#This Row],[FECHA DE FACTURACIÓN]],"DE CONTADO","CRÉDITO")</f>
        <v>CRÉDITO</v>
      </c>
      <c r="B451" s="38" t="str">
        <f>+IF((PROVEEDORES[[#This Row],[FECHA DE PAGO]]-PROVEEDORES[[#This Row],[FECHA DE FACTURACIÓN]])&gt;PROVEEDORES[[#This Row],[PLAZO Días]],"PAGO VENCIDO")</f>
        <v>PAGO VENCIDO</v>
      </c>
      <c r="C451" s="20">
        <f>+VLOOKUP(PROVEEDORES[[#This Row],[PROVEEDOR]],TERCEROS_INFO[#All],2,FALSE)</f>
        <v>30</v>
      </c>
      <c r="D451" s="25">
        <f>+SUMIFS(PROVEEDORES[Total],PROVEEDORES[PROVEEDOR],PROVEEDORES[[#This Row],[PROVEEDOR]],PROVEEDORES[FECHA DE PAGO],"")</f>
        <v>18444236.894999996</v>
      </c>
      <c r="E451" s="25"/>
      <c r="F45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51" s="68">
        <v>44725</v>
      </c>
      <c r="H451" s="26" t="s">
        <v>11</v>
      </c>
      <c r="I451" s="68">
        <v>44685</v>
      </c>
      <c r="J451" s="35" t="s">
        <v>660</v>
      </c>
      <c r="K451" s="21">
        <v>151261</v>
      </c>
      <c r="L451" s="21"/>
      <c r="M451" s="22">
        <f>(PROVEEDORES[[#This Row],[SUBTOTAL]]-PROVEEDORES[[#This Row],[descuento sobre subtotal]])*VLOOKUP(PROVEEDORES[[#This Row],[PROVEEDOR]],TERCEROS_INFO[#All],3,FALSE)</f>
        <v>28739.59</v>
      </c>
      <c r="N451" s="23"/>
      <c r="O451" s="22">
        <f>+PROVEEDORES[[#This Row],[Descuento sobre subtotal %]]*(PROVEEDORES[[#This Row],[SUBTOTAL]]-PROVEEDORES[[#This Row],[descuento sobre subtotal]])</f>
        <v>0</v>
      </c>
      <c r="P451" s="74">
        <f>+IF(PROVEEDORES[[#This Row],[SUBTOTAL]]&lt;PROVEEDORES[[#This Row],[base retencion]],0,PROVEEDORES[[#This Row],[retención aplicada]])</f>
        <v>0</v>
      </c>
      <c r="Q451" s="22">
        <f>+PROVEEDORES[[#This Row],[Rete Fuente %]]*(PROVEEDORES[[#This Row],[SUBTOTAL]]-PROVEEDORES[[#This Row],[descuento sobre subtotal]])</f>
        <v>0</v>
      </c>
      <c r="R451" s="21">
        <f>+PROVEEDORES[[#This Row],[SUBTOTAL]]+PROVEEDORES[[#This Row],[IVA 19%]]-PROVEEDORES[[#This Row],[descuento sobre subtotal]]-PROVEEDORES[[#This Row],[Descuento sobre subtotal $2]]-PROVEEDORES[[#This Row],[Rete Fuente $]]</f>
        <v>180000.59</v>
      </c>
      <c r="S451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63">
        <f ca="1">IF(PROVEEDORES[[#This Row],[FECHA DE PAGO]]=0,TODAY()-PROVEEDORES[[#This Row],[FECHA DE FACTURACIÓN]]-PROVEEDORES[[#This Row],[PLAZO Días]],0)</f>
        <v>0</v>
      </c>
      <c r="U451" s="104" t="str">
        <f>+VLOOKUP(PROVEEDORES[[#This Row],[PROVEEDOR]],Terceros!$A:$D,4,FALSE)</f>
        <v>2,5% con base</v>
      </c>
      <c r="V451" s="105">
        <f>+YEAR(PROVEEDORES[[#This Row],[FECHA DE FACTURACIÓN]])</f>
        <v>2022</v>
      </c>
      <c r="W451" s="105">
        <f>+MATCH(PROVEEDORES[[#This Row],[año facturado]],Retenciones!$1:$1,0)</f>
        <v>5</v>
      </c>
      <c r="X451" s="106">
        <f>+VLOOKUP(PROVEEDORES[[#This Row],[ID RETENCION]],Retenciones!$A$1:$O$25,PROVEEDORES[[#This Row],[indicador de columna]],FALSE)</f>
        <v>1026000</v>
      </c>
      <c r="Y451" s="107">
        <f>+VLOOKUP(PROVEEDORES[[#This Row],[ID RETENCION]],Retenciones!$A$1:$O$25,2,FALSE)</f>
        <v>2.5000000000000001E-2</v>
      </c>
      <c r="Z451" s="116" t="b">
        <f>OR(COUNTIF(PROVEEDORES[[#This Row],[PROVEEDOR]],"*"&amp;'Palabra no opera'!$A$2&amp;"*"))</f>
        <v>0</v>
      </c>
    </row>
    <row r="452" spans="1:26" ht="22.35" customHeight="1" x14ac:dyDescent="0.3">
      <c r="A452" s="122" t="str">
        <f>+IF(PROVEEDORES[[#This Row],[FECHA DE PAGO]]=PROVEEDORES[[#This Row],[FECHA DE FACTURACIÓN]],"DE CONTADO","CRÉDITO")</f>
        <v>CRÉDITO</v>
      </c>
      <c r="B452" s="38" t="str">
        <f>+IF((PROVEEDORES[[#This Row],[FECHA DE PAGO]]-PROVEEDORES[[#This Row],[FECHA DE FACTURACIÓN]])&gt;PROVEEDORES[[#This Row],[PLAZO Días]],"PAGO VENCIDO")</f>
        <v>PAGO VENCIDO</v>
      </c>
      <c r="C452" s="20">
        <f>+VLOOKUP(PROVEEDORES[[#This Row],[PROVEEDOR]],TERCEROS_INFO[#All],2,FALSE)</f>
        <v>30</v>
      </c>
      <c r="D452" s="25">
        <f>+SUMIFS(PROVEEDORES[Total],PROVEEDORES[PROVEEDOR],PROVEEDORES[[#This Row],[PROVEEDOR]],PROVEEDORES[FECHA DE PAGO],"")</f>
        <v>18444236.894999996</v>
      </c>
      <c r="E452" s="25"/>
      <c r="F452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52" s="68">
        <v>44725</v>
      </c>
      <c r="H452" s="26" t="s">
        <v>11</v>
      </c>
      <c r="I452" s="68">
        <v>44685</v>
      </c>
      <c r="J452" s="35" t="s">
        <v>657</v>
      </c>
      <c r="K452" s="21">
        <v>660000</v>
      </c>
      <c r="L452" s="21"/>
      <c r="M452" s="22">
        <f>(PROVEEDORES[[#This Row],[SUBTOTAL]]-PROVEEDORES[[#This Row],[descuento sobre subtotal]])*VLOOKUP(PROVEEDORES[[#This Row],[PROVEEDOR]],TERCEROS_INFO[#All],3,FALSE)</f>
        <v>125400</v>
      </c>
      <c r="N452" s="23"/>
      <c r="O452" s="22">
        <f>+PROVEEDORES[[#This Row],[Descuento sobre subtotal %]]*(PROVEEDORES[[#This Row],[SUBTOTAL]]-PROVEEDORES[[#This Row],[descuento sobre subtotal]])</f>
        <v>0</v>
      </c>
      <c r="P452" s="74">
        <f>+IF(PROVEEDORES[[#This Row],[SUBTOTAL]]&lt;PROVEEDORES[[#This Row],[base retencion]],0,PROVEEDORES[[#This Row],[retención aplicada]])</f>
        <v>0</v>
      </c>
      <c r="Q452" s="22">
        <f>+PROVEEDORES[[#This Row],[Rete Fuente %]]*(PROVEEDORES[[#This Row],[SUBTOTAL]]-PROVEEDORES[[#This Row],[descuento sobre subtotal]])</f>
        <v>0</v>
      </c>
      <c r="R452" s="21">
        <f>+PROVEEDORES[[#This Row],[SUBTOTAL]]+PROVEEDORES[[#This Row],[IVA 19%]]-PROVEEDORES[[#This Row],[descuento sobre subtotal]]-PROVEEDORES[[#This Row],[Descuento sobre subtotal $2]]-PROVEEDORES[[#This Row],[Rete Fuente $]]</f>
        <v>785400</v>
      </c>
      <c r="S452" s="1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63">
        <f ca="1">IF(PROVEEDORES[[#This Row],[FECHA DE PAGO]]=0,TODAY()-PROVEEDORES[[#This Row],[FECHA DE FACTURACIÓN]]-PROVEEDORES[[#This Row],[PLAZO Días]],0)</f>
        <v>0</v>
      </c>
      <c r="U452" s="104" t="str">
        <f>+VLOOKUP(PROVEEDORES[[#This Row],[PROVEEDOR]],Terceros!$A:$D,4,FALSE)</f>
        <v>2,5% con base</v>
      </c>
      <c r="V452" s="105">
        <f>+YEAR(PROVEEDORES[[#This Row],[FECHA DE FACTURACIÓN]])</f>
        <v>2022</v>
      </c>
      <c r="W452" s="105">
        <f>+MATCH(PROVEEDORES[[#This Row],[año facturado]],Retenciones!$1:$1,0)</f>
        <v>5</v>
      </c>
      <c r="X452" s="106">
        <f>+VLOOKUP(PROVEEDORES[[#This Row],[ID RETENCION]],Retenciones!$A$1:$O$25,PROVEEDORES[[#This Row],[indicador de columna]],FALSE)</f>
        <v>1026000</v>
      </c>
      <c r="Y452" s="107">
        <f>+VLOOKUP(PROVEEDORES[[#This Row],[ID RETENCION]],Retenciones!$A$1:$O$25,2,FALSE)</f>
        <v>2.5000000000000001E-2</v>
      </c>
      <c r="Z452" s="116" t="b">
        <f>OR(COUNTIF(PROVEEDORES[[#This Row],[PROVEEDOR]],"*"&amp;'Palabra no opera'!$A$2&amp;"*"))</f>
        <v>0</v>
      </c>
    </row>
    <row r="453" spans="1:26" ht="22.35" customHeight="1" x14ac:dyDescent="0.3">
      <c r="A453" s="124" t="str">
        <f>+IF(PROVEEDORES[[#This Row],[FECHA DE PAGO]]=PROVEEDORES[[#This Row],[FECHA DE FACTURACIÓN]],"DE CONTADO","CRÉDITO")</f>
        <v>CRÉDITO</v>
      </c>
      <c r="B453" s="38" t="str">
        <f>+IF((PROVEEDORES[[#This Row],[FECHA DE PAGO]]-PROVEEDORES[[#This Row],[FECHA DE FACTURACIÓN]])&gt;PROVEEDORES[[#This Row],[PLAZO Días]],"PAGO VENCIDO")</f>
        <v>PAGO VENCIDO</v>
      </c>
      <c r="C453" s="20">
        <f>+VLOOKUP(PROVEEDORES[[#This Row],[PROVEEDOR]],TERCEROS_INFO[#All],2,FALSE)</f>
        <v>30</v>
      </c>
      <c r="D453" s="25">
        <f>+SUMIFS(PROVEEDORES[Total],PROVEEDORES[PROVEEDOR],PROVEEDORES[[#This Row],[PROVEEDOR]],PROVEEDORES[FECHA DE PAGO],"")</f>
        <v>18444236.894999996</v>
      </c>
      <c r="E453" s="25"/>
      <c r="F45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53" s="68">
        <v>44725</v>
      </c>
      <c r="H453" s="26" t="s">
        <v>11</v>
      </c>
      <c r="I453" s="68">
        <v>44693</v>
      </c>
      <c r="J453" s="35" t="s">
        <v>661</v>
      </c>
      <c r="K453" s="21">
        <v>1980000</v>
      </c>
      <c r="L453" s="21"/>
      <c r="M453" s="22">
        <f>(PROVEEDORES[[#This Row],[SUBTOTAL]]-PROVEEDORES[[#This Row],[descuento sobre subtotal]])*VLOOKUP(PROVEEDORES[[#This Row],[PROVEEDOR]],TERCEROS_INFO[#All],3,FALSE)</f>
        <v>376200</v>
      </c>
      <c r="N453" s="23"/>
      <c r="O453" s="22">
        <f>+PROVEEDORES[[#This Row],[Descuento sobre subtotal %]]*(PROVEEDORES[[#This Row],[SUBTOTAL]]-PROVEEDORES[[#This Row],[descuento sobre subtotal]])</f>
        <v>0</v>
      </c>
      <c r="P453" s="74">
        <f>+IF(PROVEEDORES[[#This Row],[SUBTOTAL]]&lt;PROVEEDORES[[#This Row],[base retencion]],0,PROVEEDORES[[#This Row],[retención aplicada]])</f>
        <v>2.5000000000000001E-2</v>
      </c>
      <c r="Q453" s="22">
        <f>+PROVEEDORES[[#This Row],[Rete Fuente %]]*(PROVEEDORES[[#This Row],[SUBTOTAL]]-PROVEEDORES[[#This Row],[descuento sobre subtotal]])</f>
        <v>49500</v>
      </c>
      <c r="R453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453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63">
        <f ca="1">IF(PROVEEDORES[[#This Row],[FECHA DE PAGO]]=0,TODAY()-PROVEEDORES[[#This Row],[FECHA DE FACTURACIÓN]]-PROVEEDORES[[#This Row],[PLAZO Días]],0)</f>
        <v>0</v>
      </c>
      <c r="U453" s="104" t="str">
        <f>+VLOOKUP(PROVEEDORES[[#This Row],[PROVEEDOR]],Terceros!$A:$D,4,FALSE)</f>
        <v>2,5% con base</v>
      </c>
      <c r="V453" s="105">
        <f>+YEAR(PROVEEDORES[[#This Row],[FECHA DE FACTURACIÓN]])</f>
        <v>2022</v>
      </c>
      <c r="W453" s="105">
        <f>+MATCH(PROVEEDORES[[#This Row],[año facturado]],Retenciones!$1:$1,0)</f>
        <v>5</v>
      </c>
      <c r="X453" s="106">
        <f>+VLOOKUP(PROVEEDORES[[#This Row],[ID RETENCION]],Retenciones!$A$1:$O$25,PROVEEDORES[[#This Row],[indicador de columna]],FALSE)</f>
        <v>1026000</v>
      </c>
      <c r="Y453" s="107">
        <f>+VLOOKUP(PROVEEDORES[[#This Row],[ID RETENCION]],Retenciones!$A$1:$O$25,2,FALSE)</f>
        <v>2.5000000000000001E-2</v>
      </c>
      <c r="Z453" s="116" t="b">
        <f>OR(COUNTIF(PROVEEDORES[[#This Row],[PROVEEDOR]],"*"&amp;'Palabra no opera'!$A$2&amp;"*"))</f>
        <v>0</v>
      </c>
    </row>
    <row r="454" spans="1:26" ht="22.35" customHeight="1" x14ac:dyDescent="0.3">
      <c r="A454" s="148" t="str">
        <f>+IF(PROVEEDORES[[#This Row],[FECHA DE PAGO]]=PROVEEDORES[[#This Row],[FECHA DE FACTURACIÓN]],"DE CONTADO","CRÉDITO")</f>
        <v>DE CONTADO</v>
      </c>
      <c r="B454" s="38" t="b">
        <f>+IF((PROVEEDORES[[#This Row],[FECHA DE PAGO]]-PROVEEDORES[[#This Row],[FECHA DE FACTURACIÓN]])&gt;PROVEEDORES[[#This Row],[PLAZO Días]],"PAGO VENCIDO")</f>
        <v>0</v>
      </c>
      <c r="C454" s="20">
        <f>+VLOOKUP(PROVEEDORES[[#This Row],[PROVEEDOR]],TERCEROS_INFO[#All],2,FALSE)</f>
        <v>30</v>
      </c>
      <c r="D454" s="25">
        <f>+SUMIFS(PROVEEDORES[Total],PROVEEDORES[PROVEEDOR],PROVEEDORES[[#This Row],[PROVEEDOR]],PROVEEDORES[FECHA DE PAGO],"")</f>
        <v>0</v>
      </c>
      <c r="E454" s="25"/>
      <c r="F454" s="56"/>
      <c r="G454" s="68">
        <v>44726</v>
      </c>
      <c r="H454" s="26" t="s">
        <v>734</v>
      </c>
      <c r="I454" s="68">
        <v>44726</v>
      </c>
      <c r="J454" s="35" t="s">
        <v>749</v>
      </c>
      <c r="K454" s="21">
        <v>499800</v>
      </c>
      <c r="L454" s="21"/>
      <c r="M454" s="22">
        <f>(PROVEEDORES[[#This Row],[SUBTOTAL]]-PROVEEDORES[[#This Row],[descuento sobre subtotal]])*VLOOKUP(PROVEEDORES[[#This Row],[PROVEEDOR]],TERCEROS_INFO[#All],3,FALSE)</f>
        <v>94962</v>
      </c>
      <c r="N454" s="23"/>
      <c r="O454" s="22">
        <f>+PROVEEDORES[[#This Row],[Descuento sobre subtotal %]]*(PROVEEDORES[[#This Row],[SUBTOTAL]]-PROVEEDORES[[#This Row],[descuento sobre subtotal]])</f>
        <v>0</v>
      </c>
      <c r="P454" s="74">
        <f>+IF(PROVEEDORES[[#This Row],[SUBTOTAL]]&lt;PROVEEDORES[[#This Row],[base retencion]],0,PROVEEDORES[[#This Row],[retención aplicada]])</f>
        <v>0</v>
      </c>
      <c r="Q454" s="22">
        <f>+PROVEEDORES[[#This Row],[Rete Fuente %]]*(PROVEEDORES[[#This Row],[SUBTOTAL]]-PROVEEDORES[[#This Row],[descuento sobre subtotal]])</f>
        <v>0</v>
      </c>
      <c r="R454" s="21">
        <f>+PROVEEDORES[[#This Row],[SUBTOTAL]]+PROVEEDORES[[#This Row],[IVA 19%]]-PROVEEDORES[[#This Row],[descuento sobre subtotal]]-PROVEEDORES[[#This Row],[Descuento sobre subtotal $2]]-PROVEEDORES[[#This Row],[Rete Fuente $]]</f>
        <v>594762</v>
      </c>
      <c r="S45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63">
        <f ca="1">IF(PROVEEDORES[[#This Row],[FECHA DE PAGO]]=0,TODAY()-PROVEEDORES[[#This Row],[FECHA DE FACTURACIÓN]]-PROVEEDORES[[#This Row],[PLAZO Días]],0)</f>
        <v>0</v>
      </c>
      <c r="U454" s="104" t="str">
        <f>+VLOOKUP(PROVEEDORES[[#This Row],[PROVEEDOR]],Terceros!$A:$D,4,FALSE)</f>
        <v>2,5% con base</v>
      </c>
      <c r="V454" s="105">
        <f>+YEAR(PROVEEDORES[[#This Row],[FECHA DE FACTURACIÓN]])</f>
        <v>2022</v>
      </c>
      <c r="W454" s="105">
        <f>+MATCH(PROVEEDORES[[#This Row],[año facturado]],Retenciones!$1:$1,0)</f>
        <v>5</v>
      </c>
      <c r="X454" s="106">
        <f>+VLOOKUP(PROVEEDORES[[#This Row],[ID RETENCION]],Retenciones!$A$1:$O$25,PROVEEDORES[[#This Row],[indicador de columna]],FALSE)</f>
        <v>1026000</v>
      </c>
      <c r="Y454" s="107">
        <f>+VLOOKUP(PROVEEDORES[[#This Row],[ID RETENCION]],Retenciones!$A$1:$O$25,2,FALSE)</f>
        <v>2.5000000000000001E-2</v>
      </c>
      <c r="Z454" s="116" t="b">
        <f>OR(COUNTIF(PROVEEDORES[[#This Row],[PROVEEDOR]],"*"&amp;'Palabra no opera'!$A$2&amp;"*"))</f>
        <v>0</v>
      </c>
    </row>
    <row r="455" spans="1:26" ht="22.35" customHeight="1" x14ac:dyDescent="0.3">
      <c r="A455" s="146" t="str">
        <f>+IF(PROVEEDORES[[#This Row],[FECHA DE PAGO]]=PROVEEDORES[[#This Row],[FECHA DE FACTURACIÓN]],"DE CONTADO","CRÉDITO")</f>
        <v>CRÉDITO</v>
      </c>
      <c r="B455" s="38" t="b">
        <f>+IF((PROVEEDORES[[#This Row],[FECHA DE PAGO]]-PROVEEDORES[[#This Row],[FECHA DE FACTURACIÓN]])&gt;PROVEEDORES[[#This Row],[PLAZO Días]],"PAGO VENCIDO")</f>
        <v>0</v>
      </c>
      <c r="C455" s="20">
        <f>+VLOOKUP(PROVEEDORES[[#This Row],[PROVEEDOR]],TERCEROS_INFO[#All],2,FALSE)</f>
        <v>30</v>
      </c>
      <c r="D455" s="25">
        <f>+SUMIFS(PROVEEDORES[Total],PROVEEDORES[PROVEEDOR],PROVEEDORES[[#This Row],[PROVEEDOR]],PROVEEDORES[FECHA DE PAGO],"")</f>
        <v>0</v>
      </c>
      <c r="E455" s="25"/>
      <c r="F455" s="56" t="str">
        <f>+VLOOKUP(PROVEEDORES[[#This Row],[PROVEEDOR]],
                       Terceros!$A:$F,
                       5,
                       FALSE)</f>
        <v/>
      </c>
      <c r="G455" s="68">
        <v>44726</v>
      </c>
      <c r="H455" s="26" t="s">
        <v>53</v>
      </c>
      <c r="I455" s="68">
        <v>44725</v>
      </c>
      <c r="J455" s="35">
        <v>291706</v>
      </c>
      <c r="K455" s="21">
        <v>2763000</v>
      </c>
      <c r="L455" s="21"/>
      <c r="M455" s="22">
        <f>(PROVEEDORES[[#This Row],[SUBTOTAL]]-PROVEEDORES[[#This Row],[descuento sobre subtotal]])*VLOOKUP(PROVEEDORES[[#This Row],[PROVEEDOR]],TERCEROS_INFO[#All],3,FALSE)</f>
        <v>0</v>
      </c>
      <c r="N455" s="23"/>
      <c r="O455" s="22">
        <f>+PROVEEDORES[[#This Row],[Descuento sobre subtotal %]]*(PROVEEDORES[[#This Row],[SUBTOTAL]]-PROVEEDORES[[#This Row],[descuento sobre subtotal]])</f>
        <v>0</v>
      </c>
      <c r="P455" s="74">
        <f>+IF(PROVEEDORES[[#This Row],[SUBTOTAL]]&lt;PROVEEDORES[[#This Row],[base retencion]],0,PROVEEDORES[[#This Row],[retención aplicada]])</f>
        <v>0</v>
      </c>
      <c r="Q455" s="22">
        <f>+PROVEEDORES[[#This Row],[Rete Fuente %]]*(PROVEEDORES[[#This Row],[SUBTOTAL]]-PROVEEDORES[[#This Row],[descuento sobre subtotal]])</f>
        <v>0</v>
      </c>
      <c r="R455" s="21">
        <f>+PROVEEDORES[[#This Row],[SUBTOTAL]]+PROVEEDORES[[#This Row],[IVA 19%]]-PROVEEDORES[[#This Row],[descuento sobre subtotal]]-PROVEEDORES[[#This Row],[Descuento sobre subtotal $2]]-PROVEEDORES[[#This Row],[Rete Fuente $]]</f>
        <v>2763000</v>
      </c>
      <c r="S455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63">
        <f ca="1">IF(PROVEEDORES[[#This Row],[FECHA DE PAGO]]=0,TODAY()-PROVEEDORES[[#This Row],[FECHA DE FACTURACIÓN]]-PROVEEDORES[[#This Row],[PLAZO Días]],0)</f>
        <v>0</v>
      </c>
      <c r="U455" s="104">
        <f>+VLOOKUP(PROVEEDORES[[#This Row],[PROVEEDOR]],Terceros!$A:$D,4,FALSE)</f>
        <v>0</v>
      </c>
      <c r="V455" s="105">
        <f>+YEAR(PROVEEDORES[[#This Row],[FECHA DE FACTURACIÓN]])</f>
        <v>2022</v>
      </c>
      <c r="W455" s="105">
        <f>+MATCH(PROVEEDORES[[#This Row],[año facturado]],Retenciones!$1:$1,0)</f>
        <v>5</v>
      </c>
      <c r="X455" s="106">
        <f>+VLOOKUP(PROVEEDORES[[#This Row],[ID RETENCION]],Retenciones!$A$1:$O$25,PROVEEDORES[[#This Row],[indicador de columna]],FALSE)</f>
        <v>0</v>
      </c>
      <c r="Y455" s="107">
        <f>+VLOOKUP(PROVEEDORES[[#This Row],[ID RETENCION]],Retenciones!$A$1:$O$25,2,FALSE)</f>
        <v>0</v>
      </c>
      <c r="Z455" s="116" t="b">
        <f>OR(COUNTIF(PROVEEDORES[[#This Row],[PROVEEDOR]],"*"&amp;'Palabra no opera'!$A$2&amp;"*"))</f>
        <v>0</v>
      </c>
    </row>
    <row r="456" spans="1:26" ht="22.35" customHeight="1" x14ac:dyDescent="0.3">
      <c r="A456" s="124" t="str">
        <f>+IF(PROVEEDORES[[#This Row],[FECHA DE PAGO]]=PROVEEDORES[[#This Row],[FECHA DE FACTURACIÓN]],"DE CONTADO","CRÉDITO")</f>
        <v>CRÉDITO</v>
      </c>
      <c r="B456" s="38" t="str">
        <f>+IF((PROVEEDORES[[#This Row],[FECHA DE PAGO]]-PROVEEDORES[[#This Row],[FECHA DE FACTURACIÓN]])&gt;PROVEEDORES[[#This Row],[PLAZO Días]],"PAGO VENCIDO")</f>
        <v>PAGO VENCIDO</v>
      </c>
      <c r="C456" s="20">
        <f>+VLOOKUP(PROVEEDORES[[#This Row],[PROVEEDOR]],TERCEROS_INFO[#All],2,FALSE)</f>
        <v>30</v>
      </c>
      <c r="D456" s="25">
        <f>+SUMIFS(PROVEEDORES[Total],PROVEEDORES[PROVEEDOR],PROVEEDORES[[#This Row],[PROVEEDOR]],PROVEEDORES[FECHA DE PAGO],"")</f>
        <v>0</v>
      </c>
      <c r="E456" s="25"/>
      <c r="F456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456" s="68">
        <v>44726</v>
      </c>
      <c r="H456" s="26" t="s">
        <v>964</v>
      </c>
      <c r="I456" s="68">
        <v>44687</v>
      </c>
      <c r="J456" s="35">
        <v>30402</v>
      </c>
      <c r="K456" s="21">
        <v>3744000</v>
      </c>
      <c r="L456" s="21"/>
      <c r="M456" s="22">
        <f>(PROVEEDORES[[#This Row],[SUBTOTAL]]-PROVEEDORES[[#This Row],[descuento sobre subtotal]])*VLOOKUP(PROVEEDORES[[#This Row],[PROVEEDOR]],TERCEROS_INFO[#All],3,FALSE)</f>
        <v>711360</v>
      </c>
      <c r="N456" s="23"/>
      <c r="O456" s="22">
        <f>+PROVEEDORES[[#This Row],[Descuento sobre subtotal %]]*(PROVEEDORES[[#This Row],[SUBTOTAL]]-PROVEEDORES[[#This Row],[descuento sobre subtotal]])</f>
        <v>0</v>
      </c>
      <c r="P456" s="74">
        <v>2.5000000000000001E-2</v>
      </c>
      <c r="Q456" s="22">
        <f>+PROVEEDORES[[#This Row],[Rete Fuente %]]*(PROVEEDORES[[#This Row],[SUBTOTAL]]-PROVEEDORES[[#This Row],[descuento sobre subtotal]])</f>
        <v>93600</v>
      </c>
      <c r="R456" s="21">
        <f>+PROVEEDORES[[#This Row],[SUBTOTAL]]+PROVEEDORES[[#This Row],[IVA 19%]]-PROVEEDORES[[#This Row],[descuento sobre subtotal]]-PROVEEDORES[[#This Row],[Descuento sobre subtotal $2]]-PROVEEDORES[[#This Row],[Rete Fuente $]]</f>
        <v>4361760</v>
      </c>
      <c r="S456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63">
        <f ca="1">IF(PROVEEDORES[[#This Row],[FECHA DE PAGO]]=0,TODAY()-PROVEEDORES[[#This Row],[FECHA DE FACTURACIÓN]]-PROVEEDORES[[#This Row],[PLAZO Días]],0)</f>
        <v>0</v>
      </c>
      <c r="U456" s="104">
        <f>+VLOOKUP(PROVEEDORES[[#This Row],[PROVEEDOR]],Terceros!$A:$D,4,FALSE)</f>
        <v>0</v>
      </c>
      <c r="V456" s="105">
        <f>+YEAR(PROVEEDORES[[#This Row],[FECHA DE FACTURACIÓN]])</f>
        <v>2022</v>
      </c>
      <c r="W456" s="105">
        <f>+MATCH(PROVEEDORES[[#This Row],[año facturado]],Retenciones!$1:$1,0)</f>
        <v>5</v>
      </c>
      <c r="X456" s="106">
        <f>+VLOOKUP(PROVEEDORES[[#This Row],[ID RETENCION]],Retenciones!$A$1:$O$25,PROVEEDORES[[#This Row],[indicador de columna]],FALSE)</f>
        <v>0</v>
      </c>
      <c r="Y456" s="107">
        <f>+VLOOKUP(PROVEEDORES[[#This Row],[ID RETENCION]],Retenciones!$A$1:$O$25,2,FALSE)</f>
        <v>0</v>
      </c>
      <c r="Z456" s="116" t="b">
        <f>OR(COUNTIF(PROVEEDORES[[#This Row],[PROVEEDOR]],"*"&amp;'Palabra no opera'!$A$2&amp;"*"))</f>
        <v>0</v>
      </c>
    </row>
    <row r="457" spans="1:26" ht="22.35" customHeight="1" x14ac:dyDescent="0.3">
      <c r="A457" s="129" t="str">
        <f>+IF(PROVEEDORES[[#This Row],[FECHA DE PAGO]]=PROVEEDORES[[#This Row],[FECHA DE FACTURACIÓN]],"DE CONTADO","CRÉDITO")</f>
        <v>CRÉDITO</v>
      </c>
      <c r="B457" s="38" t="str">
        <f>+IF((PROVEEDORES[[#This Row],[FECHA DE PAGO]]-PROVEEDORES[[#This Row],[FECHA DE FACTURACIÓN]])&gt;PROVEEDORES[[#This Row],[PLAZO Días]],"PAGO VENCIDO")</f>
        <v>PAGO VENCIDO</v>
      </c>
      <c r="C457" s="20">
        <f>+VLOOKUP(PROVEEDORES[[#This Row],[PROVEEDOR]],TERCEROS_INFO[#All],2,FALSE)</f>
        <v>30</v>
      </c>
      <c r="D457" s="25">
        <f>+SUMIFS(PROVEEDORES[Total],PROVEEDORES[PROVEEDOR],PROVEEDORES[[#This Row],[PROVEEDOR]],PROVEEDORES[FECHA DE PAGO],"")</f>
        <v>0</v>
      </c>
      <c r="E457" s="25"/>
      <c r="F457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457" s="68">
        <v>44726</v>
      </c>
      <c r="H457" s="26" t="s">
        <v>964</v>
      </c>
      <c r="I457" s="68">
        <v>44692</v>
      </c>
      <c r="J457" s="35">
        <v>30587</v>
      </c>
      <c r="K457" s="21">
        <v>1872000</v>
      </c>
      <c r="L457" s="21"/>
      <c r="M457" s="22">
        <f>(PROVEEDORES[[#This Row],[SUBTOTAL]]-PROVEEDORES[[#This Row],[descuento sobre subtotal]])*VLOOKUP(PROVEEDORES[[#This Row],[PROVEEDOR]],TERCEROS_INFO[#All],3,FALSE)</f>
        <v>355680</v>
      </c>
      <c r="N457" s="23"/>
      <c r="O457" s="22">
        <f>+PROVEEDORES[[#This Row],[Descuento sobre subtotal %]]*(PROVEEDORES[[#This Row],[SUBTOTAL]]-PROVEEDORES[[#This Row],[descuento sobre subtotal]])</f>
        <v>0</v>
      </c>
      <c r="P457" s="74">
        <v>2.5000000000000001E-2</v>
      </c>
      <c r="Q457" s="22">
        <f>+PROVEEDORES[[#This Row],[Rete Fuente %]]*(PROVEEDORES[[#This Row],[SUBTOTAL]]-PROVEEDORES[[#This Row],[descuento sobre subtotal]])</f>
        <v>46800</v>
      </c>
      <c r="R457" s="21">
        <f>+PROVEEDORES[[#This Row],[SUBTOTAL]]+PROVEEDORES[[#This Row],[IVA 19%]]-PROVEEDORES[[#This Row],[descuento sobre subtotal]]-PROVEEDORES[[#This Row],[Descuento sobre subtotal $2]]-PROVEEDORES[[#This Row],[Rete Fuente $]]</f>
        <v>2180880</v>
      </c>
      <c r="S457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63">
        <f ca="1">IF(PROVEEDORES[[#This Row],[FECHA DE PAGO]]=0,TODAY()-PROVEEDORES[[#This Row],[FECHA DE FACTURACIÓN]]-PROVEEDORES[[#This Row],[PLAZO Días]],0)</f>
        <v>0</v>
      </c>
      <c r="U457" s="104">
        <f>+VLOOKUP(PROVEEDORES[[#This Row],[PROVEEDOR]],Terceros!$A:$D,4,FALSE)</f>
        <v>0</v>
      </c>
      <c r="V457" s="105">
        <f>+YEAR(PROVEEDORES[[#This Row],[FECHA DE FACTURACIÓN]])</f>
        <v>2022</v>
      </c>
      <c r="W457" s="105">
        <f>+MATCH(PROVEEDORES[[#This Row],[año facturado]],Retenciones!$1:$1,0)</f>
        <v>5</v>
      </c>
      <c r="X457" s="106">
        <f>+VLOOKUP(PROVEEDORES[[#This Row],[ID RETENCION]],Retenciones!$A$1:$O$25,PROVEEDORES[[#This Row],[indicador de columna]],FALSE)</f>
        <v>0</v>
      </c>
      <c r="Y457" s="107">
        <f>+VLOOKUP(PROVEEDORES[[#This Row],[ID RETENCION]],Retenciones!$A$1:$O$25,2,FALSE)</f>
        <v>0</v>
      </c>
      <c r="Z457" s="116" t="b">
        <f>OR(COUNTIF(PROVEEDORES[[#This Row],[PROVEEDOR]],"*"&amp;'Palabra no opera'!$A$2&amp;"*"))</f>
        <v>0</v>
      </c>
    </row>
    <row r="458" spans="1:26" ht="22.35" customHeight="1" x14ac:dyDescent="0.3">
      <c r="A458" s="146" t="str">
        <f>+IF(PROVEEDORES[[#This Row],[FECHA DE PAGO]]=PROVEEDORES[[#This Row],[FECHA DE FACTURACIÓN]],"DE CONTADO","CRÉDITO")</f>
        <v>CRÉDITO</v>
      </c>
      <c r="B458" s="38" t="b">
        <f>+IF((PROVEEDORES[[#This Row],[FECHA DE PAGO]]-PROVEEDORES[[#This Row],[FECHA DE FACTURACIÓN]])&gt;PROVEEDORES[[#This Row],[PLAZO Días]],"PAGO VENCIDO")</f>
        <v>0</v>
      </c>
      <c r="C458" s="20">
        <f>+VLOOKUP(PROVEEDORES[[#This Row],[PROVEEDOR]],TERCEROS_INFO[#All],2,FALSE)</f>
        <v>30</v>
      </c>
      <c r="D458" s="25">
        <f>+SUMIFS(PROVEEDORES[Total],PROVEEDORES[PROVEEDOR],PROVEEDORES[[#This Row],[PROVEEDOR]],PROVEEDORES[FECHA DE PAGO],"")</f>
        <v>0</v>
      </c>
      <c r="E458" s="25"/>
      <c r="F45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58" s="68">
        <v>44726</v>
      </c>
      <c r="H458" s="26" t="s">
        <v>227</v>
      </c>
      <c r="I458" s="68">
        <v>44725</v>
      </c>
      <c r="J458" s="35" t="s">
        <v>807</v>
      </c>
      <c r="K458" s="21">
        <v>1796000</v>
      </c>
      <c r="L458" s="21"/>
      <c r="M458" s="22">
        <f>(PROVEEDORES[[#This Row],[SUBTOTAL]]-PROVEEDORES[[#This Row],[descuento sobre subtotal]])*VLOOKUP(PROVEEDORES[[#This Row],[PROVEEDOR]],TERCEROS_INFO[#All],3,FALSE)</f>
        <v>0</v>
      </c>
      <c r="N458" s="23"/>
      <c r="O458" s="22">
        <f>+PROVEEDORES[[#This Row],[Descuento sobre subtotal %]]*(PROVEEDORES[[#This Row],[SUBTOTAL]]-PROVEEDORES[[#This Row],[descuento sobre subtotal]])</f>
        <v>0</v>
      </c>
      <c r="P458" s="74">
        <f>+IF(PROVEEDORES[[#This Row],[SUBTOTAL]]&lt;PROVEEDORES[[#This Row],[base retencion]],0,PROVEEDORES[[#This Row],[retención aplicada]])</f>
        <v>0</v>
      </c>
      <c r="Q458" s="22">
        <f>+PROVEEDORES[[#This Row],[Rete Fuente %]]*(PROVEEDORES[[#This Row],[SUBTOTAL]]-PROVEEDORES[[#This Row],[descuento sobre subtotal]])</f>
        <v>0</v>
      </c>
      <c r="R458" s="21">
        <f>+PROVEEDORES[[#This Row],[SUBTOTAL]]+PROVEEDORES[[#This Row],[IVA 19%]]-PROVEEDORES[[#This Row],[descuento sobre subtotal]]-PROVEEDORES[[#This Row],[Descuento sobre subtotal $2]]-PROVEEDORES[[#This Row],[Rete Fuente $]]</f>
        <v>1796000</v>
      </c>
      <c r="S458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63">
        <f ca="1">IF(PROVEEDORES[[#This Row],[FECHA DE PAGO]]=0,TODAY()-PROVEEDORES[[#This Row],[FECHA DE FACTURACIÓN]]-PROVEEDORES[[#This Row],[PLAZO Días]],0)</f>
        <v>0</v>
      </c>
      <c r="U458" s="104">
        <f>+VLOOKUP(PROVEEDORES[[#This Row],[PROVEEDOR]],Terceros!$A:$D,4,FALSE)</f>
        <v>0</v>
      </c>
      <c r="V458" s="105">
        <f>+YEAR(PROVEEDORES[[#This Row],[FECHA DE FACTURACIÓN]])</f>
        <v>2022</v>
      </c>
      <c r="W458" s="105">
        <f>+MATCH(PROVEEDORES[[#This Row],[año facturado]],Retenciones!$1:$1,0)</f>
        <v>5</v>
      </c>
      <c r="X458" s="106">
        <f>+VLOOKUP(PROVEEDORES[[#This Row],[ID RETENCION]],Retenciones!$A$1:$O$25,PROVEEDORES[[#This Row],[indicador de columna]],FALSE)</f>
        <v>0</v>
      </c>
      <c r="Y458" s="107">
        <f>+VLOOKUP(PROVEEDORES[[#This Row],[ID RETENCION]],Retenciones!$A$1:$O$25,2,FALSE)</f>
        <v>0</v>
      </c>
      <c r="Z458" s="116" t="b">
        <f>OR(COUNTIF(PROVEEDORES[[#This Row],[PROVEEDOR]],"*"&amp;'Palabra no opera'!$A$2&amp;"*"))</f>
        <v>0</v>
      </c>
    </row>
    <row r="459" spans="1:26" ht="22.35" customHeight="1" x14ac:dyDescent="0.3">
      <c r="A459" s="135" t="str">
        <f>+IF(PROVEEDORES[[#This Row],[FECHA DE PAGO]]=PROVEEDORES[[#This Row],[FECHA DE FACTURACIÓN]],"DE CONTADO","CRÉDITO")</f>
        <v>CRÉDITO</v>
      </c>
      <c r="B459" s="38" t="b">
        <f>+IF((PROVEEDORES[[#This Row],[FECHA DE PAGO]]-PROVEEDORES[[#This Row],[FECHA DE FACTURACIÓN]])&gt;PROVEEDORES[[#This Row],[PLAZO Días]],"PAGO VENCIDO")</f>
        <v>0</v>
      </c>
      <c r="C459" s="20">
        <f>+VLOOKUP(PROVEEDORES[[#This Row],[PROVEEDOR]],TERCEROS_INFO[#All],2,FALSE)</f>
        <v>30</v>
      </c>
      <c r="D459" s="25">
        <f>+SUMIFS(PROVEEDORES[Total],PROVEEDORES[PROVEEDOR],PROVEEDORES[[#This Row],[PROVEEDOR]],PROVEEDORES[FECHA DE PAGO],"")</f>
        <v>0</v>
      </c>
      <c r="E459" s="25"/>
      <c r="F459" s="56" t="str">
        <f>+VLOOKUP(PROVEEDORES[[#This Row],[PROVEEDOR]],
                       Terceros!$A:$F,
                       5,
                       FALSE)</f>
        <v/>
      </c>
      <c r="G459" s="68">
        <v>44727</v>
      </c>
      <c r="H459" s="26" t="s">
        <v>832</v>
      </c>
      <c r="I459" s="68">
        <v>44713</v>
      </c>
      <c r="J459" s="35" t="s">
        <v>718</v>
      </c>
      <c r="K459" s="21">
        <v>239600</v>
      </c>
      <c r="L459" s="21"/>
      <c r="M459" s="22">
        <f>(PROVEEDORES[[#This Row],[SUBTOTAL]]-PROVEEDORES[[#This Row],[descuento sobre subtotal]])*VLOOKUP(PROVEEDORES[[#This Row],[PROVEEDOR]],TERCEROS_INFO[#All],3,FALSE)</f>
        <v>0</v>
      </c>
      <c r="N459" s="23"/>
      <c r="O459" s="22">
        <f>+PROVEEDORES[[#This Row],[Descuento sobre subtotal %]]*(PROVEEDORES[[#This Row],[SUBTOTAL]]-PROVEEDORES[[#This Row],[descuento sobre subtotal]])</f>
        <v>0</v>
      </c>
      <c r="P459" s="74">
        <f>+IF(PROVEEDORES[[#This Row],[SUBTOTAL]]&lt;PROVEEDORES[[#This Row],[base retencion]],0,PROVEEDORES[[#This Row],[retención aplicada]])</f>
        <v>0</v>
      </c>
      <c r="Q459" s="22">
        <f>+PROVEEDORES[[#This Row],[Rete Fuente %]]*(PROVEEDORES[[#This Row],[SUBTOTAL]]-PROVEEDORES[[#This Row],[descuento sobre subtotal]])</f>
        <v>0</v>
      </c>
      <c r="R459" s="21">
        <f>+PROVEEDORES[[#This Row],[SUBTOTAL]]+PROVEEDORES[[#This Row],[IVA 19%]]-PROVEEDORES[[#This Row],[descuento sobre subtotal]]-PROVEEDORES[[#This Row],[Descuento sobre subtotal $2]]-PROVEEDORES[[#This Row],[Rete Fuente $]]</f>
        <v>239600</v>
      </c>
      <c r="S459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63">
        <f ca="1">IF(PROVEEDORES[[#This Row],[FECHA DE PAGO]]=0,TODAY()-PROVEEDORES[[#This Row],[FECHA DE FACTURACIÓN]]-PROVEEDORES[[#This Row],[PLAZO Días]],0)</f>
        <v>0</v>
      </c>
      <c r="U459" s="104">
        <f>+VLOOKUP(PROVEEDORES[[#This Row],[PROVEEDOR]],Terceros!$A:$D,4,FALSE)</f>
        <v>0</v>
      </c>
      <c r="V459" s="105">
        <f>+YEAR(PROVEEDORES[[#This Row],[FECHA DE FACTURACIÓN]])</f>
        <v>2022</v>
      </c>
      <c r="W459" s="105">
        <f>+MATCH(PROVEEDORES[[#This Row],[año facturado]],Retenciones!$1:$1,0)</f>
        <v>5</v>
      </c>
      <c r="X459" s="106">
        <f>+VLOOKUP(PROVEEDORES[[#This Row],[ID RETENCION]],Retenciones!$A$1:$O$25,PROVEEDORES[[#This Row],[indicador de columna]],FALSE)</f>
        <v>0</v>
      </c>
      <c r="Y459" s="107">
        <f>+VLOOKUP(PROVEEDORES[[#This Row],[ID RETENCION]],Retenciones!$A$1:$O$25,2,FALSE)</f>
        <v>0</v>
      </c>
      <c r="Z459" s="116" t="b">
        <f>OR(COUNTIF(PROVEEDORES[[#This Row],[PROVEEDOR]],"*"&amp;'Palabra no opera'!$A$2&amp;"*"))</f>
        <v>1</v>
      </c>
    </row>
    <row r="460" spans="1:26" ht="22.35" customHeight="1" x14ac:dyDescent="0.3">
      <c r="A460" s="148" t="str">
        <f>+IF(PROVEEDORES[[#This Row],[FECHA DE PAGO]]=PROVEEDORES[[#This Row],[FECHA DE FACTURACIÓN]],"DE CONTADO","CRÉDITO")</f>
        <v>CRÉDITO</v>
      </c>
      <c r="B460" s="38" t="b">
        <f>+IF((PROVEEDORES[[#This Row],[FECHA DE PAGO]]-PROVEEDORES[[#This Row],[FECHA DE FACTURACIÓN]])&gt;PROVEEDORES[[#This Row],[PLAZO Días]],"PAGO VENCIDO")</f>
        <v>0</v>
      </c>
      <c r="C460" s="20">
        <f>+VLOOKUP(PROVEEDORES[[#This Row],[PROVEEDOR]],TERCEROS_INFO[#All],2,FALSE)</f>
        <v>30</v>
      </c>
      <c r="D460" s="25">
        <f>+SUMIFS(PROVEEDORES[Total],PROVEEDORES[PROVEEDOR],PROVEEDORES[[#This Row],[PROVEEDOR]],PROVEEDORES[FECHA DE PAGO],"")</f>
        <v>0</v>
      </c>
      <c r="E460" s="25"/>
      <c r="F460" s="56" t="str">
        <f>+VLOOKUP(PROVEEDORES[[#This Row],[PROVEEDOR]],
                       Terceros!$A:$F,
                       5,
                       FALSE)</f>
        <v/>
      </c>
      <c r="G460" s="68">
        <v>44727</v>
      </c>
      <c r="H460" s="26" t="s">
        <v>832</v>
      </c>
      <c r="I460" s="68">
        <v>44725</v>
      </c>
      <c r="J460" s="35" t="s">
        <v>733</v>
      </c>
      <c r="K460" s="21">
        <v>128900</v>
      </c>
      <c r="L460" s="21"/>
      <c r="M460" s="22">
        <f>(PROVEEDORES[[#This Row],[SUBTOTAL]]-PROVEEDORES[[#This Row],[descuento sobre subtotal]])*VLOOKUP(PROVEEDORES[[#This Row],[PROVEEDOR]],TERCEROS_INFO[#All],3,FALSE)</f>
        <v>0</v>
      </c>
      <c r="N460" s="23"/>
      <c r="O460" s="22">
        <f>+PROVEEDORES[[#This Row],[Descuento sobre subtotal %]]*(PROVEEDORES[[#This Row],[SUBTOTAL]]-PROVEEDORES[[#This Row],[descuento sobre subtotal]])</f>
        <v>0</v>
      </c>
      <c r="P460" s="74">
        <f>+IF(PROVEEDORES[[#This Row],[SUBTOTAL]]&lt;PROVEEDORES[[#This Row],[base retencion]],0,PROVEEDORES[[#This Row],[retención aplicada]])</f>
        <v>0</v>
      </c>
      <c r="Q460" s="22">
        <f>+PROVEEDORES[[#This Row],[Rete Fuente %]]*(PROVEEDORES[[#This Row],[SUBTOTAL]]-PROVEEDORES[[#This Row],[descuento sobre subtotal]])</f>
        <v>0</v>
      </c>
      <c r="R460" s="21">
        <f>+PROVEEDORES[[#This Row],[SUBTOTAL]]+PROVEEDORES[[#This Row],[IVA 19%]]-PROVEEDORES[[#This Row],[descuento sobre subtotal]]-PROVEEDORES[[#This Row],[Descuento sobre subtotal $2]]-PROVEEDORES[[#This Row],[Rete Fuente $]]</f>
        <v>128900</v>
      </c>
      <c r="S460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63">
        <f ca="1">IF(PROVEEDORES[[#This Row],[FECHA DE PAGO]]=0,TODAY()-PROVEEDORES[[#This Row],[FECHA DE FACTURACIÓN]]-PROVEEDORES[[#This Row],[PLAZO Días]],0)</f>
        <v>0</v>
      </c>
      <c r="U460" s="104">
        <f>+VLOOKUP(PROVEEDORES[[#This Row],[PROVEEDOR]],Terceros!$A:$D,4,FALSE)</f>
        <v>0</v>
      </c>
      <c r="V460" s="105">
        <f>+YEAR(PROVEEDORES[[#This Row],[FECHA DE FACTURACIÓN]])</f>
        <v>2022</v>
      </c>
      <c r="W460" s="105">
        <f>+MATCH(PROVEEDORES[[#This Row],[año facturado]],Retenciones!$1:$1,0)</f>
        <v>5</v>
      </c>
      <c r="X460" s="106">
        <f>+VLOOKUP(PROVEEDORES[[#This Row],[ID RETENCION]],Retenciones!$A$1:$O$25,PROVEEDORES[[#This Row],[indicador de columna]],FALSE)</f>
        <v>0</v>
      </c>
      <c r="Y460" s="107">
        <f>+VLOOKUP(PROVEEDORES[[#This Row],[ID RETENCION]],Retenciones!$A$1:$O$25,2,FALSE)</f>
        <v>0</v>
      </c>
      <c r="Z460" s="116" t="b">
        <f>OR(COUNTIF(PROVEEDORES[[#This Row],[PROVEEDOR]],"*"&amp;'Palabra no opera'!$A$2&amp;"*"))</f>
        <v>1</v>
      </c>
    </row>
    <row r="461" spans="1:26" ht="22.35" customHeight="1" x14ac:dyDescent="0.3">
      <c r="A461" s="148" t="str">
        <f>+IF(PROVEEDORES[[#This Row],[FECHA DE PAGO]]=PROVEEDORES[[#This Row],[FECHA DE FACTURACIÓN]],"DE CONTADO","CRÉDITO")</f>
        <v>CRÉDITO</v>
      </c>
      <c r="B461" s="38" t="b">
        <f>+IF((PROVEEDORES[[#This Row],[FECHA DE PAGO]]-PROVEEDORES[[#This Row],[FECHA DE FACTURACIÓN]])&gt;PROVEEDORES[[#This Row],[PLAZO Días]],"PAGO VENCIDO")</f>
        <v>0</v>
      </c>
      <c r="C461" s="20">
        <f>+VLOOKUP(PROVEEDORES[[#This Row],[PROVEEDOR]],TERCEROS_INFO[#All],2,FALSE)</f>
        <v>30</v>
      </c>
      <c r="D461" s="25">
        <f>+SUMIFS(PROVEEDORES[Total],PROVEEDORES[PROVEEDOR],PROVEEDORES[[#This Row],[PROVEEDOR]],PROVEEDORES[FECHA DE PAGO],"")</f>
        <v>0</v>
      </c>
      <c r="E461" s="25"/>
      <c r="F461" s="56" t="str">
        <f>+VLOOKUP(PROVEEDORES[[#This Row],[PROVEEDOR]],
                       Terceros!$A:$F,
                       5,
                       FALSE)</f>
        <v/>
      </c>
      <c r="G461" s="68">
        <v>44728</v>
      </c>
      <c r="H461" s="26" t="s">
        <v>53</v>
      </c>
      <c r="I461" s="68">
        <v>44727</v>
      </c>
      <c r="J461" s="35">
        <v>291707</v>
      </c>
      <c r="K461" s="21">
        <v>2134000</v>
      </c>
      <c r="L461" s="21"/>
      <c r="M461" s="22">
        <f>(PROVEEDORES[[#This Row],[SUBTOTAL]]-PROVEEDORES[[#This Row],[descuento sobre subtotal]])*VLOOKUP(PROVEEDORES[[#This Row],[PROVEEDOR]],TERCEROS_INFO[#All],3,FALSE)</f>
        <v>0</v>
      </c>
      <c r="N461" s="23"/>
      <c r="O461" s="22">
        <f>+PROVEEDORES[[#This Row],[Descuento sobre subtotal %]]*(PROVEEDORES[[#This Row],[SUBTOTAL]]-PROVEEDORES[[#This Row],[descuento sobre subtotal]])</f>
        <v>0</v>
      </c>
      <c r="P461" s="74">
        <f>+IF(PROVEEDORES[[#This Row],[SUBTOTAL]]&lt;PROVEEDORES[[#This Row],[base retencion]],0,PROVEEDORES[[#This Row],[retención aplicada]])</f>
        <v>0</v>
      </c>
      <c r="Q461" s="22">
        <f>+PROVEEDORES[[#This Row],[Rete Fuente %]]*(PROVEEDORES[[#This Row],[SUBTOTAL]]-PROVEEDORES[[#This Row],[descuento sobre subtotal]])</f>
        <v>0</v>
      </c>
      <c r="R461" s="21">
        <f>+PROVEEDORES[[#This Row],[SUBTOTAL]]+PROVEEDORES[[#This Row],[IVA 19%]]-PROVEEDORES[[#This Row],[descuento sobre subtotal]]-PROVEEDORES[[#This Row],[Descuento sobre subtotal $2]]-PROVEEDORES[[#This Row],[Rete Fuente $]]</f>
        <v>2134000</v>
      </c>
      <c r="S46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63">
        <f ca="1">IF(PROVEEDORES[[#This Row],[FECHA DE PAGO]]=0,TODAY()-PROVEEDORES[[#This Row],[FECHA DE FACTURACIÓN]]-PROVEEDORES[[#This Row],[PLAZO Días]],0)</f>
        <v>0</v>
      </c>
      <c r="U461" s="104">
        <f>+VLOOKUP(PROVEEDORES[[#This Row],[PROVEEDOR]],Terceros!$A:$D,4,FALSE)</f>
        <v>0</v>
      </c>
      <c r="V461" s="105">
        <f>+YEAR(PROVEEDORES[[#This Row],[FECHA DE FACTURACIÓN]])</f>
        <v>2022</v>
      </c>
      <c r="W461" s="105">
        <f>+MATCH(PROVEEDORES[[#This Row],[año facturado]],Retenciones!$1:$1,0)</f>
        <v>5</v>
      </c>
      <c r="X461" s="106">
        <f>+VLOOKUP(PROVEEDORES[[#This Row],[ID RETENCION]],Retenciones!$A$1:$O$25,PROVEEDORES[[#This Row],[indicador de columna]],FALSE)</f>
        <v>0</v>
      </c>
      <c r="Y461" s="107">
        <f>+VLOOKUP(PROVEEDORES[[#This Row],[ID RETENCION]],Retenciones!$A$1:$O$25,2,FALSE)</f>
        <v>0</v>
      </c>
      <c r="Z461" s="116" t="b">
        <f>OR(COUNTIF(PROVEEDORES[[#This Row],[PROVEEDOR]],"*"&amp;'Palabra no opera'!$A$2&amp;"*"))</f>
        <v>0</v>
      </c>
    </row>
    <row r="462" spans="1:26" ht="22.35" customHeight="1" x14ac:dyDescent="0.3">
      <c r="A462" s="148" t="str">
        <f>+IF(PROVEEDORES[[#This Row],[FECHA DE PAGO]]=PROVEEDORES[[#This Row],[FECHA DE FACTURACIÓN]],"DE CONTADO","CRÉDITO")</f>
        <v>CRÉDITO</v>
      </c>
      <c r="B462" s="38" t="b">
        <f>+IF((PROVEEDORES[[#This Row],[FECHA DE PAGO]]-PROVEEDORES[[#This Row],[FECHA DE FACTURACIÓN]])&gt;PROVEEDORES[[#This Row],[PLAZO Días]],"PAGO VENCIDO")</f>
        <v>0</v>
      </c>
      <c r="C462" s="20">
        <f>+VLOOKUP(PROVEEDORES[[#This Row],[PROVEEDOR]],TERCEROS_INFO[#All],2,FALSE)</f>
        <v>30</v>
      </c>
      <c r="D462" s="25">
        <f>+SUMIFS(PROVEEDORES[Total],PROVEEDORES[PROVEEDOR],PROVEEDORES[[#This Row],[PROVEEDOR]],PROVEEDORES[FECHA DE PAGO],"")</f>
        <v>0</v>
      </c>
      <c r="E462" s="25"/>
      <c r="F462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62" s="68">
        <v>44728</v>
      </c>
      <c r="H462" s="26" t="s">
        <v>227</v>
      </c>
      <c r="I462" s="68">
        <v>44727</v>
      </c>
      <c r="J462" s="35" t="s">
        <v>808</v>
      </c>
      <c r="K462" s="21">
        <v>1919000</v>
      </c>
      <c r="L462" s="21"/>
      <c r="M462" s="22">
        <f>(PROVEEDORES[[#This Row],[SUBTOTAL]]-PROVEEDORES[[#This Row],[descuento sobre subtotal]])*VLOOKUP(PROVEEDORES[[#This Row],[PROVEEDOR]],TERCEROS_INFO[#All],3,FALSE)</f>
        <v>0</v>
      </c>
      <c r="N462" s="23"/>
      <c r="O462" s="22">
        <f>+PROVEEDORES[[#This Row],[Descuento sobre subtotal %]]*(PROVEEDORES[[#This Row],[SUBTOTAL]]-PROVEEDORES[[#This Row],[descuento sobre subtotal]])</f>
        <v>0</v>
      </c>
      <c r="P462" s="74">
        <f>+IF(PROVEEDORES[[#This Row],[SUBTOTAL]]&lt;PROVEEDORES[[#This Row],[base retencion]],0,PROVEEDORES[[#This Row],[retención aplicada]])</f>
        <v>0</v>
      </c>
      <c r="Q462" s="22">
        <f>+PROVEEDORES[[#This Row],[Rete Fuente %]]*(PROVEEDORES[[#This Row],[SUBTOTAL]]-PROVEEDORES[[#This Row],[descuento sobre subtotal]])</f>
        <v>0</v>
      </c>
      <c r="R462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46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63">
        <f ca="1">IF(PROVEEDORES[[#This Row],[FECHA DE PAGO]]=0,TODAY()-PROVEEDORES[[#This Row],[FECHA DE FACTURACIÓN]]-PROVEEDORES[[#This Row],[PLAZO Días]],0)</f>
        <v>0</v>
      </c>
      <c r="U462" s="104">
        <f>+VLOOKUP(PROVEEDORES[[#This Row],[PROVEEDOR]],Terceros!$A:$D,4,FALSE)</f>
        <v>0</v>
      </c>
      <c r="V462" s="105">
        <f>+YEAR(PROVEEDORES[[#This Row],[FECHA DE FACTURACIÓN]])</f>
        <v>2022</v>
      </c>
      <c r="W462" s="105">
        <f>+MATCH(PROVEEDORES[[#This Row],[año facturado]],Retenciones!$1:$1,0)</f>
        <v>5</v>
      </c>
      <c r="X462" s="106">
        <f>+VLOOKUP(PROVEEDORES[[#This Row],[ID RETENCION]],Retenciones!$A$1:$O$25,PROVEEDORES[[#This Row],[indicador de columna]],FALSE)</f>
        <v>0</v>
      </c>
      <c r="Y462" s="107">
        <f>+VLOOKUP(PROVEEDORES[[#This Row],[ID RETENCION]],Retenciones!$A$1:$O$25,2,FALSE)</f>
        <v>0</v>
      </c>
      <c r="Z462" s="116" t="b">
        <f>OR(COUNTIF(PROVEEDORES[[#This Row],[PROVEEDOR]],"*"&amp;'Palabra no opera'!$A$2&amp;"*"))</f>
        <v>0</v>
      </c>
    </row>
    <row r="463" spans="1:26" ht="22.35" customHeight="1" x14ac:dyDescent="0.3">
      <c r="A463" s="148" t="str">
        <f>+IF(PROVEEDORES[[#This Row],[FECHA DE PAGO]]=PROVEEDORES[[#This Row],[FECHA DE FACTURACIÓN]],"DE CONTADO","CRÉDITO")</f>
        <v>DE CONTADO</v>
      </c>
      <c r="B463" s="38" t="b">
        <f>+IF((PROVEEDORES[[#This Row],[FECHA DE PAGO]]-PROVEEDORES[[#This Row],[FECHA DE FACTURACIÓN]])&gt;PROVEEDORES[[#This Row],[PLAZO Días]],"PAGO VENCIDO")</f>
        <v>0</v>
      </c>
      <c r="C463" s="20">
        <f>+VLOOKUP(PROVEEDORES[[#This Row],[PROVEEDOR]],TERCEROS_INFO[#All],2,FALSE)</f>
        <v>30</v>
      </c>
      <c r="D463" s="25">
        <f>+SUMIFS(PROVEEDORES[Total],PROVEEDORES[PROVEEDOR],PROVEEDORES[[#This Row],[PROVEEDOR]],PROVEEDORES[FECHA DE PAGO],"")</f>
        <v>0</v>
      </c>
      <c r="E463" s="25"/>
      <c r="F463" s="56" t="str">
        <f>+VLOOKUP(PROVEEDORES[[#This Row],[PROVEEDOR]],
                       Terceros!$A:$F,
                       5,
                       FALSE)</f>
        <v/>
      </c>
      <c r="G463" s="68">
        <v>44729</v>
      </c>
      <c r="H463" s="26" t="s">
        <v>390</v>
      </c>
      <c r="I463" s="68">
        <v>44729</v>
      </c>
      <c r="J463" s="35"/>
      <c r="K463" s="21">
        <v>1000000</v>
      </c>
      <c r="L463" s="21"/>
      <c r="M463" s="22">
        <f>(PROVEEDORES[[#This Row],[SUBTOTAL]]-PROVEEDORES[[#This Row],[descuento sobre subtotal]])*VLOOKUP(PROVEEDORES[[#This Row],[PROVEEDOR]],TERCEROS_INFO[#All],3,FALSE)</f>
        <v>0</v>
      </c>
      <c r="N463" s="23"/>
      <c r="O463" s="22">
        <f>+PROVEEDORES[[#This Row],[Descuento sobre subtotal %]]*(PROVEEDORES[[#This Row],[SUBTOTAL]]-PROVEEDORES[[#This Row],[descuento sobre subtotal]])</f>
        <v>0</v>
      </c>
      <c r="P463" s="74">
        <f>+IF(PROVEEDORES[[#This Row],[SUBTOTAL]]&lt;PROVEEDORES[[#This Row],[base retencion]],0,PROVEEDORES[[#This Row],[retención aplicada]])</f>
        <v>0</v>
      </c>
      <c r="Q463" s="22">
        <f>+PROVEEDORES[[#This Row],[Rete Fuente %]]*(PROVEEDORES[[#This Row],[SUBTOTAL]]-PROVEEDORES[[#This Row],[descuento sobre subtotal]])</f>
        <v>0</v>
      </c>
      <c r="R46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6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63">
        <f ca="1">IF(PROVEEDORES[[#This Row],[FECHA DE PAGO]]=0,TODAY()-PROVEEDORES[[#This Row],[FECHA DE FACTURACIÓN]]-PROVEEDORES[[#This Row],[PLAZO Días]],0)</f>
        <v>0</v>
      </c>
      <c r="U463" s="104">
        <f>+VLOOKUP(PROVEEDORES[[#This Row],[PROVEEDOR]],Terceros!$A:$D,4,FALSE)</f>
        <v>0</v>
      </c>
      <c r="V463" s="105">
        <f>+YEAR(PROVEEDORES[[#This Row],[FECHA DE FACTURACIÓN]])</f>
        <v>2022</v>
      </c>
      <c r="W463" s="105">
        <f>+MATCH(PROVEEDORES[[#This Row],[año facturado]],Retenciones!$1:$1,0)</f>
        <v>5</v>
      </c>
      <c r="X463" s="106">
        <f>+VLOOKUP(PROVEEDORES[[#This Row],[ID RETENCION]],Retenciones!$A$1:$O$25,PROVEEDORES[[#This Row],[indicador de columna]],FALSE)</f>
        <v>0</v>
      </c>
      <c r="Y463" s="107">
        <f>+VLOOKUP(PROVEEDORES[[#This Row],[ID RETENCION]],Retenciones!$A$1:$O$25,2,FALSE)</f>
        <v>0</v>
      </c>
      <c r="Z463" s="116" t="b">
        <f>OR(COUNTIF(PROVEEDORES[[#This Row],[PROVEEDOR]],"*"&amp;'Palabra no opera'!$A$2&amp;"*"))</f>
        <v>0</v>
      </c>
    </row>
    <row r="464" spans="1:26" ht="22.35" customHeight="1" x14ac:dyDescent="0.3">
      <c r="A464" s="135" t="str">
        <f>+IF(PROVEEDORES[[#This Row],[FECHA DE PAGO]]=PROVEEDORES[[#This Row],[FECHA DE FACTURACIÓN]],"DE CONTADO","CRÉDITO")</f>
        <v>CRÉDITO</v>
      </c>
      <c r="B464" s="38" t="b">
        <f>+IF((PROVEEDORES[[#This Row],[FECHA DE PAGO]]-PROVEEDORES[[#This Row],[FECHA DE FACTURACIÓN]])&gt;PROVEEDORES[[#This Row],[PLAZO Días]],"PAGO VENCIDO")</f>
        <v>0</v>
      </c>
      <c r="C464" s="20">
        <f>+VLOOKUP(PROVEEDORES[[#This Row],[PROVEEDOR]],TERCEROS_INFO[#All],2,FALSE)</f>
        <v>30</v>
      </c>
      <c r="D464" s="25">
        <f>+SUMIFS(PROVEEDORES[Total],PROVEEDORES[PROVEEDOR],PROVEEDORES[[#This Row],[PROVEEDOR]],PROVEEDORES[FECHA DE PAGO],"")</f>
        <v>0</v>
      </c>
      <c r="E464" s="25"/>
      <c r="F46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64" s="68">
        <v>44729</v>
      </c>
      <c r="H464" s="26" t="s">
        <v>623</v>
      </c>
      <c r="I464" s="68">
        <v>44713</v>
      </c>
      <c r="J464" s="35" t="s">
        <v>712</v>
      </c>
      <c r="K464" s="21">
        <v>4222</v>
      </c>
      <c r="L464" s="21"/>
      <c r="M464" s="22">
        <f>(PROVEEDORES[[#This Row],[SUBTOTAL]]-PROVEEDORES[[#This Row],[descuento sobre subtotal]])*VLOOKUP(PROVEEDORES[[#This Row],[PROVEEDOR]],TERCEROS_INFO[#All],3,FALSE)</f>
        <v>802.18000000000006</v>
      </c>
      <c r="N464" s="23"/>
      <c r="O464" s="22">
        <f>+PROVEEDORES[[#This Row],[Descuento sobre subtotal %]]*(PROVEEDORES[[#This Row],[SUBTOTAL]]-PROVEEDORES[[#This Row],[descuento sobre subtotal]])</f>
        <v>0</v>
      </c>
      <c r="P464" s="74">
        <v>0</v>
      </c>
      <c r="Q464" s="22">
        <f>+PROVEEDORES[[#This Row],[Rete Fuente %]]*(PROVEEDORES[[#This Row],[SUBTOTAL]]-PROVEEDORES[[#This Row],[descuento sobre subtotal]])</f>
        <v>0</v>
      </c>
      <c r="R464" s="21">
        <f>+PROVEEDORES[[#This Row],[SUBTOTAL]]+PROVEEDORES[[#This Row],[IVA 19%]]-PROVEEDORES[[#This Row],[descuento sobre subtotal]]-PROVEEDORES[[#This Row],[Descuento sobre subtotal $2]]-PROVEEDORES[[#This Row],[Rete Fuente $]]</f>
        <v>5024.18</v>
      </c>
      <c r="S464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63">
        <f ca="1">IF(PROVEEDORES[[#This Row],[FECHA DE PAGO]]=0,TODAY()-PROVEEDORES[[#This Row],[FECHA DE FACTURACIÓN]]-PROVEEDORES[[#This Row],[PLAZO Días]],0)</f>
        <v>0</v>
      </c>
      <c r="U464" s="104" t="str">
        <f>+VLOOKUP(PROVEEDORES[[#This Row],[PROVEEDOR]],Terceros!$A:$D,4,FALSE)</f>
        <v>4% sin base</v>
      </c>
      <c r="V464" s="105">
        <f>+YEAR(PROVEEDORES[[#This Row],[FECHA DE FACTURACIÓN]])</f>
        <v>2022</v>
      </c>
      <c r="W464" s="105">
        <f>+MATCH(PROVEEDORES[[#This Row],[año facturado]],Retenciones!$1:$1,0)</f>
        <v>5</v>
      </c>
      <c r="X464" s="106">
        <f>+VLOOKUP(PROVEEDORES[[#This Row],[ID RETENCION]],Retenciones!$A$1:$O$25,PROVEEDORES[[#This Row],[indicador de columna]],FALSE)</f>
        <v>0</v>
      </c>
      <c r="Y464" s="107">
        <f>+VLOOKUP(PROVEEDORES[[#This Row],[ID RETENCION]],Retenciones!$A$1:$O$25,2,FALSE)</f>
        <v>0.04</v>
      </c>
      <c r="Z464" s="116" t="b">
        <f>OR(COUNTIF(PROVEEDORES[[#This Row],[PROVEEDOR]],"*"&amp;'Palabra no opera'!$A$2&amp;"*"))</f>
        <v>1</v>
      </c>
    </row>
    <row r="465" spans="1:26" ht="22.35" customHeight="1" x14ac:dyDescent="0.3">
      <c r="A465" s="135" t="str">
        <f>+IF(PROVEEDORES[[#This Row],[FECHA DE PAGO]]=PROVEEDORES[[#This Row],[FECHA DE FACTURACIÓN]],"DE CONTADO","CRÉDITO")</f>
        <v>CRÉDITO</v>
      </c>
      <c r="B465" s="38" t="b">
        <f>+IF((PROVEEDORES[[#This Row],[FECHA DE PAGO]]-PROVEEDORES[[#This Row],[FECHA DE FACTURACIÓN]])&gt;PROVEEDORES[[#This Row],[PLAZO Días]],"PAGO VENCIDO")</f>
        <v>0</v>
      </c>
      <c r="C465" s="20">
        <f>+VLOOKUP(PROVEEDORES[[#This Row],[PROVEEDOR]],TERCEROS_INFO[#All],2,FALSE)</f>
        <v>30</v>
      </c>
      <c r="D465" s="25">
        <f>+SUMIFS(PROVEEDORES[Total],PROVEEDORES[PROVEEDOR],PROVEEDORES[[#This Row],[PROVEEDOR]],PROVEEDORES[FECHA DE PAGO],"")</f>
        <v>0</v>
      </c>
      <c r="E465" s="25"/>
      <c r="F46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65" s="68">
        <v>44729</v>
      </c>
      <c r="H465" s="26" t="s">
        <v>623</v>
      </c>
      <c r="I465" s="68">
        <v>44713</v>
      </c>
      <c r="J465" s="35" t="s">
        <v>715</v>
      </c>
      <c r="K465" s="21">
        <v>17570</v>
      </c>
      <c r="L465" s="21"/>
      <c r="M465" s="22">
        <f>(PROVEEDORES[[#This Row],[SUBTOTAL]]-PROVEEDORES[[#This Row],[descuento sobre subtotal]])*VLOOKUP(PROVEEDORES[[#This Row],[PROVEEDOR]],TERCEROS_INFO[#All],3,FALSE)</f>
        <v>3338.3</v>
      </c>
      <c r="N465" s="23"/>
      <c r="O465" s="22">
        <f>+PROVEEDORES[[#This Row],[Descuento sobre subtotal %]]*(PROVEEDORES[[#This Row],[SUBTOTAL]]-PROVEEDORES[[#This Row],[descuento sobre subtotal]])</f>
        <v>0</v>
      </c>
      <c r="P465" s="74">
        <v>0</v>
      </c>
      <c r="Q465" s="22">
        <f>+PROVEEDORES[[#This Row],[Rete Fuente %]]*(PROVEEDORES[[#This Row],[SUBTOTAL]]-PROVEEDORES[[#This Row],[descuento sobre subtotal]])</f>
        <v>0</v>
      </c>
      <c r="R465" s="21">
        <f>+PROVEEDORES[[#This Row],[SUBTOTAL]]+PROVEEDORES[[#This Row],[IVA 19%]]-PROVEEDORES[[#This Row],[descuento sobre subtotal]]-PROVEEDORES[[#This Row],[Descuento sobre subtotal $2]]-PROVEEDORES[[#This Row],[Rete Fuente $]]</f>
        <v>20908.3</v>
      </c>
      <c r="S465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63">
        <f ca="1">IF(PROVEEDORES[[#This Row],[FECHA DE PAGO]]=0,TODAY()-PROVEEDORES[[#This Row],[FECHA DE FACTURACIÓN]]-PROVEEDORES[[#This Row],[PLAZO Días]],0)</f>
        <v>0</v>
      </c>
      <c r="U465" s="104" t="str">
        <f>+VLOOKUP(PROVEEDORES[[#This Row],[PROVEEDOR]],Terceros!$A:$D,4,FALSE)</f>
        <v>4% sin base</v>
      </c>
      <c r="V465" s="105">
        <f>+YEAR(PROVEEDORES[[#This Row],[FECHA DE FACTURACIÓN]])</f>
        <v>2022</v>
      </c>
      <c r="W465" s="105">
        <f>+MATCH(PROVEEDORES[[#This Row],[año facturado]],Retenciones!$1:$1,0)</f>
        <v>5</v>
      </c>
      <c r="X465" s="106">
        <f>+VLOOKUP(PROVEEDORES[[#This Row],[ID RETENCION]],Retenciones!$A$1:$O$25,PROVEEDORES[[#This Row],[indicador de columna]],FALSE)</f>
        <v>0</v>
      </c>
      <c r="Y465" s="107">
        <f>+VLOOKUP(PROVEEDORES[[#This Row],[ID RETENCION]],Retenciones!$A$1:$O$25,2,FALSE)</f>
        <v>0.04</v>
      </c>
      <c r="Z465" s="116" t="b">
        <f>OR(COUNTIF(PROVEEDORES[[#This Row],[PROVEEDOR]],"*"&amp;'Palabra no opera'!$A$2&amp;"*"))</f>
        <v>1</v>
      </c>
    </row>
    <row r="466" spans="1:26" ht="22.35" customHeight="1" x14ac:dyDescent="0.3">
      <c r="A466" s="135" t="str">
        <f>+IF(PROVEEDORES[[#This Row],[FECHA DE PAGO]]=PROVEEDORES[[#This Row],[FECHA DE FACTURACIÓN]],"DE CONTADO","CRÉDITO")</f>
        <v>CRÉDITO</v>
      </c>
      <c r="B466" s="38" t="b">
        <f>+IF((PROVEEDORES[[#This Row],[FECHA DE PAGO]]-PROVEEDORES[[#This Row],[FECHA DE FACTURACIÓN]])&gt;PROVEEDORES[[#This Row],[PLAZO Días]],"PAGO VENCIDO")</f>
        <v>0</v>
      </c>
      <c r="C466" s="20">
        <f>+VLOOKUP(PROVEEDORES[[#This Row],[PROVEEDOR]],TERCEROS_INFO[#All],2,FALSE)</f>
        <v>30</v>
      </c>
      <c r="D466" s="25">
        <f>+SUMIFS(PROVEEDORES[Total],PROVEEDORES[PROVEEDOR],PROVEEDORES[[#This Row],[PROVEEDOR]],PROVEEDORES[FECHA DE PAGO],"")</f>
        <v>0</v>
      </c>
      <c r="E466" s="25"/>
      <c r="F46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66" s="68">
        <v>44729</v>
      </c>
      <c r="H466" s="26" t="s">
        <v>623</v>
      </c>
      <c r="I466" s="68">
        <v>44713</v>
      </c>
      <c r="J466" s="35" t="s">
        <v>714</v>
      </c>
      <c r="K466" s="21">
        <v>791781</v>
      </c>
      <c r="L466" s="21"/>
      <c r="M466" s="22">
        <f>(PROVEEDORES[[#This Row],[SUBTOTAL]]-PROVEEDORES[[#This Row],[descuento sobre subtotal]])*VLOOKUP(PROVEEDORES[[#This Row],[PROVEEDOR]],TERCEROS_INFO[#All],3,FALSE)</f>
        <v>150438.39000000001</v>
      </c>
      <c r="N466" s="23"/>
      <c r="O466" s="22">
        <f>+PROVEEDORES[[#This Row],[Descuento sobre subtotal %]]*(PROVEEDORES[[#This Row],[SUBTOTAL]]-PROVEEDORES[[#This Row],[descuento sobre subtotal]])</f>
        <v>0</v>
      </c>
      <c r="P466" s="74">
        <v>0</v>
      </c>
      <c r="Q466" s="22">
        <f>+PROVEEDORES[[#This Row],[Rete Fuente %]]*(PROVEEDORES[[#This Row],[SUBTOTAL]]-PROVEEDORES[[#This Row],[descuento sobre subtotal]])</f>
        <v>0</v>
      </c>
      <c r="R466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46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63">
        <f ca="1">IF(PROVEEDORES[[#This Row],[FECHA DE PAGO]]=0,TODAY()-PROVEEDORES[[#This Row],[FECHA DE FACTURACIÓN]]-PROVEEDORES[[#This Row],[PLAZO Días]],0)</f>
        <v>0</v>
      </c>
      <c r="U466" s="104" t="str">
        <f>+VLOOKUP(PROVEEDORES[[#This Row],[PROVEEDOR]],Terceros!$A:$D,4,FALSE)</f>
        <v>4% sin base</v>
      </c>
      <c r="V466" s="105">
        <f>+YEAR(PROVEEDORES[[#This Row],[FECHA DE FACTURACIÓN]])</f>
        <v>2022</v>
      </c>
      <c r="W466" s="105">
        <f>+MATCH(PROVEEDORES[[#This Row],[año facturado]],Retenciones!$1:$1,0)</f>
        <v>5</v>
      </c>
      <c r="X466" s="106">
        <f>+VLOOKUP(PROVEEDORES[[#This Row],[ID RETENCION]],Retenciones!$A$1:$O$25,PROVEEDORES[[#This Row],[indicador de columna]],FALSE)</f>
        <v>0</v>
      </c>
      <c r="Y466" s="107">
        <f>+VLOOKUP(PROVEEDORES[[#This Row],[ID RETENCION]],Retenciones!$A$1:$O$25,2,FALSE)</f>
        <v>0.04</v>
      </c>
      <c r="Z466" s="116" t="b">
        <f>OR(COUNTIF(PROVEEDORES[[#This Row],[PROVEEDOR]],"*"&amp;'Palabra no opera'!$A$2&amp;"*"))</f>
        <v>1</v>
      </c>
    </row>
    <row r="467" spans="1:26" ht="22.35" customHeight="1" x14ac:dyDescent="0.3">
      <c r="A467" s="135" t="str">
        <f>+IF(PROVEEDORES[[#This Row],[FECHA DE PAGO]]=PROVEEDORES[[#This Row],[FECHA DE FACTURACIÓN]],"DE CONTADO","CRÉDITO")</f>
        <v>CRÉDITO</v>
      </c>
      <c r="B467" s="38" t="b">
        <f>+IF((PROVEEDORES[[#This Row],[FECHA DE PAGO]]-PROVEEDORES[[#This Row],[FECHA DE FACTURACIÓN]])&gt;PROVEEDORES[[#This Row],[PLAZO Días]],"PAGO VENCIDO")</f>
        <v>0</v>
      </c>
      <c r="C467" s="20">
        <f>+VLOOKUP(PROVEEDORES[[#This Row],[PROVEEDOR]],TERCEROS_INFO[#All],2,FALSE)</f>
        <v>30</v>
      </c>
      <c r="D467" s="25">
        <f>+SUMIFS(PROVEEDORES[Total],PROVEEDORES[PROVEEDOR],PROVEEDORES[[#This Row],[PROVEEDOR]],PROVEEDORES[FECHA DE PAGO],"")</f>
        <v>0</v>
      </c>
      <c r="E467" s="25"/>
      <c r="F46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67" s="68">
        <v>44729</v>
      </c>
      <c r="H467" s="26" t="s">
        <v>623</v>
      </c>
      <c r="I467" s="68">
        <v>44713</v>
      </c>
      <c r="J467" s="35" t="s">
        <v>713</v>
      </c>
      <c r="K467" s="21">
        <v>3294426</v>
      </c>
      <c r="L467" s="21"/>
      <c r="M467" s="22">
        <f>(PROVEEDORES[[#This Row],[SUBTOTAL]]-PROVEEDORES[[#This Row],[descuento sobre subtotal]])*VLOOKUP(PROVEEDORES[[#This Row],[PROVEEDOR]],TERCEROS_INFO[#All],3,FALSE)</f>
        <v>625940.94000000006</v>
      </c>
      <c r="N467" s="23"/>
      <c r="O467" s="22">
        <f>+PROVEEDORES[[#This Row],[Descuento sobre subtotal %]]*(PROVEEDORES[[#This Row],[SUBTOTAL]]-PROVEEDORES[[#This Row],[descuento sobre subtotal]])</f>
        <v>0</v>
      </c>
      <c r="P467" s="74">
        <v>0</v>
      </c>
      <c r="Q467" s="22">
        <f>+PROVEEDORES[[#This Row],[Rete Fuente %]]*(PROVEEDORES[[#This Row],[SUBTOTAL]]-PROVEEDORES[[#This Row],[descuento sobre subtotal]])</f>
        <v>0</v>
      </c>
      <c r="R467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467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63">
        <f ca="1">IF(PROVEEDORES[[#This Row],[FECHA DE PAGO]]=0,TODAY()-PROVEEDORES[[#This Row],[FECHA DE FACTURACIÓN]]-PROVEEDORES[[#This Row],[PLAZO Días]],0)</f>
        <v>0</v>
      </c>
      <c r="U467" s="104" t="str">
        <f>+VLOOKUP(PROVEEDORES[[#This Row],[PROVEEDOR]],Terceros!$A:$D,4,FALSE)</f>
        <v>4% sin base</v>
      </c>
      <c r="V467" s="105">
        <f>+YEAR(PROVEEDORES[[#This Row],[FECHA DE FACTURACIÓN]])</f>
        <v>2022</v>
      </c>
      <c r="W467" s="105">
        <f>+MATCH(PROVEEDORES[[#This Row],[año facturado]],Retenciones!$1:$1,0)</f>
        <v>5</v>
      </c>
      <c r="X467" s="106">
        <f>+VLOOKUP(PROVEEDORES[[#This Row],[ID RETENCION]],Retenciones!$A$1:$O$25,PROVEEDORES[[#This Row],[indicador de columna]],FALSE)</f>
        <v>0</v>
      </c>
      <c r="Y467" s="107">
        <f>+VLOOKUP(PROVEEDORES[[#This Row],[ID RETENCION]],Retenciones!$A$1:$O$25,2,FALSE)</f>
        <v>0.04</v>
      </c>
      <c r="Z467" s="116" t="b">
        <f>OR(COUNTIF(PROVEEDORES[[#This Row],[PROVEEDOR]],"*"&amp;'Palabra no opera'!$A$2&amp;"*"))</f>
        <v>1</v>
      </c>
    </row>
    <row r="468" spans="1:26" ht="22.35" customHeight="1" x14ac:dyDescent="0.3">
      <c r="A468" s="148" t="str">
        <f>+IF(PROVEEDORES[[#This Row],[FECHA DE PAGO]]=PROVEEDORES[[#This Row],[FECHA DE FACTURACIÓN]],"DE CONTADO","CRÉDITO")</f>
        <v>CRÉDITO</v>
      </c>
      <c r="B468" s="38" t="b">
        <f>+IF((PROVEEDORES[[#This Row],[FECHA DE PAGO]]-PROVEEDORES[[#This Row],[FECHA DE FACTURACIÓN]])&gt;PROVEEDORES[[#This Row],[PLAZO Días]],"PAGO VENCIDO")</f>
        <v>0</v>
      </c>
      <c r="C468" s="20">
        <f>+VLOOKUP(PROVEEDORES[[#This Row],[PROVEEDOR]],TERCEROS_INFO[#All],2,FALSE)</f>
        <v>30</v>
      </c>
      <c r="D468" s="25">
        <f>+SUMIFS(PROVEEDORES[Total],PROVEEDORES[PROVEEDOR],PROVEEDORES[[#This Row],[PROVEEDOR]],PROVEEDORES[FECHA DE PAGO],"")</f>
        <v>0</v>
      </c>
      <c r="E468" s="25"/>
      <c r="F468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68" s="68">
        <v>44729</v>
      </c>
      <c r="H468" s="26" t="s">
        <v>967</v>
      </c>
      <c r="I468" s="68">
        <v>44727</v>
      </c>
      <c r="J468" s="35">
        <v>237</v>
      </c>
      <c r="K468" s="21">
        <v>300000</v>
      </c>
      <c r="L468" s="21"/>
      <c r="M468" s="22">
        <f>(PROVEEDORES[[#This Row],[SUBTOTAL]]-PROVEEDORES[[#This Row],[descuento sobre subtotal]])*VLOOKUP(PROVEEDORES[[#This Row],[PROVEEDOR]],TERCEROS_INFO[#All],3,FALSE)</f>
        <v>0</v>
      </c>
      <c r="N468" s="23"/>
      <c r="O468" s="22">
        <f>+PROVEEDORES[[#This Row],[Descuento sobre subtotal %]]*(PROVEEDORES[[#This Row],[SUBTOTAL]]-PROVEEDORES[[#This Row],[descuento sobre subtotal]])</f>
        <v>0</v>
      </c>
      <c r="P468" s="74">
        <f>+IF(PROVEEDORES[[#This Row],[SUBTOTAL]]&lt;PROVEEDORES[[#This Row],[base retencion]],0,PROVEEDORES[[#This Row],[retención aplicada]])</f>
        <v>0.01</v>
      </c>
      <c r="Q468" s="22">
        <f>+PROVEEDORES[[#This Row],[Rete Fuente %]]*(PROVEEDORES[[#This Row],[SUBTOTAL]]-PROVEEDORES[[#This Row],[descuento sobre subtotal]])</f>
        <v>3000</v>
      </c>
      <c r="R468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46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63">
        <f ca="1">IF(PROVEEDORES[[#This Row],[FECHA DE PAGO]]=0,TODAY()-PROVEEDORES[[#This Row],[FECHA DE FACTURACIÓN]]-PROVEEDORES[[#This Row],[PLAZO Días]],0)</f>
        <v>0</v>
      </c>
      <c r="U468" s="104" t="str">
        <f>+VLOOKUP(PROVEEDORES[[#This Row],[PROVEEDOR]],Terceros!$A:$D,4,FALSE)</f>
        <v>1% con base</v>
      </c>
      <c r="V468" s="105">
        <f>+YEAR(PROVEEDORES[[#This Row],[FECHA DE FACTURACIÓN]])</f>
        <v>2022</v>
      </c>
      <c r="W468" s="105">
        <f>+MATCH(PROVEEDORES[[#This Row],[año facturado]],Retenciones!$1:$1,0)</f>
        <v>5</v>
      </c>
      <c r="X468" s="106">
        <f>+VLOOKUP(PROVEEDORES[[#This Row],[ID RETENCION]],Retenciones!$A$1:$O$25,PROVEEDORES[[#This Row],[indicador de columna]],FALSE)</f>
        <v>152000</v>
      </c>
      <c r="Y468" s="107">
        <f>+VLOOKUP(PROVEEDORES[[#This Row],[ID RETENCION]],Retenciones!$A$1:$O$25,2,FALSE)</f>
        <v>0.01</v>
      </c>
      <c r="Z468" s="116" t="b">
        <f>OR(COUNTIF(PROVEEDORES[[#This Row],[PROVEEDOR]],"*"&amp;'Palabra no opera'!$A$2&amp;"*"))</f>
        <v>0</v>
      </c>
    </row>
    <row r="469" spans="1:26" ht="22.35" customHeight="1" x14ac:dyDescent="0.3">
      <c r="A469" s="148" t="str">
        <f>+IF(PROVEEDORES[[#This Row],[FECHA DE PAGO]]=PROVEEDORES[[#This Row],[FECHA DE FACTURACIÓN]],"DE CONTADO","CRÉDITO")</f>
        <v>DE CONTADO</v>
      </c>
      <c r="B469" s="38" t="b">
        <f>+IF((PROVEEDORES[[#This Row],[FECHA DE PAGO]]-PROVEEDORES[[#This Row],[FECHA DE FACTURACIÓN]])&gt;PROVEEDORES[[#This Row],[PLAZO Días]],"PAGO VENCIDO")</f>
        <v>0</v>
      </c>
      <c r="C469" s="20">
        <f>+VLOOKUP(PROVEEDORES[[#This Row],[PROVEEDOR]],TERCEROS_INFO[#All],2,FALSE)</f>
        <v>30</v>
      </c>
      <c r="D469" s="25">
        <f>+SUMIFS(PROVEEDORES[Total],PROVEEDORES[PROVEEDOR],PROVEEDORES[[#This Row],[PROVEEDOR]],PROVEEDORES[FECHA DE PAGO],"")</f>
        <v>0</v>
      </c>
      <c r="E469" s="25"/>
      <c r="F46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69" s="68">
        <v>44729</v>
      </c>
      <c r="H469" s="26" t="s">
        <v>227</v>
      </c>
      <c r="I469" s="68">
        <v>44729</v>
      </c>
      <c r="J469" s="35" t="s">
        <v>806</v>
      </c>
      <c r="K469" s="21">
        <v>195297.47</v>
      </c>
      <c r="L469" s="21"/>
      <c r="M469" s="22">
        <f>(PROVEEDORES[[#This Row],[SUBTOTAL]]-PROVEEDORES[[#This Row],[descuento sobre subtotal]])*VLOOKUP(PROVEEDORES[[#This Row],[PROVEEDOR]],TERCEROS_INFO[#All],3,FALSE)</f>
        <v>0</v>
      </c>
      <c r="N469" s="23"/>
      <c r="O469" s="22">
        <f>+PROVEEDORES[[#This Row],[Descuento sobre subtotal %]]*(PROVEEDORES[[#This Row],[SUBTOTAL]]-PROVEEDORES[[#This Row],[descuento sobre subtotal]])</f>
        <v>0</v>
      </c>
      <c r="P469" s="74">
        <f>+IF(PROVEEDORES[[#This Row],[SUBTOTAL]]&lt;PROVEEDORES[[#This Row],[base retencion]],0,PROVEEDORES[[#This Row],[retención aplicada]])</f>
        <v>0</v>
      </c>
      <c r="Q469" s="22">
        <f>+PROVEEDORES[[#This Row],[Rete Fuente %]]*(PROVEEDORES[[#This Row],[SUBTOTAL]]-PROVEEDORES[[#This Row],[descuento sobre subtotal]])</f>
        <v>0</v>
      </c>
      <c r="R469" s="21">
        <f>+PROVEEDORES[[#This Row],[SUBTOTAL]]+PROVEEDORES[[#This Row],[IVA 19%]]-PROVEEDORES[[#This Row],[descuento sobre subtotal]]-PROVEEDORES[[#This Row],[Descuento sobre subtotal $2]]-PROVEEDORES[[#This Row],[Rete Fuente $]]</f>
        <v>195297.47</v>
      </c>
      <c r="S46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63">
        <f ca="1">IF(PROVEEDORES[[#This Row],[FECHA DE PAGO]]=0,TODAY()-PROVEEDORES[[#This Row],[FECHA DE FACTURACIÓN]]-PROVEEDORES[[#This Row],[PLAZO Días]],0)</f>
        <v>0</v>
      </c>
      <c r="U469" s="104">
        <f>+VLOOKUP(PROVEEDORES[[#This Row],[PROVEEDOR]],Terceros!$A:$D,4,FALSE)</f>
        <v>0</v>
      </c>
      <c r="V469" s="105">
        <f>+YEAR(PROVEEDORES[[#This Row],[FECHA DE FACTURACIÓN]])</f>
        <v>2022</v>
      </c>
      <c r="W469" s="105">
        <f>+MATCH(PROVEEDORES[[#This Row],[año facturado]],Retenciones!$1:$1,0)</f>
        <v>5</v>
      </c>
      <c r="X469" s="106">
        <f>+VLOOKUP(PROVEEDORES[[#This Row],[ID RETENCION]],Retenciones!$A$1:$O$25,PROVEEDORES[[#This Row],[indicador de columna]],FALSE)</f>
        <v>0</v>
      </c>
      <c r="Y469" s="107">
        <f>+VLOOKUP(PROVEEDORES[[#This Row],[ID RETENCION]],Retenciones!$A$1:$O$25,2,FALSE)</f>
        <v>0</v>
      </c>
      <c r="Z469" s="116" t="b">
        <f>OR(COUNTIF(PROVEEDORES[[#This Row],[PROVEEDOR]],"*"&amp;'Palabra no opera'!$A$2&amp;"*"))</f>
        <v>0</v>
      </c>
    </row>
    <row r="470" spans="1:26" ht="22.35" customHeight="1" x14ac:dyDescent="0.3">
      <c r="A470" s="135" t="str">
        <f>+IF(PROVEEDORES[[#This Row],[FECHA DE PAGO]]=PROVEEDORES[[#This Row],[FECHA DE FACTURACIÓN]],"DE CONTADO","CRÉDITO")</f>
        <v>CRÉDITO</v>
      </c>
      <c r="B470" s="38" t="b">
        <f>+IF((PROVEEDORES[[#This Row],[FECHA DE PAGO]]-PROVEEDORES[[#This Row],[FECHA DE FACTURACIÓN]])&gt;PROVEEDORES[[#This Row],[PLAZO Días]],"PAGO VENCIDO")</f>
        <v>0</v>
      </c>
      <c r="C470" s="20">
        <f>+VLOOKUP(PROVEEDORES[[#This Row],[PROVEEDOR]],TERCEROS_INFO[#All],2,FALSE)</f>
        <v>30</v>
      </c>
      <c r="D470" s="25">
        <f>+SUMIFS(PROVEEDORES[Total],PROVEEDORES[PROVEEDOR],PROVEEDORES[[#This Row],[PROVEEDOR]],PROVEEDORES[FECHA DE PAGO],"")</f>
        <v>352505.48</v>
      </c>
      <c r="E470" s="25"/>
      <c r="F470" s="56" t="str">
        <f>+VLOOKUP(PROVEEDORES[[#This Row],[PROVEEDOR]],
                       Terceros!$A:$F,
                       5,
                       FALSE)</f>
        <v>facturacion@losmolinos.com.co</v>
      </c>
      <c r="G470" s="68">
        <v>44729</v>
      </c>
      <c r="H470" s="26" t="s">
        <v>650</v>
      </c>
      <c r="I470" s="68">
        <v>44713</v>
      </c>
      <c r="J470" s="35">
        <v>67699</v>
      </c>
      <c r="K470" s="21">
        <v>284467</v>
      </c>
      <c r="L470" s="21"/>
      <c r="M470" s="22">
        <f>(PROVEEDORES[[#This Row],[SUBTOTAL]]-PROVEEDORES[[#This Row],[descuento sobre subtotal]])*VLOOKUP(PROVEEDORES[[#This Row],[PROVEEDOR]],TERCEROS_INFO[#All],3,FALSE)</f>
        <v>0</v>
      </c>
      <c r="N470" s="23"/>
      <c r="O470" s="22">
        <f>+PROVEEDORES[[#This Row],[Descuento sobre subtotal %]]*(PROVEEDORES[[#This Row],[SUBTOTAL]]-PROVEEDORES[[#This Row],[descuento sobre subtotal]])</f>
        <v>0</v>
      </c>
      <c r="P470" s="74">
        <f>+IF(PROVEEDORES[[#This Row],[SUBTOTAL]]&lt;PROVEEDORES[[#This Row],[base retencion]],0,PROVEEDORES[[#This Row],[retención aplicada]])</f>
        <v>0</v>
      </c>
      <c r="Q470" s="22">
        <f>+PROVEEDORES[[#This Row],[Rete Fuente %]]*(PROVEEDORES[[#This Row],[SUBTOTAL]]-PROVEEDORES[[#This Row],[descuento sobre subtotal]])</f>
        <v>0</v>
      </c>
      <c r="R470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70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63">
        <f ca="1">IF(PROVEEDORES[[#This Row],[FECHA DE PAGO]]=0,TODAY()-PROVEEDORES[[#This Row],[FECHA DE FACTURACIÓN]]-PROVEEDORES[[#This Row],[PLAZO Días]],0)</f>
        <v>0</v>
      </c>
      <c r="U470" s="104">
        <f>+VLOOKUP(PROVEEDORES[[#This Row],[PROVEEDOR]],Terceros!$A:$D,4,FALSE)</f>
        <v>0</v>
      </c>
      <c r="V470" s="105">
        <f>+YEAR(PROVEEDORES[[#This Row],[FECHA DE FACTURACIÓN]])</f>
        <v>2022</v>
      </c>
      <c r="W470" s="105">
        <f>+MATCH(PROVEEDORES[[#This Row],[año facturado]],Retenciones!$1:$1,0)</f>
        <v>5</v>
      </c>
      <c r="X470" s="106">
        <f>+VLOOKUP(PROVEEDORES[[#This Row],[ID RETENCION]],Retenciones!$A$1:$O$25,PROVEEDORES[[#This Row],[indicador de columna]],FALSE)</f>
        <v>0</v>
      </c>
      <c r="Y470" s="107">
        <f>+VLOOKUP(PROVEEDORES[[#This Row],[ID RETENCION]],Retenciones!$A$1:$O$25,2,FALSE)</f>
        <v>0</v>
      </c>
      <c r="Z470" s="116" t="b">
        <f>OR(COUNTIF(PROVEEDORES[[#This Row],[PROVEEDOR]],"*"&amp;'Palabra no opera'!$A$2&amp;"*"))</f>
        <v>1</v>
      </c>
    </row>
    <row r="471" spans="1:26" ht="22.35" customHeight="1" x14ac:dyDescent="0.3">
      <c r="A471" s="114" t="str">
        <f>+IF(PROVEEDORES[[#This Row],[FECHA DE PAGO]]=PROVEEDORES[[#This Row],[FECHA DE FACTURACIÓN]],"DE CONTADO","CRÉDITO")</f>
        <v>CRÉDITO</v>
      </c>
      <c r="B471" s="38" t="str">
        <f>+IF((PROVEEDORES[[#This Row],[FECHA DE PAGO]]-PROVEEDORES[[#This Row],[FECHA DE FACTURACIÓN]])&gt;PROVEEDORES[[#This Row],[PLAZO Días]],"PAGO VENCIDO")</f>
        <v>PAGO VENCIDO</v>
      </c>
      <c r="C471" s="20">
        <f>+VLOOKUP(PROVEEDORES[[#This Row],[PROVEEDOR]],TERCEROS_INFO[#All],2,FALSE)</f>
        <v>45</v>
      </c>
      <c r="D471" s="25">
        <f>+SUMIFS(PROVEEDORES[Total],PROVEEDORES[PROVEEDOR],PROVEEDORES[[#This Row],[PROVEEDOR]],PROVEEDORES[FECHA DE PAGO],"")</f>
        <v>15770594</v>
      </c>
      <c r="E471" s="25"/>
      <c r="F47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471" s="68">
        <v>44729</v>
      </c>
      <c r="H471" s="26" t="s">
        <v>19</v>
      </c>
      <c r="I471" s="68">
        <v>44677</v>
      </c>
      <c r="J471" s="35" t="s">
        <v>606</v>
      </c>
      <c r="K471" s="21">
        <v>16175936</v>
      </c>
      <c r="L471" s="21"/>
      <c r="M471" s="22">
        <f>(PROVEEDORES[[#This Row],[SUBTOTAL]]-PROVEEDORES[[#This Row],[descuento sobre subtotal]])*VLOOKUP(PROVEEDORES[[#This Row],[PROVEEDOR]],TERCEROS_INFO[#All],3,FALSE)</f>
        <v>3073427.84</v>
      </c>
      <c r="N471" s="23"/>
      <c r="O471" s="22">
        <f>+PROVEEDORES[[#This Row],[Descuento sobre subtotal %]]*(PROVEEDORES[[#This Row],[SUBTOTAL]]-PROVEEDORES[[#This Row],[descuento sobre subtotal]])</f>
        <v>0</v>
      </c>
      <c r="P471" s="74">
        <f>+IF(PROVEEDORES[[#This Row],[SUBTOTAL]]&lt;PROVEEDORES[[#This Row],[base retencion]],0,PROVEEDORES[[#This Row],[retención aplicada]])</f>
        <v>0</v>
      </c>
      <c r="Q471" s="22">
        <f>+PROVEEDORES[[#This Row],[Rete Fuente %]]*(PROVEEDORES[[#This Row],[SUBTOTAL]]-PROVEEDORES[[#This Row],[descuento sobre subtotal]])</f>
        <v>0</v>
      </c>
      <c r="R471" s="21">
        <f>+PROVEEDORES[[#This Row],[SUBTOTAL]]+PROVEEDORES[[#This Row],[IVA 19%]]-PROVEEDORES[[#This Row],[descuento sobre subtotal]]-PROVEEDORES[[#This Row],[Descuento sobre subtotal $2]]-PROVEEDORES[[#This Row],[Rete Fuente $]]</f>
        <v>19249363.84</v>
      </c>
      <c r="S471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1" s="63">
        <f ca="1">IF(PROVEEDORES[[#This Row],[FECHA DE PAGO]]=0,TODAY()-PROVEEDORES[[#This Row],[FECHA DE FACTURACIÓN]]-PROVEEDORES[[#This Row],[PLAZO Días]],0)</f>
        <v>0</v>
      </c>
      <c r="U471" s="104">
        <f>+VLOOKUP(PROVEEDORES[[#This Row],[PROVEEDOR]],Terceros!$A:$D,4,FALSE)</f>
        <v>0</v>
      </c>
      <c r="V471" s="105">
        <f>+YEAR(PROVEEDORES[[#This Row],[FECHA DE FACTURACIÓN]])</f>
        <v>2022</v>
      </c>
      <c r="W471" s="105">
        <f>+MATCH(PROVEEDORES[[#This Row],[año facturado]],Retenciones!$1:$1,0)</f>
        <v>5</v>
      </c>
      <c r="X471" s="106">
        <f>+VLOOKUP(PROVEEDORES[[#This Row],[ID RETENCION]],Retenciones!$A$1:$O$25,PROVEEDORES[[#This Row],[indicador de columna]],FALSE)</f>
        <v>0</v>
      </c>
      <c r="Y471" s="107">
        <f>+VLOOKUP(PROVEEDORES[[#This Row],[ID RETENCION]],Retenciones!$A$1:$O$25,2,FALSE)</f>
        <v>0</v>
      </c>
      <c r="Z471" s="116" t="b">
        <f>OR(COUNTIF(PROVEEDORES[[#This Row],[PROVEEDOR]],"*"&amp;'Palabra no opera'!$A$2&amp;"*"))</f>
        <v>0</v>
      </c>
    </row>
    <row r="472" spans="1:26" ht="22.35" customHeight="1" x14ac:dyDescent="0.3">
      <c r="A472" s="114" t="str">
        <f>+IF(PROVEEDORES[[#This Row],[FECHA DE PAGO]]=PROVEEDORES[[#This Row],[FECHA DE FACTURACIÓN]],"DE CONTADO","CRÉDITO")</f>
        <v>CRÉDITO</v>
      </c>
      <c r="B472" s="38" t="str">
        <f>+IF((PROVEEDORES[[#This Row],[FECHA DE PAGO]]-PROVEEDORES[[#This Row],[FECHA DE FACTURACIÓN]])&gt;PROVEEDORES[[#This Row],[PLAZO Días]],"PAGO VENCIDO")</f>
        <v>PAGO VENCIDO</v>
      </c>
      <c r="C472" s="20">
        <f>+VLOOKUP(PROVEEDORES[[#This Row],[PROVEEDOR]],TERCEROS_INFO[#All],2,FALSE)</f>
        <v>45</v>
      </c>
      <c r="D472" s="25">
        <f>+SUMIFS(PROVEEDORES[Total],PROVEEDORES[PROVEEDOR],PROVEEDORES[[#This Row],[PROVEEDOR]],PROVEEDORES[FECHA DE PAGO],"")</f>
        <v>15770594</v>
      </c>
      <c r="E472" s="25"/>
      <c r="F472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472" s="68">
        <v>44729</v>
      </c>
      <c r="H472" s="26" t="s">
        <v>19</v>
      </c>
      <c r="I472" s="68">
        <v>44679</v>
      </c>
      <c r="J472" s="35" t="s">
        <v>607</v>
      </c>
      <c r="K472" s="21">
        <v>146240</v>
      </c>
      <c r="L472" s="21"/>
      <c r="M472" s="22">
        <f>(PROVEEDORES[[#This Row],[SUBTOTAL]]-PROVEEDORES[[#This Row],[descuento sobre subtotal]])*VLOOKUP(PROVEEDORES[[#This Row],[PROVEEDOR]],TERCEROS_INFO[#All],3,FALSE)</f>
        <v>27785.599999999999</v>
      </c>
      <c r="N472" s="23"/>
      <c r="O472" s="22">
        <f>+PROVEEDORES[[#This Row],[Descuento sobre subtotal %]]*(PROVEEDORES[[#This Row],[SUBTOTAL]]-PROVEEDORES[[#This Row],[descuento sobre subtotal]])</f>
        <v>0</v>
      </c>
      <c r="P472" s="74">
        <f>+IF(PROVEEDORES[[#This Row],[SUBTOTAL]]&lt;PROVEEDORES[[#This Row],[base retencion]],0,PROVEEDORES[[#This Row],[retención aplicada]])</f>
        <v>0</v>
      </c>
      <c r="Q472" s="22">
        <f>+PROVEEDORES[[#This Row],[Rete Fuente %]]*(PROVEEDORES[[#This Row],[SUBTOTAL]]-PROVEEDORES[[#This Row],[descuento sobre subtotal]])</f>
        <v>0</v>
      </c>
      <c r="R472" s="21">
        <f>+PROVEEDORES[[#This Row],[SUBTOTAL]]+PROVEEDORES[[#This Row],[IVA 19%]]-PROVEEDORES[[#This Row],[descuento sobre subtotal]]-PROVEEDORES[[#This Row],[Descuento sobre subtotal $2]]-PROVEEDORES[[#This Row],[Rete Fuente $]]</f>
        <v>174025.60000000001</v>
      </c>
      <c r="S472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63">
        <f ca="1">IF(PROVEEDORES[[#This Row],[FECHA DE PAGO]]=0,TODAY()-PROVEEDORES[[#This Row],[FECHA DE FACTURACIÓN]]-PROVEEDORES[[#This Row],[PLAZO Días]],0)</f>
        <v>0</v>
      </c>
      <c r="U472" s="104">
        <f>+VLOOKUP(PROVEEDORES[[#This Row],[PROVEEDOR]],Terceros!$A:$D,4,FALSE)</f>
        <v>0</v>
      </c>
      <c r="V472" s="105">
        <f>+YEAR(PROVEEDORES[[#This Row],[FECHA DE FACTURACIÓN]])</f>
        <v>2022</v>
      </c>
      <c r="W472" s="105">
        <f>+MATCH(PROVEEDORES[[#This Row],[año facturado]],Retenciones!$1:$1,0)</f>
        <v>5</v>
      </c>
      <c r="X472" s="106">
        <f>+VLOOKUP(PROVEEDORES[[#This Row],[ID RETENCION]],Retenciones!$A$1:$O$25,PROVEEDORES[[#This Row],[indicador de columna]],FALSE)</f>
        <v>0</v>
      </c>
      <c r="Y472" s="107">
        <f>+VLOOKUP(PROVEEDORES[[#This Row],[ID RETENCION]],Retenciones!$A$1:$O$25,2,FALSE)</f>
        <v>0</v>
      </c>
      <c r="Z472" s="116" t="b">
        <f>OR(COUNTIF(PROVEEDORES[[#This Row],[PROVEEDOR]],"*"&amp;'Palabra no opera'!$A$2&amp;"*"))</f>
        <v>0</v>
      </c>
    </row>
    <row r="473" spans="1:26" ht="22.35" customHeight="1" x14ac:dyDescent="0.3">
      <c r="A473" s="146" t="str">
        <f>+IF(PROVEEDORES[[#This Row],[FECHA DE PAGO]]=PROVEEDORES[[#This Row],[FECHA DE FACTURACIÓN]],"DE CONTADO","CRÉDITO")</f>
        <v>CRÉDITO</v>
      </c>
      <c r="B473" s="38" t="b">
        <f>+IF((PROVEEDORES[[#This Row],[FECHA DE PAGO]]-PROVEEDORES[[#This Row],[FECHA DE FACTURACIÓN]])&gt;PROVEEDORES[[#This Row],[PLAZO Días]],"PAGO VENCIDO")</f>
        <v>0</v>
      </c>
      <c r="C473" s="20">
        <f>+VLOOKUP(PROVEEDORES[[#This Row],[PROVEEDOR]],TERCEROS_INFO[#All],2,FALSE)</f>
        <v>30</v>
      </c>
      <c r="D473" s="25">
        <f>+SUMIFS(PROVEEDORES[Total],PROVEEDORES[PROVEEDOR],PROVEEDORES[[#This Row],[PROVEEDOR]],PROVEEDORES[FECHA DE PAGO],"")</f>
        <v>0</v>
      </c>
      <c r="E473" s="25"/>
      <c r="F47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73" s="68">
        <v>44729</v>
      </c>
      <c r="H473" s="26" t="s">
        <v>637</v>
      </c>
      <c r="I473" s="68">
        <v>44713</v>
      </c>
      <c r="J473" s="35" t="s">
        <v>219</v>
      </c>
      <c r="K473" s="21">
        <v>59583</v>
      </c>
      <c r="L473" s="21"/>
      <c r="M473" s="22">
        <f>(PROVEEDORES[[#This Row],[SUBTOTAL]]-PROVEEDORES[[#This Row],[descuento sobre subtotal]])*VLOOKUP(PROVEEDORES[[#This Row],[PROVEEDOR]],TERCEROS_INFO[#All],3,FALSE)</f>
        <v>0</v>
      </c>
      <c r="N473" s="23"/>
      <c r="O473" s="22">
        <f>+PROVEEDORES[[#This Row],[Descuento sobre subtotal %]]*(PROVEEDORES[[#This Row],[SUBTOTAL]]-PROVEEDORES[[#This Row],[descuento sobre subtotal]])</f>
        <v>0</v>
      </c>
      <c r="P473" s="74">
        <f>+IF(PROVEEDORES[[#This Row],[SUBTOTAL]]&lt;PROVEEDORES[[#This Row],[base retencion]],0,PROVEEDORES[[#This Row],[retención aplicada]])</f>
        <v>0</v>
      </c>
      <c r="Q473" s="22">
        <f>+PROVEEDORES[[#This Row],[Rete Fuente %]]*(PROVEEDORES[[#This Row],[SUBTOTAL]]-PROVEEDORES[[#This Row],[descuento sobre subtotal]])</f>
        <v>0</v>
      </c>
      <c r="R473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47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63">
        <f ca="1">IF(PROVEEDORES[[#This Row],[FECHA DE PAGO]]=0,TODAY()-PROVEEDORES[[#This Row],[FECHA DE FACTURACIÓN]]-PROVEEDORES[[#This Row],[PLAZO Días]],0)</f>
        <v>0</v>
      </c>
      <c r="U473" s="104">
        <f>+VLOOKUP(PROVEEDORES[[#This Row],[PROVEEDOR]],Terceros!$A:$D,4,FALSE)</f>
        <v>0</v>
      </c>
      <c r="V473" s="105">
        <f>+YEAR(PROVEEDORES[[#This Row],[FECHA DE FACTURACIÓN]])</f>
        <v>2022</v>
      </c>
      <c r="W473" s="105">
        <f>+MATCH(PROVEEDORES[[#This Row],[año facturado]],Retenciones!$1:$1,0)</f>
        <v>5</v>
      </c>
      <c r="X473" s="106">
        <f>+VLOOKUP(PROVEEDORES[[#This Row],[ID RETENCION]],Retenciones!$A$1:$O$25,PROVEEDORES[[#This Row],[indicador de columna]],FALSE)</f>
        <v>0</v>
      </c>
      <c r="Y473" s="107">
        <f>+VLOOKUP(PROVEEDORES[[#This Row],[ID RETENCION]],Retenciones!$A$1:$O$25,2,FALSE)</f>
        <v>0</v>
      </c>
      <c r="Z473" s="116" t="b">
        <f>OR(COUNTIF(PROVEEDORES[[#This Row],[PROVEEDOR]],"*"&amp;'Palabra no opera'!$A$2&amp;"*"))</f>
        <v>1</v>
      </c>
    </row>
    <row r="474" spans="1:26" ht="22.35" customHeight="1" x14ac:dyDescent="0.3">
      <c r="A474" s="146" t="str">
        <f>+IF(PROVEEDORES[[#This Row],[FECHA DE PAGO]]=PROVEEDORES[[#This Row],[FECHA DE FACTURACIÓN]],"DE CONTADO","CRÉDITO")</f>
        <v>CRÉDITO</v>
      </c>
      <c r="B474" s="38" t="b">
        <f>+IF((PROVEEDORES[[#This Row],[FECHA DE PAGO]]-PROVEEDORES[[#This Row],[FECHA DE FACTURACIÓN]])&gt;PROVEEDORES[[#This Row],[PLAZO Días]],"PAGO VENCIDO")</f>
        <v>0</v>
      </c>
      <c r="C474" s="20">
        <f>+VLOOKUP(PROVEEDORES[[#This Row],[PROVEEDOR]],TERCEROS_INFO[#All],2,FALSE)</f>
        <v>30</v>
      </c>
      <c r="D474" s="25">
        <f>+SUMIFS(PROVEEDORES[Total],PROVEEDORES[PROVEEDOR],PROVEEDORES[[#This Row],[PROVEEDOR]],PROVEEDORES[FECHA DE PAGO],"")</f>
        <v>0</v>
      </c>
      <c r="E474" s="25"/>
      <c r="F47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74" s="68">
        <v>44729</v>
      </c>
      <c r="H474" s="26" t="s">
        <v>637</v>
      </c>
      <c r="I474" s="68">
        <v>44713</v>
      </c>
      <c r="J474" s="35" t="s">
        <v>220</v>
      </c>
      <c r="K474" s="21">
        <v>68166</v>
      </c>
      <c r="L474" s="21"/>
      <c r="M474" s="22">
        <f>(PROVEEDORES[[#This Row],[SUBTOTAL]]-PROVEEDORES[[#This Row],[descuento sobre subtotal]])*VLOOKUP(PROVEEDORES[[#This Row],[PROVEEDOR]],TERCEROS_INFO[#All],3,FALSE)</f>
        <v>0</v>
      </c>
      <c r="N474" s="23"/>
      <c r="O474" s="22">
        <f>+PROVEEDORES[[#This Row],[Descuento sobre subtotal %]]*(PROVEEDORES[[#This Row],[SUBTOTAL]]-PROVEEDORES[[#This Row],[descuento sobre subtotal]])</f>
        <v>0</v>
      </c>
      <c r="P474" s="74">
        <f>+IF(PROVEEDORES[[#This Row],[SUBTOTAL]]&lt;PROVEEDORES[[#This Row],[base retencion]],0,PROVEEDORES[[#This Row],[retención aplicada]])</f>
        <v>0</v>
      </c>
      <c r="Q474" s="22">
        <f>+PROVEEDORES[[#This Row],[Rete Fuente %]]*(PROVEEDORES[[#This Row],[SUBTOTAL]]-PROVEEDORES[[#This Row],[descuento sobre subtotal]])</f>
        <v>0</v>
      </c>
      <c r="R474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474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63">
        <f ca="1">IF(PROVEEDORES[[#This Row],[FECHA DE PAGO]]=0,TODAY()-PROVEEDORES[[#This Row],[FECHA DE FACTURACIÓN]]-PROVEEDORES[[#This Row],[PLAZO Días]],0)</f>
        <v>0</v>
      </c>
      <c r="U474" s="104">
        <f>+VLOOKUP(PROVEEDORES[[#This Row],[PROVEEDOR]],Terceros!$A:$D,4,FALSE)</f>
        <v>0</v>
      </c>
      <c r="V474" s="105">
        <f>+YEAR(PROVEEDORES[[#This Row],[FECHA DE FACTURACIÓN]])</f>
        <v>2022</v>
      </c>
      <c r="W474" s="105">
        <f>+MATCH(PROVEEDORES[[#This Row],[año facturado]],Retenciones!$1:$1,0)</f>
        <v>5</v>
      </c>
      <c r="X474" s="106">
        <f>+VLOOKUP(PROVEEDORES[[#This Row],[ID RETENCION]],Retenciones!$A$1:$O$25,PROVEEDORES[[#This Row],[indicador de columna]],FALSE)</f>
        <v>0</v>
      </c>
      <c r="Y474" s="107">
        <f>+VLOOKUP(PROVEEDORES[[#This Row],[ID RETENCION]],Retenciones!$A$1:$O$25,2,FALSE)</f>
        <v>0</v>
      </c>
      <c r="Z474" s="116" t="b">
        <f>OR(COUNTIF(PROVEEDORES[[#This Row],[PROVEEDOR]],"*"&amp;'Palabra no opera'!$A$2&amp;"*"))</f>
        <v>1</v>
      </c>
    </row>
    <row r="475" spans="1:26" ht="22.35" customHeight="1" x14ac:dyDescent="0.3">
      <c r="A475" s="146" t="str">
        <f>+IF(PROVEEDORES[[#This Row],[FECHA DE PAGO]]=PROVEEDORES[[#This Row],[FECHA DE FACTURACIÓN]],"DE CONTADO","CRÉDITO")</f>
        <v>CRÉDITO</v>
      </c>
      <c r="B475" s="38" t="b">
        <f>+IF((PROVEEDORES[[#This Row],[FECHA DE PAGO]]-PROVEEDORES[[#This Row],[FECHA DE FACTURACIÓN]])&gt;PROVEEDORES[[#This Row],[PLAZO Días]],"PAGO VENCIDO")</f>
        <v>0</v>
      </c>
      <c r="C475" s="20">
        <f>+VLOOKUP(PROVEEDORES[[#This Row],[PROVEEDOR]],TERCEROS_INFO[#All],2,FALSE)</f>
        <v>30</v>
      </c>
      <c r="D475" s="25">
        <f>+SUMIFS(PROVEEDORES[Total],PROVEEDORES[PROVEEDOR],PROVEEDORES[[#This Row],[PROVEEDOR]],PROVEEDORES[FECHA DE PAGO],"")</f>
        <v>0</v>
      </c>
      <c r="E475" s="25"/>
      <c r="F47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75" s="68">
        <v>44729</v>
      </c>
      <c r="H475" s="26" t="s">
        <v>637</v>
      </c>
      <c r="I475" s="68">
        <v>44713</v>
      </c>
      <c r="J475" s="35" t="s">
        <v>220</v>
      </c>
      <c r="K475" s="21">
        <v>818875</v>
      </c>
      <c r="L475" s="21"/>
      <c r="M475" s="22">
        <f>(PROVEEDORES[[#This Row],[SUBTOTAL]]-PROVEEDORES[[#This Row],[descuento sobre subtotal]])*VLOOKUP(PROVEEDORES[[#This Row],[PROVEEDOR]],TERCEROS_INFO[#All],3,FALSE)</f>
        <v>0</v>
      </c>
      <c r="N475" s="23"/>
      <c r="O475" s="22">
        <f>+PROVEEDORES[[#This Row],[Descuento sobre subtotal %]]*(PROVEEDORES[[#This Row],[SUBTOTAL]]-PROVEEDORES[[#This Row],[descuento sobre subtotal]])</f>
        <v>0</v>
      </c>
      <c r="P475" s="74">
        <f>+IF(PROVEEDORES[[#This Row],[SUBTOTAL]]&lt;PROVEEDORES[[#This Row],[base retencion]],0,PROVEEDORES[[#This Row],[retención aplicada]])</f>
        <v>0</v>
      </c>
      <c r="Q475" s="22">
        <f>+PROVEEDORES[[#This Row],[Rete Fuente %]]*(PROVEEDORES[[#This Row],[SUBTOTAL]]-PROVEEDORES[[#This Row],[descuento sobre subtotal]])</f>
        <v>0</v>
      </c>
      <c r="R475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475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63">
        <f ca="1">IF(PROVEEDORES[[#This Row],[FECHA DE PAGO]]=0,TODAY()-PROVEEDORES[[#This Row],[FECHA DE FACTURACIÓN]]-PROVEEDORES[[#This Row],[PLAZO Días]],0)</f>
        <v>0</v>
      </c>
      <c r="U475" s="104">
        <f>+VLOOKUP(PROVEEDORES[[#This Row],[PROVEEDOR]],Terceros!$A:$D,4,FALSE)</f>
        <v>0</v>
      </c>
      <c r="V475" s="105">
        <f>+YEAR(PROVEEDORES[[#This Row],[FECHA DE FACTURACIÓN]])</f>
        <v>2022</v>
      </c>
      <c r="W475" s="105">
        <f>+MATCH(PROVEEDORES[[#This Row],[año facturado]],Retenciones!$1:$1,0)</f>
        <v>5</v>
      </c>
      <c r="X475" s="106">
        <f>+VLOOKUP(PROVEEDORES[[#This Row],[ID RETENCION]],Retenciones!$A$1:$O$25,PROVEEDORES[[#This Row],[indicador de columna]],FALSE)</f>
        <v>0</v>
      </c>
      <c r="Y475" s="107">
        <f>+VLOOKUP(PROVEEDORES[[#This Row],[ID RETENCION]],Retenciones!$A$1:$O$25,2,FALSE)</f>
        <v>0</v>
      </c>
      <c r="Z475" s="116" t="b">
        <f>OR(COUNTIF(PROVEEDORES[[#This Row],[PROVEEDOR]],"*"&amp;'Palabra no opera'!$A$2&amp;"*"))</f>
        <v>1</v>
      </c>
    </row>
    <row r="476" spans="1:26" ht="22.35" customHeight="1" x14ac:dyDescent="0.3">
      <c r="A476" s="146" t="str">
        <f>+IF(PROVEEDORES[[#This Row],[FECHA DE PAGO]]=PROVEEDORES[[#This Row],[FECHA DE FACTURACIÓN]],"DE CONTADO","CRÉDITO")</f>
        <v>CRÉDITO</v>
      </c>
      <c r="B476" s="38" t="b">
        <f>+IF((PROVEEDORES[[#This Row],[FECHA DE PAGO]]-PROVEEDORES[[#This Row],[FECHA DE FACTURACIÓN]])&gt;PROVEEDORES[[#This Row],[PLAZO Días]],"PAGO VENCIDO")</f>
        <v>0</v>
      </c>
      <c r="C476" s="20">
        <f>+VLOOKUP(PROVEEDORES[[#This Row],[PROVEEDOR]],TERCEROS_INFO[#All],2,FALSE)</f>
        <v>30</v>
      </c>
      <c r="D476" s="25">
        <f>+SUMIFS(PROVEEDORES[Total],PROVEEDORES[PROVEEDOR],PROVEEDORES[[#This Row],[PROVEEDOR]],PROVEEDORES[FECHA DE PAGO],"")</f>
        <v>0</v>
      </c>
      <c r="E476" s="25"/>
      <c r="F47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76" s="68">
        <v>44729</v>
      </c>
      <c r="H476" s="26" t="s">
        <v>637</v>
      </c>
      <c r="I476" s="68">
        <v>44713</v>
      </c>
      <c r="J476" s="35" t="s">
        <v>219</v>
      </c>
      <c r="K476" s="21">
        <v>825349</v>
      </c>
      <c r="L476" s="21"/>
      <c r="M476" s="22">
        <f>(PROVEEDORES[[#This Row],[SUBTOTAL]]-PROVEEDORES[[#This Row],[descuento sobre subtotal]])*VLOOKUP(PROVEEDORES[[#This Row],[PROVEEDOR]],TERCEROS_INFO[#All],3,FALSE)</f>
        <v>0</v>
      </c>
      <c r="N476" s="23"/>
      <c r="O476" s="22">
        <f>+PROVEEDORES[[#This Row],[Descuento sobre subtotal %]]*(PROVEEDORES[[#This Row],[SUBTOTAL]]-PROVEEDORES[[#This Row],[descuento sobre subtotal]])</f>
        <v>0</v>
      </c>
      <c r="P476" s="74">
        <f>+IF(PROVEEDORES[[#This Row],[SUBTOTAL]]&lt;PROVEEDORES[[#This Row],[base retencion]],0,PROVEEDORES[[#This Row],[retención aplicada]])</f>
        <v>0</v>
      </c>
      <c r="Q476" s="22">
        <f>+PROVEEDORES[[#This Row],[Rete Fuente %]]*(PROVEEDORES[[#This Row],[SUBTOTAL]]-PROVEEDORES[[#This Row],[descuento sobre subtotal]])</f>
        <v>0</v>
      </c>
      <c r="R476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476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63">
        <f ca="1">IF(PROVEEDORES[[#This Row],[FECHA DE PAGO]]=0,TODAY()-PROVEEDORES[[#This Row],[FECHA DE FACTURACIÓN]]-PROVEEDORES[[#This Row],[PLAZO Días]],0)</f>
        <v>0</v>
      </c>
      <c r="U476" s="104">
        <f>+VLOOKUP(PROVEEDORES[[#This Row],[PROVEEDOR]],Terceros!$A:$D,4,FALSE)</f>
        <v>0</v>
      </c>
      <c r="V476" s="105">
        <f>+YEAR(PROVEEDORES[[#This Row],[FECHA DE FACTURACIÓN]])</f>
        <v>2022</v>
      </c>
      <c r="W476" s="105">
        <f>+MATCH(PROVEEDORES[[#This Row],[año facturado]],Retenciones!$1:$1,0)</f>
        <v>5</v>
      </c>
      <c r="X476" s="106">
        <f>+VLOOKUP(PROVEEDORES[[#This Row],[ID RETENCION]],Retenciones!$A$1:$O$25,PROVEEDORES[[#This Row],[indicador de columna]],FALSE)</f>
        <v>0</v>
      </c>
      <c r="Y476" s="107">
        <f>+VLOOKUP(PROVEEDORES[[#This Row],[ID RETENCION]],Retenciones!$A$1:$O$25,2,FALSE)</f>
        <v>0</v>
      </c>
      <c r="Z476" s="116" t="b">
        <f>OR(COUNTIF(PROVEEDORES[[#This Row],[PROVEEDOR]],"*"&amp;'Palabra no opera'!$A$2&amp;"*"))</f>
        <v>1</v>
      </c>
    </row>
    <row r="477" spans="1:26" ht="22.35" customHeight="1" x14ac:dyDescent="0.3">
      <c r="A477" s="148" t="str">
        <f>+IF(PROVEEDORES[[#This Row],[FECHA DE PAGO]]=PROVEEDORES[[#This Row],[FECHA DE FACTURACIÓN]],"DE CONTADO","CRÉDITO")</f>
        <v>CRÉDITO</v>
      </c>
      <c r="B477" s="38" t="b">
        <f>+IF((PROVEEDORES[[#This Row],[FECHA DE PAGO]]-PROVEEDORES[[#This Row],[FECHA DE FACTURACIÓN]])&gt;PROVEEDORES[[#This Row],[PLAZO Días]],"PAGO VENCIDO")</f>
        <v>0</v>
      </c>
      <c r="C477" s="20">
        <f>+VLOOKUP(PROVEEDORES[[#This Row],[PROVEEDOR]],TERCEROS_INFO[#All],2,FALSE)</f>
        <v>30</v>
      </c>
      <c r="D477" s="25">
        <f>+SUMIFS(PROVEEDORES[Total],PROVEEDORES[PROVEEDOR],PROVEEDORES[[#This Row],[PROVEEDOR]],PROVEEDORES[FECHA DE PAGO],"")</f>
        <v>0</v>
      </c>
      <c r="E477" s="25"/>
      <c r="F477" s="56">
        <f>+VLOOKUP(PROVEEDORES[[#This Row],[PROVEEDOR]],
                       Terceros!$A:$F,
                       5,
                       FALSE)</f>
        <v>0</v>
      </c>
      <c r="G477" s="68">
        <v>44729</v>
      </c>
      <c r="H477" s="26" t="s">
        <v>642</v>
      </c>
      <c r="I477" s="68">
        <v>44713</v>
      </c>
      <c r="J477" s="35" t="s">
        <v>216</v>
      </c>
      <c r="K477" s="21">
        <v>1527459</v>
      </c>
      <c r="L477" s="21"/>
      <c r="M477" s="22">
        <f>(PROVEEDORES[[#This Row],[SUBTOTAL]]-PROVEEDORES[[#This Row],[descuento sobre subtotal]])*VLOOKUP(PROVEEDORES[[#This Row],[PROVEEDOR]],TERCEROS_INFO[#All],3,FALSE)</f>
        <v>0</v>
      </c>
      <c r="N477" s="23"/>
      <c r="O477" s="22">
        <f>+PROVEEDORES[[#This Row],[Descuento sobre subtotal %]]*(PROVEEDORES[[#This Row],[SUBTOTAL]]-PROVEEDORES[[#This Row],[descuento sobre subtotal]])</f>
        <v>0</v>
      </c>
      <c r="P477" s="74">
        <f>+IF(PROVEEDORES[[#This Row],[SUBTOTAL]]&lt;PROVEEDORES[[#This Row],[base retencion]],0,PROVEEDORES[[#This Row],[retención aplicada]])</f>
        <v>0</v>
      </c>
      <c r="Q477" s="22">
        <f>+PROVEEDORES[[#This Row],[Rete Fuente %]]*(PROVEEDORES[[#This Row],[SUBTOTAL]]-PROVEEDORES[[#This Row],[descuento sobre subtotal]])</f>
        <v>0</v>
      </c>
      <c r="R477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477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63">
        <f ca="1">IF(PROVEEDORES[[#This Row],[FECHA DE PAGO]]=0,TODAY()-PROVEEDORES[[#This Row],[FECHA DE FACTURACIÓN]]-PROVEEDORES[[#This Row],[PLAZO Días]],0)</f>
        <v>0</v>
      </c>
      <c r="U477" s="104">
        <f>+VLOOKUP(PROVEEDORES[[#This Row],[PROVEEDOR]],Terceros!$A:$D,4,FALSE)</f>
        <v>0</v>
      </c>
      <c r="V477" s="105">
        <f>+YEAR(PROVEEDORES[[#This Row],[FECHA DE FACTURACIÓN]])</f>
        <v>2022</v>
      </c>
      <c r="W477" s="105">
        <f>+MATCH(PROVEEDORES[[#This Row],[año facturado]],Retenciones!$1:$1,0)</f>
        <v>5</v>
      </c>
      <c r="X477" s="106">
        <f>+VLOOKUP(PROVEEDORES[[#This Row],[ID RETENCION]],Retenciones!$A$1:$O$25,PROVEEDORES[[#This Row],[indicador de columna]],FALSE)</f>
        <v>0</v>
      </c>
      <c r="Y477" s="107">
        <f>+VLOOKUP(PROVEEDORES[[#This Row],[ID RETENCION]],Retenciones!$A$1:$O$25,2,FALSE)</f>
        <v>0</v>
      </c>
      <c r="Z477" s="116" t="b">
        <f>OR(COUNTIF(PROVEEDORES[[#This Row],[PROVEEDOR]],"*"&amp;'Palabra no opera'!$A$2&amp;"*"))</f>
        <v>1</v>
      </c>
    </row>
    <row r="478" spans="1:26" ht="22.35" customHeight="1" x14ac:dyDescent="0.3">
      <c r="A478" s="148" t="str">
        <f>+IF(PROVEEDORES[[#This Row],[FECHA DE PAGO]]=PROVEEDORES[[#This Row],[FECHA DE FACTURACIÓN]],"DE CONTADO","CRÉDITO")</f>
        <v>CRÉDITO</v>
      </c>
      <c r="B478" s="38" t="b">
        <f>+IF((PROVEEDORES[[#This Row],[FECHA DE PAGO]]-PROVEEDORES[[#This Row],[FECHA DE FACTURACIÓN]])&gt;PROVEEDORES[[#This Row],[PLAZO Días]],"PAGO VENCIDO")</f>
        <v>0</v>
      </c>
      <c r="C478" s="20">
        <f>+VLOOKUP(PROVEEDORES[[#This Row],[PROVEEDOR]],TERCEROS_INFO[#All],2,FALSE)</f>
        <v>30</v>
      </c>
      <c r="D478" s="25">
        <f>+SUMIFS(PROVEEDORES[Total],PROVEEDORES[PROVEEDOR],PROVEEDORES[[#This Row],[PROVEEDOR]],PROVEEDORES[FECHA DE PAGO],"")</f>
        <v>0</v>
      </c>
      <c r="E478" s="25"/>
      <c r="F478" s="56" t="str">
        <f>+VLOOKUP(PROVEEDORES[[#This Row],[PROVEEDOR]],
                       Terceros!$A:$F,
                       5,
                       FALSE)</f>
        <v>PSE</v>
      </c>
      <c r="G478" s="68">
        <v>44729</v>
      </c>
      <c r="H478" s="26" t="s">
        <v>645</v>
      </c>
      <c r="I478" s="68">
        <v>44713</v>
      </c>
      <c r="J478" s="35"/>
      <c r="K478" s="21">
        <v>326243</v>
      </c>
      <c r="L478" s="21"/>
      <c r="M478" s="22">
        <f>(PROVEEDORES[[#This Row],[SUBTOTAL]]-PROVEEDORES[[#This Row],[descuento sobre subtotal]])*VLOOKUP(PROVEEDORES[[#This Row],[PROVEEDOR]],TERCEROS_INFO[#All],3,FALSE)</f>
        <v>0</v>
      </c>
      <c r="N478" s="23"/>
      <c r="O478" s="22">
        <f>+PROVEEDORES[[#This Row],[Descuento sobre subtotal %]]*(PROVEEDORES[[#This Row],[SUBTOTAL]]-PROVEEDORES[[#This Row],[descuento sobre subtotal]])</f>
        <v>0</v>
      </c>
      <c r="P478" s="74">
        <f>+IF(PROVEEDORES[[#This Row],[SUBTOTAL]]&lt;PROVEEDORES[[#This Row],[base retencion]],0,PROVEEDORES[[#This Row],[retención aplicada]])</f>
        <v>0</v>
      </c>
      <c r="Q478" s="22">
        <f>+PROVEEDORES[[#This Row],[Rete Fuente %]]*(PROVEEDORES[[#This Row],[SUBTOTAL]]-PROVEEDORES[[#This Row],[descuento sobre subtotal]])</f>
        <v>0</v>
      </c>
      <c r="R478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47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63">
        <f ca="1">IF(PROVEEDORES[[#This Row],[FECHA DE PAGO]]=0,TODAY()-PROVEEDORES[[#This Row],[FECHA DE FACTURACIÓN]]-PROVEEDORES[[#This Row],[PLAZO Días]],0)</f>
        <v>0</v>
      </c>
      <c r="U478" s="104">
        <f>+VLOOKUP(PROVEEDORES[[#This Row],[PROVEEDOR]],Terceros!$A:$D,4,FALSE)</f>
        <v>0</v>
      </c>
      <c r="V478" s="105">
        <f>+YEAR(PROVEEDORES[[#This Row],[FECHA DE FACTURACIÓN]])</f>
        <v>2022</v>
      </c>
      <c r="W478" s="105">
        <f>+MATCH(PROVEEDORES[[#This Row],[año facturado]],Retenciones!$1:$1,0)</f>
        <v>5</v>
      </c>
      <c r="X478" s="106">
        <f>+VLOOKUP(PROVEEDORES[[#This Row],[ID RETENCION]],Retenciones!$A$1:$O$25,PROVEEDORES[[#This Row],[indicador de columna]],FALSE)</f>
        <v>0</v>
      </c>
      <c r="Y478" s="107">
        <f>+VLOOKUP(PROVEEDORES[[#This Row],[ID RETENCION]],Retenciones!$A$1:$O$25,2,FALSE)</f>
        <v>0</v>
      </c>
      <c r="Z478" s="116" t="b">
        <f>OR(COUNTIF(PROVEEDORES[[#This Row],[PROVEEDOR]],"*"&amp;'Palabra no opera'!$A$2&amp;"*"))</f>
        <v>1</v>
      </c>
    </row>
    <row r="479" spans="1:26" ht="22.35" customHeight="1" x14ac:dyDescent="0.3">
      <c r="A479" s="163" t="str">
        <f>+IF(PROVEEDORES[[#This Row],[FECHA DE PAGO]]=PROVEEDORES[[#This Row],[FECHA DE FACTURACIÓN]],"DE CONTADO","CRÉDITO")</f>
        <v>CRÉDITO</v>
      </c>
      <c r="B479" s="38" t="str">
        <f>+IF((PROVEEDORES[[#This Row],[FECHA DE PAGO]]-PROVEEDORES[[#This Row],[FECHA DE FACTURACIÓN]])&gt;PROVEEDORES[[#This Row],[PLAZO Días]],"PAGO VENCIDO")</f>
        <v>PAGO VENCIDO</v>
      </c>
      <c r="C479" s="20">
        <f>+VLOOKUP(PROVEEDORES[[#This Row],[PROVEEDOR]],TERCEROS_INFO[#All],2,FALSE)</f>
        <v>0</v>
      </c>
      <c r="D479" s="25">
        <f>+SUMIFS(PROVEEDORES[Total],PROVEEDORES[PROVEEDOR],PROVEEDORES[[#This Row],[PROVEEDOR]],PROVEEDORES[FECHA DE PAGO],"")</f>
        <v>0</v>
      </c>
      <c r="E479" s="25"/>
      <c r="F479" s="56">
        <f>+VLOOKUP(PROVEEDORES[[#This Row],[PROVEEDOR]],
                       Terceros!$A:$F,
                       5,
                       FALSE)</f>
        <v>0</v>
      </c>
      <c r="G479" s="68">
        <v>44730</v>
      </c>
      <c r="H479" s="26" t="s">
        <v>754</v>
      </c>
      <c r="I479" s="68">
        <v>44713</v>
      </c>
      <c r="J479" s="35" t="s">
        <v>907</v>
      </c>
      <c r="K479" s="21">
        <v>1500000</v>
      </c>
      <c r="L479" s="21"/>
      <c r="M479" s="22">
        <f>(PROVEEDORES[[#This Row],[SUBTOTAL]]-PROVEEDORES[[#This Row],[descuento sobre subtotal]])*VLOOKUP(PROVEEDORES[[#This Row],[PROVEEDOR]],TERCEROS_INFO[#All],3,FALSE)</f>
        <v>0</v>
      </c>
      <c r="N479" s="23"/>
      <c r="O479" s="22">
        <f>+PROVEEDORES[[#This Row],[Descuento sobre subtotal %]]*(PROVEEDORES[[#This Row],[SUBTOTAL]]-PROVEEDORES[[#This Row],[descuento sobre subtotal]])</f>
        <v>0</v>
      </c>
      <c r="P479" s="74">
        <f>+IF(PROVEEDORES[[#This Row],[SUBTOTAL]]&lt;PROVEEDORES[[#This Row],[base retencion]],0,PROVEEDORES[[#This Row],[retención aplicada]])</f>
        <v>0</v>
      </c>
      <c r="Q479" s="22">
        <f>+PROVEEDORES[[#This Row],[Rete Fuente %]]*(PROVEEDORES[[#This Row],[SUBTOTAL]]-PROVEEDORES[[#This Row],[descuento sobre subtotal]])</f>
        <v>0</v>
      </c>
      <c r="R479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479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63">
        <f ca="1">IF(PROVEEDORES[[#This Row],[FECHA DE PAGO]]=0,TODAY()-PROVEEDORES[[#This Row],[FECHA DE FACTURACIÓN]]-PROVEEDORES[[#This Row],[PLAZO Días]],0)</f>
        <v>0</v>
      </c>
      <c r="U479" s="104">
        <f>+VLOOKUP(PROVEEDORES[[#This Row],[PROVEEDOR]],Terceros!$A:$D,4,FALSE)</f>
        <v>0</v>
      </c>
      <c r="V479" s="105">
        <f>+YEAR(PROVEEDORES[[#This Row],[FECHA DE FACTURACIÓN]])</f>
        <v>2022</v>
      </c>
      <c r="W479" s="105">
        <f>+MATCH(PROVEEDORES[[#This Row],[año facturado]],Retenciones!$1:$1,0)</f>
        <v>5</v>
      </c>
      <c r="X479" s="106">
        <f>+VLOOKUP(PROVEEDORES[[#This Row],[ID RETENCION]],Retenciones!$A$1:$O$25,PROVEEDORES[[#This Row],[indicador de columna]],FALSE)</f>
        <v>0</v>
      </c>
      <c r="Y479" s="107">
        <f>+VLOOKUP(PROVEEDORES[[#This Row],[ID RETENCION]],Retenciones!$A$1:$O$25,2,FALSE)</f>
        <v>0</v>
      </c>
      <c r="Z479" s="116" t="b">
        <f>OR(COUNTIF(PROVEEDORES[[#This Row],[PROVEEDOR]],"*"&amp;'Palabra no opera'!$A$2&amp;"*"))</f>
        <v>1</v>
      </c>
    </row>
    <row r="480" spans="1:26" ht="22.35" customHeight="1" x14ac:dyDescent="0.3">
      <c r="A480" s="163" t="str">
        <f>+IF(PROVEEDORES[[#This Row],[FECHA DE PAGO]]=PROVEEDORES[[#This Row],[FECHA DE FACTURACIÓN]],"DE CONTADO","CRÉDITO")</f>
        <v>CRÉDITO</v>
      </c>
      <c r="B480" s="38" t="str">
        <f>+IF((PROVEEDORES[[#This Row],[FECHA DE PAGO]]-PROVEEDORES[[#This Row],[FECHA DE FACTURACIÓN]])&gt;PROVEEDORES[[#This Row],[PLAZO Días]],"PAGO VENCIDO")</f>
        <v>PAGO VENCIDO</v>
      </c>
      <c r="C480" s="20">
        <f>+VLOOKUP(PROVEEDORES[[#This Row],[PROVEEDOR]],TERCEROS_INFO[#All],2,FALSE)</f>
        <v>0</v>
      </c>
      <c r="D480" s="25">
        <f>+SUMIFS(PROVEEDORES[Total],PROVEEDORES[PROVEEDOR],PROVEEDORES[[#This Row],[PROVEEDOR]],PROVEEDORES[FECHA DE PAGO],"")</f>
        <v>0</v>
      </c>
      <c r="E480" s="25"/>
      <c r="F480" s="56">
        <f>+VLOOKUP(PROVEEDORES[[#This Row],[PROVEEDOR]],
                       Terceros!$A:$F,
                       5,
                       FALSE)</f>
        <v>0</v>
      </c>
      <c r="G480" s="68">
        <v>44730</v>
      </c>
      <c r="H480" s="26" t="s">
        <v>754</v>
      </c>
      <c r="I480" s="68">
        <v>44713</v>
      </c>
      <c r="J480" s="35" t="s">
        <v>907</v>
      </c>
      <c r="K480" s="21">
        <v>3000000</v>
      </c>
      <c r="L480" s="21"/>
      <c r="M480" s="22">
        <f>(PROVEEDORES[[#This Row],[SUBTOTAL]]-PROVEEDORES[[#This Row],[descuento sobre subtotal]])*VLOOKUP(PROVEEDORES[[#This Row],[PROVEEDOR]],TERCEROS_INFO[#All],3,FALSE)</f>
        <v>0</v>
      </c>
      <c r="N480" s="23"/>
      <c r="O480" s="22">
        <f>+PROVEEDORES[[#This Row],[Descuento sobre subtotal %]]*(PROVEEDORES[[#This Row],[SUBTOTAL]]-PROVEEDORES[[#This Row],[descuento sobre subtotal]])</f>
        <v>0</v>
      </c>
      <c r="P480" s="74">
        <f>+IF(PROVEEDORES[[#This Row],[SUBTOTAL]]&lt;PROVEEDORES[[#This Row],[base retencion]],0,PROVEEDORES[[#This Row],[retención aplicada]])</f>
        <v>0</v>
      </c>
      <c r="Q480" s="22">
        <f>+PROVEEDORES[[#This Row],[Rete Fuente %]]*(PROVEEDORES[[#This Row],[SUBTOTAL]]-PROVEEDORES[[#This Row],[descuento sobre subtotal]])</f>
        <v>0</v>
      </c>
      <c r="R480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480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63">
        <f ca="1">IF(PROVEEDORES[[#This Row],[FECHA DE PAGO]]=0,TODAY()-PROVEEDORES[[#This Row],[FECHA DE FACTURACIÓN]]-PROVEEDORES[[#This Row],[PLAZO Días]],0)</f>
        <v>0</v>
      </c>
      <c r="U480" s="104">
        <f>+VLOOKUP(PROVEEDORES[[#This Row],[PROVEEDOR]],Terceros!$A:$D,4,FALSE)</f>
        <v>0</v>
      </c>
      <c r="V480" s="105">
        <f>+YEAR(PROVEEDORES[[#This Row],[FECHA DE FACTURACIÓN]])</f>
        <v>2022</v>
      </c>
      <c r="W480" s="105">
        <f>+MATCH(PROVEEDORES[[#This Row],[año facturado]],Retenciones!$1:$1,0)</f>
        <v>5</v>
      </c>
      <c r="X480" s="106">
        <f>+VLOOKUP(PROVEEDORES[[#This Row],[ID RETENCION]],Retenciones!$A$1:$O$25,PROVEEDORES[[#This Row],[indicador de columna]],FALSE)</f>
        <v>0</v>
      </c>
      <c r="Y480" s="107">
        <f>+VLOOKUP(PROVEEDORES[[#This Row],[ID RETENCION]],Retenciones!$A$1:$O$25,2,FALSE)</f>
        <v>0</v>
      </c>
      <c r="Z480" s="116" t="b">
        <f>OR(COUNTIF(PROVEEDORES[[#This Row],[PROVEEDOR]],"*"&amp;'Palabra no opera'!$A$2&amp;"*"))</f>
        <v>1</v>
      </c>
    </row>
    <row r="481" spans="1:26" ht="22.35" customHeight="1" x14ac:dyDescent="0.3">
      <c r="A481" s="129" t="str">
        <f>+IF(PROVEEDORES[[#This Row],[FECHA DE PAGO]]=PROVEEDORES[[#This Row],[FECHA DE FACTURACIÓN]],"DE CONTADO","CRÉDITO")</f>
        <v>CRÉDITO</v>
      </c>
      <c r="B481" s="38" t="str">
        <f>+IF((PROVEEDORES[[#This Row],[FECHA DE PAGO]]-PROVEEDORES[[#This Row],[FECHA DE FACTURACIÓN]])&gt;PROVEEDORES[[#This Row],[PLAZO Días]],"PAGO VENCIDO")</f>
        <v>PAGO VENCIDO</v>
      </c>
      <c r="C481" s="20">
        <f>+VLOOKUP(PROVEEDORES[[#This Row],[PROVEEDOR]],TERCEROS_INFO[#All],2,FALSE)</f>
        <v>30</v>
      </c>
      <c r="D481" s="25">
        <f>+SUMIFS(PROVEEDORES[Total],PROVEEDORES[PROVEEDOR],PROVEEDORES[[#This Row],[PROVEEDOR]],PROVEEDORES[FECHA DE PAGO],"")</f>
        <v>1316890.8900000001</v>
      </c>
      <c r="E481" s="25"/>
      <c r="F481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81" s="68">
        <v>44733</v>
      </c>
      <c r="H481" s="26" t="s">
        <v>17</v>
      </c>
      <c r="I481" s="68">
        <v>44698</v>
      </c>
      <c r="J481" s="35">
        <v>1914942</v>
      </c>
      <c r="K481" s="21">
        <v>836500</v>
      </c>
      <c r="L481" s="21"/>
      <c r="M481" s="22">
        <f>(PROVEEDORES[[#This Row],[SUBTOTAL]]-PROVEEDORES[[#This Row],[descuento sobre subtotal]])*VLOOKUP(PROVEEDORES[[#This Row],[PROVEEDOR]],TERCEROS_INFO[#All],3,FALSE)</f>
        <v>158935</v>
      </c>
      <c r="N481" s="23"/>
      <c r="O481" s="22">
        <f>+PROVEEDORES[[#This Row],[Descuento sobre subtotal %]]*(PROVEEDORES[[#This Row],[SUBTOTAL]]-PROVEEDORES[[#This Row],[descuento sobre subtotal]])</f>
        <v>0</v>
      </c>
      <c r="P481" s="74">
        <f>+IF(PROVEEDORES[[#This Row],[SUBTOTAL]]&lt;PROVEEDORES[[#This Row],[base retencion]],0,PROVEEDORES[[#This Row],[retención aplicada]])</f>
        <v>0</v>
      </c>
      <c r="Q481" s="22">
        <f>+PROVEEDORES[[#This Row],[Rete Fuente %]]*(PROVEEDORES[[#This Row],[SUBTOTAL]]-PROVEEDORES[[#This Row],[descuento sobre subtotal]])</f>
        <v>0</v>
      </c>
      <c r="R481" s="21">
        <f>+PROVEEDORES[[#This Row],[SUBTOTAL]]+PROVEEDORES[[#This Row],[IVA 19%]]-PROVEEDORES[[#This Row],[descuento sobre subtotal]]-PROVEEDORES[[#This Row],[Descuento sobre subtotal $2]]-PROVEEDORES[[#This Row],[Rete Fuente $]]</f>
        <v>995435</v>
      </c>
      <c r="S481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63">
        <f ca="1">IF(PROVEEDORES[[#This Row],[FECHA DE PAGO]]=0,TODAY()-PROVEEDORES[[#This Row],[FECHA DE FACTURACIÓN]]-PROVEEDORES[[#This Row],[PLAZO Días]],0)</f>
        <v>0</v>
      </c>
      <c r="U481" s="104">
        <f>+VLOOKUP(PROVEEDORES[[#This Row],[PROVEEDOR]],Terceros!$A:$D,4,FALSE)</f>
        <v>0</v>
      </c>
      <c r="V481" s="105">
        <f>+YEAR(PROVEEDORES[[#This Row],[FECHA DE FACTURACIÓN]])</f>
        <v>2022</v>
      </c>
      <c r="W481" s="105">
        <f>+MATCH(PROVEEDORES[[#This Row],[año facturado]],Retenciones!$1:$1,0)</f>
        <v>5</v>
      </c>
      <c r="X481" s="106">
        <f>+VLOOKUP(PROVEEDORES[[#This Row],[ID RETENCION]],Retenciones!$A$1:$O$25,PROVEEDORES[[#This Row],[indicador de columna]],FALSE)</f>
        <v>0</v>
      </c>
      <c r="Y481" s="107">
        <f>+VLOOKUP(PROVEEDORES[[#This Row],[ID RETENCION]],Retenciones!$A$1:$O$25,2,FALSE)</f>
        <v>0</v>
      </c>
      <c r="Z481" s="116" t="b">
        <f>OR(COUNTIF(PROVEEDORES[[#This Row],[PROVEEDOR]],"*"&amp;'Palabra no opera'!$A$2&amp;"*"))</f>
        <v>0</v>
      </c>
    </row>
    <row r="482" spans="1:26" ht="22.35" customHeight="1" x14ac:dyDescent="0.3">
      <c r="A482" s="148" t="str">
        <f>+IF(PROVEEDORES[[#This Row],[FECHA DE PAGO]]=PROVEEDORES[[#This Row],[FECHA DE FACTURACIÓN]],"DE CONTADO","CRÉDITO")</f>
        <v>DE CONTADO</v>
      </c>
      <c r="B482" s="38" t="b">
        <f>+IF((PROVEEDORES[[#This Row],[FECHA DE PAGO]]-PROVEEDORES[[#This Row],[FECHA DE FACTURACIÓN]])&gt;PROVEEDORES[[#This Row],[PLAZO Días]],"PAGO VENCIDO")</f>
        <v>0</v>
      </c>
      <c r="C482" s="20">
        <f>+VLOOKUP(PROVEEDORES[[#This Row],[PROVEEDOR]],TERCEROS_INFO[#All],2,FALSE)</f>
        <v>30</v>
      </c>
      <c r="D482" s="25">
        <f>+SUMIFS(PROVEEDORES[Total],PROVEEDORES[PROVEEDOR],PROVEEDORES[[#This Row],[PROVEEDOR]],PROVEEDORES[FECHA DE PAGO],"")</f>
        <v>0</v>
      </c>
      <c r="E482" s="25"/>
      <c r="F482" s="56" t="str">
        <f>+VLOOKUP(PROVEEDORES[[#This Row],[PROVEEDOR]],
                       Terceros!$A:$F,
                       5,
                       FALSE)</f>
        <v/>
      </c>
      <c r="G482" s="68">
        <v>44733</v>
      </c>
      <c r="H482" s="26" t="s">
        <v>362</v>
      </c>
      <c r="I482" s="68">
        <v>44733</v>
      </c>
      <c r="J482" s="35" t="s">
        <v>776</v>
      </c>
      <c r="K482" s="21">
        <v>100000</v>
      </c>
      <c r="L482" s="21"/>
      <c r="M482" s="22">
        <f>(PROVEEDORES[[#This Row],[SUBTOTAL]]-PROVEEDORES[[#This Row],[descuento sobre subtotal]])*VLOOKUP(PROVEEDORES[[#This Row],[PROVEEDOR]],TERCEROS_INFO[#All],3,FALSE)</f>
        <v>0</v>
      </c>
      <c r="N482" s="23"/>
      <c r="O482" s="22">
        <f>+PROVEEDORES[[#This Row],[Descuento sobre subtotal %]]*(PROVEEDORES[[#This Row],[SUBTOTAL]]-PROVEEDORES[[#This Row],[descuento sobre subtotal]])</f>
        <v>0</v>
      </c>
      <c r="P482" s="74">
        <f>+IF(PROVEEDORES[[#This Row],[SUBTOTAL]]&lt;PROVEEDORES[[#This Row],[base retencion]],0,PROVEEDORES[[#This Row],[retención aplicada]])</f>
        <v>0</v>
      </c>
      <c r="Q482" s="22">
        <f>+PROVEEDORES[[#This Row],[Rete Fuente %]]*(PROVEEDORES[[#This Row],[SUBTOTAL]]-PROVEEDORES[[#This Row],[descuento sobre subtotal]])</f>
        <v>0</v>
      </c>
      <c r="R482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48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63">
        <f ca="1">IF(PROVEEDORES[[#This Row],[FECHA DE PAGO]]=0,TODAY()-PROVEEDORES[[#This Row],[FECHA DE FACTURACIÓN]]-PROVEEDORES[[#This Row],[PLAZO Días]],0)</f>
        <v>0</v>
      </c>
      <c r="U482" s="104">
        <f>+VLOOKUP(PROVEEDORES[[#This Row],[PROVEEDOR]],Terceros!$A:$D,4,FALSE)</f>
        <v>0</v>
      </c>
      <c r="V482" s="105">
        <f>+YEAR(PROVEEDORES[[#This Row],[FECHA DE FACTURACIÓN]])</f>
        <v>2022</v>
      </c>
      <c r="W482" s="105">
        <f>+MATCH(PROVEEDORES[[#This Row],[año facturado]],Retenciones!$1:$1,0)</f>
        <v>5</v>
      </c>
      <c r="X482" s="106">
        <f>+VLOOKUP(PROVEEDORES[[#This Row],[ID RETENCION]],Retenciones!$A$1:$O$25,PROVEEDORES[[#This Row],[indicador de columna]],FALSE)</f>
        <v>0</v>
      </c>
      <c r="Y482" s="107">
        <f>+VLOOKUP(PROVEEDORES[[#This Row],[ID RETENCION]],Retenciones!$A$1:$O$25,2,FALSE)</f>
        <v>0</v>
      </c>
      <c r="Z482" s="116" t="b">
        <f>OR(COUNTIF(PROVEEDORES[[#This Row],[PROVEEDOR]],"*"&amp;'Palabra no opera'!$A$2&amp;"*"))</f>
        <v>0</v>
      </c>
    </row>
    <row r="483" spans="1:26" ht="22.35" customHeight="1" x14ac:dyDescent="0.3">
      <c r="A483" s="148" t="str">
        <f>+IF(PROVEEDORES[[#This Row],[FECHA DE PAGO]]=PROVEEDORES[[#This Row],[FECHA DE FACTURACIÓN]],"DE CONTADO","CRÉDITO")</f>
        <v>CRÉDITO</v>
      </c>
      <c r="B483" s="38" t="b">
        <f>+IF((PROVEEDORES[[#This Row],[FECHA DE PAGO]]-PROVEEDORES[[#This Row],[FECHA DE FACTURACIÓN]])&gt;PROVEEDORES[[#This Row],[PLAZO Días]],"PAGO VENCIDO")</f>
        <v>0</v>
      </c>
      <c r="C483" s="20">
        <f>+VLOOKUP(PROVEEDORES[[#This Row],[PROVEEDOR]],TERCEROS_INFO[#All],2,FALSE)</f>
        <v>10</v>
      </c>
      <c r="D483" s="25">
        <f>+SUMIFS(PROVEEDORES[Total],PROVEEDORES[PROVEEDOR],PROVEEDORES[[#This Row],[PROVEEDOR]],PROVEEDORES[FECHA DE PAGO],"")</f>
        <v>0</v>
      </c>
      <c r="E483" s="25"/>
      <c r="F483" s="56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483" s="68">
        <v>44733</v>
      </c>
      <c r="H483" s="26" t="s">
        <v>614</v>
      </c>
      <c r="I483" s="68">
        <v>44726</v>
      </c>
      <c r="J483" s="35" t="s">
        <v>741</v>
      </c>
      <c r="K483" s="21">
        <v>562500</v>
      </c>
      <c r="L483" s="21"/>
      <c r="M483" s="22">
        <f>(PROVEEDORES[[#This Row],[SUBTOTAL]]-PROVEEDORES[[#This Row],[descuento sobre subtotal]])*VLOOKUP(PROVEEDORES[[#This Row],[PROVEEDOR]],TERCEROS_INFO[#All],3,FALSE)</f>
        <v>0</v>
      </c>
      <c r="N483" s="23"/>
      <c r="O483" s="22">
        <f>+PROVEEDORES[[#This Row],[Descuento sobre subtotal %]]*(PROVEEDORES[[#This Row],[SUBTOTAL]]-PROVEEDORES[[#This Row],[descuento sobre subtotal]])</f>
        <v>0</v>
      </c>
      <c r="P483" s="74">
        <f>+IF(PROVEEDORES[[#This Row],[SUBTOTAL]]&lt;PROVEEDORES[[#This Row],[base retencion]],0,PROVEEDORES[[#This Row],[retención aplicada]])</f>
        <v>0</v>
      </c>
      <c r="Q483" s="22">
        <f>+PROVEEDORES[[#This Row],[Rete Fuente %]]*(PROVEEDORES[[#This Row],[SUBTOTAL]]-PROVEEDORES[[#This Row],[descuento sobre subtotal]])</f>
        <v>0</v>
      </c>
      <c r="R483" s="21">
        <f>+PROVEEDORES[[#This Row],[SUBTOTAL]]+PROVEEDORES[[#This Row],[IVA 19%]]-PROVEEDORES[[#This Row],[descuento sobre subtotal]]-PROVEEDORES[[#This Row],[Descuento sobre subtotal $2]]-PROVEEDORES[[#This Row],[Rete Fuente $]]</f>
        <v>562500</v>
      </c>
      <c r="S48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63">
        <f ca="1">IF(PROVEEDORES[[#This Row],[FECHA DE PAGO]]=0,TODAY()-PROVEEDORES[[#This Row],[FECHA DE FACTURACIÓN]]-PROVEEDORES[[#This Row],[PLAZO Días]],0)</f>
        <v>0</v>
      </c>
      <c r="U483" s="104">
        <f>+VLOOKUP(PROVEEDORES[[#This Row],[PROVEEDOR]],Terceros!$A:$D,4,FALSE)</f>
        <v>0</v>
      </c>
      <c r="V483" s="105">
        <f>+YEAR(PROVEEDORES[[#This Row],[FECHA DE FACTURACIÓN]])</f>
        <v>2022</v>
      </c>
      <c r="W483" s="105">
        <f>+MATCH(PROVEEDORES[[#This Row],[año facturado]],Retenciones!$1:$1,0)</f>
        <v>5</v>
      </c>
      <c r="X483" s="106">
        <f>+VLOOKUP(PROVEEDORES[[#This Row],[ID RETENCION]],Retenciones!$A$1:$O$25,PROVEEDORES[[#This Row],[indicador de columna]],FALSE)</f>
        <v>0</v>
      </c>
      <c r="Y483" s="107">
        <f>+VLOOKUP(PROVEEDORES[[#This Row],[ID RETENCION]],Retenciones!$A$1:$O$25,2,FALSE)</f>
        <v>0</v>
      </c>
      <c r="Z483" s="116" t="b">
        <f>OR(COUNTIF(PROVEEDORES[[#This Row],[PROVEEDOR]],"*"&amp;'Palabra no opera'!$A$2&amp;"*"))</f>
        <v>1</v>
      </c>
    </row>
    <row r="484" spans="1:26" ht="22.35" customHeight="1" x14ac:dyDescent="0.3">
      <c r="A484" s="148" t="str">
        <f>+IF(PROVEEDORES[[#This Row],[FECHA DE PAGO]]=PROVEEDORES[[#This Row],[FECHA DE FACTURACIÓN]],"DE CONTADO","CRÉDITO")</f>
        <v>CRÉDITO</v>
      </c>
      <c r="B484" s="38" t="b">
        <f>+IF((PROVEEDORES[[#This Row],[FECHA DE PAGO]]-PROVEEDORES[[#This Row],[FECHA DE FACTURACIÓN]])&gt;PROVEEDORES[[#This Row],[PLAZO Días]],"PAGO VENCIDO")</f>
        <v>0</v>
      </c>
      <c r="C484" s="20">
        <f>+VLOOKUP(PROVEEDORES[[#This Row],[PROVEEDOR]],TERCEROS_INFO[#All],2,FALSE)</f>
        <v>30</v>
      </c>
      <c r="D484" s="25">
        <f>+SUMIFS(PROVEEDORES[Total],PROVEEDORES[PROVEEDOR],PROVEEDORES[[#This Row],[PROVEEDOR]],PROVEEDORES[FECHA DE PAGO],"")</f>
        <v>0</v>
      </c>
      <c r="E484" s="25"/>
      <c r="F484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84" s="68">
        <v>44733</v>
      </c>
      <c r="H484" s="26" t="s">
        <v>966</v>
      </c>
      <c r="I484" s="68">
        <v>44727</v>
      </c>
      <c r="J484" s="35">
        <v>247</v>
      </c>
      <c r="K484" s="21">
        <v>370000</v>
      </c>
      <c r="L484" s="21"/>
      <c r="M484" s="22">
        <f>(PROVEEDORES[[#This Row],[SUBTOTAL]]-PROVEEDORES[[#This Row],[descuento sobre subtotal]])*VLOOKUP(PROVEEDORES[[#This Row],[PROVEEDOR]],TERCEROS_INFO[#All],3,FALSE)</f>
        <v>0</v>
      </c>
      <c r="N484" s="23"/>
      <c r="O484" s="22">
        <f>+PROVEEDORES[[#This Row],[Descuento sobre subtotal %]]*(PROVEEDORES[[#This Row],[SUBTOTAL]]-PROVEEDORES[[#This Row],[descuento sobre subtotal]])</f>
        <v>0</v>
      </c>
      <c r="P484" s="74">
        <f>+IF(PROVEEDORES[[#This Row],[SUBTOTAL]]&lt;PROVEEDORES[[#This Row],[base retencion]],0,PROVEEDORES[[#This Row],[retención aplicada]])</f>
        <v>0</v>
      </c>
      <c r="Q484" s="22">
        <f>+PROVEEDORES[[#This Row],[Rete Fuente %]]*(PROVEEDORES[[#This Row],[SUBTOTAL]]-PROVEEDORES[[#This Row],[descuento sobre subtotal]])</f>
        <v>0</v>
      </c>
      <c r="R484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48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63">
        <f ca="1">IF(PROVEEDORES[[#This Row],[FECHA DE PAGO]]=0,TODAY()-PROVEEDORES[[#This Row],[FECHA DE FACTURACIÓN]]-PROVEEDORES[[#This Row],[PLAZO Días]],0)</f>
        <v>0</v>
      </c>
      <c r="U484" s="104">
        <f>+VLOOKUP(PROVEEDORES[[#This Row],[PROVEEDOR]],Terceros!$A:$D,4,FALSE)</f>
        <v>0</v>
      </c>
      <c r="V484" s="105">
        <f>+YEAR(PROVEEDORES[[#This Row],[FECHA DE FACTURACIÓN]])</f>
        <v>2022</v>
      </c>
      <c r="W484" s="105">
        <f>+MATCH(PROVEEDORES[[#This Row],[año facturado]],Retenciones!$1:$1,0)</f>
        <v>5</v>
      </c>
      <c r="X484" s="106">
        <f>+VLOOKUP(PROVEEDORES[[#This Row],[ID RETENCION]],Retenciones!$A$1:$O$25,PROVEEDORES[[#This Row],[indicador de columna]],FALSE)</f>
        <v>0</v>
      </c>
      <c r="Y484" s="107">
        <f>+VLOOKUP(PROVEEDORES[[#This Row],[ID RETENCION]],Retenciones!$A$1:$O$25,2,FALSE)</f>
        <v>0</v>
      </c>
      <c r="Z484" s="116" t="b">
        <f>OR(COUNTIF(PROVEEDORES[[#This Row],[PROVEEDOR]],"*"&amp;'Palabra no opera'!$A$2&amp;"*"))</f>
        <v>0</v>
      </c>
    </row>
    <row r="485" spans="1:26" ht="22.35" customHeight="1" x14ac:dyDescent="0.3">
      <c r="A485" s="135" t="str">
        <f>+IF(PROVEEDORES[[#This Row],[FECHA DE PAGO]]=PROVEEDORES[[#This Row],[FECHA DE FACTURACIÓN]],"DE CONTADO","CRÉDITO")</f>
        <v>CRÉDITO</v>
      </c>
      <c r="B485" s="38" t="str">
        <f>+IF((PROVEEDORES[[#This Row],[FECHA DE PAGO]]-PROVEEDORES[[#This Row],[FECHA DE FACTURACIÓN]])&gt;PROVEEDORES[[#This Row],[PLAZO Días]],"PAGO VENCIDO")</f>
        <v>PAGO VENCIDO</v>
      </c>
      <c r="C485" s="20">
        <f>+VLOOKUP(PROVEEDORES[[#This Row],[PROVEEDOR]],TERCEROS_INFO[#All],2,FALSE)</f>
        <v>30</v>
      </c>
      <c r="D485" s="25">
        <f>+SUMIFS(PROVEEDORES[Total],PROVEEDORES[PROVEEDOR],PROVEEDORES[[#This Row],[PROVEEDOR]],PROVEEDORES[FECHA DE PAGO],"")</f>
        <v>0</v>
      </c>
      <c r="E485" s="25"/>
      <c r="F485" s="56" t="str">
        <f>+VLOOKUP(PROVEEDORES[[#This Row],[PROVEEDOR]],
                       Terceros!$A:$F,
                       5,
                       FALSE)</f>
        <v/>
      </c>
      <c r="G485" s="68">
        <v>44733</v>
      </c>
      <c r="H485" s="26" t="s">
        <v>401</v>
      </c>
      <c r="I485" s="68">
        <v>44698</v>
      </c>
      <c r="J485" s="35" t="s">
        <v>719</v>
      </c>
      <c r="K485" s="21">
        <v>1440000</v>
      </c>
      <c r="L485" s="21"/>
      <c r="M485" s="22">
        <f>(PROVEEDORES[[#This Row],[SUBTOTAL]]-PROVEEDORES[[#This Row],[descuento sobre subtotal]])*VLOOKUP(PROVEEDORES[[#This Row],[PROVEEDOR]],TERCEROS_INFO[#All],3,FALSE)</f>
        <v>0</v>
      </c>
      <c r="N485" s="23"/>
      <c r="O485" s="22">
        <f>+PROVEEDORES[[#This Row],[Descuento sobre subtotal %]]*(PROVEEDORES[[#This Row],[SUBTOTAL]]-PROVEEDORES[[#This Row],[descuento sobre subtotal]])</f>
        <v>0</v>
      </c>
      <c r="P485" s="74">
        <f>+IF(PROVEEDORES[[#This Row],[SUBTOTAL]]&lt;PROVEEDORES[[#This Row],[base retencion]],0,PROVEEDORES[[#This Row],[retención aplicada]])</f>
        <v>0</v>
      </c>
      <c r="Q485" s="22">
        <f>+PROVEEDORES[[#This Row],[Rete Fuente %]]*(PROVEEDORES[[#This Row],[SUBTOTAL]]-PROVEEDORES[[#This Row],[descuento sobre subtotal]])</f>
        <v>0</v>
      </c>
      <c r="R485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485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63">
        <f ca="1">IF(PROVEEDORES[[#This Row],[FECHA DE PAGO]]=0,TODAY()-PROVEEDORES[[#This Row],[FECHA DE FACTURACIÓN]]-PROVEEDORES[[#This Row],[PLAZO Días]],0)</f>
        <v>0</v>
      </c>
      <c r="U485" s="104">
        <f>+VLOOKUP(PROVEEDORES[[#This Row],[PROVEEDOR]],Terceros!$A:$D,4,FALSE)</f>
        <v>0</v>
      </c>
      <c r="V485" s="105">
        <f>+YEAR(PROVEEDORES[[#This Row],[FECHA DE FACTURACIÓN]])</f>
        <v>2022</v>
      </c>
      <c r="W485" s="105">
        <f>+MATCH(PROVEEDORES[[#This Row],[año facturado]],Retenciones!$1:$1,0)</f>
        <v>5</v>
      </c>
      <c r="X485" s="106">
        <f>+VLOOKUP(PROVEEDORES[[#This Row],[ID RETENCION]],Retenciones!$A$1:$O$25,PROVEEDORES[[#This Row],[indicador de columna]],FALSE)</f>
        <v>0</v>
      </c>
      <c r="Y485" s="107">
        <f>+VLOOKUP(PROVEEDORES[[#This Row],[ID RETENCION]],Retenciones!$A$1:$O$25,2,FALSE)</f>
        <v>0</v>
      </c>
      <c r="Z485" s="116" t="b">
        <f>OR(COUNTIF(PROVEEDORES[[#This Row],[PROVEEDOR]],"*"&amp;'Palabra no opera'!$A$2&amp;"*"))</f>
        <v>0</v>
      </c>
    </row>
    <row r="486" spans="1:26" ht="22.35" customHeight="1" x14ac:dyDescent="0.3">
      <c r="A486" s="67" t="str">
        <f>+IF(PROVEEDORES[[#This Row],[FECHA DE PAGO]]=PROVEEDORES[[#This Row],[FECHA DE FACTURACIÓN]],"DE CONTADO","CRÉDITO")</f>
        <v>CRÉDITO</v>
      </c>
      <c r="B486" s="38" t="b">
        <f>+IF((PROVEEDORES[[#This Row],[FECHA DE PAGO]]-PROVEEDORES[[#This Row],[FECHA DE FACTURACIÓN]])&gt;PROVEEDORES[[#This Row],[PLAZO Días]],"PAGO VENCIDO")</f>
        <v>0</v>
      </c>
      <c r="C486" s="20">
        <f>+VLOOKUP(PROVEEDORES[[#This Row],[PROVEEDOR]],TERCEROS_INFO[#All],2,FALSE)</f>
        <v>30</v>
      </c>
      <c r="D486" s="25">
        <f>+SUMIFS(PROVEEDORES[Total],PROVEEDORES[PROVEEDOR],PROVEEDORES[[#This Row],[PROVEEDOR]],PROVEEDORES[FECHA DE PAGO],"")</f>
        <v>0</v>
      </c>
      <c r="E486" s="25"/>
      <c r="F486" s="56" t="str">
        <f>+VLOOKUP(PROVEEDORES[[#This Row],[PROVEEDOR]],
                       Terceros!$A:$F,
                       5,
                       FALSE)</f>
        <v/>
      </c>
      <c r="G486" s="68">
        <v>44733</v>
      </c>
      <c r="H486" s="26" t="s">
        <v>409</v>
      </c>
      <c r="I486" s="68">
        <v>44713</v>
      </c>
      <c r="J486" s="35" t="s">
        <v>779</v>
      </c>
      <c r="K486" s="21">
        <v>1018500</v>
      </c>
      <c r="L486" s="21"/>
      <c r="M486" s="22">
        <f>(PROVEEDORES[[#This Row],[SUBTOTAL]]-PROVEEDORES[[#This Row],[descuento sobre subtotal]])*VLOOKUP(PROVEEDORES[[#This Row],[PROVEEDOR]],TERCEROS_INFO[#All],3,FALSE)</f>
        <v>0</v>
      </c>
      <c r="N486" s="23"/>
      <c r="O486" s="22">
        <f>+PROVEEDORES[[#This Row],[Descuento sobre subtotal %]]*(PROVEEDORES[[#This Row],[SUBTOTAL]]-PROVEEDORES[[#This Row],[descuento sobre subtotal]])</f>
        <v>0</v>
      </c>
      <c r="P486" s="74">
        <f>+IF(PROVEEDORES[[#This Row],[SUBTOTAL]]&lt;PROVEEDORES[[#This Row],[base retencion]],0,PROVEEDORES[[#This Row],[retención aplicada]])</f>
        <v>0</v>
      </c>
      <c r="Q486" s="22">
        <f>+PROVEEDORES[[#This Row],[Rete Fuente %]]*(PROVEEDORES[[#This Row],[SUBTOTAL]]-PROVEEDORES[[#This Row],[descuento sobre subtotal]])</f>
        <v>0</v>
      </c>
      <c r="R486" s="21">
        <f>+PROVEEDORES[[#This Row],[SUBTOTAL]]+PROVEEDORES[[#This Row],[IVA 19%]]-PROVEEDORES[[#This Row],[descuento sobre subtotal]]-PROVEEDORES[[#This Row],[Descuento sobre subtotal $2]]-PROVEEDORES[[#This Row],[Rete Fuente $]]</f>
        <v>1018500</v>
      </c>
      <c r="S48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63">
        <f ca="1">IF(PROVEEDORES[[#This Row],[FECHA DE PAGO]]=0,TODAY()-PROVEEDORES[[#This Row],[FECHA DE FACTURACIÓN]]-PROVEEDORES[[#This Row],[PLAZO Días]],0)</f>
        <v>0</v>
      </c>
      <c r="U486" s="104">
        <f>+VLOOKUP(PROVEEDORES[[#This Row],[PROVEEDOR]],Terceros!$A:$D,4,FALSE)</f>
        <v>0</v>
      </c>
      <c r="V486" s="105">
        <f>+YEAR(PROVEEDORES[[#This Row],[FECHA DE FACTURACIÓN]])</f>
        <v>2022</v>
      </c>
      <c r="W486" s="105">
        <f>+MATCH(PROVEEDORES[[#This Row],[año facturado]],Retenciones!$1:$1,0)</f>
        <v>5</v>
      </c>
      <c r="X486" s="106">
        <f>+VLOOKUP(PROVEEDORES[[#This Row],[ID RETENCION]],Retenciones!$A$1:$O$25,PROVEEDORES[[#This Row],[indicador de columna]],FALSE)</f>
        <v>0</v>
      </c>
      <c r="Y486" s="107">
        <f>+VLOOKUP(PROVEEDORES[[#This Row],[ID RETENCION]],Retenciones!$A$1:$O$25,2,FALSE)</f>
        <v>0</v>
      </c>
      <c r="Z486" s="116" t="b">
        <f>OR(COUNTIF(PROVEEDORES[[#This Row],[PROVEEDOR]],"*"&amp;'Palabra no opera'!$A$2&amp;"*"))</f>
        <v>0</v>
      </c>
    </row>
    <row r="487" spans="1:26" ht="22.35" customHeight="1" x14ac:dyDescent="0.3">
      <c r="A487" s="129" t="str">
        <f>+IF(PROVEEDORES[[#This Row],[FECHA DE PAGO]]=PROVEEDORES[[#This Row],[FECHA DE FACTURACIÓN]],"DE CONTADO","CRÉDITO")</f>
        <v>CRÉDITO</v>
      </c>
      <c r="B487" s="38" t="str">
        <f>+IF((PROVEEDORES[[#This Row],[FECHA DE PAGO]]-PROVEEDORES[[#This Row],[FECHA DE FACTURACIÓN]])&gt;PROVEEDORES[[#This Row],[PLAZO Días]],"PAGO VENCIDO")</f>
        <v>PAGO VENCIDO</v>
      </c>
      <c r="C487" s="20">
        <f>+VLOOKUP(PROVEEDORES[[#This Row],[PROVEEDOR]],TERCEROS_INFO[#All],2,FALSE)</f>
        <v>30</v>
      </c>
      <c r="D487" s="25">
        <f>+SUMIFS(PROVEEDORES[Total],PROVEEDORES[PROVEEDOR],PROVEEDORES[[#This Row],[PROVEEDOR]],PROVEEDORES[FECHA DE PAGO],"")</f>
        <v>2773899.95</v>
      </c>
      <c r="E487" s="25"/>
      <c r="F487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87" s="68">
        <v>44733</v>
      </c>
      <c r="H487" s="26" t="s">
        <v>20</v>
      </c>
      <c r="I487" s="68">
        <v>44694</v>
      </c>
      <c r="J487" s="35">
        <v>7001</v>
      </c>
      <c r="K487" s="21">
        <v>1999798</v>
      </c>
      <c r="L487" s="21"/>
      <c r="M487" s="22">
        <f>(PROVEEDORES[[#This Row],[SUBTOTAL]]-PROVEEDORES[[#This Row],[descuento sobre subtotal]])*VLOOKUP(PROVEEDORES[[#This Row],[PROVEEDOR]],TERCEROS_INFO[#All],3,FALSE)</f>
        <v>379961.62</v>
      </c>
      <c r="N487" s="23"/>
      <c r="O487" s="22">
        <f>+PROVEEDORES[[#This Row],[Descuento sobre subtotal %]]*(PROVEEDORES[[#This Row],[SUBTOTAL]]-PROVEEDORES[[#This Row],[descuento sobre subtotal]])</f>
        <v>0</v>
      </c>
      <c r="P487" s="74">
        <f>+IF(PROVEEDORES[[#This Row],[SUBTOTAL]]&lt;PROVEEDORES[[#This Row],[base retencion]],0,PROVEEDORES[[#This Row],[retención aplicada]])</f>
        <v>2.5000000000000001E-2</v>
      </c>
      <c r="Q487" s="22">
        <f>+PROVEEDORES[[#This Row],[Rete Fuente %]]*(PROVEEDORES[[#This Row],[SUBTOTAL]]-PROVEEDORES[[#This Row],[descuento sobre subtotal]])</f>
        <v>49994.950000000004</v>
      </c>
      <c r="R487" s="21">
        <f>+PROVEEDORES[[#This Row],[SUBTOTAL]]+PROVEEDORES[[#This Row],[IVA 19%]]-PROVEEDORES[[#This Row],[descuento sobre subtotal]]-PROVEEDORES[[#This Row],[Descuento sobre subtotal $2]]-PROVEEDORES[[#This Row],[Rete Fuente $]]</f>
        <v>2329764.67</v>
      </c>
      <c r="S487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63">
        <f ca="1">IF(PROVEEDORES[[#This Row],[FECHA DE PAGO]]=0,TODAY()-PROVEEDORES[[#This Row],[FECHA DE FACTURACIÓN]]-PROVEEDORES[[#This Row],[PLAZO Días]],0)</f>
        <v>0</v>
      </c>
      <c r="U487" s="104" t="str">
        <f>+VLOOKUP(PROVEEDORES[[#This Row],[PROVEEDOR]],Terceros!$A:$D,4,FALSE)</f>
        <v>2,5% con base</v>
      </c>
      <c r="V487" s="105">
        <f>+YEAR(PROVEEDORES[[#This Row],[FECHA DE FACTURACIÓN]])</f>
        <v>2022</v>
      </c>
      <c r="W487" s="105">
        <f>+MATCH(PROVEEDORES[[#This Row],[año facturado]],Retenciones!$1:$1,0)</f>
        <v>5</v>
      </c>
      <c r="X487" s="106">
        <f>+VLOOKUP(PROVEEDORES[[#This Row],[ID RETENCION]],Retenciones!$A$1:$O$25,PROVEEDORES[[#This Row],[indicador de columna]],FALSE)</f>
        <v>1026000</v>
      </c>
      <c r="Y487" s="107">
        <f>+VLOOKUP(PROVEEDORES[[#This Row],[ID RETENCION]],Retenciones!$A$1:$O$25,2,FALSE)</f>
        <v>2.5000000000000001E-2</v>
      </c>
      <c r="Z487" s="116" t="b">
        <f>OR(COUNTIF(PROVEEDORES[[#This Row],[PROVEEDOR]],"*"&amp;'Palabra no opera'!$A$2&amp;"*"))</f>
        <v>0</v>
      </c>
    </row>
    <row r="488" spans="1:26" ht="22.35" customHeight="1" x14ac:dyDescent="0.3">
      <c r="A488" s="129" t="str">
        <f>+IF(PROVEEDORES[[#This Row],[FECHA DE PAGO]]=PROVEEDORES[[#This Row],[FECHA DE FACTURACIÓN]],"DE CONTADO","CRÉDITO")</f>
        <v>CRÉDITO</v>
      </c>
      <c r="B488" s="38" t="str">
        <f>+IF((PROVEEDORES[[#This Row],[FECHA DE PAGO]]-PROVEEDORES[[#This Row],[FECHA DE FACTURACIÓN]])&gt;PROVEEDORES[[#This Row],[PLAZO Días]],"PAGO VENCIDO")</f>
        <v>PAGO VENCIDO</v>
      </c>
      <c r="C488" s="20">
        <f>+VLOOKUP(PROVEEDORES[[#This Row],[PROVEEDOR]],TERCEROS_INFO[#All],2,FALSE)</f>
        <v>30</v>
      </c>
      <c r="D488" s="25">
        <f>+SUMIFS(PROVEEDORES[Total],PROVEEDORES[PROVEEDOR],PROVEEDORES[[#This Row],[PROVEEDOR]],PROVEEDORES[FECHA DE PAGO],"")</f>
        <v>0</v>
      </c>
      <c r="E488" s="25"/>
      <c r="F488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488" s="68">
        <v>44733</v>
      </c>
      <c r="H488" s="26" t="s">
        <v>964</v>
      </c>
      <c r="I488" s="68">
        <v>44696</v>
      </c>
      <c r="J488" s="35">
        <v>30872</v>
      </c>
      <c r="K488" s="21">
        <v>4680000</v>
      </c>
      <c r="L488" s="21"/>
      <c r="M488" s="22">
        <f>(PROVEEDORES[[#This Row],[SUBTOTAL]]-PROVEEDORES[[#This Row],[descuento sobre subtotal]])*VLOOKUP(PROVEEDORES[[#This Row],[PROVEEDOR]],TERCEROS_INFO[#All],3,FALSE)</f>
        <v>889200</v>
      </c>
      <c r="N488" s="23"/>
      <c r="O488" s="22">
        <f>+PROVEEDORES[[#This Row],[Descuento sobre subtotal %]]*(PROVEEDORES[[#This Row],[SUBTOTAL]]-PROVEEDORES[[#This Row],[descuento sobre subtotal]])</f>
        <v>0</v>
      </c>
      <c r="P488" s="74">
        <v>2.5000000000000001E-2</v>
      </c>
      <c r="Q488" s="22">
        <f>+PROVEEDORES[[#This Row],[Rete Fuente %]]*(PROVEEDORES[[#This Row],[SUBTOTAL]]-PROVEEDORES[[#This Row],[descuento sobre subtotal]])</f>
        <v>117000</v>
      </c>
      <c r="R488" s="21">
        <f>+PROVEEDORES[[#This Row],[SUBTOTAL]]+PROVEEDORES[[#This Row],[IVA 19%]]-PROVEEDORES[[#This Row],[descuento sobre subtotal]]-PROVEEDORES[[#This Row],[Descuento sobre subtotal $2]]-PROVEEDORES[[#This Row],[Rete Fuente $]]</f>
        <v>5452200</v>
      </c>
      <c r="S488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63">
        <f ca="1">IF(PROVEEDORES[[#This Row],[FECHA DE PAGO]]=0,TODAY()-PROVEEDORES[[#This Row],[FECHA DE FACTURACIÓN]]-PROVEEDORES[[#This Row],[PLAZO Días]],0)</f>
        <v>0</v>
      </c>
      <c r="U488" s="104">
        <f>+VLOOKUP(PROVEEDORES[[#This Row],[PROVEEDOR]],Terceros!$A:$D,4,FALSE)</f>
        <v>0</v>
      </c>
      <c r="V488" s="105">
        <f>+YEAR(PROVEEDORES[[#This Row],[FECHA DE FACTURACIÓN]])</f>
        <v>2022</v>
      </c>
      <c r="W488" s="105">
        <f>+MATCH(PROVEEDORES[[#This Row],[año facturado]],Retenciones!$1:$1,0)</f>
        <v>5</v>
      </c>
      <c r="X488" s="106">
        <f>+VLOOKUP(PROVEEDORES[[#This Row],[ID RETENCION]],Retenciones!$A$1:$O$25,PROVEEDORES[[#This Row],[indicador de columna]],FALSE)</f>
        <v>0</v>
      </c>
      <c r="Y488" s="107">
        <f>+VLOOKUP(PROVEEDORES[[#This Row],[ID RETENCION]],Retenciones!$A$1:$O$25,2,FALSE)</f>
        <v>0</v>
      </c>
      <c r="Z488" s="116" t="b">
        <f>OR(COUNTIF(PROVEEDORES[[#This Row],[PROVEEDOR]],"*"&amp;'Palabra no opera'!$A$2&amp;"*"))</f>
        <v>0</v>
      </c>
    </row>
    <row r="489" spans="1:26" ht="22.35" customHeight="1" x14ac:dyDescent="0.3">
      <c r="A489" s="67" t="str">
        <f>+IF(PROVEEDORES[[#This Row],[FECHA DE PAGO]]=PROVEEDORES[[#This Row],[FECHA DE FACTURACIÓN]],"DE CONTADO","CRÉDITO")</f>
        <v>CRÉDITO</v>
      </c>
      <c r="B489" s="38" t="b">
        <f>+IF((PROVEEDORES[[#This Row],[FECHA DE PAGO]]-PROVEEDORES[[#This Row],[FECHA DE FACTURACIÓN]])&gt;PROVEEDORES[[#This Row],[PLAZO Días]],"PAGO VENCIDO")</f>
        <v>0</v>
      </c>
      <c r="C489" s="20">
        <f>+VLOOKUP(PROVEEDORES[[#This Row],[PROVEEDOR]],TERCEROS_INFO[#All],2,FALSE)</f>
        <v>30</v>
      </c>
      <c r="D489" s="25">
        <f>+SUMIFS(PROVEEDORES[Total],PROVEEDORES[PROVEEDOR],PROVEEDORES[[#This Row],[PROVEEDOR]],PROVEEDORES[FECHA DE PAGO],"")</f>
        <v>0</v>
      </c>
      <c r="E489" s="25"/>
      <c r="F489" s="56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489" s="68">
        <v>44733</v>
      </c>
      <c r="H489" s="26" t="s">
        <v>736</v>
      </c>
      <c r="I489" s="68">
        <v>44727</v>
      </c>
      <c r="J489" s="35" t="s">
        <v>738</v>
      </c>
      <c r="K489" s="21">
        <v>480000</v>
      </c>
      <c r="L489" s="21"/>
      <c r="M489" s="22">
        <f>(PROVEEDORES[[#This Row],[SUBTOTAL]]-PROVEEDORES[[#This Row],[descuento sobre subtotal]])*VLOOKUP(PROVEEDORES[[#This Row],[PROVEEDOR]],TERCEROS_INFO[#All],3,FALSE)</f>
        <v>91200</v>
      </c>
      <c r="N489" s="23"/>
      <c r="O489" s="22">
        <f>+PROVEEDORES[[#This Row],[Descuento sobre subtotal %]]*(PROVEEDORES[[#This Row],[SUBTOTAL]]-PROVEEDORES[[#This Row],[descuento sobre subtotal]])</f>
        <v>0</v>
      </c>
      <c r="P489" s="74">
        <f>+IF(PROVEEDORES[[#This Row],[SUBTOTAL]]&lt;PROVEEDORES[[#This Row],[base retencion]],0,PROVEEDORES[[#This Row],[retención aplicada]])</f>
        <v>0</v>
      </c>
      <c r="Q489" s="22">
        <f>+PROVEEDORES[[#This Row],[Rete Fuente %]]*(PROVEEDORES[[#This Row],[SUBTOTAL]]-PROVEEDORES[[#This Row],[descuento sobre subtotal]])</f>
        <v>0</v>
      </c>
      <c r="R489" s="21">
        <f>+PROVEEDORES[[#This Row],[SUBTOTAL]]+PROVEEDORES[[#This Row],[IVA 19%]]-PROVEEDORES[[#This Row],[descuento sobre subtotal]]-PROVEEDORES[[#This Row],[Descuento sobre subtotal $2]]-PROVEEDORES[[#This Row],[Rete Fuente $]]</f>
        <v>571200</v>
      </c>
      <c r="S4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63">
        <f ca="1">IF(PROVEEDORES[[#This Row],[FECHA DE PAGO]]=0,TODAY()-PROVEEDORES[[#This Row],[FECHA DE FACTURACIÓN]]-PROVEEDORES[[#This Row],[PLAZO Días]],0)</f>
        <v>0</v>
      </c>
      <c r="U489" s="104" t="str">
        <f>+VLOOKUP(PROVEEDORES[[#This Row],[PROVEEDOR]],Terceros!$A:$D,4,FALSE)</f>
        <v>2,5% con base</v>
      </c>
      <c r="V489" s="105">
        <f>+YEAR(PROVEEDORES[[#This Row],[FECHA DE FACTURACIÓN]])</f>
        <v>2022</v>
      </c>
      <c r="W489" s="105">
        <f>+MATCH(PROVEEDORES[[#This Row],[año facturado]],Retenciones!$1:$1,0)</f>
        <v>5</v>
      </c>
      <c r="X489" s="106">
        <f>+VLOOKUP(PROVEEDORES[[#This Row],[ID RETENCION]],Retenciones!$A$1:$O$25,PROVEEDORES[[#This Row],[indicador de columna]],FALSE)</f>
        <v>1026000</v>
      </c>
      <c r="Y489" s="107">
        <f>+VLOOKUP(PROVEEDORES[[#This Row],[ID RETENCION]],Retenciones!$A$1:$O$25,2,FALSE)</f>
        <v>2.5000000000000001E-2</v>
      </c>
      <c r="Z489" s="116" t="b">
        <f>OR(COUNTIF(PROVEEDORES[[#This Row],[PROVEEDOR]],"*"&amp;'Palabra no opera'!$A$2&amp;"*"))</f>
        <v>0</v>
      </c>
    </row>
    <row r="490" spans="1:26" ht="22.35" customHeight="1" x14ac:dyDescent="0.3">
      <c r="A490" s="133" t="str">
        <f>+IF(PROVEEDORES[[#This Row],[FECHA DE PAGO]]=PROVEEDORES[[#This Row],[FECHA DE FACTURACIÓN]],"DE CONTADO","CRÉDITO")</f>
        <v>CRÉDITO</v>
      </c>
      <c r="B490" s="38" t="str">
        <f>+IF((PROVEEDORES[[#This Row],[FECHA DE PAGO]]-PROVEEDORES[[#This Row],[FECHA DE FACTURACIÓN]])&gt;PROVEEDORES[[#This Row],[PLAZO Días]],"PAGO VENCIDO")</f>
        <v>PAGO VENCIDO</v>
      </c>
      <c r="C490" s="20">
        <f>+VLOOKUP(PROVEEDORES[[#This Row],[PROVEEDOR]],TERCEROS_INFO[#All],2,FALSE)</f>
        <v>30</v>
      </c>
      <c r="D490" s="25">
        <f>+SUMIFS(PROVEEDORES[Total],PROVEEDORES[PROVEEDOR],PROVEEDORES[[#This Row],[PROVEEDOR]],PROVEEDORES[FECHA DE PAGO],"")</f>
        <v>0</v>
      </c>
      <c r="E490" s="25"/>
      <c r="F490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490" s="68">
        <v>44733</v>
      </c>
      <c r="H490" s="26" t="s">
        <v>248</v>
      </c>
      <c r="I490" s="68">
        <v>44700</v>
      </c>
      <c r="J490" s="35" t="s">
        <v>696</v>
      </c>
      <c r="K490" s="21">
        <v>2800056</v>
      </c>
      <c r="L490" s="21"/>
      <c r="M490" s="22">
        <f>(PROVEEDORES[[#This Row],[SUBTOTAL]]-PROVEEDORES[[#This Row],[descuento sobre subtotal]])*VLOOKUP(PROVEEDORES[[#This Row],[PROVEEDOR]],TERCEROS_INFO[#All],3,FALSE)</f>
        <v>532010.64</v>
      </c>
      <c r="N490" s="23"/>
      <c r="O490" s="22">
        <f>+PROVEEDORES[[#This Row],[Descuento sobre subtotal %]]*(PROVEEDORES[[#This Row],[SUBTOTAL]]-PROVEEDORES[[#This Row],[descuento sobre subtotal]])</f>
        <v>0</v>
      </c>
      <c r="P490" s="74">
        <f>+IF(PROVEEDORES[[#This Row],[SUBTOTAL]]&lt;PROVEEDORES[[#This Row],[base retencion]],0,PROVEEDORES[[#This Row],[retención aplicada]])</f>
        <v>0</v>
      </c>
      <c r="Q490" s="22">
        <f>+PROVEEDORES[[#This Row],[Rete Fuente %]]*(PROVEEDORES[[#This Row],[SUBTOTAL]]-PROVEEDORES[[#This Row],[descuento sobre subtotal]])</f>
        <v>0</v>
      </c>
      <c r="R490" s="21">
        <f>+PROVEEDORES[[#This Row],[SUBTOTAL]]+PROVEEDORES[[#This Row],[IVA 19%]]-PROVEEDORES[[#This Row],[descuento sobre subtotal]]-PROVEEDORES[[#This Row],[Descuento sobre subtotal $2]]-PROVEEDORES[[#This Row],[Rete Fuente $]]</f>
        <v>3332066.64</v>
      </c>
      <c r="S490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63">
        <f ca="1">IF(PROVEEDORES[[#This Row],[FECHA DE PAGO]]=0,TODAY()-PROVEEDORES[[#This Row],[FECHA DE FACTURACIÓN]]-PROVEEDORES[[#This Row],[PLAZO Días]],0)</f>
        <v>0</v>
      </c>
      <c r="U490" s="104">
        <f>+VLOOKUP(PROVEEDORES[[#This Row],[PROVEEDOR]],Terceros!$A:$D,4,FALSE)</f>
        <v>0</v>
      </c>
      <c r="V490" s="105">
        <f>+YEAR(PROVEEDORES[[#This Row],[FECHA DE FACTURACIÓN]])</f>
        <v>2022</v>
      </c>
      <c r="W490" s="105">
        <f>+MATCH(PROVEEDORES[[#This Row],[año facturado]],Retenciones!$1:$1,0)</f>
        <v>5</v>
      </c>
      <c r="X490" s="106">
        <f>+VLOOKUP(PROVEEDORES[[#This Row],[ID RETENCION]],Retenciones!$A$1:$O$25,PROVEEDORES[[#This Row],[indicador de columna]],FALSE)</f>
        <v>0</v>
      </c>
      <c r="Y490" s="107">
        <f>+VLOOKUP(PROVEEDORES[[#This Row],[ID RETENCION]],Retenciones!$A$1:$O$25,2,FALSE)</f>
        <v>0</v>
      </c>
      <c r="Z490" s="116" t="b">
        <f>OR(COUNTIF(PROVEEDORES[[#This Row],[PROVEEDOR]],"*"&amp;'Palabra no opera'!$A$2&amp;"*"))</f>
        <v>0</v>
      </c>
    </row>
    <row r="491" spans="1:26" ht="22.35" customHeight="1" x14ac:dyDescent="0.3">
      <c r="A491" s="133" t="str">
        <f>+IF(PROVEEDORES[[#This Row],[FECHA DE PAGO]]=PROVEEDORES[[#This Row],[FECHA DE FACTURACIÓN]],"DE CONTADO","CRÉDITO")</f>
        <v>CRÉDITO</v>
      </c>
      <c r="B491" s="38" t="b">
        <f>+IF((PROVEEDORES[[#This Row],[FECHA DE PAGO]]-PROVEEDORES[[#This Row],[FECHA DE FACTURACIÓN]])&gt;PROVEEDORES[[#This Row],[PLAZO Días]],"PAGO VENCIDO")</f>
        <v>0</v>
      </c>
      <c r="C491" s="20">
        <f>+VLOOKUP(PROVEEDORES[[#This Row],[PROVEEDOR]],TERCEROS_INFO[#All],2,FALSE)</f>
        <v>30</v>
      </c>
      <c r="D491" s="25">
        <f>+SUMIFS(PROVEEDORES[Total],PROVEEDORES[PROVEEDOR],PROVEEDORES[[#This Row],[PROVEEDOR]],PROVEEDORES[FECHA DE PAGO],"")</f>
        <v>0</v>
      </c>
      <c r="E491" s="25"/>
      <c r="F491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491" s="68">
        <v>44733</v>
      </c>
      <c r="H491" s="26" t="s">
        <v>1069</v>
      </c>
      <c r="I491" s="68">
        <v>44705</v>
      </c>
      <c r="J491" s="35" t="s">
        <v>690</v>
      </c>
      <c r="K491" s="21">
        <v>499160.34</v>
      </c>
      <c r="L491" s="21"/>
      <c r="M491" s="22">
        <f>(PROVEEDORES[[#This Row],[SUBTOTAL]]-PROVEEDORES[[#This Row],[descuento sobre subtotal]])*VLOOKUP(PROVEEDORES[[#This Row],[PROVEEDOR]],TERCEROS_INFO[#All],3,FALSE)</f>
        <v>94840.464600000007</v>
      </c>
      <c r="N491" s="23"/>
      <c r="O491" s="22">
        <f>+PROVEEDORES[[#This Row],[Descuento sobre subtotal %]]*(PROVEEDORES[[#This Row],[SUBTOTAL]]-PROVEEDORES[[#This Row],[descuento sobre subtotal]])</f>
        <v>0</v>
      </c>
      <c r="P491" s="74">
        <f>+IF(PROVEEDORES[[#This Row],[SUBTOTAL]]&lt;PROVEEDORES[[#This Row],[base retencion]],0,PROVEEDORES[[#This Row],[retención aplicada]])</f>
        <v>0</v>
      </c>
      <c r="Q491" s="22">
        <f>+PROVEEDORES[[#This Row],[Rete Fuente %]]*(PROVEEDORES[[#This Row],[SUBTOTAL]]-PROVEEDORES[[#This Row],[descuento sobre subtotal]])</f>
        <v>0</v>
      </c>
      <c r="R491" s="21">
        <f>+PROVEEDORES[[#This Row],[SUBTOTAL]]+PROVEEDORES[[#This Row],[IVA 19%]]-PROVEEDORES[[#This Row],[descuento sobre subtotal]]-PROVEEDORES[[#This Row],[Descuento sobre subtotal $2]]-PROVEEDORES[[#This Row],[Rete Fuente $]]</f>
        <v>594000.80460000003</v>
      </c>
      <c r="S49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63">
        <f ca="1">IF(PROVEEDORES[[#This Row],[FECHA DE PAGO]]=0,TODAY()-PROVEEDORES[[#This Row],[FECHA DE FACTURACIÓN]]-PROVEEDORES[[#This Row],[PLAZO Días]],0)</f>
        <v>0</v>
      </c>
      <c r="U491" s="104" t="str">
        <f>+VLOOKUP(PROVEEDORES[[#This Row],[PROVEEDOR]],Terceros!$A:$D,4,FALSE)</f>
        <v>2,5% con base</v>
      </c>
      <c r="V491" s="105">
        <f>+YEAR(PROVEEDORES[[#This Row],[FECHA DE FACTURACIÓN]])</f>
        <v>2022</v>
      </c>
      <c r="W491" s="105">
        <f>+MATCH(PROVEEDORES[[#This Row],[año facturado]],Retenciones!$1:$1,0)</f>
        <v>5</v>
      </c>
      <c r="X491" s="106">
        <f>+VLOOKUP(PROVEEDORES[[#This Row],[ID RETENCION]],Retenciones!$A$1:$O$25,PROVEEDORES[[#This Row],[indicador de columna]],FALSE)</f>
        <v>1026000</v>
      </c>
      <c r="Y491" s="107">
        <f>+VLOOKUP(PROVEEDORES[[#This Row],[ID RETENCION]],Retenciones!$A$1:$O$25,2,FALSE)</f>
        <v>2.5000000000000001E-2</v>
      </c>
      <c r="Z491" s="116" t="b">
        <f>OR(COUNTIF(PROVEEDORES[[#This Row],[PROVEEDOR]],"*"&amp;'Palabra no opera'!$A$2&amp;"*"))</f>
        <v>0</v>
      </c>
    </row>
    <row r="492" spans="1:26" ht="22.35" customHeight="1" x14ac:dyDescent="0.3">
      <c r="A492" s="148" t="str">
        <f>+IF(PROVEEDORES[[#This Row],[FECHA DE PAGO]]=PROVEEDORES[[#This Row],[FECHA DE FACTURACIÓN]],"DE CONTADO","CRÉDITO")</f>
        <v>DE CONTADO</v>
      </c>
      <c r="B492" s="38" t="b">
        <f>+IF((PROVEEDORES[[#This Row],[FECHA DE PAGO]]-PROVEEDORES[[#This Row],[FECHA DE FACTURACIÓN]])&gt;PROVEEDORES[[#This Row],[PLAZO Días]],"PAGO VENCIDO")</f>
        <v>0</v>
      </c>
      <c r="C492" s="20">
        <f>+VLOOKUP(PROVEEDORES[[#This Row],[PROVEEDOR]],TERCEROS_INFO[#All],2,FALSE)</f>
        <v>30</v>
      </c>
      <c r="D492" s="25">
        <f>+SUMIFS(PROVEEDORES[Total],PROVEEDORES[PROVEEDOR],PROVEEDORES[[#This Row],[PROVEEDOR]],PROVEEDORES[FECHA DE PAGO],"")</f>
        <v>0</v>
      </c>
      <c r="E492" s="25"/>
      <c r="F492" s="56" t="str">
        <f>+VLOOKUP(PROVEEDORES[[#This Row],[PROVEEDOR]],
                       Terceros!$A:$F,
                       5,
                       FALSE)</f>
        <v/>
      </c>
      <c r="G492" s="68">
        <v>44735</v>
      </c>
      <c r="H492" s="26" t="s">
        <v>353</v>
      </c>
      <c r="I492" s="68">
        <v>44735</v>
      </c>
      <c r="J492" s="35" t="s">
        <v>801</v>
      </c>
      <c r="K492" s="21">
        <v>350000</v>
      </c>
      <c r="L492" s="21"/>
      <c r="M492" s="22">
        <f>(PROVEEDORES[[#This Row],[SUBTOTAL]]-PROVEEDORES[[#This Row],[descuento sobre subtotal]])*VLOOKUP(PROVEEDORES[[#This Row],[PROVEEDOR]],TERCEROS_INFO[#All],3,FALSE)</f>
        <v>0</v>
      </c>
      <c r="N492" s="23"/>
      <c r="O492" s="22">
        <f>+PROVEEDORES[[#This Row],[Descuento sobre subtotal %]]*(PROVEEDORES[[#This Row],[SUBTOTAL]]-PROVEEDORES[[#This Row],[descuento sobre subtotal]])</f>
        <v>0</v>
      </c>
      <c r="P492" s="74">
        <f>+IF(PROVEEDORES[[#This Row],[SUBTOTAL]]&lt;PROVEEDORES[[#This Row],[base retencion]],0,PROVEEDORES[[#This Row],[retención aplicada]])</f>
        <v>0</v>
      </c>
      <c r="Q492" s="22">
        <f>+PROVEEDORES[[#This Row],[Rete Fuente %]]*(PROVEEDORES[[#This Row],[SUBTOTAL]]-PROVEEDORES[[#This Row],[descuento sobre subtotal]])</f>
        <v>0</v>
      </c>
      <c r="R492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49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63">
        <f ca="1">IF(PROVEEDORES[[#This Row],[FECHA DE PAGO]]=0,TODAY()-PROVEEDORES[[#This Row],[FECHA DE FACTURACIÓN]]-PROVEEDORES[[#This Row],[PLAZO Días]],0)</f>
        <v>0</v>
      </c>
      <c r="U492" s="104">
        <f>+VLOOKUP(PROVEEDORES[[#This Row],[PROVEEDOR]],Terceros!$A:$D,4,FALSE)</f>
        <v>0</v>
      </c>
      <c r="V492" s="105">
        <f>+YEAR(PROVEEDORES[[#This Row],[FECHA DE FACTURACIÓN]])</f>
        <v>2022</v>
      </c>
      <c r="W492" s="105">
        <f>+MATCH(PROVEEDORES[[#This Row],[año facturado]],Retenciones!$1:$1,0)</f>
        <v>5</v>
      </c>
      <c r="X492" s="106">
        <f>+VLOOKUP(PROVEEDORES[[#This Row],[ID RETENCION]],Retenciones!$A$1:$O$25,PROVEEDORES[[#This Row],[indicador de columna]],FALSE)</f>
        <v>0</v>
      </c>
      <c r="Y492" s="107">
        <f>+VLOOKUP(PROVEEDORES[[#This Row],[ID RETENCION]],Retenciones!$A$1:$O$25,2,FALSE)</f>
        <v>0</v>
      </c>
      <c r="Z492" s="116" t="b">
        <f>OR(COUNTIF(PROVEEDORES[[#This Row],[PROVEEDOR]],"*"&amp;'Palabra no opera'!$A$2&amp;"*"))</f>
        <v>0</v>
      </c>
    </row>
    <row r="493" spans="1:26" ht="22.35" customHeight="1" x14ac:dyDescent="0.3">
      <c r="A493" s="148" t="str">
        <f>+IF(PROVEEDORES[[#This Row],[FECHA DE PAGO]]=PROVEEDORES[[#This Row],[FECHA DE FACTURACIÓN]],"DE CONTADO","CRÉDITO")</f>
        <v>DE CONTADO</v>
      </c>
      <c r="B493" s="38" t="b">
        <f>+IF((PROVEEDORES[[#This Row],[FECHA DE PAGO]]-PROVEEDORES[[#This Row],[FECHA DE FACTURACIÓN]])&gt;PROVEEDORES[[#This Row],[PLAZO Días]],"PAGO VENCIDO")</f>
        <v>0</v>
      </c>
      <c r="C493" s="20">
        <f>+VLOOKUP(PROVEEDORES[[#This Row],[PROVEEDOR]],TERCEROS_INFO[#All],2,FALSE)</f>
        <v>30</v>
      </c>
      <c r="D493" s="25">
        <f>+SUMIFS(PROVEEDORES[Total],PROVEEDORES[PROVEEDOR],PROVEEDORES[[#This Row],[PROVEEDOR]],PROVEEDORES[FECHA DE PAGO],"")</f>
        <v>0</v>
      </c>
      <c r="E493" s="25"/>
      <c r="F493" s="56" t="str">
        <f>+VLOOKUP(PROVEEDORES[[#This Row],[PROVEEDOR]],
                       Terceros!$A:$F,
                       5,
                       FALSE)</f>
        <v/>
      </c>
      <c r="G493" s="68">
        <v>44736</v>
      </c>
      <c r="H493" s="26" t="s">
        <v>378</v>
      </c>
      <c r="I493" s="68">
        <v>44736</v>
      </c>
      <c r="J493" s="35" t="s">
        <v>774</v>
      </c>
      <c r="K493" s="21">
        <v>1440000</v>
      </c>
      <c r="L493" s="21"/>
      <c r="M493" s="22">
        <f>(PROVEEDORES[[#This Row],[SUBTOTAL]]-PROVEEDORES[[#This Row],[descuento sobre subtotal]])*VLOOKUP(PROVEEDORES[[#This Row],[PROVEEDOR]],TERCEROS_INFO[#All],3,FALSE)</f>
        <v>0</v>
      </c>
      <c r="N493" s="23"/>
      <c r="O493" s="22">
        <f>+PROVEEDORES[[#This Row],[Descuento sobre subtotal %]]*(PROVEEDORES[[#This Row],[SUBTOTAL]]-PROVEEDORES[[#This Row],[descuento sobre subtotal]])</f>
        <v>0</v>
      </c>
      <c r="P493" s="74">
        <f>+IF(PROVEEDORES[[#This Row],[SUBTOTAL]]&lt;PROVEEDORES[[#This Row],[base retencion]],0,PROVEEDORES[[#This Row],[retención aplicada]])</f>
        <v>0</v>
      </c>
      <c r="Q493" s="22">
        <f>+PROVEEDORES[[#This Row],[Rete Fuente %]]*(PROVEEDORES[[#This Row],[SUBTOTAL]]-PROVEEDORES[[#This Row],[descuento sobre subtotal]])</f>
        <v>0</v>
      </c>
      <c r="R493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49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63">
        <f ca="1">IF(PROVEEDORES[[#This Row],[FECHA DE PAGO]]=0,TODAY()-PROVEEDORES[[#This Row],[FECHA DE FACTURACIÓN]]-PROVEEDORES[[#This Row],[PLAZO Días]],0)</f>
        <v>0</v>
      </c>
      <c r="U493" s="104">
        <f>+VLOOKUP(PROVEEDORES[[#This Row],[PROVEEDOR]],Terceros!$A:$D,4,FALSE)</f>
        <v>0</v>
      </c>
      <c r="V493" s="105">
        <f>+YEAR(PROVEEDORES[[#This Row],[FECHA DE FACTURACIÓN]])</f>
        <v>2022</v>
      </c>
      <c r="W493" s="105">
        <f>+MATCH(PROVEEDORES[[#This Row],[año facturado]],Retenciones!$1:$1,0)</f>
        <v>5</v>
      </c>
      <c r="X493" s="106">
        <f>+VLOOKUP(PROVEEDORES[[#This Row],[ID RETENCION]],Retenciones!$A$1:$O$25,PROVEEDORES[[#This Row],[indicador de columna]],FALSE)</f>
        <v>0</v>
      </c>
      <c r="Y493" s="107">
        <f>+VLOOKUP(PROVEEDORES[[#This Row],[ID RETENCION]],Retenciones!$A$1:$O$25,2,FALSE)</f>
        <v>0</v>
      </c>
      <c r="Z493" s="116" t="b">
        <f>OR(COUNTIF(PROVEEDORES[[#This Row],[PROVEEDOR]],"*"&amp;'Palabra no opera'!$A$2&amp;"*"))</f>
        <v>0</v>
      </c>
    </row>
    <row r="494" spans="1:26" ht="22.35" customHeight="1" x14ac:dyDescent="0.3">
      <c r="A494" s="148" t="str">
        <f>+IF(PROVEEDORES[[#This Row],[FECHA DE PAGO]]=PROVEEDORES[[#This Row],[FECHA DE FACTURACIÓN]],"DE CONTADO","CRÉDITO")</f>
        <v>DE CONTADO</v>
      </c>
      <c r="B494" s="38" t="b">
        <f>+IF((PROVEEDORES[[#This Row],[FECHA DE PAGO]]-PROVEEDORES[[#This Row],[FECHA DE FACTURACIÓN]])&gt;PROVEEDORES[[#This Row],[PLAZO Días]],"PAGO VENCIDO")</f>
        <v>0</v>
      </c>
      <c r="C494" s="20">
        <f>+VLOOKUP(PROVEEDORES[[#This Row],[PROVEEDOR]],TERCEROS_INFO[#All],2,FALSE)</f>
        <v>30</v>
      </c>
      <c r="D494" s="25">
        <f>+SUMIFS(PROVEEDORES[Total],PROVEEDORES[PROVEEDOR],PROVEEDORES[[#This Row],[PROVEEDOR]],PROVEEDORES[FECHA DE PAGO],"")</f>
        <v>0</v>
      </c>
      <c r="E494" s="25"/>
      <c r="F494" s="56" t="str">
        <f>+VLOOKUP(PROVEEDORES[[#This Row],[PROVEEDOR]],
                       Terceros!$A:$F,
                       5,
                       FALSE)</f>
        <v/>
      </c>
      <c r="G494" s="68">
        <v>44736</v>
      </c>
      <c r="H494" s="26" t="s">
        <v>390</v>
      </c>
      <c r="I494" s="68">
        <v>44736</v>
      </c>
      <c r="J494" s="35"/>
      <c r="K494" s="21">
        <v>1000000</v>
      </c>
      <c r="L494" s="21"/>
      <c r="M494" s="22">
        <f>(PROVEEDORES[[#This Row],[SUBTOTAL]]-PROVEEDORES[[#This Row],[descuento sobre subtotal]])*VLOOKUP(PROVEEDORES[[#This Row],[PROVEEDOR]],TERCEROS_INFO[#All],3,FALSE)</f>
        <v>0</v>
      </c>
      <c r="N494" s="23"/>
      <c r="O494" s="22">
        <f>+PROVEEDORES[[#This Row],[Descuento sobre subtotal %]]*(PROVEEDORES[[#This Row],[SUBTOTAL]]-PROVEEDORES[[#This Row],[descuento sobre subtotal]])</f>
        <v>0</v>
      </c>
      <c r="P494" s="74">
        <f>+IF(PROVEEDORES[[#This Row],[SUBTOTAL]]&lt;PROVEEDORES[[#This Row],[base retencion]],0,PROVEEDORES[[#This Row],[retención aplicada]])</f>
        <v>0</v>
      </c>
      <c r="Q494" s="22">
        <f>+PROVEEDORES[[#This Row],[Rete Fuente %]]*(PROVEEDORES[[#This Row],[SUBTOTAL]]-PROVEEDORES[[#This Row],[descuento sobre subtotal]])</f>
        <v>0</v>
      </c>
      <c r="R49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49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63">
        <f ca="1">IF(PROVEEDORES[[#This Row],[FECHA DE PAGO]]=0,TODAY()-PROVEEDORES[[#This Row],[FECHA DE FACTURACIÓN]]-PROVEEDORES[[#This Row],[PLAZO Días]],0)</f>
        <v>0</v>
      </c>
      <c r="U494" s="104">
        <f>+VLOOKUP(PROVEEDORES[[#This Row],[PROVEEDOR]],Terceros!$A:$D,4,FALSE)</f>
        <v>0</v>
      </c>
      <c r="V494" s="105">
        <f>+YEAR(PROVEEDORES[[#This Row],[FECHA DE FACTURACIÓN]])</f>
        <v>2022</v>
      </c>
      <c r="W494" s="105">
        <f>+MATCH(PROVEEDORES[[#This Row],[año facturado]],Retenciones!$1:$1,0)</f>
        <v>5</v>
      </c>
      <c r="X494" s="106">
        <f>+VLOOKUP(PROVEEDORES[[#This Row],[ID RETENCION]],Retenciones!$A$1:$O$25,PROVEEDORES[[#This Row],[indicador de columna]],FALSE)</f>
        <v>0</v>
      </c>
      <c r="Y494" s="107">
        <f>+VLOOKUP(PROVEEDORES[[#This Row],[ID RETENCION]],Retenciones!$A$1:$O$25,2,FALSE)</f>
        <v>0</v>
      </c>
      <c r="Z494" s="116" t="b">
        <f>OR(COUNTIF(PROVEEDORES[[#This Row],[PROVEEDOR]],"*"&amp;'Palabra no opera'!$A$2&amp;"*"))</f>
        <v>0</v>
      </c>
    </row>
    <row r="495" spans="1:26" ht="22.35" customHeight="1" x14ac:dyDescent="0.3">
      <c r="A495" s="148" t="str">
        <f>+IF(PROVEEDORES[[#This Row],[FECHA DE PAGO]]=PROVEEDORES[[#This Row],[FECHA DE FACTURACIÓN]],"DE CONTADO","CRÉDITO")</f>
        <v>CRÉDITO</v>
      </c>
      <c r="B495" s="38" t="b">
        <f>+IF((PROVEEDORES[[#This Row],[FECHA DE PAGO]]-PROVEEDORES[[#This Row],[FECHA DE FACTURACIÓN]])&gt;PROVEEDORES[[#This Row],[PLAZO Días]],"PAGO VENCIDO")</f>
        <v>0</v>
      </c>
      <c r="C495" s="20">
        <f>+VLOOKUP(PROVEEDORES[[#This Row],[PROVEEDOR]],TERCEROS_INFO[#All],2,FALSE)</f>
        <v>30</v>
      </c>
      <c r="D495" s="25">
        <f>+SUMIFS(PROVEEDORES[Total],PROVEEDORES[PROVEEDOR],PROVEEDORES[[#This Row],[PROVEEDOR]],PROVEEDORES[FECHA DE PAGO],"")</f>
        <v>0</v>
      </c>
      <c r="E495" s="25"/>
      <c r="F495" s="56" t="str">
        <f>+VLOOKUP(PROVEEDORES[[#This Row],[PROVEEDOR]],
                       Terceros!$A:$F,
                       5,
                       FALSE)</f>
        <v/>
      </c>
      <c r="G495" s="68">
        <v>44740</v>
      </c>
      <c r="H495" s="26" t="s">
        <v>356</v>
      </c>
      <c r="I495" s="68">
        <v>44737</v>
      </c>
      <c r="J495" s="35" t="s">
        <v>803</v>
      </c>
      <c r="K495" s="21">
        <v>2749000</v>
      </c>
      <c r="L495" s="21"/>
      <c r="M495" s="22">
        <f>(PROVEEDORES[[#This Row],[SUBTOTAL]]-PROVEEDORES[[#This Row],[descuento sobre subtotal]])*VLOOKUP(PROVEEDORES[[#This Row],[PROVEEDOR]],TERCEROS_INFO[#All],3,FALSE)</f>
        <v>0</v>
      </c>
      <c r="N495" s="23"/>
      <c r="O495" s="22">
        <f>+PROVEEDORES[[#This Row],[Descuento sobre subtotal %]]*(PROVEEDORES[[#This Row],[SUBTOTAL]]-PROVEEDORES[[#This Row],[descuento sobre subtotal]])</f>
        <v>0</v>
      </c>
      <c r="P495" s="74">
        <f>+IF(PROVEEDORES[[#This Row],[SUBTOTAL]]&lt;PROVEEDORES[[#This Row],[base retencion]],0,PROVEEDORES[[#This Row],[retención aplicada]])</f>
        <v>0</v>
      </c>
      <c r="Q495" s="22">
        <f>+PROVEEDORES[[#This Row],[Rete Fuente %]]*(PROVEEDORES[[#This Row],[SUBTOTAL]]-PROVEEDORES[[#This Row],[descuento sobre subtotal]])</f>
        <v>0</v>
      </c>
      <c r="R495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49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63">
        <f ca="1">IF(PROVEEDORES[[#This Row],[FECHA DE PAGO]]=0,TODAY()-PROVEEDORES[[#This Row],[FECHA DE FACTURACIÓN]]-PROVEEDORES[[#This Row],[PLAZO Días]],0)</f>
        <v>0</v>
      </c>
      <c r="U495" s="104">
        <f>+VLOOKUP(PROVEEDORES[[#This Row],[PROVEEDOR]],Terceros!$A:$D,4,FALSE)</f>
        <v>0</v>
      </c>
      <c r="V495" s="105">
        <f>+YEAR(PROVEEDORES[[#This Row],[FECHA DE FACTURACIÓN]])</f>
        <v>2022</v>
      </c>
      <c r="W495" s="105">
        <f>+MATCH(PROVEEDORES[[#This Row],[año facturado]],Retenciones!$1:$1,0)</f>
        <v>5</v>
      </c>
      <c r="X495" s="106">
        <f>+VLOOKUP(PROVEEDORES[[#This Row],[ID RETENCION]],Retenciones!$A$1:$O$25,PROVEEDORES[[#This Row],[indicador de columna]],FALSE)</f>
        <v>0</v>
      </c>
      <c r="Y495" s="107">
        <f>+VLOOKUP(PROVEEDORES[[#This Row],[ID RETENCION]],Retenciones!$A$1:$O$25,2,FALSE)</f>
        <v>0</v>
      </c>
      <c r="Z495" s="116" t="b">
        <f>OR(COUNTIF(PROVEEDORES[[#This Row],[PROVEEDOR]],"*"&amp;'Palabra no opera'!$A$2&amp;"*"))</f>
        <v>0</v>
      </c>
    </row>
    <row r="496" spans="1:26" ht="22.35" customHeight="1" x14ac:dyDescent="0.3">
      <c r="A496" s="148" t="str">
        <f>+IF(PROVEEDORES[[#This Row],[FECHA DE PAGO]]=PROVEEDORES[[#This Row],[FECHA DE FACTURACIÓN]],"DE CONTADO","CRÉDITO")</f>
        <v>DE CONTADO</v>
      </c>
      <c r="B496" s="38" t="b">
        <f>+IF((PROVEEDORES[[#This Row],[FECHA DE PAGO]]-PROVEEDORES[[#This Row],[FECHA DE FACTURACIÓN]])&gt;PROVEEDORES[[#This Row],[PLAZO Días]],"PAGO VENCIDO")</f>
        <v>0</v>
      </c>
      <c r="C496" s="20">
        <f>+VLOOKUP(PROVEEDORES[[#This Row],[PROVEEDOR]],TERCEROS_INFO[#All],2,FALSE)</f>
        <v>30</v>
      </c>
      <c r="D496" s="25">
        <f>+SUMIFS(PROVEEDORES[Total],PROVEEDORES[PROVEEDOR],PROVEEDORES[[#This Row],[PROVEEDOR]],PROVEEDORES[FECHA DE PAGO],"")</f>
        <v>2950000</v>
      </c>
      <c r="E496" s="25"/>
      <c r="F496" s="56">
        <f>+VLOOKUP(PROVEEDORES[[#This Row],[PROVEEDOR]],
                       Terceros!$A:$F,
                       5,
                       FALSE)</f>
        <v>0</v>
      </c>
      <c r="G496" s="68">
        <v>44740</v>
      </c>
      <c r="H496" s="26" t="s">
        <v>703</v>
      </c>
      <c r="I496" s="68">
        <v>44740</v>
      </c>
      <c r="J496" s="35" t="s">
        <v>1042</v>
      </c>
      <c r="K496" s="21">
        <v>904000</v>
      </c>
      <c r="L496" s="21"/>
      <c r="M496" s="22">
        <f>(PROVEEDORES[[#This Row],[SUBTOTAL]]-PROVEEDORES[[#This Row],[descuento sobre subtotal]])*VLOOKUP(PROVEEDORES[[#This Row],[PROVEEDOR]],TERCEROS_INFO[#All],3,FALSE)</f>
        <v>0</v>
      </c>
      <c r="N496" s="23"/>
      <c r="O496" s="22">
        <f>+PROVEEDORES[[#This Row],[Descuento sobre subtotal %]]*(PROVEEDORES[[#This Row],[SUBTOTAL]]-PROVEEDORES[[#This Row],[descuento sobre subtotal]])</f>
        <v>0</v>
      </c>
      <c r="P496" s="74">
        <f>+IF(PROVEEDORES[[#This Row],[SUBTOTAL]]&lt;PROVEEDORES[[#This Row],[base retencion]],0,PROVEEDORES[[#This Row],[retención aplicada]])</f>
        <v>0</v>
      </c>
      <c r="Q496" s="22">
        <f>+PROVEEDORES[[#This Row],[Rete Fuente %]]*(PROVEEDORES[[#This Row],[SUBTOTAL]]-PROVEEDORES[[#This Row],[descuento sobre subtotal]])</f>
        <v>0</v>
      </c>
      <c r="R496" s="21">
        <f>+PROVEEDORES[[#This Row],[SUBTOTAL]]+PROVEEDORES[[#This Row],[IVA 19%]]-PROVEEDORES[[#This Row],[descuento sobre subtotal]]-PROVEEDORES[[#This Row],[Descuento sobre subtotal $2]]-PROVEEDORES[[#This Row],[Rete Fuente $]]</f>
        <v>904000</v>
      </c>
      <c r="S49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63">
        <f ca="1">IF(PROVEEDORES[[#This Row],[FECHA DE PAGO]]=0,TODAY()-PROVEEDORES[[#This Row],[FECHA DE FACTURACIÓN]]-PROVEEDORES[[#This Row],[PLAZO Días]],0)</f>
        <v>0</v>
      </c>
      <c r="U496" s="104">
        <f>+VLOOKUP(PROVEEDORES[[#This Row],[PROVEEDOR]],Terceros!$A:$D,4,FALSE)</f>
        <v>0</v>
      </c>
      <c r="V496" s="105">
        <f>+YEAR(PROVEEDORES[[#This Row],[FECHA DE FACTURACIÓN]])</f>
        <v>2022</v>
      </c>
      <c r="W496" s="105">
        <f>+MATCH(PROVEEDORES[[#This Row],[año facturado]],Retenciones!$1:$1,0)</f>
        <v>5</v>
      </c>
      <c r="X496" s="106">
        <f>+VLOOKUP(PROVEEDORES[[#This Row],[ID RETENCION]],Retenciones!$A$1:$O$25,PROVEEDORES[[#This Row],[indicador de columna]],FALSE)</f>
        <v>0</v>
      </c>
      <c r="Y496" s="107">
        <f>+VLOOKUP(PROVEEDORES[[#This Row],[ID RETENCION]],Retenciones!$A$1:$O$25,2,FALSE)</f>
        <v>0</v>
      </c>
      <c r="Z496" s="116" t="b">
        <f>OR(COUNTIF(PROVEEDORES[[#This Row],[PROVEEDOR]],"*"&amp;'Palabra no opera'!$A$2&amp;"*"))</f>
        <v>0</v>
      </c>
    </row>
    <row r="497" spans="1:26" ht="22.35" customHeight="1" x14ac:dyDescent="0.3">
      <c r="A497" s="124" t="str">
        <f>+IF(PROVEEDORES[[#This Row],[FECHA DE PAGO]]=PROVEEDORES[[#This Row],[FECHA DE FACTURACIÓN]],"DE CONTADO","CRÉDITO")</f>
        <v>CRÉDITO</v>
      </c>
      <c r="B497" s="38" t="str">
        <f>+IF((PROVEEDORES[[#This Row],[FECHA DE PAGO]]-PROVEEDORES[[#This Row],[FECHA DE FACTURACIÓN]])&gt;PROVEEDORES[[#This Row],[PLAZO Días]],"PAGO VENCIDO")</f>
        <v>PAGO VENCIDO</v>
      </c>
      <c r="C497" s="20">
        <f>+VLOOKUP(PROVEEDORES[[#This Row],[PROVEEDOR]],TERCEROS_INFO[#All],2,FALSE)</f>
        <v>30</v>
      </c>
      <c r="D497" s="25">
        <f>+SUMIFS(PROVEEDORES[Total],PROVEEDORES[PROVEEDOR],PROVEEDORES[[#This Row],[PROVEEDOR]],PROVEEDORES[FECHA DE PAGO],"")</f>
        <v>2100000</v>
      </c>
      <c r="E497" s="25"/>
      <c r="F497" s="56" t="str">
        <f>+VLOOKUP(PROVEEDORES[[#This Row],[PROVEEDOR]],
                       Terceros!$A:$F,
                       5,
                       FALSE)</f>
        <v/>
      </c>
      <c r="G497" s="68">
        <v>44741</v>
      </c>
      <c r="H497" s="26" t="s">
        <v>349</v>
      </c>
      <c r="I497" s="68">
        <v>44690</v>
      </c>
      <c r="J497" s="35" t="s">
        <v>673</v>
      </c>
      <c r="K497" s="21">
        <v>1860000</v>
      </c>
      <c r="L497" s="21"/>
      <c r="M497" s="22">
        <f>(PROVEEDORES[[#This Row],[SUBTOTAL]]-PROVEEDORES[[#This Row],[descuento sobre subtotal]])*VLOOKUP(PROVEEDORES[[#This Row],[PROVEEDOR]],TERCEROS_INFO[#All],3,FALSE)</f>
        <v>0</v>
      </c>
      <c r="N497" s="23"/>
      <c r="O497" s="22">
        <f>+PROVEEDORES[[#This Row],[Descuento sobre subtotal %]]*(PROVEEDORES[[#This Row],[SUBTOTAL]]-PROVEEDORES[[#This Row],[descuento sobre subtotal]])</f>
        <v>0</v>
      </c>
      <c r="P497" s="74">
        <f>+IF(PROVEEDORES[[#This Row],[SUBTOTAL]]&lt;PROVEEDORES[[#This Row],[base retencion]],0,PROVEEDORES[[#This Row],[retención aplicada]])</f>
        <v>0</v>
      </c>
      <c r="Q497" s="22">
        <f>+PROVEEDORES[[#This Row],[Rete Fuente %]]*(PROVEEDORES[[#This Row],[SUBTOTAL]]-PROVEEDORES[[#This Row],[descuento sobre subtotal]])</f>
        <v>0</v>
      </c>
      <c r="R497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497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63">
        <f ca="1">IF(PROVEEDORES[[#This Row],[FECHA DE PAGO]]=0,TODAY()-PROVEEDORES[[#This Row],[FECHA DE FACTURACIÓN]]-PROVEEDORES[[#This Row],[PLAZO Días]],0)</f>
        <v>0</v>
      </c>
      <c r="U497" s="104">
        <f>+VLOOKUP(PROVEEDORES[[#This Row],[PROVEEDOR]],Terceros!$A:$D,4,FALSE)</f>
        <v>0</v>
      </c>
      <c r="V497" s="105">
        <f>+YEAR(PROVEEDORES[[#This Row],[FECHA DE FACTURACIÓN]])</f>
        <v>2022</v>
      </c>
      <c r="W497" s="105">
        <f>+MATCH(PROVEEDORES[[#This Row],[año facturado]],Retenciones!$1:$1,0)</f>
        <v>5</v>
      </c>
      <c r="X497" s="106">
        <f>+VLOOKUP(PROVEEDORES[[#This Row],[ID RETENCION]],Retenciones!$A$1:$O$25,PROVEEDORES[[#This Row],[indicador de columna]],FALSE)</f>
        <v>0</v>
      </c>
      <c r="Y497" s="107">
        <f>+VLOOKUP(PROVEEDORES[[#This Row],[ID RETENCION]],Retenciones!$A$1:$O$25,2,FALSE)</f>
        <v>0</v>
      </c>
      <c r="Z497" s="116" t="b">
        <f>OR(COUNTIF(PROVEEDORES[[#This Row],[PROVEEDOR]],"*"&amp;'Palabra no opera'!$A$2&amp;"*"))</f>
        <v>0</v>
      </c>
    </row>
    <row r="498" spans="1:26" ht="22.35" customHeight="1" x14ac:dyDescent="0.3">
      <c r="A498" s="148" t="str">
        <f>+IF(PROVEEDORES[[#This Row],[FECHA DE PAGO]]=PROVEEDORES[[#This Row],[FECHA DE FACTURACIÓN]],"DE CONTADO","CRÉDITO")</f>
        <v>CRÉDITO</v>
      </c>
      <c r="B498" s="38" t="b">
        <f>+IF((PROVEEDORES[[#This Row],[FECHA DE PAGO]]-PROVEEDORES[[#This Row],[FECHA DE FACTURACIÓN]])&gt;PROVEEDORES[[#This Row],[PLAZO Días]],"PAGO VENCIDO")</f>
        <v>0</v>
      </c>
      <c r="C498" s="20">
        <f>+VLOOKUP(PROVEEDORES[[#This Row],[PROVEEDOR]],TERCEROS_INFO[#All],2,FALSE)</f>
        <v>30</v>
      </c>
      <c r="D498" s="25">
        <f>+SUMIFS(PROVEEDORES[Total],PROVEEDORES[PROVEEDOR],PROVEEDORES[[#This Row],[PROVEEDOR]],PROVEEDORES[FECHA DE PAGO],"")</f>
        <v>0</v>
      </c>
      <c r="E498" s="25"/>
      <c r="F498" s="56" t="str">
        <f>+VLOOKUP(PROVEEDORES[[#This Row],[PROVEEDOR]],
                       Terceros!$A:$F,
                       5,
                       FALSE)</f>
        <v>tesoreria@cidet.org.co;girlesa.ruiz@servipilas.com;joriescobar64@gmail.com</v>
      </c>
      <c r="G498" s="68">
        <v>44741</v>
      </c>
      <c r="H498" s="26" t="s">
        <v>781</v>
      </c>
      <c r="I498" s="68">
        <v>44732</v>
      </c>
      <c r="J498" s="35" t="s">
        <v>782</v>
      </c>
      <c r="K498" s="21">
        <v>96176</v>
      </c>
      <c r="L498" s="21"/>
      <c r="M498" s="22">
        <f>(PROVEEDORES[[#This Row],[SUBTOTAL]]-PROVEEDORES[[#This Row],[descuento sobre subtotal]])*VLOOKUP(PROVEEDORES[[#This Row],[PROVEEDOR]],TERCEROS_INFO[#All],3,FALSE)</f>
        <v>0</v>
      </c>
      <c r="N498" s="23"/>
      <c r="O498" s="22">
        <f>+PROVEEDORES[[#This Row],[Descuento sobre subtotal %]]*(PROVEEDORES[[#This Row],[SUBTOTAL]]-PROVEEDORES[[#This Row],[descuento sobre subtotal]])</f>
        <v>0</v>
      </c>
      <c r="P498" s="74">
        <f>+IF(PROVEEDORES[[#This Row],[SUBTOTAL]]&lt;PROVEEDORES[[#This Row],[base retencion]],0,PROVEEDORES[[#This Row],[retención aplicada]])</f>
        <v>0</v>
      </c>
      <c r="Q498" s="22">
        <f>+PROVEEDORES[[#This Row],[Rete Fuente %]]*(PROVEEDORES[[#This Row],[SUBTOTAL]]-PROVEEDORES[[#This Row],[descuento sobre subtotal]])</f>
        <v>0</v>
      </c>
      <c r="R498" s="21">
        <f>+PROVEEDORES[[#This Row],[SUBTOTAL]]+PROVEEDORES[[#This Row],[IVA 19%]]-PROVEEDORES[[#This Row],[descuento sobre subtotal]]-PROVEEDORES[[#This Row],[Descuento sobre subtotal $2]]-PROVEEDORES[[#This Row],[Rete Fuente $]]</f>
        <v>96176</v>
      </c>
      <c r="S49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63">
        <f ca="1">IF(PROVEEDORES[[#This Row],[FECHA DE PAGO]]=0,TODAY()-PROVEEDORES[[#This Row],[FECHA DE FACTURACIÓN]]-PROVEEDORES[[#This Row],[PLAZO Días]],0)</f>
        <v>0</v>
      </c>
      <c r="U498" s="104">
        <f>+VLOOKUP(PROVEEDORES[[#This Row],[PROVEEDOR]],Terceros!$A:$D,4,FALSE)</f>
        <v>0</v>
      </c>
      <c r="V498" s="105">
        <f>+YEAR(PROVEEDORES[[#This Row],[FECHA DE FACTURACIÓN]])</f>
        <v>2022</v>
      </c>
      <c r="W498" s="105">
        <f>+MATCH(PROVEEDORES[[#This Row],[año facturado]],Retenciones!$1:$1,0)</f>
        <v>5</v>
      </c>
      <c r="X498" s="106">
        <f>+VLOOKUP(PROVEEDORES[[#This Row],[ID RETENCION]],Retenciones!$A$1:$O$25,PROVEEDORES[[#This Row],[indicador de columna]],FALSE)</f>
        <v>0</v>
      </c>
      <c r="Y498" s="107">
        <f>+VLOOKUP(PROVEEDORES[[#This Row],[ID RETENCION]],Retenciones!$A$1:$O$25,2,FALSE)</f>
        <v>0</v>
      </c>
      <c r="Z498" s="116" t="b">
        <f>OR(COUNTIF(PROVEEDORES[[#This Row],[PROVEEDOR]],"*"&amp;'Palabra no opera'!$A$2&amp;"*"))</f>
        <v>1</v>
      </c>
    </row>
    <row r="499" spans="1:26" ht="22.35" customHeight="1" x14ac:dyDescent="0.3">
      <c r="A499" s="133" t="str">
        <f>+IF(PROVEEDORES[[#This Row],[FECHA DE PAGO]]=PROVEEDORES[[#This Row],[FECHA DE FACTURACIÓN]],"DE CONTADO","CRÉDITO")</f>
        <v>CRÉDITO</v>
      </c>
      <c r="B499" s="38" t="str">
        <f>+IF((PROVEEDORES[[#This Row],[FECHA DE PAGO]]-PROVEEDORES[[#This Row],[FECHA DE FACTURACIÓN]])&gt;PROVEEDORES[[#This Row],[PLAZO Días]],"PAGO VENCIDO")</f>
        <v>PAGO VENCIDO</v>
      </c>
      <c r="C499" s="20">
        <f>+VLOOKUP(PROVEEDORES[[#This Row],[PROVEEDOR]],TERCEROS_INFO[#All],2,FALSE)</f>
        <v>30</v>
      </c>
      <c r="D499" s="25">
        <f>+SUMIFS(PROVEEDORES[Total],PROVEEDORES[PROVEEDOR],PROVEEDORES[[#This Row],[PROVEEDOR]],PROVEEDORES[FECHA DE PAGO],"")</f>
        <v>1125118.8199999998</v>
      </c>
      <c r="E499" s="25"/>
      <c r="F499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499" s="68">
        <v>44741</v>
      </c>
      <c r="H499" s="26" t="s">
        <v>279</v>
      </c>
      <c r="I499" s="68">
        <v>44699</v>
      </c>
      <c r="J499" s="35" t="s">
        <v>693</v>
      </c>
      <c r="K499" s="21">
        <v>913109.22</v>
      </c>
      <c r="L499" s="21"/>
      <c r="M499" s="22">
        <f>(PROVEEDORES[[#This Row],[SUBTOTAL]]-PROVEEDORES[[#This Row],[descuento sobre subtotal]])*VLOOKUP(PROVEEDORES[[#This Row],[PROVEEDOR]],TERCEROS_INFO[#All],3,FALSE)</f>
        <v>173490.7518</v>
      </c>
      <c r="N499" s="23"/>
      <c r="O499" s="22">
        <f>+PROVEEDORES[[#This Row],[Descuento sobre subtotal %]]*(PROVEEDORES[[#This Row],[SUBTOTAL]]-PROVEEDORES[[#This Row],[descuento sobre subtotal]])</f>
        <v>0</v>
      </c>
      <c r="P499" s="74">
        <f>+IF(PROVEEDORES[[#This Row],[SUBTOTAL]]&lt;PROVEEDORES[[#This Row],[base retencion]],0,PROVEEDORES[[#This Row],[retención aplicada]])</f>
        <v>0</v>
      </c>
      <c r="Q499" s="22">
        <f>+PROVEEDORES[[#This Row],[Rete Fuente %]]*(PROVEEDORES[[#This Row],[SUBTOTAL]]-PROVEEDORES[[#This Row],[descuento sobre subtotal]])</f>
        <v>0</v>
      </c>
      <c r="R499" s="21">
        <f>+PROVEEDORES[[#This Row],[SUBTOTAL]]+PROVEEDORES[[#This Row],[IVA 19%]]-PROVEEDORES[[#This Row],[descuento sobre subtotal]]-PROVEEDORES[[#This Row],[Descuento sobre subtotal $2]]-PROVEEDORES[[#This Row],[Rete Fuente $]]</f>
        <v>1086599.9717999999</v>
      </c>
      <c r="S499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63">
        <f ca="1">IF(PROVEEDORES[[#This Row],[FECHA DE PAGO]]=0,TODAY()-PROVEEDORES[[#This Row],[FECHA DE FACTURACIÓN]]-PROVEEDORES[[#This Row],[PLAZO Días]],0)</f>
        <v>0</v>
      </c>
      <c r="U499" s="104" t="str">
        <f>+VLOOKUP(PROVEEDORES[[#This Row],[PROVEEDOR]],Terceros!$A:$D,4,FALSE)</f>
        <v>2,5% con base</v>
      </c>
      <c r="V499" s="105">
        <f>+YEAR(PROVEEDORES[[#This Row],[FECHA DE FACTURACIÓN]])</f>
        <v>2022</v>
      </c>
      <c r="W499" s="105">
        <f>+MATCH(PROVEEDORES[[#This Row],[año facturado]],Retenciones!$1:$1,0)</f>
        <v>5</v>
      </c>
      <c r="X499" s="106">
        <f>+VLOOKUP(PROVEEDORES[[#This Row],[ID RETENCION]],Retenciones!$A$1:$O$25,PROVEEDORES[[#This Row],[indicador de columna]],FALSE)</f>
        <v>1026000</v>
      </c>
      <c r="Y499" s="107">
        <f>+VLOOKUP(PROVEEDORES[[#This Row],[ID RETENCION]],Retenciones!$A$1:$O$25,2,FALSE)</f>
        <v>2.5000000000000001E-2</v>
      </c>
      <c r="Z499" s="116" t="b">
        <f>OR(COUNTIF(PROVEEDORES[[#This Row],[PROVEEDOR]],"*"&amp;'Palabra no opera'!$A$2&amp;"*"))</f>
        <v>0</v>
      </c>
    </row>
    <row r="500" spans="1:26" ht="22.35" customHeight="1" x14ac:dyDescent="0.3">
      <c r="A500" s="148" t="str">
        <f>+IF(PROVEEDORES[[#This Row],[FECHA DE PAGO]]=PROVEEDORES[[#This Row],[FECHA DE FACTURACIÓN]],"DE CONTADO","CRÉDITO")</f>
        <v>CRÉDITO</v>
      </c>
      <c r="B500" s="38" t="b">
        <f>+IF((PROVEEDORES[[#This Row],[FECHA DE PAGO]]-PROVEEDORES[[#This Row],[FECHA DE FACTURACIÓN]])&gt;PROVEEDORES[[#This Row],[PLAZO Días]],"PAGO VENCIDO")</f>
        <v>0</v>
      </c>
      <c r="C500" s="20">
        <f>+VLOOKUP(PROVEEDORES[[#This Row],[PROVEEDOR]],TERCEROS_INFO[#All],2,FALSE)</f>
        <v>30</v>
      </c>
      <c r="D500" s="25">
        <f>+SUMIFS(PROVEEDORES[Total],PROVEEDORES[PROVEEDOR],PROVEEDORES[[#This Row],[PROVEEDOR]],PROVEEDORES[FECHA DE PAGO],"")</f>
        <v>1125118.8199999998</v>
      </c>
      <c r="E500" s="25"/>
      <c r="F500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500" s="68">
        <v>44741</v>
      </c>
      <c r="H500" s="26" t="s">
        <v>279</v>
      </c>
      <c r="I500" s="68">
        <v>44733</v>
      </c>
      <c r="J500" s="35" t="s">
        <v>786</v>
      </c>
      <c r="K500" s="21">
        <v>-317100</v>
      </c>
      <c r="L500" s="21"/>
      <c r="M500" s="22">
        <f>(PROVEEDORES[[#This Row],[SUBTOTAL]]-PROVEEDORES[[#This Row],[descuento sobre subtotal]])*VLOOKUP(PROVEEDORES[[#This Row],[PROVEEDOR]],TERCEROS_INFO[#All],3,FALSE)</f>
        <v>-60249</v>
      </c>
      <c r="N500" s="23"/>
      <c r="O500" s="22">
        <f>+PROVEEDORES[[#This Row],[Descuento sobre subtotal %]]*(PROVEEDORES[[#This Row],[SUBTOTAL]]-PROVEEDORES[[#This Row],[descuento sobre subtotal]])</f>
        <v>0</v>
      </c>
      <c r="P500" s="74">
        <f>+IF(PROVEEDORES[[#This Row],[SUBTOTAL]]&lt;PROVEEDORES[[#This Row],[base retencion]],0,PROVEEDORES[[#This Row],[retención aplicada]])</f>
        <v>0</v>
      </c>
      <c r="Q500" s="22">
        <f>+PROVEEDORES[[#This Row],[Rete Fuente %]]*(PROVEEDORES[[#This Row],[SUBTOTAL]]-PROVEEDORES[[#This Row],[descuento sobre subtotal]])</f>
        <v>0</v>
      </c>
      <c r="R500" s="21">
        <f>+PROVEEDORES[[#This Row],[SUBTOTAL]]+PROVEEDORES[[#This Row],[IVA 19%]]-PROVEEDORES[[#This Row],[descuento sobre subtotal]]-PROVEEDORES[[#This Row],[Descuento sobre subtotal $2]]-PROVEEDORES[[#This Row],[Rete Fuente $]]</f>
        <v>-377349</v>
      </c>
      <c r="S500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63">
        <f ca="1">IF(PROVEEDORES[[#This Row],[FECHA DE PAGO]]=0,TODAY()-PROVEEDORES[[#This Row],[FECHA DE FACTURACIÓN]]-PROVEEDORES[[#This Row],[PLAZO Días]],0)</f>
        <v>0</v>
      </c>
      <c r="U500" s="104" t="str">
        <f>+VLOOKUP(PROVEEDORES[[#This Row],[PROVEEDOR]],Terceros!$A:$D,4,FALSE)</f>
        <v>2,5% con base</v>
      </c>
      <c r="V500" s="105">
        <f>+YEAR(PROVEEDORES[[#This Row],[FECHA DE FACTURACIÓN]])</f>
        <v>2022</v>
      </c>
      <c r="W500" s="105">
        <f>+MATCH(PROVEEDORES[[#This Row],[año facturado]],Retenciones!$1:$1,0)</f>
        <v>5</v>
      </c>
      <c r="X500" s="106">
        <f>+VLOOKUP(PROVEEDORES[[#This Row],[ID RETENCION]],Retenciones!$A$1:$O$25,PROVEEDORES[[#This Row],[indicador de columna]],FALSE)</f>
        <v>1026000</v>
      </c>
      <c r="Y500" s="107">
        <f>+VLOOKUP(PROVEEDORES[[#This Row],[ID RETENCION]],Retenciones!$A$1:$O$25,2,FALSE)</f>
        <v>2.5000000000000001E-2</v>
      </c>
      <c r="Z500" s="116" t="b">
        <f>OR(COUNTIF(PROVEEDORES[[#This Row],[PROVEEDOR]],"*"&amp;'Palabra no opera'!$A$2&amp;"*"))</f>
        <v>0</v>
      </c>
    </row>
    <row r="501" spans="1:26" ht="22.35" customHeight="1" x14ac:dyDescent="0.3">
      <c r="A501" s="133" t="str">
        <f>+IF(PROVEEDORES[[#This Row],[FECHA DE PAGO]]=PROVEEDORES[[#This Row],[FECHA DE FACTURACIÓN]],"DE CONTADO","CRÉDITO")</f>
        <v>CRÉDITO</v>
      </c>
      <c r="B501" s="38" t="str">
        <f>+IF((PROVEEDORES[[#This Row],[FECHA DE PAGO]]-PROVEEDORES[[#This Row],[FECHA DE FACTURACIÓN]])&gt;PROVEEDORES[[#This Row],[PLAZO Días]],"PAGO VENCIDO")</f>
        <v>PAGO VENCIDO</v>
      </c>
      <c r="C501" s="20">
        <f>+VLOOKUP(PROVEEDORES[[#This Row],[PROVEEDOR]],TERCEROS_INFO[#All],2,FALSE)</f>
        <v>30</v>
      </c>
      <c r="D501" s="25">
        <f>+SUMIFS(PROVEEDORES[Total],PROVEEDORES[PROVEEDOR],PROVEEDORES[[#This Row],[PROVEEDOR]],PROVEEDORES[FECHA DE PAGO],"")</f>
        <v>0</v>
      </c>
      <c r="E501" s="25" t="s">
        <v>706</v>
      </c>
      <c r="F501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501" s="68">
        <v>44741</v>
      </c>
      <c r="H501" s="26" t="s">
        <v>628</v>
      </c>
      <c r="I501" s="68">
        <v>44708</v>
      </c>
      <c r="J501" s="35" t="s">
        <v>705</v>
      </c>
      <c r="K501" s="21">
        <v>80632</v>
      </c>
      <c r="L501" s="21"/>
      <c r="M501" s="22">
        <f>(PROVEEDORES[[#This Row],[SUBTOTAL]]-PROVEEDORES[[#This Row],[descuento sobre subtotal]])*VLOOKUP(PROVEEDORES[[#This Row],[PROVEEDOR]],TERCEROS_INFO[#All],3,FALSE)</f>
        <v>0</v>
      </c>
      <c r="N501" s="23"/>
      <c r="O501" s="22">
        <f>+PROVEEDORES[[#This Row],[Descuento sobre subtotal %]]*(PROVEEDORES[[#This Row],[SUBTOTAL]]-PROVEEDORES[[#This Row],[descuento sobre subtotal]])</f>
        <v>0</v>
      </c>
      <c r="P501" s="74">
        <f>+IF(PROVEEDORES[[#This Row],[SUBTOTAL]]&lt;PROVEEDORES[[#This Row],[base retencion]],0,PROVEEDORES[[#This Row],[retención aplicada]])</f>
        <v>0</v>
      </c>
      <c r="Q501" s="22">
        <f>+PROVEEDORES[[#This Row],[Rete Fuente %]]*(PROVEEDORES[[#This Row],[SUBTOTAL]]-PROVEEDORES[[#This Row],[descuento sobre subtotal]])</f>
        <v>0</v>
      </c>
      <c r="R501" s="21">
        <f>+PROVEEDORES[[#This Row],[SUBTOTAL]]+PROVEEDORES[[#This Row],[IVA 19%]]-PROVEEDORES[[#This Row],[descuento sobre subtotal]]-PROVEEDORES[[#This Row],[Descuento sobre subtotal $2]]-PROVEEDORES[[#This Row],[Rete Fuente $]]</f>
        <v>80632</v>
      </c>
      <c r="S50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63">
        <f ca="1">IF(PROVEEDORES[[#This Row],[FECHA DE PAGO]]=0,TODAY()-PROVEEDORES[[#This Row],[FECHA DE FACTURACIÓN]]-PROVEEDORES[[#This Row],[PLAZO Días]],0)</f>
        <v>0</v>
      </c>
      <c r="U501" s="104">
        <f>+VLOOKUP(PROVEEDORES[[#This Row],[PROVEEDOR]],Terceros!$A:$D,4,FALSE)</f>
        <v>0</v>
      </c>
      <c r="V501" s="105">
        <f>+YEAR(PROVEEDORES[[#This Row],[FECHA DE FACTURACIÓN]])</f>
        <v>2022</v>
      </c>
      <c r="W501" s="105">
        <f>+MATCH(PROVEEDORES[[#This Row],[año facturado]],Retenciones!$1:$1,0)</f>
        <v>5</v>
      </c>
      <c r="X501" s="106">
        <f>+VLOOKUP(PROVEEDORES[[#This Row],[ID RETENCION]],Retenciones!$A$1:$O$25,PROVEEDORES[[#This Row],[indicador de columna]],FALSE)</f>
        <v>0</v>
      </c>
      <c r="Y501" s="107">
        <f>+VLOOKUP(PROVEEDORES[[#This Row],[ID RETENCION]],Retenciones!$A$1:$O$25,2,FALSE)</f>
        <v>0</v>
      </c>
      <c r="Z501" s="116" t="b">
        <f>OR(COUNTIF(PROVEEDORES[[#This Row],[PROVEEDOR]],"*"&amp;'Palabra no opera'!$A$2&amp;"*"))</f>
        <v>1</v>
      </c>
    </row>
    <row r="502" spans="1:26" ht="22.35" customHeight="1" x14ac:dyDescent="0.3">
      <c r="A502" s="148" t="str">
        <f>+IF(PROVEEDORES[[#This Row],[FECHA DE PAGO]]=PROVEEDORES[[#This Row],[FECHA DE FACTURACIÓN]],"DE CONTADO","CRÉDITO")</f>
        <v>CRÉDITO</v>
      </c>
      <c r="B502" s="38" t="b">
        <f>+IF((PROVEEDORES[[#This Row],[FECHA DE PAGO]]-PROVEEDORES[[#This Row],[FECHA DE FACTURACIÓN]])&gt;PROVEEDORES[[#This Row],[PLAZO Días]],"PAGO VENCIDO")</f>
        <v>0</v>
      </c>
      <c r="C502" s="20">
        <f>+VLOOKUP(PROVEEDORES[[#This Row],[PROVEEDOR]],TERCEROS_INFO[#All],2,FALSE)</f>
        <v>30</v>
      </c>
      <c r="D502" s="25">
        <f>+SUMIFS(PROVEEDORES[Total],PROVEEDORES[PROVEEDOR],PROVEEDORES[[#This Row],[PROVEEDOR]],PROVEEDORES[FECHA DE PAGO],"")</f>
        <v>0</v>
      </c>
      <c r="E502" s="25"/>
      <c r="F502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502" s="68">
        <v>44741</v>
      </c>
      <c r="H502" s="26" t="s">
        <v>628</v>
      </c>
      <c r="I502" s="68">
        <v>44713</v>
      </c>
      <c r="J502" s="35">
        <v>10747</v>
      </c>
      <c r="K502" s="21">
        <v>1649859</v>
      </c>
      <c r="L502" s="21"/>
      <c r="M502" s="22">
        <f>(PROVEEDORES[[#This Row],[SUBTOTAL]]-PROVEEDORES[[#This Row],[descuento sobre subtotal]])*VLOOKUP(PROVEEDORES[[#This Row],[PROVEEDOR]],TERCEROS_INFO[#All],3,FALSE)</f>
        <v>0</v>
      </c>
      <c r="N502" s="23"/>
      <c r="O502" s="22">
        <f>+PROVEEDORES[[#This Row],[Descuento sobre subtotal %]]*(PROVEEDORES[[#This Row],[SUBTOTAL]]-PROVEEDORES[[#This Row],[descuento sobre subtotal]])</f>
        <v>0</v>
      </c>
      <c r="P502" s="74">
        <f>+IF(PROVEEDORES[[#This Row],[SUBTOTAL]]&lt;PROVEEDORES[[#This Row],[base retencion]],0,PROVEEDORES[[#This Row],[retención aplicada]])</f>
        <v>0</v>
      </c>
      <c r="Q502" s="22">
        <f>+PROVEEDORES[[#This Row],[Rete Fuente %]]*(PROVEEDORES[[#This Row],[SUBTOTAL]]-PROVEEDORES[[#This Row],[descuento sobre subtotal]])</f>
        <v>0</v>
      </c>
      <c r="R502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50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63">
        <f ca="1">IF(PROVEEDORES[[#This Row],[FECHA DE PAGO]]=0,TODAY()-PROVEEDORES[[#This Row],[FECHA DE FACTURACIÓN]]-PROVEEDORES[[#This Row],[PLAZO Días]],0)</f>
        <v>0</v>
      </c>
      <c r="U502" s="104">
        <f>+VLOOKUP(PROVEEDORES[[#This Row],[PROVEEDOR]],Terceros!$A:$D,4,FALSE)</f>
        <v>0</v>
      </c>
      <c r="V502" s="105">
        <f>+YEAR(PROVEEDORES[[#This Row],[FECHA DE FACTURACIÓN]])</f>
        <v>2022</v>
      </c>
      <c r="W502" s="105">
        <f>+MATCH(PROVEEDORES[[#This Row],[año facturado]],Retenciones!$1:$1,0)</f>
        <v>5</v>
      </c>
      <c r="X502" s="106">
        <f>+VLOOKUP(PROVEEDORES[[#This Row],[ID RETENCION]],Retenciones!$A$1:$O$25,PROVEEDORES[[#This Row],[indicador de columna]],FALSE)</f>
        <v>0</v>
      </c>
      <c r="Y502" s="107">
        <f>+VLOOKUP(PROVEEDORES[[#This Row],[ID RETENCION]],Retenciones!$A$1:$O$25,2,FALSE)</f>
        <v>0</v>
      </c>
      <c r="Z502" s="116" t="b">
        <f>OR(COUNTIF(PROVEEDORES[[#This Row],[PROVEEDOR]],"*"&amp;'Palabra no opera'!$A$2&amp;"*"))</f>
        <v>1</v>
      </c>
    </row>
    <row r="503" spans="1:26" ht="22.35" customHeight="1" x14ac:dyDescent="0.3">
      <c r="A503" s="148" t="str">
        <f>+IF(PROVEEDORES[[#This Row],[FECHA DE PAGO]]=PROVEEDORES[[#This Row],[FECHA DE FACTURACIÓN]],"DE CONTADO","CRÉDITO")</f>
        <v>CRÉDITO</v>
      </c>
      <c r="B503" s="38" t="str">
        <f>+IF((PROVEEDORES[[#This Row],[FECHA DE PAGO]]-PROVEEDORES[[#This Row],[FECHA DE FACTURACIÓN]])&gt;PROVEEDORES[[#This Row],[PLAZO Días]],"PAGO VENCIDO")</f>
        <v>PAGO VENCIDO</v>
      </c>
      <c r="C503" s="20">
        <f>+VLOOKUP(PROVEEDORES[[#This Row],[PROVEEDOR]],TERCEROS_INFO[#All],2,FALSE)</f>
        <v>30</v>
      </c>
      <c r="D503" s="25">
        <f>+SUMIFS(PROVEEDORES[Total],PROVEEDORES[PROVEEDOR],PROVEEDORES[[#This Row],[PROVEEDOR]],PROVEEDORES[FECHA DE PAGO],"")</f>
        <v>229206</v>
      </c>
      <c r="E503" s="25"/>
      <c r="F50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03" s="68">
        <v>44741</v>
      </c>
      <c r="H503" s="26" t="s">
        <v>95</v>
      </c>
      <c r="I503" s="68">
        <v>44680</v>
      </c>
      <c r="J503" s="35" t="s">
        <v>785</v>
      </c>
      <c r="K503" s="21">
        <v>251093</v>
      </c>
      <c r="L503" s="21"/>
      <c r="M503" s="22">
        <f>(PROVEEDORES[[#This Row],[SUBTOTAL]]-PROVEEDORES[[#This Row],[descuento sobre subtotal]])*VLOOKUP(PROVEEDORES[[#This Row],[PROVEEDOR]],TERCEROS_INFO[#All],3,FALSE)</f>
        <v>0</v>
      </c>
      <c r="N503" s="23"/>
      <c r="O503" s="22">
        <f>+PROVEEDORES[[#This Row],[Descuento sobre subtotal %]]*(PROVEEDORES[[#This Row],[SUBTOTAL]]-PROVEEDORES[[#This Row],[descuento sobre subtotal]])</f>
        <v>0</v>
      </c>
      <c r="P503" s="74">
        <f>+IF(PROVEEDORES[[#This Row],[SUBTOTAL]]&lt;PROVEEDORES[[#This Row],[base retencion]],0,PROVEEDORES[[#This Row],[retención aplicada]])</f>
        <v>0</v>
      </c>
      <c r="Q503" s="22">
        <f>+PROVEEDORES[[#This Row],[Rete Fuente %]]*(PROVEEDORES[[#This Row],[SUBTOTAL]]-PROVEEDORES[[#This Row],[descuento sobre subtotal]])</f>
        <v>0</v>
      </c>
      <c r="R503" s="21">
        <f>+PROVEEDORES[[#This Row],[SUBTOTAL]]+PROVEEDORES[[#This Row],[IVA 19%]]-PROVEEDORES[[#This Row],[descuento sobre subtotal]]-PROVEEDORES[[#This Row],[Descuento sobre subtotal $2]]-PROVEEDORES[[#This Row],[Rete Fuente $]]</f>
        <v>251093</v>
      </c>
      <c r="S50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63">
        <f ca="1">IF(PROVEEDORES[[#This Row],[FECHA DE PAGO]]=0,TODAY()-PROVEEDORES[[#This Row],[FECHA DE FACTURACIÓN]]-PROVEEDORES[[#This Row],[PLAZO Días]],0)</f>
        <v>0</v>
      </c>
      <c r="U503" s="104">
        <f>+VLOOKUP(PROVEEDORES[[#This Row],[PROVEEDOR]],Terceros!$A:$D,4,FALSE)</f>
        <v>0</v>
      </c>
      <c r="V503" s="105">
        <f>+YEAR(PROVEEDORES[[#This Row],[FECHA DE FACTURACIÓN]])</f>
        <v>2022</v>
      </c>
      <c r="W503" s="105">
        <f>+MATCH(PROVEEDORES[[#This Row],[año facturado]],Retenciones!$1:$1,0)</f>
        <v>5</v>
      </c>
      <c r="X503" s="106">
        <f>+VLOOKUP(PROVEEDORES[[#This Row],[ID RETENCION]],Retenciones!$A$1:$O$25,PROVEEDORES[[#This Row],[indicador de columna]],FALSE)</f>
        <v>0</v>
      </c>
      <c r="Y503" s="107">
        <f>+VLOOKUP(PROVEEDORES[[#This Row],[ID RETENCION]],Retenciones!$A$1:$O$25,2,FALSE)</f>
        <v>0</v>
      </c>
      <c r="Z503" s="116" t="b">
        <f>OR(COUNTIF(PROVEEDORES[[#This Row],[PROVEEDOR]],"*"&amp;'Palabra no opera'!$A$2&amp;"*"))</f>
        <v>0</v>
      </c>
    </row>
    <row r="504" spans="1:26" ht="22.35" customHeight="1" x14ac:dyDescent="0.3">
      <c r="A504" s="148" t="str">
        <f>+IF(PROVEEDORES[[#This Row],[FECHA DE PAGO]]=PROVEEDORES[[#This Row],[FECHA DE FACTURACIÓN]],"DE CONTADO","CRÉDITO")</f>
        <v>CRÉDITO</v>
      </c>
      <c r="B504" s="38" t="b">
        <f>+IF((PROVEEDORES[[#This Row],[FECHA DE PAGO]]-PROVEEDORES[[#This Row],[FECHA DE FACTURACIÓN]])&gt;PROVEEDORES[[#This Row],[PLAZO Días]],"PAGO VENCIDO")</f>
        <v>0</v>
      </c>
      <c r="C504" s="20">
        <f>+VLOOKUP(PROVEEDORES[[#This Row],[PROVEEDOR]],TERCEROS_INFO[#All],2,FALSE)</f>
        <v>30</v>
      </c>
      <c r="D504" s="25">
        <f>+SUMIFS(PROVEEDORES[Total],PROVEEDORES[PROVEEDOR],PROVEEDORES[[#This Row],[PROVEEDOR]],PROVEEDORES[FECHA DE PAGO],"")</f>
        <v>0</v>
      </c>
      <c r="E504" s="25"/>
      <c r="F504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504" s="68">
        <v>44741</v>
      </c>
      <c r="H504" s="26" t="s">
        <v>635</v>
      </c>
      <c r="I504" s="68">
        <v>44713</v>
      </c>
      <c r="J504" s="35">
        <v>3429</v>
      </c>
      <c r="K504" s="21">
        <v>3002200</v>
      </c>
      <c r="L504" s="21"/>
      <c r="M504" s="22">
        <f>(PROVEEDORES[[#This Row],[SUBTOTAL]]-PROVEEDORES[[#This Row],[descuento sobre subtotal]])*VLOOKUP(PROVEEDORES[[#This Row],[PROVEEDOR]],TERCEROS_INFO[#All],3,FALSE)</f>
        <v>0</v>
      </c>
      <c r="N504" s="23"/>
      <c r="O504" s="22">
        <f>+PROVEEDORES[[#This Row],[Descuento sobre subtotal %]]*(PROVEEDORES[[#This Row],[SUBTOTAL]]-PROVEEDORES[[#This Row],[descuento sobre subtotal]])</f>
        <v>0</v>
      </c>
      <c r="P504" s="74">
        <f>+IF(PROVEEDORES[[#This Row],[SUBTOTAL]]&lt;PROVEEDORES[[#This Row],[base retencion]],0,PROVEEDORES[[#This Row],[retención aplicada]])</f>
        <v>3.5000000000000003E-2</v>
      </c>
      <c r="Q504" s="22">
        <f>+PROVEEDORES[[#This Row],[Rete Fuente %]]*(PROVEEDORES[[#This Row],[SUBTOTAL]]-PROVEEDORES[[#This Row],[descuento sobre subtotal]])</f>
        <v>105077.00000000001</v>
      </c>
      <c r="R50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50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63">
        <f ca="1">IF(PROVEEDORES[[#This Row],[FECHA DE PAGO]]=0,TODAY()-PROVEEDORES[[#This Row],[FECHA DE FACTURACIÓN]]-PROVEEDORES[[#This Row],[PLAZO Días]],0)</f>
        <v>0</v>
      </c>
      <c r="U504" s="104" t="str">
        <f>+VLOOKUP(PROVEEDORES[[#This Row],[PROVEEDOR]],Terceros!$A:$D,4,FALSE)</f>
        <v>3,5% sin base</v>
      </c>
      <c r="V504" s="105">
        <f>+YEAR(PROVEEDORES[[#This Row],[FECHA DE FACTURACIÓN]])</f>
        <v>2022</v>
      </c>
      <c r="W504" s="105">
        <f>+MATCH(PROVEEDORES[[#This Row],[año facturado]],Retenciones!$1:$1,0)</f>
        <v>5</v>
      </c>
      <c r="X504" s="106">
        <f>+VLOOKUP(PROVEEDORES[[#This Row],[ID RETENCION]],Retenciones!$A$1:$O$25,PROVEEDORES[[#This Row],[indicador de columna]],FALSE)</f>
        <v>0</v>
      </c>
      <c r="Y504" s="107">
        <f>+VLOOKUP(PROVEEDORES[[#This Row],[ID RETENCION]],Retenciones!$A$1:$O$25,2,FALSE)</f>
        <v>3.5000000000000003E-2</v>
      </c>
      <c r="Z504" s="116" t="b">
        <f>OR(COUNTIF(PROVEEDORES[[#This Row],[PROVEEDOR]],"*"&amp;'Palabra no opera'!$A$2&amp;"*"))</f>
        <v>1</v>
      </c>
    </row>
    <row r="505" spans="1:26" ht="22.35" customHeight="1" x14ac:dyDescent="0.3">
      <c r="A505" s="135" t="str">
        <f>+IF(PROVEEDORES[[#This Row],[FECHA DE PAGO]]=PROVEEDORES[[#This Row],[FECHA DE FACTURACIÓN]],"DE CONTADO","CRÉDITO")</f>
        <v>CRÉDITO</v>
      </c>
      <c r="B505" s="38" t="b">
        <f>+IF((PROVEEDORES[[#This Row],[FECHA DE PAGO]]-PROVEEDORES[[#This Row],[FECHA DE FACTURACIÓN]])&gt;PROVEEDORES[[#This Row],[PLAZO Días]],"PAGO VENCIDO")</f>
        <v>0</v>
      </c>
      <c r="C505" s="20">
        <f>+VLOOKUP(PROVEEDORES[[#This Row],[PROVEEDOR]],TERCEROS_INFO[#All],2,FALSE)</f>
        <v>30</v>
      </c>
      <c r="D505" s="25">
        <f>+SUMIFS(PROVEEDORES[Total],PROVEEDORES[PROVEEDOR],PROVEEDORES[[#This Row],[PROVEEDOR]],PROVEEDORES[FECHA DE PAGO],"")</f>
        <v>0</v>
      </c>
      <c r="E505" s="25"/>
      <c r="F505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505" s="68">
        <v>44741</v>
      </c>
      <c r="H505" s="26" t="s">
        <v>638</v>
      </c>
      <c r="I505" s="68">
        <v>44713</v>
      </c>
      <c r="J505" s="35" t="s">
        <v>708</v>
      </c>
      <c r="K505" s="21">
        <v>3963422</v>
      </c>
      <c r="L505" s="21"/>
      <c r="M505" s="22">
        <f>(PROVEEDORES[[#This Row],[SUBTOTAL]]-PROVEEDORES[[#This Row],[descuento sobre subtotal]])*VLOOKUP(PROVEEDORES[[#This Row],[PROVEEDOR]],TERCEROS_INFO[#All],3,FALSE)</f>
        <v>753050.18</v>
      </c>
      <c r="N505" s="23"/>
      <c r="O505" s="22">
        <f>+PROVEEDORES[[#This Row],[Descuento sobre subtotal %]]*(PROVEEDORES[[#This Row],[SUBTOTAL]]-PROVEEDORES[[#This Row],[descuento sobre subtotal]])</f>
        <v>0</v>
      </c>
      <c r="P505" s="74">
        <f>+IF(PROVEEDORES[[#This Row],[SUBTOTAL]]&lt;PROVEEDORES[[#This Row],[base retencion]],0,PROVEEDORES[[#This Row],[retención aplicada]])</f>
        <v>3.5000000000000003E-2</v>
      </c>
      <c r="Q505" s="22">
        <f>+PROVEEDORES[[#This Row],[Rete Fuente %]]*(PROVEEDORES[[#This Row],[SUBTOTAL]]-PROVEEDORES[[#This Row],[descuento sobre subtotal]])</f>
        <v>138719.77000000002</v>
      </c>
      <c r="R505" s="21">
        <f>+PROVEEDORES[[#This Row],[SUBTOTAL]]+PROVEEDORES[[#This Row],[IVA 19%]]-PROVEEDORES[[#This Row],[descuento sobre subtotal]]-PROVEEDORES[[#This Row],[Descuento sobre subtotal $2]]-PROVEEDORES[[#This Row],[Rete Fuente $]]</f>
        <v>4577752.41</v>
      </c>
      <c r="S505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63">
        <f ca="1">IF(PROVEEDORES[[#This Row],[FECHA DE PAGO]]=0,TODAY()-PROVEEDORES[[#This Row],[FECHA DE FACTURACIÓN]]-PROVEEDORES[[#This Row],[PLAZO Días]],0)</f>
        <v>0</v>
      </c>
      <c r="U505" s="104" t="str">
        <f>+VLOOKUP(PROVEEDORES[[#This Row],[PROVEEDOR]],Terceros!$A:$D,4,FALSE)</f>
        <v>3,5% sin base</v>
      </c>
      <c r="V505" s="105">
        <f>+YEAR(PROVEEDORES[[#This Row],[FECHA DE FACTURACIÓN]])</f>
        <v>2022</v>
      </c>
      <c r="W505" s="105">
        <f>+MATCH(PROVEEDORES[[#This Row],[año facturado]],Retenciones!$1:$1,0)</f>
        <v>5</v>
      </c>
      <c r="X505" s="106">
        <f>+VLOOKUP(PROVEEDORES[[#This Row],[ID RETENCION]],Retenciones!$A$1:$O$25,PROVEEDORES[[#This Row],[indicador de columna]],FALSE)</f>
        <v>0</v>
      </c>
      <c r="Y505" s="107">
        <f>+VLOOKUP(PROVEEDORES[[#This Row],[ID RETENCION]],Retenciones!$A$1:$O$25,2,FALSE)</f>
        <v>3.5000000000000003E-2</v>
      </c>
      <c r="Z505" s="116" t="b">
        <f>OR(COUNTIF(PROVEEDORES[[#This Row],[PROVEEDOR]],"*"&amp;'Palabra no opera'!$A$2&amp;"*"))</f>
        <v>1</v>
      </c>
    </row>
    <row r="506" spans="1:26" ht="22.35" customHeight="1" x14ac:dyDescent="0.3">
      <c r="A506" s="135" t="str">
        <f>+IF(PROVEEDORES[[#This Row],[FECHA DE PAGO]]=PROVEEDORES[[#This Row],[FECHA DE FACTURACIÓN]],"DE CONTADO","CRÉDITO")</f>
        <v>CRÉDITO</v>
      </c>
      <c r="B506" s="38" t="b">
        <f>+IF((PROVEEDORES[[#This Row],[FECHA DE PAGO]]-PROVEEDORES[[#This Row],[FECHA DE FACTURACIÓN]])&gt;PROVEEDORES[[#This Row],[PLAZO Días]],"PAGO VENCIDO")</f>
        <v>0</v>
      </c>
      <c r="C506" s="20">
        <f>+VLOOKUP(PROVEEDORES[[#This Row],[PROVEEDOR]],TERCEROS_INFO[#All],2,FALSE)</f>
        <v>30</v>
      </c>
      <c r="D506" s="25">
        <f>+SUMIFS(PROVEEDORES[Total],PROVEEDORES[PROVEEDOR],PROVEEDORES[[#This Row],[PROVEEDOR]],PROVEEDORES[FECHA DE PAGO],"")</f>
        <v>0</v>
      </c>
      <c r="E506" s="25"/>
      <c r="F506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506" s="68">
        <v>44741</v>
      </c>
      <c r="H506" s="26" t="s">
        <v>651</v>
      </c>
      <c r="I506" s="68">
        <v>44713</v>
      </c>
      <c r="J506" s="35">
        <v>5204</v>
      </c>
      <c r="K506" s="21">
        <v>215356</v>
      </c>
      <c r="L506" s="21"/>
      <c r="M506" s="22">
        <f>(PROVEEDORES[[#This Row],[SUBTOTAL]]-PROVEEDORES[[#This Row],[descuento sobre subtotal]])*VLOOKUP(PROVEEDORES[[#This Row],[PROVEEDOR]],TERCEROS_INFO[#All],3,FALSE)</f>
        <v>40917.64</v>
      </c>
      <c r="N506" s="23"/>
      <c r="O506" s="22">
        <f>+PROVEEDORES[[#This Row],[Descuento sobre subtotal %]]*(PROVEEDORES[[#This Row],[SUBTOTAL]]-PROVEEDORES[[#This Row],[descuento sobre subtotal]])</f>
        <v>0</v>
      </c>
      <c r="P506" s="74">
        <f>+IF(PROVEEDORES[[#This Row],[SUBTOTAL]]&lt;PROVEEDORES[[#This Row],[base retencion]],0,PROVEEDORES[[#This Row],[retención aplicada]])</f>
        <v>3.5000000000000003E-2</v>
      </c>
      <c r="Q506" s="22">
        <f>+PROVEEDORES[[#This Row],[Rete Fuente %]]*(PROVEEDORES[[#This Row],[SUBTOTAL]]-PROVEEDORES[[#This Row],[descuento sobre subtotal]])</f>
        <v>7537.4600000000009</v>
      </c>
      <c r="R506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50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63">
        <f ca="1">IF(PROVEEDORES[[#This Row],[FECHA DE PAGO]]=0,TODAY()-PROVEEDORES[[#This Row],[FECHA DE FACTURACIÓN]]-PROVEEDORES[[#This Row],[PLAZO Días]],0)</f>
        <v>0</v>
      </c>
      <c r="U506" s="104" t="str">
        <f>+VLOOKUP(PROVEEDORES[[#This Row],[PROVEEDOR]],Terceros!$A:$D,4,FALSE)</f>
        <v>3,5% sin base</v>
      </c>
      <c r="V506" s="105">
        <f>+YEAR(PROVEEDORES[[#This Row],[FECHA DE FACTURACIÓN]])</f>
        <v>2022</v>
      </c>
      <c r="W506" s="105">
        <f>+MATCH(PROVEEDORES[[#This Row],[año facturado]],Retenciones!$1:$1,0)</f>
        <v>5</v>
      </c>
      <c r="X506" s="106">
        <f>+VLOOKUP(PROVEEDORES[[#This Row],[ID RETENCION]],Retenciones!$A$1:$O$25,PROVEEDORES[[#This Row],[indicador de columna]],FALSE)</f>
        <v>0</v>
      </c>
      <c r="Y506" s="107">
        <f>+VLOOKUP(PROVEEDORES[[#This Row],[ID RETENCION]],Retenciones!$A$1:$O$25,2,FALSE)</f>
        <v>3.5000000000000003E-2</v>
      </c>
      <c r="Z506" s="116" t="b">
        <f>OR(COUNTIF(PROVEEDORES[[#This Row],[PROVEEDOR]],"*"&amp;'Palabra no opera'!$A$2&amp;"*"))</f>
        <v>1</v>
      </c>
    </row>
    <row r="507" spans="1:26" ht="22.35" customHeight="1" x14ac:dyDescent="0.3">
      <c r="A507" s="135" t="str">
        <f>+IF(PROVEEDORES[[#This Row],[FECHA DE PAGO]]=PROVEEDORES[[#This Row],[FECHA DE FACTURACIÓN]],"DE CONTADO","CRÉDITO")</f>
        <v>CRÉDITO</v>
      </c>
      <c r="B507" s="38" t="str">
        <f>+IF((PROVEEDORES[[#This Row],[FECHA DE PAGO]]-PROVEEDORES[[#This Row],[FECHA DE FACTURACIÓN]])&gt;PROVEEDORES[[#This Row],[PLAZO Días]],"PAGO VENCIDO")</f>
        <v>PAGO VENCIDO</v>
      </c>
      <c r="C507" s="20">
        <f>+VLOOKUP(PROVEEDORES[[#This Row],[PROVEEDOR]],TERCEROS_INFO[#All],2,FALSE)</f>
        <v>20</v>
      </c>
      <c r="D507" s="25">
        <f>+SUMIFS(PROVEEDORES[Total],PROVEEDORES[PROVEEDOR],PROVEEDORES[[#This Row],[PROVEEDOR]],PROVEEDORES[FECHA DE PAGO],"")</f>
        <v>0</v>
      </c>
      <c r="E507" s="25"/>
      <c r="F507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507" s="68">
        <v>44741</v>
      </c>
      <c r="H507" s="26" t="s">
        <v>652</v>
      </c>
      <c r="I507" s="68">
        <v>44713</v>
      </c>
      <c r="J507" s="35">
        <v>43347</v>
      </c>
      <c r="K507" s="21">
        <v>4730000</v>
      </c>
      <c r="L507" s="21"/>
      <c r="M507" s="22">
        <f>(PROVEEDORES[[#This Row],[SUBTOTAL]]-PROVEEDORES[[#This Row],[descuento sobre subtotal]])*VLOOKUP(PROVEEDORES[[#This Row],[PROVEEDOR]],TERCEROS_INFO[#All],3,FALSE)</f>
        <v>898700</v>
      </c>
      <c r="N507" s="23"/>
      <c r="O507" s="22">
        <f>+PROVEEDORES[[#This Row],[Descuento sobre subtotal %]]*(PROVEEDORES[[#This Row],[SUBTOTAL]]-PROVEEDORES[[#This Row],[descuento sobre subtotal]])</f>
        <v>0</v>
      </c>
      <c r="P507" s="74">
        <f>+IF(PROVEEDORES[[#This Row],[SUBTOTAL]]&lt;PROVEEDORES[[#This Row],[base retencion]],0,PROVEEDORES[[#This Row],[retención aplicada]])</f>
        <v>3.5000000000000003E-2</v>
      </c>
      <c r="Q507" s="22">
        <f>+PROVEEDORES[[#This Row],[Rete Fuente %]]*(PROVEEDORES[[#This Row],[SUBTOTAL]]-PROVEEDORES[[#This Row],[descuento sobre subtotal]])</f>
        <v>165550.00000000003</v>
      </c>
      <c r="R507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507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63">
        <f ca="1">IF(PROVEEDORES[[#This Row],[FECHA DE PAGO]]=0,TODAY()-PROVEEDORES[[#This Row],[FECHA DE FACTURACIÓN]]-PROVEEDORES[[#This Row],[PLAZO Días]],0)</f>
        <v>0</v>
      </c>
      <c r="U507" s="104" t="str">
        <f>+VLOOKUP(PROVEEDORES[[#This Row],[PROVEEDOR]],Terceros!$A:$D,4,FALSE)</f>
        <v>3,5% sin base</v>
      </c>
      <c r="V507" s="105">
        <f>+YEAR(PROVEEDORES[[#This Row],[FECHA DE FACTURACIÓN]])</f>
        <v>2022</v>
      </c>
      <c r="W507" s="105">
        <f>+MATCH(PROVEEDORES[[#This Row],[año facturado]],Retenciones!$1:$1,0)</f>
        <v>5</v>
      </c>
      <c r="X507" s="106">
        <f>+VLOOKUP(PROVEEDORES[[#This Row],[ID RETENCION]],Retenciones!$A$1:$O$25,PROVEEDORES[[#This Row],[indicador de columna]],FALSE)</f>
        <v>0</v>
      </c>
      <c r="Y507" s="107">
        <f>+VLOOKUP(PROVEEDORES[[#This Row],[ID RETENCION]],Retenciones!$A$1:$O$25,2,FALSE)</f>
        <v>3.5000000000000003E-2</v>
      </c>
      <c r="Z507" s="116" t="b">
        <f>OR(COUNTIF(PROVEEDORES[[#This Row],[PROVEEDOR]],"*"&amp;'Palabra no opera'!$A$2&amp;"*"))</f>
        <v>1</v>
      </c>
    </row>
    <row r="508" spans="1:26" ht="22.35" customHeight="1" x14ac:dyDescent="0.3">
      <c r="A508" s="148" t="str">
        <f>+IF(PROVEEDORES[[#This Row],[FECHA DE PAGO]]=PROVEEDORES[[#This Row],[FECHA DE FACTURACIÓN]],"DE CONTADO","CRÉDITO")</f>
        <v>CRÉDITO</v>
      </c>
      <c r="B508" s="38" t="b">
        <f>+IF((PROVEEDORES[[#This Row],[FECHA DE PAGO]]-PROVEEDORES[[#This Row],[FECHA DE FACTURACIÓN]])&gt;PROVEEDORES[[#This Row],[PLAZO Días]],"PAGO VENCIDO")</f>
        <v>0</v>
      </c>
      <c r="C508" s="20">
        <f>+VLOOKUP(PROVEEDORES[[#This Row],[PROVEEDOR]],TERCEROS_INFO[#All],2,FALSE)</f>
        <v>30</v>
      </c>
      <c r="D508" s="25">
        <f>+SUMIFS(PROVEEDORES[Total],PROVEEDORES[PROVEEDOR],PROVEEDORES[[#This Row],[PROVEEDOR]],PROVEEDORES[FECHA DE PAGO],"")</f>
        <v>0</v>
      </c>
      <c r="E508" s="25"/>
      <c r="F508" s="56" t="str">
        <f>+VLOOKUP(PROVEEDORES[[#This Row],[PROVEEDOR]],
                       Terceros!$A:$F,
                       5,
                       FALSE)</f>
        <v/>
      </c>
      <c r="G508" s="68">
        <v>44742</v>
      </c>
      <c r="H508" s="26" t="s">
        <v>356</v>
      </c>
      <c r="I508" s="68">
        <v>44737</v>
      </c>
      <c r="J508" s="35" t="s">
        <v>802</v>
      </c>
      <c r="K508" s="21">
        <v>2218000</v>
      </c>
      <c r="L508" s="21"/>
      <c r="M508" s="22">
        <f>(PROVEEDORES[[#This Row],[SUBTOTAL]]-PROVEEDORES[[#This Row],[descuento sobre subtotal]])*VLOOKUP(PROVEEDORES[[#This Row],[PROVEEDOR]],TERCEROS_INFO[#All],3,FALSE)</f>
        <v>0</v>
      </c>
      <c r="N508" s="23"/>
      <c r="O508" s="22">
        <f>+PROVEEDORES[[#This Row],[Descuento sobre subtotal %]]*(PROVEEDORES[[#This Row],[SUBTOTAL]]-PROVEEDORES[[#This Row],[descuento sobre subtotal]])</f>
        <v>0</v>
      </c>
      <c r="P508" s="74">
        <f>+IF(PROVEEDORES[[#This Row],[SUBTOTAL]]&lt;PROVEEDORES[[#This Row],[base retencion]],0,PROVEEDORES[[#This Row],[retención aplicada]])</f>
        <v>0</v>
      </c>
      <c r="Q508" s="22">
        <f>+PROVEEDORES[[#This Row],[Rete Fuente %]]*(PROVEEDORES[[#This Row],[SUBTOTAL]]-PROVEEDORES[[#This Row],[descuento sobre subtotal]])</f>
        <v>0</v>
      </c>
      <c r="R508" s="21">
        <f>+PROVEEDORES[[#This Row],[SUBTOTAL]]+PROVEEDORES[[#This Row],[IVA 19%]]-PROVEEDORES[[#This Row],[descuento sobre subtotal]]-PROVEEDORES[[#This Row],[Descuento sobre subtotal $2]]-PROVEEDORES[[#This Row],[Rete Fuente $]]</f>
        <v>2218000</v>
      </c>
      <c r="S50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63">
        <f ca="1">IF(PROVEEDORES[[#This Row],[FECHA DE PAGO]]=0,TODAY()-PROVEEDORES[[#This Row],[FECHA DE FACTURACIÓN]]-PROVEEDORES[[#This Row],[PLAZO Días]],0)</f>
        <v>0</v>
      </c>
      <c r="U508" s="104">
        <f>+VLOOKUP(PROVEEDORES[[#This Row],[PROVEEDOR]],Terceros!$A:$D,4,FALSE)</f>
        <v>0</v>
      </c>
      <c r="V508" s="105">
        <f>+YEAR(PROVEEDORES[[#This Row],[FECHA DE FACTURACIÓN]])</f>
        <v>2022</v>
      </c>
      <c r="W508" s="105">
        <f>+MATCH(PROVEEDORES[[#This Row],[año facturado]],Retenciones!$1:$1,0)</f>
        <v>5</v>
      </c>
      <c r="X508" s="106">
        <f>+VLOOKUP(PROVEEDORES[[#This Row],[ID RETENCION]],Retenciones!$A$1:$O$25,PROVEEDORES[[#This Row],[indicador de columna]],FALSE)</f>
        <v>0</v>
      </c>
      <c r="Y508" s="107">
        <f>+VLOOKUP(PROVEEDORES[[#This Row],[ID RETENCION]],Retenciones!$A$1:$O$25,2,FALSE)</f>
        <v>0</v>
      </c>
      <c r="Z508" s="116" t="b">
        <f>OR(COUNTIF(PROVEEDORES[[#This Row],[PROVEEDOR]],"*"&amp;'Palabra no opera'!$A$2&amp;"*"))</f>
        <v>0</v>
      </c>
    </row>
    <row r="509" spans="1:26" ht="22.35" customHeight="1" x14ac:dyDescent="0.3">
      <c r="A509" s="67" t="str">
        <f>+IF(PROVEEDORES[[#This Row],[FECHA DE PAGO]]=PROVEEDORES[[#This Row],[FECHA DE FACTURACIÓN]],"DE CONTADO","CRÉDITO")</f>
        <v>DE CONTADO</v>
      </c>
      <c r="B509" s="38" t="b">
        <f>+IF((PROVEEDORES[[#This Row],[FECHA DE PAGO]]-PROVEEDORES[[#This Row],[FECHA DE FACTURACIÓN]])&gt;PROVEEDORES[[#This Row],[PLAZO Días]],"PAGO VENCIDO")</f>
        <v>0</v>
      </c>
      <c r="C509" s="20">
        <f>+VLOOKUP(PROVEEDORES[[#This Row],[PROVEEDOR]],TERCEROS_INFO[#All],2,FALSE)</f>
        <v>30</v>
      </c>
      <c r="D509" s="25">
        <f>+SUMIFS(PROVEEDORES[Total],PROVEEDORES[PROVEEDOR],PROVEEDORES[[#This Row],[PROVEEDOR]],PROVEEDORES[FECHA DE PAGO],"")</f>
        <v>0</v>
      </c>
      <c r="E509" s="25"/>
      <c r="F509" s="56" t="str">
        <f>+VLOOKUP(PROVEEDORES[[#This Row],[PROVEEDOR]],
                       Terceros!$A:$F,
                       5,
                       FALSE)</f>
        <v/>
      </c>
      <c r="G509" s="68">
        <v>44742</v>
      </c>
      <c r="H509" s="26" t="s">
        <v>362</v>
      </c>
      <c r="I509" s="68">
        <v>44742</v>
      </c>
      <c r="J509" s="35" t="s">
        <v>655</v>
      </c>
      <c r="K509" s="21">
        <v>40460</v>
      </c>
      <c r="L509" s="21"/>
      <c r="M509" s="22">
        <f>(PROVEEDORES[[#This Row],[SUBTOTAL]]-PROVEEDORES[[#This Row],[descuento sobre subtotal]])*VLOOKUP(PROVEEDORES[[#This Row],[PROVEEDOR]],TERCEROS_INFO[#All],3,FALSE)</f>
        <v>0</v>
      </c>
      <c r="N509" s="23"/>
      <c r="O509" s="22">
        <f>+PROVEEDORES[[#This Row],[Descuento sobre subtotal %]]*(PROVEEDORES[[#This Row],[SUBTOTAL]]-PROVEEDORES[[#This Row],[descuento sobre subtotal]])</f>
        <v>0</v>
      </c>
      <c r="P509" s="74">
        <f>+IF(PROVEEDORES[[#This Row],[SUBTOTAL]]&lt;PROVEEDORES[[#This Row],[base retencion]],0,PROVEEDORES[[#This Row],[retención aplicada]])</f>
        <v>0</v>
      </c>
      <c r="Q509" s="22">
        <f>+PROVEEDORES[[#This Row],[Rete Fuente %]]*(PROVEEDORES[[#This Row],[SUBTOTAL]]-PROVEEDORES[[#This Row],[descuento sobre subtotal]])</f>
        <v>0</v>
      </c>
      <c r="R509" s="21">
        <f>+PROVEEDORES[[#This Row],[SUBTOTAL]]+PROVEEDORES[[#This Row],[IVA 19%]]-PROVEEDORES[[#This Row],[descuento sobre subtotal]]-PROVEEDORES[[#This Row],[Descuento sobre subtotal $2]]-PROVEEDORES[[#This Row],[Rete Fuente $]]</f>
        <v>40460</v>
      </c>
      <c r="S5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63">
        <f ca="1">IF(PROVEEDORES[[#This Row],[FECHA DE PAGO]]=0,TODAY()-PROVEEDORES[[#This Row],[FECHA DE FACTURACIÓN]]-PROVEEDORES[[#This Row],[PLAZO Días]],0)</f>
        <v>0</v>
      </c>
      <c r="U509" s="104">
        <f>+VLOOKUP(PROVEEDORES[[#This Row],[PROVEEDOR]],Terceros!$A:$D,4,FALSE)</f>
        <v>0</v>
      </c>
      <c r="V509" s="105">
        <f>+YEAR(PROVEEDORES[[#This Row],[FECHA DE FACTURACIÓN]])</f>
        <v>2022</v>
      </c>
      <c r="W509" s="105">
        <f>+MATCH(PROVEEDORES[[#This Row],[año facturado]],Retenciones!$1:$1,0)</f>
        <v>5</v>
      </c>
      <c r="X509" s="106">
        <f>+VLOOKUP(PROVEEDORES[[#This Row],[ID RETENCION]],Retenciones!$A$1:$O$25,PROVEEDORES[[#This Row],[indicador de columna]],FALSE)</f>
        <v>0</v>
      </c>
      <c r="Y509" s="107">
        <f>+VLOOKUP(PROVEEDORES[[#This Row],[ID RETENCION]],Retenciones!$A$1:$O$25,2,FALSE)</f>
        <v>0</v>
      </c>
      <c r="Z509" s="116" t="b">
        <f>OR(COUNTIF(PROVEEDORES[[#This Row],[PROVEEDOR]],"*"&amp;'Palabra no opera'!$A$2&amp;"*"))</f>
        <v>0</v>
      </c>
    </row>
    <row r="510" spans="1:26" ht="22.35" customHeight="1" x14ac:dyDescent="0.3">
      <c r="A510" s="67" t="str">
        <f>+IF(PROVEEDORES[[#This Row],[FECHA DE PAGO]]=PROVEEDORES[[#This Row],[FECHA DE FACTURACIÓN]],"DE CONTADO","CRÉDITO")</f>
        <v>DE CONTADO</v>
      </c>
      <c r="B510" s="38" t="b">
        <f>+IF((PROVEEDORES[[#This Row],[FECHA DE PAGO]]-PROVEEDORES[[#This Row],[FECHA DE FACTURACIÓN]])&gt;PROVEEDORES[[#This Row],[PLAZO Días]],"PAGO VENCIDO")</f>
        <v>0</v>
      </c>
      <c r="C510" s="20">
        <f>+VLOOKUP(PROVEEDORES[[#This Row],[PROVEEDOR]],TERCEROS_INFO[#All],2,FALSE)</f>
        <v>30</v>
      </c>
      <c r="D510" s="25">
        <f>+SUMIFS(PROVEEDORES[Total],PROVEEDORES[PROVEEDOR],PROVEEDORES[[#This Row],[PROVEEDOR]],PROVEEDORES[FECHA DE PAGO],"")</f>
        <v>0</v>
      </c>
      <c r="E510" s="25"/>
      <c r="F510" s="56" t="str">
        <f>+VLOOKUP(PROVEEDORES[[#This Row],[PROVEEDOR]],
                       Terceros!$A:$F,
                       5,
                       FALSE)</f>
        <v/>
      </c>
      <c r="G510" s="68">
        <v>44742</v>
      </c>
      <c r="H510" s="26" t="s">
        <v>362</v>
      </c>
      <c r="I510" s="68">
        <v>44742</v>
      </c>
      <c r="J510" s="35" t="s">
        <v>317</v>
      </c>
      <c r="K510" s="21">
        <v>65000</v>
      </c>
      <c r="L510" s="21"/>
      <c r="M510" s="22">
        <f>(PROVEEDORES[[#This Row],[SUBTOTAL]]-PROVEEDORES[[#This Row],[descuento sobre subtotal]])*VLOOKUP(PROVEEDORES[[#This Row],[PROVEEDOR]],TERCEROS_INFO[#All],3,FALSE)</f>
        <v>0</v>
      </c>
      <c r="N510" s="23"/>
      <c r="O510" s="22">
        <f>+PROVEEDORES[[#This Row],[Descuento sobre subtotal %]]*(PROVEEDORES[[#This Row],[SUBTOTAL]]-PROVEEDORES[[#This Row],[descuento sobre subtotal]])</f>
        <v>0</v>
      </c>
      <c r="P510" s="74">
        <f>+IF(PROVEEDORES[[#This Row],[SUBTOTAL]]&lt;PROVEEDORES[[#This Row],[base retencion]],0,PROVEEDORES[[#This Row],[retención aplicada]])</f>
        <v>0</v>
      </c>
      <c r="Q510" s="22">
        <f>+PROVEEDORES[[#This Row],[Rete Fuente %]]*(PROVEEDORES[[#This Row],[SUBTOTAL]]-PROVEEDORES[[#This Row],[descuento sobre subtotal]])</f>
        <v>0</v>
      </c>
      <c r="R510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5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63">
        <f ca="1">IF(PROVEEDORES[[#This Row],[FECHA DE PAGO]]=0,TODAY()-PROVEEDORES[[#This Row],[FECHA DE FACTURACIÓN]]-PROVEEDORES[[#This Row],[PLAZO Días]],0)</f>
        <v>0</v>
      </c>
      <c r="U510" s="104">
        <f>+VLOOKUP(PROVEEDORES[[#This Row],[PROVEEDOR]],Terceros!$A:$D,4,FALSE)</f>
        <v>0</v>
      </c>
      <c r="V510" s="105">
        <f>+YEAR(PROVEEDORES[[#This Row],[FECHA DE FACTURACIÓN]])</f>
        <v>2022</v>
      </c>
      <c r="W510" s="105">
        <f>+MATCH(PROVEEDORES[[#This Row],[año facturado]],Retenciones!$1:$1,0)</f>
        <v>5</v>
      </c>
      <c r="X510" s="106">
        <f>+VLOOKUP(PROVEEDORES[[#This Row],[ID RETENCION]],Retenciones!$A$1:$O$25,PROVEEDORES[[#This Row],[indicador de columna]],FALSE)</f>
        <v>0</v>
      </c>
      <c r="Y510" s="107">
        <f>+VLOOKUP(PROVEEDORES[[#This Row],[ID RETENCION]],Retenciones!$A$1:$O$25,2,FALSE)</f>
        <v>0</v>
      </c>
      <c r="Z510" s="116" t="b">
        <f>OR(COUNTIF(PROVEEDORES[[#This Row],[PROVEEDOR]],"*"&amp;'Palabra no opera'!$A$2&amp;"*"))</f>
        <v>0</v>
      </c>
    </row>
    <row r="511" spans="1:26" ht="22.35" customHeight="1" x14ac:dyDescent="0.3">
      <c r="A511" s="67" t="str">
        <f>+IF(PROVEEDORES[[#This Row],[FECHA DE PAGO]]=PROVEEDORES[[#This Row],[FECHA DE FACTURACIÓN]],"DE CONTADO","CRÉDITO")</f>
        <v>DE CONTADO</v>
      </c>
      <c r="B511" s="38" t="b">
        <f>+IF((PROVEEDORES[[#This Row],[FECHA DE PAGO]]-PROVEEDORES[[#This Row],[FECHA DE FACTURACIÓN]])&gt;PROVEEDORES[[#This Row],[PLAZO Días]],"PAGO VENCIDO")</f>
        <v>0</v>
      </c>
      <c r="C511" s="20">
        <f>+VLOOKUP(PROVEEDORES[[#This Row],[PROVEEDOR]],TERCEROS_INFO[#All],2,FALSE)</f>
        <v>30</v>
      </c>
      <c r="D511" s="25">
        <f>+SUMIFS(PROVEEDORES[Total],PROVEEDORES[PROVEEDOR],PROVEEDORES[[#This Row],[PROVEEDOR]],PROVEEDORES[FECHA DE PAGO],"")</f>
        <v>0</v>
      </c>
      <c r="E511" s="25"/>
      <c r="F511" s="56" t="str">
        <f>+VLOOKUP(PROVEEDORES[[#This Row],[PROVEEDOR]],
                       Terceros!$A:$F,
                       5,
                       FALSE)</f>
        <v/>
      </c>
      <c r="G511" s="68">
        <v>44742</v>
      </c>
      <c r="H511" s="26" t="s">
        <v>362</v>
      </c>
      <c r="I511" s="68">
        <v>44742</v>
      </c>
      <c r="J511" s="35" t="s">
        <v>319</v>
      </c>
      <c r="K511" s="21">
        <v>159000</v>
      </c>
      <c r="L511" s="21"/>
      <c r="M511" s="22">
        <f>(PROVEEDORES[[#This Row],[SUBTOTAL]]-PROVEEDORES[[#This Row],[descuento sobre subtotal]])*VLOOKUP(PROVEEDORES[[#This Row],[PROVEEDOR]],TERCEROS_INFO[#All],3,FALSE)</f>
        <v>0</v>
      </c>
      <c r="N511" s="23"/>
      <c r="O511" s="22">
        <f>+PROVEEDORES[[#This Row],[Descuento sobre subtotal %]]*(PROVEEDORES[[#This Row],[SUBTOTAL]]-PROVEEDORES[[#This Row],[descuento sobre subtotal]])</f>
        <v>0</v>
      </c>
      <c r="P511" s="74">
        <f>+IF(PROVEEDORES[[#This Row],[SUBTOTAL]]&lt;PROVEEDORES[[#This Row],[base retencion]],0,PROVEEDORES[[#This Row],[retención aplicada]])</f>
        <v>0</v>
      </c>
      <c r="Q511" s="22">
        <f>+PROVEEDORES[[#This Row],[Rete Fuente %]]*(PROVEEDORES[[#This Row],[SUBTOTAL]]-PROVEEDORES[[#This Row],[descuento sobre subtotal]])</f>
        <v>0</v>
      </c>
      <c r="R511" s="21">
        <f>+PROVEEDORES[[#This Row],[SUBTOTAL]]+PROVEEDORES[[#This Row],[IVA 19%]]-PROVEEDORES[[#This Row],[descuento sobre subtotal]]-PROVEEDORES[[#This Row],[Descuento sobre subtotal $2]]-PROVEEDORES[[#This Row],[Rete Fuente $]]</f>
        <v>159000</v>
      </c>
      <c r="S5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63">
        <f ca="1">IF(PROVEEDORES[[#This Row],[FECHA DE PAGO]]=0,TODAY()-PROVEEDORES[[#This Row],[FECHA DE FACTURACIÓN]]-PROVEEDORES[[#This Row],[PLAZO Días]],0)</f>
        <v>0</v>
      </c>
      <c r="U511" s="104">
        <f>+VLOOKUP(PROVEEDORES[[#This Row],[PROVEEDOR]],Terceros!$A:$D,4,FALSE)</f>
        <v>0</v>
      </c>
      <c r="V511" s="105">
        <f>+YEAR(PROVEEDORES[[#This Row],[FECHA DE FACTURACIÓN]])</f>
        <v>2022</v>
      </c>
      <c r="W511" s="105">
        <f>+MATCH(PROVEEDORES[[#This Row],[año facturado]],Retenciones!$1:$1,0)</f>
        <v>5</v>
      </c>
      <c r="X511" s="106">
        <f>+VLOOKUP(PROVEEDORES[[#This Row],[ID RETENCION]],Retenciones!$A$1:$O$25,PROVEEDORES[[#This Row],[indicador de columna]],FALSE)</f>
        <v>0</v>
      </c>
      <c r="Y511" s="107">
        <f>+VLOOKUP(PROVEEDORES[[#This Row],[ID RETENCION]],Retenciones!$A$1:$O$25,2,FALSE)</f>
        <v>0</v>
      </c>
      <c r="Z511" s="116" t="b">
        <f>OR(COUNTIF(PROVEEDORES[[#This Row],[PROVEEDOR]],"*"&amp;'Palabra no opera'!$A$2&amp;"*"))</f>
        <v>0</v>
      </c>
    </row>
    <row r="512" spans="1:26" ht="22.35" customHeight="1" x14ac:dyDescent="0.3">
      <c r="A512" s="67" t="str">
        <f>+IF(PROVEEDORES[[#This Row],[FECHA DE PAGO]]=PROVEEDORES[[#This Row],[FECHA DE FACTURACIÓN]],"DE CONTADO","CRÉDITO")</f>
        <v>DE CONTADO</v>
      </c>
      <c r="B512" s="38" t="b">
        <f>+IF((PROVEEDORES[[#This Row],[FECHA DE PAGO]]-PROVEEDORES[[#This Row],[FECHA DE FACTURACIÓN]])&gt;PROVEEDORES[[#This Row],[PLAZO Días]],"PAGO VENCIDO")</f>
        <v>0</v>
      </c>
      <c r="C512" s="20">
        <f>+VLOOKUP(PROVEEDORES[[#This Row],[PROVEEDOR]],TERCEROS_INFO[#All],2,FALSE)</f>
        <v>30</v>
      </c>
      <c r="D512" s="25">
        <f>+SUMIFS(PROVEEDORES[Total],PROVEEDORES[PROVEEDOR],PROVEEDORES[[#This Row],[PROVEEDOR]],PROVEEDORES[FECHA DE PAGO],"")</f>
        <v>0</v>
      </c>
      <c r="E512" s="25"/>
      <c r="F512" s="56" t="str">
        <f>+VLOOKUP(PROVEEDORES[[#This Row],[PROVEEDOR]],
                       Terceros!$A:$F,
                       5,
                       FALSE)</f>
        <v/>
      </c>
      <c r="G512" s="68">
        <v>44742</v>
      </c>
      <c r="H512" s="26" t="s">
        <v>362</v>
      </c>
      <c r="I512" s="68">
        <v>44742</v>
      </c>
      <c r="J512" s="35" t="s">
        <v>318</v>
      </c>
      <c r="K512" s="21">
        <v>670000</v>
      </c>
      <c r="L512" s="21"/>
      <c r="M512" s="22">
        <f>(PROVEEDORES[[#This Row],[SUBTOTAL]]-PROVEEDORES[[#This Row],[descuento sobre subtotal]])*VLOOKUP(PROVEEDORES[[#This Row],[PROVEEDOR]],TERCEROS_INFO[#All],3,FALSE)</f>
        <v>0</v>
      </c>
      <c r="N512" s="23"/>
      <c r="O512" s="22">
        <f>+PROVEEDORES[[#This Row],[Descuento sobre subtotal %]]*(PROVEEDORES[[#This Row],[SUBTOTAL]]-PROVEEDORES[[#This Row],[descuento sobre subtotal]])</f>
        <v>0</v>
      </c>
      <c r="P512" s="74">
        <f>+IF(PROVEEDORES[[#This Row],[SUBTOTAL]]&lt;PROVEEDORES[[#This Row],[base retencion]],0,PROVEEDORES[[#This Row],[retención aplicada]])</f>
        <v>0</v>
      </c>
      <c r="Q512" s="22">
        <f>+PROVEEDORES[[#This Row],[Rete Fuente %]]*(PROVEEDORES[[#This Row],[SUBTOTAL]]-PROVEEDORES[[#This Row],[descuento sobre subtotal]])</f>
        <v>0</v>
      </c>
      <c r="R512" s="21">
        <f>+PROVEEDORES[[#This Row],[SUBTOTAL]]+PROVEEDORES[[#This Row],[IVA 19%]]-PROVEEDORES[[#This Row],[descuento sobre subtotal]]-PROVEEDORES[[#This Row],[Descuento sobre subtotal $2]]-PROVEEDORES[[#This Row],[Rete Fuente $]]</f>
        <v>670000</v>
      </c>
      <c r="S5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63">
        <f ca="1">IF(PROVEEDORES[[#This Row],[FECHA DE PAGO]]=0,TODAY()-PROVEEDORES[[#This Row],[FECHA DE FACTURACIÓN]]-PROVEEDORES[[#This Row],[PLAZO Días]],0)</f>
        <v>0</v>
      </c>
      <c r="U512" s="104">
        <f>+VLOOKUP(PROVEEDORES[[#This Row],[PROVEEDOR]],Terceros!$A:$D,4,FALSE)</f>
        <v>0</v>
      </c>
      <c r="V512" s="105">
        <f>+YEAR(PROVEEDORES[[#This Row],[FECHA DE FACTURACIÓN]])</f>
        <v>2022</v>
      </c>
      <c r="W512" s="105">
        <f>+MATCH(PROVEEDORES[[#This Row],[año facturado]],Retenciones!$1:$1,0)</f>
        <v>5</v>
      </c>
      <c r="X512" s="106">
        <f>+VLOOKUP(PROVEEDORES[[#This Row],[ID RETENCION]],Retenciones!$A$1:$O$25,PROVEEDORES[[#This Row],[indicador de columna]],FALSE)</f>
        <v>0</v>
      </c>
      <c r="Y512" s="107">
        <f>+VLOOKUP(PROVEEDORES[[#This Row],[ID RETENCION]],Retenciones!$A$1:$O$25,2,FALSE)</f>
        <v>0</v>
      </c>
      <c r="Z512" s="116" t="b">
        <f>OR(COUNTIF(PROVEEDORES[[#This Row],[PROVEEDOR]],"*"&amp;'Palabra no opera'!$A$2&amp;"*"))</f>
        <v>0</v>
      </c>
    </row>
    <row r="513" spans="1:26" ht="22.35" customHeight="1" x14ac:dyDescent="0.3">
      <c r="A513" s="67" t="str">
        <f>+IF(PROVEEDORES[[#This Row],[FECHA DE PAGO]]=PROVEEDORES[[#This Row],[FECHA DE FACTURACIÓN]],"DE CONTADO","CRÉDITO")</f>
        <v>DE CONTADO</v>
      </c>
      <c r="B513" s="38" t="b">
        <f>+IF((PROVEEDORES[[#This Row],[FECHA DE PAGO]]-PROVEEDORES[[#This Row],[FECHA DE FACTURACIÓN]])&gt;PROVEEDORES[[#This Row],[PLAZO Días]],"PAGO VENCIDO")</f>
        <v>0</v>
      </c>
      <c r="C513" s="20">
        <f>+VLOOKUP(PROVEEDORES[[#This Row],[PROVEEDOR]],TERCEROS_INFO[#All],2,FALSE)</f>
        <v>30</v>
      </c>
      <c r="D513" s="25">
        <f>+SUMIFS(PROVEEDORES[Total],PROVEEDORES[PROVEEDOR],PROVEEDORES[[#This Row],[PROVEEDOR]],PROVEEDORES[FECHA DE PAGO],"")</f>
        <v>0</v>
      </c>
      <c r="E513" s="25"/>
      <c r="F513" s="56" t="str">
        <f>+VLOOKUP(PROVEEDORES[[#This Row],[PROVEEDOR]],
                       Terceros!$A:$F,
                       5,
                       FALSE)</f>
        <v/>
      </c>
      <c r="G513" s="68">
        <v>44742</v>
      </c>
      <c r="H513" s="26" t="s">
        <v>362</v>
      </c>
      <c r="I513" s="68">
        <v>44742</v>
      </c>
      <c r="J513" s="35" t="s">
        <v>139</v>
      </c>
      <c r="K513" s="21">
        <v>1283400</v>
      </c>
      <c r="L513" s="21"/>
      <c r="M513" s="22">
        <f>(PROVEEDORES[[#This Row],[SUBTOTAL]]-PROVEEDORES[[#This Row],[descuento sobre subtotal]])*VLOOKUP(PROVEEDORES[[#This Row],[PROVEEDOR]],TERCEROS_INFO[#All],3,FALSE)</f>
        <v>0</v>
      </c>
      <c r="N513" s="23"/>
      <c r="O513" s="22">
        <f>+PROVEEDORES[[#This Row],[Descuento sobre subtotal %]]*(PROVEEDORES[[#This Row],[SUBTOTAL]]-PROVEEDORES[[#This Row],[descuento sobre subtotal]])</f>
        <v>0</v>
      </c>
      <c r="P513" s="74">
        <f>+IF(PROVEEDORES[[#This Row],[SUBTOTAL]]&lt;PROVEEDORES[[#This Row],[base retencion]],0,PROVEEDORES[[#This Row],[retención aplicada]])</f>
        <v>0</v>
      </c>
      <c r="Q513" s="22">
        <f>+PROVEEDORES[[#This Row],[Rete Fuente %]]*(PROVEEDORES[[#This Row],[SUBTOTAL]]-PROVEEDORES[[#This Row],[descuento sobre subtotal]])</f>
        <v>0</v>
      </c>
      <c r="R513" s="21">
        <f>+PROVEEDORES[[#This Row],[SUBTOTAL]]+PROVEEDORES[[#This Row],[IVA 19%]]-PROVEEDORES[[#This Row],[descuento sobre subtotal]]-PROVEEDORES[[#This Row],[Descuento sobre subtotal $2]]-PROVEEDORES[[#This Row],[Rete Fuente $]]</f>
        <v>1283400</v>
      </c>
      <c r="S5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63">
        <f ca="1">IF(PROVEEDORES[[#This Row],[FECHA DE PAGO]]=0,TODAY()-PROVEEDORES[[#This Row],[FECHA DE FACTURACIÓN]]-PROVEEDORES[[#This Row],[PLAZO Días]],0)</f>
        <v>0</v>
      </c>
      <c r="U513" s="104">
        <f>+VLOOKUP(PROVEEDORES[[#This Row],[PROVEEDOR]],Terceros!$A:$D,4,FALSE)</f>
        <v>0</v>
      </c>
      <c r="V513" s="105">
        <f>+YEAR(PROVEEDORES[[#This Row],[FECHA DE FACTURACIÓN]])</f>
        <v>2022</v>
      </c>
      <c r="W513" s="105">
        <f>+MATCH(PROVEEDORES[[#This Row],[año facturado]],Retenciones!$1:$1,0)</f>
        <v>5</v>
      </c>
      <c r="X513" s="106">
        <f>+VLOOKUP(PROVEEDORES[[#This Row],[ID RETENCION]],Retenciones!$A$1:$O$25,PROVEEDORES[[#This Row],[indicador de columna]],FALSE)</f>
        <v>0</v>
      </c>
      <c r="Y513" s="107">
        <f>+VLOOKUP(PROVEEDORES[[#This Row],[ID RETENCION]],Retenciones!$A$1:$O$25,2,FALSE)</f>
        <v>0</v>
      </c>
      <c r="Z513" s="116" t="b">
        <f>OR(COUNTIF(PROVEEDORES[[#This Row],[PROVEEDOR]],"*"&amp;'Palabra no opera'!$A$2&amp;"*"))</f>
        <v>0</v>
      </c>
    </row>
    <row r="514" spans="1:26" ht="22.35" customHeight="1" x14ac:dyDescent="0.3">
      <c r="A514" s="67" t="str">
        <f>+IF(PROVEEDORES[[#This Row],[FECHA DE PAGO]]=PROVEEDORES[[#This Row],[FECHA DE FACTURACIÓN]],"DE CONTADO","CRÉDITO")</f>
        <v>DE CONTADO</v>
      </c>
      <c r="B514" s="38" t="b">
        <f>+IF((PROVEEDORES[[#This Row],[FECHA DE PAGO]]-PROVEEDORES[[#This Row],[FECHA DE FACTURACIÓN]])&gt;PROVEEDORES[[#This Row],[PLAZO Días]],"PAGO VENCIDO")</f>
        <v>0</v>
      </c>
      <c r="C514" s="20">
        <f>+VLOOKUP(PROVEEDORES[[#This Row],[PROVEEDOR]],TERCEROS_INFO[#All],2,FALSE)</f>
        <v>30</v>
      </c>
      <c r="D514" s="25">
        <f>+SUMIFS(PROVEEDORES[Total],PROVEEDORES[PROVEEDOR],PROVEEDORES[[#This Row],[PROVEEDOR]],PROVEEDORES[FECHA DE PAGO],"")</f>
        <v>0</v>
      </c>
      <c r="E514" s="25"/>
      <c r="F514" s="56" t="str">
        <f>+VLOOKUP(PROVEEDORES[[#This Row],[PROVEEDOR]],
                       Terceros!$A:$F,
                       5,
                       FALSE)</f>
        <v/>
      </c>
      <c r="G514" s="68">
        <v>44742</v>
      </c>
      <c r="H514" s="26" t="s">
        <v>362</v>
      </c>
      <c r="I514" s="68">
        <v>44742</v>
      </c>
      <c r="J514" s="35" t="s">
        <v>316</v>
      </c>
      <c r="K514" s="21">
        <v>1859600</v>
      </c>
      <c r="L514" s="21"/>
      <c r="M514" s="22">
        <f>(PROVEEDORES[[#This Row],[SUBTOTAL]]-PROVEEDORES[[#This Row],[descuento sobre subtotal]])*VLOOKUP(PROVEEDORES[[#This Row],[PROVEEDOR]],TERCEROS_INFO[#All],3,FALSE)</f>
        <v>0</v>
      </c>
      <c r="N514" s="23"/>
      <c r="O514" s="22">
        <f>+PROVEEDORES[[#This Row],[Descuento sobre subtotal %]]*(PROVEEDORES[[#This Row],[SUBTOTAL]]-PROVEEDORES[[#This Row],[descuento sobre subtotal]])</f>
        <v>0</v>
      </c>
      <c r="P514" s="74">
        <f>+IF(PROVEEDORES[[#This Row],[SUBTOTAL]]&lt;PROVEEDORES[[#This Row],[base retencion]],0,PROVEEDORES[[#This Row],[retención aplicada]])</f>
        <v>0</v>
      </c>
      <c r="Q514" s="22">
        <f>+PROVEEDORES[[#This Row],[Rete Fuente %]]*(PROVEEDORES[[#This Row],[SUBTOTAL]]-PROVEEDORES[[#This Row],[descuento sobre subtotal]])</f>
        <v>0</v>
      </c>
      <c r="R514" s="21">
        <f>+PROVEEDORES[[#This Row],[SUBTOTAL]]+PROVEEDORES[[#This Row],[IVA 19%]]-PROVEEDORES[[#This Row],[descuento sobre subtotal]]-PROVEEDORES[[#This Row],[Descuento sobre subtotal $2]]-PROVEEDORES[[#This Row],[Rete Fuente $]]</f>
        <v>1859600</v>
      </c>
      <c r="S5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63">
        <f ca="1">IF(PROVEEDORES[[#This Row],[FECHA DE PAGO]]=0,TODAY()-PROVEEDORES[[#This Row],[FECHA DE FACTURACIÓN]]-PROVEEDORES[[#This Row],[PLAZO Días]],0)</f>
        <v>0</v>
      </c>
      <c r="U514" s="104">
        <f>+VLOOKUP(PROVEEDORES[[#This Row],[PROVEEDOR]],Terceros!$A:$D,4,FALSE)</f>
        <v>0</v>
      </c>
      <c r="V514" s="105">
        <f>+YEAR(PROVEEDORES[[#This Row],[FECHA DE FACTURACIÓN]])</f>
        <v>2022</v>
      </c>
      <c r="W514" s="105">
        <f>+MATCH(PROVEEDORES[[#This Row],[año facturado]],Retenciones!$1:$1,0)</f>
        <v>5</v>
      </c>
      <c r="X514" s="106">
        <f>+VLOOKUP(PROVEEDORES[[#This Row],[ID RETENCION]],Retenciones!$A$1:$O$25,PROVEEDORES[[#This Row],[indicador de columna]],FALSE)</f>
        <v>0</v>
      </c>
      <c r="Y514" s="107">
        <f>+VLOOKUP(PROVEEDORES[[#This Row],[ID RETENCION]],Retenciones!$A$1:$O$25,2,FALSE)</f>
        <v>0</v>
      </c>
      <c r="Z514" s="116" t="b">
        <f>OR(COUNTIF(PROVEEDORES[[#This Row],[PROVEEDOR]],"*"&amp;'Palabra no opera'!$A$2&amp;"*"))</f>
        <v>0</v>
      </c>
    </row>
    <row r="515" spans="1:26" ht="22.35" customHeight="1" x14ac:dyDescent="0.3">
      <c r="A515" s="148" t="str">
        <f>+IF(PROVEEDORES[[#This Row],[FECHA DE PAGO]]=PROVEEDORES[[#This Row],[FECHA DE FACTURACIÓN]],"DE CONTADO","CRÉDITO")</f>
        <v>CRÉDITO</v>
      </c>
      <c r="B515" s="38" t="b">
        <f>+IF((PROVEEDORES[[#This Row],[FECHA DE PAGO]]-PROVEEDORES[[#This Row],[FECHA DE FACTURACIÓN]])&gt;PROVEEDORES[[#This Row],[PLAZO Días]],"PAGO VENCIDO")</f>
        <v>0</v>
      </c>
      <c r="C515" s="20">
        <f>+VLOOKUP(PROVEEDORES[[#This Row],[PROVEEDOR]],TERCEROS_INFO[#All],2,FALSE)</f>
        <v>30</v>
      </c>
      <c r="D515" s="25">
        <f>+SUMIFS(PROVEEDORES[Total],PROVEEDORES[PROVEEDOR],PROVEEDORES[[#This Row],[PROVEEDOR]],PROVEEDORES[FECHA DE PAGO],"")</f>
        <v>0</v>
      </c>
      <c r="E515" s="25"/>
      <c r="F515" s="56" t="str">
        <f>+VLOOKUP(PROVEEDORES[[#This Row],[PROVEEDOR]],
                       Terceros!$A:$F,
                       5,
                       FALSE)</f>
        <v/>
      </c>
      <c r="G515" s="68">
        <v>44742</v>
      </c>
      <c r="H515" s="26" t="s">
        <v>404</v>
      </c>
      <c r="I515" s="68">
        <v>44717</v>
      </c>
      <c r="J515" s="35" t="s">
        <v>799</v>
      </c>
      <c r="K515" s="21">
        <f>736.35*4400</f>
        <v>3239940</v>
      </c>
      <c r="L515" s="21"/>
      <c r="M515" s="22">
        <f>(PROVEEDORES[[#This Row],[SUBTOTAL]]-PROVEEDORES[[#This Row],[descuento sobre subtotal]])*VLOOKUP(PROVEEDORES[[#This Row],[PROVEEDOR]],TERCEROS_INFO[#All],3,FALSE)</f>
        <v>0</v>
      </c>
      <c r="N515" s="23"/>
      <c r="O515" s="22">
        <f>+PROVEEDORES[[#This Row],[Descuento sobre subtotal %]]*(PROVEEDORES[[#This Row],[SUBTOTAL]]-PROVEEDORES[[#This Row],[descuento sobre subtotal]])</f>
        <v>0</v>
      </c>
      <c r="P515" s="74">
        <f>+IF(PROVEEDORES[[#This Row],[SUBTOTAL]]&lt;PROVEEDORES[[#This Row],[base retencion]],0,PROVEEDORES[[#This Row],[retención aplicada]])</f>
        <v>0</v>
      </c>
      <c r="Q515" s="22">
        <f>+PROVEEDORES[[#This Row],[Rete Fuente %]]*(PROVEEDORES[[#This Row],[SUBTOTAL]]-PROVEEDORES[[#This Row],[descuento sobre subtotal]])</f>
        <v>0</v>
      </c>
      <c r="R515" s="21">
        <f>+PROVEEDORES[[#This Row],[SUBTOTAL]]+PROVEEDORES[[#This Row],[IVA 19%]]-PROVEEDORES[[#This Row],[descuento sobre subtotal]]-PROVEEDORES[[#This Row],[Descuento sobre subtotal $2]]-PROVEEDORES[[#This Row],[Rete Fuente $]]</f>
        <v>3239940</v>
      </c>
      <c r="S51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63">
        <f ca="1">IF(PROVEEDORES[[#This Row],[FECHA DE PAGO]]=0,TODAY()-PROVEEDORES[[#This Row],[FECHA DE FACTURACIÓN]]-PROVEEDORES[[#This Row],[PLAZO Días]],0)</f>
        <v>0</v>
      </c>
      <c r="U515" s="104">
        <f>+VLOOKUP(PROVEEDORES[[#This Row],[PROVEEDOR]],Terceros!$A:$D,4,FALSE)</f>
        <v>0</v>
      </c>
      <c r="V515" s="105">
        <f>+YEAR(PROVEEDORES[[#This Row],[FECHA DE FACTURACIÓN]])</f>
        <v>2022</v>
      </c>
      <c r="W515" s="105">
        <f>+MATCH(PROVEEDORES[[#This Row],[año facturado]],Retenciones!$1:$1,0)</f>
        <v>5</v>
      </c>
      <c r="X515" s="106">
        <f>+VLOOKUP(PROVEEDORES[[#This Row],[ID RETENCION]],Retenciones!$A$1:$O$25,PROVEEDORES[[#This Row],[indicador de columna]],FALSE)</f>
        <v>0</v>
      </c>
      <c r="Y515" s="107">
        <f>+VLOOKUP(PROVEEDORES[[#This Row],[ID RETENCION]],Retenciones!$A$1:$O$25,2,FALSE)</f>
        <v>0</v>
      </c>
      <c r="Z515" s="116" t="b">
        <f>OR(COUNTIF(PROVEEDORES[[#This Row],[PROVEEDOR]],"*"&amp;'Palabra no opera'!$A$2&amp;"*"))</f>
        <v>0</v>
      </c>
    </row>
    <row r="516" spans="1:26" ht="22.35" customHeight="1" x14ac:dyDescent="0.3">
      <c r="A516" s="148" t="str">
        <f>+IF(PROVEEDORES[[#This Row],[FECHA DE PAGO]]=PROVEEDORES[[#This Row],[FECHA DE FACTURACIÓN]],"DE CONTADO","CRÉDITO")</f>
        <v>DE CONTADO</v>
      </c>
      <c r="B516" s="38" t="b">
        <f>+IF((PROVEEDORES[[#This Row],[FECHA DE PAGO]]-PROVEEDORES[[#This Row],[FECHA DE FACTURACIÓN]])&gt;PROVEEDORES[[#This Row],[PLAZO Días]],"PAGO VENCIDO")</f>
        <v>0</v>
      </c>
      <c r="C516" s="20">
        <f>+VLOOKUP(PROVEEDORES[[#This Row],[PROVEEDOR]],TERCEROS_INFO[#All],2,FALSE)</f>
        <v>30</v>
      </c>
      <c r="D516" s="25">
        <f>+SUMIFS(PROVEEDORES[Total],PROVEEDORES[PROVEEDOR],PROVEEDORES[[#This Row],[PROVEEDOR]],PROVEEDORES[FECHA DE PAGO],"")</f>
        <v>0</v>
      </c>
      <c r="E516" s="25"/>
      <c r="F516" s="56" t="str">
        <f>+VLOOKUP(PROVEEDORES[[#This Row],[PROVEEDOR]],
                       Terceros!$A:$F,
                       5,
                       FALSE)</f>
        <v/>
      </c>
      <c r="G516" s="68">
        <v>44743</v>
      </c>
      <c r="H516" s="26" t="s">
        <v>390</v>
      </c>
      <c r="I516" s="68">
        <v>44743</v>
      </c>
      <c r="J516" s="35"/>
      <c r="K516" s="21">
        <v>1000000</v>
      </c>
      <c r="L516" s="21"/>
      <c r="M516" s="22">
        <f>(PROVEEDORES[[#This Row],[SUBTOTAL]]-PROVEEDORES[[#This Row],[descuento sobre subtotal]])*VLOOKUP(PROVEEDORES[[#This Row],[PROVEEDOR]],TERCEROS_INFO[#All],3,FALSE)</f>
        <v>0</v>
      </c>
      <c r="N516" s="23"/>
      <c r="O516" s="22">
        <f>+PROVEEDORES[[#This Row],[Descuento sobre subtotal %]]*(PROVEEDORES[[#This Row],[SUBTOTAL]]-PROVEEDORES[[#This Row],[descuento sobre subtotal]])</f>
        <v>0</v>
      </c>
      <c r="P516" s="74">
        <f>+IF(PROVEEDORES[[#This Row],[SUBTOTAL]]&lt;PROVEEDORES[[#This Row],[base retencion]],0,PROVEEDORES[[#This Row],[retención aplicada]])</f>
        <v>0</v>
      </c>
      <c r="Q516" s="22">
        <f>+PROVEEDORES[[#This Row],[Rete Fuente %]]*(PROVEEDORES[[#This Row],[SUBTOTAL]]-PROVEEDORES[[#This Row],[descuento sobre subtotal]])</f>
        <v>0</v>
      </c>
      <c r="R51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51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63">
        <f ca="1">IF(PROVEEDORES[[#This Row],[FECHA DE PAGO]]=0,TODAY()-PROVEEDORES[[#This Row],[FECHA DE FACTURACIÓN]]-PROVEEDORES[[#This Row],[PLAZO Días]],0)</f>
        <v>0</v>
      </c>
      <c r="U516" s="104">
        <f>+VLOOKUP(PROVEEDORES[[#This Row],[PROVEEDOR]],Terceros!$A:$D,4,FALSE)</f>
        <v>0</v>
      </c>
      <c r="V516" s="105">
        <f>+YEAR(PROVEEDORES[[#This Row],[FECHA DE FACTURACIÓN]])</f>
        <v>2022</v>
      </c>
      <c r="W516" s="105">
        <f>+MATCH(PROVEEDORES[[#This Row],[año facturado]],Retenciones!$1:$1,0)</f>
        <v>5</v>
      </c>
      <c r="X516" s="106">
        <f>+VLOOKUP(PROVEEDORES[[#This Row],[ID RETENCION]],Retenciones!$A$1:$O$25,PROVEEDORES[[#This Row],[indicador de columna]],FALSE)</f>
        <v>0</v>
      </c>
      <c r="Y516" s="107">
        <f>+VLOOKUP(PROVEEDORES[[#This Row],[ID RETENCION]],Retenciones!$A$1:$O$25,2,FALSE)</f>
        <v>0</v>
      </c>
      <c r="Z516" s="116" t="b">
        <f>OR(COUNTIF(PROVEEDORES[[#This Row],[PROVEEDOR]],"*"&amp;'Palabra no opera'!$A$2&amp;"*"))</f>
        <v>0</v>
      </c>
    </row>
    <row r="517" spans="1:26" ht="22.35" customHeight="1" x14ac:dyDescent="0.3">
      <c r="A517" s="135" t="str">
        <f>+IF(PROVEEDORES[[#This Row],[FECHA DE PAGO]]=PROVEEDORES[[#This Row],[FECHA DE FACTURACIÓN]],"DE CONTADO","CRÉDITO")</f>
        <v>CRÉDITO</v>
      </c>
      <c r="B517" s="38" t="str">
        <f>+IF((PROVEEDORES[[#This Row],[FECHA DE PAGO]]-PROVEEDORES[[#This Row],[FECHA DE FACTURACIÓN]])&gt;PROVEEDORES[[#This Row],[PLAZO Días]],"PAGO VENCIDO")</f>
        <v>PAGO VENCIDO</v>
      </c>
      <c r="C517" s="20">
        <f>+VLOOKUP(PROVEEDORES[[#This Row],[PROVEEDOR]],TERCEROS_INFO[#All],2,FALSE)</f>
        <v>30</v>
      </c>
      <c r="D517" s="25">
        <f>+SUMIFS(PROVEEDORES[Total],PROVEEDORES[PROVEEDOR],PROVEEDORES[[#This Row],[PROVEEDOR]],PROVEEDORES[FECHA DE PAGO],"")</f>
        <v>0</v>
      </c>
      <c r="E517" s="25"/>
      <c r="F517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17" s="68">
        <v>44743</v>
      </c>
      <c r="H517" s="26" t="s">
        <v>400</v>
      </c>
      <c r="I517" s="68">
        <v>44694</v>
      </c>
      <c r="J517" s="35" t="s">
        <v>1028</v>
      </c>
      <c r="K517" s="21">
        <v>862000</v>
      </c>
      <c r="L517" s="21"/>
      <c r="M517" s="22">
        <f>(PROVEEDORES[[#This Row],[SUBTOTAL]]-PROVEEDORES[[#This Row],[descuento sobre subtotal]])*VLOOKUP(PROVEEDORES[[#This Row],[PROVEEDOR]],TERCEROS_INFO[#All],3,FALSE)</f>
        <v>0</v>
      </c>
      <c r="N517" s="23"/>
      <c r="O517" s="22">
        <f>+PROVEEDORES[[#This Row],[Descuento sobre subtotal %]]*(PROVEEDORES[[#This Row],[SUBTOTAL]]-PROVEEDORES[[#This Row],[descuento sobre subtotal]])</f>
        <v>0</v>
      </c>
      <c r="P517" s="74">
        <f>+IF(PROVEEDORES[[#This Row],[SUBTOTAL]]&lt;PROVEEDORES[[#This Row],[base retencion]],0,PROVEEDORES[[#This Row],[retención aplicada]])</f>
        <v>0</v>
      </c>
      <c r="Q517" s="22">
        <f>+PROVEEDORES[[#This Row],[Rete Fuente %]]*(PROVEEDORES[[#This Row],[SUBTOTAL]]-PROVEEDORES[[#This Row],[descuento sobre subtotal]])</f>
        <v>0</v>
      </c>
      <c r="R517" s="21">
        <f>+PROVEEDORES[[#This Row],[SUBTOTAL]]+PROVEEDORES[[#This Row],[IVA 19%]]-PROVEEDORES[[#This Row],[descuento sobre subtotal]]-PROVEEDORES[[#This Row],[Descuento sobre subtotal $2]]-PROVEEDORES[[#This Row],[Rete Fuente $]]</f>
        <v>862000</v>
      </c>
      <c r="S517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63">
        <f ca="1">IF(PROVEEDORES[[#This Row],[FECHA DE PAGO]]=0,TODAY()-PROVEEDORES[[#This Row],[FECHA DE FACTURACIÓN]]-PROVEEDORES[[#This Row],[PLAZO Días]],0)</f>
        <v>0</v>
      </c>
      <c r="U517" s="104">
        <f>+VLOOKUP(PROVEEDORES[[#This Row],[PROVEEDOR]],Terceros!$A:$D,4,FALSE)</f>
        <v>0</v>
      </c>
      <c r="V517" s="105">
        <f>+YEAR(PROVEEDORES[[#This Row],[FECHA DE FACTURACIÓN]])</f>
        <v>2022</v>
      </c>
      <c r="W517" s="105">
        <f>+MATCH(PROVEEDORES[[#This Row],[año facturado]],Retenciones!$1:$1,0)</f>
        <v>5</v>
      </c>
      <c r="X517" s="106">
        <f>+VLOOKUP(PROVEEDORES[[#This Row],[ID RETENCION]],Retenciones!$A$1:$O$25,PROVEEDORES[[#This Row],[indicador de columna]],FALSE)</f>
        <v>0</v>
      </c>
      <c r="Y517" s="107">
        <f>+VLOOKUP(PROVEEDORES[[#This Row],[ID RETENCION]],Retenciones!$A$1:$O$25,2,FALSE)</f>
        <v>0</v>
      </c>
      <c r="Z517" s="116" t="b">
        <f>OR(COUNTIF(PROVEEDORES[[#This Row],[PROVEEDOR]],"*"&amp;'Palabra no opera'!$A$2&amp;"*"))</f>
        <v>0</v>
      </c>
    </row>
    <row r="518" spans="1:26" ht="22.35" customHeight="1" x14ac:dyDescent="0.3">
      <c r="A518" s="133" t="str">
        <f>+IF(PROVEEDORES[[#This Row],[FECHA DE PAGO]]=PROVEEDORES[[#This Row],[FECHA DE FACTURACIÓN]],"DE CONTADO","CRÉDITO")</f>
        <v>CRÉDITO</v>
      </c>
      <c r="B518" s="38" t="str">
        <f>+IF((PROVEEDORES[[#This Row],[FECHA DE PAGO]]-PROVEEDORES[[#This Row],[FECHA DE FACTURACIÓN]])&gt;PROVEEDORES[[#This Row],[PLAZO Días]],"PAGO VENCIDO")</f>
        <v>PAGO VENCIDO</v>
      </c>
      <c r="C518" s="20">
        <f>+VLOOKUP(PROVEEDORES[[#This Row],[PROVEEDOR]],TERCEROS_INFO[#All],2,FALSE)</f>
        <v>30</v>
      </c>
      <c r="D518" s="25">
        <f>+SUMIFS(PROVEEDORES[Total],PROVEEDORES[PROVEEDOR],PROVEEDORES[[#This Row],[PROVEEDOR]],PROVEEDORES[FECHA DE PAGO],"")</f>
        <v>0</v>
      </c>
      <c r="E518" s="25"/>
      <c r="F518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18" s="68">
        <v>44743</v>
      </c>
      <c r="H518" s="26" t="s">
        <v>400</v>
      </c>
      <c r="I518" s="68">
        <v>44707</v>
      </c>
      <c r="J518" s="35" t="s">
        <v>1036</v>
      </c>
      <c r="K518" s="21">
        <v>270000</v>
      </c>
      <c r="L518" s="21"/>
      <c r="M518" s="22">
        <f>(PROVEEDORES[[#This Row],[SUBTOTAL]]-PROVEEDORES[[#This Row],[descuento sobre subtotal]])*VLOOKUP(PROVEEDORES[[#This Row],[PROVEEDOR]],TERCEROS_INFO[#All],3,FALSE)</f>
        <v>0</v>
      </c>
      <c r="N518" s="23"/>
      <c r="O518" s="22">
        <f>+PROVEEDORES[[#This Row],[Descuento sobre subtotal %]]*(PROVEEDORES[[#This Row],[SUBTOTAL]]-PROVEEDORES[[#This Row],[descuento sobre subtotal]])</f>
        <v>0</v>
      </c>
      <c r="P518" s="74">
        <f>+IF(PROVEEDORES[[#This Row],[SUBTOTAL]]&lt;PROVEEDORES[[#This Row],[base retencion]],0,PROVEEDORES[[#This Row],[retención aplicada]])</f>
        <v>0</v>
      </c>
      <c r="Q518" s="22">
        <f>+PROVEEDORES[[#This Row],[Rete Fuente %]]*(PROVEEDORES[[#This Row],[SUBTOTAL]]-PROVEEDORES[[#This Row],[descuento sobre subtotal]])</f>
        <v>0</v>
      </c>
      <c r="R518" s="21">
        <f>+PROVEEDORES[[#This Row],[SUBTOTAL]]+PROVEEDORES[[#This Row],[IVA 19%]]-PROVEEDORES[[#This Row],[descuento sobre subtotal]]-PROVEEDORES[[#This Row],[Descuento sobre subtotal $2]]-PROVEEDORES[[#This Row],[Rete Fuente $]]</f>
        <v>270000</v>
      </c>
      <c r="S518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63">
        <f ca="1">IF(PROVEEDORES[[#This Row],[FECHA DE PAGO]]=0,TODAY()-PROVEEDORES[[#This Row],[FECHA DE FACTURACIÓN]]-PROVEEDORES[[#This Row],[PLAZO Días]],0)</f>
        <v>0</v>
      </c>
      <c r="U518" s="104">
        <f>+VLOOKUP(PROVEEDORES[[#This Row],[PROVEEDOR]],Terceros!$A:$D,4,FALSE)</f>
        <v>0</v>
      </c>
      <c r="V518" s="105">
        <f>+YEAR(PROVEEDORES[[#This Row],[FECHA DE FACTURACIÓN]])</f>
        <v>2022</v>
      </c>
      <c r="W518" s="105">
        <f>+MATCH(PROVEEDORES[[#This Row],[año facturado]],Retenciones!$1:$1,0)</f>
        <v>5</v>
      </c>
      <c r="X518" s="106">
        <f>+VLOOKUP(PROVEEDORES[[#This Row],[ID RETENCION]],Retenciones!$A$1:$O$25,PROVEEDORES[[#This Row],[indicador de columna]],FALSE)</f>
        <v>0</v>
      </c>
      <c r="Y518" s="107">
        <f>+VLOOKUP(PROVEEDORES[[#This Row],[ID RETENCION]],Retenciones!$A$1:$O$25,2,FALSE)</f>
        <v>0</v>
      </c>
      <c r="Z518" s="116" t="b">
        <f>OR(COUNTIF(PROVEEDORES[[#This Row],[PROVEEDOR]],"*"&amp;'Palabra no opera'!$A$2&amp;"*"))</f>
        <v>0</v>
      </c>
    </row>
    <row r="519" spans="1:26" ht="22.35" customHeight="1" x14ac:dyDescent="0.3">
      <c r="A519" s="148" t="str">
        <f>+IF(PROVEEDORES[[#This Row],[FECHA DE PAGO]]=PROVEEDORES[[#This Row],[FECHA DE FACTURACIÓN]],"DE CONTADO","CRÉDITO")</f>
        <v>DE CONTADO</v>
      </c>
      <c r="B519" s="38" t="b">
        <f>+IF((PROVEEDORES[[#This Row],[FECHA DE PAGO]]-PROVEEDORES[[#This Row],[FECHA DE FACTURACIÓN]])&gt;PROVEEDORES[[#This Row],[PLAZO Días]],"PAGO VENCIDO")</f>
        <v>0</v>
      </c>
      <c r="C519" s="20">
        <f>+VLOOKUP(PROVEEDORES[[#This Row],[PROVEEDOR]],TERCEROS_INFO[#All],2,FALSE)</f>
        <v>30</v>
      </c>
      <c r="D519" s="25">
        <f>+SUMIFS(PROVEEDORES[Total],PROVEEDORES[PROVEEDOR],PROVEEDORES[[#This Row],[PROVEEDOR]],PROVEEDORES[FECHA DE PAGO],"")</f>
        <v>0</v>
      </c>
      <c r="E519" s="25"/>
      <c r="F519" s="56" t="str">
        <f>+VLOOKUP(PROVEEDORES[[#This Row],[PROVEEDOR]],
                       Terceros!$A:$F,
                       5,
                       FALSE)</f>
        <v/>
      </c>
      <c r="G519" s="68">
        <v>44744</v>
      </c>
      <c r="H519" s="26" t="s">
        <v>378</v>
      </c>
      <c r="I519" s="68">
        <v>44744</v>
      </c>
      <c r="J519" s="35" t="s">
        <v>800</v>
      </c>
      <c r="K519" s="21">
        <v>720000</v>
      </c>
      <c r="L519" s="21"/>
      <c r="M519" s="22">
        <f>(PROVEEDORES[[#This Row],[SUBTOTAL]]-PROVEEDORES[[#This Row],[descuento sobre subtotal]])*VLOOKUP(PROVEEDORES[[#This Row],[PROVEEDOR]],TERCEROS_INFO[#All],3,FALSE)</f>
        <v>0</v>
      </c>
      <c r="N519" s="23"/>
      <c r="O519" s="22">
        <f>+PROVEEDORES[[#This Row],[Descuento sobre subtotal %]]*(PROVEEDORES[[#This Row],[SUBTOTAL]]-PROVEEDORES[[#This Row],[descuento sobre subtotal]])</f>
        <v>0</v>
      </c>
      <c r="P519" s="74">
        <f>+IF(PROVEEDORES[[#This Row],[SUBTOTAL]]&lt;PROVEEDORES[[#This Row],[base retencion]],0,PROVEEDORES[[#This Row],[retención aplicada]])</f>
        <v>0</v>
      </c>
      <c r="Q519" s="22">
        <f>+PROVEEDORES[[#This Row],[Rete Fuente %]]*(PROVEEDORES[[#This Row],[SUBTOTAL]]-PROVEEDORES[[#This Row],[descuento sobre subtotal]])</f>
        <v>0</v>
      </c>
      <c r="R519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51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63">
        <f ca="1">IF(PROVEEDORES[[#This Row],[FECHA DE PAGO]]=0,TODAY()-PROVEEDORES[[#This Row],[FECHA DE FACTURACIÓN]]-PROVEEDORES[[#This Row],[PLAZO Días]],0)</f>
        <v>0</v>
      </c>
      <c r="U519" s="104">
        <f>+VLOOKUP(PROVEEDORES[[#This Row],[PROVEEDOR]],Terceros!$A:$D,4,FALSE)</f>
        <v>0</v>
      </c>
      <c r="V519" s="105">
        <f>+YEAR(PROVEEDORES[[#This Row],[FECHA DE FACTURACIÓN]])</f>
        <v>2022</v>
      </c>
      <c r="W519" s="105">
        <f>+MATCH(PROVEEDORES[[#This Row],[año facturado]],Retenciones!$1:$1,0)</f>
        <v>5</v>
      </c>
      <c r="X519" s="106">
        <f>+VLOOKUP(PROVEEDORES[[#This Row],[ID RETENCION]],Retenciones!$A$1:$O$25,PROVEEDORES[[#This Row],[indicador de columna]],FALSE)</f>
        <v>0</v>
      </c>
      <c r="Y519" s="107">
        <f>+VLOOKUP(PROVEEDORES[[#This Row],[ID RETENCION]],Retenciones!$A$1:$O$25,2,FALSE)</f>
        <v>0</v>
      </c>
      <c r="Z519" s="116" t="b">
        <f>OR(COUNTIF(PROVEEDORES[[#This Row],[PROVEEDOR]],"*"&amp;'Palabra no opera'!$A$2&amp;"*"))</f>
        <v>0</v>
      </c>
    </row>
    <row r="520" spans="1:26" ht="22.35" customHeight="1" x14ac:dyDescent="0.3">
      <c r="A520" s="146" t="str">
        <f>+IF(PROVEEDORES[[#This Row],[FECHA DE PAGO]]=PROVEEDORES[[#This Row],[FECHA DE FACTURACIÓN]],"DE CONTADO","CRÉDITO")</f>
        <v>CRÉDITO</v>
      </c>
      <c r="B520" s="38" t="str">
        <f>+IF((PROVEEDORES[[#This Row],[FECHA DE PAGO]]-PROVEEDORES[[#This Row],[FECHA DE FACTURACIÓN]])&gt;PROVEEDORES[[#This Row],[PLAZO Días]],"PAGO VENCIDO")</f>
        <v>PAGO VENCIDO</v>
      </c>
      <c r="C520" s="20">
        <f>+VLOOKUP(PROVEEDORES[[#This Row],[PROVEEDOR]],TERCEROS_INFO[#All],2,FALSE)</f>
        <v>30</v>
      </c>
      <c r="D520" s="25">
        <f>+SUMIFS(PROVEEDORES[Total],PROVEEDORES[PROVEEDOR],PROVEEDORES[[#This Row],[PROVEEDOR]],PROVEEDORES[FECHA DE PAGO],"")</f>
        <v>0</v>
      </c>
      <c r="E520" s="25"/>
      <c r="F520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520" s="68">
        <v>44747</v>
      </c>
      <c r="H520" s="26" t="s">
        <v>387</v>
      </c>
      <c r="I520" s="68">
        <v>44713</v>
      </c>
      <c r="J520" s="35" t="s">
        <v>732</v>
      </c>
      <c r="K520" s="21">
        <v>1476500</v>
      </c>
      <c r="L520" s="21"/>
      <c r="M520" s="22">
        <f>(PROVEEDORES[[#This Row],[SUBTOTAL]]-PROVEEDORES[[#This Row],[descuento sobre subtotal]])*VLOOKUP(PROVEEDORES[[#This Row],[PROVEEDOR]],TERCEROS_INFO[#All],3,FALSE)</f>
        <v>0</v>
      </c>
      <c r="N520" s="23"/>
      <c r="O520" s="22">
        <f>+PROVEEDORES[[#This Row],[Descuento sobre subtotal %]]*(PROVEEDORES[[#This Row],[SUBTOTAL]]-PROVEEDORES[[#This Row],[descuento sobre subtotal]])</f>
        <v>0</v>
      </c>
      <c r="P520" s="74">
        <f>+IF(PROVEEDORES[[#This Row],[SUBTOTAL]]&lt;PROVEEDORES[[#This Row],[base retencion]],0,PROVEEDORES[[#This Row],[retención aplicada]])</f>
        <v>0</v>
      </c>
      <c r="Q520" s="22">
        <f>+PROVEEDORES[[#This Row],[Rete Fuente %]]*(PROVEEDORES[[#This Row],[SUBTOTAL]]-PROVEEDORES[[#This Row],[descuento sobre subtotal]])</f>
        <v>0</v>
      </c>
      <c r="R520" s="21">
        <f>+PROVEEDORES[[#This Row],[SUBTOTAL]]+PROVEEDORES[[#This Row],[IVA 19%]]-PROVEEDORES[[#This Row],[descuento sobre subtotal]]-PROVEEDORES[[#This Row],[Descuento sobre subtotal $2]]-PROVEEDORES[[#This Row],[Rete Fuente $]]</f>
        <v>1476500</v>
      </c>
      <c r="S52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63">
        <f ca="1">IF(PROVEEDORES[[#This Row],[FECHA DE PAGO]]=0,TODAY()-PROVEEDORES[[#This Row],[FECHA DE FACTURACIÓN]]-PROVEEDORES[[#This Row],[PLAZO Días]],0)</f>
        <v>0</v>
      </c>
      <c r="U520" s="104">
        <f>+VLOOKUP(PROVEEDORES[[#This Row],[PROVEEDOR]],Terceros!$A:$D,4,FALSE)</f>
        <v>0</v>
      </c>
      <c r="V520" s="105">
        <f>+YEAR(PROVEEDORES[[#This Row],[FECHA DE FACTURACIÓN]])</f>
        <v>2022</v>
      </c>
      <c r="W520" s="105">
        <f>+MATCH(PROVEEDORES[[#This Row],[año facturado]],Retenciones!$1:$1,0)</f>
        <v>5</v>
      </c>
      <c r="X520" s="106">
        <f>+VLOOKUP(PROVEEDORES[[#This Row],[ID RETENCION]],Retenciones!$A$1:$O$25,PROVEEDORES[[#This Row],[indicador de columna]],FALSE)</f>
        <v>0</v>
      </c>
      <c r="Y520" s="107">
        <f>+VLOOKUP(PROVEEDORES[[#This Row],[ID RETENCION]],Retenciones!$A$1:$O$25,2,FALSE)</f>
        <v>0</v>
      </c>
      <c r="Z520" s="116" t="b">
        <f>OR(COUNTIF(PROVEEDORES[[#This Row],[PROVEEDOR]],"*"&amp;'Palabra no opera'!$A$2&amp;"*"))</f>
        <v>0</v>
      </c>
    </row>
    <row r="521" spans="1:26" ht="22.35" customHeight="1" x14ac:dyDescent="0.3">
      <c r="A521" s="163" t="str">
        <f>+IF(PROVEEDORES[[#This Row],[FECHA DE PAGO]]=PROVEEDORES[[#This Row],[FECHA DE FACTURACIÓN]],"DE CONTADO","CRÉDITO")</f>
        <v>CRÉDITO</v>
      </c>
      <c r="B521" s="38" t="str">
        <f>+IF((PROVEEDORES[[#This Row],[FECHA DE PAGO]]-PROVEEDORES[[#This Row],[FECHA DE FACTURACIÓN]])&gt;PROVEEDORES[[#This Row],[PLAZO Días]],"PAGO VENCIDO")</f>
        <v>PAGO VENCIDO</v>
      </c>
      <c r="C521" s="20">
        <f>+VLOOKUP(PROVEEDORES[[#This Row],[PROVEEDOR]],TERCEROS_INFO[#All],2,FALSE)</f>
        <v>0</v>
      </c>
      <c r="D521" s="25">
        <f>+SUMIFS(PROVEEDORES[Total],PROVEEDORES[PROVEEDOR],PROVEEDORES[[#This Row],[PROVEEDOR]],PROVEEDORES[FECHA DE PAGO],"")</f>
        <v>0</v>
      </c>
      <c r="E521" s="25"/>
      <c r="F521" s="56">
        <f>+VLOOKUP(PROVEEDORES[[#This Row],[PROVEEDOR]],
                       Terceros!$A:$F,
                       5,
                       FALSE)</f>
        <v>0</v>
      </c>
      <c r="G521" s="68">
        <v>44747</v>
      </c>
      <c r="H521" s="26" t="s">
        <v>754</v>
      </c>
      <c r="I521" s="68">
        <v>44743</v>
      </c>
      <c r="J521" s="35" t="s">
        <v>907</v>
      </c>
      <c r="K521" s="21">
        <v>552100</v>
      </c>
      <c r="L521" s="21"/>
      <c r="M521" s="22">
        <f>(PROVEEDORES[[#This Row],[SUBTOTAL]]-PROVEEDORES[[#This Row],[descuento sobre subtotal]])*VLOOKUP(PROVEEDORES[[#This Row],[PROVEEDOR]],TERCEROS_INFO[#All],3,FALSE)</f>
        <v>0</v>
      </c>
      <c r="N521" s="23"/>
      <c r="O521" s="22">
        <f>+PROVEEDORES[[#This Row],[Descuento sobre subtotal %]]*(PROVEEDORES[[#This Row],[SUBTOTAL]]-PROVEEDORES[[#This Row],[descuento sobre subtotal]])</f>
        <v>0</v>
      </c>
      <c r="P521" s="74">
        <f>+IF(PROVEEDORES[[#This Row],[SUBTOTAL]]&lt;PROVEEDORES[[#This Row],[base retencion]],0,PROVEEDORES[[#This Row],[retención aplicada]])</f>
        <v>0</v>
      </c>
      <c r="Q521" s="22">
        <f>+PROVEEDORES[[#This Row],[Rete Fuente %]]*(PROVEEDORES[[#This Row],[SUBTOTAL]]-PROVEEDORES[[#This Row],[descuento sobre subtotal]])</f>
        <v>0</v>
      </c>
      <c r="R521" s="21">
        <f>+PROVEEDORES[[#This Row],[SUBTOTAL]]+PROVEEDORES[[#This Row],[IVA 19%]]-PROVEEDORES[[#This Row],[descuento sobre subtotal]]-PROVEEDORES[[#This Row],[Descuento sobre subtotal $2]]-PROVEEDORES[[#This Row],[Rete Fuente $]]</f>
        <v>552100</v>
      </c>
      <c r="S521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63">
        <f ca="1">IF(PROVEEDORES[[#This Row],[FECHA DE PAGO]]=0,TODAY()-PROVEEDORES[[#This Row],[FECHA DE FACTURACIÓN]]-PROVEEDORES[[#This Row],[PLAZO Días]],0)</f>
        <v>0</v>
      </c>
      <c r="U521" s="104">
        <f>+VLOOKUP(PROVEEDORES[[#This Row],[PROVEEDOR]],Terceros!$A:$D,4,FALSE)</f>
        <v>0</v>
      </c>
      <c r="V521" s="105">
        <f>+YEAR(PROVEEDORES[[#This Row],[FECHA DE FACTURACIÓN]])</f>
        <v>2022</v>
      </c>
      <c r="W521" s="105">
        <f>+MATCH(PROVEEDORES[[#This Row],[año facturado]],Retenciones!$1:$1,0)</f>
        <v>5</v>
      </c>
      <c r="X521" s="106">
        <f>+VLOOKUP(PROVEEDORES[[#This Row],[ID RETENCION]],Retenciones!$A$1:$O$25,PROVEEDORES[[#This Row],[indicador de columna]],FALSE)</f>
        <v>0</v>
      </c>
      <c r="Y521" s="107">
        <f>+VLOOKUP(PROVEEDORES[[#This Row],[ID RETENCION]],Retenciones!$A$1:$O$25,2,FALSE)</f>
        <v>0</v>
      </c>
      <c r="Z521" s="116" t="b">
        <f>OR(COUNTIF(PROVEEDORES[[#This Row],[PROVEEDOR]],"*"&amp;'Palabra no opera'!$A$2&amp;"*"))</f>
        <v>1</v>
      </c>
    </row>
    <row r="522" spans="1:26" ht="22.35" customHeight="1" x14ac:dyDescent="0.3">
      <c r="A522" s="163" t="str">
        <f>+IF(PROVEEDORES[[#This Row],[FECHA DE PAGO]]=PROVEEDORES[[#This Row],[FECHA DE FACTURACIÓN]],"DE CONTADO","CRÉDITO")</f>
        <v>CRÉDITO</v>
      </c>
      <c r="B522" s="38" t="str">
        <f>+IF((PROVEEDORES[[#This Row],[FECHA DE PAGO]]-PROVEEDORES[[#This Row],[FECHA DE FACTURACIÓN]])&gt;PROVEEDORES[[#This Row],[PLAZO Días]],"PAGO VENCIDO")</f>
        <v>PAGO VENCIDO</v>
      </c>
      <c r="C522" s="20">
        <f>+VLOOKUP(PROVEEDORES[[#This Row],[PROVEEDOR]],TERCEROS_INFO[#All],2,FALSE)</f>
        <v>0</v>
      </c>
      <c r="D522" s="25">
        <f>+SUMIFS(PROVEEDORES[Total],PROVEEDORES[PROVEEDOR],PROVEEDORES[[#This Row],[PROVEEDOR]],PROVEEDORES[FECHA DE PAGO],"")</f>
        <v>0</v>
      </c>
      <c r="E522" s="25"/>
      <c r="F522" s="56">
        <f>+VLOOKUP(PROVEEDORES[[#This Row],[PROVEEDOR]],
                       Terceros!$A:$F,
                       5,
                       FALSE)</f>
        <v>0</v>
      </c>
      <c r="G522" s="68">
        <v>44747</v>
      </c>
      <c r="H522" s="26" t="s">
        <v>754</v>
      </c>
      <c r="I522" s="68">
        <v>44743</v>
      </c>
      <c r="J522" s="35" t="s">
        <v>907</v>
      </c>
      <c r="K522" s="21">
        <v>2182000</v>
      </c>
      <c r="L522" s="21"/>
      <c r="M522" s="22">
        <f>(PROVEEDORES[[#This Row],[SUBTOTAL]]-PROVEEDORES[[#This Row],[descuento sobre subtotal]])*VLOOKUP(PROVEEDORES[[#This Row],[PROVEEDOR]],TERCEROS_INFO[#All],3,FALSE)</f>
        <v>0</v>
      </c>
      <c r="N522" s="23"/>
      <c r="O522" s="22">
        <f>+PROVEEDORES[[#This Row],[Descuento sobre subtotal %]]*(PROVEEDORES[[#This Row],[SUBTOTAL]]-PROVEEDORES[[#This Row],[descuento sobre subtotal]])</f>
        <v>0</v>
      </c>
      <c r="P522" s="74">
        <f>+IF(PROVEEDORES[[#This Row],[SUBTOTAL]]&lt;PROVEEDORES[[#This Row],[base retencion]],0,PROVEEDORES[[#This Row],[retención aplicada]])</f>
        <v>0</v>
      </c>
      <c r="Q522" s="22">
        <f>+PROVEEDORES[[#This Row],[Rete Fuente %]]*(PROVEEDORES[[#This Row],[SUBTOTAL]]-PROVEEDORES[[#This Row],[descuento sobre subtotal]])</f>
        <v>0</v>
      </c>
      <c r="R522" s="21">
        <f>+PROVEEDORES[[#This Row],[SUBTOTAL]]+PROVEEDORES[[#This Row],[IVA 19%]]-PROVEEDORES[[#This Row],[descuento sobre subtotal]]-PROVEEDORES[[#This Row],[Descuento sobre subtotal $2]]-PROVEEDORES[[#This Row],[Rete Fuente $]]</f>
        <v>2182000</v>
      </c>
      <c r="S522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63">
        <f ca="1">IF(PROVEEDORES[[#This Row],[FECHA DE PAGO]]=0,TODAY()-PROVEEDORES[[#This Row],[FECHA DE FACTURACIÓN]]-PROVEEDORES[[#This Row],[PLAZO Días]],0)</f>
        <v>0</v>
      </c>
      <c r="U522" s="104">
        <f>+VLOOKUP(PROVEEDORES[[#This Row],[PROVEEDOR]],Terceros!$A:$D,4,FALSE)</f>
        <v>0</v>
      </c>
      <c r="V522" s="105">
        <f>+YEAR(PROVEEDORES[[#This Row],[FECHA DE FACTURACIÓN]])</f>
        <v>2022</v>
      </c>
      <c r="W522" s="105">
        <f>+MATCH(PROVEEDORES[[#This Row],[año facturado]],Retenciones!$1:$1,0)</f>
        <v>5</v>
      </c>
      <c r="X522" s="106">
        <f>+VLOOKUP(PROVEEDORES[[#This Row],[ID RETENCION]],Retenciones!$A$1:$O$25,PROVEEDORES[[#This Row],[indicador de columna]],FALSE)</f>
        <v>0</v>
      </c>
      <c r="Y522" s="107">
        <f>+VLOOKUP(PROVEEDORES[[#This Row],[ID RETENCION]],Retenciones!$A$1:$O$25,2,FALSE)</f>
        <v>0</v>
      </c>
      <c r="Z522" s="116" t="b">
        <f>OR(COUNTIF(PROVEEDORES[[#This Row],[PROVEEDOR]],"*"&amp;'Palabra no opera'!$A$2&amp;"*"))</f>
        <v>1</v>
      </c>
    </row>
    <row r="523" spans="1:26" ht="22.35" customHeight="1" x14ac:dyDescent="0.3">
      <c r="A523" s="163" t="str">
        <f>+IF(PROVEEDORES[[#This Row],[FECHA DE PAGO]]=PROVEEDORES[[#This Row],[FECHA DE FACTURACIÓN]],"DE CONTADO","CRÉDITO")</f>
        <v>CRÉDITO</v>
      </c>
      <c r="B523" s="38" t="str">
        <f>+IF((PROVEEDORES[[#This Row],[FECHA DE PAGO]]-PROVEEDORES[[#This Row],[FECHA DE FACTURACIÓN]])&gt;PROVEEDORES[[#This Row],[PLAZO Días]],"PAGO VENCIDO")</f>
        <v>PAGO VENCIDO</v>
      </c>
      <c r="C523" s="20">
        <f>+VLOOKUP(PROVEEDORES[[#This Row],[PROVEEDOR]],TERCEROS_INFO[#All],2,FALSE)</f>
        <v>0</v>
      </c>
      <c r="D523" s="25">
        <f>+SUMIFS(PROVEEDORES[Total],PROVEEDORES[PROVEEDOR],PROVEEDORES[[#This Row],[PROVEEDOR]],PROVEEDORES[FECHA DE PAGO],"")</f>
        <v>0</v>
      </c>
      <c r="E523" s="25"/>
      <c r="F523" s="56">
        <f>+VLOOKUP(PROVEEDORES[[#This Row],[PROVEEDOR]],
                       Terceros!$A:$F,
                       5,
                       FALSE)</f>
        <v>0</v>
      </c>
      <c r="G523" s="68">
        <v>44747</v>
      </c>
      <c r="H523" s="26" t="s">
        <v>754</v>
      </c>
      <c r="I523" s="68">
        <v>44743</v>
      </c>
      <c r="J523" s="35" t="s">
        <v>907</v>
      </c>
      <c r="K523" s="21">
        <v>3000000</v>
      </c>
      <c r="L523" s="21"/>
      <c r="M523" s="22">
        <f>(PROVEEDORES[[#This Row],[SUBTOTAL]]-PROVEEDORES[[#This Row],[descuento sobre subtotal]])*VLOOKUP(PROVEEDORES[[#This Row],[PROVEEDOR]],TERCEROS_INFO[#All],3,FALSE)</f>
        <v>0</v>
      </c>
      <c r="N523" s="23"/>
      <c r="O523" s="22">
        <f>+PROVEEDORES[[#This Row],[Descuento sobre subtotal %]]*(PROVEEDORES[[#This Row],[SUBTOTAL]]-PROVEEDORES[[#This Row],[descuento sobre subtotal]])</f>
        <v>0</v>
      </c>
      <c r="P523" s="74">
        <f>+IF(PROVEEDORES[[#This Row],[SUBTOTAL]]&lt;PROVEEDORES[[#This Row],[base retencion]],0,PROVEEDORES[[#This Row],[retención aplicada]])</f>
        <v>0</v>
      </c>
      <c r="Q523" s="22">
        <f>+PROVEEDORES[[#This Row],[Rete Fuente %]]*(PROVEEDORES[[#This Row],[SUBTOTAL]]-PROVEEDORES[[#This Row],[descuento sobre subtotal]])</f>
        <v>0</v>
      </c>
      <c r="R523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523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63">
        <f ca="1">IF(PROVEEDORES[[#This Row],[FECHA DE PAGO]]=0,TODAY()-PROVEEDORES[[#This Row],[FECHA DE FACTURACIÓN]]-PROVEEDORES[[#This Row],[PLAZO Días]],0)</f>
        <v>0</v>
      </c>
      <c r="U523" s="104">
        <f>+VLOOKUP(PROVEEDORES[[#This Row],[PROVEEDOR]],Terceros!$A:$D,4,FALSE)</f>
        <v>0</v>
      </c>
      <c r="V523" s="105">
        <f>+YEAR(PROVEEDORES[[#This Row],[FECHA DE FACTURACIÓN]])</f>
        <v>2022</v>
      </c>
      <c r="W523" s="105">
        <f>+MATCH(PROVEEDORES[[#This Row],[año facturado]],Retenciones!$1:$1,0)</f>
        <v>5</v>
      </c>
      <c r="X523" s="106">
        <f>+VLOOKUP(PROVEEDORES[[#This Row],[ID RETENCION]],Retenciones!$A$1:$O$25,PROVEEDORES[[#This Row],[indicador de columna]],FALSE)</f>
        <v>0</v>
      </c>
      <c r="Y523" s="107">
        <f>+VLOOKUP(PROVEEDORES[[#This Row],[ID RETENCION]],Retenciones!$A$1:$O$25,2,FALSE)</f>
        <v>0</v>
      </c>
      <c r="Z523" s="116" t="b">
        <f>OR(COUNTIF(PROVEEDORES[[#This Row],[PROVEEDOR]],"*"&amp;'Palabra no opera'!$A$2&amp;"*"))</f>
        <v>1</v>
      </c>
    </row>
    <row r="524" spans="1:26" ht="22.35" customHeight="1" x14ac:dyDescent="0.3">
      <c r="A524" s="163" t="str">
        <f>+IF(PROVEEDORES[[#This Row],[FECHA DE PAGO]]=PROVEEDORES[[#This Row],[FECHA DE FACTURACIÓN]],"DE CONTADO","CRÉDITO")</f>
        <v>CRÉDITO</v>
      </c>
      <c r="B524" s="38" t="str">
        <f>+IF((PROVEEDORES[[#This Row],[FECHA DE PAGO]]-PROVEEDORES[[#This Row],[FECHA DE FACTURACIÓN]])&gt;PROVEEDORES[[#This Row],[PLAZO Días]],"PAGO VENCIDO")</f>
        <v>PAGO VENCIDO</v>
      </c>
      <c r="C524" s="20">
        <f>+VLOOKUP(PROVEEDORES[[#This Row],[PROVEEDOR]],TERCEROS_INFO[#All],2,FALSE)</f>
        <v>0</v>
      </c>
      <c r="D524" s="25">
        <f>+SUMIFS(PROVEEDORES[Total],PROVEEDORES[PROVEEDOR],PROVEEDORES[[#This Row],[PROVEEDOR]],PROVEEDORES[FECHA DE PAGO],"")</f>
        <v>0</v>
      </c>
      <c r="E524" s="25"/>
      <c r="F524" s="56">
        <f>+VLOOKUP(PROVEEDORES[[#This Row],[PROVEEDOR]],
                       Terceros!$A:$F,
                       5,
                       FALSE)</f>
        <v>0</v>
      </c>
      <c r="G524" s="68">
        <v>44747</v>
      </c>
      <c r="H524" s="26" t="s">
        <v>754</v>
      </c>
      <c r="I524" s="68">
        <v>44743</v>
      </c>
      <c r="J524" s="35" t="s">
        <v>907</v>
      </c>
      <c r="K524" s="21">
        <v>3000000</v>
      </c>
      <c r="L524" s="21"/>
      <c r="M524" s="22">
        <f>(PROVEEDORES[[#This Row],[SUBTOTAL]]-PROVEEDORES[[#This Row],[descuento sobre subtotal]])*VLOOKUP(PROVEEDORES[[#This Row],[PROVEEDOR]],TERCEROS_INFO[#All],3,FALSE)</f>
        <v>0</v>
      </c>
      <c r="N524" s="23"/>
      <c r="O524" s="22">
        <f>+PROVEEDORES[[#This Row],[Descuento sobre subtotal %]]*(PROVEEDORES[[#This Row],[SUBTOTAL]]-PROVEEDORES[[#This Row],[descuento sobre subtotal]])</f>
        <v>0</v>
      </c>
      <c r="P524" s="74">
        <f>+IF(PROVEEDORES[[#This Row],[SUBTOTAL]]&lt;PROVEEDORES[[#This Row],[base retencion]],0,PROVEEDORES[[#This Row],[retención aplicada]])</f>
        <v>0</v>
      </c>
      <c r="Q524" s="22">
        <f>+PROVEEDORES[[#This Row],[Rete Fuente %]]*(PROVEEDORES[[#This Row],[SUBTOTAL]]-PROVEEDORES[[#This Row],[descuento sobre subtotal]])</f>
        <v>0</v>
      </c>
      <c r="R524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524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63">
        <f ca="1">IF(PROVEEDORES[[#This Row],[FECHA DE PAGO]]=0,TODAY()-PROVEEDORES[[#This Row],[FECHA DE FACTURACIÓN]]-PROVEEDORES[[#This Row],[PLAZO Días]],0)</f>
        <v>0</v>
      </c>
      <c r="U524" s="104">
        <f>+VLOOKUP(PROVEEDORES[[#This Row],[PROVEEDOR]],Terceros!$A:$D,4,FALSE)</f>
        <v>0</v>
      </c>
      <c r="V524" s="105">
        <f>+YEAR(PROVEEDORES[[#This Row],[FECHA DE FACTURACIÓN]])</f>
        <v>2022</v>
      </c>
      <c r="W524" s="105">
        <f>+MATCH(PROVEEDORES[[#This Row],[año facturado]],Retenciones!$1:$1,0)</f>
        <v>5</v>
      </c>
      <c r="X524" s="106">
        <f>+VLOOKUP(PROVEEDORES[[#This Row],[ID RETENCION]],Retenciones!$A$1:$O$25,PROVEEDORES[[#This Row],[indicador de columna]],FALSE)</f>
        <v>0</v>
      </c>
      <c r="Y524" s="107">
        <f>+VLOOKUP(PROVEEDORES[[#This Row],[ID RETENCION]],Retenciones!$A$1:$O$25,2,FALSE)</f>
        <v>0</v>
      </c>
      <c r="Z524" s="116" t="b">
        <f>OR(COUNTIF(PROVEEDORES[[#This Row],[PROVEEDOR]],"*"&amp;'Palabra no opera'!$A$2&amp;"*"))</f>
        <v>1</v>
      </c>
    </row>
    <row r="525" spans="1:26" ht="22.35" customHeight="1" x14ac:dyDescent="0.3">
      <c r="A525" s="114" t="str">
        <f>+IF(PROVEEDORES[[#This Row],[FECHA DE PAGO]]=PROVEEDORES[[#This Row],[FECHA DE FACTURACIÓN]],"DE CONTADO","CRÉDITO")</f>
        <v>CRÉDITO</v>
      </c>
      <c r="B525" s="38" t="str">
        <f>+IF((PROVEEDORES[[#This Row],[FECHA DE PAGO]]-PROVEEDORES[[#This Row],[FECHA DE FACTURACIÓN]])&gt;PROVEEDORES[[#This Row],[PLAZO Días]],"PAGO VENCIDO")</f>
        <v>PAGO VENCIDO</v>
      </c>
      <c r="C525" s="20">
        <f>+VLOOKUP(PROVEEDORES[[#This Row],[PROVEEDOR]],TERCEROS_INFO[#All],2,FALSE)</f>
        <v>30</v>
      </c>
      <c r="D525" s="25">
        <f>+SUMIFS(PROVEEDORES[Total],PROVEEDORES[PROVEEDOR],PROVEEDORES[[#This Row],[PROVEEDOR]],PROVEEDORES[FECHA DE PAGO],"")</f>
        <v>0</v>
      </c>
      <c r="E525" s="25"/>
      <c r="F525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525" s="68">
        <v>44748</v>
      </c>
      <c r="H525" s="26" t="s">
        <v>343</v>
      </c>
      <c r="I525" s="68">
        <v>44677</v>
      </c>
      <c r="J525" s="35" t="s">
        <v>1021</v>
      </c>
      <c r="K525" s="21">
        <v>1039000</v>
      </c>
      <c r="L525" s="21"/>
      <c r="M525" s="22">
        <f>(PROVEEDORES[[#This Row],[SUBTOTAL]]-PROVEEDORES[[#This Row],[descuento sobre subtotal]])*VLOOKUP(PROVEEDORES[[#This Row],[PROVEEDOR]],TERCEROS_INFO[#All],3,FALSE)</f>
        <v>0</v>
      </c>
      <c r="N525" s="23"/>
      <c r="O525" s="22">
        <f>+PROVEEDORES[[#This Row],[Descuento sobre subtotal %]]*(PROVEEDORES[[#This Row],[SUBTOTAL]]-PROVEEDORES[[#This Row],[descuento sobre subtotal]])</f>
        <v>0</v>
      </c>
      <c r="P525" s="74">
        <f>+IF(PROVEEDORES[[#This Row],[SUBTOTAL]]&lt;PROVEEDORES[[#This Row],[base retencion]],0,PROVEEDORES[[#This Row],[retención aplicada]])</f>
        <v>0</v>
      </c>
      <c r="Q525" s="22">
        <f>+PROVEEDORES[[#This Row],[Rete Fuente %]]*(PROVEEDORES[[#This Row],[SUBTOTAL]]-PROVEEDORES[[#This Row],[descuento sobre subtotal]])</f>
        <v>0</v>
      </c>
      <c r="R525" s="21">
        <f>+PROVEEDORES[[#This Row],[SUBTOTAL]]+PROVEEDORES[[#This Row],[IVA 19%]]-PROVEEDORES[[#This Row],[descuento sobre subtotal]]-PROVEEDORES[[#This Row],[Descuento sobre subtotal $2]]-PROVEEDORES[[#This Row],[Rete Fuente $]]</f>
        <v>1039000</v>
      </c>
      <c r="S525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63">
        <f ca="1">IF(PROVEEDORES[[#This Row],[FECHA DE PAGO]]=0,TODAY()-PROVEEDORES[[#This Row],[FECHA DE FACTURACIÓN]]-PROVEEDORES[[#This Row],[PLAZO Días]],0)</f>
        <v>0</v>
      </c>
      <c r="U525" s="104">
        <f>+VLOOKUP(PROVEEDORES[[#This Row],[PROVEEDOR]],Terceros!$A:$D,4,FALSE)</f>
        <v>0</v>
      </c>
      <c r="V525" s="105">
        <f>+YEAR(PROVEEDORES[[#This Row],[FECHA DE FACTURACIÓN]])</f>
        <v>2022</v>
      </c>
      <c r="W525" s="105">
        <f>+MATCH(PROVEEDORES[[#This Row],[año facturado]],Retenciones!$1:$1,0)</f>
        <v>5</v>
      </c>
      <c r="X525" s="106">
        <f>+VLOOKUP(PROVEEDORES[[#This Row],[ID RETENCION]],Retenciones!$A$1:$O$25,PROVEEDORES[[#This Row],[indicador de columna]],FALSE)</f>
        <v>0</v>
      </c>
      <c r="Y525" s="107">
        <f>+VLOOKUP(PROVEEDORES[[#This Row],[ID RETENCION]],Retenciones!$A$1:$O$25,2,FALSE)</f>
        <v>0</v>
      </c>
      <c r="Z525" s="116" t="b">
        <f>OR(COUNTIF(PROVEEDORES[[#This Row],[PROVEEDOR]],"*"&amp;'Palabra no opera'!$A$2&amp;"*"))</f>
        <v>0</v>
      </c>
    </row>
    <row r="526" spans="1:26" ht="22.35" customHeight="1" x14ac:dyDescent="0.3">
      <c r="A526" s="133" t="str">
        <f>+IF(PROVEEDORES[[#This Row],[FECHA DE PAGO]]=PROVEEDORES[[#This Row],[FECHA DE FACTURACIÓN]],"DE CONTADO","CRÉDITO")</f>
        <v>CRÉDITO</v>
      </c>
      <c r="B526" s="38" t="str">
        <f>+IF((PROVEEDORES[[#This Row],[FECHA DE PAGO]]-PROVEEDORES[[#This Row],[FECHA DE FACTURACIÓN]])&gt;PROVEEDORES[[#This Row],[PLAZO Días]],"PAGO VENCIDO")</f>
        <v>PAGO VENCIDO</v>
      </c>
      <c r="C526" s="20">
        <f>+VLOOKUP(PROVEEDORES[[#This Row],[PROVEEDOR]],TERCEROS_INFO[#All],2,FALSE)</f>
        <v>30</v>
      </c>
      <c r="D526" s="25">
        <f>+SUMIFS(PROVEEDORES[Total],PROVEEDORES[PROVEEDOR],PROVEEDORES[[#This Row],[PROVEEDOR]],PROVEEDORES[FECHA DE PAGO],"")</f>
        <v>1316890.8900000001</v>
      </c>
      <c r="E526" s="25"/>
      <c r="F52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26" s="68">
        <v>44749</v>
      </c>
      <c r="H526" s="26" t="s">
        <v>17</v>
      </c>
      <c r="I526" s="68">
        <v>44705</v>
      </c>
      <c r="J526" s="35" t="s">
        <v>694</v>
      </c>
      <c r="K526" s="21">
        <v>1899899.7</v>
      </c>
      <c r="L526" s="21"/>
      <c r="M526" s="22">
        <f>(PROVEEDORES[[#This Row],[SUBTOTAL]]-PROVEEDORES[[#This Row],[descuento sobre subtotal]])*VLOOKUP(PROVEEDORES[[#This Row],[PROVEEDOR]],TERCEROS_INFO[#All],3,FALSE)</f>
        <v>360980.94299999997</v>
      </c>
      <c r="N526" s="23"/>
      <c r="O526" s="22">
        <f>+PROVEEDORES[[#This Row],[Descuento sobre subtotal %]]*(PROVEEDORES[[#This Row],[SUBTOTAL]]-PROVEEDORES[[#This Row],[descuento sobre subtotal]])</f>
        <v>0</v>
      </c>
      <c r="P526" s="74">
        <f>+IF(PROVEEDORES[[#This Row],[SUBTOTAL]]&lt;PROVEEDORES[[#This Row],[base retencion]],0,PROVEEDORES[[#This Row],[retención aplicada]])</f>
        <v>0</v>
      </c>
      <c r="Q526" s="22">
        <f>+PROVEEDORES[[#This Row],[Rete Fuente %]]*(PROVEEDORES[[#This Row],[SUBTOTAL]]-PROVEEDORES[[#This Row],[descuento sobre subtotal]])</f>
        <v>0</v>
      </c>
      <c r="R526" s="21">
        <f>+PROVEEDORES[[#This Row],[SUBTOTAL]]+PROVEEDORES[[#This Row],[IVA 19%]]-PROVEEDORES[[#This Row],[descuento sobre subtotal]]-PROVEEDORES[[#This Row],[Descuento sobre subtotal $2]]-PROVEEDORES[[#This Row],[Rete Fuente $]]</f>
        <v>2260880.6430000002</v>
      </c>
      <c r="S526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63">
        <f ca="1">IF(PROVEEDORES[[#This Row],[FECHA DE PAGO]]=0,TODAY()-PROVEEDORES[[#This Row],[FECHA DE FACTURACIÓN]]-PROVEEDORES[[#This Row],[PLAZO Días]],0)</f>
        <v>0</v>
      </c>
      <c r="U526" s="104">
        <f>+VLOOKUP(PROVEEDORES[[#This Row],[PROVEEDOR]],Terceros!$A:$D,4,FALSE)</f>
        <v>0</v>
      </c>
      <c r="V526" s="105">
        <f>+YEAR(PROVEEDORES[[#This Row],[FECHA DE FACTURACIÓN]])</f>
        <v>2022</v>
      </c>
      <c r="W526" s="105">
        <f>+MATCH(PROVEEDORES[[#This Row],[año facturado]],Retenciones!$1:$1,0)</f>
        <v>5</v>
      </c>
      <c r="X526" s="106">
        <f>+VLOOKUP(PROVEEDORES[[#This Row],[ID RETENCION]],Retenciones!$A$1:$O$25,PROVEEDORES[[#This Row],[indicador de columna]],FALSE)</f>
        <v>0</v>
      </c>
      <c r="Y526" s="107">
        <f>+VLOOKUP(PROVEEDORES[[#This Row],[ID RETENCION]],Retenciones!$A$1:$O$25,2,FALSE)</f>
        <v>0</v>
      </c>
      <c r="Z526" s="116" t="b">
        <f>OR(COUNTIF(PROVEEDORES[[#This Row],[PROVEEDOR]],"*"&amp;'Palabra no opera'!$A$2&amp;"*"))</f>
        <v>0</v>
      </c>
    </row>
    <row r="527" spans="1:26" ht="22.35" customHeight="1" x14ac:dyDescent="0.3">
      <c r="A527" s="133" t="str">
        <f>+IF(PROVEEDORES[[#This Row],[FECHA DE PAGO]]=PROVEEDORES[[#This Row],[FECHA DE FACTURACIÓN]],"DE CONTADO","CRÉDITO")</f>
        <v>CRÉDITO</v>
      </c>
      <c r="B527" s="38" t="str">
        <f>+IF((PROVEEDORES[[#This Row],[FECHA DE PAGO]]-PROVEEDORES[[#This Row],[FECHA DE FACTURACIÓN]])&gt;PROVEEDORES[[#This Row],[PLAZO Días]],"PAGO VENCIDO")</f>
        <v>PAGO VENCIDO</v>
      </c>
      <c r="C527" s="20">
        <f>+VLOOKUP(PROVEEDORES[[#This Row],[PROVEEDOR]],TERCEROS_INFO[#All],2,FALSE)</f>
        <v>30</v>
      </c>
      <c r="D527" s="25">
        <f>+SUMIFS(PROVEEDORES[Total],PROVEEDORES[PROVEEDOR],PROVEEDORES[[#This Row],[PROVEEDOR]],PROVEEDORES[FECHA DE PAGO],"")</f>
        <v>0</v>
      </c>
      <c r="E527" s="25"/>
      <c r="F527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27" s="68">
        <v>44749</v>
      </c>
      <c r="H527" s="26" t="s">
        <v>281</v>
      </c>
      <c r="I527" s="68">
        <v>44705</v>
      </c>
      <c r="J527" s="35" t="s">
        <v>701</v>
      </c>
      <c r="K527" s="21">
        <v>6120000</v>
      </c>
      <c r="L527" s="21"/>
      <c r="M527" s="22">
        <v>306000</v>
      </c>
      <c r="N527" s="23"/>
      <c r="O527" s="22">
        <f>+PROVEEDORES[[#This Row],[Descuento sobre subtotal %]]*(PROVEEDORES[[#This Row],[SUBTOTAL]]-PROVEEDORES[[#This Row],[descuento sobre subtotal]])</f>
        <v>0</v>
      </c>
      <c r="P527" s="74">
        <f>+IF(PROVEEDORES[[#This Row],[SUBTOTAL]]&lt;PROVEEDORES[[#This Row],[base retencion]],0,PROVEEDORES[[#This Row],[retención aplicada]])</f>
        <v>0</v>
      </c>
      <c r="Q527" s="22">
        <f>+PROVEEDORES[[#This Row],[Rete Fuente %]]*(PROVEEDORES[[#This Row],[SUBTOTAL]]-PROVEEDORES[[#This Row],[descuento sobre subtotal]])</f>
        <v>0</v>
      </c>
      <c r="R527" s="21">
        <f>+PROVEEDORES[[#This Row],[SUBTOTAL]]+PROVEEDORES[[#This Row],[IVA 19%]]-PROVEEDORES[[#This Row],[descuento sobre subtotal]]-PROVEEDORES[[#This Row],[Descuento sobre subtotal $2]]-PROVEEDORES[[#This Row],[Rete Fuente $]]</f>
        <v>6426000</v>
      </c>
      <c r="S527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63">
        <f ca="1">IF(PROVEEDORES[[#This Row],[FECHA DE PAGO]]=0,TODAY()-PROVEEDORES[[#This Row],[FECHA DE FACTURACIÓN]]-PROVEEDORES[[#This Row],[PLAZO Días]],0)</f>
        <v>0</v>
      </c>
      <c r="U527" s="104">
        <f>+VLOOKUP(PROVEEDORES[[#This Row],[PROVEEDOR]],Terceros!$A:$D,4,FALSE)</f>
        <v>0</v>
      </c>
      <c r="V527" s="105">
        <f>+YEAR(PROVEEDORES[[#This Row],[FECHA DE FACTURACIÓN]])</f>
        <v>2022</v>
      </c>
      <c r="W527" s="105">
        <f>+MATCH(PROVEEDORES[[#This Row],[año facturado]],Retenciones!$1:$1,0)</f>
        <v>5</v>
      </c>
      <c r="X527" s="106">
        <f>+VLOOKUP(PROVEEDORES[[#This Row],[ID RETENCION]],Retenciones!$A$1:$O$25,PROVEEDORES[[#This Row],[indicador de columna]],FALSE)</f>
        <v>0</v>
      </c>
      <c r="Y527" s="107">
        <f>+VLOOKUP(PROVEEDORES[[#This Row],[ID RETENCION]],Retenciones!$A$1:$O$25,2,FALSE)</f>
        <v>0</v>
      </c>
      <c r="Z527" s="116" t="b">
        <f>OR(COUNTIF(PROVEEDORES[[#This Row],[PROVEEDOR]],"*"&amp;'Palabra no opera'!$A$2&amp;"*"))</f>
        <v>0</v>
      </c>
    </row>
    <row r="528" spans="1:26" ht="22.35" customHeight="1" x14ac:dyDescent="0.3">
      <c r="A528" s="114" t="str">
        <f>+IF(PROVEEDORES[[#This Row],[FECHA DE PAGO]]=PROVEEDORES[[#This Row],[FECHA DE FACTURACIÓN]],"DE CONTADO","CRÉDITO")</f>
        <v>CRÉDITO</v>
      </c>
      <c r="B528" s="38" t="str">
        <f>+IF((PROVEEDORES[[#This Row],[FECHA DE PAGO]]-PROVEEDORES[[#This Row],[FECHA DE FACTURACIÓN]])&gt;PROVEEDORES[[#This Row],[PLAZO Días]],"PAGO VENCIDO")</f>
        <v>PAGO VENCIDO</v>
      </c>
      <c r="C528" s="20">
        <f>+VLOOKUP(PROVEEDORES[[#This Row],[PROVEEDOR]],TERCEROS_INFO[#All],2,FALSE)</f>
        <v>60</v>
      </c>
      <c r="D528" s="25">
        <f>+SUMIFS(PROVEEDORES[Total],PROVEEDORES[PROVEEDOR],PROVEEDORES[[#This Row],[PROVEEDOR]],PROVEEDORES[FECHA DE PAGO],"")</f>
        <v>0</v>
      </c>
      <c r="E528" s="25"/>
      <c r="F528" s="56">
        <f>+VLOOKUP(PROVEEDORES[[#This Row],[PROVEEDOR]],
                       Terceros!$A:$F,
                       5,
                       FALSE)</f>
        <v>0</v>
      </c>
      <c r="G528" s="68">
        <v>44749</v>
      </c>
      <c r="H528" s="26" t="s">
        <v>951</v>
      </c>
      <c r="I528" s="68">
        <v>44676</v>
      </c>
      <c r="J528" s="35" t="s">
        <v>612</v>
      </c>
      <c r="K528" s="21">
        <v>4374000</v>
      </c>
      <c r="L528" s="21"/>
      <c r="M528" s="22">
        <f>(PROVEEDORES[[#This Row],[SUBTOTAL]]-PROVEEDORES[[#This Row],[descuento sobre subtotal]])*VLOOKUP(PROVEEDORES[[#This Row],[PROVEEDOR]],TERCEROS_INFO[#All],3,FALSE)</f>
        <v>831060</v>
      </c>
      <c r="N528" s="23"/>
      <c r="O528" s="22">
        <f>+PROVEEDORES[[#This Row],[Descuento sobre subtotal %]]*(PROVEEDORES[[#This Row],[SUBTOTAL]]-PROVEEDORES[[#This Row],[descuento sobre subtotal]])</f>
        <v>0</v>
      </c>
      <c r="P528" s="74">
        <f>+IF(PROVEEDORES[[#This Row],[SUBTOTAL]]&lt;PROVEEDORES[[#This Row],[base retencion]],0,PROVEEDORES[[#This Row],[retención aplicada]])</f>
        <v>0</v>
      </c>
      <c r="Q528" s="22">
        <f>+PROVEEDORES[[#This Row],[Rete Fuente %]]*(PROVEEDORES[[#This Row],[SUBTOTAL]]-PROVEEDORES[[#This Row],[descuento sobre subtotal]])</f>
        <v>0</v>
      </c>
      <c r="R528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528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63">
        <f ca="1">IF(PROVEEDORES[[#This Row],[FECHA DE PAGO]]=0,TODAY()-PROVEEDORES[[#This Row],[FECHA DE FACTURACIÓN]]-PROVEEDORES[[#This Row],[PLAZO Días]],0)</f>
        <v>0</v>
      </c>
      <c r="U528" s="104">
        <f>+VLOOKUP(PROVEEDORES[[#This Row],[PROVEEDOR]],Terceros!$A:$D,4,FALSE)</f>
        <v>0</v>
      </c>
      <c r="V528" s="105">
        <f>+YEAR(PROVEEDORES[[#This Row],[FECHA DE FACTURACIÓN]])</f>
        <v>2022</v>
      </c>
      <c r="W528" s="105">
        <f>+MATCH(PROVEEDORES[[#This Row],[año facturado]],Retenciones!$1:$1,0)</f>
        <v>5</v>
      </c>
      <c r="X528" s="106">
        <f>+VLOOKUP(PROVEEDORES[[#This Row],[ID RETENCION]],Retenciones!$A$1:$O$25,PROVEEDORES[[#This Row],[indicador de columna]],FALSE)</f>
        <v>0</v>
      </c>
      <c r="Y528" s="107">
        <f>+VLOOKUP(PROVEEDORES[[#This Row],[ID RETENCION]],Retenciones!$A$1:$O$25,2,FALSE)</f>
        <v>0</v>
      </c>
      <c r="Z528" s="116" t="b">
        <f>OR(COUNTIF(PROVEEDORES[[#This Row],[PROVEEDOR]],"*"&amp;'Palabra no opera'!$A$2&amp;"*"))</f>
        <v>1</v>
      </c>
    </row>
    <row r="529" spans="1:26" ht="22.35" customHeight="1" x14ac:dyDescent="0.3">
      <c r="A529" s="124" t="str">
        <f>+IF(PROVEEDORES[[#This Row],[FECHA DE PAGO]]=PROVEEDORES[[#This Row],[FECHA DE FACTURACIÓN]],"DE CONTADO","CRÉDITO")</f>
        <v>CRÉDITO</v>
      </c>
      <c r="B529" s="38" t="str">
        <f>+IF((PROVEEDORES[[#This Row],[FECHA DE PAGO]]-PROVEEDORES[[#This Row],[FECHA DE FACTURACIÓN]])&gt;PROVEEDORES[[#This Row],[PLAZO Días]],"PAGO VENCIDO")</f>
        <v>PAGO VENCIDO</v>
      </c>
      <c r="C529" s="20">
        <f>+VLOOKUP(PROVEEDORES[[#This Row],[PROVEEDOR]],TERCEROS_INFO[#All],2,FALSE)</f>
        <v>60</v>
      </c>
      <c r="D529" s="25">
        <f>+SUMIFS(PROVEEDORES[Total],PROVEEDORES[PROVEEDOR],PROVEEDORES[[#This Row],[PROVEEDOR]],PROVEEDORES[FECHA DE PAGO],"")</f>
        <v>0</v>
      </c>
      <c r="E529" s="25"/>
      <c r="F529" s="56">
        <f>+VLOOKUP(PROVEEDORES[[#This Row],[PROVEEDOR]],
                       Terceros!$A:$F,
                       5,
                       FALSE)</f>
        <v>0</v>
      </c>
      <c r="G529" s="68">
        <v>44749</v>
      </c>
      <c r="H529" s="26" t="s">
        <v>951</v>
      </c>
      <c r="I529" s="68">
        <v>44687</v>
      </c>
      <c r="J529" s="35" t="s">
        <v>672</v>
      </c>
      <c r="K529" s="21">
        <v>4374000</v>
      </c>
      <c r="L529" s="21"/>
      <c r="M529" s="22">
        <f>(PROVEEDORES[[#This Row],[SUBTOTAL]]-PROVEEDORES[[#This Row],[descuento sobre subtotal]])*VLOOKUP(PROVEEDORES[[#This Row],[PROVEEDOR]],TERCEROS_INFO[#All],3,FALSE)</f>
        <v>831060</v>
      </c>
      <c r="N529" s="23"/>
      <c r="O529" s="22">
        <f>+PROVEEDORES[[#This Row],[Descuento sobre subtotal %]]*(PROVEEDORES[[#This Row],[SUBTOTAL]]-PROVEEDORES[[#This Row],[descuento sobre subtotal]])</f>
        <v>0</v>
      </c>
      <c r="P529" s="74">
        <f>+IF(PROVEEDORES[[#This Row],[SUBTOTAL]]&lt;PROVEEDORES[[#This Row],[base retencion]],0,PROVEEDORES[[#This Row],[retención aplicada]])</f>
        <v>0</v>
      </c>
      <c r="Q529" s="22">
        <f>+PROVEEDORES[[#This Row],[Rete Fuente %]]*(PROVEEDORES[[#This Row],[SUBTOTAL]]-PROVEEDORES[[#This Row],[descuento sobre subtotal]])</f>
        <v>0</v>
      </c>
      <c r="R529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529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9" s="63">
        <f ca="1">IF(PROVEEDORES[[#This Row],[FECHA DE PAGO]]=0,TODAY()-PROVEEDORES[[#This Row],[FECHA DE FACTURACIÓN]]-PROVEEDORES[[#This Row],[PLAZO Días]],0)</f>
        <v>0</v>
      </c>
      <c r="U529" s="104">
        <f>+VLOOKUP(PROVEEDORES[[#This Row],[PROVEEDOR]],Terceros!$A:$D,4,FALSE)</f>
        <v>0</v>
      </c>
      <c r="V529" s="105">
        <f>+YEAR(PROVEEDORES[[#This Row],[FECHA DE FACTURACIÓN]])</f>
        <v>2022</v>
      </c>
      <c r="W529" s="105">
        <f>+MATCH(PROVEEDORES[[#This Row],[año facturado]],Retenciones!$1:$1,0)</f>
        <v>5</v>
      </c>
      <c r="X529" s="106">
        <f>+VLOOKUP(PROVEEDORES[[#This Row],[ID RETENCION]],Retenciones!$A$1:$O$25,PROVEEDORES[[#This Row],[indicador de columna]],FALSE)</f>
        <v>0</v>
      </c>
      <c r="Y529" s="107">
        <f>+VLOOKUP(PROVEEDORES[[#This Row],[ID RETENCION]],Retenciones!$A$1:$O$25,2,FALSE)</f>
        <v>0</v>
      </c>
      <c r="Z529" s="116" t="b">
        <f>OR(COUNTIF(PROVEEDORES[[#This Row],[PROVEEDOR]],"*"&amp;'Palabra no opera'!$A$2&amp;"*"))</f>
        <v>1</v>
      </c>
    </row>
    <row r="530" spans="1:26" ht="22.35" customHeight="1" x14ac:dyDescent="0.3">
      <c r="A530" s="133" t="str">
        <f>+IF(PROVEEDORES[[#This Row],[FECHA DE PAGO]]=PROVEEDORES[[#This Row],[FECHA DE FACTURACIÓN]],"DE CONTADO","CRÉDITO")</f>
        <v>CRÉDITO</v>
      </c>
      <c r="B530" s="38" t="str">
        <f>+IF((PROVEEDORES[[#This Row],[FECHA DE PAGO]]-PROVEEDORES[[#This Row],[FECHA DE FACTURACIÓN]])&gt;PROVEEDORES[[#This Row],[PLAZO Días]],"PAGO VENCIDO")</f>
        <v>PAGO VENCIDO</v>
      </c>
      <c r="C530" s="20">
        <f>+VLOOKUP(PROVEEDORES[[#This Row],[PROVEEDOR]],TERCEROS_INFO[#All],2,FALSE)</f>
        <v>30</v>
      </c>
      <c r="D530" s="25">
        <f>+SUMIFS(PROVEEDORES[Total],PROVEEDORES[PROVEEDOR],PROVEEDORES[[#This Row],[PROVEEDOR]],PROVEEDORES[FECHA DE PAGO],"")</f>
        <v>17870934.149999999</v>
      </c>
      <c r="E530" s="25"/>
      <c r="F53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530" s="68">
        <v>44749</v>
      </c>
      <c r="H530" s="26" t="s">
        <v>18</v>
      </c>
      <c r="I530" s="68">
        <v>44701</v>
      </c>
      <c r="J530" s="35">
        <v>1053889</v>
      </c>
      <c r="K530" s="21">
        <v>617136.72</v>
      </c>
      <c r="L530" s="21"/>
      <c r="M530" s="22">
        <f>(PROVEEDORES[[#This Row],[SUBTOTAL]]-PROVEEDORES[[#This Row],[descuento sobre subtotal]])*VLOOKUP(PROVEEDORES[[#This Row],[PROVEEDOR]],TERCEROS_INFO[#All],3,FALSE)</f>
        <v>117255.97679999999</v>
      </c>
      <c r="N530" s="23"/>
      <c r="O530" s="22">
        <f>+PROVEEDORES[[#This Row],[Descuento sobre subtotal %]]*(PROVEEDORES[[#This Row],[SUBTOTAL]]-PROVEEDORES[[#This Row],[descuento sobre subtotal]])</f>
        <v>0</v>
      </c>
      <c r="P530" s="74">
        <f>+IF(PROVEEDORES[[#This Row],[SUBTOTAL]]&lt;PROVEEDORES[[#This Row],[base retencion]],0,PROVEEDORES[[#This Row],[retención aplicada]])</f>
        <v>0</v>
      </c>
      <c r="Q530" s="22">
        <f>+PROVEEDORES[[#This Row],[Rete Fuente %]]*(PROVEEDORES[[#This Row],[SUBTOTAL]]-PROVEEDORES[[#This Row],[descuento sobre subtotal]])</f>
        <v>0</v>
      </c>
      <c r="R530" s="21">
        <f>+PROVEEDORES[[#This Row],[SUBTOTAL]]+PROVEEDORES[[#This Row],[IVA 19%]]-PROVEEDORES[[#This Row],[descuento sobre subtotal]]-PROVEEDORES[[#This Row],[Descuento sobre subtotal $2]]-PROVEEDORES[[#This Row],[Rete Fuente $]]</f>
        <v>734392.69679999992</v>
      </c>
      <c r="S530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63">
        <f ca="1">IF(PROVEEDORES[[#This Row],[FECHA DE PAGO]]=0,TODAY()-PROVEEDORES[[#This Row],[FECHA DE FACTURACIÓN]]-PROVEEDORES[[#This Row],[PLAZO Días]],0)</f>
        <v>0</v>
      </c>
      <c r="U530" s="104" t="str">
        <f>+VLOOKUP(PROVEEDORES[[#This Row],[PROVEEDOR]],Terceros!$A:$D,4,FALSE)</f>
        <v>2,5% con base</v>
      </c>
      <c r="V530" s="105">
        <f>+YEAR(PROVEEDORES[[#This Row],[FECHA DE FACTURACIÓN]])</f>
        <v>2022</v>
      </c>
      <c r="W530" s="105">
        <f>+MATCH(PROVEEDORES[[#This Row],[año facturado]],Retenciones!$1:$1,0)</f>
        <v>5</v>
      </c>
      <c r="X530" s="106">
        <f>+VLOOKUP(PROVEEDORES[[#This Row],[ID RETENCION]],Retenciones!$A$1:$O$25,PROVEEDORES[[#This Row],[indicador de columna]],FALSE)</f>
        <v>1026000</v>
      </c>
      <c r="Y530" s="107">
        <f>+VLOOKUP(PROVEEDORES[[#This Row],[ID RETENCION]],Retenciones!$A$1:$O$25,2,FALSE)</f>
        <v>2.5000000000000001E-2</v>
      </c>
      <c r="Z530" s="116" t="b">
        <f>OR(COUNTIF(PROVEEDORES[[#This Row],[PROVEEDOR]],"*"&amp;'Palabra no opera'!$A$2&amp;"*"))</f>
        <v>0</v>
      </c>
    </row>
    <row r="531" spans="1:26" ht="22.35" customHeight="1" x14ac:dyDescent="0.3">
      <c r="A531" s="133" t="str">
        <f>+IF(PROVEEDORES[[#This Row],[FECHA DE PAGO]]=PROVEEDORES[[#This Row],[FECHA DE FACTURACIÓN]],"DE CONTADO","CRÉDITO")</f>
        <v>CRÉDITO</v>
      </c>
      <c r="B531" s="38" t="str">
        <f>+IF((PROVEEDORES[[#This Row],[FECHA DE PAGO]]-PROVEEDORES[[#This Row],[FECHA DE FACTURACIÓN]])&gt;PROVEEDORES[[#This Row],[PLAZO Días]],"PAGO VENCIDO")</f>
        <v>PAGO VENCIDO</v>
      </c>
      <c r="C531" s="20">
        <f>+VLOOKUP(PROVEEDORES[[#This Row],[PROVEEDOR]],TERCEROS_INFO[#All],2,FALSE)</f>
        <v>30</v>
      </c>
      <c r="D531" s="25">
        <f>+SUMIFS(PROVEEDORES[Total],PROVEEDORES[PROVEEDOR],PROVEEDORES[[#This Row],[PROVEEDOR]],PROVEEDORES[FECHA DE PAGO],"")</f>
        <v>17870934.149999999</v>
      </c>
      <c r="E531" s="25"/>
      <c r="F53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531" s="68">
        <v>44749</v>
      </c>
      <c r="H531" s="26" t="s">
        <v>18</v>
      </c>
      <c r="I531" s="68">
        <v>44701</v>
      </c>
      <c r="J531" s="35">
        <v>1053888</v>
      </c>
      <c r="K531" s="21">
        <v>1029010</v>
      </c>
      <c r="L531" s="21"/>
      <c r="M531" s="22">
        <f>(PROVEEDORES[[#This Row],[SUBTOTAL]]-PROVEEDORES[[#This Row],[descuento sobre subtotal]])*VLOOKUP(PROVEEDORES[[#This Row],[PROVEEDOR]],TERCEROS_INFO[#All],3,FALSE)</f>
        <v>195511.9</v>
      </c>
      <c r="N531" s="23"/>
      <c r="O531" s="22">
        <f>+PROVEEDORES[[#This Row],[Descuento sobre subtotal %]]*(PROVEEDORES[[#This Row],[SUBTOTAL]]-PROVEEDORES[[#This Row],[descuento sobre subtotal]])</f>
        <v>0</v>
      </c>
      <c r="P531" s="74">
        <f>+IF(PROVEEDORES[[#This Row],[SUBTOTAL]]&lt;PROVEEDORES[[#This Row],[base retencion]],0,PROVEEDORES[[#This Row],[retención aplicada]])</f>
        <v>2.5000000000000001E-2</v>
      </c>
      <c r="Q531" s="22">
        <f>+PROVEEDORES[[#This Row],[Rete Fuente %]]*(PROVEEDORES[[#This Row],[SUBTOTAL]]-PROVEEDORES[[#This Row],[descuento sobre subtotal]])</f>
        <v>25725.25</v>
      </c>
      <c r="R531" s="21">
        <f>+PROVEEDORES[[#This Row],[SUBTOTAL]]+PROVEEDORES[[#This Row],[IVA 19%]]-PROVEEDORES[[#This Row],[descuento sobre subtotal]]-PROVEEDORES[[#This Row],[Descuento sobre subtotal $2]]-PROVEEDORES[[#This Row],[Rete Fuente $]]</f>
        <v>1198796.6499999999</v>
      </c>
      <c r="S53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63">
        <f ca="1">IF(PROVEEDORES[[#This Row],[FECHA DE PAGO]]=0,TODAY()-PROVEEDORES[[#This Row],[FECHA DE FACTURACIÓN]]-PROVEEDORES[[#This Row],[PLAZO Días]],0)</f>
        <v>0</v>
      </c>
      <c r="U531" s="104" t="str">
        <f>+VLOOKUP(PROVEEDORES[[#This Row],[PROVEEDOR]],Terceros!$A:$D,4,FALSE)</f>
        <v>2,5% con base</v>
      </c>
      <c r="V531" s="105">
        <f>+YEAR(PROVEEDORES[[#This Row],[FECHA DE FACTURACIÓN]])</f>
        <v>2022</v>
      </c>
      <c r="W531" s="105">
        <f>+MATCH(PROVEEDORES[[#This Row],[año facturado]],Retenciones!$1:$1,0)</f>
        <v>5</v>
      </c>
      <c r="X531" s="106">
        <f>+VLOOKUP(PROVEEDORES[[#This Row],[ID RETENCION]],Retenciones!$A$1:$O$25,PROVEEDORES[[#This Row],[indicador de columna]],FALSE)</f>
        <v>1026000</v>
      </c>
      <c r="Y531" s="107">
        <f>+VLOOKUP(PROVEEDORES[[#This Row],[ID RETENCION]],Retenciones!$A$1:$O$25,2,FALSE)</f>
        <v>2.5000000000000001E-2</v>
      </c>
      <c r="Z531" s="116" t="b">
        <f>OR(COUNTIF(PROVEEDORES[[#This Row],[PROVEEDOR]],"*"&amp;'Palabra no opera'!$A$2&amp;"*"))</f>
        <v>0</v>
      </c>
    </row>
    <row r="532" spans="1:26" ht="22.35" customHeight="1" x14ac:dyDescent="0.3">
      <c r="A532" s="67" t="str">
        <f>+IF(PROVEEDORES[[#This Row],[FECHA DE PAGO]]=PROVEEDORES[[#This Row],[FECHA DE FACTURACIÓN]],"DE CONTADO","CRÉDITO")</f>
        <v>DE CONTADO</v>
      </c>
      <c r="B532" s="38" t="b">
        <f>+IF((PROVEEDORES[[#This Row],[FECHA DE PAGO]]-PROVEEDORES[[#This Row],[FECHA DE FACTURACIÓN]])&gt;PROVEEDORES[[#This Row],[PLAZO Días]],"PAGO VENCIDO")</f>
        <v>0</v>
      </c>
      <c r="C532" s="20">
        <f>+VLOOKUP(PROVEEDORES[[#This Row],[PROVEEDOR]],TERCEROS_INFO[#All],2,FALSE)</f>
        <v>30</v>
      </c>
      <c r="D532" s="25">
        <f>+SUMIFS(PROVEEDORES[Total],PROVEEDORES[PROVEEDOR],PROVEEDORES[[#This Row],[PROVEEDOR]],PROVEEDORES[FECHA DE PAGO],"")</f>
        <v>0</v>
      </c>
      <c r="E532" s="25"/>
      <c r="F532" s="56" t="str">
        <f>+VLOOKUP(PROVEEDORES[[#This Row],[PROVEEDOR]],
                       Terceros!$A:$F,
                       5,
                       FALSE)</f>
        <v/>
      </c>
      <c r="G532" s="68">
        <v>44750</v>
      </c>
      <c r="H532" s="26" t="s">
        <v>390</v>
      </c>
      <c r="I532" s="68">
        <v>44750</v>
      </c>
      <c r="J532" s="35"/>
      <c r="K532" s="21">
        <v>1000000</v>
      </c>
      <c r="L532" s="21"/>
      <c r="M532" s="22">
        <f>(PROVEEDORES[[#This Row],[SUBTOTAL]]-PROVEEDORES[[#This Row],[descuento sobre subtotal]])*VLOOKUP(PROVEEDORES[[#This Row],[PROVEEDOR]],TERCEROS_INFO[#All],3,FALSE)</f>
        <v>0</v>
      </c>
      <c r="N532" s="23"/>
      <c r="O532" s="22">
        <f>+PROVEEDORES[[#This Row],[Descuento sobre subtotal %]]*(PROVEEDORES[[#This Row],[SUBTOTAL]]-PROVEEDORES[[#This Row],[descuento sobre subtotal]])</f>
        <v>0</v>
      </c>
      <c r="P532" s="74">
        <f>+IF(PROVEEDORES[[#This Row],[SUBTOTAL]]&lt;PROVEEDORES[[#This Row],[base retencion]],0,PROVEEDORES[[#This Row],[retención aplicada]])</f>
        <v>0</v>
      </c>
      <c r="Q532" s="22">
        <f>+PROVEEDORES[[#This Row],[Rete Fuente %]]*(PROVEEDORES[[#This Row],[SUBTOTAL]]-PROVEEDORES[[#This Row],[descuento sobre subtotal]])</f>
        <v>0</v>
      </c>
      <c r="R53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5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63">
        <f ca="1">IF(PROVEEDORES[[#This Row],[FECHA DE PAGO]]=0,TODAY()-PROVEEDORES[[#This Row],[FECHA DE FACTURACIÓN]]-PROVEEDORES[[#This Row],[PLAZO Días]],0)</f>
        <v>0</v>
      </c>
      <c r="U532" s="104">
        <f>+VLOOKUP(PROVEEDORES[[#This Row],[PROVEEDOR]],Terceros!$A:$D,4,FALSE)</f>
        <v>0</v>
      </c>
      <c r="V532" s="105">
        <f>+YEAR(PROVEEDORES[[#This Row],[FECHA DE FACTURACIÓN]])</f>
        <v>2022</v>
      </c>
      <c r="W532" s="105">
        <f>+MATCH(PROVEEDORES[[#This Row],[año facturado]],Retenciones!$1:$1,0)</f>
        <v>5</v>
      </c>
      <c r="X532" s="106">
        <f>+VLOOKUP(PROVEEDORES[[#This Row],[ID RETENCION]],Retenciones!$A$1:$O$25,PROVEEDORES[[#This Row],[indicador de columna]],FALSE)</f>
        <v>0</v>
      </c>
      <c r="Y532" s="107">
        <f>+VLOOKUP(PROVEEDORES[[#This Row],[ID RETENCION]],Retenciones!$A$1:$O$25,2,FALSE)</f>
        <v>0</v>
      </c>
      <c r="Z532" s="116" t="b">
        <f>OR(COUNTIF(PROVEEDORES[[#This Row],[PROVEEDOR]],"*"&amp;'Palabra no opera'!$A$2&amp;"*"))</f>
        <v>0</v>
      </c>
    </row>
    <row r="533" spans="1:26" ht="22.35" customHeight="1" x14ac:dyDescent="0.3">
      <c r="A533" s="148" t="str">
        <f>+IF(PROVEEDORES[[#This Row],[FECHA DE PAGO]]=PROVEEDORES[[#This Row],[FECHA DE FACTURACIÓN]],"DE CONTADO","CRÉDITO")</f>
        <v>CRÉDITO</v>
      </c>
      <c r="B533" s="38" t="b">
        <f>+IF((PROVEEDORES[[#This Row],[FECHA DE PAGO]]-PROVEEDORES[[#This Row],[FECHA DE FACTURACIÓN]])&gt;PROVEEDORES[[#This Row],[PLAZO Días]],"PAGO VENCIDO")</f>
        <v>0</v>
      </c>
      <c r="C533" s="20">
        <f>+VLOOKUP(PROVEEDORES[[#This Row],[PROVEEDOR]],TERCEROS_INFO[#All],2,FALSE)</f>
        <v>30</v>
      </c>
      <c r="D533" s="25">
        <f>+SUMIFS(PROVEEDORES[Total],PROVEEDORES[PROVEEDOR],PROVEEDORES[[#This Row],[PROVEEDOR]],PROVEEDORES[FECHA DE PAGO],"")</f>
        <v>0</v>
      </c>
      <c r="E533" s="25"/>
      <c r="F53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33" s="68">
        <v>44750</v>
      </c>
      <c r="H533" s="26" t="s">
        <v>623</v>
      </c>
      <c r="I533" s="68">
        <v>44743</v>
      </c>
      <c r="J533" s="35" t="s">
        <v>790</v>
      </c>
      <c r="K533" s="21">
        <v>3694</v>
      </c>
      <c r="L533" s="21"/>
      <c r="M533" s="22">
        <f>(PROVEEDORES[[#This Row],[SUBTOTAL]]-PROVEEDORES[[#This Row],[descuento sobre subtotal]])*VLOOKUP(PROVEEDORES[[#This Row],[PROVEEDOR]],TERCEROS_INFO[#All],3,FALSE)</f>
        <v>701.86</v>
      </c>
      <c r="N533" s="23"/>
      <c r="O533" s="22">
        <f>+PROVEEDORES[[#This Row],[Descuento sobre subtotal %]]*(PROVEEDORES[[#This Row],[SUBTOTAL]]-PROVEEDORES[[#This Row],[descuento sobre subtotal]])</f>
        <v>0</v>
      </c>
      <c r="P533" s="74">
        <v>0</v>
      </c>
      <c r="Q533" s="22">
        <f>+PROVEEDORES[[#This Row],[Rete Fuente %]]*(PROVEEDORES[[#This Row],[SUBTOTAL]]-PROVEEDORES[[#This Row],[descuento sobre subtotal]])</f>
        <v>0</v>
      </c>
      <c r="R533" s="21">
        <f>+PROVEEDORES[[#This Row],[SUBTOTAL]]+PROVEEDORES[[#This Row],[IVA 19%]]-PROVEEDORES[[#This Row],[descuento sobre subtotal]]-PROVEEDORES[[#This Row],[Descuento sobre subtotal $2]]-PROVEEDORES[[#This Row],[Rete Fuente $]]</f>
        <v>4395.8599999999997</v>
      </c>
      <c r="S53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63">
        <f ca="1">IF(PROVEEDORES[[#This Row],[FECHA DE PAGO]]=0,TODAY()-PROVEEDORES[[#This Row],[FECHA DE FACTURACIÓN]]-PROVEEDORES[[#This Row],[PLAZO Días]],0)</f>
        <v>0</v>
      </c>
      <c r="U533" s="104" t="str">
        <f>+VLOOKUP(PROVEEDORES[[#This Row],[PROVEEDOR]],Terceros!$A:$D,4,FALSE)</f>
        <v>4% sin base</v>
      </c>
      <c r="V533" s="105">
        <f>+YEAR(PROVEEDORES[[#This Row],[FECHA DE FACTURACIÓN]])</f>
        <v>2022</v>
      </c>
      <c r="W533" s="105">
        <f>+MATCH(PROVEEDORES[[#This Row],[año facturado]],Retenciones!$1:$1,0)</f>
        <v>5</v>
      </c>
      <c r="X533" s="106">
        <f>+VLOOKUP(PROVEEDORES[[#This Row],[ID RETENCION]],Retenciones!$A$1:$O$25,PROVEEDORES[[#This Row],[indicador de columna]],FALSE)</f>
        <v>0</v>
      </c>
      <c r="Y533" s="107">
        <f>+VLOOKUP(PROVEEDORES[[#This Row],[ID RETENCION]],Retenciones!$A$1:$O$25,2,FALSE)</f>
        <v>0.04</v>
      </c>
      <c r="Z533" s="116" t="b">
        <f>OR(COUNTIF(PROVEEDORES[[#This Row],[PROVEEDOR]],"*"&amp;'Palabra no opera'!$A$2&amp;"*"))</f>
        <v>1</v>
      </c>
    </row>
    <row r="534" spans="1:26" ht="22.35" customHeight="1" x14ac:dyDescent="0.3">
      <c r="A534" s="148" t="str">
        <f>+IF(PROVEEDORES[[#This Row],[FECHA DE PAGO]]=PROVEEDORES[[#This Row],[FECHA DE FACTURACIÓN]],"DE CONTADO","CRÉDITO")</f>
        <v>CRÉDITO</v>
      </c>
      <c r="B534" s="38" t="b">
        <f>+IF((PROVEEDORES[[#This Row],[FECHA DE PAGO]]-PROVEEDORES[[#This Row],[FECHA DE FACTURACIÓN]])&gt;PROVEEDORES[[#This Row],[PLAZO Días]],"PAGO VENCIDO")</f>
        <v>0</v>
      </c>
      <c r="C534" s="20">
        <f>+VLOOKUP(PROVEEDORES[[#This Row],[PROVEEDOR]],TERCEROS_INFO[#All],2,FALSE)</f>
        <v>30</v>
      </c>
      <c r="D534" s="25">
        <f>+SUMIFS(PROVEEDORES[Total],PROVEEDORES[PROVEEDOR],PROVEEDORES[[#This Row],[PROVEEDOR]],PROVEEDORES[FECHA DE PAGO],"")</f>
        <v>0</v>
      </c>
      <c r="E534" s="25"/>
      <c r="F53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34" s="68">
        <v>44750</v>
      </c>
      <c r="H534" s="26" t="s">
        <v>623</v>
      </c>
      <c r="I534" s="68">
        <v>44743</v>
      </c>
      <c r="J534" s="35" t="s">
        <v>789</v>
      </c>
      <c r="K534" s="21">
        <v>15373</v>
      </c>
      <c r="L534" s="21"/>
      <c r="M534" s="22">
        <f>(PROVEEDORES[[#This Row],[SUBTOTAL]]-PROVEEDORES[[#This Row],[descuento sobre subtotal]])*VLOOKUP(PROVEEDORES[[#This Row],[PROVEEDOR]],TERCEROS_INFO[#All],3,FALSE)</f>
        <v>2920.87</v>
      </c>
      <c r="N534" s="23"/>
      <c r="O534" s="22">
        <f>+PROVEEDORES[[#This Row],[Descuento sobre subtotal %]]*(PROVEEDORES[[#This Row],[SUBTOTAL]]-PROVEEDORES[[#This Row],[descuento sobre subtotal]])</f>
        <v>0</v>
      </c>
      <c r="P534" s="74">
        <v>0</v>
      </c>
      <c r="Q534" s="22">
        <f>+PROVEEDORES[[#This Row],[Rete Fuente %]]*(PROVEEDORES[[#This Row],[SUBTOTAL]]-PROVEEDORES[[#This Row],[descuento sobre subtotal]])</f>
        <v>0</v>
      </c>
      <c r="R534" s="21">
        <f>+PROVEEDORES[[#This Row],[SUBTOTAL]]+PROVEEDORES[[#This Row],[IVA 19%]]-PROVEEDORES[[#This Row],[descuento sobre subtotal]]-PROVEEDORES[[#This Row],[Descuento sobre subtotal $2]]-PROVEEDORES[[#This Row],[Rete Fuente $]]</f>
        <v>18293.87</v>
      </c>
      <c r="S53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63">
        <f ca="1">IF(PROVEEDORES[[#This Row],[FECHA DE PAGO]]=0,TODAY()-PROVEEDORES[[#This Row],[FECHA DE FACTURACIÓN]]-PROVEEDORES[[#This Row],[PLAZO Días]],0)</f>
        <v>0</v>
      </c>
      <c r="U534" s="104" t="str">
        <f>+VLOOKUP(PROVEEDORES[[#This Row],[PROVEEDOR]],Terceros!$A:$D,4,FALSE)</f>
        <v>4% sin base</v>
      </c>
      <c r="V534" s="105">
        <f>+YEAR(PROVEEDORES[[#This Row],[FECHA DE FACTURACIÓN]])</f>
        <v>2022</v>
      </c>
      <c r="W534" s="105">
        <f>+MATCH(PROVEEDORES[[#This Row],[año facturado]],Retenciones!$1:$1,0)</f>
        <v>5</v>
      </c>
      <c r="X534" s="106">
        <f>+VLOOKUP(PROVEEDORES[[#This Row],[ID RETENCION]],Retenciones!$A$1:$O$25,PROVEEDORES[[#This Row],[indicador de columna]],FALSE)</f>
        <v>0</v>
      </c>
      <c r="Y534" s="107">
        <f>+VLOOKUP(PROVEEDORES[[#This Row],[ID RETENCION]],Retenciones!$A$1:$O$25,2,FALSE)</f>
        <v>0.04</v>
      </c>
      <c r="Z534" s="116" t="b">
        <f>OR(COUNTIF(PROVEEDORES[[#This Row],[PROVEEDOR]],"*"&amp;'Palabra no opera'!$A$2&amp;"*"))</f>
        <v>1</v>
      </c>
    </row>
    <row r="535" spans="1:26" ht="22.35" customHeight="1" x14ac:dyDescent="0.3">
      <c r="A535" s="148" t="str">
        <f>+IF(PROVEEDORES[[#This Row],[FECHA DE PAGO]]=PROVEEDORES[[#This Row],[FECHA DE FACTURACIÓN]],"DE CONTADO","CRÉDITO")</f>
        <v>CRÉDITO</v>
      </c>
      <c r="B535" s="38" t="b">
        <f>+IF((PROVEEDORES[[#This Row],[FECHA DE PAGO]]-PROVEEDORES[[#This Row],[FECHA DE FACTURACIÓN]])&gt;PROVEEDORES[[#This Row],[PLAZO Días]],"PAGO VENCIDO")</f>
        <v>0</v>
      </c>
      <c r="C535" s="20">
        <f>+VLOOKUP(PROVEEDORES[[#This Row],[PROVEEDOR]],TERCEROS_INFO[#All],2,FALSE)</f>
        <v>30</v>
      </c>
      <c r="D535" s="25">
        <f>+SUMIFS(PROVEEDORES[Total],PROVEEDORES[PROVEEDOR],PROVEEDORES[[#This Row],[PROVEEDOR]],PROVEEDORES[FECHA DE PAGO],"")</f>
        <v>0</v>
      </c>
      <c r="E535" s="25"/>
      <c r="F53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35" s="68">
        <v>44750</v>
      </c>
      <c r="H535" s="26" t="s">
        <v>623</v>
      </c>
      <c r="I535" s="68">
        <v>44743</v>
      </c>
      <c r="J535" s="35" t="s">
        <v>792</v>
      </c>
      <c r="K535" s="21">
        <v>791781</v>
      </c>
      <c r="L535" s="21"/>
      <c r="M535" s="22">
        <f>(PROVEEDORES[[#This Row],[SUBTOTAL]]-PROVEEDORES[[#This Row],[descuento sobre subtotal]])*VLOOKUP(PROVEEDORES[[#This Row],[PROVEEDOR]],TERCEROS_INFO[#All],3,FALSE)</f>
        <v>150438.39000000001</v>
      </c>
      <c r="N535" s="23"/>
      <c r="O535" s="22">
        <f>+PROVEEDORES[[#This Row],[Descuento sobre subtotal %]]*(PROVEEDORES[[#This Row],[SUBTOTAL]]-PROVEEDORES[[#This Row],[descuento sobre subtotal]])</f>
        <v>0</v>
      </c>
      <c r="P535" s="74">
        <v>0</v>
      </c>
      <c r="Q535" s="22">
        <f>+PROVEEDORES[[#This Row],[Rete Fuente %]]*(PROVEEDORES[[#This Row],[SUBTOTAL]]-PROVEEDORES[[#This Row],[descuento sobre subtotal]])</f>
        <v>0</v>
      </c>
      <c r="R535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53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63">
        <f ca="1">IF(PROVEEDORES[[#This Row],[FECHA DE PAGO]]=0,TODAY()-PROVEEDORES[[#This Row],[FECHA DE FACTURACIÓN]]-PROVEEDORES[[#This Row],[PLAZO Días]],0)</f>
        <v>0</v>
      </c>
      <c r="U535" s="104" t="str">
        <f>+VLOOKUP(PROVEEDORES[[#This Row],[PROVEEDOR]],Terceros!$A:$D,4,FALSE)</f>
        <v>4% sin base</v>
      </c>
      <c r="V535" s="105">
        <f>+YEAR(PROVEEDORES[[#This Row],[FECHA DE FACTURACIÓN]])</f>
        <v>2022</v>
      </c>
      <c r="W535" s="105">
        <f>+MATCH(PROVEEDORES[[#This Row],[año facturado]],Retenciones!$1:$1,0)</f>
        <v>5</v>
      </c>
      <c r="X535" s="106">
        <f>+VLOOKUP(PROVEEDORES[[#This Row],[ID RETENCION]],Retenciones!$A$1:$O$25,PROVEEDORES[[#This Row],[indicador de columna]],FALSE)</f>
        <v>0</v>
      </c>
      <c r="Y535" s="107">
        <f>+VLOOKUP(PROVEEDORES[[#This Row],[ID RETENCION]],Retenciones!$A$1:$O$25,2,FALSE)</f>
        <v>0.04</v>
      </c>
      <c r="Z535" s="116" t="b">
        <f>OR(COUNTIF(PROVEEDORES[[#This Row],[PROVEEDOR]],"*"&amp;'Palabra no opera'!$A$2&amp;"*"))</f>
        <v>1</v>
      </c>
    </row>
    <row r="536" spans="1:26" ht="22.35" customHeight="1" x14ac:dyDescent="0.3">
      <c r="A536" s="148" t="str">
        <f>+IF(PROVEEDORES[[#This Row],[FECHA DE PAGO]]=PROVEEDORES[[#This Row],[FECHA DE FACTURACIÓN]],"DE CONTADO","CRÉDITO")</f>
        <v>CRÉDITO</v>
      </c>
      <c r="B536" s="38" t="b">
        <f>+IF((PROVEEDORES[[#This Row],[FECHA DE PAGO]]-PROVEEDORES[[#This Row],[FECHA DE FACTURACIÓN]])&gt;PROVEEDORES[[#This Row],[PLAZO Días]],"PAGO VENCIDO")</f>
        <v>0</v>
      </c>
      <c r="C536" s="20">
        <f>+VLOOKUP(PROVEEDORES[[#This Row],[PROVEEDOR]],TERCEROS_INFO[#All],2,FALSE)</f>
        <v>30</v>
      </c>
      <c r="D536" s="25">
        <f>+SUMIFS(PROVEEDORES[Total],PROVEEDORES[PROVEEDOR],PROVEEDORES[[#This Row],[PROVEEDOR]],PROVEEDORES[FECHA DE PAGO],"")</f>
        <v>0</v>
      </c>
      <c r="E536" s="25"/>
      <c r="F53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36" s="68">
        <v>44750</v>
      </c>
      <c r="H536" s="26" t="s">
        <v>623</v>
      </c>
      <c r="I536" s="68">
        <v>44743</v>
      </c>
      <c r="J536" s="35" t="s">
        <v>791</v>
      </c>
      <c r="K536" s="21">
        <v>3294426</v>
      </c>
      <c r="L536" s="21"/>
      <c r="M536" s="22">
        <f>(PROVEEDORES[[#This Row],[SUBTOTAL]]-PROVEEDORES[[#This Row],[descuento sobre subtotal]])*VLOOKUP(PROVEEDORES[[#This Row],[PROVEEDOR]],TERCEROS_INFO[#All],3,FALSE)</f>
        <v>625940.94000000006</v>
      </c>
      <c r="N536" s="23"/>
      <c r="O536" s="22">
        <f>+PROVEEDORES[[#This Row],[Descuento sobre subtotal %]]*(PROVEEDORES[[#This Row],[SUBTOTAL]]-PROVEEDORES[[#This Row],[descuento sobre subtotal]])</f>
        <v>0</v>
      </c>
      <c r="P536" s="74">
        <v>0</v>
      </c>
      <c r="Q536" s="22">
        <f>+PROVEEDORES[[#This Row],[Rete Fuente %]]*(PROVEEDORES[[#This Row],[SUBTOTAL]]-PROVEEDORES[[#This Row],[descuento sobre subtotal]])</f>
        <v>0</v>
      </c>
      <c r="R536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53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63">
        <f ca="1">IF(PROVEEDORES[[#This Row],[FECHA DE PAGO]]=0,TODAY()-PROVEEDORES[[#This Row],[FECHA DE FACTURACIÓN]]-PROVEEDORES[[#This Row],[PLAZO Días]],0)</f>
        <v>0</v>
      </c>
      <c r="U536" s="104" t="str">
        <f>+VLOOKUP(PROVEEDORES[[#This Row],[PROVEEDOR]],Terceros!$A:$D,4,FALSE)</f>
        <v>4% sin base</v>
      </c>
      <c r="V536" s="105">
        <f>+YEAR(PROVEEDORES[[#This Row],[FECHA DE FACTURACIÓN]])</f>
        <v>2022</v>
      </c>
      <c r="W536" s="105">
        <f>+MATCH(PROVEEDORES[[#This Row],[año facturado]],Retenciones!$1:$1,0)</f>
        <v>5</v>
      </c>
      <c r="X536" s="106">
        <f>+VLOOKUP(PROVEEDORES[[#This Row],[ID RETENCION]],Retenciones!$A$1:$O$25,PROVEEDORES[[#This Row],[indicador de columna]],FALSE)</f>
        <v>0</v>
      </c>
      <c r="Y536" s="107">
        <f>+VLOOKUP(PROVEEDORES[[#This Row],[ID RETENCION]],Retenciones!$A$1:$O$25,2,FALSE)</f>
        <v>0.04</v>
      </c>
      <c r="Z536" s="116" t="b">
        <f>OR(COUNTIF(PROVEEDORES[[#This Row],[PROVEEDOR]],"*"&amp;'Palabra no opera'!$A$2&amp;"*"))</f>
        <v>1</v>
      </c>
    </row>
    <row r="537" spans="1:26" ht="22.35" customHeight="1" x14ac:dyDescent="0.3">
      <c r="A537" s="67" t="str">
        <f>+IF(PROVEEDORES[[#This Row],[FECHA DE PAGO]]=PROVEEDORES[[#This Row],[FECHA DE FACTURACIÓN]],"DE CONTADO","CRÉDITO")</f>
        <v>DE CONTADO</v>
      </c>
      <c r="B537" s="38" t="b">
        <f>+IF((PROVEEDORES[[#This Row],[FECHA DE PAGO]]-PROVEEDORES[[#This Row],[FECHA DE FACTURACIÓN]])&gt;PROVEEDORES[[#This Row],[PLAZO Días]],"PAGO VENCIDO")</f>
        <v>0</v>
      </c>
      <c r="C537" s="20">
        <f>+VLOOKUP(PROVEEDORES[[#This Row],[PROVEEDOR]],TERCEROS_INFO[#All],2,FALSE)</f>
        <v>30</v>
      </c>
      <c r="D537" s="25">
        <f>+SUMIFS(PROVEEDORES[Total],PROVEEDORES[PROVEEDOR],PROVEEDORES[[#This Row],[PROVEEDOR]],PROVEEDORES[FECHA DE PAGO],"")</f>
        <v>0</v>
      </c>
      <c r="E537" s="25"/>
      <c r="F537" s="56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537" s="68">
        <v>44750</v>
      </c>
      <c r="H537" s="26" t="s">
        <v>814</v>
      </c>
      <c r="I537" s="68">
        <v>44750</v>
      </c>
      <c r="J537" s="35">
        <v>17198</v>
      </c>
      <c r="K537" s="21">
        <v>252825</v>
      </c>
      <c r="L537" s="21"/>
      <c r="M537" s="22">
        <f>(PROVEEDORES[[#This Row],[SUBTOTAL]]-PROVEEDORES[[#This Row],[descuento sobre subtotal]])*VLOOKUP(PROVEEDORES[[#This Row],[PROVEEDOR]],TERCEROS_INFO[#All],3,FALSE)</f>
        <v>48036.75</v>
      </c>
      <c r="N537" s="23"/>
      <c r="O537" s="22">
        <f>+PROVEEDORES[[#This Row],[Descuento sobre subtotal %]]*(PROVEEDORES[[#This Row],[SUBTOTAL]]-PROVEEDORES[[#This Row],[descuento sobre subtotal]])</f>
        <v>0</v>
      </c>
      <c r="P537" s="74">
        <f>+IF(PROVEEDORES[[#This Row],[SUBTOTAL]]&lt;PROVEEDORES[[#This Row],[base retencion]],0,PROVEEDORES[[#This Row],[retención aplicada]])</f>
        <v>0</v>
      </c>
      <c r="Q537" s="22">
        <f>+PROVEEDORES[[#This Row],[Rete Fuente %]]*(PROVEEDORES[[#This Row],[SUBTOTAL]]-PROVEEDORES[[#This Row],[descuento sobre subtotal]])</f>
        <v>0</v>
      </c>
      <c r="R537" s="21">
        <f>+PROVEEDORES[[#This Row],[SUBTOTAL]]+PROVEEDORES[[#This Row],[IVA 19%]]-PROVEEDORES[[#This Row],[descuento sobre subtotal]]-PROVEEDORES[[#This Row],[Descuento sobre subtotal $2]]-PROVEEDORES[[#This Row],[Rete Fuente $]]</f>
        <v>300861.75</v>
      </c>
      <c r="S53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63">
        <f ca="1">IF(PROVEEDORES[[#This Row],[FECHA DE PAGO]]=0,TODAY()-PROVEEDORES[[#This Row],[FECHA DE FACTURACIÓN]]-PROVEEDORES[[#This Row],[PLAZO Días]],0)</f>
        <v>0</v>
      </c>
      <c r="U537" s="104">
        <f>+VLOOKUP(PROVEEDORES[[#This Row],[PROVEEDOR]],Terceros!$A:$D,4,FALSE)</f>
        <v>0</v>
      </c>
      <c r="V537" s="105">
        <f>+YEAR(PROVEEDORES[[#This Row],[FECHA DE FACTURACIÓN]])</f>
        <v>2022</v>
      </c>
      <c r="W537" s="105">
        <f>+MATCH(PROVEEDORES[[#This Row],[año facturado]],Retenciones!$1:$1,0)</f>
        <v>5</v>
      </c>
      <c r="X537" s="106">
        <f>+VLOOKUP(PROVEEDORES[[#This Row],[ID RETENCION]],Retenciones!$A$1:$O$25,PROVEEDORES[[#This Row],[indicador de columna]],FALSE)</f>
        <v>0</v>
      </c>
      <c r="Y537" s="107">
        <f>+VLOOKUP(PROVEEDORES[[#This Row],[ID RETENCION]],Retenciones!$A$1:$O$25,2,FALSE)</f>
        <v>0</v>
      </c>
      <c r="Z537" s="116" t="b">
        <f>OR(COUNTIF(PROVEEDORES[[#This Row],[PROVEEDOR]],"*"&amp;'Palabra no opera'!$A$2&amp;"*"))</f>
        <v>1</v>
      </c>
    </row>
    <row r="538" spans="1:26" ht="22.35" customHeight="1" x14ac:dyDescent="0.3">
      <c r="A538" s="114" t="str">
        <f>+IF(PROVEEDORES[[#This Row],[FECHA DE PAGO]]=PROVEEDORES[[#This Row],[FECHA DE FACTURACIÓN]],"DE CONTADO","CRÉDITO")</f>
        <v>CRÉDITO</v>
      </c>
      <c r="B538" s="38" t="str">
        <f>+IF((PROVEEDORES[[#This Row],[FECHA DE PAGO]]-PROVEEDORES[[#This Row],[FECHA DE FACTURACIÓN]])&gt;PROVEEDORES[[#This Row],[PLAZO Días]],"PAGO VENCIDO")</f>
        <v>PAGO VENCIDO</v>
      </c>
      <c r="C538" s="20">
        <f>+VLOOKUP(PROVEEDORES[[#This Row],[PROVEEDOR]],TERCEROS_INFO[#All],2,FALSE)</f>
        <v>30</v>
      </c>
      <c r="D538" s="25">
        <f>+SUMIFS(PROVEEDORES[Total],PROVEEDORES[PROVEEDOR],PROVEEDORES[[#This Row],[PROVEEDOR]],PROVEEDORES[FECHA DE PAGO],"")</f>
        <v>121187115</v>
      </c>
      <c r="E538" s="25"/>
      <c r="F538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538" s="68">
        <v>44750</v>
      </c>
      <c r="H538" s="26" t="s">
        <v>31</v>
      </c>
      <c r="I538" s="68">
        <v>44664</v>
      </c>
      <c r="J538" s="35">
        <v>56405</v>
      </c>
      <c r="K538" s="21">
        <f>16087.1*4000</f>
        <v>64348400</v>
      </c>
      <c r="L538" s="21"/>
      <c r="M538" s="22">
        <f>(PROVEEDORES[[#This Row],[SUBTOTAL]]-PROVEEDORES[[#This Row],[descuento sobre subtotal]])*VLOOKUP(PROVEEDORES[[#This Row],[PROVEEDOR]],TERCEROS_INFO[#All],3,FALSE)</f>
        <v>0</v>
      </c>
      <c r="N538" s="23"/>
      <c r="O538" s="22">
        <f>+PROVEEDORES[[#This Row],[Descuento sobre subtotal %]]*(PROVEEDORES[[#This Row],[SUBTOTAL]]-PROVEEDORES[[#This Row],[descuento sobre subtotal]])</f>
        <v>0</v>
      </c>
      <c r="P538" s="74">
        <f>+IF(PROVEEDORES[[#This Row],[SUBTOTAL]]&lt;PROVEEDORES[[#This Row],[base retencion]],0,PROVEEDORES[[#This Row],[retención aplicada]])</f>
        <v>0</v>
      </c>
      <c r="Q538" s="22">
        <f>+PROVEEDORES[[#This Row],[Rete Fuente %]]*(PROVEEDORES[[#This Row],[SUBTOTAL]]-PROVEEDORES[[#This Row],[descuento sobre subtotal]])</f>
        <v>0</v>
      </c>
      <c r="R538" s="21">
        <f>+PROVEEDORES[[#This Row],[SUBTOTAL]]+PROVEEDORES[[#This Row],[IVA 19%]]-PROVEEDORES[[#This Row],[descuento sobre subtotal]]-PROVEEDORES[[#This Row],[Descuento sobre subtotal $2]]-PROVEEDORES[[#This Row],[Rete Fuente $]]</f>
        <v>64348400</v>
      </c>
      <c r="S538" s="1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63">
        <f ca="1">IF(PROVEEDORES[[#This Row],[FECHA DE PAGO]]=0,TODAY()-PROVEEDORES[[#This Row],[FECHA DE FACTURACIÓN]]-PROVEEDORES[[#This Row],[PLAZO Días]],0)</f>
        <v>0</v>
      </c>
      <c r="U538" s="104">
        <f>+VLOOKUP(PROVEEDORES[[#This Row],[PROVEEDOR]],Terceros!$A:$D,4,FALSE)</f>
        <v>0</v>
      </c>
      <c r="V538" s="105">
        <f>+YEAR(PROVEEDORES[[#This Row],[FECHA DE FACTURACIÓN]])</f>
        <v>2022</v>
      </c>
      <c r="W538" s="105">
        <f>+MATCH(PROVEEDORES[[#This Row],[año facturado]],Retenciones!$1:$1,0)</f>
        <v>5</v>
      </c>
      <c r="X538" s="106">
        <f>+VLOOKUP(PROVEEDORES[[#This Row],[ID RETENCION]],Retenciones!$A$1:$O$25,PROVEEDORES[[#This Row],[indicador de columna]],FALSE)</f>
        <v>0</v>
      </c>
      <c r="Y538" s="107">
        <f>+VLOOKUP(PROVEEDORES[[#This Row],[ID RETENCION]],Retenciones!$A$1:$O$25,2,FALSE)</f>
        <v>0</v>
      </c>
      <c r="Z538" s="116" t="b">
        <f>OR(COUNTIF(PROVEEDORES[[#This Row],[PROVEEDOR]],"*"&amp;'Palabra no opera'!$A$2&amp;"*"))</f>
        <v>0</v>
      </c>
    </row>
    <row r="539" spans="1:26" ht="22.35" customHeight="1" x14ac:dyDescent="0.3">
      <c r="A539" s="148" t="str">
        <f>+IF(PROVEEDORES[[#This Row],[FECHA DE PAGO]]=PROVEEDORES[[#This Row],[FECHA DE FACTURACIÓN]],"DE CONTADO","CRÉDITO")</f>
        <v>CRÉDITO</v>
      </c>
      <c r="B539" s="38" t="b">
        <f>+IF((PROVEEDORES[[#This Row],[FECHA DE PAGO]]-PROVEEDORES[[#This Row],[FECHA DE FACTURACIÓN]])&gt;PROVEEDORES[[#This Row],[PLAZO Días]],"PAGO VENCIDO")</f>
        <v>0</v>
      </c>
      <c r="C539" s="20">
        <f>+VLOOKUP(PROVEEDORES[[#This Row],[PROVEEDOR]],TERCEROS_INFO[#All],2,FALSE)</f>
        <v>30</v>
      </c>
      <c r="D539" s="25">
        <f>+SUMIFS(PROVEEDORES[Total],PROVEEDORES[PROVEEDOR],PROVEEDORES[[#This Row],[PROVEEDOR]],PROVEEDORES[FECHA DE PAGO],"")</f>
        <v>0</v>
      </c>
      <c r="E539" s="25"/>
      <c r="F539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539" s="68">
        <v>44750</v>
      </c>
      <c r="H539" s="26" t="s">
        <v>628</v>
      </c>
      <c r="I539" s="68">
        <v>44743</v>
      </c>
      <c r="J539" s="35">
        <v>10958</v>
      </c>
      <c r="K539" s="21">
        <v>1649859</v>
      </c>
      <c r="L539" s="21"/>
      <c r="M539" s="22">
        <f>(PROVEEDORES[[#This Row],[SUBTOTAL]]-PROVEEDORES[[#This Row],[descuento sobre subtotal]])*VLOOKUP(PROVEEDORES[[#This Row],[PROVEEDOR]],TERCEROS_INFO[#All],3,FALSE)</f>
        <v>0</v>
      </c>
      <c r="N539" s="23"/>
      <c r="O539" s="22">
        <f>+PROVEEDORES[[#This Row],[Descuento sobre subtotal %]]*(PROVEEDORES[[#This Row],[SUBTOTAL]]-PROVEEDORES[[#This Row],[descuento sobre subtotal]])</f>
        <v>0</v>
      </c>
      <c r="P539" s="74">
        <f>+IF(PROVEEDORES[[#This Row],[SUBTOTAL]]&lt;PROVEEDORES[[#This Row],[base retencion]],0,PROVEEDORES[[#This Row],[retención aplicada]])</f>
        <v>0</v>
      </c>
      <c r="Q539" s="22">
        <f>+PROVEEDORES[[#This Row],[Rete Fuente %]]*(PROVEEDORES[[#This Row],[SUBTOTAL]]-PROVEEDORES[[#This Row],[descuento sobre subtotal]])</f>
        <v>0</v>
      </c>
      <c r="R539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53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63">
        <f ca="1">IF(PROVEEDORES[[#This Row],[FECHA DE PAGO]]=0,TODAY()-PROVEEDORES[[#This Row],[FECHA DE FACTURACIÓN]]-PROVEEDORES[[#This Row],[PLAZO Días]],0)</f>
        <v>0</v>
      </c>
      <c r="U539" s="104">
        <f>+VLOOKUP(PROVEEDORES[[#This Row],[PROVEEDOR]],Terceros!$A:$D,4,FALSE)</f>
        <v>0</v>
      </c>
      <c r="V539" s="105">
        <f>+YEAR(PROVEEDORES[[#This Row],[FECHA DE FACTURACIÓN]])</f>
        <v>2022</v>
      </c>
      <c r="W539" s="105">
        <f>+MATCH(PROVEEDORES[[#This Row],[año facturado]],Retenciones!$1:$1,0)</f>
        <v>5</v>
      </c>
      <c r="X539" s="106">
        <f>+VLOOKUP(PROVEEDORES[[#This Row],[ID RETENCION]],Retenciones!$A$1:$O$25,PROVEEDORES[[#This Row],[indicador de columna]],FALSE)</f>
        <v>0</v>
      </c>
      <c r="Y539" s="107">
        <f>+VLOOKUP(PROVEEDORES[[#This Row],[ID RETENCION]],Retenciones!$A$1:$O$25,2,FALSE)</f>
        <v>0</v>
      </c>
      <c r="Z539" s="116" t="b">
        <f>OR(COUNTIF(PROVEEDORES[[#This Row],[PROVEEDOR]],"*"&amp;'Palabra no opera'!$A$2&amp;"*"))</f>
        <v>1</v>
      </c>
    </row>
    <row r="540" spans="1:26" ht="22.35" customHeight="1" x14ac:dyDescent="0.3">
      <c r="A540" s="124" t="str">
        <f>+IF(PROVEEDORES[[#This Row],[FECHA DE PAGO]]=PROVEEDORES[[#This Row],[FECHA DE FACTURACIÓN]],"DE CONTADO","CRÉDITO")</f>
        <v>CRÉDITO</v>
      </c>
      <c r="B540" s="38" t="str">
        <f>+IF((PROVEEDORES[[#This Row],[FECHA DE PAGO]]-PROVEEDORES[[#This Row],[FECHA DE FACTURACIÓN]])&gt;PROVEEDORES[[#This Row],[PLAZO Días]],"PAGO VENCIDO")</f>
        <v>PAGO VENCIDO</v>
      </c>
      <c r="C540" s="20">
        <f>+VLOOKUP(PROVEEDORES[[#This Row],[PROVEEDOR]],TERCEROS_INFO[#All],2,FALSE)</f>
        <v>30</v>
      </c>
      <c r="D540" s="25">
        <f>+SUMIFS(PROVEEDORES[Total],PROVEEDORES[PROVEEDOR],PROVEEDORES[[#This Row],[PROVEEDOR]],PROVEEDORES[FECHA DE PAGO],"")</f>
        <v>10321993.199999999</v>
      </c>
      <c r="E540" s="25"/>
      <c r="F540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40" s="68">
        <v>44750</v>
      </c>
      <c r="H540" s="26" t="s">
        <v>1068</v>
      </c>
      <c r="I540" s="68">
        <v>44688</v>
      </c>
      <c r="J540" s="35">
        <v>25703</v>
      </c>
      <c r="K540" s="21">
        <v>1728540</v>
      </c>
      <c r="L540" s="21">
        <v>157140</v>
      </c>
      <c r="M540" s="22">
        <f>(PROVEEDORES[[#This Row],[SUBTOTAL]]-PROVEEDORES[[#This Row],[descuento sobre subtotal]])*VLOOKUP(PROVEEDORES[[#This Row],[PROVEEDOR]],TERCEROS_INFO[#All],3,FALSE)</f>
        <v>298566</v>
      </c>
      <c r="N540" s="23"/>
      <c r="O540" s="22">
        <f>+PROVEEDORES[[#This Row],[Descuento sobre subtotal %]]*(PROVEEDORES[[#This Row],[SUBTOTAL]]-PROVEEDORES[[#This Row],[descuento sobre subtotal]])</f>
        <v>0</v>
      </c>
      <c r="P540" s="74">
        <f>+IF(PROVEEDORES[[#This Row],[SUBTOTAL]]&lt;PROVEEDORES[[#This Row],[base retencion]],0,PROVEEDORES[[#This Row],[retención aplicada]])</f>
        <v>2.5000000000000001E-2</v>
      </c>
      <c r="Q540" s="22">
        <f>+PROVEEDORES[[#This Row],[Rete Fuente %]]*(PROVEEDORES[[#This Row],[SUBTOTAL]]-PROVEEDORES[[#This Row],[descuento sobre subtotal]])</f>
        <v>39285</v>
      </c>
      <c r="R540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540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63">
        <f ca="1">IF(PROVEEDORES[[#This Row],[FECHA DE PAGO]]=0,TODAY()-PROVEEDORES[[#This Row],[FECHA DE FACTURACIÓN]]-PROVEEDORES[[#This Row],[PLAZO Días]],0)</f>
        <v>0</v>
      </c>
      <c r="U540" s="104" t="str">
        <f>+VLOOKUP(PROVEEDORES[[#This Row],[PROVEEDOR]],Terceros!$A:$D,4,FALSE)</f>
        <v>2,5% con base</v>
      </c>
      <c r="V540" s="105">
        <f>+YEAR(PROVEEDORES[[#This Row],[FECHA DE FACTURACIÓN]])</f>
        <v>2022</v>
      </c>
      <c r="W540" s="105">
        <f>+MATCH(PROVEEDORES[[#This Row],[año facturado]],Retenciones!$1:$1,0)</f>
        <v>5</v>
      </c>
      <c r="X540" s="106">
        <f>+VLOOKUP(PROVEEDORES[[#This Row],[ID RETENCION]],Retenciones!$A$1:$O$25,PROVEEDORES[[#This Row],[indicador de columna]],FALSE)</f>
        <v>1026000</v>
      </c>
      <c r="Y540" s="107">
        <f>+VLOOKUP(PROVEEDORES[[#This Row],[ID RETENCION]],Retenciones!$A$1:$O$25,2,FALSE)</f>
        <v>2.5000000000000001E-2</v>
      </c>
      <c r="Z540" s="116" t="b">
        <f>OR(COUNTIF(PROVEEDORES[[#This Row],[PROVEEDOR]],"*"&amp;'Palabra no opera'!$A$2&amp;"*"))</f>
        <v>0</v>
      </c>
    </row>
    <row r="541" spans="1:26" ht="22.35" customHeight="1" x14ac:dyDescent="0.3">
      <c r="A541" s="129" t="str">
        <f>+IF(PROVEEDORES[[#This Row],[FECHA DE PAGO]]=PROVEEDORES[[#This Row],[FECHA DE FACTURACIÓN]],"DE CONTADO","CRÉDITO")</f>
        <v>CRÉDITO</v>
      </c>
      <c r="B541" s="38" t="str">
        <f>+IF((PROVEEDORES[[#This Row],[FECHA DE PAGO]]-PROVEEDORES[[#This Row],[FECHA DE FACTURACIÓN]])&gt;PROVEEDORES[[#This Row],[PLAZO Días]],"PAGO VENCIDO")</f>
        <v>PAGO VENCIDO</v>
      </c>
      <c r="C541" s="20">
        <f>+VLOOKUP(PROVEEDORES[[#This Row],[PROVEEDOR]],TERCEROS_INFO[#All],2,FALSE)</f>
        <v>45</v>
      </c>
      <c r="D541" s="25">
        <f>+SUMIFS(PROVEEDORES[Total],PROVEEDORES[PROVEEDOR],PROVEEDORES[[#This Row],[PROVEEDOR]],PROVEEDORES[FECHA DE PAGO],"")</f>
        <v>15770594</v>
      </c>
      <c r="E541" s="25"/>
      <c r="F54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541" s="68">
        <v>44750</v>
      </c>
      <c r="H541" s="26" t="s">
        <v>19</v>
      </c>
      <c r="I541" s="68">
        <v>44694</v>
      </c>
      <c r="J541" s="35" t="s">
        <v>680</v>
      </c>
      <c r="K541" s="21">
        <v>11010000</v>
      </c>
      <c r="L541" s="21"/>
      <c r="M541" s="22">
        <f>(PROVEEDORES[[#This Row],[SUBTOTAL]]-PROVEEDORES[[#This Row],[descuento sobre subtotal]])*VLOOKUP(PROVEEDORES[[#This Row],[PROVEEDOR]],TERCEROS_INFO[#All],3,FALSE)</f>
        <v>2091900</v>
      </c>
      <c r="N541" s="23"/>
      <c r="O541" s="22">
        <f>+PROVEEDORES[[#This Row],[Descuento sobre subtotal %]]*(PROVEEDORES[[#This Row],[SUBTOTAL]]-PROVEEDORES[[#This Row],[descuento sobre subtotal]])</f>
        <v>0</v>
      </c>
      <c r="P541" s="74">
        <f>+IF(PROVEEDORES[[#This Row],[SUBTOTAL]]&lt;PROVEEDORES[[#This Row],[base retencion]],0,PROVEEDORES[[#This Row],[retención aplicada]])</f>
        <v>0</v>
      </c>
      <c r="Q541" s="22">
        <f>+PROVEEDORES[[#This Row],[Rete Fuente %]]*(PROVEEDORES[[#This Row],[SUBTOTAL]]-PROVEEDORES[[#This Row],[descuento sobre subtotal]])</f>
        <v>0</v>
      </c>
      <c r="R541" s="21">
        <f>+PROVEEDORES[[#This Row],[SUBTOTAL]]+PROVEEDORES[[#This Row],[IVA 19%]]-PROVEEDORES[[#This Row],[descuento sobre subtotal]]-PROVEEDORES[[#This Row],[Descuento sobre subtotal $2]]-PROVEEDORES[[#This Row],[Rete Fuente $]]</f>
        <v>13101900</v>
      </c>
      <c r="S541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63">
        <f ca="1">IF(PROVEEDORES[[#This Row],[FECHA DE PAGO]]=0,TODAY()-PROVEEDORES[[#This Row],[FECHA DE FACTURACIÓN]]-PROVEEDORES[[#This Row],[PLAZO Días]],0)</f>
        <v>0</v>
      </c>
      <c r="U541" s="104">
        <f>+VLOOKUP(PROVEEDORES[[#This Row],[PROVEEDOR]],Terceros!$A:$D,4,FALSE)</f>
        <v>0</v>
      </c>
      <c r="V541" s="105">
        <f>+YEAR(PROVEEDORES[[#This Row],[FECHA DE FACTURACIÓN]])</f>
        <v>2022</v>
      </c>
      <c r="W541" s="105">
        <f>+MATCH(PROVEEDORES[[#This Row],[año facturado]],Retenciones!$1:$1,0)</f>
        <v>5</v>
      </c>
      <c r="X541" s="106">
        <f>+VLOOKUP(PROVEEDORES[[#This Row],[ID RETENCION]],Retenciones!$A$1:$O$25,PROVEEDORES[[#This Row],[indicador de columna]],FALSE)</f>
        <v>0</v>
      </c>
      <c r="Y541" s="107">
        <f>+VLOOKUP(PROVEEDORES[[#This Row],[ID RETENCION]],Retenciones!$A$1:$O$25,2,FALSE)</f>
        <v>0</v>
      </c>
      <c r="Z541" s="116" t="b">
        <f>OR(COUNTIF(PROVEEDORES[[#This Row],[PROVEEDOR]],"*"&amp;'Palabra no opera'!$A$2&amp;"*"))</f>
        <v>0</v>
      </c>
    </row>
    <row r="542" spans="1:26" ht="22.35" customHeight="1" x14ac:dyDescent="0.3">
      <c r="A542" s="157" t="str">
        <f>+IF(PROVEEDORES[[#This Row],[FECHA DE PAGO]]=PROVEEDORES[[#This Row],[FECHA DE FACTURACIÓN]],"DE CONTADO","CRÉDITO")</f>
        <v>CRÉDITO</v>
      </c>
      <c r="B542" s="38" t="b">
        <f>+IF((PROVEEDORES[[#This Row],[FECHA DE PAGO]]-PROVEEDORES[[#This Row],[FECHA DE FACTURACIÓN]])&gt;PROVEEDORES[[#This Row],[PLAZO Días]],"PAGO VENCIDO")</f>
        <v>0</v>
      </c>
      <c r="C542" s="20">
        <f>+VLOOKUP(PROVEEDORES[[#This Row],[PROVEEDOR]],TERCEROS_INFO[#All],2,FALSE)</f>
        <v>13</v>
      </c>
      <c r="D542" s="25">
        <f>+SUMIFS(PROVEEDORES[Total],PROVEEDORES[PROVEEDOR],PROVEEDORES[[#This Row],[PROVEEDOR]],PROVEEDORES[FECHA DE PAGO],"")</f>
        <v>0</v>
      </c>
      <c r="E542" s="25"/>
      <c r="F542" s="56">
        <f>+VLOOKUP(PROVEEDORES[[#This Row],[PROVEEDOR]],
                       Terceros!$A:$F,
                       5,
                       FALSE)</f>
        <v>0</v>
      </c>
      <c r="G542" s="68">
        <v>44750</v>
      </c>
      <c r="H542" s="26" t="s">
        <v>644</v>
      </c>
      <c r="I542" s="68">
        <v>44743</v>
      </c>
      <c r="J542" s="35"/>
      <c r="K542" s="21">
        <v>1055464</v>
      </c>
      <c r="L542" s="21"/>
      <c r="M542" s="22">
        <f>(PROVEEDORES[[#This Row],[SUBTOTAL]]-PROVEEDORES[[#This Row],[descuento sobre subtotal]])*VLOOKUP(PROVEEDORES[[#This Row],[PROVEEDOR]],TERCEROS_INFO[#All],3,FALSE)</f>
        <v>0</v>
      </c>
      <c r="N542" s="23"/>
      <c r="O542" s="22">
        <f>+PROVEEDORES[[#This Row],[Descuento sobre subtotal %]]*(PROVEEDORES[[#This Row],[SUBTOTAL]]-PROVEEDORES[[#This Row],[descuento sobre subtotal]])</f>
        <v>0</v>
      </c>
      <c r="P542" s="74">
        <f>+IF(PROVEEDORES[[#This Row],[SUBTOTAL]]&lt;PROVEEDORES[[#This Row],[base retencion]],0,PROVEEDORES[[#This Row],[retención aplicada]])</f>
        <v>0</v>
      </c>
      <c r="Q542" s="22">
        <f>+PROVEEDORES[[#This Row],[Rete Fuente %]]*(PROVEEDORES[[#This Row],[SUBTOTAL]]-PROVEEDORES[[#This Row],[descuento sobre subtotal]])</f>
        <v>0</v>
      </c>
      <c r="R542" s="21">
        <f>+PROVEEDORES[[#This Row],[SUBTOTAL]]+PROVEEDORES[[#This Row],[IVA 19%]]-PROVEEDORES[[#This Row],[descuento sobre subtotal]]-PROVEEDORES[[#This Row],[Descuento sobre subtotal $2]]-PROVEEDORES[[#This Row],[Rete Fuente $]]</f>
        <v>1055464</v>
      </c>
      <c r="S542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63">
        <f ca="1">IF(PROVEEDORES[[#This Row],[FECHA DE PAGO]]=0,TODAY()-PROVEEDORES[[#This Row],[FECHA DE FACTURACIÓN]]-PROVEEDORES[[#This Row],[PLAZO Días]],0)</f>
        <v>0</v>
      </c>
      <c r="U542" s="104">
        <f>+VLOOKUP(PROVEEDORES[[#This Row],[PROVEEDOR]],Terceros!$A:$D,4,FALSE)</f>
        <v>0</v>
      </c>
      <c r="V542" s="105">
        <f>+YEAR(PROVEEDORES[[#This Row],[FECHA DE FACTURACIÓN]])</f>
        <v>2022</v>
      </c>
      <c r="W542" s="105">
        <f>+MATCH(PROVEEDORES[[#This Row],[año facturado]],Retenciones!$1:$1,0)</f>
        <v>5</v>
      </c>
      <c r="X542" s="106">
        <f>+VLOOKUP(PROVEEDORES[[#This Row],[ID RETENCION]],Retenciones!$A$1:$O$25,PROVEEDORES[[#This Row],[indicador de columna]],FALSE)</f>
        <v>0</v>
      </c>
      <c r="Y542" s="107">
        <f>+VLOOKUP(PROVEEDORES[[#This Row],[ID RETENCION]],Retenciones!$A$1:$O$25,2,FALSE)</f>
        <v>0</v>
      </c>
      <c r="Z542" s="116" t="b">
        <f>OR(COUNTIF(PROVEEDORES[[#This Row],[PROVEEDOR]],"*"&amp;'Palabra no opera'!$A$2&amp;"*"))</f>
        <v>1</v>
      </c>
    </row>
    <row r="543" spans="1:26" ht="22.35" customHeight="1" x14ac:dyDescent="0.3">
      <c r="A543" s="146" t="str">
        <f>+IF(PROVEEDORES[[#This Row],[FECHA DE PAGO]]=PROVEEDORES[[#This Row],[FECHA DE FACTURACIÓN]],"DE CONTADO","CRÉDITO")</f>
        <v>CRÉDITO</v>
      </c>
      <c r="B543" s="38" t="str">
        <f>+IF((PROVEEDORES[[#This Row],[FECHA DE PAGO]]-PROVEEDORES[[#This Row],[FECHA DE FACTURACIÓN]])&gt;PROVEEDORES[[#This Row],[PLAZO Días]],"PAGO VENCIDO")</f>
        <v>PAGO VENCIDO</v>
      </c>
      <c r="C543" s="20">
        <f>+VLOOKUP(PROVEEDORES[[#This Row],[PROVEEDOR]],TERCEROS_INFO[#All],2,FALSE)</f>
        <v>30</v>
      </c>
      <c r="D543" s="25">
        <f>+SUMIFS(PROVEEDORES[Total],PROVEEDORES[PROVEEDOR],PROVEEDORES[[#This Row],[PROVEEDOR]],PROVEEDORES[FECHA DE PAGO],"")</f>
        <v>18444236.894999996</v>
      </c>
      <c r="E543" s="25"/>
      <c r="F54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543" s="68">
        <v>44750</v>
      </c>
      <c r="H543" s="26" t="s">
        <v>11</v>
      </c>
      <c r="I543" s="68">
        <v>44715</v>
      </c>
      <c r="J543" s="35" t="s">
        <v>730</v>
      </c>
      <c r="K543" s="21">
        <v>2640000</v>
      </c>
      <c r="L543" s="21"/>
      <c r="M543" s="22">
        <f>(PROVEEDORES[[#This Row],[SUBTOTAL]]-PROVEEDORES[[#This Row],[descuento sobre subtotal]])*VLOOKUP(PROVEEDORES[[#This Row],[PROVEEDOR]],TERCEROS_INFO[#All],3,FALSE)</f>
        <v>501600</v>
      </c>
      <c r="N543" s="23"/>
      <c r="O543" s="22">
        <f>+PROVEEDORES[[#This Row],[Descuento sobre subtotal %]]*(PROVEEDORES[[#This Row],[SUBTOTAL]]-PROVEEDORES[[#This Row],[descuento sobre subtotal]])</f>
        <v>0</v>
      </c>
      <c r="P543" s="74">
        <f>+IF(PROVEEDORES[[#This Row],[SUBTOTAL]]&lt;PROVEEDORES[[#This Row],[base retencion]],0,PROVEEDORES[[#This Row],[retención aplicada]])</f>
        <v>2.5000000000000001E-2</v>
      </c>
      <c r="Q543" s="22">
        <f>+PROVEEDORES[[#This Row],[Rete Fuente %]]*(PROVEEDORES[[#This Row],[SUBTOTAL]]-PROVEEDORES[[#This Row],[descuento sobre subtotal]])</f>
        <v>66000</v>
      </c>
      <c r="R543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543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63">
        <f ca="1">IF(PROVEEDORES[[#This Row],[FECHA DE PAGO]]=0,TODAY()-PROVEEDORES[[#This Row],[FECHA DE FACTURACIÓN]]-PROVEEDORES[[#This Row],[PLAZO Días]],0)</f>
        <v>0</v>
      </c>
      <c r="U543" s="104" t="str">
        <f>+VLOOKUP(PROVEEDORES[[#This Row],[PROVEEDOR]],Terceros!$A:$D,4,FALSE)</f>
        <v>2,5% con base</v>
      </c>
      <c r="V543" s="105">
        <f>+YEAR(PROVEEDORES[[#This Row],[FECHA DE FACTURACIÓN]])</f>
        <v>2022</v>
      </c>
      <c r="W543" s="105">
        <f>+MATCH(PROVEEDORES[[#This Row],[año facturado]],Retenciones!$1:$1,0)</f>
        <v>5</v>
      </c>
      <c r="X543" s="106">
        <f>+VLOOKUP(PROVEEDORES[[#This Row],[ID RETENCION]],Retenciones!$A$1:$O$25,PROVEEDORES[[#This Row],[indicador de columna]],FALSE)</f>
        <v>1026000</v>
      </c>
      <c r="Y543" s="107">
        <f>+VLOOKUP(PROVEEDORES[[#This Row],[ID RETENCION]],Retenciones!$A$1:$O$25,2,FALSE)</f>
        <v>2.5000000000000001E-2</v>
      </c>
      <c r="Z543" s="116" t="b">
        <f>OR(COUNTIF(PROVEEDORES[[#This Row],[PROVEEDOR]],"*"&amp;'Palabra no opera'!$A$2&amp;"*"))</f>
        <v>0</v>
      </c>
    </row>
    <row r="544" spans="1:26" ht="22.35" customHeight="1" x14ac:dyDescent="0.3">
      <c r="A544" s="148" t="str">
        <f>+IF(PROVEEDORES[[#This Row],[FECHA DE PAGO]]=PROVEEDORES[[#This Row],[FECHA DE FACTURACIÓN]],"DE CONTADO","CRÉDITO")</f>
        <v>CRÉDITO</v>
      </c>
      <c r="B544" s="38" t="b">
        <f>+IF((PROVEEDORES[[#This Row],[FECHA DE PAGO]]-PROVEEDORES[[#This Row],[FECHA DE FACTURACIÓN]])&gt;PROVEEDORES[[#This Row],[PLAZO Días]],"PAGO VENCIDO")</f>
        <v>0</v>
      </c>
      <c r="C544" s="20">
        <f>+VLOOKUP(PROVEEDORES[[#This Row],[PROVEEDOR]],TERCEROS_INFO[#All],2,FALSE)</f>
        <v>30</v>
      </c>
      <c r="D544" s="25">
        <f>+SUMIFS(PROVEEDORES[Total],PROVEEDORES[PROVEEDOR],PROVEEDORES[[#This Row],[PROVEEDOR]],PROVEEDORES[FECHA DE PAGO],"")</f>
        <v>352505.48</v>
      </c>
      <c r="E544" s="25"/>
      <c r="F544" s="56" t="str">
        <f>+VLOOKUP(PROVEEDORES[[#This Row],[PROVEEDOR]],
                       Terceros!$A:$F,
                       5,
                       FALSE)</f>
        <v>facturacion@losmolinos.com.co</v>
      </c>
      <c r="G544" s="68">
        <v>44751</v>
      </c>
      <c r="H544" s="26" t="s">
        <v>650</v>
      </c>
      <c r="I544" s="68">
        <v>44743</v>
      </c>
      <c r="J544" s="35">
        <v>68089</v>
      </c>
      <c r="K544" s="21">
        <v>284467</v>
      </c>
      <c r="L544" s="21"/>
      <c r="M544" s="22">
        <f>(PROVEEDORES[[#This Row],[SUBTOTAL]]-PROVEEDORES[[#This Row],[descuento sobre subtotal]])*VLOOKUP(PROVEEDORES[[#This Row],[PROVEEDOR]],TERCEROS_INFO[#All],3,FALSE)</f>
        <v>0</v>
      </c>
      <c r="N544" s="23"/>
      <c r="O544" s="22">
        <f>+PROVEEDORES[[#This Row],[Descuento sobre subtotal %]]*(PROVEEDORES[[#This Row],[SUBTOTAL]]-PROVEEDORES[[#This Row],[descuento sobre subtotal]])</f>
        <v>0</v>
      </c>
      <c r="P544" s="74">
        <f>+IF(PROVEEDORES[[#This Row],[SUBTOTAL]]&lt;PROVEEDORES[[#This Row],[base retencion]],0,PROVEEDORES[[#This Row],[retención aplicada]])</f>
        <v>0</v>
      </c>
      <c r="Q544" s="22">
        <f>+PROVEEDORES[[#This Row],[Rete Fuente %]]*(PROVEEDORES[[#This Row],[SUBTOTAL]]-PROVEEDORES[[#This Row],[descuento sobre subtotal]])</f>
        <v>0</v>
      </c>
      <c r="R544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54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63">
        <f ca="1">IF(PROVEEDORES[[#This Row],[FECHA DE PAGO]]=0,TODAY()-PROVEEDORES[[#This Row],[FECHA DE FACTURACIÓN]]-PROVEEDORES[[#This Row],[PLAZO Días]],0)</f>
        <v>0</v>
      </c>
      <c r="U544" s="104">
        <f>+VLOOKUP(PROVEEDORES[[#This Row],[PROVEEDOR]],Terceros!$A:$D,4,FALSE)</f>
        <v>0</v>
      </c>
      <c r="V544" s="105">
        <f>+YEAR(PROVEEDORES[[#This Row],[FECHA DE FACTURACIÓN]])</f>
        <v>2022</v>
      </c>
      <c r="W544" s="105">
        <f>+MATCH(PROVEEDORES[[#This Row],[año facturado]],Retenciones!$1:$1,0)</f>
        <v>5</v>
      </c>
      <c r="X544" s="106">
        <f>+VLOOKUP(PROVEEDORES[[#This Row],[ID RETENCION]],Retenciones!$A$1:$O$25,PROVEEDORES[[#This Row],[indicador de columna]],FALSE)</f>
        <v>0</v>
      </c>
      <c r="Y544" s="107">
        <f>+VLOOKUP(PROVEEDORES[[#This Row],[ID RETENCION]],Retenciones!$A$1:$O$25,2,FALSE)</f>
        <v>0</v>
      </c>
      <c r="Z544" s="116" t="b">
        <f>OR(COUNTIF(PROVEEDORES[[#This Row],[PROVEEDOR]],"*"&amp;'Palabra no opera'!$A$2&amp;"*"))</f>
        <v>1</v>
      </c>
    </row>
    <row r="545" spans="1:26" ht="22.35" customHeight="1" x14ac:dyDescent="0.3">
      <c r="A545" s="148" t="str">
        <f>+IF(PROVEEDORES[[#This Row],[FECHA DE PAGO]]=PROVEEDORES[[#This Row],[FECHA DE FACTURACIÓN]],"DE CONTADO","CRÉDITO")</f>
        <v>CRÉDITO</v>
      </c>
      <c r="B545" s="38" t="str">
        <f>+IF((PROVEEDORES[[#This Row],[FECHA DE PAGO]]-PROVEEDORES[[#This Row],[FECHA DE FACTURACIÓN]])&gt;PROVEEDORES[[#This Row],[PLAZO Días]],"PAGO VENCIDO")</f>
        <v>PAGO VENCIDO</v>
      </c>
      <c r="C545" s="20">
        <f>+VLOOKUP(PROVEEDORES[[#This Row],[PROVEEDOR]],TERCEROS_INFO[#All],2,FALSE)</f>
        <v>30</v>
      </c>
      <c r="D545" s="25">
        <f>+SUMIFS(PROVEEDORES[Total],PROVEEDORES[PROVEEDOR],PROVEEDORES[[#This Row],[PROVEEDOR]],PROVEEDORES[FECHA DE PAGO],"")</f>
        <v>1316890.8900000001</v>
      </c>
      <c r="E545" s="25"/>
      <c r="F54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45" s="68">
        <v>44754</v>
      </c>
      <c r="H545" s="26" t="s">
        <v>17</v>
      </c>
      <c r="I545" s="68">
        <v>44720</v>
      </c>
      <c r="J545" s="35">
        <v>1923991</v>
      </c>
      <c r="K545" s="21">
        <v>1190000</v>
      </c>
      <c r="L545" s="21"/>
      <c r="M545" s="22">
        <f>(PROVEEDORES[[#This Row],[SUBTOTAL]]-PROVEEDORES[[#This Row],[descuento sobre subtotal]])*VLOOKUP(PROVEEDORES[[#This Row],[PROVEEDOR]],TERCEROS_INFO[#All],3,FALSE)</f>
        <v>226100</v>
      </c>
      <c r="N545" s="23"/>
      <c r="O545" s="22">
        <f>+PROVEEDORES[[#This Row],[Descuento sobre subtotal %]]*(PROVEEDORES[[#This Row],[SUBTOTAL]]-PROVEEDORES[[#This Row],[descuento sobre subtotal]])</f>
        <v>0</v>
      </c>
      <c r="P545" s="74">
        <f>+IF(PROVEEDORES[[#This Row],[SUBTOTAL]]&lt;PROVEEDORES[[#This Row],[base retencion]],0,PROVEEDORES[[#This Row],[retención aplicada]])</f>
        <v>0</v>
      </c>
      <c r="Q545" s="22">
        <f>+PROVEEDORES[[#This Row],[Rete Fuente %]]*(PROVEEDORES[[#This Row],[SUBTOTAL]]-PROVEEDORES[[#This Row],[descuento sobre subtotal]])</f>
        <v>0</v>
      </c>
      <c r="R545" s="21">
        <f>+PROVEEDORES[[#This Row],[SUBTOTAL]]+PROVEEDORES[[#This Row],[IVA 19%]]-PROVEEDORES[[#This Row],[descuento sobre subtotal]]-PROVEEDORES[[#This Row],[Descuento sobre subtotal $2]]-PROVEEDORES[[#This Row],[Rete Fuente $]]</f>
        <v>1416100</v>
      </c>
      <c r="S54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63">
        <f ca="1">IF(PROVEEDORES[[#This Row],[FECHA DE PAGO]]=0,TODAY()-PROVEEDORES[[#This Row],[FECHA DE FACTURACIÓN]]-PROVEEDORES[[#This Row],[PLAZO Días]],0)</f>
        <v>0</v>
      </c>
      <c r="U545" s="104">
        <f>+VLOOKUP(PROVEEDORES[[#This Row],[PROVEEDOR]],Terceros!$A:$D,4,FALSE)</f>
        <v>0</v>
      </c>
      <c r="V545" s="105">
        <f>+YEAR(PROVEEDORES[[#This Row],[FECHA DE FACTURACIÓN]])</f>
        <v>2022</v>
      </c>
      <c r="W545" s="105">
        <f>+MATCH(PROVEEDORES[[#This Row],[año facturado]],Retenciones!$1:$1,0)</f>
        <v>5</v>
      </c>
      <c r="X545" s="106">
        <f>+VLOOKUP(PROVEEDORES[[#This Row],[ID RETENCION]],Retenciones!$A$1:$O$25,PROVEEDORES[[#This Row],[indicador de columna]],FALSE)</f>
        <v>0</v>
      </c>
      <c r="Y545" s="107">
        <f>+VLOOKUP(PROVEEDORES[[#This Row],[ID RETENCION]],Retenciones!$A$1:$O$25,2,FALSE)</f>
        <v>0</v>
      </c>
      <c r="Z545" s="116" t="b">
        <f>OR(COUNTIF(PROVEEDORES[[#This Row],[PROVEEDOR]],"*"&amp;'Palabra no opera'!$A$2&amp;"*"))</f>
        <v>0</v>
      </c>
    </row>
    <row r="546" spans="1:26" ht="22.35" customHeight="1" x14ac:dyDescent="0.3">
      <c r="A546" s="135" t="str">
        <f>+IF(PROVEEDORES[[#This Row],[FECHA DE PAGO]]=PROVEEDORES[[#This Row],[FECHA DE FACTURACIÓN]],"DE CONTADO","CRÉDITO")</f>
        <v>CRÉDITO</v>
      </c>
      <c r="B546" s="38" t="str">
        <f>+IF((PROVEEDORES[[#This Row],[FECHA DE PAGO]]-PROVEEDORES[[#This Row],[FECHA DE FACTURACIÓN]])&gt;PROVEEDORES[[#This Row],[PLAZO Días]],"PAGO VENCIDO")</f>
        <v>PAGO VENCIDO</v>
      </c>
      <c r="C546" s="20">
        <f>+VLOOKUP(PROVEEDORES[[#This Row],[PROVEEDOR]],TERCEROS_INFO[#All],2,FALSE)</f>
        <v>30</v>
      </c>
      <c r="D546" s="25">
        <f>+SUMIFS(PROVEEDORES[Total],PROVEEDORES[PROVEEDOR],PROVEEDORES[[#This Row],[PROVEEDOR]],PROVEEDORES[FECHA DE PAGO],"")</f>
        <v>2100000</v>
      </c>
      <c r="E546" s="25"/>
      <c r="F546" s="56" t="str">
        <f>+VLOOKUP(PROVEEDORES[[#This Row],[PROVEEDOR]],
                       Terceros!$A:$F,
                       5,
                       FALSE)</f>
        <v/>
      </c>
      <c r="G546" s="68">
        <v>44754</v>
      </c>
      <c r="H546" s="26" t="s">
        <v>349</v>
      </c>
      <c r="I546" s="68">
        <v>44714</v>
      </c>
      <c r="J546" s="35" t="s">
        <v>815</v>
      </c>
      <c r="K546" s="21">
        <v>1370000</v>
      </c>
      <c r="L546" s="21"/>
      <c r="M546" s="22">
        <f>(PROVEEDORES[[#This Row],[SUBTOTAL]]-PROVEEDORES[[#This Row],[descuento sobre subtotal]])*VLOOKUP(PROVEEDORES[[#This Row],[PROVEEDOR]],TERCEROS_INFO[#All],3,FALSE)</f>
        <v>0</v>
      </c>
      <c r="N546" s="23"/>
      <c r="O546" s="22">
        <f>+PROVEEDORES[[#This Row],[Descuento sobre subtotal %]]*(PROVEEDORES[[#This Row],[SUBTOTAL]]-PROVEEDORES[[#This Row],[descuento sobre subtotal]])</f>
        <v>0</v>
      </c>
      <c r="P546" s="74">
        <f>+IF(PROVEEDORES[[#This Row],[SUBTOTAL]]&lt;PROVEEDORES[[#This Row],[base retencion]],0,PROVEEDORES[[#This Row],[retención aplicada]])</f>
        <v>0</v>
      </c>
      <c r="Q546" s="22">
        <f>+PROVEEDORES[[#This Row],[Rete Fuente %]]*(PROVEEDORES[[#This Row],[SUBTOTAL]]-PROVEEDORES[[#This Row],[descuento sobre subtotal]])</f>
        <v>0</v>
      </c>
      <c r="R546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546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63">
        <f ca="1">IF(PROVEEDORES[[#This Row],[FECHA DE PAGO]]=0,TODAY()-PROVEEDORES[[#This Row],[FECHA DE FACTURACIÓN]]-PROVEEDORES[[#This Row],[PLAZO Días]],0)</f>
        <v>0</v>
      </c>
      <c r="U546" s="104">
        <f>+VLOOKUP(PROVEEDORES[[#This Row],[PROVEEDOR]],Terceros!$A:$D,4,FALSE)</f>
        <v>0</v>
      </c>
      <c r="V546" s="105">
        <f>+YEAR(PROVEEDORES[[#This Row],[FECHA DE FACTURACIÓN]])</f>
        <v>2022</v>
      </c>
      <c r="W546" s="105">
        <f>+MATCH(PROVEEDORES[[#This Row],[año facturado]],Retenciones!$1:$1,0)</f>
        <v>5</v>
      </c>
      <c r="X546" s="106">
        <f>+VLOOKUP(PROVEEDORES[[#This Row],[ID RETENCION]],Retenciones!$A$1:$O$25,PROVEEDORES[[#This Row],[indicador de columna]],FALSE)</f>
        <v>0</v>
      </c>
      <c r="Y546" s="107">
        <f>+VLOOKUP(PROVEEDORES[[#This Row],[ID RETENCION]],Retenciones!$A$1:$O$25,2,FALSE)</f>
        <v>0</v>
      </c>
      <c r="Z546" s="116" t="b">
        <f>OR(COUNTIF(PROVEEDORES[[#This Row],[PROVEEDOR]],"*"&amp;'Palabra no opera'!$A$2&amp;"*"))</f>
        <v>0</v>
      </c>
    </row>
    <row r="547" spans="1:26" ht="22.35" customHeight="1" x14ac:dyDescent="0.3">
      <c r="A547" s="124" t="str">
        <f>+IF(PROVEEDORES[[#This Row],[FECHA DE PAGO]]=PROVEEDORES[[#This Row],[FECHA DE FACTURACIÓN]],"DE CONTADO","CRÉDITO")</f>
        <v>CRÉDITO</v>
      </c>
      <c r="B547" s="38" t="str">
        <f>+IF((PROVEEDORES[[#This Row],[FECHA DE PAGO]]-PROVEEDORES[[#This Row],[FECHA DE FACTURACIÓN]])&gt;PROVEEDORES[[#This Row],[PLAZO Días]],"PAGO VENCIDO")</f>
        <v>PAGO VENCIDO</v>
      </c>
      <c r="C547" s="20">
        <f>+VLOOKUP(PROVEEDORES[[#This Row],[PROVEEDOR]],TERCEROS_INFO[#All],2,FALSE)</f>
        <v>30</v>
      </c>
      <c r="D547" s="25">
        <f>+SUMIFS(PROVEEDORES[Total],PROVEEDORES[PROVEEDOR],PROVEEDORES[[#This Row],[PROVEEDOR]],PROVEEDORES[FECHA DE PAGO],"")</f>
        <v>0</v>
      </c>
      <c r="E547" s="25"/>
      <c r="F547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547" s="68">
        <v>44754</v>
      </c>
      <c r="H547" s="26" t="s">
        <v>403</v>
      </c>
      <c r="I547" s="68">
        <v>44688</v>
      </c>
      <c r="J547" s="35" t="s">
        <v>1023</v>
      </c>
      <c r="K547" s="21">
        <v>1300000</v>
      </c>
      <c r="L547" s="21"/>
      <c r="M547" s="22">
        <f>(PROVEEDORES[[#This Row],[SUBTOTAL]]-PROVEEDORES[[#This Row],[descuento sobre subtotal]])*VLOOKUP(PROVEEDORES[[#This Row],[PROVEEDOR]],TERCEROS_INFO[#All],3,FALSE)</f>
        <v>0</v>
      </c>
      <c r="N547" s="23"/>
      <c r="O547" s="22">
        <f>+PROVEEDORES[[#This Row],[Descuento sobre subtotal %]]*(PROVEEDORES[[#This Row],[SUBTOTAL]]-PROVEEDORES[[#This Row],[descuento sobre subtotal]])</f>
        <v>0</v>
      </c>
      <c r="P547" s="74">
        <f>+IF(PROVEEDORES[[#This Row],[SUBTOTAL]]&lt;PROVEEDORES[[#This Row],[base retencion]],0,PROVEEDORES[[#This Row],[retención aplicada]])</f>
        <v>0</v>
      </c>
      <c r="Q547" s="22">
        <f>+PROVEEDORES[[#This Row],[Rete Fuente %]]*(PROVEEDORES[[#This Row],[SUBTOTAL]]-PROVEEDORES[[#This Row],[descuento sobre subtotal]])</f>
        <v>0</v>
      </c>
      <c r="R547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547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63">
        <f ca="1">IF(PROVEEDORES[[#This Row],[FECHA DE PAGO]]=0,TODAY()-PROVEEDORES[[#This Row],[FECHA DE FACTURACIÓN]]-PROVEEDORES[[#This Row],[PLAZO Días]],0)</f>
        <v>0</v>
      </c>
      <c r="U547" s="104">
        <f>+VLOOKUP(PROVEEDORES[[#This Row],[PROVEEDOR]],Terceros!$A:$D,4,FALSE)</f>
        <v>0</v>
      </c>
      <c r="V547" s="105">
        <f>+YEAR(PROVEEDORES[[#This Row],[FECHA DE FACTURACIÓN]])</f>
        <v>2022</v>
      </c>
      <c r="W547" s="105">
        <f>+MATCH(PROVEEDORES[[#This Row],[año facturado]],Retenciones!$1:$1,0)</f>
        <v>5</v>
      </c>
      <c r="X547" s="106">
        <f>+VLOOKUP(PROVEEDORES[[#This Row],[ID RETENCION]],Retenciones!$A$1:$O$25,PROVEEDORES[[#This Row],[indicador de columna]],FALSE)</f>
        <v>0</v>
      </c>
      <c r="Y547" s="107">
        <f>+VLOOKUP(PROVEEDORES[[#This Row],[ID RETENCION]],Retenciones!$A$1:$O$25,2,FALSE)</f>
        <v>0</v>
      </c>
      <c r="Z547" s="116" t="b">
        <f>OR(COUNTIF(PROVEEDORES[[#This Row],[PROVEEDOR]],"*"&amp;'Palabra no opera'!$A$2&amp;"*"))</f>
        <v>0</v>
      </c>
    </row>
    <row r="548" spans="1:26" ht="22.35" customHeight="1" x14ac:dyDescent="0.3">
      <c r="A548" s="148" t="str">
        <f>+IF(PROVEEDORES[[#This Row],[FECHA DE PAGO]]=PROVEEDORES[[#This Row],[FECHA DE FACTURACIÓN]],"DE CONTADO","CRÉDITO")</f>
        <v>CRÉDITO</v>
      </c>
      <c r="B548" s="38" t="str">
        <f>+IF((PROVEEDORES[[#This Row],[FECHA DE PAGO]]-PROVEEDORES[[#This Row],[FECHA DE FACTURACIÓN]])&gt;PROVEEDORES[[#This Row],[PLAZO Días]],"PAGO VENCIDO")</f>
        <v>PAGO VENCIDO</v>
      </c>
      <c r="C548" s="20">
        <f>+VLOOKUP(PROVEEDORES[[#This Row],[PROVEEDOR]],TERCEROS_INFO[#All],2,FALSE)</f>
        <v>30</v>
      </c>
      <c r="D548" s="25">
        <f>+SUMIFS(PROVEEDORES[Total],PROVEEDORES[PROVEEDOR],PROVEEDORES[[#This Row],[PROVEEDOR]],PROVEEDORES[FECHA DE PAGO],"")</f>
        <v>1316890.8900000001</v>
      </c>
      <c r="E548" s="25"/>
      <c r="F54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48" s="68">
        <v>44754</v>
      </c>
      <c r="H548" s="26" t="s">
        <v>17</v>
      </c>
      <c r="I548" s="68">
        <v>44722</v>
      </c>
      <c r="J548" s="35" t="s">
        <v>750</v>
      </c>
      <c r="K548" s="21">
        <v>491000</v>
      </c>
      <c r="L548" s="21"/>
      <c r="M548" s="22">
        <f>(PROVEEDORES[[#This Row],[SUBTOTAL]]-PROVEEDORES[[#This Row],[descuento sobre subtotal]])*VLOOKUP(PROVEEDORES[[#This Row],[PROVEEDOR]],TERCEROS_INFO[#All],3,FALSE)</f>
        <v>93290</v>
      </c>
      <c r="N548" s="23"/>
      <c r="O548" s="22">
        <f>+PROVEEDORES[[#This Row],[Descuento sobre subtotal %]]*(PROVEEDORES[[#This Row],[SUBTOTAL]]-PROVEEDORES[[#This Row],[descuento sobre subtotal]])</f>
        <v>0</v>
      </c>
      <c r="P548" s="74">
        <f>+IF(PROVEEDORES[[#This Row],[SUBTOTAL]]&lt;PROVEEDORES[[#This Row],[base retencion]],0,PROVEEDORES[[#This Row],[retención aplicada]])</f>
        <v>0</v>
      </c>
      <c r="Q548" s="22">
        <f>+PROVEEDORES[[#This Row],[Rete Fuente %]]*(PROVEEDORES[[#This Row],[SUBTOTAL]]-PROVEEDORES[[#This Row],[descuento sobre subtotal]])</f>
        <v>0</v>
      </c>
      <c r="R548" s="21">
        <f>+PROVEEDORES[[#This Row],[SUBTOTAL]]+PROVEEDORES[[#This Row],[IVA 19%]]-PROVEEDORES[[#This Row],[descuento sobre subtotal]]-PROVEEDORES[[#This Row],[Descuento sobre subtotal $2]]-PROVEEDORES[[#This Row],[Rete Fuente $]]</f>
        <v>584290</v>
      </c>
      <c r="S54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63">
        <f ca="1">IF(PROVEEDORES[[#This Row],[FECHA DE PAGO]]=0,TODAY()-PROVEEDORES[[#This Row],[FECHA DE FACTURACIÓN]]-PROVEEDORES[[#This Row],[PLAZO Días]],0)</f>
        <v>0</v>
      </c>
      <c r="U548" s="104">
        <f>+VLOOKUP(PROVEEDORES[[#This Row],[PROVEEDOR]],Terceros!$A:$D,4,FALSE)</f>
        <v>0</v>
      </c>
      <c r="V548" s="105">
        <f>+YEAR(PROVEEDORES[[#This Row],[FECHA DE FACTURACIÓN]])</f>
        <v>2022</v>
      </c>
      <c r="W548" s="105">
        <f>+MATCH(PROVEEDORES[[#This Row],[año facturado]],Retenciones!$1:$1,0)</f>
        <v>5</v>
      </c>
      <c r="X548" s="106">
        <f>+VLOOKUP(PROVEEDORES[[#This Row],[ID RETENCION]],Retenciones!$A$1:$O$25,PROVEEDORES[[#This Row],[indicador de columna]],FALSE)</f>
        <v>0</v>
      </c>
      <c r="Y548" s="107">
        <f>+VLOOKUP(PROVEEDORES[[#This Row],[ID RETENCION]],Retenciones!$A$1:$O$25,2,FALSE)</f>
        <v>0</v>
      </c>
      <c r="Z548" s="116" t="b">
        <f>OR(COUNTIF(PROVEEDORES[[#This Row],[PROVEEDOR]],"*"&amp;'Palabra no opera'!$A$2&amp;"*"))</f>
        <v>0</v>
      </c>
    </row>
    <row r="549" spans="1:26" ht="22.35" customHeight="1" x14ac:dyDescent="0.3">
      <c r="A549" s="111" t="str">
        <f>+IF(PROVEEDORES[[#This Row],[FECHA DE PAGO]]=PROVEEDORES[[#This Row],[FECHA DE FACTURACIÓN]],"DE CONTADO","CRÉDITO")</f>
        <v>CRÉDITO</v>
      </c>
      <c r="B549" s="38" t="str">
        <f>+IF((PROVEEDORES[[#This Row],[FECHA DE PAGO]]-PROVEEDORES[[#This Row],[FECHA DE FACTURACIÓN]])&gt;PROVEEDORES[[#This Row],[PLAZO Días]],"PAGO VENCIDO")</f>
        <v>PAGO VENCIDO</v>
      </c>
      <c r="C549" s="20">
        <f>+VLOOKUP(PROVEEDORES[[#This Row],[PROVEEDOR]],TERCEROS_INFO[#All],2,FALSE)</f>
        <v>45</v>
      </c>
      <c r="D549" s="25">
        <f>+SUMIFS(PROVEEDORES[Total],PROVEEDORES[PROVEEDOR],PROVEEDORES[[#This Row],[PROVEEDOR]],PROVEEDORES[FECHA DE PAGO],"")</f>
        <v>8072960</v>
      </c>
      <c r="E549" s="25"/>
      <c r="F54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49" s="68">
        <v>44754</v>
      </c>
      <c r="H549" s="26" t="s">
        <v>10</v>
      </c>
      <c r="I549" s="68">
        <v>44672</v>
      </c>
      <c r="J549" s="35" t="s">
        <v>597</v>
      </c>
      <c r="K549" s="21">
        <v>1376000</v>
      </c>
      <c r="L549" s="21"/>
      <c r="M549" s="22">
        <f>(PROVEEDORES[[#This Row],[SUBTOTAL]]-PROVEEDORES[[#This Row],[descuento sobre subtotal]])*VLOOKUP(PROVEEDORES[[#This Row],[PROVEEDOR]],TERCEROS_INFO[#All],3,FALSE)</f>
        <v>261440</v>
      </c>
      <c r="N549" s="23"/>
      <c r="O549" s="22">
        <f>+PROVEEDORES[[#This Row],[Descuento sobre subtotal %]]*(PROVEEDORES[[#This Row],[SUBTOTAL]]-PROVEEDORES[[#This Row],[descuento sobre subtotal]])</f>
        <v>0</v>
      </c>
      <c r="P549" s="74">
        <f>+IF(PROVEEDORES[[#This Row],[SUBTOTAL]]&lt;PROVEEDORES[[#This Row],[base retencion]],0,PROVEEDORES[[#This Row],[retención aplicada]])</f>
        <v>0</v>
      </c>
      <c r="Q549" s="22">
        <f>+PROVEEDORES[[#This Row],[Rete Fuente %]]*(PROVEEDORES[[#This Row],[SUBTOTAL]]-PROVEEDORES[[#This Row],[descuento sobre subtotal]])</f>
        <v>0</v>
      </c>
      <c r="R549" s="21">
        <f>+PROVEEDORES[[#This Row],[SUBTOTAL]]+PROVEEDORES[[#This Row],[IVA 19%]]-PROVEEDORES[[#This Row],[descuento sobre subtotal]]-PROVEEDORES[[#This Row],[Descuento sobre subtotal $2]]-PROVEEDORES[[#This Row],[Rete Fuente $]]</f>
        <v>1637440</v>
      </c>
      <c r="S549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63">
        <f ca="1">IF(PROVEEDORES[[#This Row],[FECHA DE PAGO]]=0,TODAY()-PROVEEDORES[[#This Row],[FECHA DE FACTURACIÓN]]-PROVEEDORES[[#This Row],[PLAZO Días]],0)</f>
        <v>0</v>
      </c>
      <c r="U549" s="104">
        <f>+VLOOKUP(PROVEEDORES[[#This Row],[PROVEEDOR]],Terceros!$A:$D,4,FALSE)</f>
        <v>0</v>
      </c>
      <c r="V549" s="105">
        <f>+YEAR(PROVEEDORES[[#This Row],[FECHA DE FACTURACIÓN]])</f>
        <v>2022</v>
      </c>
      <c r="W549" s="105">
        <f>+MATCH(PROVEEDORES[[#This Row],[año facturado]],Retenciones!$1:$1,0)</f>
        <v>5</v>
      </c>
      <c r="X549" s="106">
        <f>+VLOOKUP(PROVEEDORES[[#This Row],[ID RETENCION]],Retenciones!$A$1:$O$25,PROVEEDORES[[#This Row],[indicador de columna]],FALSE)</f>
        <v>0</v>
      </c>
      <c r="Y549" s="107">
        <f>+VLOOKUP(PROVEEDORES[[#This Row],[ID RETENCION]],Retenciones!$A$1:$O$25,2,FALSE)</f>
        <v>0</v>
      </c>
      <c r="Z549" s="116" t="b">
        <f>OR(COUNTIF(PROVEEDORES[[#This Row],[PROVEEDOR]],"*"&amp;'Palabra no opera'!$A$2&amp;"*"))</f>
        <v>0</v>
      </c>
    </row>
    <row r="550" spans="1:26" ht="22.35" customHeight="1" x14ac:dyDescent="0.3">
      <c r="A550" s="111" t="str">
        <f>+IF(PROVEEDORES[[#This Row],[FECHA DE PAGO]]=PROVEEDORES[[#This Row],[FECHA DE FACTURACIÓN]],"DE CONTADO","CRÉDITO")</f>
        <v>CRÉDITO</v>
      </c>
      <c r="B550" s="38" t="str">
        <f>+IF((PROVEEDORES[[#This Row],[FECHA DE PAGO]]-PROVEEDORES[[#This Row],[FECHA DE FACTURACIÓN]])&gt;PROVEEDORES[[#This Row],[PLAZO Días]],"PAGO VENCIDO")</f>
        <v>PAGO VENCIDO</v>
      </c>
      <c r="C550" s="20">
        <f>+VLOOKUP(PROVEEDORES[[#This Row],[PROVEEDOR]],TERCEROS_INFO[#All],2,FALSE)</f>
        <v>45</v>
      </c>
      <c r="D550" s="25">
        <f>+SUMIFS(PROVEEDORES[Total],PROVEEDORES[PROVEEDOR],PROVEEDORES[[#This Row],[PROVEEDOR]],PROVEEDORES[FECHA DE PAGO],"")</f>
        <v>8072960</v>
      </c>
      <c r="E550" s="25"/>
      <c r="F55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50" s="68">
        <v>44754</v>
      </c>
      <c r="H550" s="26" t="s">
        <v>10</v>
      </c>
      <c r="I550" s="68">
        <v>44673</v>
      </c>
      <c r="J550" s="35" t="s">
        <v>596</v>
      </c>
      <c r="K550" s="21">
        <v>592500</v>
      </c>
      <c r="L550" s="21"/>
      <c r="M550" s="22">
        <f>(PROVEEDORES[[#This Row],[SUBTOTAL]]-PROVEEDORES[[#This Row],[descuento sobre subtotal]])*VLOOKUP(PROVEEDORES[[#This Row],[PROVEEDOR]],TERCEROS_INFO[#All],3,FALSE)</f>
        <v>112575</v>
      </c>
      <c r="N550" s="23"/>
      <c r="O550" s="22">
        <f>+PROVEEDORES[[#This Row],[Descuento sobre subtotal %]]*(PROVEEDORES[[#This Row],[SUBTOTAL]]-PROVEEDORES[[#This Row],[descuento sobre subtotal]])</f>
        <v>0</v>
      </c>
      <c r="P550" s="74">
        <f>+IF(PROVEEDORES[[#This Row],[SUBTOTAL]]&lt;PROVEEDORES[[#This Row],[base retencion]],0,PROVEEDORES[[#This Row],[retención aplicada]])</f>
        <v>0</v>
      </c>
      <c r="Q550" s="22">
        <f>+PROVEEDORES[[#This Row],[Rete Fuente %]]*(PROVEEDORES[[#This Row],[SUBTOTAL]]-PROVEEDORES[[#This Row],[descuento sobre subtotal]])</f>
        <v>0</v>
      </c>
      <c r="R550" s="21">
        <f>+PROVEEDORES[[#This Row],[SUBTOTAL]]+PROVEEDORES[[#This Row],[IVA 19%]]-PROVEEDORES[[#This Row],[descuento sobre subtotal]]-PROVEEDORES[[#This Row],[Descuento sobre subtotal $2]]-PROVEEDORES[[#This Row],[Rete Fuente $]]</f>
        <v>705075</v>
      </c>
      <c r="S550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63">
        <f ca="1">IF(PROVEEDORES[[#This Row],[FECHA DE PAGO]]=0,TODAY()-PROVEEDORES[[#This Row],[FECHA DE FACTURACIÓN]]-PROVEEDORES[[#This Row],[PLAZO Días]],0)</f>
        <v>0</v>
      </c>
      <c r="U550" s="104">
        <f>+VLOOKUP(PROVEEDORES[[#This Row],[PROVEEDOR]],Terceros!$A:$D,4,FALSE)</f>
        <v>0</v>
      </c>
      <c r="V550" s="105">
        <f>+YEAR(PROVEEDORES[[#This Row],[FECHA DE FACTURACIÓN]])</f>
        <v>2022</v>
      </c>
      <c r="W550" s="105">
        <f>+MATCH(PROVEEDORES[[#This Row],[año facturado]],Retenciones!$1:$1,0)</f>
        <v>5</v>
      </c>
      <c r="X550" s="106">
        <f>+VLOOKUP(PROVEEDORES[[#This Row],[ID RETENCION]],Retenciones!$A$1:$O$25,PROVEEDORES[[#This Row],[indicador de columna]],FALSE)</f>
        <v>0</v>
      </c>
      <c r="Y550" s="107">
        <f>+VLOOKUP(PROVEEDORES[[#This Row],[ID RETENCION]],Retenciones!$A$1:$O$25,2,FALSE)</f>
        <v>0</v>
      </c>
      <c r="Z550" s="116" t="b">
        <f>OR(COUNTIF(PROVEEDORES[[#This Row],[PROVEEDOR]],"*"&amp;'Palabra no opera'!$A$2&amp;"*"))</f>
        <v>0</v>
      </c>
    </row>
    <row r="551" spans="1:26" ht="22.35" customHeight="1" x14ac:dyDescent="0.3">
      <c r="A551" s="133" t="str">
        <f>+IF(PROVEEDORES[[#This Row],[FECHA DE PAGO]]=PROVEEDORES[[#This Row],[FECHA DE FACTURACIÓN]],"DE CONTADO","CRÉDITO")</f>
        <v>CRÉDITO</v>
      </c>
      <c r="B551" s="38" t="str">
        <f>+IF((PROVEEDORES[[#This Row],[FECHA DE PAGO]]-PROVEEDORES[[#This Row],[FECHA DE FACTURACIÓN]])&gt;PROVEEDORES[[#This Row],[PLAZO Días]],"PAGO VENCIDO")</f>
        <v>PAGO VENCIDO</v>
      </c>
      <c r="C551" s="20">
        <f>+VLOOKUP(PROVEEDORES[[#This Row],[PROVEEDOR]],TERCEROS_INFO[#All],2,FALSE)</f>
        <v>45</v>
      </c>
      <c r="D551" s="25">
        <f>+SUMIFS(PROVEEDORES[Total],PROVEEDORES[PROVEEDOR],PROVEEDORES[[#This Row],[PROVEEDOR]],PROVEEDORES[FECHA DE PAGO],"")</f>
        <v>8072960</v>
      </c>
      <c r="E551" s="25"/>
      <c r="F55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51" s="68">
        <v>44754</v>
      </c>
      <c r="H551" s="26" t="s">
        <v>10</v>
      </c>
      <c r="I551" s="68">
        <v>44704</v>
      </c>
      <c r="J551" s="35" t="s">
        <v>692</v>
      </c>
      <c r="K551" s="21">
        <v>779000</v>
      </c>
      <c r="L551" s="21"/>
      <c r="M551" s="22">
        <f>(PROVEEDORES[[#This Row],[SUBTOTAL]]-PROVEEDORES[[#This Row],[descuento sobre subtotal]])*VLOOKUP(PROVEEDORES[[#This Row],[PROVEEDOR]],TERCEROS_INFO[#All],3,FALSE)</f>
        <v>148010</v>
      </c>
      <c r="N551" s="23"/>
      <c r="O551" s="22">
        <f>+PROVEEDORES[[#This Row],[Descuento sobre subtotal %]]*(PROVEEDORES[[#This Row],[SUBTOTAL]]-PROVEEDORES[[#This Row],[descuento sobre subtotal]])</f>
        <v>0</v>
      </c>
      <c r="P551" s="74">
        <f>+IF(PROVEEDORES[[#This Row],[SUBTOTAL]]&lt;PROVEEDORES[[#This Row],[base retencion]],0,PROVEEDORES[[#This Row],[retención aplicada]])</f>
        <v>0</v>
      </c>
      <c r="Q551" s="22">
        <f>+PROVEEDORES[[#This Row],[Rete Fuente %]]*(PROVEEDORES[[#This Row],[SUBTOTAL]]-PROVEEDORES[[#This Row],[descuento sobre subtotal]])</f>
        <v>0</v>
      </c>
      <c r="R551" s="21">
        <f>+PROVEEDORES[[#This Row],[SUBTOTAL]]+PROVEEDORES[[#This Row],[IVA 19%]]-PROVEEDORES[[#This Row],[descuento sobre subtotal]]-PROVEEDORES[[#This Row],[Descuento sobre subtotal $2]]-PROVEEDORES[[#This Row],[Rete Fuente $]]</f>
        <v>927010</v>
      </c>
      <c r="S55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63">
        <f ca="1">IF(PROVEEDORES[[#This Row],[FECHA DE PAGO]]=0,TODAY()-PROVEEDORES[[#This Row],[FECHA DE FACTURACIÓN]]-PROVEEDORES[[#This Row],[PLAZO Días]],0)</f>
        <v>0</v>
      </c>
      <c r="U551" s="104">
        <f>+VLOOKUP(PROVEEDORES[[#This Row],[PROVEEDOR]],Terceros!$A:$D,4,FALSE)</f>
        <v>0</v>
      </c>
      <c r="V551" s="105">
        <f>+YEAR(PROVEEDORES[[#This Row],[FECHA DE FACTURACIÓN]])</f>
        <v>2022</v>
      </c>
      <c r="W551" s="105">
        <f>+MATCH(PROVEEDORES[[#This Row],[año facturado]],Retenciones!$1:$1,0)</f>
        <v>5</v>
      </c>
      <c r="X551" s="106">
        <f>+VLOOKUP(PROVEEDORES[[#This Row],[ID RETENCION]],Retenciones!$A$1:$O$25,PROVEEDORES[[#This Row],[indicador de columna]],FALSE)</f>
        <v>0</v>
      </c>
      <c r="Y551" s="107">
        <f>+VLOOKUP(PROVEEDORES[[#This Row],[ID RETENCION]],Retenciones!$A$1:$O$25,2,FALSE)</f>
        <v>0</v>
      </c>
      <c r="Z551" s="116" t="b">
        <f>OR(COUNTIF(PROVEEDORES[[#This Row],[PROVEEDOR]],"*"&amp;'Palabra no opera'!$A$2&amp;"*"))</f>
        <v>0</v>
      </c>
    </row>
    <row r="552" spans="1:26" ht="22.35" customHeight="1" x14ac:dyDescent="0.3">
      <c r="A552" s="148" t="str">
        <f>+IF(PROVEEDORES[[#This Row],[FECHA DE PAGO]]=PROVEEDORES[[#This Row],[FECHA DE FACTURACIÓN]],"DE CONTADO","CRÉDITO")</f>
        <v>CRÉDITO</v>
      </c>
      <c r="B552" s="38" t="b">
        <f>+IF((PROVEEDORES[[#This Row],[FECHA DE PAGO]]-PROVEEDORES[[#This Row],[FECHA DE FACTURACIÓN]])&gt;PROVEEDORES[[#This Row],[PLAZO Días]],"PAGO VENCIDO")</f>
        <v>0</v>
      </c>
      <c r="C552" s="20">
        <f>+VLOOKUP(PROVEEDORES[[#This Row],[PROVEEDOR]],TERCEROS_INFO[#All],2,FALSE)</f>
        <v>45</v>
      </c>
      <c r="D552" s="25">
        <f>+SUMIFS(PROVEEDORES[Total],PROVEEDORES[PROVEEDOR],PROVEEDORES[[#This Row],[PROVEEDOR]],PROVEEDORES[FECHA DE PAGO],"")</f>
        <v>8072960</v>
      </c>
      <c r="E552" s="25" t="s">
        <v>760</v>
      </c>
      <c r="F55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52" s="68">
        <v>44754</v>
      </c>
      <c r="H552" s="26" t="s">
        <v>10</v>
      </c>
      <c r="I552" s="68">
        <v>44718</v>
      </c>
      <c r="J552" s="35" t="s">
        <v>1076</v>
      </c>
      <c r="K552" s="21">
        <v>-72804.2</v>
      </c>
      <c r="L552" s="21"/>
      <c r="M552" s="22"/>
      <c r="N552" s="23"/>
      <c r="O552" s="22">
        <f>+PROVEEDORES[[#This Row],[Descuento sobre subtotal %]]*(PROVEEDORES[[#This Row],[SUBTOTAL]]-PROVEEDORES[[#This Row],[descuento sobre subtotal]])</f>
        <v>0</v>
      </c>
      <c r="P552" s="74">
        <f>+IF(PROVEEDORES[[#This Row],[SUBTOTAL]]&lt;PROVEEDORES[[#This Row],[base retencion]],0,PROVEEDORES[[#This Row],[retención aplicada]])</f>
        <v>0</v>
      </c>
      <c r="Q552" s="22">
        <f>+PROVEEDORES[[#This Row],[Rete Fuente %]]*(PROVEEDORES[[#This Row],[SUBTOTAL]]-PROVEEDORES[[#This Row],[descuento sobre subtotal]])</f>
        <v>0</v>
      </c>
      <c r="R552" s="21">
        <f>+PROVEEDORES[[#This Row],[SUBTOTAL]]+PROVEEDORES[[#This Row],[IVA 19%]]-PROVEEDORES[[#This Row],[descuento sobre subtotal]]-PROVEEDORES[[#This Row],[Descuento sobre subtotal $2]]-PROVEEDORES[[#This Row],[Rete Fuente $]]</f>
        <v>-72804.2</v>
      </c>
      <c r="S55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63">
        <f ca="1">IF(PROVEEDORES[[#This Row],[FECHA DE PAGO]]=0,TODAY()-PROVEEDORES[[#This Row],[FECHA DE FACTURACIÓN]]-PROVEEDORES[[#This Row],[PLAZO Días]],0)</f>
        <v>0</v>
      </c>
      <c r="U552" s="104">
        <f>+VLOOKUP(PROVEEDORES[[#This Row],[PROVEEDOR]],Terceros!$A:$D,4,FALSE)</f>
        <v>0</v>
      </c>
      <c r="V552" s="105">
        <f>+YEAR(PROVEEDORES[[#This Row],[FECHA DE FACTURACIÓN]])</f>
        <v>2022</v>
      </c>
      <c r="W552" s="105">
        <f>+MATCH(PROVEEDORES[[#This Row],[año facturado]],Retenciones!$1:$1,0)</f>
        <v>5</v>
      </c>
      <c r="X552" s="106">
        <f>+VLOOKUP(PROVEEDORES[[#This Row],[ID RETENCION]],Retenciones!$A$1:$O$25,PROVEEDORES[[#This Row],[indicador de columna]],FALSE)</f>
        <v>0</v>
      </c>
      <c r="Y552" s="107">
        <f>+VLOOKUP(PROVEEDORES[[#This Row],[ID RETENCION]],Retenciones!$A$1:$O$25,2,FALSE)</f>
        <v>0</v>
      </c>
      <c r="Z552" s="116" t="b">
        <f>OR(COUNTIF(PROVEEDORES[[#This Row],[PROVEEDOR]],"*"&amp;'Palabra no opera'!$A$2&amp;"*"))</f>
        <v>0</v>
      </c>
    </row>
    <row r="553" spans="1:26" ht="22.35" customHeight="1" x14ac:dyDescent="0.3">
      <c r="A553" s="148" t="str">
        <f>+IF(PROVEEDORES[[#This Row],[FECHA DE PAGO]]=PROVEEDORES[[#This Row],[FECHA DE FACTURACIÓN]],"DE CONTADO","CRÉDITO")</f>
        <v>CRÉDITO</v>
      </c>
      <c r="B553" s="38" t="b">
        <f>+IF((PROVEEDORES[[#This Row],[FECHA DE PAGO]]-PROVEEDORES[[#This Row],[FECHA DE FACTURACIÓN]])&gt;PROVEEDORES[[#This Row],[PLAZO Días]],"PAGO VENCIDO")</f>
        <v>0</v>
      </c>
      <c r="C553" s="20">
        <f>+VLOOKUP(PROVEEDORES[[#This Row],[PROVEEDOR]],TERCEROS_INFO[#All],2,FALSE)</f>
        <v>30</v>
      </c>
      <c r="D553" s="25">
        <f>+SUMIFS(PROVEEDORES[Total],PROVEEDORES[PROVEEDOR],PROVEEDORES[[#This Row],[PROVEEDOR]],PROVEEDORES[FECHA DE PAGO],"")</f>
        <v>4248480.9550000001</v>
      </c>
      <c r="E553" s="25"/>
      <c r="F553" s="56" t="str">
        <f>+VLOOKUP(PROVEEDORES[[#This Row],[PROVEEDOR]],
                       Terceros!$A:$F,
                       5,
                       FALSE)</f>
        <v/>
      </c>
      <c r="G553" s="68">
        <v>44755</v>
      </c>
      <c r="H553" s="26" t="s">
        <v>78</v>
      </c>
      <c r="I553" s="68">
        <v>44741</v>
      </c>
      <c r="J553" s="35">
        <v>8313</v>
      </c>
      <c r="K553" s="21">
        <v>849316.78</v>
      </c>
      <c r="L553" s="21"/>
      <c r="M553" s="22">
        <f>(PROVEEDORES[[#This Row],[SUBTOTAL]]-PROVEEDORES[[#This Row],[descuento sobre subtotal]])*VLOOKUP(PROVEEDORES[[#This Row],[PROVEEDOR]],TERCEROS_INFO[#All],3,FALSE)</f>
        <v>161370.1882</v>
      </c>
      <c r="N553" s="23"/>
      <c r="O553" s="22">
        <f>+PROVEEDORES[[#This Row],[Descuento sobre subtotal %]]*(PROVEEDORES[[#This Row],[SUBTOTAL]]-PROVEEDORES[[#This Row],[descuento sobre subtotal]])</f>
        <v>0</v>
      </c>
      <c r="P553" s="74">
        <f>+IF(PROVEEDORES[[#This Row],[SUBTOTAL]]&lt;PROVEEDORES[[#This Row],[base retencion]],0,PROVEEDORES[[#This Row],[retención aplicada]])</f>
        <v>0</v>
      </c>
      <c r="Q553" s="22">
        <f>+PROVEEDORES[[#This Row],[Rete Fuente %]]*(PROVEEDORES[[#This Row],[SUBTOTAL]]-PROVEEDORES[[#This Row],[descuento sobre subtotal]])</f>
        <v>0</v>
      </c>
      <c r="R553" s="21">
        <f>+PROVEEDORES[[#This Row],[SUBTOTAL]]+PROVEEDORES[[#This Row],[IVA 19%]]-PROVEEDORES[[#This Row],[descuento sobre subtotal]]-PROVEEDORES[[#This Row],[Descuento sobre subtotal $2]]-PROVEEDORES[[#This Row],[Rete Fuente $]]</f>
        <v>1010686.9682</v>
      </c>
      <c r="S55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63">
        <f ca="1">IF(PROVEEDORES[[#This Row],[FECHA DE PAGO]]=0,TODAY()-PROVEEDORES[[#This Row],[FECHA DE FACTURACIÓN]]-PROVEEDORES[[#This Row],[PLAZO Días]],0)</f>
        <v>0</v>
      </c>
      <c r="U553" s="104" t="str">
        <f>+VLOOKUP(PROVEEDORES[[#This Row],[PROVEEDOR]],Terceros!$A:$D,4,FALSE)</f>
        <v>2,5% con base</v>
      </c>
      <c r="V553" s="105">
        <f>+YEAR(PROVEEDORES[[#This Row],[FECHA DE FACTURACIÓN]])</f>
        <v>2022</v>
      </c>
      <c r="W553" s="105">
        <f>+MATCH(PROVEEDORES[[#This Row],[año facturado]],Retenciones!$1:$1,0)</f>
        <v>5</v>
      </c>
      <c r="X553" s="106">
        <f>+VLOOKUP(PROVEEDORES[[#This Row],[ID RETENCION]],Retenciones!$A$1:$O$25,PROVEEDORES[[#This Row],[indicador de columna]],FALSE)</f>
        <v>1026000</v>
      </c>
      <c r="Y553" s="107">
        <f>+VLOOKUP(PROVEEDORES[[#This Row],[ID RETENCION]],Retenciones!$A$1:$O$25,2,FALSE)</f>
        <v>2.5000000000000001E-2</v>
      </c>
      <c r="Z553" s="116" t="b">
        <f>OR(COUNTIF(PROVEEDORES[[#This Row],[PROVEEDOR]],"*"&amp;'Palabra no opera'!$A$2&amp;"*"))</f>
        <v>0</v>
      </c>
    </row>
    <row r="554" spans="1:26" ht="22.35" customHeight="1" x14ac:dyDescent="0.3">
      <c r="A554" s="163" t="str">
        <f>+IF(PROVEEDORES[[#This Row],[FECHA DE PAGO]]=PROVEEDORES[[#This Row],[FECHA DE FACTURACIÓN]],"DE CONTADO","CRÉDITO")</f>
        <v>DE CONTADO</v>
      </c>
      <c r="B554" s="38" t="b">
        <f>+IF((PROVEEDORES[[#This Row],[FECHA DE PAGO]]-PROVEEDORES[[#This Row],[FECHA DE FACTURACIÓN]])&gt;PROVEEDORES[[#This Row],[PLAZO Días]],"PAGO VENCIDO")</f>
        <v>0</v>
      </c>
      <c r="C554" s="20">
        <f>+VLOOKUP(PROVEEDORES[[#This Row],[PROVEEDOR]],TERCEROS_INFO[#All],2,FALSE)</f>
        <v>30</v>
      </c>
      <c r="D554" s="25">
        <f>+SUMIFS(PROVEEDORES[Total],PROVEEDORES[PROVEEDOR],PROVEEDORES[[#This Row],[PROVEEDOR]],PROVEEDORES[FECHA DE PAGO],"")</f>
        <v>0</v>
      </c>
      <c r="E554" s="25"/>
      <c r="F554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554" s="68">
        <v>44755</v>
      </c>
      <c r="H554" s="26" t="s">
        <v>827</v>
      </c>
      <c r="I554" s="68">
        <v>44755</v>
      </c>
      <c r="J554" s="35">
        <v>524</v>
      </c>
      <c r="K554" s="21">
        <v>420168</v>
      </c>
      <c r="L554" s="21"/>
      <c r="M554" s="22">
        <f>(PROVEEDORES[[#This Row],[SUBTOTAL]]-PROVEEDORES[[#This Row],[descuento sobre subtotal]])*VLOOKUP(PROVEEDORES[[#This Row],[PROVEEDOR]],TERCEROS_INFO[#All],3,FALSE)</f>
        <v>79831.92</v>
      </c>
      <c r="N554" s="23"/>
      <c r="O554" s="22">
        <f>+PROVEEDORES[[#This Row],[Descuento sobre subtotal %]]*(PROVEEDORES[[#This Row],[SUBTOTAL]]-PROVEEDORES[[#This Row],[descuento sobre subtotal]])</f>
        <v>0</v>
      </c>
      <c r="P554" s="74">
        <f>+IF(PROVEEDORES[[#This Row],[SUBTOTAL]]&lt;PROVEEDORES[[#This Row],[base retencion]],0,PROVEEDORES[[#This Row],[retención aplicada]])</f>
        <v>0</v>
      </c>
      <c r="Q554" s="22">
        <f>+PROVEEDORES[[#This Row],[Rete Fuente %]]*(PROVEEDORES[[#This Row],[SUBTOTAL]]-PROVEEDORES[[#This Row],[descuento sobre subtotal]])</f>
        <v>0</v>
      </c>
      <c r="R554" s="21">
        <f>+PROVEEDORES[[#This Row],[SUBTOTAL]]+PROVEEDORES[[#This Row],[IVA 19%]]-PROVEEDORES[[#This Row],[descuento sobre subtotal]]-PROVEEDORES[[#This Row],[Descuento sobre subtotal $2]]-PROVEEDORES[[#This Row],[Rete Fuente $]]</f>
        <v>499999.92</v>
      </c>
      <c r="S554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63">
        <f ca="1">IF(PROVEEDORES[[#This Row],[FECHA DE PAGO]]=0,TODAY()-PROVEEDORES[[#This Row],[FECHA DE FACTURACIÓN]]-PROVEEDORES[[#This Row],[PLAZO Días]],0)</f>
        <v>0</v>
      </c>
      <c r="U554" s="104">
        <f>+VLOOKUP(PROVEEDORES[[#This Row],[PROVEEDOR]],Terceros!$A:$D,4,FALSE)</f>
        <v>0</v>
      </c>
      <c r="V554" s="105">
        <f>+YEAR(PROVEEDORES[[#This Row],[FECHA DE FACTURACIÓN]])</f>
        <v>2022</v>
      </c>
      <c r="W554" s="105">
        <f>+MATCH(PROVEEDORES[[#This Row],[año facturado]],Retenciones!$1:$1,0)</f>
        <v>5</v>
      </c>
      <c r="X554" s="106">
        <f>+VLOOKUP(PROVEEDORES[[#This Row],[ID RETENCION]],Retenciones!$A$1:$O$25,PROVEEDORES[[#This Row],[indicador de columna]],FALSE)</f>
        <v>0</v>
      </c>
      <c r="Y554" s="107">
        <f>+VLOOKUP(PROVEEDORES[[#This Row],[ID RETENCION]],Retenciones!$A$1:$O$25,2,FALSE)</f>
        <v>0</v>
      </c>
      <c r="Z554" s="116" t="b">
        <f>OR(COUNTIF(PROVEEDORES[[#This Row],[PROVEEDOR]],"*"&amp;'Palabra no opera'!$A$2&amp;"*"))</f>
        <v>0</v>
      </c>
    </row>
    <row r="555" spans="1:26" ht="22.35" customHeight="1" x14ac:dyDescent="0.3">
      <c r="A555" s="163" t="str">
        <f>+IF(PROVEEDORES[[#This Row],[FECHA DE PAGO]]=PROVEEDORES[[#This Row],[FECHA DE FACTURACIÓN]],"DE CONTADO","CRÉDITO")</f>
        <v>DE CONTADO</v>
      </c>
      <c r="B555" s="38" t="b">
        <f>+IF((PROVEEDORES[[#This Row],[FECHA DE PAGO]]-PROVEEDORES[[#This Row],[FECHA DE FACTURACIÓN]])&gt;PROVEEDORES[[#This Row],[PLAZO Días]],"PAGO VENCIDO")</f>
        <v>0</v>
      </c>
      <c r="C555" s="20">
        <f>+VLOOKUP(PROVEEDORES[[#This Row],[PROVEEDOR]],TERCEROS_INFO[#All],2,FALSE)</f>
        <v>30</v>
      </c>
      <c r="D555" s="25">
        <f>+SUMIFS(PROVEEDORES[Total],PROVEEDORES[PROVEEDOR],PROVEEDORES[[#This Row],[PROVEEDOR]],PROVEEDORES[FECHA DE PAGO],"")</f>
        <v>0</v>
      </c>
      <c r="E555" s="25"/>
      <c r="F555" s="56" t="str">
        <f>+VLOOKUP(PROVEEDORES[[#This Row],[PROVEEDOR]],
                       Terceros!$A:$F,
                       5,
                       FALSE)</f>
        <v/>
      </c>
      <c r="G555" s="68">
        <v>44756</v>
      </c>
      <c r="H555" s="26" t="s">
        <v>390</v>
      </c>
      <c r="I555" s="68">
        <v>44756</v>
      </c>
      <c r="J555" s="35"/>
      <c r="K555" s="21">
        <v>1000000</v>
      </c>
      <c r="L555" s="21"/>
      <c r="M555" s="22">
        <f>(PROVEEDORES[[#This Row],[SUBTOTAL]]-PROVEEDORES[[#This Row],[descuento sobre subtotal]])*VLOOKUP(PROVEEDORES[[#This Row],[PROVEEDOR]],TERCEROS_INFO[#All],3,FALSE)</f>
        <v>0</v>
      </c>
      <c r="N555" s="23"/>
      <c r="O555" s="22">
        <f>+PROVEEDORES[[#This Row],[Descuento sobre subtotal %]]*(PROVEEDORES[[#This Row],[SUBTOTAL]]-PROVEEDORES[[#This Row],[descuento sobre subtotal]])</f>
        <v>0</v>
      </c>
      <c r="P555" s="74">
        <f>+IF(PROVEEDORES[[#This Row],[SUBTOTAL]]&lt;PROVEEDORES[[#This Row],[base retencion]],0,PROVEEDORES[[#This Row],[retención aplicada]])</f>
        <v>0</v>
      </c>
      <c r="Q555" s="22">
        <f>+PROVEEDORES[[#This Row],[Rete Fuente %]]*(PROVEEDORES[[#This Row],[SUBTOTAL]]-PROVEEDORES[[#This Row],[descuento sobre subtotal]])</f>
        <v>0</v>
      </c>
      <c r="R55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555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63">
        <f ca="1">IF(PROVEEDORES[[#This Row],[FECHA DE PAGO]]=0,TODAY()-PROVEEDORES[[#This Row],[FECHA DE FACTURACIÓN]]-PROVEEDORES[[#This Row],[PLAZO Días]],0)</f>
        <v>0</v>
      </c>
      <c r="U555" s="104">
        <f>+VLOOKUP(PROVEEDORES[[#This Row],[PROVEEDOR]],Terceros!$A:$D,4,FALSE)</f>
        <v>0</v>
      </c>
      <c r="V555" s="105">
        <f>+YEAR(PROVEEDORES[[#This Row],[FECHA DE FACTURACIÓN]])</f>
        <v>2022</v>
      </c>
      <c r="W555" s="105">
        <f>+MATCH(PROVEEDORES[[#This Row],[año facturado]],Retenciones!$1:$1,0)</f>
        <v>5</v>
      </c>
      <c r="X555" s="106">
        <f>+VLOOKUP(PROVEEDORES[[#This Row],[ID RETENCION]],Retenciones!$A$1:$O$25,PROVEEDORES[[#This Row],[indicador de columna]],FALSE)</f>
        <v>0</v>
      </c>
      <c r="Y555" s="107">
        <f>+VLOOKUP(PROVEEDORES[[#This Row],[ID RETENCION]],Retenciones!$A$1:$O$25,2,FALSE)</f>
        <v>0</v>
      </c>
      <c r="Z555" s="116" t="b">
        <f>OR(COUNTIF(PROVEEDORES[[#This Row],[PROVEEDOR]],"*"&amp;'Palabra no opera'!$A$2&amp;"*"))</f>
        <v>0</v>
      </c>
    </row>
    <row r="556" spans="1:26" ht="22.35" customHeight="1" x14ac:dyDescent="0.3">
      <c r="A556" s="148" t="str">
        <f>+IF(PROVEEDORES[[#This Row],[FECHA DE PAGO]]=PROVEEDORES[[#This Row],[FECHA DE FACTURACIÓN]],"DE CONTADO","CRÉDITO")</f>
        <v>CRÉDITO</v>
      </c>
      <c r="B556" s="38" t="str">
        <f>+IF((PROVEEDORES[[#This Row],[FECHA DE PAGO]]-PROVEEDORES[[#This Row],[FECHA DE FACTURACIÓN]])&gt;PROVEEDORES[[#This Row],[PLAZO Días]],"PAGO VENCIDO")</f>
        <v>PAGO VENCIDO</v>
      </c>
      <c r="C556" s="20">
        <f>+VLOOKUP(PROVEEDORES[[#This Row],[PROVEEDOR]],TERCEROS_INFO[#All],2,FALSE)</f>
        <v>30</v>
      </c>
      <c r="D556" s="25">
        <f>+SUMIFS(PROVEEDORES[Total],PROVEEDORES[PROVEEDOR],PROVEEDORES[[#This Row],[PROVEEDOR]],PROVEEDORES[FECHA DE PAGO],"")</f>
        <v>0</v>
      </c>
      <c r="E556" s="25"/>
      <c r="F556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56" s="68">
        <v>44756</v>
      </c>
      <c r="H556" s="26" t="s">
        <v>394</v>
      </c>
      <c r="I556" s="68">
        <v>44725</v>
      </c>
      <c r="J556" s="35" t="s">
        <v>772</v>
      </c>
      <c r="K556" s="21">
        <v>1020000</v>
      </c>
      <c r="L556" s="21"/>
      <c r="M556" s="22">
        <f>(PROVEEDORES[[#This Row],[SUBTOTAL]]-PROVEEDORES[[#This Row],[descuento sobre subtotal]])*VLOOKUP(PROVEEDORES[[#This Row],[PROVEEDOR]],TERCEROS_INFO[#All],3,FALSE)</f>
        <v>0</v>
      </c>
      <c r="N556" s="23"/>
      <c r="O556" s="22">
        <f>+PROVEEDORES[[#This Row],[Descuento sobre subtotal %]]*(PROVEEDORES[[#This Row],[SUBTOTAL]]-PROVEEDORES[[#This Row],[descuento sobre subtotal]])</f>
        <v>0</v>
      </c>
      <c r="P556" s="74">
        <f>+IF(PROVEEDORES[[#This Row],[SUBTOTAL]]&lt;PROVEEDORES[[#This Row],[base retencion]],0,PROVEEDORES[[#This Row],[retención aplicada]])</f>
        <v>0</v>
      </c>
      <c r="Q556" s="22">
        <f>+PROVEEDORES[[#This Row],[Rete Fuente %]]*(PROVEEDORES[[#This Row],[SUBTOTAL]]-PROVEEDORES[[#This Row],[descuento sobre subtotal]])</f>
        <v>0</v>
      </c>
      <c r="R556" s="21">
        <f>+PROVEEDORES[[#This Row],[SUBTOTAL]]+PROVEEDORES[[#This Row],[IVA 19%]]-PROVEEDORES[[#This Row],[descuento sobre subtotal]]-PROVEEDORES[[#This Row],[Descuento sobre subtotal $2]]-PROVEEDORES[[#This Row],[Rete Fuente $]]</f>
        <v>1020000</v>
      </c>
      <c r="S55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63">
        <f ca="1">IF(PROVEEDORES[[#This Row],[FECHA DE PAGO]]=0,TODAY()-PROVEEDORES[[#This Row],[FECHA DE FACTURACIÓN]]-PROVEEDORES[[#This Row],[PLAZO Días]],0)</f>
        <v>0</v>
      </c>
      <c r="U556" s="104">
        <f>+VLOOKUP(PROVEEDORES[[#This Row],[PROVEEDOR]],Terceros!$A:$D,4,FALSE)</f>
        <v>0</v>
      </c>
      <c r="V556" s="105">
        <f>+YEAR(PROVEEDORES[[#This Row],[FECHA DE FACTURACIÓN]])</f>
        <v>2022</v>
      </c>
      <c r="W556" s="105">
        <f>+MATCH(PROVEEDORES[[#This Row],[año facturado]],Retenciones!$1:$1,0)</f>
        <v>5</v>
      </c>
      <c r="X556" s="106">
        <f>+VLOOKUP(PROVEEDORES[[#This Row],[ID RETENCION]],Retenciones!$A$1:$O$25,PROVEEDORES[[#This Row],[indicador de columna]],FALSE)</f>
        <v>0</v>
      </c>
      <c r="Y556" s="107">
        <f>+VLOOKUP(PROVEEDORES[[#This Row],[ID RETENCION]],Retenciones!$A$1:$O$25,2,FALSE)</f>
        <v>0</v>
      </c>
      <c r="Z556" s="116" t="b">
        <f>OR(COUNTIF(PROVEEDORES[[#This Row],[PROVEEDOR]],"*"&amp;'Palabra no opera'!$A$2&amp;"*"))</f>
        <v>0</v>
      </c>
    </row>
    <row r="557" spans="1:26" ht="22.35" customHeight="1" x14ac:dyDescent="0.3">
      <c r="A557" s="163" t="str">
        <f>+IF(PROVEEDORES[[#This Row],[FECHA DE PAGO]]=PROVEEDORES[[#This Row],[FECHA DE FACTURACIÓN]],"DE CONTADO","CRÉDITO")</f>
        <v>DE CONTADO</v>
      </c>
      <c r="B557" s="38" t="b">
        <f>+IF((PROVEEDORES[[#This Row],[FECHA DE PAGO]]-PROVEEDORES[[#This Row],[FECHA DE FACTURACIÓN]])&gt;PROVEEDORES[[#This Row],[PLAZO Días]],"PAGO VENCIDO")</f>
        <v>0</v>
      </c>
      <c r="C557" s="20">
        <f>+VLOOKUP(PROVEEDORES[[#This Row],[PROVEEDOR]],TERCEROS_INFO[#All],2,FALSE)</f>
        <v>30</v>
      </c>
      <c r="D557" s="25">
        <f>+SUMIFS(PROVEEDORES[Total],PROVEEDORES[PROVEEDOR],PROVEEDORES[[#This Row],[PROVEEDOR]],PROVEEDORES[FECHA DE PAGO],"")</f>
        <v>0</v>
      </c>
      <c r="E557" s="25"/>
      <c r="F557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557" s="68">
        <v>44756</v>
      </c>
      <c r="H557" s="26" t="s">
        <v>829</v>
      </c>
      <c r="I557" s="68">
        <v>44756</v>
      </c>
      <c r="J557" s="35" t="s">
        <v>830</v>
      </c>
      <c r="K557" s="21">
        <v>53782</v>
      </c>
      <c r="L557" s="21"/>
      <c r="M557" s="22">
        <f>(PROVEEDORES[[#This Row],[SUBTOTAL]]-PROVEEDORES[[#This Row],[descuento sobre subtotal]])*VLOOKUP(PROVEEDORES[[#This Row],[PROVEEDOR]],TERCEROS_INFO[#All],3,FALSE)</f>
        <v>10218.58</v>
      </c>
      <c r="N557" s="23"/>
      <c r="O557" s="22">
        <f>+PROVEEDORES[[#This Row],[Descuento sobre subtotal %]]*(PROVEEDORES[[#This Row],[SUBTOTAL]]-PROVEEDORES[[#This Row],[descuento sobre subtotal]])</f>
        <v>0</v>
      </c>
      <c r="P557" s="74">
        <f>+IF(PROVEEDORES[[#This Row],[SUBTOTAL]]&lt;PROVEEDORES[[#This Row],[base retencion]],0,PROVEEDORES[[#This Row],[retención aplicada]])</f>
        <v>0</v>
      </c>
      <c r="Q557" s="22">
        <f>+PROVEEDORES[[#This Row],[Rete Fuente %]]*(PROVEEDORES[[#This Row],[SUBTOTAL]]-PROVEEDORES[[#This Row],[descuento sobre subtotal]])</f>
        <v>0</v>
      </c>
      <c r="R557" s="21">
        <f>+PROVEEDORES[[#This Row],[SUBTOTAL]]+PROVEEDORES[[#This Row],[IVA 19%]]-PROVEEDORES[[#This Row],[descuento sobre subtotal]]-PROVEEDORES[[#This Row],[Descuento sobre subtotal $2]]-PROVEEDORES[[#This Row],[Rete Fuente $]]</f>
        <v>64000.58</v>
      </c>
      <c r="S557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63">
        <f ca="1">IF(PROVEEDORES[[#This Row],[FECHA DE PAGO]]=0,TODAY()-PROVEEDORES[[#This Row],[FECHA DE FACTURACIÓN]]-PROVEEDORES[[#This Row],[PLAZO Días]],0)</f>
        <v>0</v>
      </c>
      <c r="U557" s="104" t="str">
        <f>+VLOOKUP(PROVEEDORES[[#This Row],[PROVEEDOR]],Terceros!$A:$D,4,FALSE)</f>
        <v>2,5% con base</v>
      </c>
      <c r="V557" s="105">
        <f>+YEAR(PROVEEDORES[[#This Row],[FECHA DE FACTURACIÓN]])</f>
        <v>2022</v>
      </c>
      <c r="W557" s="105">
        <f>+MATCH(PROVEEDORES[[#This Row],[año facturado]],Retenciones!$1:$1,0)</f>
        <v>5</v>
      </c>
      <c r="X557" s="106">
        <f>+VLOOKUP(PROVEEDORES[[#This Row],[ID RETENCION]],Retenciones!$A$1:$O$25,PROVEEDORES[[#This Row],[indicador de columna]],FALSE)</f>
        <v>1026000</v>
      </c>
      <c r="Y557" s="107">
        <f>+VLOOKUP(PROVEEDORES[[#This Row],[ID RETENCION]],Retenciones!$A$1:$O$25,2,FALSE)</f>
        <v>2.5000000000000001E-2</v>
      </c>
      <c r="Z557" s="116" t="b">
        <f>OR(COUNTIF(PROVEEDORES[[#This Row],[PROVEEDOR]],"*"&amp;'Palabra no opera'!$A$2&amp;"*"))</f>
        <v>1</v>
      </c>
    </row>
    <row r="558" spans="1:26" ht="22.35" customHeight="1" x14ac:dyDescent="0.3">
      <c r="A558" s="135" t="str">
        <f>+IF(PROVEEDORES[[#This Row],[FECHA DE PAGO]]=PROVEEDORES[[#This Row],[FECHA DE FACTURACIÓN]],"DE CONTADO","CRÉDITO")</f>
        <v>CRÉDITO</v>
      </c>
      <c r="B558" s="38" t="str">
        <f>+IF((PROVEEDORES[[#This Row],[FECHA DE PAGO]]-PROVEEDORES[[#This Row],[FECHA DE FACTURACIÓN]])&gt;PROVEEDORES[[#This Row],[PLAZO Días]],"PAGO VENCIDO")</f>
        <v>PAGO VENCIDO</v>
      </c>
      <c r="C558" s="20">
        <f>+VLOOKUP(PROVEEDORES[[#This Row],[PROVEEDOR]],TERCEROS_INFO[#All],2,FALSE)</f>
        <v>30</v>
      </c>
      <c r="D558" s="25">
        <f>+SUMIFS(PROVEEDORES[Total],PROVEEDORES[PROVEEDOR],PROVEEDORES[[#This Row],[PROVEEDOR]],PROVEEDORES[FECHA DE PAGO],"")</f>
        <v>429590</v>
      </c>
      <c r="E558" s="25"/>
      <c r="F558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558" s="68">
        <v>44756</v>
      </c>
      <c r="H558" s="26" t="s">
        <v>39</v>
      </c>
      <c r="I558" s="68">
        <v>44714</v>
      </c>
      <c r="J558" s="35">
        <v>1322</v>
      </c>
      <c r="K558" s="21">
        <v>577750</v>
      </c>
      <c r="L558" s="21"/>
      <c r="M558" s="22">
        <f>(PROVEEDORES[[#This Row],[SUBTOTAL]]-PROVEEDORES[[#This Row],[descuento sobre subtotal]])*VLOOKUP(PROVEEDORES[[#This Row],[PROVEEDOR]],TERCEROS_INFO[#All],3,FALSE)</f>
        <v>109772.5</v>
      </c>
      <c r="N558" s="23"/>
      <c r="O558" s="22">
        <f>+PROVEEDORES[[#This Row],[Descuento sobre subtotal %]]*(PROVEEDORES[[#This Row],[SUBTOTAL]]-PROVEEDORES[[#This Row],[descuento sobre subtotal]])</f>
        <v>0</v>
      </c>
      <c r="P558" s="74">
        <f>+IF(PROVEEDORES[[#This Row],[SUBTOTAL]]&lt;PROVEEDORES[[#This Row],[base retencion]],0,PROVEEDORES[[#This Row],[retención aplicada]])</f>
        <v>0</v>
      </c>
      <c r="Q558" s="22">
        <f>+PROVEEDORES[[#This Row],[Rete Fuente %]]*(PROVEEDORES[[#This Row],[SUBTOTAL]]-PROVEEDORES[[#This Row],[descuento sobre subtotal]])</f>
        <v>0</v>
      </c>
      <c r="R558" s="21">
        <f>+PROVEEDORES[[#This Row],[SUBTOTAL]]+PROVEEDORES[[#This Row],[IVA 19%]]-PROVEEDORES[[#This Row],[descuento sobre subtotal]]-PROVEEDORES[[#This Row],[Descuento sobre subtotal $2]]-PROVEEDORES[[#This Row],[Rete Fuente $]]</f>
        <v>687522.5</v>
      </c>
      <c r="S558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63">
        <f ca="1">IF(PROVEEDORES[[#This Row],[FECHA DE PAGO]]=0,TODAY()-PROVEEDORES[[#This Row],[FECHA DE FACTURACIÓN]]-PROVEEDORES[[#This Row],[PLAZO Días]],0)</f>
        <v>0</v>
      </c>
      <c r="U558" s="104" t="str">
        <f>+VLOOKUP(PROVEEDORES[[#This Row],[PROVEEDOR]],Terceros!$A:$D,4,FALSE)</f>
        <v>2,5% con base</v>
      </c>
      <c r="V558" s="105">
        <f>+YEAR(PROVEEDORES[[#This Row],[FECHA DE FACTURACIÓN]])</f>
        <v>2022</v>
      </c>
      <c r="W558" s="105">
        <f>+MATCH(PROVEEDORES[[#This Row],[año facturado]],Retenciones!$1:$1,0)</f>
        <v>5</v>
      </c>
      <c r="X558" s="106">
        <f>+VLOOKUP(PROVEEDORES[[#This Row],[ID RETENCION]],Retenciones!$A$1:$O$25,PROVEEDORES[[#This Row],[indicador de columna]],FALSE)</f>
        <v>1026000</v>
      </c>
      <c r="Y558" s="107">
        <f>+VLOOKUP(PROVEEDORES[[#This Row],[ID RETENCION]],Retenciones!$A$1:$O$25,2,FALSE)</f>
        <v>2.5000000000000001E-2</v>
      </c>
      <c r="Z558" s="116" t="b">
        <f>OR(COUNTIF(PROVEEDORES[[#This Row],[PROVEEDOR]],"*"&amp;'Palabra no opera'!$A$2&amp;"*"))</f>
        <v>0</v>
      </c>
    </row>
    <row r="559" spans="1:26" ht="22.35" customHeight="1" x14ac:dyDescent="0.3">
      <c r="A559" s="129" t="str">
        <f>+IF(PROVEEDORES[[#This Row],[FECHA DE PAGO]]=PROVEEDORES[[#This Row],[FECHA DE FACTURACIÓN]],"DE CONTADO","CRÉDITO")</f>
        <v>CRÉDITO</v>
      </c>
      <c r="B559" s="38" t="str">
        <f>+IF((PROVEEDORES[[#This Row],[FECHA DE PAGO]]-PROVEEDORES[[#This Row],[FECHA DE FACTURACIÓN]])&gt;PROVEEDORES[[#This Row],[PLAZO Días]],"PAGO VENCIDO")</f>
        <v>PAGO VENCIDO</v>
      </c>
      <c r="C559" s="20">
        <f>+VLOOKUP(PROVEEDORES[[#This Row],[PROVEEDOR]],TERCEROS_INFO[#All],2,FALSE)</f>
        <v>45</v>
      </c>
      <c r="D559" s="25">
        <f>+SUMIFS(PROVEEDORES[Total],PROVEEDORES[PROVEEDOR],PROVEEDORES[[#This Row],[PROVEEDOR]],PROVEEDORES[FECHA DE PAGO],"")</f>
        <v>15770594</v>
      </c>
      <c r="E559" s="25"/>
      <c r="F559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559" s="68">
        <v>44757</v>
      </c>
      <c r="H559" s="26" t="s">
        <v>19</v>
      </c>
      <c r="I559" s="68">
        <v>44698</v>
      </c>
      <c r="J559" s="35" t="s">
        <v>681</v>
      </c>
      <c r="K559" s="21">
        <v>17616000</v>
      </c>
      <c r="L559" s="21"/>
      <c r="M559" s="22">
        <f>(PROVEEDORES[[#This Row],[SUBTOTAL]]-PROVEEDORES[[#This Row],[descuento sobre subtotal]])*VLOOKUP(PROVEEDORES[[#This Row],[PROVEEDOR]],TERCEROS_INFO[#All],3,FALSE)</f>
        <v>3347040</v>
      </c>
      <c r="N559" s="23"/>
      <c r="O559" s="22">
        <f>+PROVEEDORES[[#This Row],[Descuento sobre subtotal %]]*(PROVEEDORES[[#This Row],[SUBTOTAL]]-PROVEEDORES[[#This Row],[descuento sobre subtotal]])</f>
        <v>0</v>
      </c>
      <c r="P559" s="74">
        <f>+IF(PROVEEDORES[[#This Row],[SUBTOTAL]]&lt;PROVEEDORES[[#This Row],[base retencion]],0,PROVEEDORES[[#This Row],[retención aplicada]])</f>
        <v>0</v>
      </c>
      <c r="Q559" s="22">
        <f>+PROVEEDORES[[#This Row],[Rete Fuente %]]*(PROVEEDORES[[#This Row],[SUBTOTAL]]-PROVEEDORES[[#This Row],[descuento sobre subtotal]])</f>
        <v>0</v>
      </c>
      <c r="R559" s="21">
        <f>+PROVEEDORES[[#This Row],[SUBTOTAL]]+PROVEEDORES[[#This Row],[IVA 19%]]-PROVEEDORES[[#This Row],[descuento sobre subtotal]]-PROVEEDORES[[#This Row],[Descuento sobre subtotal $2]]-PROVEEDORES[[#This Row],[Rete Fuente $]]</f>
        <v>20963040</v>
      </c>
      <c r="S559" s="1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63">
        <f ca="1">IF(PROVEEDORES[[#This Row],[FECHA DE PAGO]]=0,TODAY()-PROVEEDORES[[#This Row],[FECHA DE FACTURACIÓN]]-PROVEEDORES[[#This Row],[PLAZO Días]],0)</f>
        <v>0</v>
      </c>
      <c r="U559" s="104">
        <f>+VLOOKUP(PROVEEDORES[[#This Row],[PROVEEDOR]],Terceros!$A:$D,4,FALSE)</f>
        <v>0</v>
      </c>
      <c r="V559" s="105">
        <f>+YEAR(PROVEEDORES[[#This Row],[FECHA DE FACTURACIÓN]])</f>
        <v>2022</v>
      </c>
      <c r="W559" s="105">
        <f>+MATCH(PROVEEDORES[[#This Row],[año facturado]],Retenciones!$1:$1,0)</f>
        <v>5</v>
      </c>
      <c r="X559" s="106">
        <f>+VLOOKUP(PROVEEDORES[[#This Row],[ID RETENCION]],Retenciones!$A$1:$O$25,PROVEEDORES[[#This Row],[indicador de columna]],FALSE)</f>
        <v>0</v>
      </c>
      <c r="Y559" s="107">
        <f>+VLOOKUP(PROVEEDORES[[#This Row],[ID RETENCION]],Retenciones!$A$1:$O$25,2,FALSE)</f>
        <v>0</v>
      </c>
      <c r="Z559" s="116" t="b">
        <f>OR(COUNTIF(PROVEEDORES[[#This Row],[PROVEEDOR]],"*"&amp;'Palabra no opera'!$A$2&amp;"*"))</f>
        <v>0</v>
      </c>
    </row>
    <row r="560" spans="1:26" ht="22.35" customHeight="1" x14ac:dyDescent="0.3">
      <c r="A560" s="146" t="str">
        <f>+IF(PROVEEDORES[[#This Row],[FECHA DE PAGO]]=PROVEEDORES[[#This Row],[FECHA DE FACTURACIÓN]],"DE CONTADO","CRÉDITO")</f>
        <v>CRÉDITO</v>
      </c>
      <c r="B560" s="38" t="str">
        <f>+IF((PROVEEDORES[[#This Row],[FECHA DE PAGO]]-PROVEEDORES[[#This Row],[FECHA DE FACTURACIÓN]])&gt;PROVEEDORES[[#This Row],[PLAZO Días]],"PAGO VENCIDO")</f>
        <v>PAGO VENCIDO</v>
      </c>
      <c r="C560" s="20">
        <f>+VLOOKUP(PROVEEDORES[[#This Row],[PROVEEDOR]],TERCEROS_INFO[#All],2,FALSE)</f>
        <v>30</v>
      </c>
      <c r="D560" s="25">
        <f>+SUMIFS(PROVEEDORES[Total],PROVEEDORES[PROVEEDOR],PROVEEDORES[[#This Row],[PROVEEDOR]],PROVEEDORES[FECHA DE PAGO],"")</f>
        <v>17870934.149999999</v>
      </c>
      <c r="E560" s="25"/>
      <c r="F56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560" s="68">
        <v>44758</v>
      </c>
      <c r="H560" s="26" t="s">
        <v>18</v>
      </c>
      <c r="I560" s="68">
        <v>44713</v>
      </c>
      <c r="J560" s="35">
        <v>1054375</v>
      </c>
      <c r="K560" s="21">
        <v>4853296</v>
      </c>
      <c r="L560" s="21"/>
      <c r="M560" s="22">
        <f>(PROVEEDORES[[#This Row],[SUBTOTAL]]-PROVEEDORES[[#This Row],[descuento sobre subtotal]])*VLOOKUP(PROVEEDORES[[#This Row],[PROVEEDOR]],TERCEROS_INFO[#All],3,FALSE)</f>
        <v>922126.24</v>
      </c>
      <c r="N560" s="23"/>
      <c r="O560" s="22">
        <f>+PROVEEDORES[[#This Row],[Descuento sobre subtotal %]]*(PROVEEDORES[[#This Row],[SUBTOTAL]]-PROVEEDORES[[#This Row],[descuento sobre subtotal]])</f>
        <v>0</v>
      </c>
      <c r="P560" s="74">
        <f>+IF(PROVEEDORES[[#This Row],[SUBTOTAL]]&lt;PROVEEDORES[[#This Row],[base retencion]],0,PROVEEDORES[[#This Row],[retención aplicada]])</f>
        <v>2.5000000000000001E-2</v>
      </c>
      <c r="Q560" s="22">
        <f>+PROVEEDORES[[#This Row],[Rete Fuente %]]*(PROVEEDORES[[#This Row],[SUBTOTAL]]-PROVEEDORES[[#This Row],[descuento sobre subtotal]])</f>
        <v>121332.40000000001</v>
      </c>
      <c r="R560" s="21">
        <f>+PROVEEDORES[[#This Row],[SUBTOTAL]]+PROVEEDORES[[#This Row],[IVA 19%]]-PROVEEDORES[[#This Row],[descuento sobre subtotal]]-PROVEEDORES[[#This Row],[Descuento sobre subtotal $2]]-PROVEEDORES[[#This Row],[Rete Fuente $]]</f>
        <v>5654089.8399999999</v>
      </c>
      <c r="S560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63">
        <f ca="1">IF(PROVEEDORES[[#This Row],[FECHA DE PAGO]]=0,TODAY()-PROVEEDORES[[#This Row],[FECHA DE FACTURACIÓN]]-PROVEEDORES[[#This Row],[PLAZO Días]],0)</f>
        <v>0</v>
      </c>
      <c r="U560" s="104" t="str">
        <f>+VLOOKUP(PROVEEDORES[[#This Row],[PROVEEDOR]],Terceros!$A:$D,4,FALSE)</f>
        <v>2,5% con base</v>
      </c>
      <c r="V560" s="105">
        <f>+YEAR(PROVEEDORES[[#This Row],[FECHA DE FACTURACIÓN]])</f>
        <v>2022</v>
      </c>
      <c r="W560" s="105">
        <f>+MATCH(PROVEEDORES[[#This Row],[año facturado]],Retenciones!$1:$1,0)</f>
        <v>5</v>
      </c>
      <c r="X560" s="106">
        <f>+VLOOKUP(PROVEEDORES[[#This Row],[ID RETENCION]],Retenciones!$A$1:$O$25,PROVEEDORES[[#This Row],[indicador de columna]],FALSE)</f>
        <v>1026000</v>
      </c>
      <c r="Y560" s="107">
        <f>+VLOOKUP(PROVEEDORES[[#This Row],[ID RETENCION]],Retenciones!$A$1:$O$25,2,FALSE)</f>
        <v>2.5000000000000001E-2</v>
      </c>
      <c r="Z560" s="116" t="b">
        <f>OR(COUNTIF(PROVEEDORES[[#This Row],[PROVEEDOR]],"*"&amp;'Palabra no opera'!$A$2&amp;"*"))</f>
        <v>0</v>
      </c>
    </row>
    <row r="561" spans="1:26" ht="22.35" customHeight="1" x14ac:dyDescent="0.3">
      <c r="A561" s="124" t="str">
        <f>+IF(PROVEEDORES[[#This Row],[FECHA DE PAGO]]=PROVEEDORES[[#This Row],[FECHA DE FACTURACIÓN]],"DE CONTADO","CRÉDITO")</f>
        <v>CRÉDITO</v>
      </c>
      <c r="B561" s="38" t="str">
        <f>+IF((PROVEEDORES[[#This Row],[FECHA DE PAGO]]-PROVEEDORES[[#This Row],[FECHA DE FACTURACIÓN]])&gt;PROVEEDORES[[#This Row],[PLAZO Días]],"PAGO VENCIDO")</f>
        <v>PAGO VENCIDO</v>
      </c>
      <c r="C561" s="20">
        <f>+VLOOKUP(PROVEEDORES[[#This Row],[PROVEEDOR]],TERCEROS_INFO[#All],2,FALSE)</f>
        <v>30</v>
      </c>
      <c r="D561" s="25">
        <f>+SUMIFS(PROVEEDORES[Total],PROVEEDORES[PROVEEDOR],PROVEEDORES[[#This Row],[PROVEEDOR]],PROVEEDORES[FECHA DE PAGO],"")</f>
        <v>-66999.998800000001</v>
      </c>
      <c r="E561" s="25"/>
      <c r="F561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61" s="68">
        <v>44758</v>
      </c>
      <c r="H561" s="26" t="s">
        <v>459</v>
      </c>
      <c r="I561" s="68">
        <v>44686</v>
      </c>
      <c r="J561" s="35">
        <v>2204</v>
      </c>
      <c r="K561" s="21">
        <v>3560168.07</v>
      </c>
      <c r="L561" s="21"/>
      <c r="M561" s="22">
        <f>(PROVEEDORES[[#This Row],[SUBTOTAL]]-PROVEEDORES[[#This Row],[descuento sobre subtotal]])*VLOOKUP(PROVEEDORES[[#This Row],[PROVEEDOR]],TERCEROS_INFO[#All],3,FALSE)</f>
        <v>676431.93330000003</v>
      </c>
      <c r="N561" s="23"/>
      <c r="O561" s="22">
        <f>+PROVEEDORES[[#This Row],[Descuento sobre subtotal %]]*(PROVEEDORES[[#This Row],[SUBTOTAL]]-PROVEEDORES[[#This Row],[descuento sobre subtotal]])</f>
        <v>0</v>
      </c>
      <c r="P561" s="74">
        <f>+IF(PROVEEDORES[[#This Row],[SUBTOTAL]]&lt;PROVEEDORES[[#This Row],[base retencion]],0,PROVEEDORES[[#This Row],[retención aplicada]])</f>
        <v>2.5000000000000001E-2</v>
      </c>
      <c r="Q561" s="22">
        <f>+PROVEEDORES[[#This Row],[Rete Fuente %]]*(PROVEEDORES[[#This Row],[SUBTOTAL]]-PROVEEDORES[[#This Row],[descuento sobre subtotal]])</f>
        <v>89004.201750000007</v>
      </c>
      <c r="R561" s="21">
        <f>+PROVEEDORES[[#This Row],[SUBTOTAL]]+PROVEEDORES[[#This Row],[IVA 19%]]-PROVEEDORES[[#This Row],[descuento sobre subtotal]]-PROVEEDORES[[#This Row],[Descuento sobre subtotal $2]]-PROVEEDORES[[#This Row],[Rete Fuente $]]</f>
        <v>4147595.80155</v>
      </c>
      <c r="S561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63">
        <f ca="1">IF(PROVEEDORES[[#This Row],[FECHA DE PAGO]]=0,TODAY()-PROVEEDORES[[#This Row],[FECHA DE FACTURACIÓN]]-PROVEEDORES[[#This Row],[PLAZO Días]],0)</f>
        <v>0</v>
      </c>
      <c r="U561" s="104" t="str">
        <f>+VLOOKUP(PROVEEDORES[[#This Row],[PROVEEDOR]],Terceros!$A:$D,4,FALSE)</f>
        <v>2,5% con base</v>
      </c>
      <c r="V561" s="105">
        <f>+YEAR(PROVEEDORES[[#This Row],[FECHA DE FACTURACIÓN]])</f>
        <v>2022</v>
      </c>
      <c r="W561" s="105">
        <f>+MATCH(PROVEEDORES[[#This Row],[año facturado]],Retenciones!$1:$1,0)</f>
        <v>5</v>
      </c>
      <c r="X561" s="106">
        <f>+VLOOKUP(PROVEEDORES[[#This Row],[ID RETENCION]],Retenciones!$A$1:$O$25,PROVEEDORES[[#This Row],[indicador de columna]],FALSE)</f>
        <v>1026000</v>
      </c>
      <c r="Y561" s="107">
        <f>+VLOOKUP(PROVEEDORES[[#This Row],[ID RETENCION]],Retenciones!$A$1:$O$25,2,FALSE)</f>
        <v>2.5000000000000001E-2</v>
      </c>
      <c r="Z561" s="116" t="b">
        <f>OR(COUNTIF(PROVEEDORES[[#This Row],[PROVEEDOR]],"*"&amp;'Palabra no opera'!$A$2&amp;"*"))</f>
        <v>0</v>
      </c>
    </row>
    <row r="562" spans="1:26" ht="22.35" customHeight="1" x14ac:dyDescent="0.3">
      <c r="A562" s="135" t="str">
        <f>+IF(PROVEEDORES[[#This Row],[FECHA DE PAGO]]=PROVEEDORES[[#This Row],[FECHA DE FACTURACIÓN]],"DE CONTADO","CRÉDITO")</f>
        <v>CRÉDITO</v>
      </c>
      <c r="B562" s="38" t="str">
        <f>+IF((PROVEEDORES[[#This Row],[FECHA DE PAGO]]-PROVEEDORES[[#This Row],[FECHA DE FACTURACIÓN]])&gt;PROVEEDORES[[#This Row],[PLAZO Días]],"PAGO VENCIDO")</f>
        <v>PAGO VENCIDO</v>
      </c>
      <c r="C562" s="20">
        <f>+VLOOKUP(PROVEEDORES[[#This Row],[PROVEEDOR]],TERCEROS_INFO[#All],2,FALSE)</f>
        <v>30</v>
      </c>
      <c r="D562" s="25">
        <f>+SUMIFS(PROVEEDORES[Total],PROVEEDORES[PROVEEDOR],PROVEEDORES[[#This Row],[PROVEEDOR]],PROVEEDORES[FECHA DE PAGO],"")</f>
        <v>0</v>
      </c>
      <c r="E562" s="25"/>
      <c r="F562" s="56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562" s="68">
        <v>44758</v>
      </c>
      <c r="H562" s="26" t="s">
        <v>253</v>
      </c>
      <c r="I562" s="68">
        <v>44708</v>
      </c>
      <c r="J562" s="35">
        <v>11789</v>
      </c>
      <c r="K562" s="21">
        <v>395000</v>
      </c>
      <c r="L562" s="21"/>
      <c r="M562" s="22">
        <f>(PROVEEDORES[[#This Row],[SUBTOTAL]]-PROVEEDORES[[#This Row],[descuento sobre subtotal]])*VLOOKUP(PROVEEDORES[[#This Row],[PROVEEDOR]],TERCEROS_INFO[#All],3,FALSE)</f>
        <v>75050</v>
      </c>
      <c r="N562" s="23"/>
      <c r="O562" s="22">
        <f>+PROVEEDORES[[#This Row],[Descuento sobre subtotal %]]*(PROVEEDORES[[#This Row],[SUBTOTAL]]-PROVEEDORES[[#This Row],[descuento sobre subtotal]])</f>
        <v>0</v>
      </c>
      <c r="P562" s="74">
        <f>+IF(PROVEEDORES[[#This Row],[SUBTOTAL]]&lt;PROVEEDORES[[#This Row],[base retencion]],0,PROVEEDORES[[#This Row],[retención aplicada]])</f>
        <v>0</v>
      </c>
      <c r="Q562" s="22">
        <f>+PROVEEDORES[[#This Row],[Rete Fuente %]]*(PROVEEDORES[[#This Row],[SUBTOTAL]]-PROVEEDORES[[#This Row],[descuento sobre subtotal]])</f>
        <v>0</v>
      </c>
      <c r="R562" s="21">
        <f>+PROVEEDORES[[#This Row],[SUBTOTAL]]+PROVEEDORES[[#This Row],[IVA 19%]]-PROVEEDORES[[#This Row],[descuento sobre subtotal]]-PROVEEDORES[[#This Row],[Descuento sobre subtotal $2]]-PROVEEDORES[[#This Row],[Rete Fuente $]]</f>
        <v>470050</v>
      </c>
      <c r="S56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63">
        <f ca="1">IF(PROVEEDORES[[#This Row],[FECHA DE PAGO]]=0,TODAY()-PROVEEDORES[[#This Row],[FECHA DE FACTURACIÓN]]-PROVEEDORES[[#This Row],[PLAZO Días]],0)</f>
        <v>0</v>
      </c>
      <c r="U562" s="104" t="str">
        <f>+VLOOKUP(PROVEEDORES[[#This Row],[PROVEEDOR]],Terceros!$A:$D,4,FALSE)</f>
        <v>2,5% con base</v>
      </c>
      <c r="V562" s="105">
        <f>+YEAR(PROVEEDORES[[#This Row],[FECHA DE FACTURACIÓN]])</f>
        <v>2022</v>
      </c>
      <c r="W562" s="105">
        <f>+MATCH(PROVEEDORES[[#This Row],[año facturado]],Retenciones!$1:$1,0)</f>
        <v>5</v>
      </c>
      <c r="X562" s="106">
        <f>+VLOOKUP(PROVEEDORES[[#This Row],[ID RETENCION]],Retenciones!$A$1:$O$25,PROVEEDORES[[#This Row],[indicador de columna]],FALSE)</f>
        <v>1026000</v>
      </c>
      <c r="Y562" s="107">
        <f>+VLOOKUP(PROVEEDORES[[#This Row],[ID RETENCION]],Retenciones!$A$1:$O$25,2,FALSE)</f>
        <v>2.5000000000000001E-2</v>
      </c>
      <c r="Z562" s="116" t="b">
        <f>OR(COUNTIF(PROVEEDORES[[#This Row],[PROVEEDOR]],"*"&amp;'Palabra no opera'!$A$2&amp;"*"))</f>
        <v>0</v>
      </c>
    </row>
    <row r="563" spans="1:26" ht="22.35" customHeight="1" x14ac:dyDescent="0.3">
      <c r="A563" s="148" t="str">
        <f>+IF(PROVEEDORES[[#This Row],[FECHA DE PAGO]]=PROVEEDORES[[#This Row],[FECHA DE FACTURACIÓN]],"DE CONTADO","CRÉDITO")</f>
        <v>CRÉDITO</v>
      </c>
      <c r="B563" s="38" t="str">
        <f>+IF((PROVEEDORES[[#This Row],[FECHA DE PAGO]]-PROVEEDORES[[#This Row],[FECHA DE FACTURACIÓN]])&gt;PROVEEDORES[[#This Row],[PLAZO Días]],"PAGO VENCIDO")</f>
        <v>PAGO VENCIDO</v>
      </c>
      <c r="C563" s="20">
        <f>+VLOOKUP(PROVEEDORES[[#This Row],[PROVEEDOR]],TERCEROS_INFO[#All],2,FALSE)</f>
        <v>30</v>
      </c>
      <c r="D563" s="25">
        <f>+SUMIFS(PROVEEDORES[Total],PROVEEDORES[PROVEEDOR],PROVEEDORES[[#This Row],[PROVEEDOR]],PROVEEDORES[FECHA DE PAGO],"")</f>
        <v>0</v>
      </c>
      <c r="E563" s="25"/>
      <c r="F563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563" s="68">
        <v>44758</v>
      </c>
      <c r="H563" s="26" t="s">
        <v>1069</v>
      </c>
      <c r="I563" s="68">
        <v>44727</v>
      </c>
      <c r="J563" s="35" t="s">
        <v>743</v>
      </c>
      <c r="K563" s="21">
        <v>1012608</v>
      </c>
      <c r="L563" s="21"/>
      <c r="M563" s="22">
        <f>(PROVEEDORES[[#This Row],[SUBTOTAL]]-PROVEEDORES[[#This Row],[descuento sobre subtotal]])*VLOOKUP(PROVEEDORES[[#This Row],[PROVEEDOR]],TERCEROS_INFO[#All],3,FALSE)</f>
        <v>192395.51999999999</v>
      </c>
      <c r="N563" s="23"/>
      <c r="O563" s="22">
        <f>+PROVEEDORES[[#This Row],[Descuento sobre subtotal %]]*(PROVEEDORES[[#This Row],[SUBTOTAL]]-PROVEEDORES[[#This Row],[descuento sobre subtotal]])</f>
        <v>0</v>
      </c>
      <c r="P563" s="74">
        <f>+IF(PROVEEDORES[[#This Row],[SUBTOTAL]]&lt;PROVEEDORES[[#This Row],[base retencion]],0,PROVEEDORES[[#This Row],[retención aplicada]])</f>
        <v>0</v>
      </c>
      <c r="Q563" s="22">
        <f>+PROVEEDORES[[#This Row],[Rete Fuente %]]*(PROVEEDORES[[#This Row],[SUBTOTAL]]-PROVEEDORES[[#This Row],[descuento sobre subtotal]])</f>
        <v>0</v>
      </c>
      <c r="R563" s="21">
        <f>+PROVEEDORES[[#This Row],[SUBTOTAL]]+PROVEEDORES[[#This Row],[IVA 19%]]-PROVEEDORES[[#This Row],[descuento sobre subtotal]]-PROVEEDORES[[#This Row],[Descuento sobre subtotal $2]]-PROVEEDORES[[#This Row],[Rete Fuente $]]</f>
        <v>1205003.52</v>
      </c>
      <c r="S56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63">
        <f ca="1">IF(PROVEEDORES[[#This Row],[FECHA DE PAGO]]=0,TODAY()-PROVEEDORES[[#This Row],[FECHA DE FACTURACIÓN]]-PROVEEDORES[[#This Row],[PLAZO Días]],0)</f>
        <v>0</v>
      </c>
      <c r="U563" s="104" t="str">
        <f>+VLOOKUP(PROVEEDORES[[#This Row],[PROVEEDOR]],Terceros!$A:$D,4,FALSE)</f>
        <v>2,5% con base</v>
      </c>
      <c r="V563" s="105">
        <f>+YEAR(PROVEEDORES[[#This Row],[FECHA DE FACTURACIÓN]])</f>
        <v>2022</v>
      </c>
      <c r="W563" s="105">
        <f>+MATCH(PROVEEDORES[[#This Row],[año facturado]],Retenciones!$1:$1,0)</f>
        <v>5</v>
      </c>
      <c r="X563" s="106">
        <f>+VLOOKUP(PROVEEDORES[[#This Row],[ID RETENCION]],Retenciones!$A$1:$O$25,PROVEEDORES[[#This Row],[indicador de columna]],FALSE)</f>
        <v>1026000</v>
      </c>
      <c r="Y563" s="107">
        <f>+VLOOKUP(PROVEEDORES[[#This Row],[ID RETENCION]],Retenciones!$A$1:$O$25,2,FALSE)</f>
        <v>2.5000000000000001E-2</v>
      </c>
      <c r="Z563" s="116" t="b">
        <f>OR(COUNTIF(PROVEEDORES[[#This Row],[PROVEEDOR]],"*"&amp;'Palabra no opera'!$A$2&amp;"*"))</f>
        <v>0</v>
      </c>
    </row>
    <row r="564" spans="1:26" ht="22.35" customHeight="1" x14ac:dyDescent="0.3">
      <c r="A564" s="135" t="str">
        <f>+IF(PROVEEDORES[[#This Row],[FECHA DE PAGO]]=PROVEEDORES[[#This Row],[FECHA DE FACTURACIÓN]],"DE CONTADO","CRÉDITO")</f>
        <v>CRÉDITO</v>
      </c>
      <c r="B564" s="38" t="str">
        <f>+IF((PROVEEDORES[[#This Row],[FECHA DE PAGO]]-PROVEEDORES[[#This Row],[FECHA DE FACTURACIÓN]])&gt;PROVEEDORES[[#This Row],[PLAZO Días]],"PAGO VENCIDO")</f>
        <v>PAGO VENCIDO</v>
      </c>
      <c r="C564" s="20">
        <f>+VLOOKUP(PROVEEDORES[[#This Row],[PROVEEDOR]],TERCEROS_INFO[#All],2,FALSE)</f>
        <v>30</v>
      </c>
      <c r="D564" s="25">
        <f>+SUMIFS(PROVEEDORES[Total],PROVEEDORES[PROVEEDOR],PROVEEDORES[[#This Row],[PROVEEDOR]],PROVEEDORES[FECHA DE PAGO],"")</f>
        <v>0</v>
      </c>
      <c r="E564" s="25"/>
      <c r="F564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564" s="68">
        <v>44760</v>
      </c>
      <c r="H564" s="26" t="s">
        <v>343</v>
      </c>
      <c r="I564" s="68">
        <v>44705</v>
      </c>
      <c r="J564" s="35" t="s">
        <v>1033</v>
      </c>
      <c r="K564" s="21">
        <v>1030000</v>
      </c>
      <c r="L564" s="21"/>
      <c r="M564" s="22">
        <f>(PROVEEDORES[[#This Row],[SUBTOTAL]]-PROVEEDORES[[#This Row],[descuento sobre subtotal]])*VLOOKUP(PROVEEDORES[[#This Row],[PROVEEDOR]],TERCEROS_INFO[#All],3,FALSE)</f>
        <v>0</v>
      </c>
      <c r="N564" s="23"/>
      <c r="O564" s="22">
        <f>+PROVEEDORES[[#This Row],[Descuento sobre subtotal %]]*(PROVEEDORES[[#This Row],[SUBTOTAL]]-PROVEEDORES[[#This Row],[descuento sobre subtotal]])</f>
        <v>0</v>
      </c>
      <c r="P564" s="74">
        <f>+IF(PROVEEDORES[[#This Row],[SUBTOTAL]]&lt;PROVEEDORES[[#This Row],[base retencion]],0,PROVEEDORES[[#This Row],[retención aplicada]])</f>
        <v>0</v>
      </c>
      <c r="Q564" s="22">
        <f>+PROVEEDORES[[#This Row],[Rete Fuente %]]*(PROVEEDORES[[#This Row],[SUBTOTAL]]-PROVEEDORES[[#This Row],[descuento sobre subtotal]])</f>
        <v>0</v>
      </c>
      <c r="R564" s="21">
        <f>+PROVEEDORES[[#This Row],[SUBTOTAL]]+PROVEEDORES[[#This Row],[IVA 19%]]-PROVEEDORES[[#This Row],[descuento sobre subtotal]]-PROVEEDORES[[#This Row],[Descuento sobre subtotal $2]]-PROVEEDORES[[#This Row],[Rete Fuente $]]</f>
        <v>1030000</v>
      </c>
      <c r="S564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63">
        <f ca="1">IF(PROVEEDORES[[#This Row],[FECHA DE PAGO]]=0,TODAY()-PROVEEDORES[[#This Row],[FECHA DE FACTURACIÓN]]-PROVEEDORES[[#This Row],[PLAZO Días]],0)</f>
        <v>0</v>
      </c>
      <c r="U564" s="104">
        <f>+VLOOKUP(PROVEEDORES[[#This Row],[PROVEEDOR]],Terceros!$A:$D,4,FALSE)</f>
        <v>0</v>
      </c>
      <c r="V564" s="105">
        <f>+YEAR(PROVEEDORES[[#This Row],[FECHA DE FACTURACIÓN]])</f>
        <v>2022</v>
      </c>
      <c r="W564" s="105">
        <f>+MATCH(PROVEEDORES[[#This Row],[año facturado]],Retenciones!$1:$1,0)</f>
        <v>5</v>
      </c>
      <c r="X564" s="106">
        <f>+VLOOKUP(PROVEEDORES[[#This Row],[ID RETENCION]],Retenciones!$A$1:$O$25,PROVEEDORES[[#This Row],[indicador de columna]],FALSE)</f>
        <v>0</v>
      </c>
      <c r="Y564" s="107">
        <f>+VLOOKUP(PROVEEDORES[[#This Row],[ID RETENCION]],Retenciones!$A$1:$O$25,2,FALSE)</f>
        <v>0</v>
      </c>
      <c r="Z564" s="116" t="b">
        <f>OR(COUNTIF(PROVEEDORES[[#This Row],[PROVEEDOR]],"*"&amp;'Palabra no opera'!$A$2&amp;"*"))</f>
        <v>0</v>
      </c>
    </row>
    <row r="565" spans="1:26" ht="22.35" customHeight="1" x14ac:dyDescent="0.3">
      <c r="A565" s="67" t="str">
        <f>+IF(PROVEEDORES[[#This Row],[FECHA DE PAGO]]=PROVEEDORES[[#This Row],[FECHA DE FACTURACIÓN]],"DE CONTADO","CRÉDITO")</f>
        <v>DE CONTADO</v>
      </c>
      <c r="B565" s="38" t="b">
        <f>+IF((PROVEEDORES[[#This Row],[FECHA DE PAGO]]-PROVEEDORES[[#This Row],[FECHA DE FACTURACIÓN]])&gt;PROVEEDORES[[#This Row],[PLAZO Días]],"PAGO VENCIDO")</f>
        <v>0</v>
      </c>
      <c r="C565" s="20">
        <f>+VLOOKUP(PROVEEDORES[[#This Row],[PROVEEDOR]],TERCEROS_INFO[#All],2,FALSE)</f>
        <v>30</v>
      </c>
      <c r="D565" s="25">
        <f>+SUMIFS(PROVEEDORES[Total],PROVEEDORES[PROVEEDOR],PROVEEDORES[[#This Row],[PROVEEDOR]],PROVEEDORES[FECHA DE PAGO],"")</f>
        <v>0</v>
      </c>
      <c r="E565" s="25"/>
      <c r="F565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565" s="68">
        <v>44760</v>
      </c>
      <c r="H565" s="26" t="s">
        <v>827</v>
      </c>
      <c r="I565" s="68">
        <v>44760</v>
      </c>
      <c r="J565" s="35">
        <v>527</v>
      </c>
      <c r="K565" s="21">
        <v>501681</v>
      </c>
      <c r="L565" s="21"/>
      <c r="M565" s="22">
        <f>(PROVEEDORES[[#This Row],[SUBTOTAL]]-PROVEEDORES[[#This Row],[descuento sobre subtotal]])*VLOOKUP(PROVEEDORES[[#This Row],[PROVEEDOR]],TERCEROS_INFO[#All],3,FALSE)</f>
        <v>95319.39</v>
      </c>
      <c r="N565" s="23"/>
      <c r="O565" s="22">
        <f>+PROVEEDORES[[#This Row],[Descuento sobre subtotal %]]*(PROVEEDORES[[#This Row],[SUBTOTAL]]-PROVEEDORES[[#This Row],[descuento sobre subtotal]])</f>
        <v>0</v>
      </c>
      <c r="P565" s="74">
        <f>+IF(PROVEEDORES[[#This Row],[SUBTOTAL]]&lt;PROVEEDORES[[#This Row],[base retencion]],0,PROVEEDORES[[#This Row],[retención aplicada]])</f>
        <v>0</v>
      </c>
      <c r="Q565" s="22">
        <f>+PROVEEDORES[[#This Row],[Rete Fuente %]]*(PROVEEDORES[[#This Row],[SUBTOTAL]]-PROVEEDORES[[#This Row],[descuento sobre subtotal]])</f>
        <v>0</v>
      </c>
      <c r="R565" s="21">
        <f>+PROVEEDORES[[#This Row],[SUBTOTAL]]+PROVEEDORES[[#This Row],[IVA 19%]]-PROVEEDORES[[#This Row],[descuento sobre subtotal]]-PROVEEDORES[[#This Row],[Descuento sobre subtotal $2]]-PROVEEDORES[[#This Row],[Rete Fuente $]]</f>
        <v>597000.39</v>
      </c>
      <c r="S5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63">
        <f ca="1">IF(PROVEEDORES[[#This Row],[FECHA DE PAGO]]=0,TODAY()-PROVEEDORES[[#This Row],[FECHA DE FACTURACIÓN]]-PROVEEDORES[[#This Row],[PLAZO Días]],0)</f>
        <v>0</v>
      </c>
      <c r="U565" s="104">
        <f>+VLOOKUP(PROVEEDORES[[#This Row],[PROVEEDOR]],Terceros!$A:$D,4,FALSE)</f>
        <v>0</v>
      </c>
      <c r="V565" s="105">
        <f>+YEAR(PROVEEDORES[[#This Row],[FECHA DE FACTURACIÓN]])</f>
        <v>2022</v>
      </c>
      <c r="W565" s="105">
        <f>+MATCH(PROVEEDORES[[#This Row],[año facturado]],Retenciones!$1:$1,0)</f>
        <v>5</v>
      </c>
      <c r="X565" s="106">
        <f>+VLOOKUP(PROVEEDORES[[#This Row],[ID RETENCION]],Retenciones!$A$1:$O$25,PROVEEDORES[[#This Row],[indicador de columna]],FALSE)</f>
        <v>0</v>
      </c>
      <c r="Y565" s="107">
        <f>+VLOOKUP(PROVEEDORES[[#This Row],[ID RETENCION]],Retenciones!$A$1:$O$25,2,FALSE)</f>
        <v>0</v>
      </c>
      <c r="Z565" s="116" t="b">
        <f>OR(COUNTIF(PROVEEDORES[[#This Row],[PROVEEDOR]],"*"&amp;'Palabra no opera'!$A$2&amp;"*"))</f>
        <v>0</v>
      </c>
    </row>
    <row r="566" spans="1:26" ht="22.35" customHeight="1" x14ac:dyDescent="0.3">
      <c r="A566" s="163" t="str">
        <f>+IF(PROVEEDORES[[#This Row],[FECHA DE PAGO]]=PROVEEDORES[[#This Row],[FECHA DE FACTURACIÓN]],"DE CONTADO","CRÉDITO")</f>
        <v>CRÉDITO</v>
      </c>
      <c r="B566" s="38" t="str">
        <f>+IF((PROVEEDORES[[#This Row],[FECHA DE PAGO]]-PROVEEDORES[[#This Row],[FECHA DE FACTURACIÓN]])&gt;PROVEEDORES[[#This Row],[PLAZO Días]],"PAGO VENCIDO")</f>
        <v>PAGO VENCIDO</v>
      </c>
      <c r="C566" s="20">
        <f>+VLOOKUP(PROVEEDORES[[#This Row],[PROVEEDOR]],TERCEROS_INFO[#All],2,FALSE)</f>
        <v>60</v>
      </c>
      <c r="D566" s="25">
        <f>+SUMIFS(PROVEEDORES[Total],PROVEEDORES[PROVEEDOR],PROVEEDORES[[#This Row],[PROVEEDOR]],PROVEEDORES[FECHA DE PAGO],"")</f>
        <v>395600</v>
      </c>
      <c r="E566" s="25"/>
      <c r="F56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6" s="68">
        <v>44761</v>
      </c>
      <c r="H566" s="26" t="s">
        <v>287</v>
      </c>
      <c r="I566" s="68">
        <v>44539</v>
      </c>
      <c r="J566" s="35" t="s">
        <v>531</v>
      </c>
      <c r="K566" s="21">
        <v>247180.5</v>
      </c>
      <c r="L566" s="21"/>
      <c r="M566" s="22">
        <f>(PROVEEDORES[[#This Row],[SUBTOTAL]]-PROVEEDORES[[#This Row],[descuento sobre subtotal]])*VLOOKUP(PROVEEDORES[[#This Row],[PROVEEDOR]],TERCEROS_INFO[#All],3,FALSE)</f>
        <v>0</v>
      </c>
      <c r="N566" s="23"/>
      <c r="O566" s="22">
        <f>+PROVEEDORES[[#This Row],[Descuento sobre subtotal %]]*(PROVEEDORES[[#This Row],[SUBTOTAL]]-PROVEEDORES[[#This Row],[descuento sobre subtotal]])</f>
        <v>0</v>
      </c>
      <c r="P566" s="74">
        <f>+IF(PROVEEDORES[[#This Row],[SUBTOTAL]]&lt;PROVEEDORES[[#This Row],[base retencion]],0,PROVEEDORES[[#This Row],[retención aplicada]])</f>
        <v>0</v>
      </c>
      <c r="Q566" s="22">
        <f>+PROVEEDORES[[#This Row],[Rete Fuente %]]*(PROVEEDORES[[#This Row],[SUBTOTAL]]-PROVEEDORES[[#This Row],[descuento sobre subtotal]])</f>
        <v>0</v>
      </c>
      <c r="R566" s="21">
        <f>+PROVEEDORES[[#This Row],[SUBTOTAL]]+PROVEEDORES[[#This Row],[IVA 19%]]-PROVEEDORES[[#This Row],[descuento sobre subtotal]]-PROVEEDORES[[#This Row],[Descuento sobre subtotal $2]]-PROVEEDORES[[#This Row],[Rete Fuente $]]</f>
        <v>247180.5</v>
      </c>
      <c r="S566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63">
        <f ca="1">IF(PROVEEDORES[[#This Row],[FECHA DE PAGO]]=0,TODAY()-PROVEEDORES[[#This Row],[FECHA DE FACTURACIÓN]]-PROVEEDORES[[#This Row],[PLAZO Días]],0)</f>
        <v>0</v>
      </c>
      <c r="U566" s="104">
        <f>+VLOOKUP(PROVEEDORES[[#This Row],[PROVEEDOR]],Terceros!$A:$D,4,FALSE)</f>
        <v>0</v>
      </c>
      <c r="V566" s="105">
        <f>+YEAR(PROVEEDORES[[#This Row],[FECHA DE FACTURACIÓN]])</f>
        <v>2021</v>
      </c>
      <c r="W566" s="105">
        <f>+MATCH(PROVEEDORES[[#This Row],[año facturado]],Retenciones!$1:$1,0)</f>
        <v>4</v>
      </c>
      <c r="X566" s="106">
        <f>+VLOOKUP(PROVEEDORES[[#This Row],[ID RETENCION]],Retenciones!$A$1:$O$25,PROVEEDORES[[#This Row],[indicador de columna]],FALSE)</f>
        <v>0</v>
      </c>
      <c r="Y566" s="107">
        <f>+VLOOKUP(PROVEEDORES[[#This Row],[ID RETENCION]],Retenciones!$A$1:$O$25,2,FALSE)</f>
        <v>0</v>
      </c>
      <c r="Z566" s="116" t="b">
        <f>OR(COUNTIF(PROVEEDORES[[#This Row],[PROVEEDOR]],"*"&amp;'Palabra no opera'!$A$2&amp;"*"))</f>
        <v>0</v>
      </c>
    </row>
    <row r="567" spans="1:26" ht="22.35" customHeight="1" x14ac:dyDescent="0.3">
      <c r="A567" s="163" t="str">
        <f>+IF(PROVEEDORES[[#This Row],[FECHA DE PAGO]]=PROVEEDORES[[#This Row],[FECHA DE FACTURACIÓN]],"DE CONTADO","CRÉDITO")</f>
        <v>CRÉDITO</v>
      </c>
      <c r="B567" s="38" t="str">
        <f>+IF((PROVEEDORES[[#This Row],[FECHA DE PAGO]]-PROVEEDORES[[#This Row],[FECHA DE FACTURACIÓN]])&gt;PROVEEDORES[[#This Row],[PLAZO Días]],"PAGO VENCIDO")</f>
        <v>PAGO VENCIDO</v>
      </c>
      <c r="C567" s="20">
        <f>+VLOOKUP(PROVEEDORES[[#This Row],[PROVEEDOR]],TERCEROS_INFO[#All],2,FALSE)</f>
        <v>60</v>
      </c>
      <c r="D567" s="25">
        <f>+SUMIFS(PROVEEDORES[Total],PROVEEDORES[PROVEEDOR],PROVEEDORES[[#This Row],[PROVEEDOR]],PROVEEDORES[FECHA DE PAGO],"")</f>
        <v>395600</v>
      </c>
      <c r="E567" s="25"/>
      <c r="F56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7" s="68">
        <v>44761</v>
      </c>
      <c r="H567" s="26" t="s">
        <v>287</v>
      </c>
      <c r="I567" s="68">
        <v>44607</v>
      </c>
      <c r="J567" s="35" t="s">
        <v>1003</v>
      </c>
      <c r="K567" s="21">
        <v>208152</v>
      </c>
      <c r="L567" s="21"/>
      <c r="M567" s="22">
        <f>(PROVEEDORES[[#This Row],[SUBTOTAL]]-PROVEEDORES[[#This Row],[descuento sobre subtotal]])*VLOOKUP(PROVEEDORES[[#This Row],[PROVEEDOR]],TERCEROS_INFO[#All],3,FALSE)</f>
        <v>0</v>
      </c>
      <c r="N567" s="23"/>
      <c r="O567" s="22">
        <f>+PROVEEDORES[[#This Row],[Descuento sobre subtotal %]]*(PROVEEDORES[[#This Row],[SUBTOTAL]]-PROVEEDORES[[#This Row],[descuento sobre subtotal]])</f>
        <v>0</v>
      </c>
      <c r="P567" s="74">
        <f>+IF(PROVEEDORES[[#This Row],[SUBTOTAL]]&lt;PROVEEDORES[[#This Row],[base retencion]],0,PROVEEDORES[[#This Row],[retención aplicada]])</f>
        <v>0</v>
      </c>
      <c r="Q567" s="22">
        <f>+PROVEEDORES[[#This Row],[Rete Fuente %]]*(PROVEEDORES[[#This Row],[SUBTOTAL]]-PROVEEDORES[[#This Row],[descuento sobre subtotal]])</f>
        <v>0</v>
      </c>
      <c r="R567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567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63">
        <f ca="1">IF(PROVEEDORES[[#This Row],[FECHA DE PAGO]]=0,TODAY()-PROVEEDORES[[#This Row],[FECHA DE FACTURACIÓN]]-PROVEEDORES[[#This Row],[PLAZO Días]],0)</f>
        <v>0</v>
      </c>
      <c r="U567" s="104">
        <f>+VLOOKUP(PROVEEDORES[[#This Row],[PROVEEDOR]],Terceros!$A:$D,4,FALSE)</f>
        <v>0</v>
      </c>
      <c r="V567" s="105">
        <f>+YEAR(PROVEEDORES[[#This Row],[FECHA DE FACTURACIÓN]])</f>
        <v>2022</v>
      </c>
      <c r="W567" s="105">
        <f>+MATCH(PROVEEDORES[[#This Row],[año facturado]],Retenciones!$1:$1,0)</f>
        <v>5</v>
      </c>
      <c r="X567" s="106">
        <f>+VLOOKUP(PROVEEDORES[[#This Row],[ID RETENCION]],Retenciones!$A$1:$O$25,PROVEEDORES[[#This Row],[indicador de columna]],FALSE)</f>
        <v>0</v>
      </c>
      <c r="Y567" s="107">
        <f>+VLOOKUP(PROVEEDORES[[#This Row],[ID RETENCION]],Retenciones!$A$1:$O$25,2,FALSE)</f>
        <v>0</v>
      </c>
      <c r="Z567" s="116" t="b">
        <f>OR(COUNTIF(PROVEEDORES[[#This Row],[PROVEEDOR]],"*"&amp;'Palabra no opera'!$A$2&amp;"*"))</f>
        <v>0</v>
      </c>
    </row>
    <row r="568" spans="1:26" ht="22.35" customHeight="1" x14ac:dyDescent="0.3">
      <c r="A568" s="163" t="str">
        <f>+IF(PROVEEDORES[[#This Row],[FECHA DE PAGO]]=PROVEEDORES[[#This Row],[FECHA DE FACTURACIÓN]],"DE CONTADO","CRÉDITO")</f>
        <v>CRÉDITO</v>
      </c>
      <c r="B568" s="38" t="str">
        <f>+IF((PROVEEDORES[[#This Row],[FECHA DE PAGO]]-PROVEEDORES[[#This Row],[FECHA DE FACTURACIÓN]])&gt;PROVEEDORES[[#This Row],[PLAZO Días]],"PAGO VENCIDO")</f>
        <v>PAGO VENCIDO</v>
      </c>
      <c r="C568" s="20">
        <f>+VLOOKUP(PROVEEDORES[[#This Row],[PROVEEDOR]],TERCEROS_INFO[#All],2,FALSE)</f>
        <v>60</v>
      </c>
      <c r="D568" s="25">
        <f>+SUMIFS(PROVEEDORES[Total],PROVEEDORES[PROVEEDOR],PROVEEDORES[[#This Row],[PROVEEDOR]],PROVEEDORES[FECHA DE PAGO],"")</f>
        <v>395600</v>
      </c>
      <c r="E568" s="25"/>
      <c r="F56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8" s="68">
        <v>44761</v>
      </c>
      <c r="H568" s="26" t="s">
        <v>287</v>
      </c>
      <c r="I568" s="68">
        <v>44617</v>
      </c>
      <c r="J568" s="35" t="s">
        <v>1006</v>
      </c>
      <c r="K568" s="21">
        <v>225498</v>
      </c>
      <c r="L568" s="21"/>
      <c r="M568" s="22">
        <f>(PROVEEDORES[[#This Row],[SUBTOTAL]]-PROVEEDORES[[#This Row],[descuento sobre subtotal]])*VLOOKUP(PROVEEDORES[[#This Row],[PROVEEDOR]],TERCEROS_INFO[#All],3,FALSE)</f>
        <v>0</v>
      </c>
      <c r="N568" s="23"/>
      <c r="O568" s="22">
        <f>+PROVEEDORES[[#This Row],[Descuento sobre subtotal %]]*(PROVEEDORES[[#This Row],[SUBTOTAL]]-PROVEEDORES[[#This Row],[descuento sobre subtotal]])</f>
        <v>0</v>
      </c>
      <c r="P568" s="74">
        <f>+IF(PROVEEDORES[[#This Row],[SUBTOTAL]]&lt;PROVEEDORES[[#This Row],[base retencion]],0,PROVEEDORES[[#This Row],[retención aplicada]])</f>
        <v>0</v>
      </c>
      <c r="Q568" s="22">
        <f>+PROVEEDORES[[#This Row],[Rete Fuente %]]*(PROVEEDORES[[#This Row],[SUBTOTAL]]-PROVEEDORES[[#This Row],[descuento sobre subtotal]])</f>
        <v>0</v>
      </c>
      <c r="R568" s="21">
        <f>+PROVEEDORES[[#This Row],[SUBTOTAL]]+PROVEEDORES[[#This Row],[IVA 19%]]-PROVEEDORES[[#This Row],[descuento sobre subtotal]]-PROVEEDORES[[#This Row],[Descuento sobre subtotal $2]]-PROVEEDORES[[#This Row],[Rete Fuente $]]</f>
        <v>225498</v>
      </c>
      <c r="S568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63">
        <f ca="1">IF(PROVEEDORES[[#This Row],[FECHA DE PAGO]]=0,TODAY()-PROVEEDORES[[#This Row],[FECHA DE FACTURACIÓN]]-PROVEEDORES[[#This Row],[PLAZO Días]],0)</f>
        <v>0</v>
      </c>
      <c r="U568" s="104">
        <f>+VLOOKUP(PROVEEDORES[[#This Row],[PROVEEDOR]],Terceros!$A:$D,4,FALSE)</f>
        <v>0</v>
      </c>
      <c r="V568" s="105">
        <f>+YEAR(PROVEEDORES[[#This Row],[FECHA DE FACTURACIÓN]])</f>
        <v>2022</v>
      </c>
      <c r="W568" s="105">
        <f>+MATCH(PROVEEDORES[[#This Row],[año facturado]],Retenciones!$1:$1,0)</f>
        <v>5</v>
      </c>
      <c r="X568" s="106">
        <f>+VLOOKUP(PROVEEDORES[[#This Row],[ID RETENCION]],Retenciones!$A$1:$O$25,PROVEEDORES[[#This Row],[indicador de columna]],FALSE)</f>
        <v>0</v>
      </c>
      <c r="Y568" s="107">
        <f>+VLOOKUP(PROVEEDORES[[#This Row],[ID RETENCION]],Retenciones!$A$1:$O$25,2,FALSE)</f>
        <v>0</v>
      </c>
      <c r="Z568" s="116" t="b">
        <f>OR(COUNTIF(PROVEEDORES[[#This Row],[PROVEEDOR]],"*"&amp;'Palabra no opera'!$A$2&amp;"*"))</f>
        <v>0</v>
      </c>
    </row>
    <row r="569" spans="1:26" ht="22.35" customHeight="1" x14ac:dyDescent="0.3">
      <c r="A569" s="163" t="str">
        <f>+IF(PROVEEDORES[[#This Row],[FECHA DE PAGO]]=PROVEEDORES[[#This Row],[FECHA DE FACTURACIÓN]],"DE CONTADO","CRÉDITO")</f>
        <v>CRÉDITO</v>
      </c>
      <c r="B569" s="38" t="str">
        <f>+IF((PROVEEDORES[[#This Row],[FECHA DE PAGO]]-PROVEEDORES[[#This Row],[FECHA DE FACTURACIÓN]])&gt;PROVEEDORES[[#This Row],[PLAZO Días]],"PAGO VENCIDO")</f>
        <v>PAGO VENCIDO</v>
      </c>
      <c r="C569" s="20">
        <f>+VLOOKUP(PROVEEDORES[[#This Row],[PROVEEDOR]],TERCEROS_INFO[#All],2,FALSE)</f>
        <v>60</v>
      </c>
      <c r="D569" s="25">
        <f>+SUMIFS(PROVEEDORES[Total],PROVEEDORES[PROVEEDOR],PROVEEDORES[[#This Row],[PROVEEDOR]],PROVEEDORES[FECHA DE PAGO],"")</f>
        <v>395600</v>
      </c>
      <c r="E569" s="25"/>
      <c r="F56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9" s="68">
        <v>44761</v>
      </c>
      <c r="H569" s="26" t="s">
        <v>287</v>
      </c>
      <c r="I569" s="68">
        <v>44643</v>
      </c>
      <c r="J569" s="35" t="s">
        <v>1011</v>
      </c>
      <c r="K569" s="21">
        <v>485688</v>
      </c>
      <c r="L569" s="21"/>
      <c r="M569" s="22">
        <f>(PROVEEDORES[[#This Row],[SUBTOTAL]]-PROVEEDORES[[#This Row],[descuento sobre subtotal]])*VLOOKUP(PROVEEDORES[[#This Row],[PROVEEDOR]],TERCEROS_INFO[#All],3,FALSE)</f>
        <v>0</v>
      </c>
      <c r="N569" s="23"/>
      <c r="O569" s="22">
        <f>+PROVEEDORES[[#This Row],[Descuento sobre subtotal %]]*(PROVEEDORES[[#This Row],[SUBTOTAL]]-PROVEEDORES[[#This Row],[descuento sobre subtotal]])</f>
        <v>0</v>
      </c>
      <c r="P569" s="74">
        <f>+IF(PROVEEDORES[[#This Row],[SUBTOTAL]]&lt;PROVEEDORES[[#This Row],[base retencion]],0,PROVEEDORES[[#This Row],[retención aplicada]])</f>
        <v>0</v>
      </c>
      <c r="Q569" s="22">
        <f>+PROVEEDORES[[#This Row],[Rete Fuente %]]*(PROVEEDORES[[#This Row],[SUBTOTAL]]-PROVEEDORES[[#This Row],[descuento sobre subtotal]])</f>
        <v>0</v>
      </c>
      <c r="R569" s="21">
        <f>+PROVEEDORES[[#This Row],[SUBTOTAL]]+PROVEEDORES[[#This Row],[IVA 19%]]-PROVEEDORES[[#This Row],[descuento sobre subtotal]]-PROVEEDORES[[#This Row],[Descuento sobre subtotal $2]]-PROVEEDORES[[#This Row],[Rete Fuente $]]</f>
        <v>485688</v>
      </c>
      <c r="S569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63">
        <f ca="1">IF(PROVEEDORES[[#This Row],[FECHA DE PAGO]]=0,TODAY()-PROVEEDORES[[#This Row],[FECHA DE FACTURACIÓN]]-PROVEEDORES[[#This Row],[PLAZO Días]],0)</f>
        <v>0</v>
      </c>
      <c r="U569" s="104">
        <f>+VLOOKUP(PROVEEDORES[[#This Row],[PROVEEDOR]],Terceros!$A:$D,4,FALSE)</f>
        <v>0</v>
      </c>
      <c r="V569" s="105">
        <f>+YEAR(PROVEEDORES[[#This Row],[FECHA DE FACTURACIÓN]])</f>
        <v>2022</v>
      </c>
      <c r="W569" s="105">
        <f>+MATCH(PROVEEDORES[[#This Row],[año facturado]],Retenciones!$1:$1,0)</f>
        <v>5</v>
      </c>
      <c r="X569" s="106">
        <f>+VLOOKUP(PROVEEDORES[[#This Row],[ID RETENCION]],Retenciones!$A$1:$O$25,PROVEEDORES[[#This Row],[indicador de columna]],FALSE)</f>
        <v>0</v>
      </c>
      <c r="Y569" s="107">
        <f>+VLOOKUP(PROVEEDORES[[#This Row],[ID RETENCION]],Retenciones!$A$1:$O$25,2,FALSE)</f>
        <v>0</v>
      </c>
      <c r="Z569" s="116" t="b">
        <f>OR(COUNTIF(PROVEEDORES[[#This Row],[PROVEEDOR]],"*"&amp;'Palabra no opera'!$A$2&amp;"*"))</f>
        <v>0</v>
      </c>
    </row>
    <row r="570" spans="1:26" ht="22.35" customHeight="1" x14ac:dyDescent="0.3">
      <c r="A570" s="163" t="str">
        <f>+IF(PROVEEDORES[[#This Row],[FECHA DE PAGO]]=PROVEEDORES[[#This Row],[FECHA DE FACTURACIÓN]],"DE CONTADO","CRÉDITO")</f>
        <v>CRÉDITO</v>
      </c>
      <c r="B570" s="38" t="str">
        <f>+IF((PROVEEDORES[[#This Row],[FECHA DE PAGO]]-PROVEEDORES[[#This Row],[FECHA DE FACTURACIÓN]])&gt;PROVEEDORES[[#This Row],[PLAZO Días]],"PAGO VENCIDO")</f>
        <v>PAGO VENCIDO</v>
      </c>
      <c r="C570" s="20">
        <f>+VLOOKUP(PROVEEDORES[[#This Row],[PROVEEDOR]],TERCEROS_INFO[#All],2,FALSE)</f>
        <v>60</v>
      </c>
      <c r="D570" s="25">
        <f>+SUMIFS(PROVEEDORES[Total],PROVEEDORES[PROVEEDOR],PROVEEDORES[[#This Row],[PROVEEDOR]],PROVEEDORES[FECHA DE PAGO],"")</f>
        <v>395600</v>
      </c>
      <c r="E570" s="25"/>
      <c r="F57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0" s="68">
        <v>44761</v>
      </c>
      <c r="H570" s="26" t="s">
        <v>287</v>
      </c>
      <c r="I570" s="68">
        <v>44676</v>
      </c>
      <c r="J570" s="35" t="s">
        <v>603</v>
      </c>
      <c r="K570" s="21">
        <v>173460</v>
      </c>
      <c r="L570" s="21"/>
      <c r="M570" s="22">
        <f>(PROVEEDORES[[#This Row],[SUBTOTAL]]-PROVEEDORES[[#This Row],[descuento sobre subtotal]])*VLOOKUP(PROVEEDORES[[#This Row],[PROVEEDOR]],TERCEROS_INFO[#All],3,FALSE)</f>
        <v>0</v>
      </c>
      <c r="N570" s="23"/>
      <c r="O570" s="22">
        <f>+PROVEEDORES[[#This Row],[Descuento sobre subtotal %]]*(PROVEEDORES[[#This Row],[SUBTOTAL]]-PROVEEDORES[[#This Row],[descuento sobre subtotal]])</f>
        <v>0</v>
      </c>
      <c r="P570" s="74">
        <f>+IF(PROVEEDORES[[#This Row],[SUBTOTAL]]&lt;PROVEEDORES[[#This Row],[base retencion]],0,PROVEEDORES[[#This Row],[retención aplicada]])</f>
        <v>0</v>
      </c>
      <c r="Q570" s="22">
        <f>+PROVEEDORES[[#This Row],[Rete Fuente %]]*(PROVEEDORES[[#This Row],[SUBTOTAL]]-PROVEEDORES[[#This Row],[descuento sobre subtotal]])</f>
        <v>0</v>
      </c>
      <c r="R570" s="21">
        <f>+PROVEEDORES[[#This Row],[SUBTOTAL]]+PROVEEDORES[[#This Row],[IVA 19%]]-PROVEEDORES[[#This Row],[descuento sobre subtotal]]-PROVEEDORES[[#This Row],[Descuento sobre subtotal $2]]-PROVEEDORES[[#This Row],[Rete Fuente $]]</f>
        <v>173460</v>
      </c>
      <c r="S570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63">
        <f ca="1">IF(PROVEEDORES[[#This Row],[FECHA DE PAGO]]=0,TODAY()-PROVEEDORES[[#This Row],[FECHA DE FACTURACIÓN]]-PROVEEDORES[[#This Row],[PLAZO Días]],0)</f>
        <v>0</v>
      </c>
      <c r="U570" s="104">
        <f>+VLOOKUP(PROVEEDORES[[#This Row],[PROVEEDOR]],Terceros!$A:$D,4,FALSE)</f>
        <v>0</v>
      </c>
      <c r="V570" s="105">
        <f>+YEAR(PROVEEDORES[[#This Row],[FECHA DE FACTURACIÓN]])</f>
        <v>2022</v>
      </c>
      <c r="W570" s="105">
        <f>+MATCH(PROVEEDORES[[#This Row],[año facturado]],Retenciones!$1:$1,0)</f>
        <v>5</v>
      </c>
      <c r="X570" s="106">
        <f>+VLOOKUP(PROVEEDORES[[#This Row],[ID RETENCION]],Retenciones!$A$1:$O$25,PROVEEDORES[[#This Row],[indicador de columna]],FALSE)</f>
        <v>0</v>
      </c>
      <c r="Y570" s="107">
        <f>+VLOOKUP(PROVEEDORES[[#This Row],[ID RETENCION]],Retenciones!$A$1:$O$25,2,FALSE)</f>
        <v>0</v>
      </c>
      <c r="Z570" s="116" t="b">
        <f>OR(COUNTIF(PROVEEDORES[[#This Row],[PROVEEDOR]],"*"&amp;'Palabra no opera'!$A$2&amp;"*"))</f>
        <v>0</v>
      </c>
    </row>
    <row r="571" spans="1:26" ht="22.35" customHeight="1" x14ac:dyDescent="0.3">
      <c r="A571" s="163" t="str">
        <f>+IF(PROVEEDORES[[#This Row],[FECHA DE PAGO]]=PROVEEDORES[[#This Row],[FECHA DE FACTURACIÓN]],"DE CONTADO","CRÉDITO")</f>
        <v>CRÉDITO</v>
      </c>
      <c r="B571" s="38" t="b">
        <f>+IF((PROVEEDORES[[#This Row],[FECHA DE PAGO]]-PROVEEDORES[[#This Row],[FECHA DE FACTURACIÓN]])&gt;PROVEEDORES[[#This Row],[PLAZO Días]],"PAGO VENCIDO")</f>
        <v>0</v>
      </c>
      <c r="C571" s="20">
        <f>+VLOOKUP(PROVEEDORES[[#This Row],[PROVEEDOR]],TERCEROS_INFO[#All],2,FALSE)</f>
        <v>60</v>
      </c>
      <c r="D571" s="25">
        <f>+SUMIFS(PROVEEDORES[Total],PROVEEDORES[PROVEEDOR],PROVEEDORES[[#This Row],[PROVEEDOR]],PROVEEDORES[FECHA DE PAGO],"")</f>
        <v>395600</v>
      </c>
      <c r="E571" s="25"/>
      <c r="F57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1" s="68">
        <v>44761</v>
      </c>
      <c r="H571" s="26" t="s">
        <v>287</v>
      </c>
      <c r="I571" s="68">
        <v>44712</v>
      </c>
      <c r="J571" s="35" t="s">
        <v>1038</v>
      </c>
      <c r="K571" s="21">
        <v>364266</v>
      </c>
      <c r="L571" s="21"/>
      <c r="M571" s="22">
        <f>(PROVEEDORES[[#This Row],[SUBTOTAL]]-PROVEEDORES[[#This Row],[descuento sobre subtotal]])*VLOOKUP(PROVEEDORES[[#This Row],[PROVEEDOR]],TERCEROS_INFO[#All],3,FALSE)</f>
        <v>0</v>
      </c>
      <c r="N571" s="23"/>
      <c r="O571" s="22">
        <f>+PROVEEDORES[[#This Row],[Descuento sobre subtotal %]]*(PROVEEDORES[[#This Row],[SUBTOTAL]]-PROVEEDORES[[#This Row],[descuento sobre subtotal]])</f>
        <v>0</v>
      </c>
      <c r="P571" s="74">
        <f>+IF(PROVEEDORES[[#This Row],[SUBTOTAL]]&lt;PROVEEDORES[[#This Row],[base retencion]],0,PROVEEDORES[[#This Row],[retención aplicada]])</f>
        <v>0</v>
      </c>
      <c r="Q571" s="22">
        <f>+PROVEEDORES[[#This Row],[Rete Fuente %]]*(PROVEEDORES[[#This Row],[SUBTOTAL]]-PROVEEDORES[[#This Row],[descuento sobre subtotal]])</f>
        <v>0</v>
      </c>
      <c r="R571" s="21">
        <f>+PROVEEDORES[[#This Row],[SUBTOTAL]]+PROVEEDORES[[#This Row],[IVA 19%]]-PROVEEDORES[[#This Row],[descuento sobre subtotal]]-PROVEEDORES[[#This Row],[Descuento sobre subtotal $2]]-PROVEEDORES[[#This Row],[Rete Fuente $]]</f>
        <v>364266</v>
      </c>
      <c r="S571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1" s="63">
        <f ca="1">IF(PROVEEDORES[[#This Row],[FECHA DE PAGO]]=0,TODAY()-PROVEEDORES[[#This Row],[FECHA DE FACTURACIÓN]]-PROVEEDORES[[#This Row],[PLAZO Días]],0)</f>
        <v>0</v>
      </c>
      <c r="U571" s="104">
        <f>+VLOOKUP(PROVEEDORES[[#This Row],[PROVEEDOR]],Terceros!$A:$D,4,FALSE)</f>
        <v>0</v>
      </c>
      <c r="V571" s="105">
        <f>+YEAR(PROVEEDORES[[#This Row],[FECHA DE FACTURACIÓN]])</f>
        <v>2022</v>
      </c>
      <c r="W571" s="105">
        <f>+MATCH(PROVEEDORES[[#This Row],[año facturado]],Retenciones!$1:$1,0)</f>
        <v>5</v>
      </c>
      <c r="X571" s="106">
        <f>+VLOOKUP(PROVEEDORES[[#This Row],[ID RETENCION]],Retenciones!$A$1:$O$25,PROVEEDORES[[#This Row],[indicador de columna]],FALSE)</f>
        <v>0</v>
      </c>
      <c r="Y571" s="107">
        <f>+VLOOKUP(PROVEEDORES[[#This Row],[ID RETENCION]],Retenciones!$A$1:$O$25,2,FALSE)</f>
        <v>0</v>
      </c>
      <c r="Z571" s="116" t="b">
        <f>OR(COUNTIF(PROVEEDORES[[#This Row],[PROVEEDOR]],"*"&amp;'Palabra no opera'!$A$2&amp;"*"))</f>
        <v>0</v>
      </c>
    </row>
    <row r="572" spans="1:26" ht="22.35" customHeight="1" x14ac:dyDescent="0.3">
      <c r="A572" s="163" t="str">
        <f>+IF(PROVEEDORES[[#This Row],[FECHA DE PAGO]]=PROVEEDORES[[#This Row],[FECHA DE FACTURACIÓN]],"DE CONTADO","CRÉDITO")</f>
        <v>CRÉDITO</v>
      </c>
      <c r="B572" s="38" t="b">
        <f>+IF((PROVEEDORES[[#This Row],[FECHA DE PAGO]]-PROVEEDORES[[#This Row],[FECHA DE FACTURACIÓN]])&gt;PROVEEDORES[[#This Row],[PLAZO Días]],"PAGO VENCIDO")</f>
        <v>0</v>
      </c>
      <c r="C572" s="20">
        <f>+VLOOKUP(PROVEEDORES[[#This Row],[PROVEEDOR]],TERCEROS_INFO[#All],2,FALSE)</f>
        <v>60</v>
      </c>
      <c r="D572" s="25">
        <f>+SUMIFS(PROVEEDORES[Total],PROVEEDORES[PROVEEDOR],PROVEEDORES[[#This Row],[PROVEEDOR]],PROVEEDORES[FECHA DE PAGO],"")</f>
        <v>395600</v>
      </c>
      <c r="E572" s="25"/>
      <c r="F57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2" s="68">
        <v>44761</v>
      </c>
      <c r="H572" s="26" t="s">
        <v>287</v>
      </c>
      <c r="I572" s="68">
        <v>44712</v>
      </c>
      <c r="J572" s="35" t="s">
        <v>1039</v>
      </c>
      <c r="K572" s="21">
        <v>381612</v>
      </c>
      <c r="L572" s="21"/>
      <c r="M572" s="22">
        <f>(PROVEEDORES[[#This Row],[SUBTOTAL]]-PROVEEDORES[[#This Row],[descuento sobre subtotal]])*VLOOKUP(PROVEEDORES[[#This Row],[PROVEEDOR]],TERCEROS_INFO[#All],3,FALSE)</f>
        <v>0</v>
      </c>
      <c r="N572" s="23"/>
      <c r="O572" s="22">
        <f>+PROVEEDORES[[#This Row],[Descuento sobre subtotal %]]*(PROVEEDORES[[#This Row],[SUBTOTAL]]-PROVEEDORES[[#This Row],[descuento sobre subtotal]])</f>
        <v>0</v>
      </c>
      <c r="P572" s="74">
        <f>+IF(PROVEEDORES[[#This Row],[SUBTOTAL]]&lt;PROVEEDORES[[#This Row],[base retencion]],0,PROVEEDORES[[#This Row],[retención aplicada]])</f>
        <v>0</v>
      </c>
      <c r="Q572" s="22">
        <f>+PROVEEDORES[[#This Row],[Rete Fuente %]]*(PROVEEDORES[[#This Row],[SUBTOTAL]]-PROVEEDORES[[#This Row],[descuento sobre subtotal]])</f>
        <v>0</v>
      </c>
      <c r="R572" s="21">
        <f>+PROVEEDORES[[#This Row],[SUBTOTAL]]+PROVEEDORES[[#This Row],[IVA 19%]]-PROVEEDORES[[#This Row],[descuento sobre subtotal]]-PROVEEDORES[[#This Row],[Descuento sobre subtotal $2]]-PROVEEDORES[[#This Row],[Rete Fuente $]]</f>
        <v>381612</v>
      </c>
      <c r="S572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63">
        <f ca="1">IF(PROVEEDORES[[#This Row],[FECHA DE PAGO]]=0,TODAY()-PROVEEDORES[[#This Row],[FECHA DE FACTURACIÓN]]-PROVEEDORES[[#This Row],[PLAZO Días]],0)</f>
        <v>0</v>
      </c>
      <c r="U572" s="104">
        <f>+VLOOKUP(PROVEEDORES[[#This Row],[PROVEEDOR]],Terceros!$A:$D,4,FALSE)</f>
        <v>0</v>
      </c>
      <c r="V572" s="105">
        <f>+YEAR(PROVEEDORES[[#This Row],[FECHA DE FACTURACIÓN]])</f>
        <v>2022</v>
      </c>
      <c r="W572" s="105">
        <f>+MATCH(PROVEEDORES[[#This Row],[año facturado]],Retenciones!$1:$1,0)</f>
        <v>5</v>
      </c>
      <c r="X572" s="106">
        <f>+VLOOKUP(PROVEEDORES[[#This Row],[ID RETENCION]],Retenciones!$A$1:$O$25,PROVEEDORES[[#This Row],[indicador de columna]],FALSE)</f>
        <v>0</v>
      </c>
      <c r="Y572" s="107">
        <f>+VLOOKUP(PROVEEDORES[[#This Row],[ID RETENCION]],Retenciones!$A$1:$O$25,2,FALSE)</f>
        <v>0</v>
      </c>
      <c r="Z572" s="116" t="b">
        <f>OR(COUNTIF(PROVEEDORES[[#This Row],[PROVEEDOR]],"*"&amp;'Palabra no opera'!$A$2&amp;"*"))</f>
        <v>0</v>
      </c>
    </row>
    <row r="573" spans="1:26" ht="22.35" customHeight="1" x14ac:dyDescent="0.3">
      <c r="A573" s="163" t="str">
        <f>+IF(PROVEEDORES[[#This Row],[FECHA DE PAGO]]=PROVEEDORES[[#This Row],[FECHA DE FACTURACIÓN]],"DE CONTADO","CRÉDITO")</f>
        <v>CRÉDITO</v>
      </c>
      <c r="B573" s="38" t="b">
        <f>+IF((PROVEEDORES[[#This Row],[FECHA DE PAGO]]-PROVEEDORES[[#This Row],[FECHA DE FACTURACIÓN]])&gt;PROVEEDORES[[#This Row],[PLAZO Días]],"PAGO VENCIDO")</f>
        <v>0</v>
      </c>
      <c r="C573" s="20">
        <f>+VLOOKUP(PROVEEDORES[[#This Row],[PROVEEDOR]],TERCEROS_INFO[#All],2,FALSE)</f>
        <v>60</v>
      </c>
      <c r="D573" s="25">
        <f>+SUMIFS(PROVEEDORES[Total],PROVEEDORES[PROVEEDOR],PROVEEDORES[[#This Row],[PROVEEDOR]],PROVEEDORES[FECHA DE PAGO],"")</f>
        <v>395600</v>
      </c>
      <c r="E573" s="25"/>
      <c r="F57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3" s="68">
        <v>44761</v>
      </c>
      <c r="H573" s="26" t="s">
        <v>287</v>
      </c>
      <c r="I573" s="68">
        <v>44742</v>
      </c>
      <c r="J573" s="35" t="s">
        <v>1044</v>
      </c>
      <c r="K573" s="21">
        <v>208152</v>
      </c>
      <c r="L573" s="21"/>
      <c r="M573" s="22">
        <f>(PROVEEDORES[[#This Row],[SUBTOTAL]]-PROVEEDORES[[#This Row],[descuento sobre subtotal]])*VLOOKUP(PROVEEDORES[[#This Row],[PROVEEDOR]],TERCEROS_INFO[#All],3,FALSE)</f>
        <v>0</v>
      </c>
      <c r="N573" s="23"/>
      <c r="O573" s="22">
        <f>+PROVEEDORES[[#This Row],[Descuento sobre subtotal %]]*(PROVEEDORES[[#This Row],[SUBTOTAL]]-PROVEEDORES[[#This Row],[descuento sobre subtotal]])</f>
        <v>0</v>
      </c>
      <c r="P573" s="74">
        <f>+IF(PROVEEDORES[[#This Row],[SUBTOTAL]]&lt;PROVEEDORES[[#This Row],[base retencion]],0,PROVEEDORES[[#This Row],[retención aplicada]])</f>
        <v>0</v>
      </c>
      <c r="Q573" s="22">
        <f>+PROVEEDORES[[#This Row],[Rete Fuente %]]*(PROVEEDORES[[#This Row],[SUBTOTAL]]-PROVEEDORES[[#This Row],[descuento sobre subtotal]])</f>
        <v>0</v>
      </c>
      <c r="R573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573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63">
        <f ca="1">IF(PROVEEDORES[[#This Row],[FECHA DE PAGO]]=0,TODAY()-PROVEEDORES[[#This Row],[FECHA DE FACTURACIÓN]]-PROVEEDORES[[#This Row],[PLAZO Días]],0)</f>
        <v>0</v>
      </c>
      <c r="U573" s="104">
        <f>+VLOOKUP(PROVEEDORES[[#This Row],[PROVEEDOR]],Terceros!$A:$D,4,FALSE)</f>
        <v>0</v>
      </c>
      <c r="V573" s="105">
        <f>+YEAR(PROVEEDORES[[#This Row],[FECHA DE FACTURACIÓN]])</f>
        <v>2022</v>
      </c>
      <c r="W573" s="105">
        <f>+MATCH(PROVEEDORES[[#This Row],[año facturado]],Retenciones!$1:$1,0)</f>
        <v>5</v>
      </c>
      <c r="X573" s="106">
        <f>+VLOOKUP(PROVEEDORES[[#This Row],[ID RETENCION]],Retenciones!$A$1:$O$25,PROVEEDORES[[#This Row],[indicador de columna]],FALSE)</f>
        <v>0</v>
      </c>
      <c r="Y573" s="107">
        <f>+VLOOKUP(PROVEEDORES[[#This Row],[ID RETENCION]],Retenciones!$A$1:$O$25,2,FALSE)</f>
        <v>0</v>
      </c>
      <c r="Z573" s="116" t="b">
        <f>OR(COUNTIF(PROVEEDORES[[#This Row],[PROVEEDOR]],"*"&amp;'Palabra no opera'!$A$2&amp;"*"))</f>
        <v>0</v>
      </c>
    </row>
    <row r="574" spans="1:26" ht="22.35" customHeight="1" x14ac:dyDescent="0.3">
      <c r="A574" s="163" t="str">
        <f>+IF(PROVEEDORES[[#This Row],[FECHA DE PAGO]]=PROVEEDORES[[#This Row],[FECHA DE FACTURACIÓN]],"DE CONTADO","CRÉDITO")</f>
        <v>CRÉDITO</v>
      </c>
      <c r="B574" s="38" t="str">
        <f>+IF((PROVEEDORES[[#This Row],[FECHA DE PAGO]]-PROVEEDORES[[#This Row],[FECHA DE FACTURACIÓN]])&gt;PROVEEDORES[[#This Row],[PLAZO Días]],"PAGO VENCIDO")</f>
        <v>PAGO VENCIDO</v>
      </c>
      <c r="C574" s="20">
        <f>+VLOOKUP(PROVEEDORES[[#This Row],[PROVEEDOR]],TERCEROS_INFO[#All],2,FALSE)</f>
        <v>45</v>
      </c>
      <c r="D574" s="25">
        <f>+SUMIFS(PROVEEDORES[Total],PROVEEDORES[PROVEEDOR],PROVEEDORES[[#This Row],[PROVEEDOR]],PROVEEDORES[FECHA DE PAGO],"")</f>
        <v>3074500</v>
      </c>
      <c r="E574" s="25"/>
      <c r="F57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4" s="68">
        <v>44761</v>
      </c>
      <c r="H574" s="26" t="s">
        <v>289</v>
      </c>
      <c r="I574" s="68">
        <v>44656</v>
      </c>
      <c r="J574" s="35" t="s">
        <v>351</v>
      </c>
      <c r="K574" s="21">
        <v>1515606.75</v>
      </c>
      <c r="L574" s="21"/>
      <c r="M574" s="22">
        <f>(PROVEEDORES[[#This Row],[SUBTOTAL]]-PROVEEDORES[[#This Row],[descuento sobre subtotal]])*VLOOKUP(PROVEEDORES[[#This Row],[PROVEEDOR]],TERCEROS_INFO[#All],3,FALSE)</f>
        <v>0</v>
      </c>
      <c r="N574" s="23"/>
      <c r="O574" s="22">
        <f>+PROVEEDORES[[#This Row],[Descuento sobre subtotal %]]*(PROVEEDORES[[#This Row],[SUBTOTAL]]-PROVEEDORES[[#This Row],[descuento sobre subtotal]])</f>
        <v>0</v>
      </c>
      <c r="P574" s="74">
        <f>+IF(PROVEEDORES[[#This Row],[SUBTOTAL]]&lt;PROVEEDORES[[#This Row],[base retencion]],0,PROVEEDORES[[#This Row],[retención aplicada]])</f>
        <v>0</v>
      </c>
      <c r="Q574" s="22">
        <f>+PROVEEDORES[[#This Row],[Rete Fuente %]]*(PROVEEDORES[[#This Row],[SUBTOTAL]]-PROVEEDORES[[#This Row],[descuento sobre subtotal]])</f>
        <v>0</v>
      </c>
      <c r="R574" s="21">
        <f>+PROVEEDORES[[#This Row],[SUBTOTAL]]+PROVEEDORES[[#This Row],[IVA 19%]]-PROVEEDORES[[#This Row],[descuento sobre subtotal]]-PROVEEDORES[[#This Row],[Descuento sobre subtotal $2]]-PROVEEDORES[[#This Row],[Rete Fuente $]]</f>
        <v>1515606.75</v>
      </c>
      <c r="S574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63">
        <f ca="1">IF(PROVEEDORES[[#This Row],[FECHA DE PAGO]]=0,TODAY()-PROVEEDORES[[#This Row],[FECHA DE FACTURACIÓN]]-PROVEEDORES[[#This Row],[PLAZO Días]],0)</f>
        <v>0</v>
      </c>
      <c r="U574" s="104">
        <f>+VLOOKUP(PROVEEDORES[[#This Row],[PROVEEDOR]],Terceros!$A:$D,4,FALSE)</f>
        <v>0</v>
      </c>
      <c r="V574" s="105">
        <f>+YEAR(PROVEEDORES[[#This Row],[FECHA DE FACTURACIÓN]])</f>
        <v>2022</v>
      </c>
      <c r="W574" s="105">
        <f>+MATCH(PROVEEDORES[[#This Row],[año facturado]],Retenciones!$1:$1,0)</f>
        <v>5</v>
      </c>
      <c r="X574" s="106">
        <f>+VLOOKUP(PROVEEDORES[[#This Row],[ID RETENCION]],Retenciones!$A$1:$O$25,PROVEEDORES[[#This Row],[indicador de columna]],FALSE)</f>
        <v>0</v>
      </c>
      <c r="Y574" s="107">
        <f>+VLOOKUP(PROVEEDORES[[#This Row],[ID RETENCION]],Retenciones!$A$1:$O$25,2,FALSE)</f>
        <v>0</v>
      </c>
      <c r="Z574" s="116" t="b">
        <f>OR(COUNTIF(PROVEEDORES[[#This Row],[PROVEEDOR]],"*"&amp;'Palabra no opera'!$A$2&amp;"*"))</f>
        <v>0</v>
      </c>
    </row>
    <row r="575" spans="1:26" ht="22.35" customHeight="1" x14ac:dyDescent="0.3">
      <c r="A575" s="163" t="str">
        <f>+IF(PROVEEDORES[[#This Row],[FECHA DE PAGO]]=PROVEEDORES[[#This Row],[FECHA DE FACTURACIÓN]],"DE CONTADO","CRÉDITO")</f>
        <v>CRÉDITO</v>
      </c>
      <c r="B575" s="38" t="b">
        <f>+IF((PROVEEDORES[[#This Row],[FECHA DE PAGO]]-PROVEEDORES[[#This Row],[FECHA DE FACTURACIÓN]])&gt;PROVEEDORES[[#This Row],[PLAZO Días]],"PAGO VENCIDO")</f>
        <v>0</v>
      </c>
      <c r="C575" s="20">
        <f>+VLOOKUP(PROVEEDORES[[#This Row],[PROVEEDOR]],TERCEROS_INFO[#All],2,FALSE)</f>
        <v>45</v>
      </c>
      <c r="D575" s="25">
        <f>+SUMIFS(PROVEEDORES[Total],PROVEEDORES[PROVEEDOR],PROVEEDORES[[#This Row],[PROVEEDOR]],PROVEEDORES[FECHA DE PAGO],"")</f>
        <v>3074500</v>
      </c>
      <c r="E575" s="25"/>
      <c r="F57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5" s="68">
        <v>44761</v>
      </c>
      <c r="H575" s="26" t="s">
        <v>289</v>
      </c>
      <c r="I575" s="68">
        <v>44726</v>
      </c>
      <c r="J575" s="35" t="s">
        <v>735</v>
      </c>
      <c r="K575" s="21">
        <v>1669986.1500000001</v>
      </c>
      <c r="L575" s="21"/>
      <c r="M575" s="22">
        <f>(PROVEEDORES[[#This Row],[SUBTOTAL]]-PROVEEDORES[[#This Row],[descuento sobre subtotal]])*VLOOKUP(PROVEEDORES[[#This Row],[PROVEEDOR]],TERCEROS_INFO[#All],3,FALSE)</f>
        <v>0</v>
      </c>
      <c r="N575" s="23"/>
      <c r="O575" s="22">
        <f>+PROVEEDORES[[#This Row],[Descuento sobre subtotal %]]*(PROVEEDORES[[#This Row],[SUBTOTAL]]-PROVEEDORES[[#This Row],[descuento sobre subtotal]])</f>
        <v>0</v>
      </c>
      <c r="P575" s="74">
        <f>+IF(PROVEEDORES[[#This Row],[SUBTOTAL]]&lt;PROVEEDORES[[#This Row],[base retencion]],0,PROVEEDORES[[#This Row],[retención aplicada]])</f>
        <v>0</v>
      </c>
      <c r="Q575" s="22">
        <f>+PROVEEDORES[[#This Row],[Rete Fuente %]]*(PROVEEDORES[[#This Row],[SUBTOTAL]]-PROVEEDORES[[#This Row],[descuento sobre subtotal]])</f>
        <v>0</v>
      </c>
      <c r="R575" s="21">
        <f>+PROVEEDORES[[#This Row],[SUBTOTAL]]+PROVEEDORES[[#This Row],[IVA 19%]]-PROVEEDORES[[#This Row],[descuento sobre subtotal]]-PROVEEDORES[[#This Row],[Descuento sobre subtotal $2]]-PROVEEDORES[[#This Row],[Rete Fuente $]]</f>
        <v>1669986.1500000001</v>
      </c>
      <c r="S575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63">
        <f ca="1">IF(PROVEEDORES[[#This Row],[FECHA DE PAGO]]=0,TODAY()-PROVEEDORES[[#This Row],[FECHA DE FACTURACIÓN]]-PROVEEDORES[[#This Row],[PLAZO Días]],0)</f>
        <v>0</v>
      </c>
      <c r="U575" s="104">
        <f>+VLOOKUP(PROVEEDORES[[#This Row],[PROVEEDOR]],Terceros!$A:$D,4,FALSE)</f>
        <v>0</v>
      </c>
      <c r="V575" s="105">
        <f>+YEAR(PROVEEDORES[[#This Row],[FECHA DE FACTURACIÓN]])</f>
        <v>2022</v>
      </c>
      <c r="W575" s="105">
        <f>+MATCH(PROVEEDORES[[#This Row],[año facturado]],Retenciones!$1:$1,0)</f>
        <v>5</v>
      </c>
      <c r="X575" s="106">
        <f>+VLOOKUP(PROVEEDORES[[#This Row],[ID RETENCION]],Retenciones!$A$1:$O$25,PROVEEDORES[[#This Row],[indicador de columna]],FALSE)</f>
        <v>0</v>
      </c>
      <c r="Y575" s="107">
        <f>+VLOOKUP(PROVEEDORES[[#This Row],[ID RETENCION]],Retenciones!$A$1:$O$25,2,FALSE)</f>
        <v>0</v>
      </c>
      <c r="Z575" s="116" t="b">
        <f>OR(COUNTIF(PROVEEDORES[[#This Row],[PROVEEDOR]],"*"&amp;'Palabra no opera'!$A$2&amp;"*"))</f>
        <v>0</v>
      </c>
    </row>
    <row r="576" spans="1:26" ht="22.35" customHeight="1" x14ac:dyDescent="0.3">
      <c r="A576" s="163" t="str">
        <f>+IF(PROVEEDORES[[#This Row],[FECHA DE PAGO]]=PROVEEDORES[[#This Row],[FECHA DE FACTURACIÓN]],"DE CONTADO","CRÉDITO")</f>
        <v>CRÉDITO</v>
      </c>
      <c r="B576" s="38" t="b">
        <f>+IF((PROVEEDORES[[#This Row],[FECHA DE PAGO]]-PROVEEDORES[[#This Row],[FECHA DE FACTURACIÓN]])&gt;PROVEEDORES[[#This Row],[PLAZO Días]],"PAGO VENCIDO")</f>
        <v>0</v>
      </c>
      <c r="C576" s="20">
        <f>+VLOOKUP(PROVEEDORES[[#This Row],[PROVEEDOR]],TERCEROS_INFO[#All],2,FALSE)</f>
        <v>45</v>
      </c>
      <c r="D576" s="25">
        <f>+SUMIFS(PROVEEDORES[Total],PROVEEDORES[PROVEEDOR],PROVEEDORES[[#This Row],[PROVEEDOR]],PROVEEDORES[FECHA DE PAGO],"")</f>
        <v>3074500</v>
      </c>
      <c r="E576" s="25"/>
      <c r="F57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6" s="68">
        <v>44761</v>
      </c>
      <c r="H576" s="26" t="s">
        <v>289</v>
      </c>
      <c r="I576" s="68">
        <v>44733</v>
      </c>
      <c r="J576" s="35" t="s">
        <v>770</v>
      </c>
      <c r="K576" s="21">
        <v>329574</v>
      </c>
      <c r="L576" s="21"/>
      <c r="M576" s="22">
        <f>(PROVEEDORES[[#This Row],[SUBTOTAL]]-PROVEEDORES[[#This Row],[descuento sobre subtotal]])*VLOOKUP(PROVEEDORES[[#This Row],[PROVEEDOR]],TERCEROS_INFO[#All],3,FALSE)</f>
        <v>0</v>
      </c>
      <c r="N576" s="23"/>
      <c r="O576" s="22">
        <f>+PROVEEDORES[[#This Row],[Descuento sobre subtotal %]]*(PROVEEDORES[[#This Row],[SUBTOTAL]]-PROVEEDORES[[#This Row],[descuento sobre subtotal]])</f>
        <v>0</v>
      </c>
      <c r="P576" s="74">
        <f>+IF(PROVEEDORES[[#This Row],[SUBTOTAL]]&lt;PROVEEDORES[[#This Row],[base retencion]],0,PROVEEDORES[[#This Row],[retención aplicada]])</f>
        <v>0</v>
      </c>
      <c r="Q576" s="22">
        <f>+PROVEEDORES[[#This Row],[Rete Fuente %]]*(PROVEEDORES[[#This Row],[SUBTOTAL]]-PROVEEDORES[[#This Row],[descuento sobre subtotal]])</f>
        <v>0</v>
      </c>
      <c r="R576" s="21">
        <f>+PROVEEDORES[[#This Row],[SUBTOTAL]]+PROVEEDORES[[#This Row],[IVA 19%]]-PROVEEDORES[[#This Row],[descuento sobre subtotal]]-PROVEEDORES[[#This Row],[Descuento sobre subtotal $2]]-PROVEEDORES[[#This Row],[Rete Fuente $]]</f>
        <v>329574</v>
      </c>
      <c r="S576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63">
        <f ca="1">IF(PROVEEDORES[[#This Row],[FECHA DE PAGO]]=0,TODAY()-PROVEEDORES[[#This Row],[FECHA DE FACTURACIÓN]]-PROVEEDORES[[#This Row],[PLAZO Días]],0)</f>
        <v>0</v>
      </c>
      <c r="U576" s="104">
        <f>+VLOOKUP(PROVEEDORES[[#This Row],[PROVEEDOR]],Terceros!$A:$D,4,FALSE)</f>
        <v>0</v>
      </c>
      <c r="V576" s="105">
        <f>+YEAR(PROVEEDORES[[#This Row],[FECHA DE FACTURACIÓN]])</f>
        <v>2022</v>
      </c>
      <c r="W576" s="105">
        <f>+MATCH(PROVEEDORES[[#This Row],[año facturado]],Retenciones!$1:$1,0)</f>
        <v>5</v>
      </c>
      <c r="X576" s="106">
        <f>+VLOOKUP(PROVEEDORES[[#This Row],[ID RETENCION]],Retenciones!$A$1:$O$25,PROVEEDORES[[#This Row],[indicador de columna]],FALSE)</f>
        <v>0</v>
      </c>
      <c r="Y576" s="107">
        <f>+VLOOKUP(PROVEEDORES[[#This Row],[ID RETENCION]],Retenciones!$A$1:$O$25,2,FALSE)</f>
        <v>0</v>
      </c>
      <c r="Z576" s="116" t="b">
        <f>OR(COUNTIF(PROVEEDORES[[#This Row],[PROVEEDOR]],"*"&amp;'Palabra no opera'!$A$2&amp;"*"))</f>
        <v>0</v>
      </c>
    </row>
    <row r="577" spans="1:26" ht="22.35" customHeight="1" x14ac:dyDescent="0.3">
      <c r="A577" s="163" t="str">
        <f>+IF(PROVEEDORES[[#This Row],[FECHA DE PAGO]]=PROVEEDORES[[#This Row],[FECHA DE FACTURACIÓN]],"DE CONTADO","CRÉDITO")</f>
        <v>CRÉDITO</v>
      </c>
      <c r="B577" s="38" t="b">
        <f>+IF((PROVEEDORES[[#This Row],[FECHA DE PAGO]]-PROVEEDORES[[#This Row],[FECHA DE FACTURACIÓN]])&gt;PROVEEDORES[[#This Row],[PLAZO Días]],"PAGO VENCIDO")</f>
        <v>0</v>
      </c>
      <c r="C577" s="20">
        <f>+VLOOKUP(PROVEEDORES[[#This Row],[PROVEEDOR]],TERCEROS_INFO[#All],2,FALSE)</f>
        <v>45</v>
      </c>
      <c r="D577" s="25">
        <f>+SUMIFS(PROVEEDORES[Total],PROVEEDORES[PROVEEDOR],PROVEEDORES[[#This Row],[PROVEEDOR]],PROVEEDORES[FECHA DE PAGO],"")</f>
        <v>3074500</v>
      </c>
      <c r="E577" s="25"/>
      <c r="F57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7" s="68">
        <v>44761</v>
      </c>
      <c r="H577" s="26" t="s">
        <v>289</v>
      </c>
      <c r="I577" s="68">
        <v>44733</v>
      </c>
      <c r="J577" s="35" t="s">
        <v>771</v>
      </c>
      <c r="K577" s="21">
        <v>3209010</v>
      </c>
      <c r="L577" s="21"/>
      <c r="M577" s="22">
        <f>(PROVEEDORES[[#This Row],[SUBTOTAL]]-PROVEEDORES[[#This Row],[descuento sobre subtotal]])*VLOOKUP(PROVEEDORES[[#This Row],[PROVEEDOR]],TERCEROS_INFO[#All],3,FALSE)</f>
        <v>0</v>
      </c>
      <c r="N577" s="23"/>
      <c r="O577" s="22">
        <f>+PROVEEDORES[[#This Row],[Descuento sobre subtotal %]]*(PROVEEDORES[[#This Row],[SUBTOTAL]]-PROVEEDORES[[#This Row],[descuento sobre subtotal]])</f>
        <v>0</v>
      </c>
      <c r="P577" s="74">
        <f>+IF(PROVEEDORES[[#This Row],[SUBTOTAL]]&lt;PROVEEDORES[[#This Row],[base retencion]],0,PROVEEDORES[[#This Row],[retención aplicada]])</f>
        <v>0</v>
      </c>
      <c r="Q577" s="22">
        <f>+PROVEEDORES[[#This Row],[Rete Fuente %]]*(PROVEEDORES[[#This Row],[SUBTOTAL]]-PROVEEDORES[[#This Row],[descuento sobre subtotal]])</f>
        <v>0</v>
      </c>
      <c r="R577" s="21">
        <f>+PROVEEDORES[[#This Row],[SUBTOTAL]]+PROVEEDORES[[#This Row],[IVA 19%]]-PROVEEDORES[[#This Row],[descuento sobre subtotal]]-PROVEEDORES[[#This Row],[Descuento sobre subtotal $2]]-PROVEEDORES[[#This Row],[Rete Fuente $]]</f>
        <v>3209010</v>
      </c>
      <c r="S577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63">
        <f ca="1">IF(PROVEEDORES[[#This Row],[FECHA DE PAGO]]=0,TODAY()-PROVEEDORES[[#This Row],[FECHA DE FACTURACIÓN]]-PROVEEDORES[[#This Row],[PLAZO Días]],0)</f>
        <v>0</v>
      </c>
      <c r="U577" s="104">
        <f>+VLOOKUP(PROVEEDORES[[#This Row],[PROVEEDOR]],Terceros!$A:$D,4,FALSE)</f>
        <v>0</v>
      </c>
      <c r="V577" s="105">
        <f>+YEAR(PROVEEDORES[[#This Row],[FECHA DE FACTURACIÓN]])</f>
        <v>2022</v>
      </c>
      <c r="W577" s="105">
        <f>+MATCH(PROVEEDORES[[#This Row],[año facturado]],Retenciones!$1:$1,0)</f>
        <v>5</v>
      </c>
      <c r="X577" s="106">
        <f>+VLOOKUP(PROVEEDORES[[#This Row],[ID RETENCION]],Retenciones!$A$1:$O$25,PROVEEDORES[[#This Row],[indicador de columna]],FALSE)</f>
        <v>0</v>
      </c>
      <c r="Y577" s="107">
        <f>+VLOOKUP(PROVEEDORES[[#This Row],[ID RETENCION]],Retenciones!$A$1:$O$25,2,FALSE)</f>
        <v>0</v>
      </c>
      <c r="Z577" s="116" t="b">
        <f>OR(COUNTIF(PROVEEDORES[[#This Row],[PROVEEDOR]],"*"&amp;'Palabra no opera'!$A$2&amp;"*"))</f>
        <v>0</v>
      </c>
    </row>
    <row r="578" spans="1:26" ht="22.35" customHeight="1" x14ac:dyDescent="0.3">
      <c r="A578" s="67" t="str">
        <f>+IF(PROVEEDORES[[#This Row],[FECHA DE PAGO]]=PROVEEDORES[[#This Row],[FECHA DE FACTURACIÓN]],"DE CONTADO","CRÉDITO")</f>
        <v>CRÉDITO</v>
      </c>
      <c r="B578" s="38" t="b">
        <f>+IF((PROVEEDORES[[#This Row],[FECHA DE PAGO]]-PROVEEDORES[[#This Row],[FECHA DE FACTURACIÓN]])&gt;PROVEEDORES[[#This Row],[PLAZO Días]],"PAGO VENCIDO")</f>
        <v>0</v>
      </c>
      <c r="C578" s="20">
        <f>+VLOOKUP(PROVEEDORES[[#This Row],[PROVEEDOR]],TERCEROS_INFO[#All],2,FALSE)</f>
        <v>30</v>
      </c>
      <c r="D578" s="25">
        <f>+SUMIFS(PROVEEDORES[Total],PROVEEDORES[PROVEEDOR],PROVEEDORES[[#This Row],[PROVEEDOR]],PROVEEDORES[FECHA DE PAGO],"")</f>
        <v>0</v>
      </c>
      <c r="E578" s="25"/>
      <c r="F578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78" s="68">
        <v>44761</v>
      </c>
      <c r="H578" s="26" t="s">
        <v>637</v>
      </c>
      <c r="I578" s="68">
        <v>44743</v>
      </c>
      <c r="J578" s="35" t="s">
        <v>219</v>
      </c>
      <c r="K578" s="21">
        <v>59583</v>
      </c>
      <c r="L578" s="21"/>
      <c r="M578" s="22">
        <f>(PROVEEDORES[[#This Row],[SUBTOTAL]]-PROVEEDORES[[#This Row],[descuento sobre subtotal]])*VLOOKUP(PROVEEDORES[[#This Row],[PROVEEDOR]],TERCEROS_INFO[#All],3,FALSE)</f>
        <v>0</v>
      </c>
      <c r="N578" s="23"/>
      <c r="O578" s="22">
        <f>+PROVEEDORES[[#This Row],[Descuento sobre subtotal %]]*(PROVEEDORES[[#This Row],[SUBTOTAL]]-PROVEEDORES[[#This Row],[descuento sobre subtotal]])</f>
        <v>0</v>
      </c>
      <c r="P578" s="74">
        <f>+IF(PROVEEDORES[[#This Row],[SUBTOTAL]]&lt;PROVEEDORES[[#This Row],[base retencion]],0,PROVEEDORES[[#This Row],[retención aplicada]])</f>
        <v>0</v>
      </c>
      <c r="Q578" s="22">
        <f>+PROVEEDORES[[#This Row],[Rete Fuente %]]*(PROVEEDORES[[#This Row],[SUBTOTAL]]-PROVEEDORES[[#This Row],[descuento sobre subtotal]])</f>
        <v>0</v>
      </c>
      <c r="R578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5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8" s="63">
        <f ca="1">IF(PROVEEDORES[[#This Row],[FECHA DE PAGO]]=0,TODAY()-PROVEEDORES[[#This Row],[FECHA DE FACTURACIÓN]]-PROVEEDORES[[#This Row],[PLAZO Días]],0)</f>
        <v>0</v>
      </c>
      <c r="U578" s="104">
        <f>+VLOOKUP(PROVEEDORES[[#This Row],[PROVEEDOR]],Terceros!$A:$D,4,FALSE)</f>
        <v>0</v>
      </c>
      <c r="V578" s="105">
        <f>+YEAR(PROVEEDORES[[#This Row],[FECHA DE FACTURACIÓN]])</f>
        <v>2022</v>
      </c>
      <c r="W578" s="105">
        <f>+MATCH(PROVEEDORES[[#This Row],[año facturado]],Retenciones!$1:$1,0)</f>
        <v>5</v>
      </c>
      <c r="X578" s="106">
        <f>+VLOOKUP(PROVEEDORES[[#This Row],[ID RETENCION]],Retenciones!$A$1:$O$25,PROVEEDORES[[#This Row],[indicador de columna]],FALSE)</f>
        <v>0</v>
      </c>
      <c r="Y578" s="107">
        <f>+VLOOKUP(PROVEEDORES[[#This Row],[ID RETENCION]],Retenciones!$A$1:$O$25,2,FALSE)</f>
        <v>0</v>
      </c>
      <c r="Z578" s="116" t="b">
        <f>OR(COUNTIF(PROVEEDORES[[#This Row],[PROVEEDOR]],"*"&amp;'Palabra no opera'!$A$2&amp;"*"))</f>
        <v>1</v>
      </c>
    </row>
    <row r="579" spans="1:26" ht="22.35" customHeight="1" x14ac:dyDescent="0.3">
      <c r="A579" s="67" t="str">
        <f>+IF(PROVEEDORES[[#This Row],[FECHA DE PAGO]]=PROVEEDORES[[#This Row],[FECHA DE FACTURACIÓN]],"DE CONTADO","CRÉDITO")</f>
        <v>CRÉDITO</v>
      </c>
      <c r="B579" s="38" t="b">
        <f>+IF((PROVEEDORES[[#This Row],[FECHA DE PAGO]]-PROVEEDORES[[#This Row],[FECHA DE FACTURACIÓN]])&gt;PROVEEDORES[[#This Row],[PLAZO Días]],"PAGO VENCIDO")</f>
        <v>0</v>
      </c>
      <c r="C579" s="20">
        <f>+VLOOKUP(PROVEEDORES[[#This Row],[PROVEEDOR]],TERCEROS_INFO[#All],2,FALSE)</f>
        <v>30</v>
      </c>
      <c r="D579" s="25">
        <f>+SUMIFS(PROVEEDORES[Total],PROVEEDORES[PROVEEDOR],PROVEEDORES[[#This Row],[PROVEEDOR]],PROVEEDORES[FECHA DE PAGO],"")</f>
        <v>0</v>
      </c>
      <c r="E579" s="25"/>
      <c r="F57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79" s="68">
        <v>44761</v>
      </c>
      <c r="H579" s="26" t="s">
        <v>637</v>
      </c>
      <c r="I579" s="68">
        <v>44743</v>
      </c>
      <c r="J579" s="35" t="s">
        <v>220</v>
      </c>
      <c r="K579" s="21">
        <v>68166</v>
      </c>
      <c r="L579" s="21"/>
      <c r="M579" s="22">
        <f>(PROVEEDORES[[#This Row],[SUBTOTAL]]-PROVEEDORES[[#This Row],[descuento sobre subtotal]])*VLOOKUP(PROVEEDORES[[#This Row],[PROVEEDOR]],TERCEROS_INFO[#All],3,FALSE)</f>
        <v>0</v>
      </c>
      <c r="N579" s="23"/>
      <c r="O579" s="22">
        <f>+PROVEEDORES[[#This Row],[Descuento sobre subtotal %]]*(PROVEEDORES[[#This Row],[SUBTOTAL]]-PROVEEDORES[[#This Row],[descuento sobre subtotal]])</f>
        <v>0</v>
      </c>
      <c r="P579" s="74">
        <f>+IF(PROVEEDORES[[#This Row],[SUBTOTAL]]&lt;PROVEEDORES[[#This Row],[base retencion]],0,PROVEEDORES[[#This Row],[retención aplicada]])</f>
        <v>0</v>
      </c>
      <c r="Q579" s="22">
        <f>+PROVEEDORES[[#This Row],[Rete Fuente %]]*(PROVEEDORES[[#This Row],[SUBTOTAL]]-PROVEEDORES[[#This Row],[descuento sobre subtotal]])</f>
        <v>0</v>
      </c>
      <c r="R579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5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63">
        <f ca="1">IF(PROVEEDORES[[#This Row],[FECHA DE PAGO]]=0,TODAY()-PROVEEDORES[[#This Row],[FECHA DE FACTURACIÓN]]-PROVEEDORES[[#This Row],[PLAZO Días]],0)</f>
        <v>0</v>
      </c>
      <c r="U579" s="104">
        <f>+VLOOKUP(PROVEEDORES[[#This Row],[PROVEEDOR]],Terceros!$A:$D,4,FALSE)</f>
        <v>0</v>
      </c>
      <c r="V579" s="105">
        <f>+YEAR(PROVEEDORES[[#This Row],[FECHA DE FACTURACIÓN]])</f>
        <v>2022</v>
      </c>
      <c r="W579" s="105">
        <f>+MATCH(PROVEEDORES[[#This Row],[año facturado]],Retenciones!$1:$1,0)</f>
        <v>5</v>
      </c>
      <c r="X579" s="106">
        <f>+VLOOKUP(PROVEEDORES[[#This Row],[ID RETENCION]],Retenciones!$A$1:$O$25,PROVEEDORES[[#This Row],[indicador de columna]],FALSE)</f>
        <v>0</v>
      </c>
      <c r="Y579" s="107">
        <f>+VLOOKUP(PROVEEDORES[[#This Row],[ID RETENCION]],Retenciones!$A$1:$O$25,2,FALSE)</f>
        <v>0</v>
      </c>
      <c r="Z579" s="116" t="b">
        <f>OR(COUNTIF(PROVEEDORES[[#This Row],[PROVEEDOR]],"*"&amp;'Palabra no opera'!$A$2&amp;"*"))</f>
        <v>1</v>
      </c>
    </row>
    <row r="580" spans="1:26" ht="22.35" customHeight="1" x14ac:dyDescent="0.3">
      <c r="A580" s="148" t="str">
        <f>+IF(PROVEEDORES[[#This Row],[FECHA DE PAGO]]=PROVEEDORES[[#This Row],[FECHA DE FACTURACIÓN]],"DE CONTADO","CRÉDITO")</f>
        <v>CRÉDITO</v>
      </c>
      <c r="B580" s="38" t="b">
        <f>+IF((PROVEEDORES[[#This Row],[FECHA DE PAGO]]-PROVEEDORES[[#This Row],[FECHA DE FACTURACIÓN]])&gt;PROVEEDORES[[#This Row],[PLAZO Días]],"PAGO VENCIDO")</f>
        <v>0</v>
      </c>
      <c r="C580" s="20">
        <f>+VLOOKUP(PROVEEDORES[[#This Row],[PROVEEDOR]],TERCEROS_INFO[#All],2,FALSE)</f>
        <v>30</v>
      </c>
      <c r="D580" s="25">
        <f>+SUMIFS(PROVEEDORES[Total],PROVEEDORES[PROVEEDOR],PROVEEDORES[[#This Row],[PROVEEDOR]],PROVEEDORES[FECHA DE PAGO],"")</f>
        <v>0</v>
      </c>
      <c r="E580" s="25"/>
      <c r="F58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80" s="68">
        <v>44761</v>
      </c>
      <c r="H580" s="26" t="s">
        <v>637</v>
      </c>
      <c r="I580" s="68">
        <v>44743</v>
      </c>
      <c r="J580" s="35" t="s">
        <v>220</v>
      </c>
      <c r="K580" s="21">
        <v>818875</v>
      </c>
      <c r="L580" s="21"/>
      <c r="M580" s="22">
        <f>(PROVEEDORES[[#This Row],[SUBTOTAL]]-PROVEEDORES[[#This Row],[descuento sobre subtotal]])*VLOOKUP(PROVEEDORES[[#This Row],[PROVEEDOR]],TERCEROS_INFO[#All],3,FALSE)</f>
        <v>0</v>
      </c>
      <c r="N580" s="23"/>
      <c r="O580" s="22">
        <f>+PROVEEDORES[[#This Row],[Descuento sobre subtotal %]]*(PROVEEDORES[[#This Row],[SUBTOTAL]]-PROVEEDORES[[#This Row],[descuento sobre subtotal]])</f>
        <v>0</v>
      </c>
      <c r="P580" s="74">
        <f>+IF(PROVEEDORES[[#This Row],[SUBTOTAL]]&lt;PROVEEDORES[[#This Row],[base retencion]],0,PROVEEDORES[[#This Row],[retención aplicada]])</f>
        <v>0</v>
      </c>
      <c r="Q580" s="22">
        <f>+PROVEEDORES[[#This Row],[Rete Fuente %]]*(PROVEEDORES[[#This Row],[SUBTOTAL]]-PROVEEDORES[[#This Row],[descuento sobre subtotal]])</f>
        <v>0</v>
      </c>
      <c r="R580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580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63">
        <f ca="1">IF(PROVEEDORES[[#This Row],[FECHA DE PAGO]]=0,TODAY()-PROVEEDORES[[#This Row],[FECHA DE FACTURACIÓN]]-PROVEEDORES[[#This Row],[PLAZO Días]],0)</f>
        <v>0</v>
      </c>
      <c r="U580" s="104">
        <f>+VLOOKUP(PROVEEDORES[[#This Row],[PROVEEDOR]],Terceros!$A:$D,4,FALSE)</f>
        <v>0</v>
      </c>
      <c r="V580" s="105">
        <f>+YEAR(PROVEEDORES[[#This Row],[FECHA DE FACTURACIÓN]])</f>
        <v>2022</v>
      </c>
      <c r="W580" s="105">
        <f>+MATCH(PROVEEDORES[[#This Row],[año facturado]],Retenciones!$1:$1,0)</f>
        <v>5</v>
      </c>
      <c r="X580" s="106">
        <f>+VLOOKUP(PROVEEDORES[[#This Row],[ID RETENCION]],Retenciones!$A$1:$O$25,PROVEEDORES[[#This Row],[indicador de columna]],FALSE)</f>
        <v>0</v>
      </c>
      <c r="Y580" s="107">
        <f>+VLOOKUP(PROVEEDORES[[#This Row],[ID RETENCION]],Retenciones!$A$1:$O$25,2,FALSE)</f>
        <v>0</v>
      </c>
      <c r="Z580" s="116" t="b">
        <f>OR(COUNTIF(PROVEEDORES[[#This Row],[PROVEEDOR]],"*"&amp;'Palabra no opera'!$A$2&amp;"*"))</f>
        <v>1</v>
      </c>
    </row>
    <row r="581" spans="1:26" ht="22.35" customHeight="1" x14ac:dyDescent="0.3">
      <c r="A581" s="148" t="str">
        <f>+IF(PROVEEDORES[[#This Row],[FECHA DE PAGO]]=PROVEEDORES[[#This Row],[FECHA DE FACTURACIÓN]],"DE CONTADO","CRÉDITO")</f>
        <v>CRÉDITO</v>
      </c>
      <c r="B581" s="38" t="b">
        <f>+IF((PROVEEDORES[[#This Row],[FECHA DE PAGO]]-PROVEEDORES[[#This Row],[FECHA DE FACTURACIÓN]])&gt;PROVEEDORES[[#This Row],[PLAZO Días]],"PAGO VENCIDO")</f>
        <v>0</v>
      </c>
      <c r="C581" s="20">
        <f>+VLOOKUP(PROVEEDORES[[#This Row],[PROVEEDOR]],TERCEROS_INFO[#All],2,FALSE)</f>
        <v>30</v>
      </c>
      <c r="D581" s="25">
        <f>+SUMIFS(PROVEEDORES[Total],PROVEEDORES[PROVEEDOR],PROVEEDORES[[#This Row],[PROVEEDOR]],PROVEEDORES[FECHA DE PAGO],"")</f>
        <v>0</v>
      </c>
      <c r="E581" s="25"/>
      <c r="F58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81" s="68">
        <v>44761</v>
      </c>
      <c r="H581" s="26" t="s">
        <v>637</v>
      </c>
      <c r="I581" s="68">
        <v>44743</v>
      </c>
      <c r="J581" s="35" t="s">
        <v>219</v>
      </c>
      <c r="K581" s="21">
        <v>825349</v>
      </c>
      <c r="L581" s="21"/>
      <c r="M581" s="22">
        <f>(PROVEEDORES[[#This Row],[SUBTOTAL]]-PROVEEDORES[[#This Row],[descuento sobre subtotal]])*VLOOKUP(PROVEEDORES[[#This Row],[PROVEEDOR]],TERCEROS_INFO[#All],3,FALSE)</f>
        <v>0</v>
      </c>
      <c r="N581" s="23"/>
      <c r="O581" s="22">
        <f>+PROVEEDORES[[#This Row],[Descuento sobre subtotal %]]*(PROVEEDORES[[#This Row],[SUBTOTAL]]-PROVEEDORES[[#This Row],[descuento sobre subtotal]])</f>
        <v>0</v>
      </c>
      <c r="P581" s="74">
        <f>+IF(PROVEEDORES[[#This Row],[SUBTOTAL]]&lt;PROVEEDORES[[#This Row],[base retencion]],0,PROVEEDORES[[#This Row],[retención aplicada]])</f>
        <v>0</v>
      </c>
      <c r="Q581" s="22">
        <f>+PROVEEDORES[[#This Row],[Rete Fuente %]]*(PROVEEDORES[[#This Row],[SUBTOTAL]]-PROVEEDORES[[#This Row],[descuento sobre subtotal]])</f>
        <v>0</v>
      </c>
      <c r="R58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58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63">
        <f ca="1">IF(PROVEEDORES[[#This Row],[FECHA DE PAGO]]=0,TODAY()-PROVEEDORES[[#This Row],[FECHA DE FACTURACIÓN]]-PROVEEDORES[[#This Row],[PLAZO Días]],0)</f>
        <v>0</v>
      </c>
      <c r="U581" s="104">
        <f>+VLOOKUP(PROVEEDORES[[#This Row],[PROVEEDOR]],Terceros!$A:$D,4,FALSE)</f>
        <v>0</v>
      </c>
      <c r="V581" s="105">
        <f>+YEAR(PROVEEDORES[[#This Row],[FECHA DE FACTURACIÓN]])</f>
        <v>2022</v>
      </c>
      <c r="W581" s="105">
        <f>+MATCH(PROVEEDORES[[#This Row],[año facturado]],Retenciones!$1:$1,0)</f>
        <v>5</v>
      </c>
      <c r="X581" s="106">
        <f>+VLOOKUP(PROVEEDORES[[#This Row],[ID RETENCION]],Retenciones!$A$1:$O$25,PROVEEDORES[[#This Row],[indicador de columna]],FALSE)</f>
        <v>0</v>
      </c>
      <c r="Y581" s="107">
        <f>+VLOOKUP(PROVEEDORES[[#This Row],[ID RETENCION]],Retenciones!$A$1:$O$25,2,FALSE)</f>
        <v>0</v>
      </c>
      <c r="Z581" s="116" t="b">
        <f>OR(COUNTIF(PROVEEDORES[[#This Row],[PROVEEDOR]],"*"&amp;'Palabra no opera'!$A$2&amp;"*"))</f>
        <v>1</v>
      </c>
    </row>
    <row r="582" spans="1:26" ht="22.35" customHeight="1" x14ac:dyDescent="0.3">
      <c r="A582" s="67" t="str">
        <f>+IF(PROVEEDORES[[#This Row],[FECHA DE PAGO]]=PROVEEDORES[[#This Row],[FECHA DE FACTURACIÓN]],"DE CONTADO","CRÉDITO")</f>
        <v>CRÉDITO</v>
      </c>
      <c r="B582" s="38" t="b">
        <f>+IF((PROVEEDORES[[#This Row],[FECHA DE PAGO]]-PROVEEDORES[[#This Row],[FECHA DE FACTURACIÓN]])&gt;PROVEEDORES[[#This Row],[PLAZO Días]],"PAGO VENCIDO")</f>
        <v>0</v>
      </c>
      <c r="C582" s="20">
        <f>+VLOOKUP(PROVEEDORES[[#This Row],[PROVEEDOR]],TERCEROS_INFO[#All],2,FALSE)</f>
        <v>30</v>
      </c>
      <c r="D582" s="25">
        <f>+SUMIFS(PROVEEDORES[Total],PROVEEDORES[PROVEEDOR],PROVEEDORES[[#This Row],[PROVEEDOR]],PROVEEDORES[FECHA DE PAGO],"")</f>
        <v>0</v>
      </c>
      <c r="E582" s="25"/>
      <c r="F582" s="56" t="str">
        <f>+VLOOKUP(PROVEEDORES[[#This Row],[PROVEEDOR]],
                       Terceros!$A:$F,
                       5,
                       FALSE)</f>
        <v>PSE</v>
      </c>
      <c r="G582" s="68">
        <v>44761</v>
      </c>
      <c r="H582" s="26" t="s">
        <v>645</v>
      </c>
      <c r="I582" s="68">
        <v>44743</v>
      </c>
      <c r="J582" s="35"/>
      <c r="K582" s="21">
        <v>326243</v>
      </c>
      <c r="L582" s="21"/>
      <c r="M582" s="22">
        <f>(PROVEEDORES[[#This Row],[SUBTOTAL]]-PROVEEDORES[[#This Row],[descuento sobre subtotal]])*VLOOKUP(PROVEEDORES[[#This Row],[PROVEEDOR]],TERCEROS_INFO[#All],3,FALSE)</f>
        <v>0</v>
      </c>
      <c r="N582" s="23"/>
      <c r="O582" s="22">
        <f>+PROVEEDORES[[#This Row],[Descuento sobre subtotal %]]*(PROVEEDORES[[#This Row],[SUBTOTAL]]-PROVEEDORES[[#This Row],[descuento sobre subtotal]])</f>
        <v>0</v>
      </c>
      <c r="P582" s="74">
        <f>+IF(PROVEEDORES[[#This Row],[SUBTOTAL]]&lt;PROVEEDORES[[#This Row],[base retencion]],0,PROVEEDORES[[#This Row],[retención aplicada]])</f>
        <v>0</v>
      </c>
      <c r="Q582" s="22">
        <f>+PROVEEDORES[[#This Row],[Rete Fuente %]]*(PROVEEDORES[[#This Row],[SUBTOTAL]]-PROVEEDORES[[#This Row],[descuento sobre subtotal]])</f>
        <v>0</v>
      </c>
      <c r="R582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63">
        <f ca="1">IF(PROVEEDORES[[#This Row],[FECHA DE PAGO]]=0,TODAY()-PROVEEDORES[[#This Row],[FECHA DE FACTURACIÓN]]-PROVEEDORES[[#This Row],[PLAZO Días]],0)</f>
        <v>0</v>
      </c>
      <c r="U582" s="104">
        <f>+VLOOKUP(PROVEEDORES[[#This Row],[PROVEEDOR]],Terceros!$A:$D,4,FALSE)</f>
        <v>0</v>
      </c>
      <c r="V582" s="105">
        <f>+YEAR(PROVEEDORES[[#This Row],[FECHA DE FACTURACIÓN]])</f>
        <v>2022</v>
      </c>
      <c r="W582" s="105">
        <f>+MATCH(PROVEEDORES[[#This Row],[año facturado]],Retenciones!$1:$1,0)</f>
        <v>5</v>
      </c>
      <c r="X582" s="106">
        <f>+VLOOKUP(PROVEEDORES[[#This Row],[ID RETENCION]],Retenciones!$A$1:$O$25,PROVEEDORES[[#This Row],[indicador de columna]],FALSE)</f>
        <v>0</v>
      </c>
      <c r="Y582" s="107">
        <f>+VLOOKUP(PROVEEDORES[[#This Row],[ID RETENCION]],Retenciones!$A$1:$O$25,2,FALSE)</f>
        <v>0</v>
      </c>
      <c r="Z582" s="116" t="b">
        <f>OR(COUNTIF(PROVEEDORES[[#This Row],[PROVEEDOR]],"*"&amp;'Palabra no opera'!$A$2&amp;"*"))</f>
        <v>1</v>
      </c>
    </row>
    <row r="583" spans="1:26" ht="22.35" customHeight="1" x14ac:dyDescent="0.3">
      <c r="A583" s="67" t="str">
        <f>+IF(PROVEEDORES[[#This Row],[FECHA DE PAGO]]=PROVEEDORES[[#This Row],[FECHA DE FACTURACIÓN]],"DE CONTADO","CRÉDITO")</f>
        <v>DE CONTADO</v>
      </c>
      <c r="B583" s="38" t="b">
        <f>+IF((PROVEEDORES[[#This Row],[FECHA DE PAGO]]-PROVEEDORES[[#This Row],[FECHA DE FACTURACIÓN]])&gt;PROVEEDORES[[#This Row],[PLAZO Días]],"PAGO VENCIDO")</f>
        <v>0</v>
      </c>
      <c r="C583" s="20">
        <f>+VLOOKUP(PROVEEDORES[[#This Row],[PROVEEDOR]],TERCEROS_INFO[#All],2,FALSE)</f>
        <v>30</v>
      </c>
      <c r="D583" s="25">
        <f>+SUMIFS(PROVEEDORES[Total],PROVEEDORES[PROVEEDOR],PROVEEDORES[[#This Row],[PROVEEDOR]],PROVEEDORES[FECHA DE PAGO],"")</f>
        <v>0</v>
      </c>
      <c r="E583" s="25"/>
      <c r="F583" s="56" t="str">
        <f>+VLOOKUP(PROVEEDORES[[#This Row],[PROVEEDOR]],
                       Terceros!$A:$F,
                       5,
                       FALSE)</f>
        <v/>
      </c>
      <c r="G583" s="68">
        <v>44762</v>
      </c>
      <c r="H583" s="26" t="s">
        <v>353</v>
      </c>
      <c r="I583" s="68">
        <v>44762</v>
      </c>
      <c r="J583" s="35" t="s">
        <v>1052</v>
      </c>
      <c r="K583" s="21">
        <v>600000</v>
      </c>
      <c r="L583" s="21"/>
      <c r="M583" s="22">
        <f>(PROVEEDORES[[#This Row],[SUBTOTAL]]-PROVEEDORES[[#This Row],[descuento sobre subtotal]])*VLOOKUP(PROVEEDORES[[#This Row],[PROVEEDOR]],TERCEROS_INFO[#All],3,FALSE)</f>
        <v>0</v>
      </c>
      <c r="N583" s="23"/>
      <c r="O583" s="22">
        <f>+PROVEEDORES[[#This Row],[Descuento sobre subtotal %]]*(PROVEEDORES[[#This Row],[SUBTOTAL]]-PROVEEDORES[[#This Row],[descuento sobre subtotal]])</f>
        <v>0</v>
      </c>
      <c r="P583" s="74">
        <f>+IF(PROVEEDORES[[#This Row],[SUBTOTAL]]&lt;PROVEEDORES[[#This Row],[base retencion]],0,PROVEEDORES[[#This Row],[retención aplicada]])</f>
        <v>0</v>
      </c>
      <c r="Q583" s="22">
        <f>+PROVEEDORES[[#This Row],[Rete Fuente %]]*(PROVEEDORES[[#This Row],[SUBTOTAL]]-PROVEEDORES[[#This Row],[descuento sobre subtotal]])</f>
        <v>0</v>
      </c>
      <c r="R583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5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63">
        <f ca="1">IF(PROVEEDORES[[#This Row],[FECHA DE PAGO]]=0,TODAY()-PROVEEDORES[[#This Row],[FECHA DE FACTURACIÓN]]-PROVEEDORES[[#This Row],[PLAZO Días]],0)</f>
        <v>0</v>
      </c>
      <c r="U583" s="104">
        <f>+VLOOKUP(PROVEEDORES[[#This Row],[PROVEEDOR]],Terceros!$A:$D,4,FALSE)</f>
        <v>0</v>
      </c>
      <c r="V583" s="105">
        <f>+YEAR(PROVEEDORES[[#This Row],[FECHA DE FACTURACIÓN]])</f>
        <v>2022</v>
      </c>
      <c r="W583" s="105">
        <f>+MATCH(PROVEEDORES[[#This Row],[año facturado]],Retenciones!$1:$1,0)</f>
        <v>5</v>
      </c>
      <c r="X583" s="106">
        <f>+VLOOKUP(PROVEEDORES[[#This Row],[ID RETENCION]],Retenciones!$A$1:$O$25,PROVEEDORES[[#This Row],[indicador de columna]],FALSE)</f>
        <v>0</v>
      </c>
      <c r="Y583" s="107">
        <f>+VLOOKUP(PROVEEDORES[[#This Row],[ID RETENCION]],Retenciones!$A$1:$O$25,2,FALSE)</f>
        <v>0</v>
      </c>
      <c r="Z583" s="116" t="b">
        <f>OR(COUNTIF(PROVEEDORES[[#This Row],[PROVEEDOR]],"*"&amp;'Palabra no opera'!$A$2&amp;"*"))</f>
        <v>0</v>
      </c>
    </row>
    <row r="584" spans="1:26" ht="22.35" customHeight="1" x14ac:dyDescent="0.3">
      <c r="A584" s="67" t="str">
        <f>+IF(PROVEEDORES[[#This Row],[FECHA DE PAGO]]=PROVEEDORES[[#This Row],[FECHA DE FACTURACIÓN]],"DE CONTADO","CRÉDITO")</f>
        <v>CRÉDITO</v>
      </c>
      <c r="B584" s="38" t="b">
        <f>+IF((PROVEEDORES[[#This Row],[FECHA DE PAGO]]-PROVEEDORES[[#This Row],[FECHA DE FACTURACIÓN]])&gt;PROVEEDORES[[#This Row],[PLAZO Días]],"PAGO VENCIDO")</f>
        <v>0</v>
      </c>
      <c r="C584" s="20">
        <f>+VLOOKUP(PROVEEDORES[[#This Row],[PROVEEDOR]],TERCEROS_INFO[#All],2,FALSE)</f>
        <v>30</v>
      </c>
      <c r="D584" s="25">
        <f>+SUMIFS(PROVEEDORES[Total],PROVEEDORES[PROVEEDOR],PROVEEDORES[[#This Row],[PROVEEDOR]],PROVEEDORES[FECHA DE PAGO],"")</f>
        <v>1316890.8900000001</v>
      </c>
      <c r="E584" s="25"/>
      <c r="F58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84" s="68">
        <v>44764</v>
      </c>
      <c r="H584" s="26" t="s">
        <v>17</v>
      </c>
      <c r="I584" s="68">
        <v>44748</v>
      </c>
      <c r="J584" s="35">
        <v>1936697</v>
      </c>
      <c r="K584" s="21">
        <v>978238</v>
      </c>
      <c r="L584" s="21"/>
      <c r="M584" s="22">
        <f>(PROVEEDORES[[#This Row],[SUBTOTAL]]-PROVEEDORES[[#This Row],[descuento sobre subtotal]])*VLOOKUP(PROVEEDORES[[#This Row],[PROVEEDOR]],TERCEROS_INFO[#All],3,FALSE)</f>
        <v>185865.22</v>
      </c>
      <c r="N584" s="23"/>
      <c r="O584" s="22">
        <f>+PROVEEDORES[[#This Row],[Descuento sobre subtotal %]]*(PROVEEDORES[[#This Row],[SUBTOTAL]]-PROVEEDORES[[#This Row],[descuento sobre subtotal]])</f>
        <v>0</v>
      </c>
      <c r="P584" s="74">
        <f>+IF(PROVEEDORES[[#This Row],[SUBTOTAL]]&lt;PROVEEDORES[[#This Row],[base retencion]],0,PROVEEDORES[[#This Row],[retención aplicada]])</f>
        <v>0</v>
      </c>
      <c r="Q584" s="22">
        <f>+PROVEEDORES[[#This Row],[Rete Fuente %]]*(PROVEEDORES[[#This Row],[SUBTOTAL]]-PROVEEDORES[[#This Row],[descuento sobre subtotal]])</f>
        <v>0</v>
      </c>
      <c r="R584" s="21">
        <f>+PROVEEDORES[[#This Row],[SUBTOTAL]]+PROVEEDORES[[#This Row],[IVA 19%]]-PROVEEDORES[[#This Row],[descuento sobre subtotal]]-PROVEEDORES[[#This Row],[Descuento sobre subtotal $2]]-PROVEEDORES[[#This Row],[Rete Fuente $]]</f>
        <v>1164103.22</v>
      </c>
      <c r="S5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63">
        <f ca="1">IF(PROVEEDORES[[#This Row],[FECHA DE PAGO]]=0,TODAY()-PROVEEDORES[[#This Row],[FECHA DE FACTURACIÓN]]-PROVEEDORES[[#This Row],[PLAZO Días]],0)</f>
        <v>0</v>
      </c>
      <c r="U584" s="104">
        <f>+VLOOKUP(PROVEEDORES[[#This Row],[PROVEEDOR]],Terceros!$A:$D,4,FALSE)</f>
        <v>0</v>
      </c>
      <c r="V584" s="105">
        <f>+YEAR(PROVEEDORES[[#This Row],[FECHA DE FACTURACIÓN]])</f>
        <v>2022</v>
      </c>
      <c r="W584" s="105">
        <f>+MATCH(PROVEEDORES[[#This Row],[año facturado]],Retenciones!$1:$1,0)</f>
        <v>5</v>
      </c>
      <c r="X584" s="106">
        <f>+VLOOKUP(PROVEEDORES[[#This Row],[ID RETENCION]],Retenciones!$A$1:$O$25,PROVEEDORES[[#This Row],[indicador de columna]],FALSE)</f>
        <v>0</v>
      </c>
      <c r="Y584" s="107">
        <f>+VLOOKUP(PROVEEDORES[[#This Row],[ID RETENCION]],Retenciones!$A$1:$O$25,2,FALSE)</f>
        <v>0</v>
      </c>
      <c r="Z584" s="116" t="b">
        <f>OR(COUNTIF(PROVEEDORES[[#This Row],[PROVEEDOR]],"*"&amp;'Palabra no opera'!$A$2&amp;"*"))</f>
        <v>0</v>
      </c>
    </row>
    <row r="585" spans="1:26" ht="22.35" customHeight="1" x14ac:dyDescent="0.3">
      <c r="A585" s="148" t="str">
        <f>+IF(PROVEEDORES[[#This Row],[FECHA DE PAGO]]=PROVEEDORES[[#This Row],[FECHA DE FACTURACIÓN]],"DE CONTADO","CRÉDITO")</f>
        <v>CRÉDITO</v>
      </c>
      <c r="B585" s="38" t="str">
        <f>+IF((PROVEEDORES[[#This Row],[FECHA DE PAGO]]-PROVEEDORES[[#This Row],[FECHA DE FACTURACIÓN]])&gt;PROVEEDORES[[#This Row],[PLAZO Días]],"PAGO VENCIDO")</f>
        <v>PAGO VENCIDO</v>
      </c>
      <c r="C585" s="20">
        <f>+VLOOKUP(PROVEEDORES[[#This Row],[PROVEEDOR]],TERCEROS_INFO[#All],2,FALSE)</f>
        <v>30</v>
      </c>
      <c r="D585" s="25">
        <f>+SUMIFS(PROVEEDORES[Total],PROVEEDORES[PROVEEDOR],PROVEEDORES[[#This Row],[PROVEEDOR]],PROVEEDORES[FECHA DE PAGO],"")</f>
        <v>0</v>
      </c>
      <c r="E585" s="25"/>
      <c r="F58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5" s="68">
        <v>44764</v>
      </c>
      <c r="H585" s="26" t="s">
        <v>966</v>
      </c>
      <c r="I585" s="68">
        <v>44727</v>
      </c>
      <c r="J585" s="35" t="s">
        <v>756</v>
      </c>
      <c r="K585" s="21">
        <v>5000</v>
      </c>
      <c r="L585" s="21"/>
      <c r="M585" s="22">
        <f>(PROVEEDORES[[#This Row],[SUBTOTAL]]-PROVEEDORES[[#This Row],[descuento sobre subtotal]])*VLOOKUP(PROVEEDORES[[#This Row],[PROVEEDOR]],TERCEROS_INFO[#All],3,FALSE)</f>
        <v>0</v>
      </c>
      <c r="N585" s="23"/>
      <c r="O585" s="22">
        <f>+PROVEEDORES[[#This Row],[Descuento sobre subtotal %]]*(PROVEEDORES[[#This Row],[SUBTOTAL]]-PROVEEDORES[[#This Row],[descuento sobre subtotal]])</f>
        <v>0</v>
      </c>
      <c r="P585" s="74">
        <f>+IF(PROVEEDORES[[#This Row],[SUBTOTAL]]&lt;PROVEEDORES[[#This Row],[base retencion]],0,PROVEEDORES[[#This Row],[retención aplicada]])</f>
        <v>0</v>
      </c>
      <c r="Q585" s="22">
        <f>+PROVEEDORES[[#This Row],[Rete Fuente %]]*(PROVEEDORES[[#This Row],[SUBTOTAL]]-PROVEEDORES[[#This Row],[descuento sobre subtotal]])</f>
        <v>0</v>
      </c>
      <c r="R585" s="21">
        <f>+PROVEEDORES[[#This Row],[SUBTOTAL]]+PROVEEDORES[[#This Row],[IVA 19%]]-PROVEEDORES[[#This Row],[descuento sobre subtotal]]-PROVEEDORES[[#This Row],[Descuento sobre subtotal $2]]-PROVEEDORES[[#This Row],[Rete Fuente $]]</f>
        <v>5000</v>
      </c>
      <c r="S58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63">
        <f ca="1">IF(PROVEEDORES[[#This Row],[FECHA DE PAGO]]=0,TODAY()-PROVEEDORES[[#This Row],[FECHA DE FACTURACIÓN]]-PROVEEDORES[[#This Row],[PLAZO Días]],0)</f>
        <v>0</v>
      </c>
      <c r="U585" s="104">
        <f>+VLOOKUP(PROVEEDORES[[#This Row],[PROVEEDOR]],Terceros!$A:$D,4,FALSE)</f>
        <v>0</v>
      </c>
      <c r="V585" s="105">
        <f>+YEAR(PROVEEDORES[[#This Row],[FECHA DE FACTURACIÓN]])</f>
        <v>2022</v>
      </c>
      <c r="W585" s="105">
        <f>+MATCH(PROVEEDORES[[#This Row],[año facturado]],Retenciones!$1:$1,0)</f>
        <v>5</v>
      </c>
      <c r="X585" s="106">
        <f>+VLOOKUP(PROVEEDORES[[#This Row],[ID RETENCION]],Retenciones!$A$1:$O$25,PROVEEDORES[[#This Row],[indicador de columna]],FALSE)</f>
        <v>0</v>
      </c>
      <c r="Y585" s="107">
        <f>+VLOOKUP(PROVEEDORES[[#This Row],[ID RETENCION]],Retenciones!$A$1:$O$25,2,FALSE)</f>
        <v>0</v>
      </c>
      <c r="Z585" s="116" t="b">
        <f>OR(COUNTIF(PROVEEDORES[[#This Row],[PROVEEDOR]],"*"&amp;'Palabra no opera'!$A$2&amp;"*"))</f>
        <v>0</v>
      </c>
    </row>
    <row r="586" spans="1:26" ht="22.35" customHeight="1" x14ac:dyDescent="0.3">
      <c r="A586" s="161" t="str">
        <f>+IF(PROVEEDORES[[#This Row],[FECHA DE PAGO]]=PROVEEDORES[[#This Row],[FECHA DE FACTURACIÓN]],"DE CONTADO","CRÉDITO")</f>
        <v>CRÉDITO</v>
      </c>
      <c r="B586" s="38" t="b">
        <f>+IF((PROVEEDORES[[#This Row],[FECHA DE PAGO]]-PROVEEDORES[[#This Row],[FECHA DE FACTURACIÓN]])&gt;PROVEEDORES[[#This Row],[PLAZO Días]],"PAGO VENCIDO")</f>
        <v>0</v>
      </c>
      <c r="C586" s="20">
        <f>+VLOOKUP(PROVEEDORES[[#This Row],[PROVEEDOR]],TERCEROS_INFO[#All],2,FALSE)</f>
        <v>30</v>
      </c>
      <c r="D586" s="25">
        <f>+SUMIFS(PROVEEDORES[Total],PROVEEDORES[PROVEEDOR],PROVEEDORES[[#This Row],[PROVEEDOR]],PROVEEDORES[FECHA DE PAGO],"")</f>
        <v>0</v>
      </c>
      <c r="E586" s="25"/>
      <c r="F586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6" s="68">
        <v>44764</v>
      </c>
      <c r="H586" s="26" t="s">
        <v>966</v>
      </c>
      <c r="I586" s="68">
        <v>44754</v>
      </c>
      <c r="J586" s="35">
        <v>354</v>
      </c>
      <c r="K586" s="21">
        <v>303000</v>
      </c>
      <c r="L586" s="21"/>
      <c r="M586" s="22">
        <f>(PROVEEDORES[[#This Row],[SUBTOTAL]]-PROVEEDORES[[#This Row],[descuento sobre subtotal]])*VLOOKUP(PROVEEDORES[[#This Row],[PROVEEDOR]],TERCEROS_INFO[#All],3,FALSE)</f>
        <v>0</v>
      </c>
      <c r="N586" s="23"/>
      <c r="O586" s="22">
        <f>+PROVEEDORES[[#This Row],[Descuento sobre subtotal %]]*(PROVEEDORES[[#This Row],[SUBTOTAL]]-PROVEEDORES[[#This Row],[descuento sobre subtotal]])</f>
        <v>0</v>
      </c>
      <c r="P586" s="74">
        <f>+IF(PROVEEDORES[[#This Row],[SUBTOTAL]]&lt;PROVEEDORES[[#This Row],[base retencion]],0,PROVEEDORES[[#This Row],[retención aplicada]])</f>
        <v>0</v>
      </c>
      <c r="Q586" s="22">
        <f>+PROVEEDORES[[#This Row],[Rete Fuente %]]*(PROVEEDORES[[#This Row],[SUBTOTAL]]-PROVEEDORES[[#This Row],[descuento sobre subtotal]])</f>
        <v>0</v>
      </c>
      <c r="R586" s="21">
        <f>+PROVEEDORES[[#This Row],[SUBTOTAL]]+PROVEEDORES[[#This Row],[IVA 19%]]-PROVEEDORES[[#This Row],[descuento sobre subtotal]]-PROVEEDORES[[#This Row],[Descuento sobre subtotal $2]]-PROVEEDORES[[#This Row],[Rete Fuente $]]</f>
        <v>303000</v>
      </c>
      <c r="S586" s="1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63">
        <f ca="1">IF(PROVEEDORES[[#This Row],[FECHA DE PAGO]]=0,TODAY()-PROVEEDORES[[#This Row],[FECHA DE FACTURACIÓN]]-PROVEEDORES[[#This Row],[PLAZO Días]],0)</f>
        <v>0</v>
      </c>
      <c r="U586" s="104">
        <f>+VLOOKUP(PROVEEDORES[[#This Row],[PROVEEDOR]],Terceros!$A:$D,4,FALSE)</f>
        <v>0</v>
      </c>
      <c r="V586" s="105">
        <f>+YEAR(PROVEEDORES[[#This Row],[FECHA DE FACTURACIÓN]])</f>
        <v>2022</v>
      </c>
      <c r="W586" s="105">
        <f>+MATCH(PROVEEDORES[[#This Row],[año facturado]],Retenciones!$1:$1,0)</f>
        <v>5</v>
      </c>
      <c r="X586" s="106">
        <f>+VLOOKUP(PROVEEDORES[[#This Row],[ID RETENCION]],Retenciones!$A$1:$O$25,PROVEEDORES[[#This Row],[indicador de columna]],FALSE)</f>
        <v>0</v>
      </c>
      <c r="Y586" s="107">
        <f>+VLOOKUP(PROVEEDORES[[#This Row],[ID RETENCION]],Retenciones!$A$1:$O$25,2,FALSE)</f>
        <v>0</v>
      </c>
      <c r="Z586" s="116" t="b">
        <f>OR(COUNTIF(PROVEEDORES[[#This Row],[PROVEEDOR]],"*"&amp;'Palabra no opera'!$A$2&amp;"*"))</f>
        <v>0</v>
      </c>
    </row>
    <row r="587" spans="1:26" ht="22.35" customHeight="1" x14ac:dyDescent="0.3">
      <c r="A587" s="67" t="str">
        <f>+IF(PROVEEDORES[[#This Row],[FECHA DE PAGO]]=PROVEEDORES[[#This Row],[FECHA DE FACTURACIÓN]],"DE CONTADO","CRÉDITO")</f>
        <v>DE CONTADO</v>
      </c>
      <c r="B587" s="38" t="b">
        <f>+IF((PROVEEDORES[[#This Row],[FECHA DE PAGO]]-PROVEEDORES[[#This Row],[FECHA DE FACTURACIÓN]])&gt;PROVEEDORES[[#This Row],[PLAZO Días]],"PAGO VENCIDO")</f>
        <v>0</v>
      </c>
      <c r="C587" s="20">
        <f>+VLOOKUP(PROVEEDORES[[#This Row],[PROVEEDOR]],TERCEROS_INFO[#All],2,FALSE)</f>
        <v>30</v>
      </c>
      <c r="D587" s="25">
        <f>+SUMIFS(PROVEEDORES[Total],PROVEEDORES[PROVEEDOR],PROVEEDORES[[#This Row],[PROVEEDOR]],PROVEEDORES[FECHA DE PAGO],"")</f>
        <v>0</v>
      </c>
      <c r="E587" s="25"/>
      <c r="F587" s="56" t="str">
        <f>+VLOOKUP(PROVEEDORES[[#This Row],[PROVEEDOR]],
                       Terceros!$A:$F,
                       5,
                       FALSE)</f>
        <v/>
      </c>
      <c r="G587" s="68">
        <v>44764</v>
      </c>
      <c r="H587" s="26" t="s">
        <v>836</v>
      </c>
      <c r="I587" s="68">
        <v>44764</v>
      </c>
      <c r="J587" s="35"/>
      <c r="K587" s="21">
        <v>1000000</v>
      </c>
      <c r="L587" s="21"/>
      <c r="M587" s="22">
        <f>(PROVEEDORES[[#This Row],[SUBTOTAL]]-PROVEEDORES[[#This Row],[descuento sobre subtotal]])*VLOOKUP(PROVEEDORES[[#This Row],[PROVEEDOR]],TERCEROS_INFO[#All],3,FALSE)</f>
        <v>0</v>
      </c>
      <c r="N587" s="23"/>
      <c r="O587" s="22">
        <f>+PROVEEDORES[[#This Row],[Descuento sobre subtotal %]]*(PROVEEDORES[[#This Row],[SUBTOTAL]]-PROVEEDORES[[#This Row],[descuento sobre subtotal]])</f>
        <v>0</v>
      </c>
      <c r="P587" s="74">
        <f>+IF(PROVEEDORES[[#This Row],[SUBTOTAL]]&lt;PROVEEDORES[[#This Row],[base retencion]],0,PROVEEDORES[[#This Row],[retención aplicada]])</f>
        <v>0</v>
      </c>
      <c r="Q587" s="22">
        <f>+PROVEEDORES[[#This Row],[Rete Fuente %]]*(PROVEEDORES[[#This Row],[SUBTOTAL]]-PROVEEDORES[[#This Row],[descuento sobre subtotal]])</f>
        <v>0</v>
      </c>
      <c r="R58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5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63">
        <f ca="1">IF(PROVEEDORES[[#This Row],[FECHA DE PAGO]]=0,TODAY()-PROVEEDORES[[#This Row],[FECHA DE FACTURACIÓN]]-PROVEEDORES[[#This Row],[PLAZO Días]],0)</f>
        <v>0</v>
      </c>
      <c r="U587" s="104">
        <f>+VLOOKUP(PROVEEDORES[[#This Row],[PROVEEDOR]],Terceros!$A:$D,4,FALSE)</f>
        <v>0</v>
      </c>
      <c r="V587" s="105">
        <f>+YEAR(PROVEEDORES[[#This Row],[FECHA DE FACTURACIÓN]])</f>
        <v>2022</v>
      </c>
      <c r="W587" s="105">
        <f>+MATCH(PROVEEDORES[[#This Row],[año facturado]],Retenciones!$1:$1,0)</f>
        <v>5</v>
      </c>
      <c r="X587" s="106">
        <f>+VLOOKUP(PROVEEDORES[[#This Row],[ID RETENCION]],Retenciones!$A$1:$O$25,PROVEEDORES[[#This Row],[indicador de columna]],FALSE)</f>
        <v>0</v>
      </c>
      <c r="Y587" s="107">
        <f>+VLOOKUP(PROVEEDORES[[#This Row],[ID RETENCION]],Retenciones!$A$1:$O$25,2,FALSE)</f>
        <v>0</v>
      </c>
      <c r="Z587" s="116" t="b">
        <f>OR(COUNTIF(PROVEEDORES[[#This Row],[PROVEEDOR]],"*"&amp;'Palabra no opera'!$A$2&amp;"*"))</f>
        <v>0</v>
      </c>
    </row>
    <row r="588" spans="1:26" ht="22.35" customHeight="1" x14ac:dyDescent="0.3">
      <c r="A588" s="67" t="str">
        <f>+IF(PROVEEDORES[[#This Row],[FECHA DE PAGO]]=PROVEEDORES[[#This Row],[FECHA DE FACTURACIÓN]],"DE CONTADO","CRÉDITO")</f>
        <v>CRÉDITO</v>
      </c>
      <c r="B588" s="38" t="b">
        <f>+IF((PROVEEDORES[[#This Row],[FECHA DE PAGO]]-PROVEEDORES[[#This Row],[FECHA DE FACTURACIÓN]])&gt;PROVEEDORES[[#This Row],[PLAZO Días]],"PAGO VENCIDO")</f>
        <v>0</v>
      </c>
      <c r="C588" s="20">
        <f>+VLOOKUP(PROVEEDORES[[#This Row],[PROVEEDOR]],TERCEROS_INFO[#All],2,FALSE)</f>
        <v>30</v>
      </c>
      <c r="D588" s="25">
        <f>+SUMIFS(PROVEEDORES[Total],PROVEEDORES[PROVEEDOR],PROVEEDORES[[#This Row],[PROVEEDOR]],PROVEEDORES[FECHA DE PAGO],"")</f>
        <v>0</v>
      </c>
      <c r="E588" s="25"/>
      <c r="F588" s="56" t="str">
        <f>+VLOOKUP(PROVEEDORES[[#This Row],[PROVEEDOR]],
                       Terceros!$A:$F,
                       5,
                       FALSE)</f>
        <v>cartera@aerosan.com;girlesa.ruiz@servipilas.com;joriescobar64@gmail.com</v>
      </c>
      <c r="G588" s="68">
        <v>44764</v>
      </c>
      <c r="H588" s="26" t="s">
        <v>56</v>
      </c>
      <c r="I588" s="68">
        <v>44763</v>
      </c>
      <c r="J588" s="35">
        <v>12047</v>
      </c>
      <c r="K588" s="21">
        <v>482447</v>
      </c>
      <c r="L588" s="21"/>
      <c r="M588" s="22">
        <f>(PROVEEDORES[[#This Row],[SUBTOTAL]]-PROVEEDORES[[#This Row],[descuento sobre subtotal]])*VLOOKUP(PROVEEDORES[[#This Row],[PROVEEDOR]],TERCEROS_INFO[#All],3,FALSE)</f>
        <v>91664.930000000008</v>
      </c>
      <c r="N588" s="23"/>
      <c r="O588" s="22">
        <f>+PROVEEDORES[[#This Row],[Descuento sobre subtotal %]]*(PROVEEDORES[[#This Row],[SUBTOTAL]]-PROVEEDORES[[#This Row],[descuento sobre subtotal]])</f>
        <v>0</v>
      </c>
      <c r="P588" s="74">
        <f>+IF(PROVEEDORES[[#This Row],[SUBTOTAL]]&lt;PROVEEDORES[[#This Row],[base retencion]],0,PROVEEDORES[[#This Row],[retención aplicada]])</f>
        <v>0</v>
      </c>
      <c r="Q588" s="22">
        <f>+PROVEEDORES[[#This Row],[Rete Fuente %]]*(PROVEEDORES[[#This Row],[SUBTOTAL]]-PROVEEDORES[[#This Row],[descuento sobre subtotal]])</f>
        <v>0</v>
      </c>
      <c r="R588" s="21">
        <f>+PROVEEDORES[[#This Row],[SUBTOTAL]]+PROVEEDORES[[#This Row],[IVA 19%]]-PROVEEDORES[[#This Row],[descuento sobre subtotal]]-PROVEEDORES[[#This Row],[Descuento sobre subtotal $2]]-PROVEEDORES[[#This Row],[Rete Fuente $]]</f>
        <v>574111.93000000005</v>
      </c>
      <c r="S58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63">
        <f ca="1">IF(PROVEEDORES[[#This Row],[FECHA DE PAGO]]=0,TODAY()-PROVEEDORES[[#This Row],[FECHA DE FACTURACIÓN]]-PROVEEDORES[[#This Row],[PLAZO Días]],0)</f>
        <v>0</v>
      </c>
      <c r="U588" s="104">
        <f>+VLOOKUP(PROVEEDORES[[#This Row],[PROVEEDOR]],Terceros!$A:$D,4,FALSE)</f>
        <v>0</v>
      </c>
      <c r="V588" s="105">
        <f>+YEAR(PROVEEDORES[[#This Row],[FECHA DE FACTURACIÓN]])</f>
        <v>2022</v>
      </c>
      <c r="W588" s="105">
        <f>+MATCH(PROVEEDORES[[#This Row],[año facturado]],Retenciones!$1:$1,0)</f>
        <v>5</v>
      </c>
      <c r="X588" s="106">
        <f>+VLOOKUP(PROVEEDORES[[#This Row],[ID RETENCION]],Retenciones!$A$1:$O$25,PROVEEDORES[[#This Row],[indicador de columna]],FALSE)</f>
        <v>0</v>
      </c>
      <c r="Y588" s="107">
        <f>+VLOOKUP(PROVEEDORES[[#This Row],[ID RETENCION]],Retenciones!$A$1:$O$25,2,FALSE)</f>
        <v>0</v>
      </c>
      <c r="Z588" s="116" t="b">
        <f>OR(COUNTIF(PROVEEDORES[[#This Row],[PROVEEDOR]],"*"&amp;'Palabra no opera'!$A$2&amp;"*"))</f>
        <v>0</v>
      </c>
    </row>
    <row r="589" spans="1:26" ht="22.35" customHeight="1" x14ac:dyDescent="0.3">
      <c r="A589" s="67" t="str">
        <f>+IF(PROVEEDORES[[#This Row],[FECHA DE PAGO]]=PROVEEDORES[[#This Row],[FECHA DE FACTURACIÓN]],"DE CONTADO","CRÉDITO")</f>
        <v>DE CONTADO</v>
      </c>
      <c r="B589" s="38" t="b">
        <f>+IF((PROVEEDORES[[#This Row],[FECHA DE PAGO]]-PROVEEDORES[[#This Row],[FECHA DE FACTURACIÓN]])&gt;PROVEEDORES[[#This Row],[PLAZO Días]],"PAGO VENCIDO")</f>
        <v>0</v>
      </c>
      <c r="C589" s="20">
        <f>+VLOOKUP(PROVEEDORES[[#This Row],[PROVEEDOR]],TERCEROS_INFO[#All],2,FALSE)</f>
        <v>30</v>
      </c>
      <c r="D589" s="25">
        <f>+SUMIFS(PROVEEDORES[Total],PROVEEDORES[PROVEEDOR],PROVEEDORES[[#This Row],[PROVEEDOR]],PROVEEDORES[FECHA DE PAGO],"")</f>
        <v>0</v>
      </c>
      <c r="E589" s="25"/>
      <c r="F589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589" s="68">
        <v>44764</v>
      </c>
      <c r="H589" s="26" t="s">
        <v>21</v>
      </c>
      <c r="I589" s="68">
        <v>44764</v>
      </c>
      <c r="J589" s="35">
        <v>22710</v>
      </c>
      <c r="K589" s="21">
        <v>188235</v>
      </c>
      <c r="L589" s="21"/>
      <c r="M589" s="22">
        <f>(PROVEEDORES[[#This Row],[SUBTOTAL]]-PROVEEDORES[[#This Row],[descuento sobre subtotal]])*VLOOKUP(PROVEEDORES[[#This Row],[PROVEEDOR]],TERCEROS_INFO[#All],3,FALSE)</f>
        <v>35764.65</v>
      </c>
      <c r="N589" s="23"/>
      <c r="O589" s="22">
        <f>+PROVEEDORES[[#This Row],[Descuento sobre subtotal %]]*(PROVEEDORES[[#This Row],[SUBTOTAL]]-PROVEEDORES[[#This Row],[descuento sobre subtotal]])</f>
        <v>0</v>
      </c>
      <c r="P589" s="74">
        <f>+IF(PROVEEDORES[[#This Row],[SUBTOTAL]]&lt;PROVEEDORES[[#This Row],[base retencion]],0,PROVEEDORES[[#This Row],[retención aplicada]])</f>
        <v>0</v>
      </c>
      <c r="Q589" s="22">
        <f>+PROVEEDORES[[#This Row],[Rete Fuente %]]*(PROVEEDORES[[#This Row],[SUBTOTAL]]-PROVEEDORES[[#This Row],[descuento sobre subtotal]])</f>
        <v>0</v>
      </c>
      <c r="R589" s="21">
        <f>+PROVEEDORES[[#This Row],[SUBTOTAL]]+PROVEEDORES[[#This Row],[IVA 19%]]-PROVEEDORES[[#This Row],[descuento sobre subtotal]]-PROVEEDORES[[#This Row],[Descuento sobre subtotal $2]]-PROVEEDORES[[#This Row],[Rete Fuente $]]</f>
        <v>223999.65</v>
      </c>
      <c r="S5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63">
        <f ca="1">IF(PROVEEDORES[[#This Row],[FECHA DE PAGO]]=0,TODAY()-PROVEEDORES[[#This Row],[FECHA DE FACTURACIÓN]]-PROVEEDORES[[#This Row],[PLAZO Días]],0)</f>
        <v>0</v>
      </c>
      <c r="U589" s="104" t="str">
        <f>+VLOOKUP(PROVEEDORES[[#This Row],[PROVEEDOR]],Terceros!$A:$D,4,FALSE)</f>
        <v>2,5% con base</v>
      </c>
      <c r="V589" s="105">
        <f>+YEAR(PROVEEDORES[[#This Row],[FECHA DE FACTURACIÓN]])</f>
        <v>2022</v>
      </c>
      <c r="W589" s="105">
        <f>+MATCH(PROVEEDORES[[#This Row],[año facturado]],Retenciones!$1:$1,0)</f>
        <v>5</v>
      </c>
      <c r="X589" s="106">
        <f>+VLOOKUP(PROVEEDORES[[#This Row],[ID RETENCION]],Retenciones!$A$1:$O$25,PROVEEDORES[[#This Row],[indicador de columna]],FALSE)</f>
        <v>1026000</v>
      </c>
      <c r="Y589" s="107">
        <f>+VLOOKUP(PROVEEDORES[[#This Row],[ID RETENCION]],Retenciones!$A$1:$O$25,2,FALSE)</f>
        <v>2.5000000000000001E-2</v>
      </c>
      <c r="Z589" s="116" t="b">
        <f>OR(COUNTIF(PROVEEDORES[[#This Row],[PROVEEDOR]],"*"&amp;'Palabra no opera'!$A$2&amp;"*"))</f>
        <v>0</v>
      </c>
    </row>
    <row r="590" spans="1:26" ht="22.35" customHeight="1" x14ac:dyDescent="0.3">
      <c r="A590" s="67" t="str">
        <f>+IF(PROVEEDORES[[#This Row],[FECHA DE PAGO]]=PROVEEDORES[[#This Row],[FECHA DE FACTURACIÓN]],"DE CONTADO","CRÉDITO")</f>
        <v>DE CONTADO</v>
      </c>
      <c r="B590" s="38" t="b">
        <f>+IF((PROVEEDORES[[#This Row],[FECHA DE PAGO]]-PROVEEDORES[[#This Row],[FECHA DE FACTURACIÓN]])&gt;PROVEEDORES[[#This Row],[PLAZO Días]],"PAGO VENCIDO")</f>
        <v>0</v>
      </c>
      <c r="C590" s="20">
        <f>+VLOOKUP(PROVEEDORES[[#This Row],[PROVEEDOR]],TERCEROS_INFO[#All],2,FALSE)</f>
        <v>0</v>
      </c>
      <c r="D590" s="25">
        <f>+SUMIFS(PROVEEDORES[Total],PROVEEDORES[PROVEEDOR],PROVEEDORES[[#This Row],[PROVEEDOR]],PROVEEDORES[FECHA DE PAGO],"")</f>
        <v>0</v>
      </c>
      <c r="E590" s="25"/>
      <c r="F590" s="56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590" s="68">
        <v>44764</v>
      </c>
      <c r="H590" s="26" t="s">
        <v>835</v>
      </c>
      <c r="I590" s="68">
        <v>44764</v>
      </c>
      <c r="J590" s="35" t="s">
        <v>915</v>
      </c>
      <c r="K590" s="21">
        <v>1000000</v>
      </c>
      <c r="L590" s="21"/>
      <c r="M590" s="22">
        <v>0</v>
      </c>
      <c r="N590" s="23"/>
      <c r="O590" s="22">
        <f>+PROVEEDORES[[#This Row],[Descuento sobre subtotal %]]*(PROVEEDORES[[#This Row],[SUBTOTAL]]-PROVEEDORES[[#This Row],[descuento sobre subtotal]])</f>
        <v>0</v>
      </c>
      <c r="P590" s="74">
        <f>+IF(PROVEEDORES[[#This Row],[SUBTOTAL]]&lt;PROVEEDORES[[#This Row],[base retencion]],0,PROVEEDORES[[#This Row],[retención aplicada]])</f>
        <v>0</v>
      </c>
      <c r="Q590" s="22">
        <f>+PROVEEDORES[[#This Row],[Rete Fuente %]]*(PROVEEDORES[[#This Row],[SUBTOTAL]]-PROVEEDORES[[#This Row],[descuento sobre subtotal]])</f>
        <v>0</v>
      </c>
      <c r="R59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5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63">
        <f ca="1">IF(PROVEEDORES[[#This Row],[FECHA DE PAGO]]=0,TODAY()-PROVEEDORES[[#This Row],[FECHA DE FACTURACIÓN]]-PROVEEDORES[[#This Row],[PLAZO Días]],0)</f>
        <v>0</v>
      </c>
      <c r="U590" s="104">
        <f>+VLOOKUP(PROVEEDORES[[#This Row],[PROVEEDOR]],Terceros!$A:$D,4,FALSE)</f>
        <v>0</v>
      </c>
      <c r="V590" s="105">
        <f>+YEAR(PROVEEDORES[[#This Row],[FECHA DE FACTURACIÓN]])</f>
        <v>2022</v>
      </c>
      <c r="W590" s="105">
        <f>+MATCH(PROVEEDORES[[#This Row],[año facturado]],Retenciones!$1:$1,0)</f>
        <v>5</v>
      </c>
      <c r="X590" s="106">
        <f>+VLOOKUP(PROVEEDORES[[#This Row],[ID RETENCION]],Retenciones!$A$1:$O$25,PROVEEDORES[[#This Row],[indicador de columna]],FALSE)</f>
        <v>0</v>
      </c>
      <c r="Y590" s="107">
        <f>+VLOOKUP(PROVEEDORES[[#This Row],[ID RETENCION]],Retenciones!$A$1:$O$25,2,FALSE)</f>
        <v>0</v>
      </c>
      <c r="Z590" s="116" t="b">
        <f>OR(COUNTIF(PROVEEDORES[[#This Row],[PROVEEDOR]],"*"&amp;'Palabra no opera'!$A$2&amp;"*"))</f>
        <v>1</v>
      </c>
    </row>
    <row r="591" spans="1:26" ht="22.35" customHeight="1" x14ac:dyDescent="0.3">
      <c r="A591" s="148" t="str">
        <f>+IF(PROVEEDORES[[#This Row],[FECHA DE PAGO]]=PROVEEDORES[[#This Row],[FECHA DE FACTURACIÓN]],"DE CONTADO","CRÉDITO")</f>
        <v>CRÉDITO</v>
      </c>
      <c r="B591" s="38" t="str">
        <f>+IF((PROVEEDORES[[#This Row],[FECHA DE PAGO]]-PROVEEDORES[[#This Row],[FECHA DE FACTURACIÓN]])&gt;PROVEEDORES[[#This Row],[PLAZO Días]],"PAGO VENCIDO")</f>
        <v>PAGO VENCIDO</v>
      </c>
      <c r="C591" s="20">
        <f>+VLOOKUP(PROVEEDORES[[#This Row],[PROVEEDOR]],TERCEROS_INFO[#All],2,FALSE)</f>
        <v>30</v>
      </c>
      <c r="D591" s="25">
        <f>+SUMIFS(PROVEEDORES[Total],PROVEEDORES[PROVEEDOR],PROVEEDORES[[#This Row],[PROVEEDOR]],PROVEEDORES[FECHA DE PAGO],"")</f>
        <v>0</v>
      </c>
      <c r="E591" s="25"/>
      <c r="F591" s="56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591" s="68">
        <v>44764</v>
      </c>
      <c r="H591" s="26" t="s">
        <v>49</v>
      </c>
      <c r="I591" s="68">
        <v>44726</v>
      </c>
      <c r="J591" s="35">
        <v>7440</v>
      </c>
      <c r="K591" s="21">
        <v>546218</v>
      </c>
      <c r="L591" s="21"/>
      <c r="M591" s="22">
        <f>(PROVEEDORES[[#This Row],[SUBTOTAL]]-PROVEEDORES[[#This Row],[descuento sobre subtotal]])*VLOOKUP(PROVEEDORES[[#This Row],[PROVEEDOR]],TERCEROS_INFO[#All],3,FALSE)</f>
        <v>103781.42</v>
      </c>
      <c r="N591" s="23"/>
      <c r="O591" s="22">
        <f>+PROVEEDORES[[#This Row],[Descuento sobre subtotal %]]*(PROVEEDORES[[#This Row],[SUBTOTAL]]-PROVEEDORES[[#This Row],[descuento sobre subtotal]])</f>
        <v>0</v>
      </c>
      <c r="P591" s="74">
        <f>+IF(PROVEEDORES[[#This Row],[SUBTOTAL]]&lt;PROVEEDORES[[#This Row],[base retencion]],0,PROVEEDORES[[#This Row],[retención aplicada]])</f>
        <v>0</v>
      </c>
      <c r="Q591" s="22">
        <f>+PROVEEDORES[[#This Row],[Rete Fuente %]]*(PROVEEDORES[[#This Row],[SUBTOTAL]]-PROVEEDORES[[#This Row],[descuento sobre subtotal]])</f>
        <v>0</v>
      </c>
      <c r="R591" s="21">
        <f>+PROVEEDORES[[#This Row],[SUBTOTAL]]+PROVEEDORES[[#This Row],[IVA 19%]]-PROVEEDORES[[#This Row],[descuento sobre subtotal]]-PROVEEDORES[[#This Row],[Descuento sobre subtotal $2]]-PROVEEDORES[[#This Row],[Rete Fuente $]]</f>
        <v>649999.42000000004</v>
      </c>
      <c r="S59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63">
        <f ca="1">IF(PROVEEDORES[[#This Row],[FECHA DE PAGO]]=0,TODAY()-PROVEEDORES[[#This Row],[FECHA DE FACTURACIÓN]]-PROVEEDORES[[#This Row],[PLAZO Días]],0)</f>
        <v>0</v>
      </c>
      <c r="U591" s="104" t="str">
        <f>+VLOOKUP(PROVEEDORES[[#This Row],[PROVEEDOR]],Terceros!$A:$D,4,FALSE)</f>
        <v>2,5% con base</v>
      </c>
      <c r="V591" s="105">
        <f>+YEAR(PROVEEDORES[[#This Row],[FECHA DE FACTURACIÓN]])</f>
        <v>2022</v>
      </c>
      <c r="W591" s="105">
        <f>+MATCH(PROVEEDORES[[#This Row],[año facturado]],Retenciones!$1:$1,0)</f>
        <v>5</v>
      </c>
      <c r="X591" s="106">
        <f>+VLOOKUP(PROVEEDORES[[#This Row],[ID RETENCION]],Retenciones!$A$1:$O$25,PROVEEDORES[[#This Row],[indicador de columna]],FALSE)</f>
        <v>1026000</v>
      </c>
      <c r="Y591" s="107">
        <f>+VLOOKUP(PROVEEDORES[[#This Row],[ID RETENCION]],Retenciones!$A$1:$O$25,2,FALSE)</f>
        <v>2.5000000000000001E-2</v>
      </c>
      <c r="Z591" s="116" t="b">
        <f>OR(COUNTIF(PROVEEDORES[[#This Row],[PROVEEDOR]],"*"&amp;'Palabra no opera'!$A$2&amp;"*"))</f>
        <v>0</v>
      </c>
    </row>
    <row r="592" spans="1:26" ht="22.35" customHeight="1" x14ac:dyDescent="0.3">
      <c r="A592" s="61" t="str">
        <f>+IF(PROVEEDORES[[#This Row],[FECHA DE PAGO]]=PROVEEDORES[[#This Row],[FECHA DE FACTURACIÓN]],"DE CONTADO","CRÉDITO")</f>
        <v>CRÉDITO</v>
      </c>
      <c r="B592" s="38" t="str">
        <f>+IF((PROVEEDORES[[#This Row],[FECHA DE PAGO]]-PROVEEDORES[[#This Row],[FECHA DE FACTURACIÓN]])&gt;PROVEEDORES[[#This Row],[PLAZO Días]],"PAGO VENCIDO")</f>
        <v>PAGO VENCIDO</v>
      </c>
      <c r="C592" s="20">
        <f>+VLOOKUP(PROVEEDORES[[#This Row],[PROVEEDOR]],TERCEROS_INFO[#All],2,FALSE)</f>
        <v>30</v>
      </c>
      <c r="D592" s="25">
        <f>+SUMIFS(PROVEEDORES[Total],PROVEEDORES[PROVEEDOR],PROVEEDORES[[#This Row],[PROVEEDOR]],PROVEEDORES[FECHA DE PAGO],"")</f>
        <v>12030261.305</v>
      </c>
      <c r="E592" s="25"/>
      <c r="F592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92" s="68">
        <v>44764</v>
      </c>
      <c r="H592" s="26" t="s">
        <v>12</v>
      </c>
      <c r="I592" s="68">
        <v>44648</v>
      </c>
      <c r="J592" s="35" t="s">
        <v>425</v>
      </c>
      <c r="K592" s="21">
        <v>22630252.07</v>
      </c>
      <c r="L592" s="21"/>
      <c r="M592" s="22">
        <f>(PROVEEDORES[[#This Row],[SUBTOTAL]]-PROVEEDORES[[#This Row],[descuento sobre subtotal]])*VLOOKUP(PROVEEDORES[[#This Row],[PROVEEDOR]],TERCEROS_INFO[#All],3,FALSE)</f>
        <v>4299747.8932999996</v>
      </c>
      <c r="N592" s="23"/>
      <c r="O592" s="22">
        <f>+PROVEEDORES[[#This Row],[Descuento sobre subtotal %]]*(PROVEEDORES[[#This Row],[SUBTOTAL]]-PROVEEDORES[[#This Row],[descuento sobre subtotal]])</f>
        <v>0</v>
      </c>
      <c r="P592" s="74">
        <f>+IF(PROVEEDORES[[#This Row],[SUBTOTAL]]&lt;PROVEEDORES[[#This Row],[base retencion]],0,PROVEEDORES[[#This Row],[retención aplicada]])</f>
        <v>2.5000000000000001E-2</v>
      </c>
      <c r="Q592" s="22">
        <f>+PROVEEDORES[[#This Row],[Rete Fuente %]]*(PROVEEDORES[[#This Row],[SUBTOTAL]]-PROVEEDORES[[#This Row],[descuento sobre subtotal]])</f>
        <v>565756.30174999998</v>
      </c>
      <c r="R592" s="21">
        <f>+PROVEEDORES[[#This Row],[SUBTOTAL]]+PROVEEDORES[[#This Row],[IVA 19%]]-PROVEEDORES[[#This Row],[descuento sobre subtotal]]-PROVEEDORES[[#This Row],[Descuento sobre subtotal $2]]-PROVEEDORES[[#This Row],[Rete Fuente $]]</f>
        <v>26364243.66155</v>
      </c>
      <c r="S592" s="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63">
        <f ca="1">IF(PROVEEDORES[[#This Row],[FECHA DE PAGO]]=0,TODAY()-PROVEEDORES[[#This Row],[FECHA DE FACTURACIÓN]]-PROVEEDORES[[#This Row],[PLAZO Días]],0)</f>
        <v>0</v>
      </c>
      <c r="U592" s="87" t="str">
        <f>+VLOOKUP(PROVEEDORES[[#This Row],[PROVEEDOR]],Terceros!$A:$D,4,FALSE)</f>
        <v>2,5% con base</v>
      </c>
      <c r="V592" s="88">
        <f>+YEAR(PROVEEDORES[[#This Row],[FECHA DE FACTURACIÓN]])</f>
        <v>2022</v>
      </c>
      <c r="W592" s="88">
        <f>+MATCH(PROVEEDORES[[#This Row],[año facturado]],Retenciones!$1:$1,0)</f>
        <v>5</v>
      </c>
      <c r="X592" s="89">
        <f>+VLOOKUP(PROVEEDORES[[#This Row],[ID RETENCION]],Retenciones!$A$1:$O$25,PROVEEDORES[[#This Row],[indicador de columna]],FALSE)</f>
        <v>1026000</v>
      </c>
      <c r="Y592" s="90">
        <f>+VLOOKUP(PROVEEDORES[[#This Row],[ID RETENCION]],Retenciones!$A$1:$O$25,2,FALSE)</f>
        <v>2.5000000000000001E-2</v>
      </c>
      <c r="Z592" s="116" t="b">
        <f>OR(COUNTIF(PROVEEDORES[[#This Row],[PROVEEDOR]],"*"&amp;'Palabra no opera'!$A$2&amp;"*"))</f>
        <v>0</v>
      </c>
    </row>
    <row r="593" spans="1:26" ht="22.35" customHeight="1" x14ac:dyDescent="0.3">
      <c r="A593" s="67" t="str">
        <f>+IF(PROVEEDORES[[#This Row],[FECHA DE PAGO]]=PROVEEDORES[[#This Row],[FECHA DE FACTURACIÓN]],"DE CONTADO","CRÉDITO")</f>
        <v>CRÉDITO</v>
      </c>
      <c r="B593" s="38" t="str">
        <f>+IF((PROVEEDORES[[#This Row],[FECHA DE PAGO]]-PROVEEDORES[[#This Row],[FECHA DE FACTURACIÓN]])&gt;PROVEEDORES[[#This Row],[PLAZO Días]],"PAGO VENCIDO")</f>
        <v>PAGO VENCIDO</v>
      </c>
      <c r="C593" s="20">
        <v>-1</v>
      </c>
      <c r="D593" s="25">
        <f>+SUMIFS(PROVEEDORES[Total],PROVEEDORES[PROVEEDOR],PROVEEDORES[[#This Row],[PROVEEDOR]],PROVEEDORES[FECHA DE PAGO],"")</f>
        <v>12030261.305</v>
      </c>
      <c r="E593" s="25"/>
      <c r="F593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93" s="68">
        <v>44764</v>
      </c>
      <c r="H593" s="26" t="s">
        <v>12</v>
      </c>
      <c r="I593" s="68">
        <v>44758</v>
      </c>
      <c r="J593" s="35" t="s">
        <v>823</v>
      </c>
      <c r="K593" s="21">
        <v>-9000000</v>
      </c>
      <c r="L593" s="21"/>
      <c r="M593" s="22">
        <v>0</v>
      </c>
      <c r="N593" s="23"/>
      <c r="O593" s="22">
        <f>+PROVEEDORES[[#This Row],[Descuento sobre subtotal %]]*(PROVEEDORES[[#This Row],[SUBTOTAL]]-PROVEEDORES[[#This Row],[descuento sobre subtotal]])</f>
        <v>0</v>
      </c>
      <c r="P593" s="74">
        <f>+IF(PROVEEDORES[[#This Row],[SUBTOTAL]]&lt;PROVEEDORES[[#This Row],[base retencion]],0,PROVEEDORES[[#This Row],[retención aplicada]])</f>
        <v>0</v>
      </c>
      <c r="Q593" s="22">
        <f>+PROVEEDORES[[#This Row],[Rete Fuente %]]*(PROVEEDORES[[#This Row],[SUBTOTAL]]-PROVEEDORES[[#This Row],[descuento sobre subtotal]])</f>
        <v>0</v>
      </c>
      <c r="R593" s="21">
        <v>0</v>
      </c>
      <c r="S59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63">
        <f ca="1">IF(PROVEEDORES[[#This Row],[FECHA DE PAGO]]=0,TODAY()-PROVEEDORES[[#This Row],[FECHA DE FACTURACIÓN]]-PROVEEDORES[[#This Row],[PLAZO Días]],0)</f>
        <v>0</v>
      </c>
      <c r="U593" s="104" t="str">
        <f>+VLOOKUP(PROVEEDORES[[#This Row],[PROVEEDOR]],Terceros!$A:$D,4,FALSE)</f>
        <v>2,5% con base</v>
      </c>
      <c r="V593" s="105">
        <f>+YEAR(PROVEEDORES[[#This Row],[FECHA DE FACTURACIÓN]])</f>
        <v>2022</v>
      </c>
      <c r="W593" s="105">
        <f>+MATCH(PROVEEDORES[[#This Row],[año facturado]],Retenciones!$1:$1,0)</f>
        <v>5</v>
      </c>
      <c r="X593" s="106">
        <f>+VLOOKUP(PROVEEDORES[[#This Row],[ID RETENCION]],Retenciones!$A$1:$O$25,PROVEEDORES[[#This Row],[indicador de columna]],FALSE)</f>
        <v>1026000</v>
      </c>
      <c r="Y593" s="107">
        <f>+VLOOKUP(PROVEEDORES[[#This Row],[ID RETENCION]],Retenciones!$A$1:$O$25,2,FALSE)</f>
        <v>2.5000000000000001E-2</v>
      </c>
      <c r="Z593" s="116" t="b">
        <f>OR(COUNTIF(PROVEEDORES[[#This Row],[PROVEEDOR]],"*"&amp;'Palabra no opera'!$A$2&amp;"*"))</f>
        <v>0</v>
      </c>
    </row>
    <row r="594" spans="1:26" ht="22.35" customHeight="1" x14ac:dyDescent="0.3">
      <c r="A594" s="67" t="str">
        <f>+IF(PROVEEDORES[[#This Row],[FECHA DE PAGO]]=PROVEEDORES[[#This Row],[FECHA DE FACTURACIÓN]],"DE CONTADO","CRÉDITO")</f>
        <v>DE CONTADO</v>
      </c>
      <c r="B594" s="38" t="b">
        <f>+IF((PROVEEDORES[[#This Row],[FECHA DE PAGO]]-PROVEEDORES[[#This Row],[FECHA DE FACTURACIÓN]])&gt;PROVEEDORES[[#This Row],[PLAZO Días]],"PAGO VENCIDO")</f>
        <v>0</v>
      </c>
      <c r="C594" s="20">
        <f>+VLOOKUP(PROVEEDORES[[#This Row],[PROVEEDOR]],TERCEROS_INFO[#All],2,FALSE)</f>
        <v>30</v>
      </c>
      <c r="D594" s="25">
        <f>+SUMIFS(PROVEEDORES[Total],PROVEEDORES[PROVEEDOR],PROVEEDORES[[#This Row],[PROVEEDOR]],PROVEEDORES[FECHA DE PAGO],"")</f>
        <v>12030261.305</v>
      </c>
      <c r="E594" s="25"/>
      <c r="F594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94" s="68">
        <v>44764</v>
      </c>
      <c r="H594" s="26" t="s">
        <v>12</v>
      </c>
      <c r="I594" s="68">
        <v>44764</v>
      </c>
      <c r="J594" s="35" t="s">
        <v>823</v>
      </c>
      <c r="K594" s="21">
        <v>-17364244</v>
      </c>
      <c r="L594" s="21"/>
      <c r="M594" s="22">
        <v>0</v>
      </c>
      <c r="N594" s="23"/>
      <c r="O594" s="22">
        <f>+PROVEEDORES[[#This Row],[Descuento sobre subtotal %]]*(PROVEEDORES[[#This Row],[SUBTOTAL]]-PROVEEDORES[[#This Row],[descuento sobre subtotal]])</f>
        <v>0</v>
      </c>
      <c r="P594" s="74">
        <f>+IF(PROVEEDORES[[#This Row],[SUBTOTAL]]&lt;PROVEEDORES[[#This Row],[base retencion]],0,PROVEEDORES[[#This Row],[retención aplicada]])</f>
        <v>0</v>
      </c>
      <c r="Q594" s="22">
        <f>+PROVEEDORES[[#This Row],[Rete Fuente %]]*(PROVEEDORES[[#This Row],[SUBTOTAL]]-PROVEEDORES[[#This Row],[descuento sobre subtotal]])</f>
        <v>0</v>
      </c>
      <c r="R594" s="21">
        <v>0</v>
      </c>
      <c r="S5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63">
        <f ca="1">IF(PROVEEDORES[[#This Row],[FECHA DE PAGO]]=0,TODAY()-PROVEEDORES[[#This Row],[FECHA DE FACTURACIÓN]]-PROVEEDORES[[#This Row],[PLAZO Días]],0)</f>
        <v>0</v>
      </c>
      <c r="U594" s="104" t="str">
        <f>+VLOOKUP(PROVEEDORES[[#This Row],[PROVEEDOR]],Terceros!$A:$D,4,FALSE)</f>
        <v>2,5% con base</v>
      </c>
      <c r="V594" s="105">
        <f>+YEAR(PROVEEDORES[[#This Row],[FECHA DE FACTURACIÓN]])</f>
        <v>2022</v>
      </c>
      <c r="W594" s="105">
        <f>+MATCH(PROVEEDORES[[#This Row],[año facturado]],Retenciones!$1:$1,0)</f>
        <v>5</v>
      </c>
      <c r="X594" s="106">
        <f>+VLOOKUP(PROVEEDORES[[#This Row],[ID RETENCION]],Retenciones!$A$1:$O$25,PROVEEDORES[[#This Row],[indicador de columna]],FALSE)</f>
        <v>1026000</v>
      </c>
      <c r="Y594" s="107">
        <f>+VLOOKUP(PROVEEDORES[[#This Row],[ID RETENCION]],Retenciones!$A$1:$O$25,2,FALSE)</f>
        <v>2.5000000000000001E-2</v>
      </c>
      <c r="Z594" s="116" t="b">
        <f>OR(COUNTIF(PROVEEDORES[[#This Row],[PROVEEDOR]],"*"&amp;'Palabra no opera'!$A$2&amp;"*"))</f>
        <v>0</v>
      </c>
    </row>
    <row r="595" spans="1:26" ht="22.35" customHeight="1" x14ac:dyDescent="0.3">
      <c r="A595" s="148" t="str">
        <f>+IF(PROVEEDORES[[#This Row],[FECHA DE PAGO]]=PROVEEDORES[[#This Row],[FECHA DE FACTURACIÓN]],"DE CONTADO","CRÉDITO")</f>
        <v>CRÉDITO</v>
      </c>
      <c r="B595" s="38" t="str">
        <f>+IF((PROVEEDORES[[#This Row],[FECHA DE PAGO]]-PROVEEDORES[[#This Row],[FECHA DE FACTURACIÓN]])&gt;PROVEEDORES[[#This Row],[PLAZO Días]],"PAGO VENCIDO")</f>
        <v>PAGO VENCIDO</v>
      </c>
      <c r="C595" s="20">
        <f>+VLOOKUP(PROVEEDORES[[#This Row],[PROVEEDOR]],TERCEROS_INFO[#All],2,FALSE)</f>
        <v>30</v>
      </c>
      <c r="D595" s="25">
        <f>+SUMIFS(PROVEEDORES[Total],PROVEEDORES[PROVEEDOR],PROVEEDORES[[#This Row],[PROVEEDOR]],PROVEEDORES[FECHA DE PAGO],"")</f>
        <v>0</v>
      </c>
      <c r="E595" s="25"/>
      <c r="F595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595" s="68">
        <v>44764</v>
      </c>
      <c r="H595" s="26" t="s">
        <v>964</v>
      </c>
      <c r="I595" s="68">
        <v>44728</v>
      </c>
      <c r="J595" s="35">
        <v>32033</v>
      </c>
      <c r="K595" s="21">
        <v>1841400</v>
      </c>
      <c r="L595" s="21"/>
      <c r="M595" s="22">
        <f>(PROVEEDORES[[#This Row],[SUBTOTAL]]-PROVEEDORES[[#This Row],[descuento sobre subtotal]])*VLOOKUP(PROVEEDORES[[#This Row],[PROVEEDOR]],TERCEROS_INFO[#All],3,FALSE)</f>
        <v>349866</v>
      </c>
      <c r="N595" s="23"/>
      <c r="O595" s="22">
        <f>+PROVEEDORES[[#This Row],[Descuento sobre subtotal %]]*(PROVEEDORES[[#This Row],[SUBTOTAL]]-PROVEEDORES[[#This Row],[descuento sobre subtotal]])</f>
        <v>0</v>
      </c>
      <c r="P595" s="74">
        <v>2.5000000000000001E-2</v>
      </c>
      <c r="Q595" s="22">
        <f>+PROVEEDORES[[#This Row],[Rete Fuente %]]*(PROVEEDORES[[#This Row],[SUBTOTAL]]-PROVEEDORES[[#This Row],[descuento sobre subtotal]])</f>
        <v>46035</v>
      </c>
      <c r="R595" s="21">
        <f>+PROVEEDORES[[#This Row],[SUBTOTAL]]+PROVEEDORES[[#This Row],[IVA 19%]]-PROVEEDORES[[#This Row],[descuento sobre subtotal]]-PROVEEDORES[[#This Row],[Descuento sobre subtotal $2]]-PROVEEDORES[[#This Row],[Rete Fuente $]]</f>
        <v>2145231</v>
      </c>
      <c r="S59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63">
        <f ca="1">IF(PROVEEDORES[[#This Row],[FECHA DE PAGO]]=0,TODAY()-PROVEEDORES[[#This Row],[FECHA DE FACTURACIÓN]]-PROVEEDORES[[#This Row],[PLAZO Días]],0)</f>
        <v>0</v>
      </c>
      <c r="U595" s="104">
        <f>+VLOOKUP(PROVEEDORES[[#This Row],[PROVEEDOR]],Terceros!$A:$D,4,FALSE)</f>
        <v>0</v>
      </c>
      <c r="V595" s="105">
        <f>+YEAR(PROVEEDORES[[#This Row],[FECHA DE FACTURACIÓN]])</f>
        <v>2022</v>
      </c>
      <c r="W595" s="105">
        <f>+MATCH(PROVEEDORES[[#This Row],[año facturado]],Retenciones!$1:$1,0)</f>
        <v>5</v>
      </c>
      <c r="X595" s="106">
        <f>+VLOOKUP(PROVEEDORES[[#This Row],[ID RETENCION]],Retenciones!$A$1:$O$25,PROVEEDORES[[#This Row],[indicador de columna]],FALSE)</f>
        <v>0</v>
      </c>
      <c r="Y595" s="107">
        <f>+VLOOKUP(PROVEEDORES[[#This Row],[ID RETENCION]],Retenciones!$A$1:$O$25,2,FALSE)</f>
        <v>0</v>
      </c>
      <c r="Z595" s="116" t="b">
        <f>OR(COUNTIF(PROVEEDORES[[#This Row],[PROVEEDOR]],"*"&amp;'Palabra no opera'!$A$2&amp;"*"))</f>
        <v>0</v>
      </c>
    </row>
    <row r="596" spans="1:26" ht="22.35" customHeight="1" x14ac:dyDescent="0.3">
      <c r="A596" s="67" t="str">
        <f>+IF(PROVEEDORES[[#This Row],[FECHA DE PAGO]]=PROVEEDORES[[#This Row],[FECHA DE FACTURACIÓN]],"DE CONTADO","CRÉDITO")</f>
        <v>CRÉDITO</v>
      </c>
      <c r="B596" s="38" t="str">
        <f>+IF((PROVEEDORES[[#This Row],[FECHA DE PAGO]]-PROVEEDORES[[#This Row],[FECHA DE FACTURACIÓN]])&gt;PROVEEDORES[[#This Row],[PLAZO Días]],"PAGO VENCIDO")</f>
        <v>PAGO VENCIDO</v>
      </c>
      <c r="C596" s="20">
        <f>+VLOOKUP(PROVEEDORES[[#This Row],[PROVEEDOR]],TERCEROS_INFO[#All],2,FALSE)</f>
        <v>30</v>
      </c>
      <c r="D596" s="25">
        <f>+SUMIFS(PROVEEDORES[Total],PROVEEDORES[PROVEEDOR],PROVEEDORES[[#This Row],[PROVEEDOR]],PROVEEDORES[FECHA DE PAGO],"")</f>
        <v>0</v>
      </c>
      <c r="E596" s="25"/>
      <c r="F596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96" s="68">
        <v>44764</v>
      </c>
      <c r="H596" s="26" t="s">
        <v>967</v>
      </c>
      <c r="I596" s="68">
        <v>44729</v>
      </c>
      <c r="J596" s="35" t="s">
        <v>759</v>
      </c>
      <c r="K596" s="21">
        <f>-75000-3000</f>
        <v>-78000</v>
      </c>
      <c r="L596" s="21"/>
      <c r="M596" s="22">
        <f>(PROVEEDORES[[#This Row],[SUBTOTAL]]-PROVEEDORES[[#This Row],[descuento sobre subtotal]])*VLOOKUP(PROVEEDORES[[#This Row],[PROVEEDOR]],TERCEROS_INFO[#All],3,FALSE)</f>
        <v>0</v>
      </c>
      <c r="N596" s="23"/>
      <c r="O596" s="22">
        <f>+PROVEEDORES[[#This Row],[Descuento sobre subtotal %]]*(PROVEEDORES[[#This Row],[SUBTOTAL]]-PROVEEDORES[[#This Row],[descuento sobre subtotal]])</f>
        <v>0</v>
      </c>
      <c r="P596" s="74">
        <f>+IF(PROVEEDORES[[#This Row],[SUBTOTAL]]&lt;PROVEEDORES[[#This Row],[base retencion]],0,PROVEEDORES[[#This Row],[retención aplicada]])</f>
        <v>0</v>
      </c>
      <c r="Q596" s="22">
        <f>+PROVEEDORES[[#This Row],[Rete Fuente %]]*(PROVEEDORES[[#This Row],[SUBTOTAL]]-PROVEEDORES[[#This Row],[descuento sobre subtotal]])</f>
        <v>0</v>
      </c>
      <c r="R596" s="21">
        <f>+PROVEEDORES[[#This Row],[SUBTOTAL]]+PROVEEDORES[[#This Row],[IVA 19%]]-PROVEEDORES[[#This Row],[descuento sobre subtotal]]-PROVEEDORES[[#This Row],[Descuento sobre subtotal $2]]-PROVEEDORES[[#This Row],[Rete Fuente $]]</f>
        <v>-78000</v>
      </c>
      <c r="S5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63">
        <f ca="1">IF(PROVEEDORES[[#This Row],[FECHA DE PAGO]]=0,TODAY()-PROVEEDORES[[#This Row],[FECHA DE FACTURACIÓN]]-PROVEEDORES[[#This Row],[PLAZO Días]],0)</f>
        <v>0</v>
      </c>
      <c r="U596" s="104" t="str">
        <f>+VLOOKUP(PROVEEDORES[[#This Row],[PROVEEDOR]],Terceros!$A:$D,4,FALSE)</f>
        <v>1% con base</v>
      </c>
      <c r="V596" s="105">
        <f>+YEAR(PROVEEDORES[[#This Row],[FECHA DE FACTURACIÓN]])</f>
        <v>2022</v>
      </c>
      <c r="W596" s="105">
        <f>+MATCH(PROVEEDORES[[#This Row],[año facturado]],Retenciones!$1:$1,0)</f>
        <v>5</v>
      </c>
      <c r="X596" s="106">
        <f>+VLOOKUP(PROVEEDORES[[#This Row],[ID RETENCION]],Retenciones!$A$1:$O$25,PROVEEDORES[[#This Row],[indicador de columna]],FALSE)</f>
        <v>152000</v>
      </c>
      <c r="Y596" s="107">
        <f>+VLOOKUP(PROVEEDORES[[#This Row],[ID RETENCION]],Retenciones!$A$1:$O$25,2,FALSE)</f>
        <v>0.01</v>
      </c>
      <c r="Z596" s="116" t="b">
        <f>OR(COUNTIF(PROVEEDORES[[#This Row],[PROVEEDOR]],"*"&amp;'Palabra no opera'!$A$2&amp;"*"))</f>
        <v>0</v>
      </c>
    </row>
    <row r="597" spans="1:26" ht="22.35" customHeight="1" x14ac:dyDescent="0.3">
      <c r="A597" s="161" t="str">
        <f>+IF(PROVEEDORES[[#This Row],[FECHA DE PAGO]]=PROVEEDORES[[#This Row],[FECHA DE FACTURACIÓN]],"DE CONTADO","CRÉDITO")</f>
        <v>CRÉDITO</v>
      </c>
      <c r="B597" s="38" t="b">
        <f>+IF((PROVEEDORES[[#This Row],[FECHA DE PAGO]]-PROVEEDORES[[#This Row],[FECHA DE FACTURACIÓN]])&gt;PROVEEDORES[[#This Row],[PLAZO Días]],"PAGO VENCIDO")</f>
        <v>0</v>
      </c>
      <c r="C597" s="20">
        <f>+VLOOKUP(PROVEEDORES[[#This Row],[PROVEEDOR]],TERCEROS_INFO[#All],2,FALSE)</f>
        <v>30</v>
      </c>
      <c r="D597" s="25">
        <f>+SUMIFS(PROVEEDORES[Total],PROVEEDORES[PROVEEDOR],PROVEEDORES[[#This Row],[PROVEEDOR]],PROVEEDORES[FECHA DE PAGO],"")</f>
        <v>0</v>
      </c>
      <c r="E597" s="25"/>
      <c r="F597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97" s="68">
        <v>44764</v>
      </c>
      <c r="H597" s="26" t="s">
        <v>967</v>
      </c>
      <c r="I597" s="68">
        <v>44754</v>
      </c>
      <c r="J597" s="35">
        <v>247</v>
      </c>
      <c r="K597" s="21">
        <v>300000</v>
      </c>
      <c r="L597" s="21"/>
      <c r="M597" s="22">
        <f>(PROVEEDORES[[#This Row],[SUBTOTAL]]-PROVEEDORES[[#This Row],[descuento sobre subtotal]])*VLOOKUP(PROVEEDORES[[#This Row],[PROVEEDOR]],TERCEROS_INFO[#All],3,FALSE)</f>
        <v>0</v>
      </c>
      <c r="N597" s="23"/>
      <c r="O597" s="22">
        <f>+PROVEEDORES[[#This Row],[Descuento sobre subtotal %]]*(PROVEEDORES[[#This Row],[SUBTOTAL]]-PROVEEDORES[[#This Row],[descuento sobre subtotal]])</f>
        <v>0</v>
      </c>
      <c r="P597" s="74">
        <f>+IF(PROVEEDORES[[#This Row],[SUBTOTAL]]&lt;PROVEEDORES[[#This Row],[base retencion]],0,PROVEEDORES[[#This Row],[retención aplicada]])</f>
        <v>0.01</v>
      </c>
      <c r="Q597" s="22">
        <f>+PROVEEDORES[[#This Row],[Rete Fuente %]]*(PROVEEDORES[[#This Row],[SUBTOTAL]]-PROVEEDORES[[#This Row],[descuento sobre subtotal]])</f>
        <v>3000</v>
      </c>
      <c r="R597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597" s="1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63">
        <f ca="1">IF(PROVEEDORES[[#This Row],[FECHA DE PAGO]]=0,TODAY()-PROVEEDORES[[#This Row],[FECHA DE FACTURACIÓN]]-PROVEEDORES[[#This Row],[PLAZO Días]],0)</f>
        <v>0</v>
      </c>
      <c r="U597" s="104" t="str">
        <f>+VLOOKUP(PROVEEDORES[[#This Row],[PROVEEDOR]],Terceros!$A:$D,4,FALSE)</f>
        <v>1% con base</v>
      </c>
      <c r="V597" s="105">
        <f>+YEAR(PROVEEDORES[[#This Row],[FECHA DE FACTURACIÓN]])</f>
        <v>2022</v>
      </c>
      <c r="W597" s="105">
        <f>+MATCH(PROVEEDORES[[#This Row],[año facturado]],Retenciones!$1:$1,0)</f>
        <v>5</v>
      </c>
      <c r="X597" s="106">
        <f>+VLOOKUP(PROVEEDORES[[#This Row],[ID RETENCION]],Retenciones!$A$1:$O$25,PROVEEDORES[[#This Row],[indicador de columna]],FALSE)</f>
        <v>152000</v>
      </c>
      <c r="Y597" s="107">
        <f>+VLOOKUP(PROVEEDORES[[#This Row],[ID RETENCION]],Retenciones!$A$1:$O$25,2,FALSE)</f>
        <v>0.01</v>
      </c>
      <c r="Z597" s="116" t="b">
        <f>OR(COUNTIF(PROVEEDORES[[#This Row],[PROVEEDOR]],"*"&amp;'Palabra no opera'!$A$2&amp;"*"))</f>
        <v>0</v>
      </c>
    </row>
    <row r="598" spans="1:26" ht="22.35" customHeight="1" x14ac:dyDescent="0.3">
      <c r="A598" s="133" t="str">
        <f>+IF(PROVEEDORES[[#This Row],[FECHA DE PAGO]]=PROVEEDORES[[#This Row],[FECHA DE FACTURACIÓN]],"DE CONTADO","CRÉDITO")</f>
        <v>CRÉDITO</v>
      </c>
      <c r="B598" s="38" t="str">
        <f>+IF((PROVEEDORES[[#This Row],[FECHA DE PAGO]]-PROVEEDORES[[#This Row],[FECHA DE FACTURACIÓN]])&gt;PROVEEDORES[[#This Row],[PLAZO Días]],"PAGO VENCIDO")</f>
        <v>PAGO VENCIDO</v>
      </c>
      <c r="C598" s="20">
        <f>+VLOOKUP(PROVEEDORES[[#This Row],[PROVEEDOR]],TERCEROS_INFO[#All],2,FALSE)</f>
        <v>30</v>
      </c>
      <c r="D598" s="25">
        <f>+SUMIFS(PROVEEDORES[Total],PROVEEDORES[PROVEEDOR],PROVEEDORES[[#This Row],[PROVEEDOR]],PROVEEDORES[FECHA DE PAGO],"")</f>
        <v>380979.69</v>
      </c>
      <c r="E598" s="25"/>
      <c r="F598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98" s="68">
        <v>44766</v>
      </c>
      <c r="H598" s="26" t="s">
        <v>615</v>
      </c>
      <c r="I598" s="68">
        <v>44705</v>
      </c>
      <c r="J598" s="35" t="s">
        <v>702</v>
      </c>
      <c r="K598" s="21">
        <v>6739831</v>
      </c>
      <c r="L598" s="21"/>
      <c r="M598" s="22">
        <f>(PROVEEDORES[[#This Row],[SUBTOTAL]]-PROVEEDORES[[#This Row],[descuento sobre subtotal]])*VLOOKUP(PROVEEDORES[[#This Row],[PROVEEDOR]],TERCEROS_INFO[#All],3,FALSE)</f>
        <v>1280567.8900000001</v>
      </c>
      <c r="N598" s="23"/>
      <c r="O598" s="22">
        <f>+PROVEEDORES[[#This Row],[Descuento sobre subtotal %]]*(PROVEEDORES[[#This Row],[SUBTOTAL]]-PROVEEDORES[[#This Row],[descuento sobre subtotal]])</f>
        <v>0</v>
      </c>
      <c r="P598" s="74">
        <f>+IF(PROVEEDORES[[#This Row],[SUBTOTAL]]&lt;PROVEEDORES[[#This Row],[base retencion]],0,PROVEEDORES[[#This Row],[retención aplicada]])</f>
        <v>0</v>
      </c>
      <c r="Q598" s="22">
        <f>+PROVEEDORES[[#This Row],[Rete Fuente %]]*(PROVEEDORES[[#This Row],[SUBTOTAL]]-PROVEEDORES[[#This Row],[descuento sobre subtotal]])</f>
        <v>0</v>
      </c>
      <c r="R598" s="21">
        <f>+PROVEEDORES[[#This Row],[SUBTOTAL]]+PROVEEDORES[[#This Row],[IVA 19%]]-PROVEEDORES[[#This Row],[descuento sobre subtotal]]-PROVEEDORES[[#This Row],[Descuento sobre subtotal $2]]-PROVEEDORES[[#This Row],[Rete Fuente $]]</f>
        <v>8020398.8900000006</v>
      </c>
      <c r="S598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63">
        <f ca="1">IF(PROVEEDORES[[#This Row],[FECHA DE PAGO]]=0,TODAY()-PROVEEDORES[[#This Row],[FECHA DE FACTURACIÓN]]-PROVEEDORES[[#This Row],[PLAZO Días]],0)</f>
        <v>0</v>
      </c>
      <c r="U598" s="104">
        <f>+VLOOKUP(PROVEEDORES[[#This Row],[PROVEEDOR]],Terceros!$A:$D,4,FALSE)</f>
        <v>0</v>
      </c>
      <c r="V598" s="105">
        <f>+YEAR(PROVEEDORES[[#This Row],[FECHA DE FACTURACIÓN]])</f>
        <v>2022</v>
      </c>
      <c r="W598" s="105">
        <f>+MATCH(PROVEEDORES[[#This Row],[año facturado]],Retenciones!$1:$1,0)</f>
        <v>5</v>
      </c>
      <c r="X598" s="106">
        <f>+VLOOKUP(PROVEEDORES[[#This Row],[ID RETENCION]],Retenciones!$A$1:$O$25,PROVEEDORES[[#This Row],[indicador de columna]],FALSE)</f>
        <v>0</v>
      </c>
      <c r="Y598" s="107">
        <f>+VLOOKUP(PROVEEDORES[[#This Row],[ID RETENCION]],Retenciones!$A$1:$O$25,2,FALSE)</f>
        <v>0</v>
      </c>
      <c r="Z598" s="116" t="b">
        <f>OR(COUNTIF(PROVEEDORES[[#This Row],[PROVEEDOR]],"*"&amp;'Palabra no opera'!$A$2&amp;"*"))</f>
        <v>1</v>
      </c>
    </row>
    <row r="599" spans="1:26" ht="22.35" customHeight="1" x14ac:dyDescent="0.3">
      <c r="A599" s="148" t="str">
        <f>+IF(PROVEEDORES[[#This Row],[FECHA DE PAGO]]=PROVEEDORES[[#This Row],[FECHA DE FACTURACIÓN]],"DE CONTADO","CRÉDITO")</f>
        <v>CRÉDITO</v>
      </c>
      <c r="B599" s="38" t="str">
        <f>+IF((PROVEEDORES[[#This Row],[FECHA DE PAGO]]-PROVEEDORES[[#This Row],[FECHA DE FACTURACIÓN]])&gt;PROVEEDORES[[#This Row],[PLAZO Días]],"PAGO VENCIDO")</f>
        <v>PAGO VENCIDO</v>
      </c>
      <c r="C599" s="20">
        <f>+VLOOKUP(PROVEEDORES[[#This Row],[PROVEEDOR]],TERCEROS_INFO[#All],2,FALSE)</f>
        <v>30</v>
      </c>
      <c r="D599" s="25">
        <f>+SUMIFS(PROVEEDORES[Total],PROVEEDORES[PROVEEDOR],PROVEEDORES[[#This Row],[PROVEEDOR]],PROVEEDORES[FECHA DE PAGO],"")</f>
        <v>0</v>
      </c>
      <c r="E599" s="25"/>
      <c r="F599" s="56" t="str">
        <f>+VLOOKUP(PROVEEDORES[[#This Row],[PROVEEDOR]],
                       Terceros!$A:$F,
                       5,
                       FALSE)</f>
        <v/>
      </c>
      <c r="G599" s="68">
        <v>44767</v>
      </c>
      <c r="H599" s="26" t="s">
        <v>401</v>
      </c>
      <c r="I599" s="68">
        <v>44735</v>
      </c>
      <c r="J599" s="35" t="s">
        <v>796</v>
      </c>
      <c r="K599" s="21">
        <v>725000</v>
      </c>
      <c r="L599" s="21"/>
      <c r="M599" s="22">
        <f>(PROVEEDORES[[#This Row],[SUBTOTAL]]-PROVEEDORES[[#This Row],[descuento sobre subtotal]])*VLOOKUP(PROVEEDORES[[#This Row],[PROVEEDOR]],TERCEROS_INFO[#All],3,FALSE)</f>
        <v>0</v>
      </c>
      <c r="N599" s="23"/>
      <c r="O599" s="22">
        <f>+PROVEEDORES[[#This Row],[Descuento sobre subtotal %]]*(PROVEEDORES[[#This Row],[SUBTOTAL]]-PROVEEDORES[[#This Row],[descuento sobre subtotal]])</f>
        <v>0</v>
      </c>
      <c r="P599" s="74">
        <f>+IF(PROVEEDORES[[#This Row],[SUBTOTAL]]&lt;PROVEEDORES[[#This Row],[base retencion]],0,PROVEEDORES[[#This Row],[retención aplicada]])</f>
        <v>0</v>
      </c>
      <c r="Q599" s="22">
        <f>+PROVEEDORES[[#This Row],[Rete Fuente %]]*(PROVEEDORES[[#This Row],[SUBTOTAL]]-PROVEEDORES[[#This Row],[descuento sobre subtotal]])</f>
        <v>0</v>
      </c>
      <c r="R599" s="21">
        <f>+PROVEEDORES[[#This Row],[SUBTOTAL]]+PROVEEDORES[[#This Row],[IVA 19%]]-PROVEEDORES[[#This Row],[descuento sobre subtotal]]-PROVEEDORES[[#This Row],[Descuento sobre subtotal $2]]-PROVEEDORES[[#This Row],[Rete Fuente $]]</f>
        <v>725000</v>
      </c>
      <c r="S59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63">
        <f ca="1">IF(PROVEEDORES[[#This Row],[FECHA DE PAGO]]=0,TODAY()-PROVEEDORES[[#This Row],[FECHA DE FACTURACIÓN]]-PROVEEDORES[[#This Row],[PLAZO Días]],0)</f>
        <v>0</v>
      </c>
      <c r="U599" s="104">
        <f>+VLOOKUP(PROVEEDORES[[#This Row],[PROVEEDOR]],Terceros!$A:$D,4,FALSE)</f>
        <v>0</v>
      </c>
      <c r="V599" s="105">
        <f>+YEAR(PROVEEDORES[[#This Row],[FECHA DE FACTURACIÓN]])</f>
        <v>2022</v>
      </c>
      <c r="W599" s="105">
        <f>+MATCH(PROVEEDORES[[#This Row],[año facturado]],Retenciones!$1:$1,0)</f>
        <v>5</v>
      </c>
      <c r="X599" s="106">
        <f>+VLOOKUP(PROVEEDORES[[#This Row],[ID RETENCION]],Retenciones!$A$1:$O$25,PROVEEDORES[[#This Row],[indicador de columna]],FALSE)</f>
        <v>0</v>
      </c>
      <c r="Y599" s="107">
        <f>+VLOOKUP(PROVEEDORES[[#This Row],[ID RETENCION]],Retenciones!$A$1:$O$25,2,FALSE)</f>
        <v>0</v>
      </c>
      <c r="Z599" s="116" t="b">
        <f>OR(COUNTIF(PROVEEDORES[[#This Row],[PROVEEDOR]],"*"&amp;'Palabra no opera'!$A$2&amp;"*"))</f>
        <v>0</v>
      </c>
    </row>
    <row r="600" spans="1:26" ht="22.35" customHeight="1" x14ac:dyDescent="0.3">
      <c r="A600" s="135" t="str">
        <f>+IF(PROVEEDORES[[#This Row],[FECHA DE PAGO]]=PROVEEDORES[[#This Row],[FECHA DE FACTURACIÓN]],"DE CONTADO","CRÉDITO")</f>
        <v>CRÉDITO</v>
      </c>
      <c r="B600" s="38" t="str">
        <f>+IF((PROVEEDORES[[#This Row],[FECHA DE PAGO]]-PROVEEDORES[[#This Row],[FECHA DE FACTURACIÓN]])&gt;PROVEEDORES[[#This Row],[PLAZO Días]],"PAGO VENCIDO")</f>
        <v>PAGO VENCIDO</v>
      </c>
      <c r="C600" s="20">
        <f>+VLOOKUP(PROVEEDORES[[#This Row],[PROVEEDOR]],TERCEROS_INFO[#All],2,FALSE)</f>
        <v>30</v>
      </c>
      <c r="D600" s="25">
        <f>+SUMIFS(PROVEEDORES[Total],PROVEEDORES[PROVEEDOR],PROVEEDORES[[#This Row],[PROVEEDOR]],PROVEEDORES[FECHA DE PAGO],"")</f>
        <v>0</v>
      </c>
      <c r="E600" s="25"/>
      <c r="F600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00" s="68">
        <v>44767</v>
      </c>
      <c r="H600" s="26" t="s">
        <v>403</v>
      </c>
      <c r="I600" s="68">
        <v>44713</v>
      </c>
      <c r="J600" s="35" t="s">
        <v>1040</v>
      </c>
      <c r="K600" s="21">
        <v>2703000</v>
      </c>
      <c r="L600" s="21"/>
      <c r="M600" s="22">
        <f>(PROVEEDORES[[#This Row],[SUBTOTAL]]-PROVEEDORES[[#This Row],[descuento sobre subtotal]])*VLOOKUP(PROVEEDORES[[#This Row],[PROVEEDOR]],TERCEROS_INFO[#All],3,FALSE)</f>
        <v>0</v>
      </c>
      <c r="N600" s="23"/>
      <c r="O600" s="22">
        <f>+PROVEEDORES[[#This Row],[Descuento sobre subtotal %]]*(PROVEEDORES[[#This Row],[SUBTOTAL]]-PROVEEDORES[[#This Row],[descuento sobre subtotal]])</f>
        <v>0</v>
      </c>
      <c r="P600" s="74">
        <f>+IF(PROVEEDORES[[#This Row],[SUBTOTAL]]&lt;PROVEEDORES[[#This Row],[base retencion]],0,PROVEEDORES[[#This Row],[retención aplicada]])</f>
        <v>0</v>
      </c>
      <c r="Q600" s="22">
        <f>+PROVEEDORES[[#This Row],[Rete Fuente %]]*(PROVEEDORES[[#This Row],[SUBTOTAL]]-PROVEEDORES[[#This Row],[descuento sobre subtotal]])</f>
        <v>0</v>
      </c>
      <c r="R600" s="21">
        <f>+PROVEEDORES[[#This Row],[SUBTOTAL]]+PROVEEDORES[[#This Row],[IVA 19%]]-PROVEEDORES[[#This Row],[descuento sobre subtotal]]-PROVEEDORES[[#This Row],[Descuento sobre subtotal $2]]-PROVEEDORES[[#This Row],[Rete Fuente $]]</f>
        <v>2703000</v>
      </c>
      <c r="S600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63">
        <f ca="1">IF(PROVEEDORES[[#This Row],[FECHA DE PAGO]]=0,TODAY()-PROVEEDORES[[#This Row],[FECHA DE FACTURACIÓN]]-PROVEEDORES[[#This Row],[PLAZO Días]],0)</f>
        <v>0</v>
      </c>
      <c r="U600" s="104">
        <f>+VLOOKUP(PROVEEDORES[[#This Row],[PROVEEDOR]],Terceros!$A:$D,4,FALSE)</f>
        <v>0</v>
      </c>
      <c r="V600" s="105">
        <f>+YEAR(PROVEEDORES[[#This Row],[FECHA DE FACTURACIÓN]])</f>
        <v>2022</v>
      </c>
      <c r="W600" s="105">
        <f>+MATCH(PROVEEDORES[[#This Row],[año facturado]],Retenciones!$1:$1,0)</f>
        <v>5</v>
      </c>
      <c r="X600" s="106">
        <f>+VLOOKUP(PROVEEDORES[[#This Row],[ID RETENCION]],Retenciones!$A$1:$O$25,PROVEEDORES[[#This Row],[indicador de columna]],FALSE)</f>
        <v>0</v>
      </c>
      <c r="Y600" s="107">
        <f>+VLOOKUP(PROVEEDORES[[#This Row],[ID RETENCION]],Retenciones!$A$1:$O$25,2,FALSE)</f>
        <v>0</v>
      </c>
      <c r="Z600" s="116" t="b">
        <f>OR(COUNTIF(PROVEEDORES[[#This Row],[PROVEEDOR]],"*"&amp;'Palabra no opera'!$A$2&amp;"*"))</f>
        <v>0</v>
      </c>
    </row>
    <row r="601" spans="1:26" ht="22.35" customHeight="1" x14ac:dyDescent="0.3">
      <c r="A601" s="161" t="str">
        <f>+IF(PROVEEDORES[[#This Row],[FECHA DE PAGO]]=PROVEEDORES[[#This Row],[FECHA DE FACTURACIÓN]],"DE CONTADO","CRÉDITO")</f>
        <v>CRÉDITO</v>
      </c>
      <c r="B601" s="38" t="str">
        <f>+IF((PROVEEDORES[[#This Row],[FECHA DE PAGO]]-PROVEEDORES[[#This Row],[FECHA DE FACTURACIÓN]])&gt;PROVEEDORES[[#This Row],[PLAZO Días]],"PAGO VENCIDO")</f>
        <v>PAGO VENCIDO</v>
      </c>
      <c r="C601" s="20">
        <v>-1</v>
      </c>
      <c r="D601" s="25">
        <f>+SUMIFS(PROVEEDORES[Total],PROVEEDORES[PROVEEDOR],PROVEEDORES[[#This Row],[PROVEEDOR]],PROVEEDORES[FECHA DE PAGO],"")</f>
        <v>0</v>
      </c>
      <c r="E601" s="25"/>
      <c r="F601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01" s="68">
        <v>44767</v>
      </c>
      <c r="H601" s="26" t="s">
        <v>403</v>
      </c>
      <c r="I601" s="68">
        <v>44754</v>
      </c>
      <c r="J601" s="35" t="s">
        <v>1048</v>
      </c>
      <c r="K601" s="21">
        <v>-1300000</v>
      </c>
      <c r="L601" s="21"/>
      <c r="M601" s="22">
        <f>(PROVEEDORES[[#This Row],[SUBTOTAL]]-PROVEEDORES[[#This Row],[descuento sobre subtotal]])*VLOOKUP(PROVEEDORES[[#This Row],[PROVEEDOR]],TERCEROS_INFO[#All],3,FALSE)</f>
        <v>0</v>
      </c>
      <c r="N601" s="23"/>
      <c r="O601" s="22">
        <f>+PROVEEDORES[[#This Row],[Descuento sobre subtotal %]]*(PROVEEDORES[[#This Row],[SUBTOTAL]]-PROVEEDORES[[#This Row],[descuento sobre subtotal]])</f>
        <v>0</v>
      </c>
      <c r="P601" s="74">
        <f>+IF(PROVEEDORES[[#This Row],[SUBTOTAL]]&lt;PROVEEDORES[[#This Row],[base retencion]],0,PROVEEDORES[[#This Row],[retención aplicada]])</f>
        <v>0</v>
      </c>
      <c r="Q601" s="22">
        <f>+PROVEEDORES[[#This Row],[Rete Fuente %]]*(PROVEEDORES[[#This Row],[SUBTOTAL]]-PROVEEDORES[[#This Row],[descuento sobre subtotal]])</f>
        <v>0</v>
      </c>
      <c r="R601" s="21">
        <v>0</v>
      </c>
      <c r="S601" s="1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63">
        <f ca="1">IF(PROVEEDORES[[#This Row],[FECHA DE PAGO]]=0,TODAY()-PROVEEDORES[[#This Row],[FECHA DE FACTURACIÓN]]-PROVEEDORES[[#This Row],[PLAZO Días]],0)</f>
        <v>0</v>
      </c>
      <c r="U601" s="104">
        <f>+VLOOKUP(PROVEEDORES[[#This Row],[PROVEEDOR]],Terceros!$A:$D,4,FALSE)</f>
        <v>0</v>
      </c>
      <c r="V601" s="105">
        <f>+YEAR(PROVEEDORES[[#This Row],[FECHA DE FACTURACIÓN]])</f>
        <v>2022</v>
      </c>
      <c r="W601" s="105">
        <f>+MATCH(PROVEEDORES[[#This Row],[año facturado]],Retenciones!$1:$1,0)</f>
        <v>5</v>
      </c>
      <c r="X601" s="106">
        <f>+VLOOKUP(PROVEEDORES[[#This Row],[ID RETENCION]],Retenciones!$A$1:$O$25,PROVEEDORES[[#This Row],[indicador de columna]],FALSE)</f>
        <v>0</v>
      </c>
      <c r="Y601" s="107">
        <f>+VLOOKUP(PROVEEDORES[[#This Row],[ID RETENCION]],Retenciones!$A$1:$O$25,2,FALSE)</f>
        <v>0</v>
      </c>
      <c r="Z601" s="116" t="b">
        <f>OR(COUNTIF(PROVEEDORES[[#This Row],[PROVEEDOR]],"*"&amp;'Palabra no opera'!$A$2&amp;"*"))</f>
        <v>0</v>
      </c>
    </row>
    <row r="602" spans="1:26" ht="22.35" customHeight="1" x14ac:dyDescent="0.3">
      <c r="A602" s="165" t="str">
        <f>+IF(PROVEEDORES[[#This Row],[FECHA DE PAGO]]=PROVEEDORES[[#This Row],[FECHA DE FACTURACIÓN]],"DE CONTADO","CRÉDITO")</f>
        <v>DE CONTADO</v>
      </c>
      <c r="B602" s="38" t="b">
        <f>+IF((PROVEEDORES[[#This Row],[FECHA DE PAGO]]-PROVEEDORES[[#This Row],[FECHA DE FACTURACIÓN]])&gt;PROVEEDORES[[#This Row],[PLAZO Días]],"PAGO VENCIDO")</f>
        <v>0</v>
      </c>
      <c r="C602" s="20">
        <f>+VLOOKUP(PROVEEDORES[[#This Row],[PROVEEDOR]],TERCEROS_INFO[#All],2,FALSE)</f>
        <v>30</v>
      </c>
      <c r="D602" s="25">
        <f>+SUMIFS(PROVEEDORES[Total],PROVEEDORES[PROVEEDOR],PROVEEDORES[[#This Row],[PROVEEDOR]],PROVEEDORES[FECHA DE PAGO],"")</f>
        <v>0</v>
      </c>
      <c r="E602" s="25"/>
      <c r="F602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02" s="68">
        <v>44767</v>
      </c>
      <c r="H602" s="26" t="s">
        <v>403</v>
      </c>
      <c r="I602" s="68">
        <v>44767</v>
      </c>
      <c r="J602" s="35" t="s">
        <v>1048</v>
      </c>
      <c r="K602" s="21">
        <v>-1403000</v>
      </c>
      <c r="L602" s="21"/>
      <c r="M602" s="22">
        <f>(PROVEEDORES[[#This Row],[SUBTOTAL]]-PROVEEDORES[[#This Row],[descuento sobre subtotal]])*VLOOKUP(PROVEEDORES[[#This Row],[PROVEEDOR]],TERCEROS_INFO[#All],3,FALSE)</f>
        <v>0</v>
      </c>
      <c r="N602" s="23"/>
      <c r="O602" s="22">
        <f>+PROVEEDORES[[#This Row],[Descuento sobre subtotal %]]*(PROVEEDORES[[#This Row],[SUBTOTAL]]-PROVEEDORES[[#This Row],[descuento sobre subtotal]])</f>
        <v>0</v>
      </c>
      <c r="P602" s="74">
        <f>+IF(PROVEEDORES[[#This Row],[SUBTOTAL]]&lt;PROVEEDORES[[#This Row],[base retencion]],0,PROVEEDORES[[#This Row],[retención aplicada]])</f>
        <v>0</v>
      </c>
      <c r="Q602" s="22">
        <f>+PROVEEDORES[[#This Row],[Rete Fuente %]]*(PROVEEDORES[[#This Row],[SUBTOTAL]]-PROVEEDORES[[#This Row],[descuento sobre subtotal]])</f>
        <v>0</v>
      </c>
      <c r="R602" s="21">
        <v>0</v>
      </c>
      <c r="S602" s="1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63">
        <f ca="1">IF(PROVEEDORES[[#This Row],[FECHA DE PAGO]]=0,TODAY()-PROVEEDORES[[#This Row],[FECHA DE FACTURACIÓN]]-PROVEEDORES[[#This Row],[PLAZO Días]],0)</f>
        <v>0</v>
      </c>
      <c r="U602" s="104">
        <f>+VLOOKUP(PROVEEDORES[[#This Row],[PROVEEDOR]],Terceros!$A:$D,4,FALSE)</f>
        <v>0</v>
      </c>
      <c r="V602" s="105">
        <f>+YEAR(PROVEEDORES[[#This Row],[FECHA DE FACTURACIÓN]])</f>
        <v>2022</v>
      </c>
      <c r="W602" s="105">
        <f>+MATCH(PROVEEDORES[[#This Row],[año facturado]],Retenciones!$1:$1,0)</f>
        <v>5</v>
      </c>
      <c r="X602" s="106">
        <f>+VLOOKUP(PROVEEDORES[[#This Row],[ID RETENCION]],Retenciones!$A$1:$O$25,PROVEEDORES[[#This Row],[indicador de columna]],FALSE)</f>
        <v>0</v>
      </c>
      <c r="Y602" s="107">
        <f>+VLOOKUP(PROVEEDORES[[#This Row],[ID RETENCION]],Retenciones!$A$1:$O$25,2,FALSE)</f>
        <v>0</v>
      </c>
      <c r="Z602" s="116" t="b">
        <f>OR(COUNTIF(PROVEEDORES[[#This Row],[PROVEEDOR]],"*"&amp;'Palabra no opera'!$A$2&amp;"*"))</f>
        <v>0</v>
      </c>
    </row>
    <row r="603" spans="1:26" ht="22.35" customHeight="1" x14ac:dyDescent="0.3">
      <c r="A603" s="165" t="str">
        <f>+IF(PROVEEDORES[[#This Row],[FECHA DE PAGO]]=PROVEEDORES[[#This Row],[FECHA DE FACTURACIÓN]],"DE CONTADO","CRÉDITO")</f>
        <v>CRÉDITO</v>
      </c>
      <c r="B603" s="38" t="str">
        <f>+IF((PROVEEDORES[[#This Row],[FECHA DE PAGO]]-PROVEEDORES[[#This Row],[FECHA DE FACTURACIÓN]])&gt;PROVEEDORES[[#This Row],[PLAZO Días]],"PAGO VENCIDO")</f>
        <v>PAGO VENCIDO</v>
      </c>
      <c r="C603" s="20">
        <f>+VLOOKUP(PROVEEDORES[[#This Row],[PROVEEDOR]],TERCEROS_INFO[#All],2,FALSE)</f>
        <v>0</v>
      </c>
      <c r="D603" s="25">
        <f>+SUMIFS(PROVEEDORES[Total],PROVEEDORES[PROVEEDOR],PROVEEDORES[[#This Row],[PROVEEDOR]],PROVEEDORES[FECHA DE PAGO],"")</f>
        <v>0</v>
      </c>
      <c r="E603" s="25"/>
      <c r="F603" s="56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603" s="68">
        <v>44768</v>
      </c>
      <c r="H603" s="26" t="s">
        <v>835</v>
      </c>
      <c r="I603" s="68">
        <v>44764</v>
      </c>
      <c r="J603" s="35" t="s">
        <v>916</v>
      </c>
      <c r="K603" s="21">
        <v>1000000</v>
      </c>
      <c r="L603" s="21"/>
      <c r="M603" s="22">
        <v>0</v>
      </c>
      <c r="N603" s="23"/>
      <c r="O603" s="22">
        <f>+PROVEEDORES[[#This Row],[Descuento sobre subtotal %]]*(PROVEEDORES[[#This Row],[SUBTOTAL]]-PROVEEDORES[[#This Row],[descuento sobre subtotal]])</f>
        <v>0</v>
      </c>
      <c r="P603" s="74">
        <f>+IF(PROVEEDORES[[#This Row],[SUBTOTAL]]&lt;PROVEEDORES[[#This Row],[base retencion]],0,PROVEEDORES[[#This Row],[retención aplicada]])</f>
        <v>0</v>
      </c>
      <c r="Q603" s="22">
        <f>+PROVEEDORES[[#This Row],[Rete Fuente %]]*(PROVEEDORES[[#This Row],[SUBTOTAL]]-PROVEEDORES[[#This Row],[descuento sobre subtotal]])</f>
        <v>0</v>
      </c>
      <c r="R60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603" s="1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63">
        <f ca="1">IF(PROVEEDORES[[#This Row],[FECHA DE PAGO]]=0,TODAY()-PROVEEDORES[[#This Row],[FECHA DE FACTURACIÓN]]-PROVEEDORES[[#This Row],[PLAZO Días]],0)</f>
        <v>0</v>
      </c>
      <c r="U603" s="104">
        <f>+VLOOKUP(PROVEEDORES[[#This Row],[PROVEEDOR]],Terceros!$A:$D,4,FALSE)</f>
        <v>0</v>
      </c>
      <c r="V603" s="105">
        <f>+YEAR(PROVEEDORES[[#This Row],[FECHA DE FACTURACIÓN]])</f>
        <v>2022</v>
      </c>
      <c r="W603" s="105">
        <f>+MATCH(PROVEEDORES[[#This Row],[año facturado]],Retenciones!$1:$1,0)</f>
        <v>5</v>
      </c>
      <c r="X603" s="106">
        <f>+VLOOKUP(PROVEEDORES[[#This Row],[ID RETENCION]],Retenciones!$A$1:$O$25,PROVEEDORES[[#This Row],[indicador de columna]],FALSE)</f>
        <v>0</v>
      </c>
      <c r="Y603" s="107">
        <f>+VLOOKUP(PROVEEDORES[[#This Row],[ID RETENCION]],Retenciones!$A$1:$O$25,2,FALSE)</f>
        <v>0</v>
      </c>
      <c r="Z603" s="116" t="b">
        <f>OR(COUNTIF(PROVEEDORES[[#This Row],[PROVEEDOR]],"*"&amp;'Palabra no opera'!$A$2&amp;"*"))</f>
        <v>1</v>
      </c>
    </row>
    <row r="604" spans="1:26" ht="22.35" customHeight="1" x14ac:dyDescent="0.3">
      <c r="A604" s="163" t="str">
        <f>+IF(PROVEEDORES[[#This Row],[FECHA DE PAGO]]=PROVEEDORES[[#This Row],[FECHA DE FACTURACIÓN]],"DE CONTADO","CRÉDITO")</f>
        <v>CRÉDITO</v>
      </c>
      <c r="B604" s="38" t="b">
        <f>+IF((PROVEEDORES[[#This Row],[FECHA DE PAGO]]-PROVEEDORES[[#This Row],[FECHA DE FACTURACIÓN]])&gt;PROVEEDORES[[#This Row],[PLAZO Días]],"PAGO VENCIDO")</f>
        <v>0</v>
      </c>
      <c r="C604" s="20">
        <f>+VLOOKUP(PROVEEDORES[[#This Row],[PROVEEDOR]],TERCEROS_INFO[#All],2,FALSE)</f>
        <v>30</v>
      </c>
      <c r="D604" s="25">
        <f>+SUMIFS(PROVEEDORES[Total],PROVEEDORES[PROVEEDOR],PROVEEDORES[[#This Row],[PROVEEDOR]],PROVEEDORES[FECHA DE PAGO],"")</f>
        <v>0</v>
      </c>
      <c r="E604" s="25"/>
      <c r="F604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604" s="68">
        <v>44768</v>
      </c>
      <c r="H604" s="26" t="s">
        <v>635</v>
      </c>
      <c r="I604" s="68">
        <v>44743</v>
      </c>
      <c r="J604" s="35">
        <v>3724</v>
      </c>
      <c r="K604" s="21">
        <v>3002200</v>
      </c>
      <c r="L604" s="21"/>
      <c r="M604" s="22">
        <f>(PROVEEDORES[[#This Row],[SUBTOTAL]]-PROVEEDORES[[#This Row],[descuento sobre subtotal]])*VLOOKUP(PROVEEDORES[[#This Row],[PROVEEDOR]],TERCEROS_INFO[#All],3,FALSE)</f>
        <v>0</v>
      </c>
      <c r="N604" s="23"/>
      <c r="O604" s="22">
        <f>+PROVEEDORES[[#This Row],[Descuento sobre subtotal %]]*(PROVEEDORES[[#This Row],[SUBTOTAL]]-PROVEEDORES[[#This Row],[descuento sobre subtotal]])</f>
        <v>0</v>
      </c>
      <c r="P604" s="74">
        <f>+IF(PROVEEDORES[[#This Row],[SUBTOTAL]]&lt;PROVEEDORES[[#This Row],[base retencion]],0,PROVEEDORES[[#This Row],[retención aplicada]])</f>
        <v>3.5000000000000003E-2</v>
      </c>
      <c r="Q604" s="22">
        <f>+PROVEEDORES[[#This Row],[Rete Fuente %]]*(PROVEEDORES[[#This Row],[SUBTOTAL]]-PROVEEDORES[[#This Row],[descuento sobre subtotal]])</f>
        <v>105077.00000000001</v>
      </c>
      <c r="R60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604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63">
        <f ca="1">IF(PROVEEDORES[[#This Row],[FECHA DE PAGO]]=0,TODAY()-PROVEEDORES[[#This Row],[FECHA DE FACTURACIÓN]]-PROVEEDORES[[#This Row],[PLAZO Días]],0)</f>
        <v>0</v>
      </c>
      <c r="U604" s="104" t="str">
        <f>+VLOOKUP(PROVEEDORES[[#This Row],[PROVEEDOR]],Terceros!$A:$D,4,FALSE)</f>
        <v>3,5% sin base</v>
      </c>
      <c r="V604" s="105">
        <f>+YEAR(PROVEEDORES[[#This Row],[FECHA DE FACTURACIÓN]])</f>
        <v>2022</v>
      </c>
      <c r="W604" s="105">
        <f>+MATCH(PROVEEDORES[[#This Row],[año facturado]],Retenciones!$1:$1,0)</f>
        <v>5</v>
      </c>
      <c r="X604" s="106">
        <f>+VLOOKUP(PROVEEDORES[[#This Row],[ID RETENCION]],Retenciones!$A$1:$O$25,PROVEEDORES[[#This Row],[indicador de columna]],FALSE)</f>
        <v>0</v>
      </c>
      <c r="Y604" s="107">
        <f>+VLOOKUP(PROVEEDORES[[#This Row],[ID RETENCION]],Retenciones!$A$1:$O$25,2,FALSE)</f>
        <v>3.5000000000000003E-2</v>
      </c>
      <c r="Z604" s="116" t="b">
        <f>OR(COUNTIF(PROVEEDORES[[#This Row],[PROVEEDOR]],"*"&amp;'Palabra no opera'!$A$2&amp;"*"))</f>
        <v>1</v>
      </c>
    </row>
    <row r="605" spans="1:26" ht="22.35" customHeight="1" x14ac:dyDescent="0.3">
      <c r="A605" s="148" t="str">
        <f>+IF(PROVEEDORES[[#This Row],[FECHA DE PAGO]]=PROVEEDORES[[#This Row],[FECHA DE FACTURACIÓN]],"DE CONTADO","CRÉDITO")</f>
        <v>CRÉDITO</v>
      </c>
      <c r="B605" s="38" t="b">
        <f>+IF((PROVEEDORES[[#This Row],[FECHA DE PAGO]]-PROVEEDORES[[#This Row],[FECHA DE FACTURACIÓN]])&gt;PROVEEDORES[[#This Row],[PLAZO Días]],"PAGO VENCIDO")</f>
        <v>0</v>
      </c>
      <c r="C605" s="20">
        <f>+VLOOKUP(PROVEEDORES[[#This Row],[PROVEEDOR]],TERCEROS_INFO[#All],2,FALSE)</f>
        <v>30</v>
      </c>
      <c r="D605" s="25">
        <f>+SUMIFS(PROVEEDORES[Total],PROVEEDORES[PROVEEDOR],PROVEEDORES[[#This Row],[PROVEEDOR]],PROVEEDORES[FECHA DE PAGO],"")</f>
        <v>0</v>
      </c>
      <c r="E605" s="25"/>
      <c r="F605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605" s="68">
        <v>44768</v>
      </c>
      <c r="H605" s="26" t="s">
        <v>638</v>
      </c>
      <c r="I605" s="68">
        <v>44743</v>
      </c>
      <c r="J605" s="35" t="s">
        <v>788</v>
      </c>
      <c r="K605" s="21">
        <v>3963422</v>
      </c>
      <c r="L605" s="21"/>
      <c r="M605" s="22">
        <f>(PROVEEDORES[[#This Row],[SUBTOTAL]]-PROVEEDORES[[#This Row],[descuento sobre subtotal]])*VLOOKUP(PROVEEDORES[[#This Row],[PROVEEDOR]],TERCEROS_INFO[#All],3,FALSE)</f>
        <v>753050.18</v>
      </c>
      <c r="N605" s="23"/>
      <c r="O605" s="22">
        <f>+PROVEEDORES[[#This Row],[Descuento sobre subtotal %]]*(PROVEEDORES[[#This Row],[SUBTOTAL]]-PROVEEDORES[[#This Row],[descuento sobre subtotal]])</f>
        <v>0</v>
      </c>
      <c r="P605" s="74">
        <f>+IF(PROVEEDORES[[#This Row],[SUBTOTAL]]&lt;PROVEEDORES[[#This Row],[base retencion]],0,PROVEEDORES[[#This Row],[retención aplicada]])</f>
        <v>3.5000000000000003E-2</v>
      </c>
      <c r="Q605" s="22">
        <f>+PROVEEDORES[[#This Row],[Rete Fuente %]]*(PROVEEDORES[[#This Row],[SUBTOTAL]]-PROVEEDORES[[#This Row],[descuento sobre subtotal]])</f>
        <v>138719.77000000002</v>
      </c>
      <c r="R605" s="21">
        <f>+PROVEEDORES[[#This Row],[SUBTOTAL]]+PROVEEDORES[[#This Row],[IVA 19%]]-PROVEEDORES[[#This Row],[descuento sobre subtotal]]-PROVEEDORES[[#This Row],[Descuento sobre subtotal $2]]-PROVEEDORES[[#This Row],[Rete Fuente $]]</f>
        <v>4577752.41</v>
      </c>
      <c r="S60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63">
        <f ca="1">IF(PROVEEDORES[[#This Row],[FECHA DE PAGO]]=0,TODAY()-PROVEEDORES[[#This Row],[FECHA DE FACTURACIÓN]]-PROVEEDORES[[#This Row],[PLAZO Días]],0)</f>
        <v>0</v>
      </c>
      <c r="U605" s="104" t="str">
        <f>+VLOOKUP(PROVEEDORES[[#This Row],[PROVEEDOR]],Terceros!$A:$D,4,FALSE)</f>
        <v>3,5% sin base</v>
      </c>
      <c r="V605" s="105">
        <f>+YEAR(PROVEEDORES[[#This Row],[FECHA DE FACTURACIÓN]])</f>
        <v>2022</v>
      </c>
      <c r="W605" s="105">
        <f>+MATCH(PROVEEDORES[[#This Row],[año facturado]],Retenciones!$1:$1,0)</f>
        <v>5</v>
      </c>
      <c r="X605" s="106">
        <f>+VLOOKUP(PROVEEDORES[[#This Row],[ID RETENCION]],Retenciones!$A$1:$O$25,PROVEEDORES[[#This Row],[indicador de columna]],FALSE)</f>
        <v>0</v>
      </c>
      <c r="Y605" s="107">
        <f>+VLOOKUP(PROVEEDORES[[#This Row],[ID RETENCION]],Retenciones!$A$1:$O$25,2,FALSE)</f>
        <v>3.5000000000000003E-2</v>
      </c>
      <c r="Z605" s="116" t="b">
        <f>OR(COUNTIF(PROVEEDORES[[#This Row],[PROVEEDOR]],"*"&amp;'Palabra no opera'!$A$2&amp;"*"))</f>
        <v>1</v>
      </c>
    </row>
    <row r="606" spans="1:26" ht="22.35" customHeight="1" x14ac:dyDescent="0.3">
      <c r="A606" s="165" t="str">
        <f>+IF(PROVEEDORES[[#This Row],[FECHA DE PAGO]]=PROVEEDORES[[#This Row],[FECHA DE FACTURACIÓN]],"DE CONTADO","CRÉDITO")</f>
        <v>CRÉDITO</v>
      </c>
      <c r="B606" s="38" t="b">
        <f>+IF((PROVEEDORES[[#This Row],[FECHA DE PAGO]]-PROVEEDORES[[#This Row],[FECHA DE FACTURACIÓN]])&gt;PROVEEDORES[[#This Row],[PLAZO Días]],"PAGO VENCIDO")</f>
        <v>0</v>
      </c>
      <c r="C606" s="20">
        <f>+VLOOKUP(PROVEEDORES[[#This Row],[PROVEEDOR]],TERCEROS_INFO[#All],2,FALSE)</f>
        <v>30</v>
      </c>
      <c r="D606" s="25">
        <f>+SUMIFS(PROVEEDORES[Total],PROVEEDORES[PROVEEDOR],PROVEEDORES[[#This Row],[PROVEEDOR]],PROVEEDORES[FECHA DE PAGO],"")</f>
        <v>0</v>
      </c>
      <c r="E606" s="25"/>
      <c r="F606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606" s="68">
        <v>44768</v>
      </c>
      <c r="H606" s="26" t="s">
        <v>638</v>
      </c>
      <c r="I606" s="68">
        <v>44763</v>
      </c>
      <c r="J606" s="35" t="s">
        <v>839</v>
      </c>
      <c r="K606" s="21">
        <v>-2162</v>
      </c>
      <c r="L606" s="21"/>
      <c r="M606" s="22">
        <f>(PROVEEDORES[[#This Row],[SUBTOTAL]]-PROVEEDORES[[#This Row],[descuento sobre subtotal]])*VLOOKUP(PROVEEDORES[[#This Row],[PROVEEDOR]],TERCEROS_INFO[#All],3,FALSE)</f>
        <v>-410.78000000000003</v>
      </c>
      <c r="N606" s="23"/>
      <c r="O606" s="22">
        <f>+PROVEEDORES[[#This Row],[Descuento sobre subtotal %]]*(PROVEEDORES[[#This Row],[SUBTOTAL]]-PROVEEDORES[[#This Row],[descuento sobre subtotal]])</f>
        <v>0</v>
      </c>
      <c r="P606" s="74">
        <f>+IF(PROVEEDORES[[#This Row],[SUBTOTAL]]&lt;PROVEEDORES[[#This Row],[base retencion]],0,PROVEEDORES[[#This Row],[retención aplicada]])</f>
        <v>0</v>
      </c>
      <c r="Q606" s="22">
        <f>+PROVEEDORES[[#This Row],[Rete Fuente %]]*(PROVEEDORES[[#This Row],[SUBTOTAL]]-PROVEEDORES[[#This Row],[descuento sobre subtotal]])</f>
        <v>0</v>
      </c>
      <c r="R606" s="21">
        <f>+PROVEEDORES[[#This Row],[SUBTOTAL]]+PROVEEDORES[[#This Row],[IVA 19%]]-PROVEEDORES[[#This Row],[descuento sobre subtotal]]-PROVEEDORES[[#This Row],[Descuento sobre subtotal $2]]-PROVEEDORES[[#This Row],[Rete Fuente $]]</f>
        <v>-2572.7800000000002</v>
      </c>
      <c r="S606" s="1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63">
        <f ca="1">IF(PROVEEDORES[[#This Row],[FECHA DE PAGO]]=0,TODAY()-PROVEEDORES[[#This Row],[FECHA DE FACTURACIÓN]]-PROVEEDORES[[#This Row],[PLAZO Días]],0)</f>
        <v>0</v>
      </c>
      <c r="U606" s="104" t="str">
        <f>+VLOOKUP(PROVEEDORES[[#This Row],[PROVEEDOR]],Terceros!$A:$D,4,FALSE)</f>
        <v>3,5% sin base</v>
      </c>
      <c r="V606" s="105">
        <f>+YEAR(PROVEEDORES[[#This Row],[FECHA DE FACTURACIÓN]])</f>
        <v>2022</v>
      </c>
      <c r="W606" s="105">
        <f>+MATCH(PROVEEDORES[[#This Row],[año facturado]],Retenciones!$1:$1,0)</f>
        <v>5</v>
      </c>
      <c r="X606" s="106">
        <f>+VLOOKUP(PROVEEDORES[[#This Row],[ID RETENCION]],Retenciones!$A$1:$O$25,PROVEEDORES[[#This Row],[indicador de columna]],FALSE)</f>
        <v>0</v>
      </c>
      <c r="Y606" s="107">
        <f>+VLOOKUP(PROVEEDORES[[#This Row],[ID RETENCION]],Retenciones!$A$1:$O$25,2,FALSE)</f>
        <v>3.5000000000000003E-2</v>
      </c>
      <c r="Z606" s="116" t="b">
        <f>OR(COUNTIF(PROVEEDORES[[#This Row],[PROVEEDOR]],"*"&amp;'Palabra no opera'!$A$2&amp;"*"))</f>
        <v>1</v>
      </c>
    </row>
    <row r="607" spans="1:26" ht="22.35" customHeight="1" x14ac:dyDescent="0.3">
      <c r="A607" s="148" t="str">
        <f>+IF(PROVEEDORES[[#This Row],[FECHA DE PAGO]]=PROVEEDORES[[#This Row],[FECHA DE FACTURACIÓN]],"DE CONTADO","CRÉDITO")</f>
        <v>CRÉDITO</v>
      </c>
      <c r="B607" s="38" t="str">
        <f>+IF((PROVEEDORES[[#This Row],[FECHA DE PAGO]]-PROVEEDORES[[#This Row],[FECHA DE FACTURACIÓN]])&gt;PROVEEDORES[[#This Row],[PLAZO Días]],"PAGO VENCIDO")</f>
        <v>PAGO VENCIDO</v>
      </c>
      <c r="C607" s="20">
        <f>+VLOOKUP(PROVEEDORES[[#This Row],[PROVEEDOR]],TERCEROS_INFO[#All],2,FALSE)</f>
        <v>20</v>
      </c>
      <c r="D607" s="25">
        <f>+SUMIFS(PROVEEDORES[Total],PROVEEDORES[PROVEEDOR],PROVEEDORES[[#This Row],[PROVEEDOR]],PROVEEDORES[FECHA DE PAGO],"")</f>
        <v>0</v>
      </c>
      <c r="E607" s="25"/>
      <c r="F607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607" s="68">
        <v>44768</v>
      </c>
      <c r="H607" s="26" t="s">
        <v>652</v>
      </c>
      <c r="I607" s="68">
        <v>44743</v>
      </c>
      <c r="J607" s="35">
        <v>43701</v>
      </c>
      <c r="K607" s="21">
        <v>4730000</v>
      </c>
      <c r="L607" s="21"/>
      <c r="M607" s="22">
        <f>(PROVEEDORES[[#This Row],[SUBTOTAL]]-PROVEEDORES[[#This Row],[descuento sobre subtotal]])*VLOOKUP(PROVEEDORES[[#This Row],[PROVEEDOR]],TERCEROS_INFO[#All],3,FALSE)</f>
        <v>898700</v>
      </c>
      <c r="N607" s="23"/>
      <c r="O607" s="22">
        <f>+PROVEEDORES[[#This Row],[Descuento sobre subtotal %]]*(PROVEEDORES[[#This Row],[SUBTOTAL]]-PROVEEDORES[[#This Row],[descuento sobre subtotal]])</f>
        <v>0</v>
      </c>
      <c r="P607" s="74">
        <f>+IF(PROVEEDORES[[#This Row],[SUBTOTAL]]&lt;PROVEEDORES[[#This Row],[base retencion]],0,PROVEEDORES[[#This Row],[retención aplicada]])</f>
        <v>3.5000000000000003E-2</v>
      </c>
      <c r="Q607" s="22">
        <f>+PROVEEDORES[[#This Row],[Rete Fuente %]]*(PROVEEDORES[[#This Row],[SUBTOTAL]]-PROVEEDORES[[#This Row],[descuento sobre subtotal]])</f>
        <v>165550.00000000003</v>
      </c>
      <c r="R607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607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63">
        <f ca="1">IF(PROVEEDORES[[#This Row],[FECHA DE PAGO]]=0,TODAY()-PROVEEDORES[[#This Row],[FECHA DE FACTURACIÓN]]-PROVEEDORES[[#This Row],[PLAZO Días]],0)</f>
        <v>0</v>
      </c>
      <c r="U607" s="104" t="str">
        <f>+VLOOKUP(PROVEEDORES[[#This Row],[PROVEEDOR]],Terceros!$A:$D,4,FALSE)</f>
        <v>3,5% sin base</v>
      </c>
      <c r="V607" s="105">
        <f>+YEAR(PROVEEDORES[[#This Row],[FECHA DE FACTURACIÓN]])</f>
        <v>2022</v>
      </c>
      <c r="W607" s="105">
        <f>+MATCH(PROVEEDORES[[#This Row],[año facturado]],Retenciones!$1:$1,0)</f>
        <v>5</v>
      </c>
      <c r="X607" s="106">
        <f>+VLOOKUP(PROVEEDORES[[#This Row],[ID RETENCION]],Retenciones!$A$1:$O$25,PROVEEDORES[[#This Row],[indicador de columna]],FALSE)</f>
        <v>0</v>
      </c>
      <c r="Y607" s="107">
        <f>+VLOOKUP(PROVEEDORES[[#This Row],[ID RETENCION]],Retenciones!$A$1:$O$25,2,FALSE)</f>
        <v>3.5000000000000003E-2</v>
      </c>
      <c r="Z607" s="116" t="b">
        <f>OR(COUNTIF(PROVEEDORES[[#This Row],[PROVEEDOR]],"*"&amp;'Palabra no opera'!$A$2&amp;"*"))</f>
        <v>1</v>
      </c>
    </row>
    <row r="608" spans="1:26" ht="22.35" customHeight="1" x14ac:dyDescent="0.3">
      <c r="A608" s="67" t="str">
        <f>+IF(PROVEEDORES[[#This Row],[FECHA DE PAGO]]=PROVEEDORES[[#This Row],[FECHA DE FACTURACIÓN]],"DE CONTADO","CRÉDITO")</f>
        <v>CRÉDITO</v>
      </c>
      <c r="B608" s="38" t="b">
        <f>+IF((PROVEEDORES[[#This Row],[FECHA DE PAGO]]-PROVEEDORES[[#This Row],[FECHA DE FACTURACIÓN]])&gt;PROVEEDORES[[#This Row],[PLAZO Días]],"PAGO VENCIDO")</f>
        <v>0</v>
      </c>
      <c r="C608" s="20">
        <f>+VLOOKUP(PROVEEDORES[[#This Row],[PROVEEDOR]],TERCEROS_INFO[#All],2,FALSE)</f>
        <v>30</v>
      </c>
      <c r="D608" s="25">
        <f>+SUMIFS(PROVEEDORES[Total],PROVEEDORES[PROVEEDOR],PROVEEDORES[[#This Row],[PROVEEDOR]],PROVEEDORES[FECHA DE PAGO],"")</f>
        <v>0</v>
      </c>
      <c r="E608" s="25"/>
      <c r="F608" s="56" t="str">
        <f>+VLOOKUP(PROVEEDORES[[#This Row],[PROVEEDOR]],
                       Terceros!$A:$F,
                       5,
                       FALSE)</f>
        <v/>
      </c>
      <c r="G608" s="68">
        <v>44769</v>
      </c>
      <c r="H608" s="26" t="s">
        <v>55</v>
      </c>
      <c r="I608" s="68">
        <v>44768</v>
      </c>
      <c r="J608" s="35">
        <v>57126</v>
      </c>
      <c r="K608" s="21">
        <v>9000</v>
      </c>
      <c r="L608" s="21"/>
      <c r="M608" s="22">
        <f>(PROVEEDORES[[#This Row],[SUBTOTAL]]-PROVEEDORES[[#This Row],[descuento sobre subtotal]])*VLOOKUP(PROVEEDORES[[#This Row],[PROVEEDOR]],TERCEROS_INFO[#All],3,FALSE)</f>
        <v>0</v>
      </c>
      <c r="N608" s="23"/>
      <c r="O608" s="22">
        <f>+PROVEEDORES[[#This Row],[Descuento sobre subtotal %]]*(PROVEEDORES[[#This Row],[SUBTOTAL]]-PROVEEDORES[[#This Row],[descuento sobre subtotal]])</f>
        <v>0</v>
      </c>
      <c r="P608" s="74">
        <f>+IF(PROVEEDORES[[#This Row],[SUBTOTAL]]&lt;PROVEEDORES[[#This Row],[base retencion]],0,PROVEEDORES[[#This Row],[retención aplicada]])</f>
        <v>0</v>
      </c>
      <c r="Q608" s="22">
        <f>+PROVEEDORES[[#This Row],[Rete Fuente %]]*(PROVEEDORES[[#This Row],[SUBTOTAL]]-PROVEEDORES[[#This Row],[descuento sobre subtotal]])</f>
        <v>0</v>
      </c>
      <c r="R608" s="21">
        <f>+PROVEEDORES[[#This Row],[SUBTOTAL]]+PROVEEDORES[[#This Row],[IVA 19%]]-PROVEEDORES[[#This Row],[descuento sobre subtotal]]-PROVEEDORES[[#This Row],[Descuento sobre subtotal $2]]-PROVEEDORES[[#This Row],[Rete Fuente $]]</f>
        <v>9000</v>
      </c>
      <c r="S6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63">
        <f ca="1">IF(PROVEEDORES[[#This Row],[FECHA DE PAGO]]=0,TODAY()-PROVEEDORES[[#This Row],[FECHA DE FACTURACIÓN]]-PROVEEDORES[[#This Row],[PLAZO Días]],0)</f>
        <v>0</v>
      </c>
      <c r="U608" s="104">
        <f>+VLOOKUP(PROVEEDORES[[#This Row],[PROVEEDOR]],Terceros!$A:$D,4,FALSE)</f>
        <v>0</v>
      </c>
      <c r="V608" s="105">
        <f>+YEAR(PROVEEDORES[[#This Row],[FECHA DE FACTURACIÓN]])</f>
        <v>2022</v>
      </c>
      <c r="W608" s="105">
        <f>+MATCH(PROVEEDORES[[#This Row],[año facturado]],Retenciones!$1:$1,0)</f>
        <v>5</v>
      </c>
      <c r="X608" s="106">
        <f>+VLOOKUP(PROVEEDORES[[#This Row],[ID RETENCION]],Retenciones!$A$1:$O$25,PROVEEDORES[[#This Row],[indicador de columna]],FALSE)</f>
        <v>0</v>
      </c>
      <c r="Y608" s="107">
        <f>+VLOOKUP(PROVEEDORES[[#This Row],[ID RETENCION]],Retenciones!$A$1:$O$25,2,FALSE)</f>
        <v>0</v>
      </c>
      <c r="Z608" s="116" t="b">
        <f>OR(COUNTIF(PROVEEDORES[[#This Row],[PROVEEDOR]],"*"&amp;'Palabra no opera'!$A$2&amp;"*"))</f>
        <v>0</v>
      </c>
    </row>
    <row r="609" spans="1:26" ht="22.35" customHeight="1" x14ac:dyDescent="0.3">
      <c r="A609" s="67" t="str">
        <f>+IF(PROVEEDORES[[#This Row],[FECHA DE PAGO]]=PROVEEDORES[[#This Row],[FECHA DE FACTURACIÓN]],"DE CONTADO","CRÉDITO")</f>
        <v>CRÉDITO</v>
      </c>
      <c r="B609" s="38" t="b">
        <f>+IF((PROVEEDORES[[#This Row],[FECHA DE PAGO]]-PROVEEDORES[[#This Row],[FECHA DE FACTURACIÓN]])&gt;PROVEEDORES[[#This Row],[PLAZO Días]],"PAGO VENCIDO")</f>
        <v>0</v>
      </c>
      <c r="C609" s="20">
        <f>+VLOOKUP(PROVEEDORES[[#This Row],[PROVEEDOR]],TERCEROS_INFO[#All],2,FALSE)</f>
        <v>30</v>
      </c>
      <c r="D609" s="25">
        <f>+SUMIFS(PROVEEDORES[Total],PROVEEDORES[PROVEEDOR],PROVEEDORES[[#This Row],[PROVEEDOR]],PROVEEDORES[FECHA DE PAGO],"")</f>
        <v>0</v>
      </c>
      <c r="E609" s="25"/>
      <c r="F609" s="56" t="str">
        <f>+VLOOKUP(PROVEEDORES[[#This Row],[PROVEEDOR]],
                       Terceros!$A:$F,
                       5,
                       FALSE)</f>
        <v/>
      </c>
      <c r="G609" s="68">
        <v>44769</v>
      </c>
      <c r="H609" s="26" t="s">
        <v>55</v>
      </c>
      <c r="I609" s="68">
        <v>44768</v>
      </c>
      <c r="J609" s="35">
        <v>57126</v>
      </c>
      <c r="K609" s="21">
        <v>16214000</v>
      </c>
      <c r="L609" s="21"/>
      <c r="M609" s="22">
        <f>(PROVEEDORES[[#This Row],[SUBTOTAL]]-PROVEEDORES[[#This Row],[descuento sobre subtotal]])*VLOOKUP(PROVEEDORES[[#This Row],[PROVEEDOR]],TERCEROS_INFO[#All],3,FALSE)</f>
        <v>0</v>
      </c>
      <c r="N609" s="23"/>
      <c r="O609" s="22">
        <f>+PROVEEDORES[[#This Row],[Descuento sobre subtotal %]]*(PROVEEDORES[[#This Row],[SUBTOTAL]]-PROVEEDORES[[#This Row],[descuento sobre subtotal]])</f>
        <v>0</v>
      </c>
      <c r="P609" s="74">
        <f>+IF(PROVEEDORES[[#This Row],[SUBTOTAL]]&lt;PROVEEDORES[[#This Row],[base retencion]],0,PROVEEDORES[[#This Row],[retención aplicada]])</f>
        <v>0</v>
      </c>
      <c r="Q609" s="22">
        <f>+PROVEEDORES[[#This Row],[Rete Fuente %]]*(PROVEEDORES[[#This Row],[SUBTOTAL]]-PROVEEDORES[[#This Row],[descuento sobre subtotal]])</f>
        <v>0</v>
      </c>
      <c r="R609" s="21">
        <f>+PROVEEDORES[[#This Row],[SUBTOTAL]]+PROVEEDORES[[#This Row],[IVA 19%]]-PROVEEDORES[[#This Row],[descuento sobre subtotal]]-PROVEEDORES[[#This Row],[Descuento sobre subtotal $2]]-PROVEEDORES[[#This Row],[Rete Fuente $]]</f>
        <v>16214000</v>
      </c>
      <c r="S6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63">
        <f ca="1">IF(PROVEEDORES[[#This Row],[FECHA DE PAGO]]=0,TODAY()-PROVEEDORES[[#This Row],[FECHA DE FACTURACIÓN]]-PROVEEDORES[[#This Row],[PLAZO Días]],0)</f>
        <v>0</v>
      </c>
      <c r="U609" s="104">
        <f>+VLOOKUP(PROVEEDORES[[#This Row],[PROVEEDOR]],Terceros!$A:$D,4,FALSE)</f>
        <v>0</v>
      </c>
      <c r="V609" s="105">
        <f>+YEAR(PROVEEDORES[[#This Row],[FECHA DE FACTURACIÓN]])</f>
        <v>2022</v>
      </c>
      <c r="W609" s="105">
        <f>+MATCH(PROVEEDORES[[#This Row],[año facturado]],Retenciones!$1:$1,0)</f>
        <v>5</v>
      </c>
      <c r="X609" s="106">
        <f>+VLOOKUP(PROVEEDORES[[#This Row],[ID RETENCION]],Retenciones!$A$1:$O$25,PROVEEDORES[[#This Row],[indicador de columna]],FALSE)</f>
        <v>0</v>
      </c>
      <c r="Y609" s="107">
        <f>+VLOOKUP(PROVEEDORES[[#This Row],[ID RETENCION]],Retenciones!$A$1:$O$25,2,FALSE)</f>
        <v>0</v>
      </c>
      <c r="Z609" s="116" t="b">
        <f>OR(COUNTIF(PROVEEDORES[[#This Row],[PROVEEDOR]],"*"&amp;'Palabra no opera'!$A$2&amp;"*"))</f>
        <v>0</v>
      </c>
    </row>
    <row r="610" spans="1:26" ht="22.35" customHeight="1" x14ac:dyDescent="0.3">
      <c r="A610" s="67" t="str">
        <f>+IF(PROVEEDORES[[#This Row],[FECHA DE PAGO]]=PROVEEDORES[[#This Row],[FECHA DE FACTURACIÓN]],"DE CONTADO","CRÉDITO")</f>
        <v>CRÉDITO</v>
      </c>
      <c r="B610" s="38" t="b">
        <f>+IF((PROVEEDORES[[#This Row],[FECHA DE PAGO]]-PROVEEDORES[[#This Row],[FECHA DE FACTURACIÓN]])&gt;PROVEEDORES[[#This Row],[PLAZO Días]],"PAGO VENCIDO")</f>
        <v>0</v>
      </c>
      <c r="C610" s="20">
        <f>+VLOOKUP(PROVEEDORES[[#This Row],[PROVEEDOR]],TERCEROS_INFO[#All],2,FALSE)</f>
        <v>30</v>
      </c>
      <c r="D610" s="25">
        <f>+SUMIFS(PROVEEDORES[Total],PROVEEDORES[PROVEEDOR],PROVEEDORES[[#This Row],[PROVEEDOR]],PROVEEDORES[FECHA DE PAGO],"")</f>
        <v>229206</v>
      </c>
      <c r="E610" s="25"/>
      <c r="F610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610" s="68">
        <v>44769</v>
      </c>
      <c r="H610" s="26" t="s">
        <v>95</v>
      </c>
      <c r="I610" s="68">
        <v>44768</v>
      </c>
      <c r="J610" s="35" t="s">
        <v>864</v>
      </c>
      <c r="K610" s="21">
        <v>1793000</v>
      </c>
      <c r="L610" s="21"/>
      <c r="M610" s="22">
        <f>(PROVEEDORES[[#This Row],[SUBTOTAL]]-PROVEEDORES[[#This Row],[descuento sobre subtotal]])*VLOOKUP(PROVEEDORES[[#This Row],[PROVEEDOR]],TERCEROS_INFO[#All],3,FALSE)</f>
        <v>0</v>
      </c>
      <c r="N610" s="23"/>
      <c r="O610" s="22">
        <f>+PROVEEDORES[[#This Row],[Descuento sobre subtotal %]]*(PROVEEDORES[[#This Row],[SUBTOTAL]]-PROVEEDORES[[#This Row],[descuento sobre subtotal]])</f>
        <v>0</v>
      </c>
      <c r="P610" s="74">
        <f>+IF(PROVEEDORES[[#This Row],[SUBTOTAL]]&lt;PROVEEDORES[[#This Row],[base retencion]],0,PROVEEDORES[[#This Row],[retención aplicada]])</f>
        <v>0</v>
      </c>
      <c r="Q610" s="22">
        <f>+PROVEEDORES[[#This Row],[Rete Fuente %]]*(PROVEEDORES[[#This Row],[SUBTOTAL]]-PROVEEDORES[[#This Row],[descuento sobre subtotal]])</f>
        <v>0</v>
      </c>
      <c r="R610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6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63">
        <f ca="1">IF(PROVEEDORES[[#This Row],[FECHA DE PAGO]]=0,TODAY()-PROVEEDORES[[#This Row],[FECHA DE FACTURACIÓN]]-PROVEEDORES[[#This Row],[PLAZO Días]],0)</f>
        <v>0</v>
      </c>
      <c r="U610" s="104">
        <f>+VLOOKUP(PROVEEDORES[[#This Row],[PROVEEDOR]],Terceros!$A:$D,4,FALSE)</f>
        <v>0</v>
      </c>
      <c r="V610" s="105">
        <f>+YEAR(PROVEEDORES[[#This Row],[FECHA DE FACTURACIÓN]])</f>
        <v>2022</v>
      </c>
      <c r="W610" s="105">
        <f>+MATCH(PROVEEDORES[[#This Row],[año facturado]],Retenciones!$1:$1,0)</f>
        <v>5</v>
      </c>
      <c r="X610" s="106">
        <f>+VLOOKUP(PROVEEDORES[[#This Row],[ID RETENCION]],Retenciones!$A$1:$O$25,PROVEEDORES[[#This Row],[indicador de columna]],FALSE)</f>
        <v>0</v>
      </c>
      <c r="Y610" s="107">
        <f>+VLOOKUP(PROVEEDORES[[#This Row],[ID RETENCION]],Retenciones!$A$1:$O$25,2,FALSE)</f>
        <v>0</v>
      </c>
      <c r="Z610" s="116" t="b">
        <f>OR(COUNTIF(PROVEEDORES[[#This Row],[PROVEEDOR]],"*"&amp;'Palabra no opera'!$A$2&amp;"*"))</f>
        <v>0</v>
      </c>
    </row>
    <row r="611" spans="1:26" ht="22.35" customHeight="1" x14ac:dyDescent="0.3">
      <c r="A611" s="67" t="str">
        <f>+IF(PROVEEDORES[[#This Row],[FECHA DE PAGO]]=PROVEEDORES[[#This Row],[FECHA DE FACTURACIÓN]],"DE CONTADO","CRÉDITO")</f>
        <v>DE CONTADO</v>
      </c>
      <c r="B611" s="38" t="b">
        <f>+IF((PROVEEDORES[[#This Row],[FECHA DE PAGO]]-PROVEEDORES[[#This Row],[FECHA DE FACTURACIÓN]])&gt;PROVEEDORES[[#This Row],[PLAZO Días]],"PAGO VENCIDO")</f>
        <v>0</v>
      </c>
      <c r="C611" s="20">
        <f>+VLOOKUP(PROVEEDORES[[#This Row],[PROVEEDOR]],TERCEROS_INFO[#All],2,FALSE)</f>
        <v>30</v>
      </c>
      <c r="D611" s="25">
        <f>+SUMIFS(PROVEEDORES[Total],PROVEEDORES[PROVEEDOR],PROVEEDORES[[#This Row],[PROVEEDOR]],PROVEEDORES[FECHA DE PAGO],"")</f>
        <v>0</v>
      </c>
      <c r="E611" s="25"/>
      <c r="F611" s="56" t="str">
        <f>+VLOOKUP(PROVEEDORES[[#This Row],[PROVEEDOR]],
                       Terceros!$A:$F,
                       5,
                       FALSE)</f>
        <v/>
      </c>
      <c r="G611" s="68">
        <v>44770</v>
      </c>
      <c r="H611" s="26" t="s">
        <v>836</v>
      </c>
      <c r="I611" s="68">
        <v>44770</v>
      </c>
      <c r="J611" s="35"/>
      <c r="K611" s="21">
        <v>1000000</v>
      </c>
      <c r="L611" s="21"/>
      <c r="M611" s="22">
        <f>(PROVEEDORES[[#This Row],[SUBTOTAL]]-PROVEEDORES[[#This Row],[descuento sobre subtotal]])*VLOOKUP(PROVEEDORES[[#This Row],[PROVEEDOR]],TERCEROS_INFO[#All],3,FALSE)</f>
        <v>0</v>
      </c>
      <c r="N611" s="23"/>
      <c r="O611" s="22">
        <f>+PROVEEDORES[[#This Row],[Descuento sobre subtotal %]]*(PROVEEDORES[[#This Row],[SUBTOTAL]]-PROVEEDORES[[#This Row],[descuento sobre subtotal]])</f>
        <v>0</v>
      </c>
      <c r="P611" s="74">
        <f>+IF(PROVEEDORES[[#This Row],[SUBTOTAL]]&lt;PROVEEDORES[[#This Row],[base retencion]],0,PROVEEDORES[[#This Row],[retención aplicada]])</f>
        <v>0</v>
      </c>
      <c r="Q611" s="22">
        <f>+PROVEEDORES[[#This Row],[Rete Fuente %]]*(PROVEEDORES[[#This Row],[SUBTOTAL]]-PROVEEDORES[[#This Row],[descuento sobre subtotal]])</f>
        <v>0</v>
      </c>
      <c r="R61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6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63">
        <f ca="1">IF(PROVEEDORES[[#This Row],[FECHA DE PAGO]]=0,TODAY()-PROVEEDORES[[#This Row],[FECHA DE FACTURACIÓN]]-PROVEEDORES[[#This Row],[PLAZO Días]],0)</f>
        <v>0</v>
      </c>
      <c r="U611" s="104">
        <f>+VLOOKUP(PROVEEDORES[[#This Row],[PROVEEDOR]],Terceros!$A:$D,4,FALSE)</f>
        <v>0</v>
      </c>
      <c r="V611" s="105">
        <f>+YEAR(PROVEEDORES[[#This Row],[FECHA DE FACTURACIÓN]])</f>
        <v>2022</v>
      </c>
      <c r="W611" s="105">
        <f>+MATCH(PROVEEDORES[[#This Row],[año facturado]],Retenciones!$1:$1,0)</f>
        <v>5</v>
      </c>
      <c r="X611" s="106">
        <f>+VLOOKUP(PROVEEDORES[[#This Row],[ID RETENCION]],Retenciones!$A$1:$O$25,PROVEEDORES[[#This Row],[indicador de columna]],FALSE)</f>
        <v>0</v>
      </c>
      <c r="Y611" s="107">
        <f>+VLOOKUP(PROVEEDORES[[#This Row],[ID RETENCION]],Retenciones!$A$1:$O$25,2,FALSE)</f>
        <v>0</v>
      </c>
      <c r="Z611" s="116" t="b">
        <f>OR(COUNTIF(PROVEEDORES[[#This Row],[PROVEEDOR]],"*"&amp;'Palabra no opera'!$A$2&amp;"*"))</f>
        <v>0</v>
      </c>
    </row>
    <row r="612" spans="1:26" ht="22.35" customHeight="1" x14ac:dyDescent="0.3">
      <c r="A612" s="133" t="str">
        <f>+IF(PROVEEDORES[[#This Row],[FECHA DE PAGO]]=PROVEEDORES[[#This Row],[FECHA DE FACTURACIÓN]],"DE CONTADO","CRÉDITO")</f>
        <v>CRÉDITO</v>
      </c>
      <c r="B612" s="38" t="str">
        <f>+IF((PROVEEDORES[[#This Row],[FECHA DE PAGO]]-PROVEEDORES[[#This Row],[FECHA DE FACTURACIÓN]])&gt;PROVEEDORES[[#This Row],[PLAZO Días]],"PAGO VENCIDO")</f>
        <v>PAGO VENCIDO</v>
      </c>
      <c r="C612" s="20">
        <f>+VLOOKUP(PROVEEDORES[[#This Row],[PROVEEDOR]],TERCEROS_INFO[#All],2,FALSE)</f>
        <v>30</v>
      </c>
      <c r="D612" s="25">
        <f>+SUMIFS(PROVEEDORES[Total],PROVEEDORES[PROVEEDOR],PROVEEDORES[[#This Row],[PROVEEDOR]],PROVEEDORES[FECHA DE PAGO],"")</f>
        <v>-101001.25</v>
      </c>
      <c r="E612" s="25"/>
      <c r="F612" s="56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612" s="68">
        <v>44770</v>
      </c>
      <c r="H612" s="26" t="s">
        <v>14</v>
      </c>
      <c r="I612" s="68">
        <v>44706</v>
      </c>
      <c r="J612" s="35" t="s">
        <v>704</v>
      </c>
      <c r="K612" s="21">
        <v>-67900</v>
      </c>
      <c r="L612" s="21"/>
      <c r="M612" s="22">
        <f>(PROVEEDORES[[#This Row],[SUBTOTAL]]-PROVEEDORES[[#This Row],[descuento sobre subtotal]])*VLOOKUP(PROVEEDORES[[#This Row],[PROVEEDOR]],TERCEROS_INFO[#All],3,FALSE)</f>
        <v>-12901</v>
      </c>
      <c r="N612" s="23"/>
      <c r="O612" s="22">
        <f>+PROVEEDORES[[#This Row],[Descuento sobre subtotal %]]*(PROVEEDORES[[#This Row],[SUBTOTAL]]-PROVEEDORES[[#This Row],[descuento sobre subtotal]])</f>
        <v>0</v>
      </c>
      <c r="P612" s="74">
        <f>+IF(PROVEEDORES[[#This Row],[SUBTOTAL]]&lt;PROVEEDORES[[#This Row],[base retencion]],0,PROVEEDORES[[#This Row],[retención aplicada]])</f>
        <v>0</v>
      </c>
      <c r="Q612" s="22">
        <f>+PROVEEDORES[[#This Row],[Rete Fuente %]]*(PROVEEDORES[[#This Row],[SUBTOTAL]]-PROVEEDORES[[#This Row],[descuento sobre subtotal]])</f>
        <v>0</v>
      </c>
      <c r="R612" s="21">
        <f>+PROVEEDORES[[#This Row],[SUBTOTAL]]+PROVEEDORES[[#This Row],[IVA 19%]]-PROVEEDORES[[#This Row],[descuento sobre subtotal]]-PROVEEDORES[[#This Row],[Descuento sobre subtotal $2]]-PROVEEDORES[[#This Row],[Rete Fuente $]]</f>
        <v>-80801</v>
      </c>
      <c r="S612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63">
        <f ca="1">IF(PROVEEDORES[[#This Row],[FECHA DE PAGO]]=0,TODAY()-PROVEEDORES[[#This Row],[FECHA DE FACTURACIÓN]]-PROVEEDORES[[#This Row],[PLAZO Días]],0)</f>
        <v>0</v>
      </c>
      <c r="U612" s="104" t="str">
        <f>+VLOOKUP(PROVEEDORES[[#This Row],[PROVEEDOR]],Terceros!$A:$D,4,FALSE)</f>
        <v>2,5% con base</v>
      </c>
      <c r="V612" s="105">
        <f>+YEAR(PROVEEDORES[[#This Row],[FECHA DE FACTURACIÓN]])</f>
        <v>2022</v>
      </c>
      <c r="W612" s="105">
        <f>+MATCH(PROVEEDORES[[#This Row],[año facturado]],Retenciones!$1:$1,0)</f>
        <v>5</v>
      </c>
      <c r="X612" s="106">
        <f>+VLOOKUP(PROVEEDORES[[#This Row],[ID RETENCION]],Retenciones!$A$1:$O$25,PROVEEDORES[[#This Row],[indicador de columna]],FALSE)</f>
        <v>1026000</v>
      </c>
      <c r="Y612" s="107">
        <f>+VLOOKUP(PROVEEDORES[[#This Row],[ID RETENCION]],Retenciones!$A$1:$O$25,2,FALSE)</f>
        <v>2.5000000000000001E-2</v>
      </c>
      <c r="Z612" s="116" t="b">
        <f>OR(COUNTIF(PROVEEDORES[[#This Row],[PROVEEDOR]],"*"&amp;'Palabra no opera'!$A$2&amp;"*"))</f>
        <v>0</v>
      </c>
    </row>
    <row r="613" spans="1:26" ht="22.35" customHeight="1" x14ac:dyDescent="0.3">
      <c r="A613" s="148" t="str">
        <f>+IF(PROVEEDORES[[#This Row],[FECHA DE PAGO]]=PROVEEDORES[[#This Row],[FECHA DE FACTURACIÓN]],"DE CONTADO","CRÉDITO")</f>
        <v>CRÉDITO</v>
      </c>
      <c r="B613" s="38" t="str">
        <f>+IF((PROVEEDORES[[#This Row],[FECHA DE PAGO]]-PROVEEDORES[[#This Row],[FECHA DE FACTURACIÓN]])&gt;PROVEEDORES[[#This Row],[PLAZO Días]],"PAGO VENCIDO")</f>
        <v>PAGO VENCIDO</v>
      </c>
      <c r="C613" s="20">
        <f>+VLOOKUP(PROVEEDORES[[#This Row],[PROVEEDOR]],TERCEROS_INFO[#All],2,FALSE)</f>
        <v>30</v>
      </c>
      <c r="D613" s="25">
        <f>+SUMIFS(PROVEEDORES[Total],PROVEEDORES[PROVEEDOR],PROVEEDORES[[#This Row],[PROVEEDOR]],PROVEEDORES[FECHA DE PAGO],"")</f>
        <v>-101001.25</v>
      </c>
      <c r="E613" s="25"/>
      <c r="F613" s="56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613" s="68">
        <v>44770</v>
      </c>
      <c r="H613" s="26" t="s">
        <v>14</v>
      </c>
      <c r="I613" s="68">
        <v>44722</v>
      </c>
      <c r="J613" s="35" t="s">
        <v>744</v>
      </c>
      <c r="K613" s="21">
        <v>116471</v>
      </c>
      <c r="L613" s="21"/>
      <c r="M613" s="22">
        <f>(PROVEEDORES[[#This Row],[SUBTOTAL]]-PROVEEDORES[[#This Row],[descuento sobre subtotal]])*VLOOKUP(PROVEEDORES[[#This Row],[PROVEEDOR]],TERCEROS_INFO[#All],3,FALSE)</f>
        <v>22129.49</v>
      </c>
      <c r="N613" s="23"/>
      <c r="O613" s="22">
        <f>+PROVEEDORES[[#This Row],[Descuento sobre subtotal %]]*(PROVEEDORES[[#This Row],[SUBTOTAL]]-PROVEEDORES[[#This Row],[descuento sobre subtotal]])</f>
        <v>0</v>
      </c>
      <c r="P613" s="74">
        <f>+IF(PROVEEDORES[[#This Row],[SUBTOTAL]]&lt;PROVEEDORES[[#This Row],[base retencion]],0,PROVEEDORES[[#This Row],[retención aplicada]])</f>
        <v>0</v>
      </c>
      <c r="Q613" s="22">
        <f>+PROVEEDORES[[#This Row],[Rete Fuente %]]*(PROVEEDORES[[#This Row],[SUBTOTAL]]-PROVEEDORES[[#This Row],[descuento sobre subtotal]])</f>
        <v>0</v>
      </c>
      <c r="R613" s="21">
        <f>+PROVEEDORES[[#This Row],[SUBTOTAL]]+PROVEEDORES[[#This Row],[IVA 19%]]-PROVEEDORES[[#This Row],[descuento sobre subtotal]]-PROVEEDORES[[#This Row],[Descuento sobre subtotal $2]]-PROVEEDORES[[#This Row],[Rete Fuente $]]</f>
        <v>138600.49</v>
      </c>
      <c r="S61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63">
        <f ca="1">IF(PROVEEDORES[[#This Row],[FECHA DE PAGO]]=0,TODAY()-PROVEEDORES[[#This Row],[FECHA DE FACTURACIÓN]]-PROVEEDORES[[#This Row],[PLAZO Días]],0)</f>
        <v>0</v>
      </c>
      <c r="U613" s="104" t="str">
        <f>+VLOOKUP(PROVEEDORES[[#This Row],[PROVEEDOR]],Terceros!$A:$D,4,FALSE)</f>
        <v>2,5% con base</v>
      </c>
      <c r="V613" s="105">
        <f>+YEAR(PROVEEDORES[[#This Row],[FECHA DE FACTURACIÓN]])</f>
        <v>2022</v>
      </c>
      <c r="W613" s="105">
        <f>+MATCH(PROVEEDORES[[#This Row],[año facturado]],Retenciones!$1:$1,0)</f>
        <v>5</v>
      </c>
      <c r="X613" s="106">
        <f>+VLOOKUP(PROVEEDORES[[#This Row],[ID RETENCION]],Retenciones!$A$1:$O$25,PROVEEDORES[[#This Row],[indicador de columna]],FALSE)</f>
        <v>1026000</v>
      </c>
      <c r="Y613" s="107">
        <f>+VLOOKUP(PROVEEDORES[[#This Row],[ID RETENCION]],Retenciones!$A$1:$O$25,2,FALSE)</f>
        <v>2.5000000000000001E-2</v>
      </c>
      <c r="Z613" s="116" t="b">
        <f>OR(COUNTIF(PROVEEDORES[[#This Row],[PROVEEDOR]],"*"&amp;'Palabra no opera'!$A$2&amp;"*"))</f>
        <v>0</v>
      </c>
    </row>
    <row r="614" spans="1:26" ht="22.35" customHeight="1" x14ac:dyDescent="0.3">
      <c r="A614" s="148" t="str">
        <f>+IF(PROVEEDORES[[#This Row],[FECHA DE PAGO]]=PROVEEDORES[[#This Row],[FECHA DE FACTURACIÓN]],"DE CONTADO","CRÉDITO")</f>
        <v>CRÉDITO</v>
      </c>
      <c r="B614" s="38" t="str">
        <f>+IF((PROVEEDORES[[#This Row],[FECHA DE PAGO]]-PROVEEDORES[[#This Row],[FECHA DE FACTURACIÓN]])&gt;PROVEEDORES[[#This Row],[PLAZO Días]],"PAGO VENCIDO")</f>
        <v>PAGO VENCIDO</v>
      </c>
      <c r="C614" s="20">
        <f>+VLOOKUP(PROVEEDORES[[#This Row],[PROVEEDOR]],TERCEROS_INFO[#All],2,FALSE)</f>
        <v>30</v>
      </c>
      <c r="D614" s="25">
        <f>+SUMIFS(PROVEEDORES[Total],PROVEEDORES[PROVEEDOR],PROVEEDORES[[#This Row],[PROVEEDOR]],PROVEEDORES[FECHA DE PAGO],"")</f>
        <v>0</v>
      </c>
      <c r="E614" s="25"/>
      <c r="F614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614" s="68">
        <v>44771</v>
      </c>
      <c r="H614" s="26" t="s">
        <v>394</v>
      </c>
      <c r="I614" s="68">
        <v>44740</v>
      </c>
      <c r="J614" s="35" t="s">
        <v>910</v>
      </c>
      <c r="K614" s="21">
        <v>1927500</v>
      </c>
      <c r="L614" s="21"/>
      <c r="M614" s="22">
        <f>(PROVEEDORES[[#This Row],[SUBTOTAL]]-PROVEEDORES[[#This Row],[descuento sobre subtotal]])*VLOOKUP(PROVEEDORES[[#This Row],[PROVEEDOR]],TERCEROS_INFO[#All],3,FALSE)</f>
        <v>0</v>
      </c>
      <c r="N614" s="23"/>
      <c r="O614" s="22">
        <f>+PROVEEDORES[[#This Row],[Descuento sobre subtotal %]]*(PROVEEDORES[[#This Row],[SUBTOTAL]]-PROVEEDORES[[#This Row],[descuento sobre subtotal]])</f>
        <v>0</v>
      </c>
      <c r="P614" s="74">
        <f>+IF(PROVEEDORES[[#This Row],[SUBTOTAL]]&lt;PROVEEDORES[[#This Row],[base retencion]],0,PROVEEDORES[[#This Row],[retención aplicada]])</f>
        <v>0</v>
      </c>
      <c r="Q614" s="22">
        <f>+PROVEEDORES[[#This Row],[Rete Fuente %]]*(PROVEEDORES[[#This Row],[SUBTOTAL]]-PROVEEDORES[[#This Row],[descuento sobre subtotal]])</f>
        <v>0</v>
      </c>
      <c r="R614" s="21">
        <f>+PROVEEDORES[[#This Row],[SUBTOTAL]]+PROVEEDORES[[#This Row],[IVA 19%]]-PROVEEDORES[[#This Row],[descuento sobre subtotal]]-PROVEEDORES[[#This Row],[Descuento sobre subtotal $2]]-PROVEEDORES[[#This Row],[Rete Fuente $]]</f>
        <v>1927500</v>
      </c>
      <c r="S61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63">
        <f ca="1">IF(PROVEEDORES[[#This Row],[FECHA DE PAGO]]=0,TODAY()-PROVEEDORES[[#This Row],[FECHA DE FACTURACIÓN]]-PROVEEDORES[[#This Row],[PLAZO Días]],0)</f>
        <v>0</v>
      </c>
      <c r="U614" s="104">
        <f>+VLOOKUP(PROVEEDORES[[#This Row],[PROVEEDOR]],Terceros!$A:$D,4,FALSE)</f>
        <v>0</v>
      </c>
      <c r="V614" s="105">
        <f>+YEAR(PROVEEDORES[[#This Row],[FECHA DE FACTURACIÓN]])</f>
        <v>2022</v>
      </c>
      <c r="W614" s="105">
        <f>+MATCH(PROVEEDORES[[#This Row],[año facturado]],Retenciones!$1:$1,0)</f>
        <v>5</v>
      </c>
      <c r="X614" s="106">
        <f>+VLOOKUP(PROVEEDORES[[#This Row],[ID RETENCION]],Retenciones!$A$1:$O$25,PROVEEDORES[[#This Row],[indicador de columna]],FALSE)</f>
        <v>0</v>
      </c>
      <c r="Y614" s="107">
        <f>+VLOOKUP(PROVEEDORES[[#This Row],[ID RETENCION]],Retenciones!$A$1:$O$25,2,FALSE)</f>
        <v>0</v>
      </c>
      <c r="Z614" s="116" t="b">
        <f>OR(COUNTIF(PROVEEDORES[[#This Row],[PROVEEDOR]],"*"&amp;'Palabra no opera'!$A$2&amp;"*"))</f>
        <v>0</v>
      </c>
    </row>
    <row r="615" spans="1:26" ht="22.35" customHeight="1" x14ac:dyDescent="0.3">
      <c r="A615" s="148" t="str">
        <f>+IF(PROVEEDORES[[#This Row],[FECHA DE PAGO]]=PROVEEDORES[[#This Row],[FECHA DE FACTURACIÓN]],"DE CONTADO","CRÉDITO")</f>
        <v>CRÉDITO</v>
      </c>
      <c r="B615" s="38" t="b">
        <f>+IF((PROVEEDORES[[#This Row],[FECHA DE PAGO]]-PROVEEDORES[[#This Row],[FECHA DE FACTURACIÓN]])&gt;PROVEEDORES[[#This Row],[PLAZO Días]],"PAGO VENCIDO")</f>
        <v>0</v>
      </c>
      <c r="C615" s="20">
        <f>+VLOOKUP(PROVEEDORES[[#This Row],[PROVEEDOR]],TERCEROS_INFO[#All],2,FALSE)</f>
        <v>30</v>
      </c>
      <c r="D615" s="25">
        <f>+SUMIFS(PROVEEDORES[Total],PROVEEDORES[PROVEEDOR],PROVEEDORES[[#This Row],[PROVEEDOR]],PROVEEDORES[FECHA DE PAGO],"")</f>
        <v>0</v>
      </c>
      <c r="E615" s="25"/>
      <c r="F615" s="56">
        <f>+VLOOKUP(PROVEEDORES[[#This Row],[PROVEEDOR]],
                       Terceros!$A:$F,
                       5,
                       FALSE)</f>
        <v>0</v>
      </c>
      <c r="G615" s="68">
        <v>44771</v>
      </c>
      <c r="H615" s="26" t="s">
        <v>642</v>
      </c>
      <c r="I615" s="68">
        <v>44743</v>
      </c>
      <c r="J615" s="35" t="s">
        <v>217</v>
      </c>
      <c r="K615" s="21">
        <v>455823</v>
      </c>
      <c r="L615" s="21"/>
      <c r="M615" s="22">
        <f>(PROVEEDORES[[#This Row],[SUBTOTAL]]-PROVEEDORES[[#This Row],[descuento sobre subtotal]])*VLOOKUP(PROVEEDORES[[#This Row],[PROVEEDOR]],TERCEROS_INFO[#All],3,FALSE)</f>
        <v>0</v>
      </c>
      <c r="N615" s="23"/>
      <c r="O615" s="22">
        <f>+PROVEEDORES[[#This Row],[Descuento sobre subtotal %]]*(PROVEEDORES[[#This Row],[SUBTOTAL]]-PROVEEDORES[[#This Row],[descuento sobre subtotal]])</f>
        <v>0</v>
      </c>
      <c r="P615" s="74">
        <f>+IF(PROVEEDORES[[#This Row],[SUBTOTAL]]&lt;PROVEEDORES[[#This Row],[base retencion]],0,PROVEEDORES[[#This Row],[retención aplicada]])</f>
        <v>0</v>
      </c>
      <c r="Q615" s="22">
        <f>+PROVEEDORES[[#This Row],[Rete Fuente %]]*(PROVEEDORES[[#This Row],[SUBTOTAL]]-PROVEEDORES[[#This Row],[descuento sobre subtotal]])</f>
        <v>0</v>
      </c>
      <c r="R615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1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63">
        <f ca="1">IF(PROVEEDORES[[#This Row],[FECHA DE PAGO]]=0,TODAY()-PROVEEDORES[[#This Row],[FECHA DE FACTURACIÓN]]-PROVEEDORES[[#This Row],[PLAZO Días]],0)</f>
        <v>0</v>
      </c>
      <c r="U615" s="104">
        <f>+VLOOKUP(PROVEEDORES[[#This Row],[PROVEEDOR]],Terceros!$A:$D,4,FALSE)</f>
        <v>0</v>
      </c>
      <c r="V615" s="105">
        <f>+YEAR(PROVEEDORES[[#This Row],[FECHA DE FACTURACIÓN]])</f>
        <v>2022</v>
      </c>
      <c r="W615" s="105">
        <f>+MATCH(PROVEEDORES[[#This Row],[año facturado]],Retenciones!$1:$1,0)</f>
        <v>5</v>
      </c>
      <c r="X615" s="106">
        <f>+VLOOKUP(PROVEEDORES[[#This Row],[ID RETENCION]],Retenciones!$A$1:$O$25,PROVEEDORES[[#This Row],[indicador de columna]],FALSE)</f>
        <v>0</v>
      </c>
      <c r="Y615" s="107">
        <f>+VLOOKUP(PROVEEDORES[[#This Row],[ID RETENCION]],Retenciones!$A$1:$O$25,2,FALSE)</f>
        <v>0</v>
      </c>
      <c r="Z615" s="116" t="b">
        <f>OR(COUNTIF(PROVEEDORES[[#This Row],[PROVEEDOR]],"*"&amp;'Palabra no opera'!$A$2&amp;"*"))</f>
        <v>1</v>
      </c>
    </row>
    <row r="616" spans="1:26" ht="22.35" customHeight="1" x14ac:dyDescent="0.3">
      <c r="A616" s="67" t="str">
        <f>+IF(PROVEEDORES[[#This Row],[FECHA DE PAGO]]=PROVEEDORES[[#This Row],[FECHA DE FACTURACIÓN]],"DE CONTADO","CRÉDITO")</f>
        <v>CRÉDITO</v>
      </c>
      <c r="B616" s="38" t="b">
        <f>+IF((PROVEEDORES[[#This Row],[FECHA DE PAGO]]-PROVEEDORES[[#This Row],[FECHA DE FACTURACIÓN]])&gt;PROVEEDORES[[#This Row],[PLAZO Días]],"PAGO VENCIDO")</f>
        <v>0</v>
      </c>
      <c r="C616" s="20">
        <f>+VLOOKUP(PROVEEDORES[[#This Row],[PROVEEDOR]],TERCEROS_INFO[#All],2,FALSE)</f>
        <v>30</v>
      </c>
      <c r="D616" s="25">
        <f>+SUMIFS(PROVEEDORES[Total],PROVEEDORES[PROVEEDOR],PROVEEDORES[[#This Row],[PROVEEDOR]],PROVEEDORES[FECHA DE PAGO],"")</f>
        <v>0</v>
      </c>
      <c r="E616" s="25"/>
      <c r="F616" s="56" t="str">
        <f>+VLOOKUP(PROVEEDORES[[#This Row],[PROVEEDOR]],
                       Terceros!$A:$F,
                       5,
                       FALSE)</f>
        <v/>
      </c>
      <c r="G616" s="68">
        <v>44772</v>
      </c>
      <c r="H616" s="26" t="s">
        <v>356</v>
      </c>
      <c r="I616" s="68">
        <v>44771</v>
      </c>
      <c r="J616" s="35" t="s">
        <v>851</v>
      </c>
      <c r="K616" s="21">
        <v>3992000</v>
      </c>
      <c r="L616" s="21"/>
      <c r="M616" s="22">
        <f>(PROVEEDORES[[#This Row],[SUBTOTAL]]-PROVEEDORES[[#This Row],[descuento sobre subtotal]])*VLOOKUP(PROVEEDORES[[#This Row],[PROVEEDOR]],TERCEROS_INFO[#All],3,FALSE)</f>
        <v>0</v>
      </c>
      <c r="N616" s="23"/>
      <c r="O616" s="22">
        <f>+PROVEEDORES[[#This Row],[Descuento sobre subtotal %]]*(PROVEEDORES[[#This Row],[SUBTOTAL]]-PROVEEDORES[[#This Row],[descuento sobre subtotal]])</f>
        <v>0</v>
      </c>
      <c r="P616" s="74">
        <f>+IF(PROVEEDORES[[#This Row],[SUBTOTAL]]&lt;PROVEEDORES[[#This Row],[base retencion]],0,PROVEEDORES[[#This Row],[retención aplicada]])</f>
        <v>0</v>
      </c>
      <c r="Q616" s="22">
        <f>+PROVEEDORES[[#This Row],[Rete Fuente %]]*(PROVEEDORES[[#This Row],[SUBTOTAL]]-PROVEEDORES[[#This Row],[descuento sobre subtotal]])</f>
        <v>0</v>
      </c>
      <c r="R616" s="21">
        <f>+PROVEEDORES[[#This Row],[SUBTOTAL]]+PROVEEDORES[[#This Row],[IVA 19%]]-PROVEEDORES[[#This Row],[descuento sobre subtotal]]-PROVEEDORES[[#This Row],[Descuento sobre subtotal $2]]-PROVEEDORES[[#This Row],[Rete Fuente $]]</f>
        <v>3992000</v>
      </c>
      <c r="S6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63">
        <f ca="1">IF(PROVEEDORES[[#This Row],[FECHA DE PAGO]]=0,TODAY()-PROVEEDORES[[#This Row],[FECHA DE FACTURACIÓN]]-PROVEEDORES[[#This Row],[PLAZO Días]],0)</f>
        <v>0</v>
      </c>
      <c r="U616" s="104">
        <f>+VLOOKUP(PROVEEDORES[[#This Row],[PROVEEDOR]],Terceros!$A:$D,4,FALSE)</f>
        <v>0</v>
      </c>
      <c r="V616" s="105">
        <f>+YEAR(PROVEEDORES[[#This Row],[FECHA DE FACTURACIÓN]])</f>
        <v>2022</v>
      </c>
      <c r="W616" s="105">
        <f>+MATCH(PROVEEDORES[[#This Row],[año facturado]],Retenciones!$1:$1,0)</f>
        <v>5</v>
      </c>
      <c r="X616" s="106">
        <f>+VLOOKUP(PROVEEDORES[[#This Row],[ID RETENCION]],Retenciones!$A$1:$O$25,PROVEEDORES[[#This Row],[indicador de columna]],FALSE)</f>
        <v>0</v>
      </c>
      <c r="Y616" s="107">
        <f>+VLOOKUP(PROVEEDORES[[#This Row],[ID RETENCION]],Retenciones!$A$1:$O$25,2,FALSE)</f>
        <v>0</v>
      </c>
      <c r="Z616" s="116" t="b">
        <f>OR(COUNTIF(PROVEEDORES[[#This Row],[PROVEEDOR]],"*"&amp;'Palabra no opera'!$A$2&amp;"*"))</f>
        <v>0</v>
      </c>
    </row>
    <row r="617" spans="1:26" ht="22.35" customHeight="1" x14ac:dyDescent="0.3">
      <c r="A617" s="124" t="str">
        <f>+IF(PROVEEDORES[[#This Row],[FECHA DE PAGO]]=PROVEEDORES[[#This Row],[FECHA DE FACTURACIÓN]],"DE CONTADO","CRÉDITO")</f>
        <v>CRÉDITO</v>
      </c>
      <c r="B617" s="38" t="str">
        <f>+IF((PROVEEDORES[[#This Row],[FECHA DE PAGO]]-PROVEEDORES[[#This Row],[FECHA DE FACTURACIÓN]])&gt;PROVEEDORES[[#This Row],[PLAZO Días]],"PAGO VENCIDO")</f>
        <v>PAGO VENCIDO</v>
      </c>
      <c r="C617" s="20">
        <f>+VLOOKUP(PROVEEDORES[[#This Row],[PROVEEDOR]],TERCEROS_INFO[#All],2,FALSE)</f>
        <v>30</v>
      </c>
      <c r="D617" s="25">
        <f>+SUMIFS(PROVEEDORES[Total],PROVEEDORES[PROVEEDOR],PROVEEDORES[[#This Row],[PROVEEDOR]],PROVEEDORES[FECHA DE PAGO],"")</f>
        <v>5480000</v>
      </c>
      <c r="E617" s="25"/>
      <c r="F617" s="56" t="str">
        <f>+VLOOKUP(PROVEEDORES[[#This Row],[PROVEEDOR]],
                       Terceros!$A:$F,
                       5,
                       FALSE)</f>
        <v/>
      </c>
      <c r="G617" s="68">
        <v>44772</v>
      </c>
      <c r="H617" s="26" t="s">
        <v>369</v>
      </c>
      <c r="I617" s="68">
        <v>44685</v>
      </c>
      <c r="J617" s="35" t="s">
        <v>1022</v>
      </c>
      <c r="K617" s="21">
        <v>3044000</v>
      </c>
      <c r="L617" s="21"/>
      <c r="M617" s="22">
        <f>(PROVEEDORES[[#This Row],[SUBTOTAL]]-PROVEEDORES[[#This Row],[descuento sobre subtotal]])*VLOOKUP(PROVEEDORES[[#This Row],[PROVEEDOR]],TERCEROS_INFO[#All],3,FALSE)</f>
        <v>0</v>
      </c>
      <c r="N617" s="23"/>
      <c r="O617" s="22">
        <f>+PROVEEDORES[[#This Row],[Descuento sobre subtotal %]]*(PROVEEDORES[[#This Row],[SUBTOTAL]]-PROVEEDORES[[#This Row],[descuento sobre subtotal]])</f>
        <v>0</v>
      </c>
      <c r="P617" s="74">
        <f>+IF(PROVEEDORES[[#This Row],[SUBTOTAL]]&lt;PROVEEDORES[[#This Row],[base retencion]],0,PROVEEDORES[[#This Row],[retención aplicada]])</f>
        <v>0</v>
      </c>
      <c r="Q617" s="22">
        <f>+PROVEEDORES[[#This Row],[Rete Fuente %]]*(PROVEEDORES[[#This Row],[SUBTOTAL]]-PROVEEDORES[[#This Row],[descuento sobre subtotal]])</f>
        <v>0</v>
      </c>
      <c r="R617" s="21">
        <f>+PROVEEDORES[[#This Row],[SUBTOTAL]]+PROVEEDORES[[#This Row],[IVA 19%]]-PROVEEDORES[[#This Row],[descuento sobre subtotal]]-PROVEEDORES[[#This Row],[Descuento sobre subtotal $2]]-PROVEEDORES[[#This Row],[Rete Fuente $]]</f>
        <v>3044000</v>
      </c>
      <c r="S617" s="12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63">
        <f ca="1">IF(PROVEEDORES[[#This Row],[FECHA DE PAGO]]=0,TODAY()-PROVEEDORES[[#This Row],[FECHA DE FACTURACIÓN]]-PROVEEDORES[[#This Row],[PLAZO Días]],0)</f>
        <v>0</v>
      </c>
      <c r="U617" s="104">
        <f>+VLOOKUP(PROVEEDORES[[#This Row],[PROVEEDOR]],Terceros!$A:$D,4,FALSE)</f>
        <v>0</v>
      </c>
      <c r="V617" s="105">
        <f>+YEAR(PROVEEDORES[[#This Row],[FECHA DE FACTURACIÓN]])</f>
        <v>2022</v>
      </c>
      <c r="W617" s="105">
        <f>+MATCH(PROVEEDORES[[#This Row],[año facturado]],Retenciones!$1:$1,0)</f>
        <v>5</v>
      </c>
      <c r="X617" s="106">
        <f>+VLOOKUP(PROVEEDORES[[#This Row],[ID RETENCION]],Retenciones!$A$1:$O$25,PROVEEDORES[[#This Row],[indicador de columna]],FALSE)</f>
        <v>0</v>
      </c>
      <c r="Y617" s="107">
        <f>+VLOOKUP(PROVEEDORES[[#This Row],[ID RETENCION]],Retenciones!$A$1:$O$25,2,FALSE)</f>
        <v>0</v>
      </c>
      <c r="Z617" s="116" t="b">
        <f>OR(COUNTIF(PROVEEDORES[[#This Row],[PROVEEDOR]],"*"&amp;'Palabra no opera'!$A$2&amp;"*"))</f>
        <v>0</v>
      </c>
    </row>
    <row r="618" spans="1:26" ht="22.35" customHeight="1" x14ac:dyDescent="0.3">
      <c r="A618" s="67" t="str">
        <f>+IF(PROVEEDORES[[#This Row],[FECHA DE PAGO]]=PROVEEDORES[[#This Row],[FECHA DE FACTURACIÓN]],"DE CONTADO","CRÉDITO")</f>
        <v>DE CONTADO</v>
      </c>
      <c r="B618" s="38" t="b">
        <f>+IF((PROVEEDORES[[#This Row],[FECHA DE PAGO]]-PROVEEDORES[[#This Row],[FECHA DE FACTURACIÓN]])&gt;PROVEEDORES[[#This Row],[PLAZO Días]],"PAGO VENCIDO")</f>
        <v>0</v>
      </c>
      <c r="C618" s="20">
        <f>+VLOOKUP(PROVEEDORES[[#This Row],[PROVEEDOR]],TERCEROS_INFO[#All],2,FALSE)</f>
        <v>30</v>
      </c>
      <c r="D618" s="25">
        <f>+SUMIFS(PROVEEDORES[Total],PROVEEDORES[PROVEEDOR],PROVEEDORES[[#This Row],[PROVEEDOR]],PROVEEDORES[FECHA DE PAGO],"")</f>
        <v>0</v>
      </c>
      <c r="E618" s="25"/>
      <c r="F618" s="56" t="str">
        <f>+VLOOKUP(PROVEEDORES[[#This Row],[PROVEEDOR]],
                       Terceros!$A:$F,
                       5,
                       FALSE)</f>
        <v/>
      </c>
      <c r="G618" s="68">
        <v>44772</v>
      </c>
      <c r="H618" s="26" t="s">
        <v>378</v>
      </c>
      <c r="I618" s="68">
        <v>44772</v>
      </c>
      <c r="J618" s="35" t="s">
        <v>850</v>
      </c>
      <c r="K618" s="21">
        <v>750000</v>
      </c>
      <c r="L618" s="21"/>
      <c r="M618" s="22">
        <f>(PROVEEDORES[[#This Row],[SUBTOTAL]]-PROVEEDORES[[#This Row],[descuento sobre subtotal]])*VLOOKUP(PROVEEDORES[[#This Row],[PROVEEDOR]],TERCEROS_INFO[#All],3,FALSE)</f>
        <v>0</v>
      </c>
      <c r="N618" s="23"/>
      <c r="O618" s="22">
        <f>+PROVEEDORES[[#This Row],[Descuento sobre subtotal %]]*(PROVEEDORES[[#This Row],[SUBTOTAL]]-PROVEEDORES[[#This Row],[descuento sobre subtotal]])</f>
        <v>0</v>
      </c>
      <c r="P618" s="74">
        <f>+IF(PROVEEDORES[[#This Row],[SUBTOTAL]]&lt;PROVEEDORES[[#This Row],[base retencion]],0,PROVEEDORES[[#This Row],[retención aplicada]])</f>
        <v>0</v>
      </c>
      <c r="Q618" s="22">
        <f>+PROVEEDORES[[#This Row],[Rete Fuente %]]*(PROVEEDORES[[#This Row],[SUBTOTAL]]-PROVEEDORES[[#This Row],[descuento sobre subtotal]])</f>
        <v>0</v>
      </c>
      <c r="R618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6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63">
        <f ca="1">IF(PROVEEDORES[[#This Row],[FECHA DE PAGO]]=0,TODAY()-PROVEEDORES[[#This Row],[FECHA DE FACTURACIÓN]]-PROVEEDORES[[#This Row],[PLAZO Días]],0)</f>
        <v>0</v>
      </c>
      <c r="U618" s="104">
        <f>+VLOOKUP(PROVEEDORES[[#This Row],[PROVEEDOR]],Terceros!$A:$D,4,FALSE)</f>
        <v>0</v>
      </c>
      <c r="V618" s="105">
        <f>+YEAR(PROVEEDORES[[#This Row],[FECHA DE FACTURACIÓN]])</f>
        <v>2022</v>
      </c>
      <c r="W618" s="105">
        <f>+MATCH(PROVEEDORES[[#This Row],[año facturado]],Retenciones!$1:$1,0)</f>
        <v>5</v>
      </c>
      <c r="X618" s="106">
        <f>+VLOOKUP(PROVEEDORES[[#This Row],[ID RETENCION]],Retenciones!$A$1:$O$25,PROVEEDORES[[#This Row],[indicador de columna]],FALSE)</f>
        <v>0</v>
      </c>
      <c r="Y618" s="107">
        <f>+VLOOKUP(PROVEEDORES[[#This Row],[ID RETENCION]],Retenciones!$A$1:$O$25,2,FALSE)</f>
        <v>0</v>
      </c>
      <c r="Z618" s="116" t="b">
        <f>OR(COUNTIF(PROVEEDORES[[#This Row],[PROVEEDOR]],"*"&amp;'Palabra no opera'!$A$2&amp;"*"))</f>
        <v>0</v>
      </c>
    </row>
    <row r="619" spans="1:26" ht="22.35" customHeight="1" x14ac:dyDescent="0.3">
      <c r="A619" s="148" t="str">
        <f>+IF(PROVEEDORES[[#This Row],[FECHA DE PAGO]]=PROVEEDORES[[#This Row],[FECHA DE FACTURACIÓN]],"DE CONTADO","CRÉDITO")</f>
        <v>CRÉDITO</v>
      </c>
      <c r="B619" s="38" t="b">
        <f>+IF((PROVEEDORES[[#This Row],[FECHA DE PAGO]]-PROVEEDORES[[#This Row],[FECHA DE FACTURACIÓN]])&gt;PROVEEDORES[[#This Row],[PLAZO Días]],"PAGO VENCIDO")</f>
        <v>0</v>
      </c>
      <c r="C619" s="20">
        <f>+VLOOKUP(PROVEEDORES[[#This Row],[PROVEEDOR]],TERCEROS_INFO[#All],2,FALSE)</f>
        <v>30</v>
      </c>
      <c r="D619" s="25">
        <f>+SUMIFS(PROVEEDORES[Total],PROVEEDORES[PROVEEDOR],PROVEEDORES[[#This Row],[PROVEEDOR]],PROVEEDORES[FECHA DE PAGO],"")</f>
        <v>0</v>
      </c>
      <c r="E619" s="25"/>
      <c r="F619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619" s="68">
        <v>44772</v>
      </c>
      <c r="H619" s="26" t="s">
        <v>809</v>
      </c>
      <c r="I619" s="68">
        <v>44743</v>
      </c>
      <c r="J619" s="35">
        <v>2507</v>
      </c>
      <c r="K619" s="21">
        <v>4690900</v>
      </c>
      <c r="L619" s="21"/>
      <c r="M619" s="22">
        <f>(PROVEEDORES[[#This Row],[SUBTOTAL]]-PROVEEDORES[[#This Row],[descuento sobre subtotal]])*VLOOKUP(PROVEEDORES[[#This Row],[PROVEEDOR]],TERCEROS_INFO[#All],3,FALSE)</f>
        <v>891271</v>
      </c>
      <c r="N619" s="23">
        <v>0.1</v>
      </c>
      <c r="O619" s="22">
        <f>+PROVEEDORES[[#This Row],[Descuento sobre subtotal %]]*(PROVEEDORES[[#This Row],[SUBTOTAL]]-PROVEEDORES[[#This Row],[descuento sobre subtotal]])</f>
        <v>469090</v>
      </c>
      <c r="P619" s="74">
        <f>+IF(PROVEEDORES[[#This Row],[SUBTOTAL]]&lt;PROVEEDORES[[#This Row],[base retencion]],0,PROVEEDORES[[#This Row],[retención aplicada]])</f>
        <v>2.5000000000000001E-2</v>
      </c>
      <c r="Q619" s="22">
        <f>+PROVEEDORES[[#This Row],[Rete Fuente %]]*(PROVEEDORES[[#This Row],[SUBTOTAL]]-PROVEEDORES[[#This Row],[descuento sobre subtotal]])</f>
        <v>117272.5</v>
      </c>
      <c r="R619" s="21">
        <f>+PROVEEDORES[[#This Row],[SUBTOTAL]]+PROVEEDORES[[#This Row],[IVA 19%]]-PROVEEDORES[[#This Row],[descuento sobre subtotal]]-PROVEEDORES[[#This Row],[Descuento sobre subtotal $2]]-PROVEEDORES[[#This Row],[Rete Fuente $]]</f>
        <v>4995808.5</v>
      </c>
      <c r="S61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63">
        <f ca="1">IF(PROVEEDORES[[#This Row],[FECHA DE PAGO]]=0,TODAY()-PROVEEDORES[[#This Row],[FECHA DE FACTURACIÓN]]-PROVEEDORES[[#This Row],[PLAZO Días]],0)</f>
        <v>0</v>
      </c>
      <c r="U619" s="104" t="str">
        <f>+VLOOKUP(PROVEEDORES[[#This Row],[PROVEEDOR]],Terceros!$A:$D,4,FALSE)</f>
        <v>2,5% con base</v>
      </c>
      <c r="V619" s="105">
        <f>+YEAR(PROVEEDORES[[#This Row],[FECHA DE FACTURACIÓN]])</f>
        <v>2022</v>
      </c>
      <c r="W619" s="105">
        <f>+MATCH(PROVEEDORES[[#This Row],[año facturado]],Retenciones!$1:$1,0)</f>
        <v>5</v>
      </c>
      <c r="X619" s="106">
        <f>+VLOOKUP(PROVEEDORES[[#This Row],[ID RETENCION]],Retenciones!$A$1:$O$25,PROVEEDORES[[#This Row],[indicador de columna]],FALSE)</f>
        <v>1026000</v>
      </c>
      <c r="Y619" s="107">
        <f>+VLOOKUP(PROVEEDORES[[#This Row],[ID RETENCION]],Retenciones!$A$1:$O$25,2,FALSE)</f>
        <v>2.5000000000000001E-2</v>
      </c>
      <c r="Z619" s="116" t="b">
        <f>OR(COUNTIF(PROVEEDORES[[#This Row],[PROVEEDOR]],"*"&amp;'Palabra no opera'!$A$2&amp;"*"))</f>
        <v>0</v>
      </c>
    </row>
    <row r="620" spans="1:26" ht="22.35" customHeight="1" x14ac:dyDescent="0.3">
      <c r="A620" s="171" t="str">
        <f>+IF(PROVEEDORES[[#This Row],[FECHA DE PAGO]]=PROVEEDORES[[#This Row],[FECHA DE FACTURACIÓN]],"DE CONTADO","CRÉDITO")</f>
        <v>DE CONTADO</v>
      </c>
      <c r="B620" s="38" t="b">
        <f>+IF((PROVEEDORES[[#This Row],[FECHA DE PAGO]]-PROVEEDORES[[#This Row],[FECHA DE FACTURACIÓN]])&gt;PROVEEDORES[[#This Row],[PLAZO Días]],"PAGO VENCIDO")</f>
        <v>0</v>
      </c>
      <c r="C620" s="20">
        <f>+VLOOKUP(PROVEEDORES[[#This Row],[PROVEEDOR]],TERCEROS_INFO[#All],2,FALSE)</f>
        <v>30</v>
      </c>
      <c r="D620" s="25">
        <f>+SUMIFS(PROVEEDORES[Total],PROVEEDORES[PROVEEDOR],PROVEEDORES[[#This Row],[PROVEEDOR]],PROVEEDORES[FECHA DE PAGO],"")</f>
        <v>0</v>
      </c>
      <c r="E620" s="25"/>
      <c r="F620" s="56" t="str">
        <f>+VLOOKUP(PROVEEDORES[[#This Row],[PROVEEDOR]],
                       Terceros!$A:$F,
                       5,
                       FALSE)</f>
        <v/>
      </c>
      <c r="G620" s="68">
        <v>44773</v>
      </c>
      <c r="H620" s="26" t="s">
        <v>362</v>
      </c>
      <c r="I620" s="68">
        <v>44773</v>
      </c>
      <c r="J620" s="35" t="s">
        <v>317</v>
      </c>
      <c r="K620" s="21">
        <v>65800</v>
      </c>
      <c r="L620" s="21"/>
      <c r="M620" s="22">
        <f>(PROVEEDORES[[#This Row],[SUBTOTAL]]-PROVEEDORES[[#This Row],[descuento sobre subtotal]])*VLOOKUP(PROVEEDORES[[#This Row],[PROVEEDOR]],TERCEROS_INFO[#All],3,FALSE)</f>
        <v>0</v>
      </c>
      <c r="N620" s="23"/>
      <c r="O620" s="22">
        <f>+PROVEEDORES[[#This Row],[Descuento sobre subtotal %]]*(PROVEEDORES[[#This Row],[SUBTOTAL]]-PROVEEDORES[[#This Row],[descuento sobre subtotal]])</f>
        <v>0</v>
      </c>
      <c r="P620" s="74">
        <f>+IF(PROVEEDORES[[#This Row],[SUBTOTAL]]&lt;PROVEEDORES[[#This Row],[base retencion]],0,PROVEEDORES[[#This Row],[retención aplicada]])</f>
        <v>0</v>
      </c>
      <c r="Q620" s="22">
        <f>+PROVEEDORES[[#This Row],[Rete Fuente %]]*(PROVEEDORES[[#This Row],[SUBTOTAL]]-PROVEEDORES[[#This Row],[descuento sobre subtotal]])</f>
        <v>0</v>
      </c>
      <c r="R620" s="21">
        <f>+PROVEEDORES[[#This Row],[SUBTOTAL]]+PROVEEDORES[[#This Row],[IVA 19%]]-PROVEEDORES[[#This Row],[descuento sobre subtotal]]-PROVEEDORES[[#This Row],[Descuento sobre subtotal $2]]-PROVEEDORES[[#This Row],[Rete Fuente $]]</f>
        <v>65800</v>
      </c>
      <c r="S620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63">
        <f ca="1">IF(PROVEEDORES[[#This Row],[FECHA DE PAGO]]=0,TODAY()-PROVEEDORES[[#This Row],[FECHA DE FACTURACIÓN]]-PROVEEDORES[[#This Row],[PLAZO Días]],0)</f>
        <v>0</v>
      </c>
      <c r="U620" s="104">
        <f>+VLOOKUP(PROVEEDORES[[#This Row],[PROVEEDOR]],Terceros!$A:$D,4,FALSE)</f>
        <v>0</v>
      </c>
      <c r="V620" s="105">
        <f>+YEAR(PROVEEDORES[[#This Row],[FECHA DE FACTURACIÓN]])</f>
        <v>2022</v>
      </c>
      <c r="W620" s="105">
        <f>+MATCH(PROVEEDORES[[#This Row],[año facturado]],Retenciones!$1:$1,0)</f>
        <v>5</v>
      </c>
      <c r="X620" s="106">
        <f>+VLOOKUP(PROVEEDORES[[#This Row],[ID RETENCION]],Retenciones!$A$1:$O$25,PROVEEDORES[[#This Row],[indicador de columna]],FALSE)</f>
        <v>0</v>
      </c>
      <c r="Y620" s="107">
        <f>+VLOOKUP(PROVEEDORES[[#This Row],[ID RETENCION]],Retenciones!$A$1:$O$25,2,FALSE)</f>
        <v>0</v>
      </c>
      <c r="Z620" s="116" t="b">
        <f>OR(COUNTIF(PROVEEDORES[[#This Row],[PROVEEDOR]],"*"&amp;'Palabra no opera'!$A$2&amp;"*"))</f>
        <v>0</v>
      </c>
    </row>
    <row r="621" spans="1:26" ht="22.35" customHeight="1" x14ac:dyDescent="0.3">
      <c r="A621" s="171" t="str">
        <f>+IF(PROVEEDORES[[#This Row],[FECHA DE PAGO]]=PROVEEDORES[[#This Row],[FECHA DE FACTURACIÓN]],"DE CONTADO","CRÉDITO")</f>
        <v>DE CONTADO</v>
      </c>
      <c r="B621" s="38" t="b">
        <f>+IF((PROVEEDORES[[#This Row],[FECHA DE PAGO]]-PROVEEDORES[[#This Row],[FECHA DE FACTURACIÓN]])&gt;PROVEEDORES[[#This Row],[PLAZO Días]],"PAGO VENCIDO")</f>
        <v>0</v>
      </c>
      <c r="C621" s="20">
        <f>+VLOOKUP(PROVEEDORES[[#This Row],[PROVEEDOR]],TERCEROS_INFO[#All],2,FALSE)</f>
        <v>30</v>
      </c>
      <c r="D621" s="25">
        <f>+SUMIFS(PROVEEDORES[Total],PROVEEDORES[PROVEEDOR],PROVEEDORES[[#This Row],[PROVEEDOR]],PROVEEDORES[FECHA DE PAGO],"")</f>
        <v>0</v>
      </c>
      <c r="E621" s="25"/>
      <c r="F621" s="56" t="str">
        <f>+VLOOKUP(PROVEEDORES[[#This Row],[PROVEEDOR]],
                       Terceros!$A:$F,
                       5,
                       FALSE)</f>
        <v/>
      </c>
      <c r="G621" s="68">
        <v>44773</v>
      </c>
      <c r="H621" s="26" t="s">
        <v>362</v>
      </c>
      <c r="I621" s="68">
        <v>44773</v>
      </c>
      <c r="J621" s="35" t="s">
        <v>655</v>
      </c>
      <c r="K621" s="21">
        <v>127000</v>
      </c>
      <c r="L621" s="21"/>
      <c r="M621" s="22">
        <f>(PROVEEDORES[[#This Row],[SUBTOTAL]]-PROVEEDORES[[#This Row],[descuento sobre subtotal]])*VLOOKUP(PROVEEDORES[[#This Row],[PROVEEDOR]],TERCEROS_INFO[#All],3,FALSE)</f>
        <v>0</v>
      </c>
      <c r="N621" s="23"/>
      <c r="O621" s="22">
        <f>+PROVEEDORES[[#This Row],[Descuento sobre subtotal %]]*(PROVEEDORES[[#This Row],[SUBTOTAL]]-PROVEEDORES[[#This Row],[descuento sobre subtotal]])</f>
        <v>0</v>
      </c>
      <c r="P621" s="74">
        <f>+IF(PROVEEDORES[[#This Row],[SUBTOTAL]]&lt;PROVEEDORES[[#This Row],[base retencion]],0,PROVEEDORES[[#This Row],[retención aplicada]])</f>
        <v>0</v>
      </c>
      <c r="Q621" s="22">
        <f>+PROVEEDORES[[#This Row],[Rete Fuente %]]*(PROVEEDORES[[#This Row],[SUBTOTAL]]-PROVEEDORES[[#This Row],[descuento sobre subtotal]])</f>
        <v>0</v>
      </c>
      <c r="R621" s="21">
        <f>+PROVEEDORES[[#This Row],[SUBTOTAL]]+PROVEEDORES[[#This Row],[IVA 19%]]-PROVEEDORES[[#This Row],[descuento sobre subtotal]]-PROVEEDORES[[#This Row],[Descuento sobre subtotal $2]]-PROVEEDORES[[#This Row],[Rete Fuente $]]</f>
        <v>127000</v>
      </c>
      <c r="S621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63">
        <f ca="1">IF(PROVEEDORES[[#This Row],[FECHA DE PAGO]]=0,TODAY()-PROVEEDORES[[#This Row],[FECHA DE FACTURACIÓN]]-PROVEEDORES[[#This Row],[PLAZO Días]],0)</f>
        <v>0</v>
      </c>
      <c r="U621" s="104">
        <f>+VLOOKUP(PROVEEDORES[[#This Row],[PROVEEDOR]],Terceros!$A:$D,4,FALSE)</f>
        <v>0</v>
      </c>
      <c r="V621" s="105">
        <f>+YEAR(PROVEEDORES[[#This Row],[FECHA DE FACTURACIÓN]])</f>
        <v>2022</v>
      </c>
      <c r="W621" s="105">
        <f>+MATCH(PROVEEDORES[[#This Row],[año facturado]],Retenciones!$1:$1,0)</f>
        <v>5</v>
      </c>
      <c r="X621" s="106">
        <f>+VLOOKUP(PROVEEDORES[[#This Row],[ID RETENCION]],Retenciones!$A$1:$O$25,PROVEEDORES[[#This Row],[indicador de columna]],FALSE)</f>
        <v>0</v>
      </c>
      <c r="Y621" s="107">
        <f>+VLOOKUP(PROVEEDORES[[#This Row],[ID RETENCION]],Retenciones!$A$1:$O$25,2,FALSE)</f>
        <v>0</v>
      </c>
      <c r="Z621" s="116" t="b">
        <f>OR(COUNTIF(PROVEEDORES[[#This Row],[PROVEEDOR]],"*"&amp;'Palabra no opera'!$A$2&amp;"*"))</f>
        <v>0</v>
      </c>
    </row>
    <row r="622" spans="1:26" ht="22.35" customHeight="1" x14ac:dyDescent="0.3">
      <c r="A622" s="171" t="str">
        <f>+IF(PROVEEDORES[[#This Row],[FECHA DE PAGO]]=PROVEEDORES[[#This Row],[FECHA DE FACTURACIÓN]],"DE CONTADO","CRÉDITO")</f>
        <v>DE CONTADO</v>
      </c>
      <c r="B622" s="38" t="b">
        <f>+IF((PROVEEDORES[[#This Row],[FECHA DE PAGO]]-PROVEEDORES[[#This Row],[FECHA DE FACTURACIÓN]])&gt;PROVEEDORES[[#This Row],[PLAZO Días]],"PAGO VENCIDO")</f>
        <v>0</v>
      </c>
      <c r="C622" s="20">
        <f>+VLOOKUP(PROVEEDORES[[#This Row],[PROVEEDOR]],TERCEROS_INFO[#All],2,FALSE)</f>
        <v>30</v>
      </c>
      <c r="D622" s="25">
        <f>+SUMIFS(PROVEEDORES[Total],PROVEEDORES[PROVEEDOR],PROVEEDORES[[#This Row],[PROVEEDOR]],PROVEEDORES[FECHA DE PAGO],"")</f>
        <v>0</v>
      </c>
      <c r="E622" s="25"/>
      <c r="F622" s="56" t="str">
        <f>+VLOOKUP(PROVEEDORES[[#This Row],[PROVEEDOR]],
                       Terceros!$A:$F,
                       5,
                       FALSE)</f>
        <v/>
      </c>
      <c r="G622" s="68">
        <v>44773</v>
      </c>
      <c r="H622" s="26" t="s">
        <v>362</v>
      </c>
      <c r="I622" s="68">
        <v>44773</v>
      </c>
      <c r="J622" s="35" t="s">
        <v>319</v>
      </c>
      <c r="K622" s="21">
        <v>671000</v>
      </c>
      <c r="L622" s="21"/>
      <c r="M622" s="22">
        <f>(PROVEEDORES[[#This Row],[SUBTOTAL]]-PROVEEDORES[[#This Row],[descuento sobre subtotal]])*VLOOKUP(PROVEEDORES[[#This Row],[PROVEEDOR]],TERCEROS_INFO[#All],3,FALSE)</f>
        <v>0</v>
      </c>
      <c r="N622" s="23"/>
      <c r="O622" s="22">
        <f>+PROVEEDORES[[#This Row],[Descuento sobre subtotal %]]*(PROVEEDORES[[#This Row],[SUBTOTAL]]-PROVEEDORES[[#This Row],[descuento sobre subtotal]])</f>
        <v>0</v>
      </c>
      <c r="P622" s="74">
        <f>+IF(PROVEEDORES[[#This Row],[SUBTOTAL]]&lt;PROVEEDORES[[#This Row],[base retencion]],0,PROVEEDORES[[#This Row],[retención aplicada]])</f>
        <v>0</v>
      </c>
      <c r="Q622" s="22">
        <f>+PROVEEDORES[[#This Row],[Rete Fuente %]]*(PROVEEDORES[[#This Row],[SUBTOTAL]]-PROVEEDORES[[#This Row],[descuento sobre subtotal]])</f>
        <v>0</v>
      </c>
      <c r="R622" s="21">
        <f>+PROVEEDORES[[#This Row],[SUBTOTAL]]+PROVEEDORES[[#This Row],[IVA 19%]]-PROVEEDORES[[#This Row],[descuento sobre subtotal]]-PROVEEDORES[[#This Row],[Descuento sobre subtotal $2]]-PROVEEDORES[[#This Row],[Rete Fuente $]]</f>
        <v>671000</v>
      </c>
      <c r="S622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63">
        <f ca="1">IF(PROVEEDORES[[#This Row],[FECHA DE PAGO]]=0,TODAY()-PROVEEDORES[[#This Row],[FECHA DE FACTURACIÓN]]-PROVEEDORES[[#This Row],[PLAZO Días]],0)</f>
        <v>0</v>
      </c>
      <c r="U622" s="104">
        <f>+VLOOKUP(PROVEEDORES[[#This Row],[PROVEEDOR]],Terceros!$A:$D,4,FALSE)</f>
        <v>0</v>
      </c>
      <c r="V622" s="105">
        <f>+YEAR(PROVEEDORES[[#This Row],[FECHA DE FACTURACIÓN]])</f>
        <v>2022</v>
      </c>
      <c r="W622" s="105">
        <f>+MATCH(PROVEEDORES[[#This Row],[año facturado]],Retenciones!$1:$1,0)</f>
        <v>5</v>
      </c>
      <c r="X622" s="106">
        <f>+VLOOKUP(PROVEEDORES[[#This Row],[ID RETENCION]],Retenciones!$A$1:$O$25,PROVEEDORES[[#This Row],[indicador de columna]],FALSE)</f>
        <v>0</v>
      </c>
      <c r="Y622" s="107">
        <f>+VLOOKUP(PROVEEDORES[[#This Row],[ID RETENCION]],Retenciones!$A$1:$O$25,2,FALSE)</f>
        <v>0</v>
      </c>
      <c r="Z622" s="116" t="b">
        <f>OR(COUNTIF(PROVEEDORES[[#This Row],[PROVEEDOR]],"*"&amp;'Palabra no opera'!$A$2&amp;"*"))</f>
        <v>0</v>
      </c>
    </row>
    <row r="623" spans="1:26" ht="22.35" customHeight="1" x14ac:dyDescent="0.3">
      <c r="A623" s="171" t="str">
        <f>+IF(PROVEEDORES[[#This Row],[FECHA DE PAGO]]=PROVEEDORES[[#This Row],[FECHA DE FACTURACIÓN]],"DE CONTADO","CRÉDITO")</f>
        <v>DE CONTADO</v>
      </c>
      <c r="B623" s="38" t="b">
        <f>+IF((PROVEEDORES[[#This Row],[FECHA DE PAGO]]-PROVEEDORES[[#This Row],[FECHA DE FACTURACIÓN]])&gt;PROVEEDORES[[#This Row],[PLAZO Días]],"PAGO VENCIDO")</f>
        <v>0</v>
      </c>
      <c r="C623" s="20">
        <f>+VLOOKUP(PROVEEDORES[[#This Row],[PROVEEDOR]],TERCEROS_INFO[#All],2,FALSE)</f>
        <v>30</v>
      </c>
      <c r="D623" s="25">
        <f>+SUMIFS(PROVEEDORES[Total],PROVEEDORES[PROVEEDOR],PROVEEDORES[[#This Row],[PROVEEDOR]],PROVEEDORES[FECHA DE PAGO],"")</f>
        <v>0</v>
      </c>
      <c r="E623" s="25"/>
      <c r="F623" s="56" t="str">
        <f>+VLOOKUP(PROVEEDORES[[#This Row],[PROVEEDOR]],
                       Terceros!$A:$F,
                       5,
                       FALSE)</f>
        <v/>
      </c>
      <c r="G623" s="68">
        <v>44773</v>
      </c>
      <c r="H623" s="26" t="s">
        <v>362</v>
      </c>
      <c r="I623" s="68">
        <v>44773</v>
      </c>
      <c r="J623" s="35" t="s">
        <v>318</v>
      </c>
      <c r="K623" s="21">
        <v>728200</v>
      </c>
      <c r="L623" s="21"/>
      <c r="M623" s="22">
        <f>(PROVEEDORES[[#This Row],[SUBTOTAL]]-PROVEEDORES[[#This Row],[descuento sobre subtotal]])*VLOOKUP(PROVEEDORES[[#This Row],[PROVEEDOR]],TERCEROS_INFO[#All],3,FALSE)</f>
        <v>0</v>
      </c>
      <c r="N623" s="23"/>
      <c r="O623" s="22">
        <f>+PROVEEDORES[[#This Row],[Descuento sobre subtotal %]]*(PROVEEDORES[[#This Row],[SUBTOTAL]]-PROVEEDORES[[#This Row],[descuento sobre subtotal]])</f>
        <v>0</v>
      </c>
      <c r="P623" s="74">
        <f>+IF(PROVEEDORES[[#This Row],[SUBTOTAL]]&lt;PROVEEDORES[[#This Row],[base retencion]],0,PROVEEDORES[[#This Row],[retención aplicada]])</f>
        <v>0</v>
      </c>
      <c r="Q623" s="22">
        <f>+PROVEEDORES[[#This Row],[Rete Fuente %]]*(PROVEEDORES[[#This Row],[SUBTOTAL]]-PROVEEDORES[[#This Row],[descuento sobre subtotal]])</f>
        <v>0</v>
      </c>
      <c r="R623" s="21">
        <f>+PROVEEDORES[[#This Row],[SUBTOTAL]]+PROVEEDORES[[#This Row],[IVA 19%]]-PROVEEDORES[[#This Row],[descuento sobre subtotal]]-PROVEEDORES[[#This Row],[Descuento sobre subtotal $2]]-PROVEEDORES[[#This Row],[Rete Fuente $]]</f>
        <v>728200</v>
      </c>
      <c r="S623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3" s="63">
        <f ca="1">IF(PROVEEDORES[[#This Row],[FECHA DE PAGO]]=0,TODAY()-PROVEEDORES[[#This Row],[FECHA DE FACTURACIÓN]]-PROVEEDORES[[#This Row],[PLAZO Días]],0)</f>
        <v>0</v>
      </c>
      <c r="U623" s="104">
        <f>+VLOOKUP(PROVEEDORES[[#This Row],[PROVEEDOR]],Terceros!$A:$D,4,FALSE)</f>
        <v>0</v>
      </c>
      <c r="V623" s="105">
        <f>+YEAR(PROVEEDORES[[#This Row],[FECHA DE FACTURACIÓN]])</f>
        <v>2022</v>
      </c>
      <c r="W623" s="105">
        <f>+MATCH(PROVEEDORES[[#This Row],[año facturado]],Retenciones!$1:$1,0)</f>
        <v>5</v>
      </c>
      <c r="X623" s="106">
        <f>+VLOOKUP(PROVEEDORES[[#This Row],[ID RETENCION]],Retenciones!$A$1:$O$25,PROVEEDORES[[#This Row],[indicador de columna]],FALSE)</f>
        <v>0</v>
      </c>
      <c r="Y623" s="107">
        <f>+VLOOKUP(PROVEEDORES[[#This Row],[ID RETENCION]],Retenciones!$A$1:$O$25,2,FALSE)</f>
        <v>0</v>
      </c>
      <c r="Z623" s="116" t="b">
        <f>OR(COUNTIF(PROVEEDORES[[#This Row],[PROVEEDOR]],"*"&amp;'Palabra no opera'!$A$2&amp;"*"))</f>
        <v>0</v>
      </c>
    </row>
    <row r="624" spans="1:26" ht="22.35" customHeight="1" x14ac:dyDescent="0.3">
      <c r="A624" s="171" t="str">
        <f>+IF(PROVEEDORES[[#This Row],[FECHA DE PAGO]]=PROVEEDORES[[#This Row],[FECHA DE FACTURACIÓN]],"DE CONTADO","CRÉDITO")</f>
        <v>DE CONTADO</v>
      </c>
      <c r="B624" s="38" t="b">
        <f>+IF((PROVEEDORES[[#This Row],[FECHA DE PAGO]]-PROVEEDORES[[#This Row],[FECHA DE FACTURACIÓN]])&gt;PROVEEDORES[[#This Row],[PLAZO Días]],"PAGO VENCIDO")</f>
        <v>0</v>
      </c>
      <c r="C624" s="20">
        <f>+VLOOKUP(PROVEEDORES[[#This Row],[PROVEEDOR]],TERCEROS_INFO[#All],2,FALSE)</f>
        <v>30</v>
      </c>
      <c r="D624" s="25">
        <f>+SUMIFS(PROVEEDORES[Total],PROVEEDORES[PROVEEDOR],PROVEEDORES[[#This Row],[PROVEEDOR]],PROVEEDORES[FECHA DE PAGO],"")</f>
        <v>0</v>
      </c>
      <c r="E624" s="25"/>
      <c r="F624" s="56" t="str">
        <f>+VLOOKUP(PROVEEDORES[[#This Row],[PROVEEDOR]],
                       Terceros!$A:$F,
                       5,
                       FALSE)</f>
        <v/>
      </c>
      <c r="G624" s="68">
        <v>44773</v>
      </c>
      <c r="H624" s="26" t="s">
        <v>362</v>
      </c>
      <c r="I624" s="68">
        <v>44773</v>
      </c>
      <c r="J624" s="35" t="s">
        <v>139</v>
      </c>
      <c r="K624" s="21">
        <v>986500</v>
      </c>
      <c r="L624" s="21"/>
      <c r="M624" s="22">
        <f>(PROVEEDORES[[#This Row],[SUBTOTAL]]-PROVEEDORES[[#This Row],[descuento sobre subtotal]])*VLOOKUP(PROVEEDORES[[#This Row],[PROVEEDOR]],TERCEROS_INFO[#All],3,FALSE)</f>
        <v>0</v>
      </c>
      <c r="N624" s="23"/>
      <c r="O624" s="22">
        <f>+PROVEEDORES[[#This Row],[Descuento sobre subtotal %]]*(PROVEEDORES[[#This Row],[SUBTOTAL]]-PROVEEDORES[[#This Row],[descuento sobre subtotal]])</f>
        <v>0</v>
      </c>
      <c r="P624" s="74">
        <f>+IF(PROVEEDORES[[#This Row],[SUBTOTAL]]&lt;PROVEEDORES[[#This Row],[base retencion]],0,PROVEEDORES[[#This Row],[retención aplicada]])</f>
        <v>0</v>
      </c>
      <c r="Q624" s="22">
        <f>+PROVEEDORES[[#This Row],[Rete Fuente %]]*(PROVEEDORES[[#This Row],[SUBTOTAL]]-PROVEEDORES[[#This Row],[descuento sobre subtotal]])</f>
        <v>0</v>
      </c>
      <c r="R624" s="21">
        <f>+PROVEEDORES[[#This Row],[SUBTOTAL]]+PROVEEDORES[[#This Row],[IVA 19%]]-PROVEEDORES[[#This Row],[descuento sobre subtotal]]-PROVEEDORES[[#This Row],[Descuento sobre subtotal $2]]-PROVEEDORES[[#This Row],[Rete Fuente $]]</f>
        <v>986500</v>
      </c>
      <c r="S624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63">
        <f ca="1">IF(PROVEEDORES[[#This Row],[FECHA DE PAGO]]=0,TODAY()-PROVEEDORES[[#This Row],[FECHA DE FACTURACIÓN]]-PROVEEDORES[[#This Row],[PLAZO Días]],0)</f>
        <v>0</v>
      </c>
      <c r="U624" s="104">
        <f>+VLOOKUP(PROVEEDORES[[#This Row],[PROVEEDOR]],Terceros!$A:$D,4,FALSE)</f>
        <v>0</v>
      </c>
      <c r="V624" s="105">
        <f>+YEAR(PROVEEDORES[[#This Row],[FECHA DE FACTURACIÓN]])</f>
        <v>2022</v>
      </c>
      <c r="W624" s="105">
        <f>+MATCH(PROVEEDORES[[#This Row],[año facturado]],Retenciones!$1:$1,0)</f>
        <v>5</v>
      </c>
      <c r="X624" s="106">
        <f>+VLOOKUP(PROVEEDORES[[#This Row],[ID RETENCION]],Retenciones!$A$1:$O$25,PROVEEDORES[[#This Row],[indicador de columna]],FALSE)</f>
        <v>0</v>
      </c>
      <c r="Y624" s="107">
        <f>+VLOOKUP(PROVEEDORES[[#This Row],[ID RETENCION]],Retenciones!$A$1:$O$25,2,FALSE)</f>
        <v>0</v>
      </c>
      <c r="Z624" s="116" t="b">
        <f>OR(COUNTIF(PROVEEDORES[[#This Row],[PROVEEDOR]],"*"&amp;'Palabra no opera'!$A$2&amp;"*"))</f>
        <v>0</v>
      </c>
    </row>
    <row r="625" spans="1:26" ht="22.35" customHeight="1" x14ac:dyDescent="0.3">
      <c r="A625" s="171" t="str">
        <f>+IF(PROVEEDORES[[#This Row],[FECHA DE PAGO]]=PROVEEDORES[[#This Row],[FECHA DE FACTURACIÓN]],"DE CONTADO","CRÉDITO")</f>
        <v>DE CONTADO</v>
      </c>
      <c r="B625" s="38" t="b">
        <f>+IF((PROVEEDORES[[#This Row],[FECHA DE PAGO]]-PROVEEDORES[[#This Row],[FECHA DE FACTURACIÓN]])&gt;PROVEEDORES[[#This Row],[PLAZO Días]],"PAGO VENCIDO")</f>
        <v>0</v>
      </c>
      <c r="C625" s="20">
        <f>+VLOOKUP(PROVEEDORES[[#This Row],[PROVEEDOR]],TERCEROS_INFO[#All],2,FALSE)</f>
        <v>30</v>
      </c>
      <c r="D625" s="25">
        <f>+SUMIFS(PROVEEDORES[Total],PROVEEDORES[PROVEEDOR],PROVEEDORES[[#This Row],[PROVEEDOR]],PROVEEDORES[FECHA DE PAGO],"")</f>
        <v>0</v>
      </c>
      <c r="E625" s="25"/>
      <c r="F625" s="56" t="str">
        <f>+VLOOKUP(PROVEEDORES[[#This Row],[PROVEEDOR]],
                       Terceros!$A:$F,
                       5,
                       FALSE)</f>
        <v/>
      </c>
      <c r="G625" s="68">
        <v>44773</v>
      </c>
      <c r="H625" s="26" t="s">
        <v>362</v>
      </c>
      <c r="I625" s="68">
        <v>44773</v>
      </c>
      <c r="J625" s="35" t="s">
        <v>316</v>
      </c>
      <c r="K625" s="21">
        <v>2950000</v>
      </c>
      <c r="L625" s="21"/>
      <c r="M625" s="22">
        <f>(PROVEEDORES[[#This Row],[SUBTOTAL]]-PROVEEDORES[[#This Row],[descuento sobre subtotal]])*VLOOKUP(PROVEEDORES[[#This Row],[PROVEEDOR]],TERCEROS_INFO[#All],3,FALSE)</f>
        <v>0</v>
      </c>
      <c r="N625" s="23"/>
      <c r="O625" s="22">
        <f>+PROVEEDORES[[#This Row],[Descuento sobre subtotal %]]*(PROVEEDORES[[#This Row],[SUBTOTAL]]-PROVEEDORES[[#This Row],[descuento sobre subtotal]])</f>
        <v>0</v>
      </c>
      <c r="P625" s="74">
        <f>+IF(PROVEEDORES[[#This Row],[SUBTOTAL]]&lt;PROVEEDORES[[#This Row],[base retencion]],0,PROVEEDORES[[#This Row],[retención aplicada]])</f>
        <v>0</v>
      </c>
      <c r="Q625" s="22">
        <f>+PROVEEDORES[[#This Row],[Rete Fuente %]]*(PROVEEDORES[[#This Row],[SUBTOTAL]]-PROVEEDORES[[#This Row],[descuento sobre subtotal]])</f>
        <v>0</v>
      </c>
      <c r="R625" s="21">
        <f>+PROVEEDORES[[#This Row],[SUBTOTAL]]+PROVEEDORES[[#This Row],[IVA 19%]]-PROVEEDORES[[#This Row],[descuento sobre subtotal]]-PROVEEDORES[[#This Row],[Descuento sobre subtotal $2]]-PROVEEDORES[[#This Row],[Rete Fuente $]]</f>
        <v>2950000</v>
      </c>
      <c r="S625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63">
        <f ca="1">IF(PROVEEDORES[[#This Row],[FECHA DE PAGO]]=0,TODAY()-PROVEEDORES[[#This Row],[FECHA DE FACTURACIÓN]]-PROVEEDORES[[#This Row],[PLAZO Días]],0)</f>
        <v>0</v>
      </c>
      <c r="U625" s="104">
        <f>+VLOOKUP(PROVEEDORES[[#This Row],[PROVEEDOR]],Terceros!$A:$D,4,FALSE)</f>
        <v>0</v>
      </c>
      <c r="V625" s="105">
        <f>+YEAR(PROVEEDORES[[#This Row],[FECHA DE FACTURACIÓN]])</f>
        <v>2022</v>
      </c>
      <c r="W625" s="105">
        <f>+MATCH(PROVEEDORES[[#This Row],[año facturado]],Retenciones!$1:$1,0)</f>
        <v>5</v>
      </c>
      <c r="X625" s="106">
        <f>+VLOOKUP(PROVEEDORES[[#This Row],[ID RETENCION]],Retenciones!$A$1:$O$25,PROVEEDORES[[#This Row],[indicador de columna]],FALSE)</f>
        <v>0</v>
      </c>
      <c r="Y625" s="107">
        <f>+VLOOKUP(PROVEEDORES[[#This Row],[ID RETENCION]],Retenciones!$A$1:$O$25,2,FALSE)</f>
        <v>0</v>
      </c>
      <c r="Z625" s="116" t="b">
        <f>OR(COUNTIF(PROVEEDORES[[#This Row],[PROVEEDOR]],"*"&amp;'Palabra no opera'!$A$2&amp;"*"))</f>
        <v>0</v>
      </c>
    </row>
    <row r="626" spans="1:26" ht="22.35" customHeight="1" x14ac:dyDescent="0.3">
      <c r="A626" s="148" t="str">
        <f>+IF(PROVEEDORES[[#This Row],[FECHA DE PAGO]]=PROVEEDORES[[#This Row],[FECHA DE FACTURACIÓN]],"DE CONTADO","CRÉDITO")</f>
        <v>CRÉDITO</v>
      </c>
      <c r="B626" s="38" t="str">
        <f>+IF((PROVEEDORES[[#This Row],[FECHA DE PAGO]]-PROVEEDORES[[#This Row],[FECHA DE FACTURACIÓN]])&gt;PROVEEDORES[[#This Row],[PLAZO Días]],"PAGO VENCIDO")</f>
        <v>PAGO VENCIDO</v>
      </c>
      <c r="C626" s="20">
        <f>+VLOOKUP(PROVEEDORES[[#This Row],[PROVEEDOR]],TERCEROS_INFO[#All],2,FALSE)</f>
        <v>30</v>
      </c>
      <c r="D626" s="25">
        <f>+SUMIFS(PROVEEDORES[Total],PROVEEDORES[PROVEEDOR],PROVEEDORES[[#This Row],[PROVEEDOR]],PROVEEDORES[FECHA DE PAGO],"")</f>
        <v>3669750</v>
      </c>
      <c r="E626" s="25"/>
      <c r="F626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26" s="68">
        <v>44774</v>
      </c>
      <c r="H626" s="26" t="s">
        <v>24</v>
      </c>
      <c r="I626" s="68">
        <v>44720</v>
      </c>
      <c r="J626" s="35" t="s">
        <v>768</v>
      </c>
      <c r="K626" s="21">
        <v>1909610</v>
      </c>
      <c r="L626" s="21"/>
      <c r="M626" s="22">
        <f>(PROVEEDORES[[#This Row],[SUBTOTAL]]-PROVEEDORES[[#This Row],[descuento sobre subtotal]])*VLOOKUP(PROVEEDORES[[#This Row],[PROVEEDOR]],TERCEROS_INFO[#All],3,FALSE)</f>
        <v>362825.9</v>
      </c>
      <c r="N626" s="23"/>
      <c r="O626" s="22">
        <f>+PROVEEDORES[[#This Row],[Descuento sobre subtotal %]]*(PROVEEDORES[[#This Row],[SUBTOTAL]]-PROVEEDORES[[#This Row],[descuento sobre subtotal]])</f>
        <v>0</v>
      </c>
      <c r="P626" s="74">
        <f>+IF(PROVEEDORES[[#This Row],[SUBTOTAL]]&lt;PROVEEDORES[[#This Row],[base retencion]],0,PROVEEDORES[[#This Row],[retención aplicada]])</f>
        <v>2.5000000000000001E-2</v>
      </c>
      <c r="Q626" s="22">
        <f>+PROVEEDORES[[#This Row],[Rete Fuente %]]*(PROVEEDORES[[#This Row],[SUBTOTAL]]-PROVEEDORES[[#This Row],[descuento sobre subtotal]])</f>
        <v>47740.25</v>
      </c>
      <c r="R626" s="21">
        <f>+PROVEEDORES[[#This Row],[SUBTOTAL]]+PROVEEDORES[[#This Row],[IVA 19%]]-PROVEEDORES[[#This Row],[descuento sobre subtotal]]-PROVEEDORES[[#This Row],[Descuento sobre subtotal $2]]-PROVEEDORES[[#This Row],[Rete Fuente $]]</f>
        <v>2224695.65</v>
      </c>
      <c r="S62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63">
        <f ca="1">IF(PROVEEDORES[[#This Row],[FECHA DE PAGO]]=0,TODAY()-PROVEEDORES[[#This Row],[FECHA DE FACTURACIÓN]]-PROVEEDORES[[#This Row],[PLAZO Días]],0)</f>
        <v>0</v>
      </c>
      <c r="U626" s="104" t="str">
        <f>+VLOOKUP(PROVEEDORES[[#This Row],[PROVEEDOR]],Terceros!$A:$D,4,FALSE)</f>
        <v>2,5% con base</v>
      </c>
      <c r="V626" s="105">
        <f>+YEAR(PROVEEDORES[[#This Row],[FECHA DE FACTURACIÓN]])</f>
        <v>2022</v>
      </c>
      <c r="W626" s="105">
        <f>+MATCH(PROVEEDORES[[#This Row],[año facturado]],Retenciones!$1:$1,0)</f>
        <v>5</v>
      </c>
      <c r="X626" s="106">
        <f>+VLOOKUP(PROVEEDORES[[#This Row],[ID RETENCION]],Retenciones!$A$1:$O$25,PROVEEDORES[[#This Row],[indicador de columna]],FALSE)</f>
        <v>1026000</v>
      </c>
      <c r="Y626" s="107">
        <f>+VLOOKUP(PROVEEDORES[[#This Row],[ID RETENCION]],Retenciones!$A$1:$O$25,2,FALSE)</f>
        <v>2.5000000000000001E-2</v>
      </c>
      <c r="Z626" s="116" t="b">
        <f>OR(COUNTIF(PROVEEDORES[[#This Row],[PROVEEDOR]],"*"&amp;'Palabra no opera'!$A$2&amp;"*"))</f>
        <v>0</v>
      </c>
    </row>
    <row r="627" spans="1:26" ht="22.35" customHeight="1" x14ac:dyDescent="0.3">
      <c r="A627" s="148" t="str">
        <f>+IF(PROVEEDORES[[#This Row],[FECHA DE PAGO]]=PROVEEDORES[[#This Row],[FECHA DE FACTURACIÓN]],"DE CONTADO","CRÉDITO")</f>
        <v>CRÉDITO</v>
      </c>
      <c r="B627" s="38" t="str">
        <f>+IF((PROVEEDORES[[#This Row],[FECHA DE PAGO]]-PROVEEDORES[[#This Row],[FECHA DE FACTURACIÓN]])&gt;PROVEEDORES[[#This Row],[PLAZO Días]],"PAGO VENCIDO")</f>
        <v>PAGO VENCIDO</v>
      </c>
      <c r="C627" s="20">
        <f>+VLOOKUP(PROVEEDORES[[#This Row],[PROVEEDOR]],TERCEROS_INFO[#All],2,FALSE)</f>
        <v>30</v>
      </c>
      <c r="D627" s="25">
        <f>+SUMIFS(PROVEEDORES[Total],PROVEEDORES[PROVEEDOR],PROVEEDORES[[#This Row],[PROVEEDOR]],PROVEEDORES[FECHA DE PAGO],"")</f>
        <v>3669750</v>
      </c>
      <c r="E627" s="25"/>
      <c r="F627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27" s="68">
        <v>44774</v>
      </c>
      <c r="H627" s="26" t="s">
        <v>24</v>
      </c>
      <c r="I627" s="68">
        <v>44722</v>
      </c>
      <c r="J627" s="35" t="s">
        <v>767</v>
      </c>
      <c r="K627" s="21">
        <v>806050</v>
      </c>
      <c r="L627" s="21"/>
      <c r="M627" s="22">
        <f>(PROVEEDORES[[#This Row],[SUBTOTAL]]-PROVEEDORES[[#This Row],[descuento sobre subtotal]])*VLOOKUP(PROVEEDORES[[#This Row],[PROVEEDOR]],TERCEROS_INFO[#All],3,FALSE)</f>
        <v>153149.5</v>
      </c>
      <c r="N627" s="23"/>
      <c r="O627" s="22">
        <f>+PROVEEDORES[[#This Row],[Descuento sobre subtotal %]]*(PROVEEDORES[[#This Row],[SUBTOTAL]]-PROVEEDORES[[#This Row],[descuento sobre subtotal]])</f>
        <v>0</v>
      </c>
      <c r="P627" s="74">
        <f>+IF(PROVEEDORES[[#This Row],[SUBTOTAL]]&lt;PROVEEDORES[[#This Row],[base retencion]],0,PROVEEDORES[[#This Row],[retención aplicada]])</f>
        <v>0</v>
      </c>
      <c r="Q627" s="22">
        <f>+PROVEEDORES[[#This Row],[Rete Fuente %]]*(PROVEEDORES[[#This Row],[SUBTOTAL]]-PROVEEDORES[[#This Row],[descuento sobre subtotal]])</f>
        <v>0</v>
      </c>
      <c r="R627" s="21">
        <f>+PROVEEDORES[[#This Row],[SUBTOTAL]]+PROVEEDORES[[#This Row],[IVA 19%]]-PROVEEDORES[[#This Row],[descuento sobre subtotal]]-PROVEEDORES[[#This Row],[Descuento sobre subtotal $2]]-PROVEEDORES[[#This Row],[Rete Fuente $]]</f>
        <v>959199.5</v>
      </c>
      <c r="S627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63">
        <f ca="1">IF(PROVEEDORES[[#This Row],[FECHA DE PAGO]]=0,TODAY()-PROVEEDORES[[#This Row],[FECHA DE FACTURACIÓN]]-PROVEEDORES[[#This Row],[PLAZO Días]],0)</f>
        <v>0</v>
      </c>
      <c r="U627" s="104" t="str">
        <f>+VLOOKUP(PROVEEDORES[[#This Row],[PROVEEDOR]],Terceros!$A:$D,4,FALSE)</f>
        <v>2,5% con base</v>
      </c>
      <c r="V627" s="105">
        <f>+YEAR(PROVEEDORES[[#This Row],[FECHA DE FACTURACIÓN]])</f>
        <v>2022</v>
      </c>
      <c r="W627" s="105">
        <f>+MATCH(PROVEEDORES[[#This Row],[año facturado]],Retenciones!$1:$1,0)</f>
        <v>5</v>
      </c>
      <c r="X627" s="106">
        <f>+VLOOKUP(PROVEEDORES[[#This Row],[ID RETENCION]],Retenciones!$A$1:$O$25,PROVEEDORES[[#This Row],[indicador de columna]],FALSE)</f>
        <v>1026000</v>
      </c>
      <c r="Y627" s="107">
        <f>+VLOOKUP(PROVEEDORES[[#This Row],[ID RETENCION]],Retenciones!$A$1:$O$25,2,FALSE)</f>
        <v>2.5000000000000001E-2</v>
      </c>
      <c r="Z627" s="116" t="b">
        <f>OR(COUNTIF(PROVEEDORES[[#This Row],[PROVEEDOR]],"*"&amp;'Palabra no opera'!$A$2&amp;"*"))</f>
        <v>0</v>
      </c>
    </row>
    <row r="628" spans="1:26" ht="22.35" customHeight="1" x14ac:dyDescent="0.3">
      <c r="A628" s="148" t="str">
        <f>+IF(PROVEEDORES[[#This Row],[FECHA DE PAGO]]=PROVEEDORES[[#This Row],[FECHA DE FACTURACIÓN]],"DE CONTADO","CRÉDITO")</f>
        <v>CRÉDITO</v>
      </c>
      <c r="B628" s="38" t="str">
        <f>+IF((PROVEEDORES[[#This Row],[FECHA DE PAGO]]-PROVEEDORES[[#This Row],[FECHA DE FACTURACIÓN]])&gt;PROVEEDORES[[#This Row],[PLAZO Días]],"PAGO VENCIDO")</f>
        <v>PAGO VENCIDO</v>
      </c>
      <c r="C628" s="20">
        <f>+VLOOKUP(PROVEEDORES[[#This Row],[PROVEEDOR]],TERCEROS_INFO[#All],2,FALSE)</f>
        <v>30</v>
      </c>
      <c r="D628" s="25">
        <f>+SUMIFS(PROVEEDORES[Total],PROVEEDORES[PROVEEDOR],PROVEEDORES[[#This Row],[PROVEEDOR]],PROVEEDORES[FECHA DE PAGO],"")</f>
        <v>342000</v>
      </c>
      <c r="E628" s="25"/>
      <c r="F628" s="56" t="str">
        <f>+VLOOKUP(PROVEEDORES[[#This Row],[PROVEEDOR]],
                       Terceros!$A:$F,
                       5,
                       FALSE)</f>
        <v/>
      </c>
      <c r="G628" s="68">
        <v>44775</v>
      </c>
      <c r="H628" s="26" t="s">
        <v>344</v>
      </c>
      <c r="I628" s="68">
        <v>44740</v>
      </c>
      <c r="J628" s="35" t="s">
        <v>1041</v>
      </c>
      <c r="K628" s="21">
        <v>265000</v>
      </c>
      <c r="L628" s="21"/>
      <c r="M628" s="22">
        <f>(PROVEEDORES[[#This Row],[SUBTOTAL]]-PROVEEDORES[[#This Row],[descuento sobre subtotal]])*VLOOKUP(PROVEEDORES[[#This Row],[PROVEEDOR]],TERCEROS_INFO[#All],3,FALSE)</f>
        <v>0</v>
      </c>
      <c r="N628" s="23"/>
      <c r="O628" s="22">
        <f>+PROVEEDORES[[#This Row],[Descuento sobre subtotal %]]*(PROVEEDORES[[#This Row],[SUBTOTAL]]-PROVEEDORES[[#This Row],[descuento sobre subtotal]])</f>
        <v>0</v>
      </c>
      <c r="P628" s="74">
        <f>+IF(PROVEEDORES[[#This Row],[SUBTOTAL]]&lt;PROVEEDORES[[#This Row],[base retencion]],0,PROVEEDORES[[#This Row],[retención aplicada]])</f>
        <v>0</v>
      </c>
      <c r="Q628" s="22">
        <f>+PROVEEDORES[[#This Row],[Rete Fuente %]]*(PROVEEDORES[[#This Row],[SUBTOTAL]]-PROVEEDORES[[#This Row],[descuento sobre subtotal]])</f>
        <v>0</v>
      </c>
      <c r="R628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62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63">
        <f ca="1">IF(PROVEEDORES[[#This Row],[FECHA DE PAGO]]=0,TODAY()-PROVEEDORES[[#This Row],[FECHA DE FACTURACIÓN]]-PROVEEDORES[[#This Row],[PLAZO Días]],0)</f>
        <v>0</v>
      </c>
      <c r="U628" s="104">
        <f>+VLOOKUP(PROVEEDORES[[#This Row],[PROVEEDOR]],Terceros!$A:$D,4,FALSE)</f>
        <v>0</v>
      </c>
      <c r="V628" s="105">
        <f>+YEAR(PROVEEDORES[[#This Row],[FECHA DE FACTURACIÓN]])</f>
        <v>2022</v>
      </c>
      <c r="W628" s="105">
        <f>+MATCH(PROVEEDORES[[#This Row],[año facturado]],Retenciones!$1:$1,0)</f>
        <v>5</v>
      </c>
      <c r="X628" s="106">
        <f>+VLOOKUP(PROVEEDORES[[#This Row],[ID RETENCION]],Retenciones!$A$1:$O$25,PROVEEDORES[[#This Row],[indicador de columna]],FALSE)</f>
        <v>0</v>
      </c>
      <c r="Y628" s="107">
        <f>+VLOOKUP(PROVEEDORES[[#This Row],[ID RETENCION]],Retenciones!$A$1:$O$25,2,FALSE)</f>
        <v>0</v>
      </c>
      <c r="Z628" s="116" t="b">
        <f>OR(COUNTIF(PROVEEDORES[[#This Row],[PROVEEDOR]],"*"&amp;'Palabra no opera'!$A$2&amp;"*"))</f>
        <v>0</v>
      </c>
    </row>
    <row r="629" spans="1:26" ht="22.35" customHeight="1" x14ac:dyDescent="0.3">
      <c r="A629" s="133" t="str">
        <f>+IF(PROVEEDORES[[#This Row],[FECHA DE PAGO]]=PROVEEDORES[[#This Row],[FECHA DE FACTURACIÓN]],"DE CONTADO","CRÉDITO")</f>
        <v>CRÉDITO</v>
      </c>
      <c r="B629" s="38" t="str">
        <f>+IF((PROVEEDORES[[#This Row],[FECHA DE PAGO]]-PROVEEDORES[[#This Row],[FECHA DE FACTURACIÓN]])&gt;PROVEEDORES[[#This Row],[PLAZO Días]],"PAGO VENCIDO")</f>
        <v>PAGO VENCIDO</v>
      </c>
      <c r="C629" s="20">
        <f>+VLOOKUP(PROVEEDORES[[#This Row],[PROVEEDOR]],TERCEROS_INFO[#All],2,FALSE)</f>
        <v>30</v>
      </c>
      <c r="D629" s="25">
        <f>+SUMIFS(PROVEEDORES[Total],PROVEEDORES[PROVEEDOR],PROVEEDORES[[#This Row],[PROVEEDOR]],PROVEEDORES[FECHA DE PAGO],"")</f>
        <v>0</v>
      </c>
      <c r="E629" s="25"/>
      <c r="F629" s="56" t="str">
        <f>+VLOOKUP(PROVEEDORES[[#This Row],[PROVEEDOR]],
                       Terceros!$A:$F,
                       5,
                       FALSE)</f>
        <v/>
      </c>
      <c r="G629" s="68">
        <v>44775</v>
      </c>
      <c r="H629" s="26" t="s">
        <v>345</v>
      </c>
      <c r="I629" s="68">
        <v>44702</v>
      </c>
      <c r="J629" s="35" t="s">
        <v>1031</v>
      </c>
      <c r="K629" s="21">
        <v>2272000</v>
      </c>
      <c r="L629" s="21"/>
      <c r="M629" s="22">
        <f>(PROVEEDORES[[#This Row],[SUBTOTAL]]-PROVEEDORES[[#This Row],[descuento sobre subtotal]])*VLOOKUP(PROVEEDORES[[#This Row],[PROVEEDOR]],TERCEROS_INFO[#All],3,FALSE)</f>
        <v>0</v>
      </c>
      <c r="N629" s="23"/>
      <c r="O629" s="22">
        <f>+PROVEEDORES[[#This Row],[Descuento sobre subtotal %]]*(PROVEEDORES[[#This Row],[SUBTOTAL]]-PROVEEDORES[[#This Row],[descuento sobre subtotal]])</f>
        <v>0</v>
      </c>
      <c r="P629" s="74">
        <f>+IF(PROVEEDORES[[#This Row],[SUBTOTAL]]&lt;PROVEEDORES[[#This Row],[base retencion]],0,PROVEEDORES[[#This Row],[retención aplicada]])</f>
        <v>0</v>
      </c>
      <c r="Q629" s="22">
        <f>+PROVEEDORES[[#This Row],[Rete Fuente %]]*(PROVEEDORES[[#This Row],[SUBTOTAL]]-PROVEEDORES[[#This Row],[descuento sobre subtotal]])</f>
        <v>0</v>
      </c>
      <c r="R629" s="21">
        <f>+PROVEEDORES[[#This Row],[SUBTOTAL]]+PROVEEDORES[[#This Row],[IVA 19%]]-PROVEEDORES[[#This Row],[descuento sobre subtotal]]-PROVEEDORES[[#This Row],[Descuento sobre subtotal $2]]-PROVEEDORES[[#This Row],[Rete Fuente $]]</f>
        <v>2272000</v>
      </c>
      <c r="S629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63">
        <f ca="1">IF(PROVEEDORES[[#This Row],[FECHA DE PAGO]]=0,TODAY()-PROVEEDORES[[#This Row],[FECHA DE FACTURACIÓN]]-PROVEEDORES[[#This Row],[PLAZO Días]],0)</f>
        <v>0</v>
      </c>
      <c r="U629" s="104">
        <f>+VLOOKUP(PROVEEDORES[[#This Row],[PROVEEDOR]],Terceros!$A:$D,4,FALSE)</f>
        <v>0</v>
      </c>
      <c r="V629" s="105">
        <f>+YEAR(PROVEEDORES[[#This Row],[FECHA DE FACTURACIÓN]])</f>
        <v>2022</v>
      </c>
      <c r="W629" s="105">
        <f>+MATCH(PROVEEDORES[[#This Row],[año facturado]],Retenciones!$1:$1,0)</f>
        <v>5</v>
      </c>
      <c r="X629" s="106">
        <f>+VLOOKUP(PROVEEDORES[[#This Row],[ID RETENCION]],Retenciones!$A$1:$O$25,PROVEEDORES[[#This Row],[indicador de columna]],FALSE)</f>
        <v>0</v>
      </c>
      <c r="Y629" s="107">
        <f>+VLOOKUP(PROVEEDORES[[#This Row],[ID RETENCION]],Retenciones!$A$1:$O$25,2,FALSE)</f>
        <v>0</v>
      </c>
      <c r="Z629" s="116" t="b">
        <f>OR(COUNTIF(PROVEEDORES[[#This Row],[PROVEEDOR]],"*"&amp;'Palabra no opera'!$A$2&amp;"*"))</f>
        <v>0</v>
      </c>
    </row>
    <row r="630" spans="1:26" ht="22.35" customHeight="1" x14ac:dyDescent="0.3">
      <c r="A630" s="67" t="str">
        <f>+IF(PROVEEDORES[[#This Row],[FECHA DE PAGO]]=PROVEEDORES[[#This Row],[FECHA DE FACTURACIÓN]],"DE CONTADO","CRÉDITO")</f>
        <v>DE CONTADO</v>
      </c>
      <c r="B630" s="38" t="b">
        <f>+IF((PROVEEDORES[[#This Row],[FECHA DE PAGO]]-PROVEEDORES[[#This Row],[FECHA DE FACTURACIÓN]])&gt;PROVEEDORES[[#This Row],[PLAZO Días]],"PAGO VENCIDO")</f>
        <v>0</v>
      </c>
      <c r="C630" s="20">
        <f>+VLOOKUP(PROVEEDORES[[#This Row],[PROVEEDOR]],TERCEROS_INFO[#All],2,FALSE)</f>
        <v>0</v>
      </c>
      <c r="D630" s="25">
        <f>+SUMIFS(PROVEEDORES[Total],PROVEEDORES[PROVEEDOR],PROVEEDORES[[#This Row],[PROVEEDOR]],PROVEEDORES[FECHA DE PAGO],"")</f>
        <v>0</v>
      </c>
      <c r="E630" s="25"/>
      <c r="F630" s="56">
        <f>+VLOOKUP(PROVEEDORES[[#This Row],[PROVEEDOR]],
                       Terceros!$A:$F,
                       5,
                       FALSE)</f>
        <v>0</v>
      </c>
      <c r="G630" s="68">
        <v>44775</v>
      </c>
      <c r="H630" s="26" t="s">
        <v>754</v>
      </c>
      <c r="I630" s="68">
        <v>44775</v>
      </c>
      <c r="J630" s="35" t="s">
        <v>917</v>
      </c>
      <c r="K630" s="21">
        <v>600000</v>
      </c>
      <c r="L630" s="21"/>
      <c r="M630" s="22">
        <f>(PROVEEDORES[[#This Row],[SUBTOTAL]]-PROVEEDORES[[#This Row],[descuento sobre subtotal]])*VLOOKUP(PROVEEDORES[[#This Row],[PROVEEDOR]],TERCEROS_INFO[#All],3,FALSE)</f>
        <v>0</v>
      </c>
      <c r="N630" s="23"/>
      <c r="O630" s="22">
        <f>+PROVEEDORES[[#This Row],[Descuento sobre subtotal %]]*(PROVEEDORES[[#This Row],[SUBTOTAL]]-PROVEEDORES[[#This Row],[descuento sobre subtotal]])</f>
        <v>0</v>
      </c>
      <c r="P630" s="74">
        <f>+IF(PROVEEDORES[[#This Row],[SUBTOTAL]]&lt;PROVEEDORES[[#This Row],[base retencion]],0,PROVEEDORES[[#This Row],[retención aplicada]])</f>
        <v>0</v>
      </c>
      <c r="Q630" s="22">
        <f>+PROVEEDORES[[#This Row],[Rete Fuente %]]*(PROVEEDORES[[#This Row],[SUBTOTAL]]-PROVEEDORES[[#This Row],[descuento sobre subtotal]])</f>
        <v>0</v>
      </c>
      <c r="R630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6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63">
        <f ca="1">IF(PROVEEDORES[[#This Row],[FECHA DE PAGO]]=0,TODAY()-PROVEEDORES[[#This Row],[FECHA DE FACTURACIÓN]]-PROVEEDORES[[#This Row],[PLAZO Días]],0)</f>
        <v>0</v>
      </c>
      <c r="U630" s="104">
        <f>+VLOOKUP(PROVEEDORES[[#This Row],[PROVEEDOR]],Terceros!$A:$D,4,FALSE)</f>
        <v>0</v>
      </c>
      <c r="V630" s="105">
        <f>+YEAR(PROVEEDORES[[#This Row],[FECHA DE FACTURACIÓN]])</f>
        <v>2022</v>
      </c>
      <c r="W630" s="105">
        <f>+MATCH(PROVEEDORES[[#This Row],[año facturado]],Retenciones!$1:$1,0)</f>
        <v>5</v>
      </c>
      <c r="X630" s="106">
        <f>+VLOOKUP(PROVEEDORES[[#This Row],[ID RETENCION]],Retenciones!$A$1:$O$25,PROVEEDORES[[#This Row],[indicador de columna]],FALSE)</f>
        <v>0</v>
      </c>
      <c r="Y630" s="107">
        <f>+VLOOKUP(PROVEEDORES[[#This Row],[ID RETENCION]],Retenciones!$A$1:$O$25,2,FALSE)</f>
        <v>0</v>
      </c>
      <c r="Z630" s="116" t="b">
        <f>OR(COUNTIF(PROVEEDORES[[#This Row],[PROVEEDOR]],"*"&amp;'Palabra no opera'!$A$2&amp;"*"))</f>
        <v>1</v>
      </c>
    </row>
    <row r="631" spans="1:26" ht="22.35" customHeight="1" x14ac:dyDescent="0.3">
      <c r="A631" s="133" t="str">
        <f>+IF(PROVEEDORES[[#This Row],[FECHA DE PAGO]]=PROVEEDORES[[#This Row],[FECHA DE FACTURACIÓN]],"DE CONTADO","CRÉDITO")</f>
        <v>CRÉDITO</v>
      </c>
      <c r="B631" s="38" t="str">
        <f>+IF((PROVEEDORES[[#This Row],[FECHA DE PAGO]]-PROVEEDORES[[#This Row],[FECHA DE FACTURACIÓN]])&gt;PROVEEDORES[[#This Row],[PLAZO Días]],"PAGO VENCIDO")</f>
        <v>PAGO VENCIDO</v>
      </c>
      <c r="C631" s="20">
        <f>+VLOOKUP(PROVEEDORES[[#This Row],[PROVEEDOR]],TERCEROS_INFO[#All],2,FALSE)</f>
        <v>30</v>
      </c>
      <c r="D631" s="25">
        <f>+SUMIFS(PROVEEDORES[Total],PROVEEDORES[PROVEEDOR],PROVEEDORES[[#This Row],[PROVEEDOR]],PROVEEDORES[FECHA DE PAGO],"")</f>
        <v>680000</v>
      </c>
      <c r="E631" s="25"/>
      <c r="F631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31" s="68">
        <v>44775</v>
      </c>
      <c r="H631" s="26" t="s">
        <v>412</v>
      </c>
      <c r="I631" s="68">
        <v>44700</v>
      </c>
      <c r="J631" s="35" t="s">
        <v>1029</v>
      </c>
      <c r="K631" s="21">
        <v>260000</v>
      </c>
      <c r="L631" s="21"/>
      <c r="M631" s="22">
        <f>(PROVEEDORES[[#This Row],[SUBTOTAL]]-PROVEEDORES[[#This Row],[descuento sobre subtotal]])*VLOOKUP(PROVEEDORES[[#This Row],[PROVEEDOR]],TERCEROS_INFO[#All],3,FALSE)</f>
        <v>0</v>
      </c>
      <c r="N631" s="23"/>
      <c r="O631" s="22">
        <f>+PROVEEDORES[[#This Row],[Descuento sobre subtotal %]]*(PROVEEDORES[[#This Row],[SUBTOTAL]]-PROVEEDORES[[#This Row],[descuento sobre subtotal]])</f>
        <v>0</v>
      </c>
      <c r="P631" s="74">
        <f>+IF(PROVEEDORES[[#This Row],[SUBTOTAL]]&lt;PROVEEDORES[[#This Row],[base retencion]],0,PROVEEDORES[[#This Row],[retención aplicada]])</f>
        <v>0</v>
      </c>
      <c r="Q631" s="22">
        <f>+PROVEEDORES[[#This Row],[Rete Fuente %]]*(PROVEEDORES[[#This Row],[SUBTOTAL]]-PROVEEDORES[[#This Row],[descuento sobre subtotal]])</f>
        <v>0</v>
      </c>
      <c r="R631" s="21">
        <f>+PROVEEDORES[[#This Row],[SUBTOTAL]]+PROVEEDORES[[#This Row],[IVA 19%]]-PROVEEDORES[[#This Row],[descuento sobre subtotal]]-PROVEEDORES[[#This Row],[Descuento sobre subtotal $2]]-PROVEEDORES[[#This Row],[Rete Fuente $]]</f>
        <v>260000</v>
      </c>
      <c r="S631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63">
        <f ca="1">IF(PROVEEDORES[[#This Row],[FECHA DE PAGO]]=0,TODAY()-PROVEEDORES[[#This Row],[FECHA DE FACTURACIÓN]]-PROVEEDORES[[#This Row],[PLAZO Días]],0)</f>
        <v>0</v>
      </c>
      <c r="U631" s="104">
        <f>+VLOOKUP(PROVEEDORES[[#This Row],[PROVEEDOR]],Terceros!$A:$D,4,FALSE)</f>
        <v>0</v>
      </c>
      <c r="V631" s="105">
        <f>+YEAR(PROVEEDORES[[#This Row],[FECHA DE FACTURACIÓN]])</f>
        <v>2022</v>
      </c>
      <c r="W631" s="105">
        <f>+MATCH(PROVEEDORES[[#This Row],[año facturado]],Retenciones!$1:$1,0)</f>
        <v>5</v>
      </c>
      <c r="X631" s="106">
        <f>+VLOOKUP(PROVEEDORES[[#This Row],[ID RETENCION]],Retenciones!$A$1:$O$25,PROVEEDORES[[#This Row],[indicador de columna]],FALSE)</f>
        <v>0</v>
      </c>
      <c r="Y631" s="107">
        <f>+VLOOKUP(PROVEEDORES[[#This Row],[ID RETENCION]],Retenciones!$A$1:$O$25,2,FALSE)</f>
        <v>0</v>
      </c>
      <c r="Z631" s="116" t="b">
        <f>OR(COUNTIF(PROVEEDORES[[#This Row],[PROVEEDOR]],"*"&amp;'Palabra no opera'!$A$2&amp;"*"))</f>
        <v>0</v>
      </c>
    </row>
    <row r="632" spans="1:26" ht="22.35" customHeight="1" x14ac:dyDescent="0.3">
      <c r="A632" s="133" t="str">
        <f>+IF(PROVEEDORES[[#This Row],[FECHA DE PAGO]]=PROVEEDORES[[#This Row],[FECHA DE FACTURACIÓN]],"DE CONTADO","CRÉDITO")</f>
        <v>CRÉDITO</v>
      </c>
      <c r="B632" s="38" t="str">
        <f>+IF((PROVEEDORES[[#This Row],[FECHA DE PAGO]]-PROVEEDORES[[#This Row],[FECHA DE FACTURACIÓN]])&gt;PROVEEDORES[[#This Row],[PLAZO Días]],"PAGO VENCIDO")</f>
        <v>PAGO VENCIDO</v>
      </c>
      <c r="C632" s="20">
        <f>+VLOOKUP(PROVEEDORES[[#This Row],[PROVEEDOR]],TERCEROS_INFO[#All],2,FALSE)</f>
        <v>30</v>
      </c>
      <c r="D632" s="25">
        <f>+SUMIFS(PROVEEDORES[Total],PROVEEDORES[PROVEEDOR],PROVEEDORES[[#This Row],[PROVEEDOR]],PROVEEDORES[FECHA DE PAGO],"")</f>
        <v>680000</v>
      </c>
      <c r="E632" s="25"/>
      <c r="F63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32" s="68">
        <v>44775</v>
      </c>
      <c r="H632" s="26" t="s">
        <v>412</v>
      </c>
      <c r="I632" s="68">
        <v>44700</v>
      </c>
      <c r="J632" s="35" t="s">
        <v>1030</v>
      </c>
      <c r="K632" s="21">
        <v>624000</v>
      </c>
      <c r="L632" s="21"/>
      <c r="M632" s="22">
        <f>(PROVEEDORES[[#This Row],[SUBTOTAL]]-PROVEEDORES[[#This Row],[descuento sobre subtotal]])*VLOOKUP(PROVEEDORES[[#This Row],[PROVEEDOR]],TERCEROS_INFO[#All],3,FALSE)</f>
        <v>0</v>
      </c>
      <c r="N632" s="23"/>
      <c r="O632" s="22">
        <f>+PROVEEDORES[[#This Row],[Descuento sobre subtotal %]]*(PROVEEDORES[[#This Row],[SUBTOTAL]]-PROVEEDORES[[#This Row],[descuento sobre subtotal]])</f>
        <v>0</v>
      </c>
      <c r="P632" s="74">
        <f>+IF(PROVEEDORES[[#This Row],[SUBTOTAL]]&lt;PROVEEDORES[[#This Row],[base retencion]],0,PROVEEDORES[[#This Row],[retención aplicada]])</f>
        <v>0</v>
      </c>
      <c r="Q632" s="22">
        <f>+PROVEEDORES[[#This Row],[Rete Fuente %]]*(PROVEEDORES[[#This Row],[SUBTOTAL]]-PROVEEDORES[[#This Row],[descuento sobre subtotal]])</f>
        <v>0</v>
      </c>
      <c r="R632" s="21">
        <f>+PROVEEDORES[[#This Row],[SUBTOTAL]]+PROVEEDORES[[#This Row],[IVA 19%]]-PROVEEDORES[[#This Row],[descuento sobre subtotal]]-PROVEEDORES[[#This Row],[Descuento sobre subtotal $2]]-PROVEEDORES[[#This Row],[Rete Fuente $]]</f>
        <v>624000</v>
      </c>
      <c r="S632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63">
        <f ca="1">IF(PROVEEDORES[[#This Row],[FECHA DE PAGO]]=0,TODAY()-PROVEEDORES[[#This Row],[FECHA DE FACTURACIÓN]]-PROVEEDORES[[#This Row],[PLAZO Días]],0)</f>
        <v>0</v>
      </c>
      <c r="U632" s="104">
        <f>+VLOOKUP(PROVEEDORES[[#This Row],[PROVEEDOR]],Terceros!$A:$D,4,FALSE)</f>
        <v>0</v>
      </c>
      <c r="V632" s="105">
        <f>+YEAR(PROVEEDORES[[#This Row],[FECHA DE FACTURACIÓN]])</f>
        <v>2022</v>
      </c>
      <c r="W632" s="105">
        <f>+MATCH(PROVEEDORES[[#This Row],[año facturado]],Retenciones!$1:$1,0)</f>
        <v>5</v>
      </c>
      <c r="X632" s="106">
        <f>+VLOOKUP(PROVEEDORES[[#This Row],[ID RETENCION]],Retenciones!$A$1:$O$25,PROVEEDORES[[#This Row],[indicador de columna]],FALSE)</f>
        <v>0</v>
      </c>
      <c r="Y632" s="107">
        <f>+VLOOKUP(PROVEEDORES[[#This Row],[ID RETENCION]],Retenciones!$A$1:$O$25,2,FALSE)</f>
        <v>0</v>
      </c>
      <c r="Z632" s="116" t="b">
        <f>OR(COUNTIF(PROVEEDORES[[#This Row],[PROVEEDOR]],"*"&amp;'Palabra no opera'!$A$2&amp;"*"))</f>
        <v>0</v>
      </c>
    </row>
    <row r="633" spans="1:26" ht="22.35" customHeight="1" x14ac:dyDescent="0.3">
      <c r="A633" s="163" t="str">
        <f>+IF(PROVEEDORES[[#This Row],[FECHA DE PAGO]]=PROVEEDORES[[#This Row],[FECHA DE FACTURACIÓN]],"DE CONTADO","CRÉDITO")</f>
        <v>CRÉDITO</v>
      </c>
      <c r="B633" s="38" t="b">
        <f>+IF((PROVEEDORES[[#This Row],[FECHA DE PAGO]]-PROVEEDORES[[#This Row],[FECHA DE FACTURACIÓN]])&gt;PROVEEDORES[[#This Row],[PLAZO Días]],"PAGO VENCIDO")</f>
        <v>0</v>
      </c>
      <c r="C633" s="20">
        <f>+VLOOKUP(PROVEEDORES[[#This Row],[PROVEEDOR]],TERCEROS_INFO[#All],2,FALSE)</f>
        <v>30</v>
      </c>
      <c r="D633" s="25">
        <f>+SUMIFS(PROVEEDORES[Total],PROVEEDORES[PROVEEDOR],PROVEEDORES[[#This Row],[PROVEEDOR]],PROVEEDORES[FECHA DE PAGO],"")</f>
        <v>0</v>
      </c>
      <c r="E633" s="25"/>
      <c r="F633" s="56" t="str">
        <f>+VLOOKUP(PROVEEDORES[[#This Row],[PROVEEDOR]],
                       Terceros!$A:$F,
                       5,
                       FALSE)</f>
        <v/>
      </c>
      <c r="G633" s="68">
        <v>44776</v>
      </c>
      <c r="H633" s="26" t="s">
        <v>832</v>
      </c>
      <c r="I633" s="68">
        <v>44763</v>
      </c>
      <c r="J633" s="35" t="s">
        <v>831</v>
      </c>
      <c r="K633" s="21">
        <v>569900</v>
      </c>
      <c r="L633" s="21"/>
      <c r="M633" s="22">
        <f>(PROVEEDORES[[#This Row],[SUBTOTAL]]-PROVEEDORES[[#This Row],[descuento sobre subtotal]])*VLOOKUP(PROVEEDORES[[#This Row],[PROVEEDOR]],TERCEROS_INFO[#All],3,FALSE)</f>
        <v>0</v>
      </c>
      <c r="N633" s="23"/>
      <c r="O633" s="22">
        <f>+PROVEEDORES[[#This Row],[Descuento sobre subtotal %]]*(PROVEEDORES[[#This Row],[SUBTOTAL]]-PROVEEDORES[[#This Row],[descuento sobre subtotal]])</f>
        <v>0</v>
      </c>
      <c r="P633" s="74">
        <f>+IF(PROVEEDORES[[#This Row],[SUBTOTAL]]&lt;PROVEEDORES[[#This Row],[base retencion]],0,PROVEEDORES[[#This Row],[retención aplicada]])</f>
        <v>0</v>
      </c>
      <c r="Q633" s="22">
        <f>+PROVEEDORES[[#This Row],[Rete Fuente %]]*(PROVEEDORES[[#This Row],[SUBTOTAL]]-PROVEEDORES[[#This Row],[descuento sobre subtotal]])</f>
        <v>0</v>
      </c>
      <c r="R633" s="21">
        <f>+PROVEEDORES[[#This Row],[SUBTOTAL]]+PROVEEDORES[[#This Row],[IVA 19%]]-PROVEEDORES[[#This Row],[descuento sobre subtotal]]-PROVEEDORES[[#This Row],[Descuento sobre subtotal $2]]-PROVEEDORES[[#This Row],[Rete Fuente $]]</f>
        <v>569900</v>
      </c>
      <c r="S633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63">
        <f ca="1">IF(PROVEEDORES[[#This Row],[FECHA DE PAGO]]=0,TODAY()-PROVEEDORES[[#This Row],[FECHA DE FACTURACIÓN]]-PROVEEDORES[[#This Row],[PLAZO Días]],0)</f>
        <v>0</v>
      </c>
      <c r="U633" s="104">
        <f>+VLOOKUP(PROVEEDORES[[#This Row],[PROVEEDOR]],Terceros!$A:$D,4,FALSE)</f>
        <v>0</v>
      </c>
      <c r="V633" s="105">
        <f>+YEAR(PROVEEDORES[[#This Row],[FECHA DE FACTURACIÓN]])</f>
        <v>2022</v>
      </c>
      <c r="W633" s="105">
        <f>+MATCH(PROVEEDORES[[#This Row],[año facturado]],Retenciones!$1:$1,0)</f>
        <v>5</v>
      </c>
      <c r="X633" s="106">
        <f>+VLOOKUP(PROVEEDORES[[#This Row],[ID RETENCION]],Retenciones!$A$1:$O$25,PROVEEDORES[[#This Row],[indicador de columna]],FALSE)</f>
        <v>0</v>
      </c>
      <c r="Y633" s="107">
        <f>+VLOOKUP(PROVEEDORES[[#This Row],[ID RETENCION]],Retenciones!$A$1:$O$25,2,FALSE)</f>
        <v>0</v>
      </c>
      <c r="Z633" s="116" t="b">
        <f>OR(COUNTIF(PROVEEDORES[[#This Row],[PROVEEDOR]],"*"&amp;'Palabra no opera'!$A$2&amp;"*"))</f>
        <v>1</v>
      </c>
    </row>
    <row r="634" spans="1:26" ht="22.35" customHeight="1" x14ac:dyDescent="0.3">
      <c r="A634" s="67" t="str">
        <f>+IF(PROVEEDORES[[#This Row],[FECHA DE PAGO]]=PROVEEDORES[[#This Row],[FECHA DE FACTURACIÓN]],"DE CONTADO","CRÉDITO")</f>
        <v>CRÉDITO</v>
      </c>
      <c r="B634" s="38" t="b">
        <f>+IF((PROVEEDORES[[#This Row],[FECHA DE PAGO]]-PROVEEDORES[[#This Row],[FECHA DE FACTURACIÓN]])&gt;PROVEEDORES[[#This Row],[PLAZO Días]],"PAGO VENCIDO")</f>
        <v>0</v>
      </c>
      <c r="C634" s="20">
        <f>+VLOOKUP(PROVEEDORES[[#This Row],[PROVEEDOR]],TERCEROS_INFO[#All],2,FALSE)</f>
        <v>30</v>
      </c>
      <c r="D634" s="25">
        <f>+SUMIFS(PROVEEDORES[Total],PROVEEDORES[PROVEEDOR],PROVEEDORES[[#This Row],[PROVEEDOR]],PROVEEDORES[FECHA DE PAGO],"")</f>
        <v>0</v>
      </c>
      <c r="E634" s="25"/>
      <c r="F634" s="56" t="str">
        <f>+VLOOKUP(PROVEEDORES[[#This Row],[PROVEEDOR]],
                       Terceros!$A:$F,
                       5,
                       FALSE)</f>
        <v/>
      </c>
      <c r="G634" s="68">
        <v>44776</v>
      </c>
      <c r="H634" s="26" t="s">
        <v>397</v>
      </c>
      <c r="I634" s="68">
        <v>44769</v>
      </c>
      <c r="J634" s="35"/>
      <c r="K634" s="21">
        <v>480000</v>
      </c>
      <c r="L634" s="21"/>
      <c r="M634" s="22">
        <f>(PROVEEDORES[[#This Row],[SUBTOTAL]]-PROVEEDORES[[#This Row],[descuento sobre subtotal]])*VLOOKUP(PROVEEDORES[[#This Row],[PROVEEDOR]],TERCEROS_INFO[#All],3,FALSE)</f>
        <v>0</v>
      </c>
      <c r="N634" s="23"/>
      <c r="O634" s="22">
        <f>+PROVEEDORES[[#This Row],[Descuento sobre subtotal %]]*(PROVEEDORES[[#This Row],[SUBTOTAL]]-PROVEEDORES[[#This Row],[descuento sobre subtotal]])</f>
        <v>0</v>
      </c>
      <c r="P634" s="74">
        <f>+IF(PROVEEDORES[[#This Row],[SUBTOTAL]]&lt;PROVEEDORES[[#This Row],[base retencion]],0,PROVEEDORES[[#This Row],[retención aplicada]])</f>
        <v>0</v>
      </c>
      <c r="Q634" s="22">
        <f>+PROVEEDORES[[#This Row],[Rete Fuente %]]*(PROVEEDORES[[#This Row],[SUBTOTAL]]-PROVEEDORES[[#This Row],[descuento sobre subtotal]])</f>
        <v>0</v>
      </c>
      <c r="R634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3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63">
        <f ca="1">IF(PROVEEDORES[[#This Row],[FECHA DE PAGO]]=0,TODAY()-PROVEEDORES[[#This Row],[FECHA DE FACTURACIÓN]]-PROVEEDORES[[#This Row],[PLAZO Días]],0)</f>
        <v>0</v>
      </c>
      <c r="U634" s="104">
        <f>+VLOOKUP(PROVEEDORES[[#This Row],[PROVEEDOR]],Terceros!$A:$D,4,FALSE)</f>
        <v>0</v>
      </c>
      <c r="V634" s="105">
        <f>+YEAR(PROVEEDORES[[#This Row],[FECHA DE FACTURACIÓN]])</f>
        <v>2022</v>
      </c>
      <c r="W634" s="105">
        <f>+MATCH(PROVEEDORES[[#This Row],[año facturado]],Retenciones!$1:$1,0)</f>
        <v>5</v>
      </c>
      <c r="X634" s="106">
        <f>+VLOOKUP(PROVEEDORES[[#This Row],[ID RETENCION]],Retenciones!$A$1:$O$25,PROVEEDORES[[#This Row],[indicador de columna]],FALSE)</f>
        <v>0</v>
      </c>
      <c r="Y634" s="107">
        <f>+VLOOKUP(PROVEEDORES[[#This Row],[ID RETENCION]],Retenciones!$A$1:$O$25,2,FALSE)</f>
        <v>0</v>
      </c>
      <c r="Z634" s="116" t="b">
        <f>OR(COUNTIF(PROVEEDORES[[#This Row],[PROVEEDOR]],"*"&amp;'Palabra no opera'!$A$2&amp;"*"))</f>
        <v>0</v>
      </c>
    </row>
    <row r="635" spans="1:26" ht="22.35" customHeight="1" x14ac:dyDescent="0.3">
      <c r="A635" s="171" t="str">
        <f>+IF(PROVEEDORES[[#This Row],[FECHA DE PAGO]]=PROVEEDORES[[#This Row],[FECHA DE FACTURACIÓN]],"DE CONTADO","CRÉDITO")</f>
        <v>DE CONTADO</v>
      </c>
      <c r="B635" s="38" t="b">
        <f>+IF((PROVEEDORES[[#This Row],[FECHA DE PAGO]]-PROVEEDORES[[#This Row],[FECHA DE FACTURACIÓN]])&gt;PROVEEDORES[[#This Row],[PLAZO Días]],"PAGO VENCIDO")</f>
        <v>0</v>
      </c>
      <c r="C635" s="20">
        <f>+VLOOKUP(PROVEEDORES[[#This Row],[PROVEEDOR]],TERCEROS_INFO[#All],2,FALSE)</f>
        <v>0</v>
      </c>
      <c r="D635" s="25">
        <f>+SUMIFS(PROVEEDORES[Total],PROVEEDORES[PROVEEDOR],PROVEEDORES[[#This Row],[PROVEEDOR]],PROVEEDORES[FECHA DE PAGO],"")</f>
        <v>0</v>
      </c>
      <c r="E635" s="25" t="s">
        <v>861</v>
      </c>
      <c r="F635" s="56">
        <f>+VLOOKUP(PROVEEDORES[[#This Row],[PROVEEDOR]],
                       Terceros!$A:$F,
                       5,
                       FALSE)</f>
        <v>0</v>
      </c>
      <c r="G635" s="68">
        <v>44776</v>
      </c>
      <c r="H635" s="26" t="s">
        <v>754</v>
      </c>
      <c r="I635" s="68">
        <v>44776</v>
      </c>
      <c r="J635" s="35" t="s">
        <v>907</v>
      </c>
      <c r="K635" s="21">
        <v>8000000</v>
      </c>
      <c r="L635" s="21"/>
      <c r="M635" s="22">
        <f>(PROVEEDORES[[#This Row],[SUBTOTAL]]-PROVEEDORES[[#This Row],[descuento sobre subtotal]])*VLOOKUP(PROVEEDORES[[#This Row],[PROVEEDOR]],TERCEROS_INFO[#All],3,FALSE)</f>
        <v>0</v>
      </c>
      <c r="N635" s="23"/>
      <c r="O635" s="22">
        <f>+PROVEEDORES[[#This Row],[Descuento sobre subtotal %]]*(PROVEEDORES[[#This Row],[SUBTOTAL]]-PROVEEDORES[[#This Row],[descuento sobre subtotal]])</f>
        <v>0</v>
      </c>
      <c r="P635" s="74">
        <f>+IF(PROVEEDORES[[#This Row],[SUBTOTAL]]&lt;PROVEEDORES[[#This Row],[base retencion]],0,PROVEEDORES[[#This Row],[retención aplicada]])</f>
        <v>0</v>
      </c>
      <c r="Q635" s="22">
        <f>+PROVEEDORES[[#This Row],[Rete Fuente %]]*(PROVEEDORES[[#This Row],[SUBTOTAL]]-PROVEEDORES[[#This Row],[descuento sobre subtotal]])</f>
        <v>0</v>
      </c>
      <c r="R635" s="21">
        <f>+PROVEEDORES[[#This Row],[SUBTOTAL]]+PROVEEDORES[[#This Row],[IVA 19%]]-PROVEEDORES[[#This Row],[descuento sobre subtotal]]-PROVEEDORES[[#This Row],[Descuento sobre subtotal $2]]-PROVEEDORES[[#This Row],[Rete Fuente $]]</f>
        <v>8000000</v>
      </c>
      <c r="S635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63">
        <f ca="1">IF(PROVEEDORES[[#This Row],[FECHA DE PAGO]]=0,TODAY()-PROVEEDORES[[#This Row],[FECHA DE FACTURACIÓN]]-PROVEEDORES[[#This Row],[PLAZO Días]],0)</f>
        <v>0</v>
      </c>
      <c r="U635" s="104">
        <f>+VLOOKUP(PROVEEDORES[[#This Row],[PROVEEDOR]],Terceros!$A:$D,4,FALSE)</f>
        <v>0</v>
      </c>
      <c r="V635" s="105">
        <f>+YEAR(PROVEEDORES[[#This Row],[FECHA DE FACTURACIÓN]])</f>
        <v>2022</v>
      </c>
      <c r="W635" s="105">
        <f>+MATCH(PROVEEDORES[[#This Row],[año facturado]],Retenciones!$1:$1,0)</f>
        <v>5</v>
      </c>
      <c r="X635" s="106">
        <f>+VLOOKUP(PROVEEDORES[[#This Row],[ID RETENCION]],Retenciones!$A$1:$O$25,PROVEEDORES[[#This Row],[indicador de columna]],FALSE)</f>
        <v>0</v>
      </c>
      <c r="Y635" s="107">
        <f>+VLOOKUP(PROVEEDORES[[#This Row],[ID RETENCION]],Retenciones!$A$1:$O$25,2,FALSE)</f>
        <v>0</v>
      </c>
      <c r="Z635" s="116" t="b">
        <f>OR(COUNTIF(PROVEEDORES[[#This Row],[PROVEEDOR]],"*"&amp;'Palabra no opera'!$A$2&amp;"*"))</f>
        <v>1</v>
      </c>
    </row>
    <row r="636" spans="1:26" ht="22.35" customHeight="1" x14ac:dyDescent="0.3">
      <c r="A636" s="133" t="str">
        <f>+IF(PROVEEDORES[[#This Row],[FECHA DE PAGO]]=PROVEEDORES[[#This Row],[FECHA DE FACTURACIÓN]],"DE CONTADO","CRÉDITO")</f>
        <v>CRÉDITO</v>
      </c>
      <c r="B636" s="38" t="str">
        <f>+IF((PROVEEDORES[[#This Row],[FECHA DE PAGO]]-PROVEEDORES[[#This Row],[FECHA DE FACTURACIÓN]])&gt;PROVEEDORES[[#This Row],[PLAZO Días]],"PAGO VENCIDO")</f>
        <v>PAGO VENCIDO</v>
      </c>
      <c r="C636" s="20">
        <f>+VLOOKUP(PROVEEDORES[[#This Row],[PROVEEDOR]],TERCEROS_INFO[#All],2,FALSE)</f>
        <v>30</v>
      </c>
      <c r="D636" s="25">
        <f>+SUMIFS(PROVEEDORES[Total],PROVEEDORES[PROVEEDOR],PROVEEDORES[[#This Row],[PROVEEDOR]],PROVEEDORES[FECHA DE PAGO],"")</f>
        <v>0</v>
      </c>
      <c r="E636" s="25"/>
      <c r="F636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636" s="68">
        <v>44776</v>
      </c>
      <c r="H636" s="26" t="s">
        <v>857</v>
      </c>
      <c r="I636" s="68">
        <v>44701</v>
      </c>
      <c r="J636" s="35" t="s">
        <v>697</v>
      </c>
      <c r="K636" s="21">
        <v>731092</v>
      </c>
      <c r="L636" s="21"/>
      <c r="M636" s="22">
        <f>(PROVEEDORES[[#This Row],[SUBTOTAL]]-PROVEEDORES[[#This Row],[descuento sobre subtotal]])*VLOOKUP(PROVEEDORES[[#This Row],[PROVEEDOR]],TERCEROS_INFO[#All],3,FALSE)</f>
        <v>138907.48000000001</v>
      </c>
      <c r="N636" s="23"/>
      <c r="O636" s="22">
        <f>+PROVEEDORES[[#This Row],[Descuento sobre subtotal %]]*(PROVEEDORES[[#This Row],[SUBTOTAL]]-PROVEEDORES[[#This Row],[descuento sobre subtotal]])</f>
        <v>0</v>
      </c>
      <c r="P636" s="74">
        <f>+IF(PROVEEDORES[[#This Row],[SUBTOTAL]]&lt;PROVEEDORES[[#This Row],[base retencion]],0,PROVEEDORES[[#This Row],[retención aplicada]])</f>
        <v>0</v>
      </c>
      <c r="Q636" s="22">
        <f>+PROVEEDORES[[#This Row],[Rete Fuente %]]*(PROVEEDORES[[#This Row],[SUBTOTAL]]-PROVEEDORES[[#This Row],[descuento sobre subtotal]])</f>
        <v>0</v>
      </c>
      <c r="R636" s="21">
        <f>+PROVEEDORES[[#This Row],[SUBTOTAL]]+PROVEEDORES[[#This Row],[IVA 19%]]-PROVEEDORES[[#This Row],[descuento sobre subtotal]]-PROVEEDORES[[#This Row],[Descuento sobre subtotal $2]]-PROVEEDORES[[#This Row],[Rete Fuente $]]</f>
        <v>869999.48</v>
      </c>
      <c r="S636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63">
        <f ca="1">IF(PROVEEDORES[[#This Row],[FECHA DE PAGO]]=0,TODAY()-PROVEEDORES[[#This Row],[FECHA DE FACTURACIÓN]]-PROVEEDORES[[#This Row],[PLAZO Días]],0)</f>
        <v>0</v>
      </c>
      <c r="U636" s="104" t="str">
        <f>+VLOOKUP(PROVEEDORES[[#This Row],[PROVEEDOR]],Terceros!$A:$D,4,FALSE)</f>
        <v>2,5% con base</v>
      </c>
      <c r="V636" s="105">
        <f>+YEAR(PROVEEDORES[[#This Row],[FECHA DE FACTURACIÓN]])</f>
        <v>2022</v>
      </c>
      <c r="W636" s="105">
        <f>+MATCH(PROVEEDORES[[#This Row],[año facturado]],Retenciones!$1:$1,0)</f>
        <v>5</v>
      </c>
      <c r="X636" s="106">
        <f>+VLOOKUP(PROVEEDORES[[#This Row],[ID RETENCION]],Retenciones!$A$1:$O$25,PROVEEDORES[[#This Row],[indicador de columna]],FALSE)</f>
        <v>1026000</v>
      </c>
      <c r="Y636" s="107">
        <f>+VLOOKUP(PROVEEDORES[[#This Row],[ID RETENCION]],Retenciones!$A$1:$O$25,2,FALSE)</f>
        <v>2.5000000000000001E-2</v>
      </c>
      <c r="Z636" s="116" t="b">
        <f>OR(COUNTIF(PROVEEDORES[[#This Row],[PROVEEDOR]],"*"&amp;'Palabra no opera'!$A$2&amp;"*"))</f>
        <v>0</v>
      </c>
    </row>
    <row r="637" spans="1:26" ht="22.35" customHeight="1" x14ac:dyDescent="0.3">
      <c r="A637" s="148" t="str">
        <f>+IF(PROVEEDORES[[#This Row],[FECHA DE PAGO]]=PROVEEDORES[[#This Row],[FECHA DE FACTURACIÓN]],"DE CONTADO","CRÉDITO")</f>
        <v>CRÉDITO</v>
      </c>
      <c r="B637" s="38" t="str">
        <f>+IF((PROVEEDORES[[#This Row],[FECHA DE PAGO]]-PROVEEDORES[[#This Row],[FECHA DE FACTURACIÓN]])&gt;PROVEEDORES[[#This Row],[PLAZO Días]],"PAGO VENCIDO")</f>
        <v>PAGO VENCIDO</v>
      </c>
      <c r="C637" s="20">
        <f>+VLOOKUP(PROVEEDORES[[#This Row],[PROVEEDOR]],TERCEROS_INFO[#All],2,FALSE)</f>
        <v>30</v>
      </c>
      <c r="D637" s="25">
        <f>+SUMIFS(PROVEEDORES[Total],PROVEEDORES[PROVEEDOR],PROVEEDORES[[#This Row],[PROVEEDOR]],PROVEEDORES[FECHA DE PAGO],"")</f>
        <v>0</v>
      </c>
      <c r="E637" s="25"/>
      <c r="F637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637" s="68">
        <v>44776</v>
      </c>
      <c r="H637" s="26" t="s">
        <v>857</v>
      </c>
      <c r="I637" s="68">
        <v>44729</v>
      </c>
      <c r="J637" s="35" t="s">
        <v>780</v>
      </c>
      <c r="K637" s="21">
        <v>1447478</v>
      </c>
      <c r="L637" s="21"/>
      <c r="M637" s="22">
        <f>(PROVEEDORES[[#This Row],[SUBTOTAL]]-PROVEEDORES[[#This Row],[descuento sobre subtotal]])*VLOOKUP(PROVEEDORES[[#This Row],[PROVEEDOR]],TERCEROS_INFO[#All],3,FALSE)</f>
        <v>275020.82</v>
      </c>
      <c r="N637" s="23"/>
      <c r="O637" s="22">
        <f>+PROVEEDORES[[#This Row],[Descuento sobre subtotal %]]*(PROVEEDORES[[#This Row],[SUBTOTAL]]-PROVEEDORES[[#This Row],[descuento sobre subtotal]])</f>
        <v>0</v>
      </c>
      <c r="P637" s="74">
        <f>+IF(PROVEEDORES[[#This Row],[SUBTOTAL]]&lt;PROVEEDORES[[#This Row],[base retencion]],0,PROVEEDORES[[#This Row],[retención aplicada]])</f>
        <v>2.5000000000000001E-2</v>
      </c>
      <c r="Q637" s="22">
        <f>+PROVEEDORES[[#This Row],[Rete Fuente %]]*(PROVEEDORES[[#This Row],[SUBTOTAL]]-PROVEEDORES[[#This Row],[descuento sobre subtotal]])</f>
        <v>36186.950000000004</v>
      </c>
      <c r="R637" s="21">
        <f>+PROVEEDORES[[#This Row],[SUBTOTAL]]+PROVEEDORES[[#This Row],[IVA 19%]]-PROVEEDORES[[#This Row],[descuento sobre subtotal]]-PROVEEDORES[[#This Row],[Descuento sobre subtotal $2]]-PROVEEDORES[[#This Row],[Rete Fuente $]]</f>
        <v>1686311.87</v>
      </c>
      <c r="S637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63">
        <f ca="1">IF(PROVEEDORES[[#This Row],[FECHA DE PAGO]]=0,TODAY()-PROVEEDORES[[#This Row],[FECHA DE FACTURACIÓN]]-PROVEEDORES[[#This Row],[PLAZO Días]],0)</f>
        <v>0</v>
      </c>
      <c r="U637" s="104" t="str">
        <f>+VLOOKUP(PROVEEDORES[[#This Row],[PROVEEDOR]],Terceros!$A:$D,4,FALSE)</f>
        <v>2,5% con base</v>
      </c>
      <c r="V637" s="105">
        <f>+YEAR(PROVEEDORES[[#This Row],[FECHA DE FACTURACIÓN]])</f>
        <v>2022</v>
      </c>
      <c r="W637" s="105">
        <f>+MATCH(PROVEEDORES[[#This Row],[año facturado]],Retenciones!$1:$1,0)</f>
        <v>5</v>
      </c>
      <c r="X637" s="106">
        <f>+VLOOKUP(PROVEEDORES[[#This Row],[ID RETENCION]],Retenciones!$A$1:$O$25,PROVEEDORES[[#This Row],[indicador de columna]],FALSE)</f>
        <v>1026000</v>
      </c>
      <c r="Y637" s="107">
        <f>+VLOOKUP(PROVEEDORES[[#This Row],[ID RETENCION]],Retenciones!$A$1:$O$25,2,FALSE)</f>
        <v>2.5000000000000001E-2</v>
      </c>
      <c r="Z637" s="116" t="b">
        <f>OR(COUNTIF(PROVEEDORES[[#This Row],[PROVEEDOR]],"*"&amp;'Palabra no opera'!$A$2&amp;"*"))</f>
        <v>0</v>
      </c>
    </row>
    <row r="638" spans="1:26" ht="22.35" customHeight="1" x14ac:dyDescent="0.3">
      <c r="A638" s="148" t="str">
        <f>+IF(PROVEEDORES[[#This Row],[FECHA DE PAGO]]=PROVEEDORES[[#This Row],[FECHA DE FACTURACIÓN]],"DE CONTADO","CRÉDITO")</f>
        <v>CRÉDITO</v>
      </c>
      <c r="B638" s="38" t="str">
        <f>+IF((PROVEEDORES[[#This Row],[FECHA DE PAGO]]-PROVEEDORES[[#This Row],[FECHA DE FACTURACIÓN]])&gt;PROVEEDORES[[#This Row],[PLAZO Días]],"PAGO VENCIDO")</f>
        <v>PAGO VENCIDO</v>
      </c>
      <c r="C638" s="20">
        <f>+VLOOKUP(PROVEEDORES[[#This Row],[PROVEEDOR]],TERCEROS_INFO[#All],2,FALSE)</f>
        <v>30</v>
      </c>
      <c r="D638" s="25">
        <f>+SUMIFS(PROVEEDORES[Total],PROVEEDORES[PROVEEDOR],PROVEEDORES[[#This Row],[PROVEEDOR]],PROVEEDORES[FECHA DE PAGO],"")</f>
        <v>17870934.149999999</v>
      </c>
      <c r="E638" s="25"/>
      <c r="F63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38" s="68">
        <v>44776</v>
      </c>
      <c r="H638" s="26" t="s">
        <v>18</v>
      </c>
      <c r="I638" s="68">
        <v>44721</v>
      </c>
      <c r="J638" s="35">
        <v>1054749</v>
      </c>
      <c r="K638" s="21">
        <v>514263.6</v>
      </c>
      <c r="L638" s="21"/>
      <c r="M638" s="22">
        <f>(PROVEEDORES[[#This Row],[SUBTOTAL]]-PROVEEDORES[[#This Row],[descuento sobre subtotal]])*VLOOKUP(PROVEEDORES[[#This Row],[PROVEEDOR]],TERCEROS_INFO[#All],3,FALSE)</f>
        <v>97710.084000000003</v>
      </c>
      <c r="N638" s="23"/>
      <c r="O638" s="22">
        <f>+PROVEEDORES[[#This Row],[Descuento sobre subtotal %]]*(PROVEEDORES[[#This Row],[SUBTOTAL]]-PROVEEDORES[[#This Row],[descuento sobre subtotal]])</f>
        <v>0</v>
      </c>
      <c r="P638" s="74">
        <f>+IF(PROVEEDORES[[#This Row],[SUBTOTAL]]&lt;PROVEEDORES[[#This Row],[base retencion]],0,PROVEEDORES[[#This Row],[retención aplicada]])</f>
        <v>0</v>
      </c>
      <c r="Q638" s="22">
        <f>+PROVEEDORES[[#This Row],[Rete Fuente %]]*(PROVEEDORES[[#This Row],[SUBTOTAL]]-PROVEEDORES[[#This Row],[descuento sobre subtotal]])</f>
        <v>0</v>
      </c>
      <c r="R638" s="21">
        <f>+PROVEEDORES[[#This Row],[SUBTOTAL]]+PROVEEDORES[[#This Row],[IVA 19%]]-PROVEEDORES[[#This Row],[descuento sobre subtotal]]-PROVEEDORES[[#This Row],[Descuento sobre subtotal $2]]-PROVEEDORES[[#This Row],[Rete Fuente $]]</f>
        <v>611973.68400000001</v>
      </c>
      <c r="S63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63">
        <f ca="1">IF(PROVEEDORES[[#This Row],[FECHA DE PAGO]]=0,TODAY()-PROVEEDORES[[#This Row],[FECHA DE FACTURACIÓN]]-PROVEEDORES[[#This Row],[PLAZO Días]],0)</f>
        <v>0</v>
      </c>
      <c r="U638" s="104" t="str">
        <f>+VLOOKUP(PROVEEDORES[[#This Row],[PROVEEDOR]],Terceros!$A:$D,4,FALSE)</f>
        <v>2,5% con base</v>
      </c>
      <c r="V638" s="105">
        <f>+YEAR(PROVEEDORES[[#This Row],[FECHA DE FACTURACIÓN]])</f>
        <v>2022</v>
      </c>
      <c r="W638" s="105">
        <f>+MATCH(PROVEEDORES[[#This Row],[año facturado]],Retenciones!$1:$1,0)</f>
        <v>5</v>
      </c>
      <c r="X638" s="106">
        <f>+VLOOKUP(PROVEEDORES[[#This Row],[ID RETENCION]],Retenciones!$A$1:$O$25,PROVEEDORES[[#This Row],[indicador de columna]],FALSE)</f>
        <v>1026000</v>
      </c>
      <c r="Y638" s="107">
        <f>+VLOOKUP(PROVEEDORES[[#This Row],[ID RETENCION]],Retenciones!$A$1:$O$25,2,FALSE)</f>
        <v>2.5000000000000001E-2</v>
      </c>
      <c r="Z638" s="116" t="b">
        <f>OR(COUNTIF(PROVEEDORES[[#This Row],[PROVEEDOR]],"*"&amp;'Palabra no opera'!$A$2&amp;"*"))</f>
        <v>0</v>
      </c>
    </row>
    <row r="639" spans="1:26" ht="22.35" customHeight="1" x14ac:dyDescent="0.3">
      <c r="A639" s="148" t="str">
        <f>+IF(PROVEEDORES[[#This Row],[FECHA DE PAGO]]=PROVEEDORES[[#This Row],[FECHA DE FACTURACIÓN]],"DE CONTADO","CRÉDITO")</f>
        <v>CRÉDITO</v>
      </c>
      <c r="B639" s="38" t="str">
        <f>+IF((PROVEEDORES[[#This Row],[FECHA DE PAGO]]-PROVEEDORES[[#This Row],[FECHA DE FACTURACIÓN]])&gt;PROVEEDORES[[#This Row],[PLAZO Días]],"PAGO VENCIDO")</f>
        <v>PAGO VENCIDO</v>
      </c>
      <c r="C639" s="20">
        <f>+VLOOKUP(PROVEEDORES[[#This Row],[PROVEEDOR]],TERCEROS_INFO[#All],2,FALSE)</f>
        <v>30</v>
      </c>
      <c r="D639" s="25">
        <f>+SUMIFS(PROVEEDORES[Total],PROVEEDORES[PROVEEDOR],PROVEEDORES[[#This Row],[PROVEEDOR]],PROVEEDORES[FECHA DE PAGO],"")</f>
        <v>17870934.149999999</v>
      </c>
      <c r="E639" s="25"/>
      <c r="F63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39" s="68">
        <v>44776</v>
      </c>
      <c r="H639" s="26" t="s">
        <v>18</v>
      </c>
      <c r="I639" s="68">
        <v>44727</v>
      </c>
      <c r="J639" s="35">
        <v>1054981</v>
      </c>
      <c r="K639" s="21">
        <v>685746</v>
      </c>
      <c r="L639" s="21"/>
      <c r="M639" s="22">
        <f>(PROVEEDORES[[#This Row],[SUBTOTAL]]-PROVEEDORES[[#This Row],[descuento sobre subtotal]])*VLOOKUP(PROVEEDORES[[#This Row],[PROVEEDOR]],TERCEROS_INFO[#All],3,FALSE)</f>
        <v>130291.74</v>
      </c>
      <c r="N639" s="23"/>
      <c r="O639" s="22">
        <f>+PROVEEDORES[[#This Row],[Descuento sobre subtotal %]]*(PROVEEDORES[[#This Row],[SUBTOTAL]]-PROVEEDORES[[#This Row],[descuento sobre subtotal]])</f>
        <v>0</v>
      </c>
      <c r="P639" s="74">
        <f>+IF(PROVEEDORES[[#This Row],[SUBTOTAL]]&lt;PROVEEDORES[[#This Row],[base retencion]],0,PROVEEDORES[[#This Row],[retención aplicada]])</f>
        <v>0</v>
      </c>
      <c r="Q639" s="22">
        <f>+PROVEEDORES[[#This Row],[Rete Fuente %]]*(PROVEEDORES[[#This Row],[SUBTOTAL]]-PROVEEDORES[[#This Row],[descuento sobre subtotal]])</f>
        <v>0</v>
      </c>
      <c r="R639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63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63">
        <f ca="1">IF(PROVEEDORES[[#This Row],[FECHA DE PAGO]]=0,TODAY()-PROVEEDORES[[#This Row],[FECHA DE FACTURACIÓN]]-PROVEEDORES[[#This Row],[PLAZO Días]],0)</f>
        <v>0</v>
      </c>
      <c r="U639" s="104" t="str">
        <f>+VLOOKUP(PROVEEDORES[[#This Row],[PROVEEDOR]],Terceros!$A:$D,4,FALSE)</f>
        <v>2,5% con base</v>
      </c>
      <c r="V639" s="105">
        <f>+YEAR(PROVEEDORES[[#This Row],[FECHA DE FACTURACIÓN]])</f>
        <v>2022</v>
      </c>
      <c r="W639" s="105">
        <f>+MATCH(PROVEEDORES[[#This Row],[año facturado]],Retenciones!$1:$1,0)</f>
        <v>5</v>
      </c>
      <c r="X639" s="106">
        <f>+VLOOKUP(PROVEEDORES[[#This Row],[ID RETENCION]],Retenciones!$A$1:$O$25,PROVEEDORES[[#This Row],[indicador de columna]],FALSE)</f>
        <v>1026000</v>
      </c>
      <c r="Y639" s="107">
        <f>+VLOOKUP(PROVEEDORES[[#This Row],[ID RETENCION]],Retenciones!$A$1:$O$25,2,FALSE)</f>
        <v>2.5000000000000001E-2</v>
      </c>
      <c r="Z639" s="116" t="b">
        <f>OR(COUNTIF(PROVEEDORES[[#This Row],[PROVEEDOR]],"*"&amp;'Palabra no opera'!$A$2&amp;"*"))</f>
        <v>0</v>
      </c>
    </row>
    <row r="640" spans="1:26" ht="22.35" customHeight="1" x14ac:dyDescent="0.3">
      <c r="A640" s="148" t="str">
        <f>+IF(PROVEEDORES[[#This Row],[FECHA DE PAGO]]=PROVEEDORES[[#This Row],[FECHA DE FACTURACIÓN]],"DE CONTADO","CRÉDITO")</f>
        <v>CRÉDITO</v>
      </c>
      <c r="B640" s="38" t="str">
        <f>+IF((PROVEEDORES[[#This Row],[FECHA DE PAGO]]-PROVEEDORES[[#This Row],[FECHA DE FACTURACIÓN]])&gt;PROVEEDORES[[#This Row],[PLAZO Días]],"PAGO VENCIDO")</f>
        <v>PAGO VENCIDO</v>
      </c>
      <c r="C640" s="20">
        <f>+VLOOKUP(PROVEEDORES[[#This Row],[PROVEEDOR]],TERCEROS_INFO[#All],2,FALSE)</f>
        <v>30</v>
      </c>
      <c r="D640" s="25">
        <f>+SUMIFS(PROVEEDORES[Total],PROVEEDORES[PROVEEDOR],PROVEEDORES[[#This Row],[PROVEEDOR]],PROVEEDORES[FECHA DE PAGO],"")</f>
        <v>17870934.149999999</v>
      </c>
      <c r="E640" s="25"/>
      <c r="F64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40" s="68">
        <v>44776</v>
      </c>
      <c r="H640" s="26" t="s">
        <v>18</v>
      </c>
      <c r="I640" s="68">
        <v>44740</v>
      </c>
      <c r="J640" s="35">
        <v>1055540</v>
      </c>
      <c r="K640" s="21">
        <v>685746</v>
      </c>
      <c r="L640" s="21"/>
      <c r="M640" s="22">
        <f>(PROVEEDORES[[#This Row],[SUBTOTAL]]-PROVEEDORES[[#This Row],[descuento sobre subtotal]])*VLOOKUP(PROVEEDORES[[#This Row],[PROVEEDOR]],TERCEROS_INFO[#All],3,FALSE)</f>
        <v>130291.74</v>
      </c>
      <c r="N640" s="23"/>
      <c r="O640" s="22">
        <f>+PROVEEDORES[[#This Row],[Descuento sobre subtotal %]]*(PROVEEDORES[[#This Row],[SUBTOTAL]]-PROVEEDORES[[#This Row],[descuento sobre subtotal]])</f>
        <v>0</v>
      </c>
      <c r="P640" s="74">
        <f>+IF(PROVEEDORES[[#This Row],[SUBTOTAL]]&lt;PROVEEDORES[[#This Row],[base retencion]],0,PROVEEDORES[[#This Row],[retención aplicada]])</f>
        <v>0</v>
      </c>
      <c r="Q640" s="22">
        <f>+PROVEEDORES[[#This Row],[Rete Fuente %]]*(PROVEEDORES[[#This Row],[SUBTOTAL]]-PROVEEDORES[[#This Row],[descuento sobre subtotal]])</f>
        <v>0</v>
      </c>
      <c r="R640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640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63">
        <f ca="1">IF(PROVEEDORES[[#This Row],[FECHA DE PAGO]]=0,TODAY()-PROVEEDORES[[#This Row],[FECHA DE FACTURACIÓN]]-PROVEEDORES[[#This Row],[PLAZO Días]],0)</f>
        <v>0</v>
      </c>
      <c r="U640" s="104" t="str">
        <f>+VLOOKUP(PROVEEDORES[[#This Row],[PROVEEDOR]],Terceros!$A:$D,4,FALSE)</f>
        <v>2,5% con base</v>
      </c>
      <c r="V640" s="105">
        <f>+YEAR(PROVEEDORES[[#This Row],[FECHA DE FACTURACIÓN]])</f>
        <v>2022</v>
      </c>
      <c r="W640" s="105">
        <f>+MATCH(PROVEEDORES[[#This Row],[año facturado]],Retenciones!$1:$1,0)</f>
        <v>5</v>
      </c>
      <c r="X640" s="106">
        <f>+VLOOKUP(PROVEEDORES[[#This Row],[ID RETENCION]],Retenciones!$A$1:$O$25,PROVEEDORES[[#This Row],[indicador de columna]],FALSE)</f>
        <v>1026000</v>
      </c>
      <c r="Y640" s="107">
        <f>+VLOOKUP(PROVEEDORES[[#This Row],[ID RETENCION]],Retenciones!$A$1:$O$25,2,FALSE)</f>
        <v>2.5000000000000001E-2</v>
      </c>
      <c r="Z640" s="116" t="b">
        <f>OR(COUNTIF(PROVEEDORES[[#This Row],[PROVEEDOR]],"*"&amp;'Palabra no opera'!$A$2&amp;"*"))</f>
        <v>0</v>
      </c>
    </row>
    <row r="641" spans="1:26" ht="22.35" customHeight="1" x14ac:dyDescent="0.3">
      <c r="A641" s="148" t="str">
        <f>+IF(PROVEEDORES[[#This Row],[FECHA DE PAGO]]=PROVEEDORES[[#This Row],[FECHA DE FACTURACIÓN]],"DE CONTADO","CRÉDITO")</f>
        <v>CRÉDITO</v>
      </c>
      <c r="B641" s="38" t="str">
        <f>+IF((PROVEEDORES[[#This Row],[FECHA DE PAGO]]-PROVEEDORES[[#This Row],[FECHA DE FACTURACIÓN]])&gt;PROVEEDORES[[#This Row],[PLAZO Días]],"PAGO VENCIDO")</f>
        <v>PAGO VENCIDO</v>
      </c>
      <c r="C641" s="20">
        <f>+VLOOKUP(PROVEEDORES[[#This Row],[PROVEEDOR]],TERCEROS_INFO[#All],2,FALSE)</f>
        <v>30</v>
      </c>
      <c r="D641" s="25">
        <f>+SUMIFS(PROVEEDORES[Total],PROVEEDORES[PROVEEDOR],PROVEEDORES[[#This Row],[PROVEEDOR]],PROVEEDORES[FECHA DE PAGO],"")</f>
        <v>17870934.149999999</v>
      </c>
      <c r="E641" s="25"/>
      <c r="F64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41" s="68">
        <v>44776</v>
      </c>
      <c r="H641" s="26" t="s">
        <v>18</v>
      </c>
      <c r="I641" s="68">
        <v>44740</v>
      </c>
      <c r="J641" s="35">
        <v>1055541</v>
      </c>
      <c r="K641" s="21">
        <v>1213324</v>
      </c>
      <c r="L641" s="21"/>
      <c r="M641" s="22">
        <f>(PROVEEDORES[[#This Row],[SUBTOTAL]]-PROVEEDORES[[#This Row],[descuento sobre subtotal]])*VLOOKUP(PROVEEDORES[[#This Row],[PROVEEDOR]],TERCEROS_INFO[#All],3,FALSE)</f>
        <v>230531.56</v>
      </c>
      <c r="N641" s="23"/>
      <c r="O641" s="22">
        <f>+PROVEEDORES[[#This Row],[Descuento sobre subtotal %]]*(PROVEEDORES[[#This Row],[SUBTOTAL]]-PROVEEDORES[[#This Row],[descuento sobre subtotal]])</f>
        <v>0</v>
      </c>
      <c r="P641" s="74">
        <f>+IF(PROVEEDORES[[#This Row],[SUBTOTAL]]&lt;PROVEEDORES[[#This Row],[base retencion]],0,PROVEEDORES[[#This Row],[retención aplicada]])</f>
        <v>2.5000000000000001E-2</v>
      </c>
      <c r="Q641" s="22">
        <f>+PROVEEDORES[[#This Row],[Rete Fuente %]]*(PROVEEDORES[[#This Row],[SUBTOTAL]]-PROVEEDORES[[#This Row],[descuento sobre subtotal]])</f>
        <v>30333.100000000002</v>
      </c>
      <c r="R641" s="21">
        <f>+PROVEEDORES[[#This Row],[SUBTOTAL]]+PROVEEDORES[[#This Row],[IVA 19%]]-PROVEEDORES[[#This Row],[descuento sobre subtotal]]-PROVEEDORES[[#This Row],[Descuento sobre subtotal $2]]-PROVEEDORES[[#This Row],[Rete Fuente $]]</f>
        <v>1413522.46</v>
      </c>
      <c r="S64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63">
        <f ca="1">IF(PROVEEDORES[[#This Row],[FECHA DE PAGO]]=0,TODAY()-PROVEEDORES[[#This Row],[FECHA DE FACTURACIÓN]]-PROVEEDORES[[#This Row],[PLAZO Días]],0)</f>
        <v>0</v>
      </c>
      <c r="U641" s="104" t="str">
        <f>+VLOOKUP(PROVEEDORES[[#This Row],[PROVEEDOR]],Terceros!$A:$D,4,FALSE)</f>
        <v>2,5% con base</v>
      </c>
      <c r="V641" s="105">
        <f>+YEAR(PROVEEDORES[[#This Row],[FECHA DE FACTURACIÓN]])</f>
        <v>2022</v>
      </c>
      <c r="W641" s="105">
        <f>+MATCH(PROVEEDORES[[#This Row],[año facturado]],Retenciones!$1:$1,0)</f>
        <v>5</v>
      </c>
      <c r="X641" s="106">
        <f>+VLOOKUP(PROVEEDORES[[#This Row],[ID RETENCION]],Retenciones!$A$1:$O$25,PROVEEDORES[[#This Row],[indicador de columna]],FALSE)</f>
        <v>1026000</v>
      </c>
      <c r="Y641" s="107">
        <f>+VLOOKUP(PROVEEDORES[[#This Row],[ID RETENCION]],Retenciones!$A$1:$O$25,2,FALSE)</f>
        <v>2.5000000000000001E-2</v>
      </c>
      <c r="Z641" s="116" t="b">
        <f>OR(COUNTIF(PROVEEDORES[[#This Row],[PROVEEDOR]],"*"&amp;'Palabra no opera'!$A$2&amp;"*"))</f>
        <v>0</v>
      </c>
    </row>
    <row r="642" spans="1:26" ht="22.35" customHeight="1" x14ac:dyDescent="0.3">
      <c r="A642" s="148" t="str">
        <f>+IF(PROVEEDORES[[#This Row],[FECHA DE PAGO]]=PROVEEDORES[[#This Row],[FECHA DE FACTURACIÓN]],"DE CONTADO","CRÉDITO")</f>
        <v>CRÉDITO</v>
      </c>
      <c r="B642" s="38" t="str">
        <f>+IF((PROVEEDORES[[#This Row],[FECHA DE PAGO]]-PROVEEDORES[[#This Row],[FECHA DE FACTURACIÓN]])&gt;PROVEEDORES[[#This Row],[PLAZO Días]],"PAGO VENCIDO")</f>
        <v>PAGO VENCIDO</v>
      </c>
      <c r="C642" s="20">
        <f>+VLOOKUP(PROVEEDORES[[#This Row],[PROVEEDOR]],TERCEROS_INFO[#All],2,FALSE)</f>
        <v>30</v>
      </c>
      <c r="D642" s="25">
        <f>+SUMIFS(PROVEEDORES[Total],PROVEEDORES[PROVEEDOR],PROVEEDORES[[#This Row],[PROVEEDOR]],PROVEEDORES[FECHA DE PAGO],"")</f>
        <v>0</v>
      </c>
      <c r="E642" s="25"/>
      <c r="F642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42" s="68">
        <v>44776</v>
      </c>
      <c r="H642" s="26" t="s">
        <v>47</v>
      </c>
      <c r="I642" s="68">
        <v>44733</v>
      </c>
      <c r="J642" s="35" t="s">
        <v>765</v>
      </c>
      <c r="K642" s="21">
        <v>384350</v>
      </c>
      <c r="L642" s="21"/>
      <c r="M642" s="22">
        <f>(PROVEEDORES[[#This Row],[SUBTOTAL]]-PROVEEDORES[[#This Row],[descuento sobre subtotal]])*VLOOKUP(PROVEEDORES[[#This Row],[PROVEEDOR]],TERCEROS_INFO[#All],3,FALSE)</f>
        <v>73026.5</v>
      </c>
      <c r="N642" s="23"/>
      <c r="O642" s="22">
        <f>+PROVEEDORES[[#This Row],[Descuento sobre subtotal %]]*(PROVEEDORES[[#This Row],[SUBTOTAL]]-PROVEEDORES[[#This Row],[descuento sobre subtotal]])</f>
        <v>0</v>
      </c>
      <c r="P642" s="74">
        <f>+IF(PROVEEDORES[[#This Row],[SUBTOTAL]]&lt;PROVEEDORES[[#This Row],[base retencion]],0,PROVEEDORES[[#This Row],[retención aplicada]])</f>
        <v>0</v>
      </c>
      <c r="Q642" s="22">
        <f>+PROVEEDORES[[#This Row],[Rete Fuente %]]*(PROVEEDORES[[#This Row],[SUBTOTAL]]-PROVEEDORES[[#This Row],[descuento sobre subtotal]])</f>
        <v>0</v>
      </c>
      <c r="R642" s="21">
        <f>+PROVEEDORES[[#This Row],[SUBTOTAL]]+PROVEEDORES[[#This Row],[IVA 19%]]-PROVEEDORES[[#This Row],[descuento sobre subtotal]]-PROVEEDORES[[#This Row],[Descuento sobre subtotal $2]]-PROVEEDORES[[#This Row],[Rete Fuente $]]</f>
        <v>457376.5</v>
      </c>
      <c r="S64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63">
        <f ca="1">IF(PROVEEDORES[[#This Row],[FECHA DE PAGO]]=0,TODAY()-PROVEEDORES[[#This Row],[FECHA DE FACTURACIÓN]]-PROVEEDORES[[#This Row],[PLAZO Días]],0)</f>
        <v>0</v>
      </c>
      <c r="U642" s="104" t="str">
        <f>+VLOOKUP(PROVEEDORES[[#This Row],[PROVEEDOR]],Terceros!$A:$D,4,FALSE)</f>
        <v>2,5% con base</v>
      </c>
      <c r="V642" s="105">
        <f>+YEAR(PROVEEDORES[[#This Row],[FECHA DE FACTURACIÓN]])</f>
        <v>2022</v>
      </c>
      <c r="W642" s="105">
        <f>+MATCH(PROVEEDORES[[#This Row],[año facturado]],Retenciones!$1:$1,0)</f>
        <v>5</v>
      </c>
      <c r="X642" s="106">
        <f>+VLOOKUP(PROVEEDORES[[#This Row],[ID RETENCION]],Retenciones!$A$1:$O$25,PROVEEDORES[[#This Row],[indicador de columna]],FALSE)</f>
        <v>1026000</v>
      </c>
      <c r="Y642" s="107">
        <f>+VLOOKUP(PROVEEDORES[[#This Row],[ID RETENCION]],Retenciones!$A$1:$O$25,2,FALSE)</f>
        <v>2.5000000000000001E-2</v>
      </c>
      <c r="Z642" s="116" t="b">
        <f>OR(COUNTIF(PROVEEDORES[[#This Row],[PROVEEDOR]],"*"&amp;'Palabra no opera'!$A$2&amp;"*"))</f>
        <v>0</v>
      </c>
    </row>
    <row r="643" spans="1:26" ht="22.35" customHeight="1" x14ac:dyDescent="0.3">
      <c r="A643" s="148" t="str">
        <f>+IF(PROVEEDORES[[#This Row],[FECHA DE PAGO]]=PROVEEDORES[[#This Row],[FECHA DE FACTURACIÓN]],"DE CONTADO","CRÉDITO")</f>
        <v>CRÉDITO</v>
      </c>
      <c r="B643" s="38" t="str">
        <f>+IF((PROVEEDORES[[#This Row],[FECHA DE PAGO]]-PROVEEDORES[[#This Row],[FECHA DE FACTURACIÓN]])&gt;PROVEEDORES[[#This Row],[PLAZO Días]],"PAGO VENCIDO")</f>
        <v>PAGO VENCIDO</v>
      </c>
      <c r="C643" s="20">
        <f>+VLOOKUP(PROVEEDORES[[#This Row],[PROVEEDOR]],TERCEROS_INFO[#All],2,FALSE)</f>
        <v>30</v>
      </c>
      <c r="D643" s="25">
        <f>+SUMIFS(PROVEEDORES[Total],PROVEEDORES[PROVEEDOR],PROVEEDORES[[#This Row],[PROVEEDOR]],PROVEEDORES[FECHA DE PAGO],"")</f>
        <v>10321993.199999999</v>
      </c>
      <c r="E643" s="25"/>
      <c r="F643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43" s="68">
        <v>44776</v>
      </c>
      <c r="H643" s="26" t="s">
        <v>1068</v>
      </c>
      <c r="I643" s="68">
        <v>44720</v>
      </c>
      <c r="J643" s="35">
        <v>26146</v>
      </c>
      <c r="K643" s="21">
        <v>128000</v>
      </c>
      <c r="L643" s="21"/>
      <c r="M643" s="22">
        <f>(PROVEEDORES[[#This Row],[SUBTOTAL]]-PROVEEDORES[[#This Row],[descuento sobre subtotal]])*VLOOKUP(PROVEEDORES[[#This Row],[PROVEEDOR]],TERCEROS_INFO[#All],3,FALSE)</f>
        <v>24320</v>
      </c>
      <c r="N643" s="23"/>
      <c r="O643" s="22">
        <f>+PROVEEDORES[[#This Row],[Descuento sobre subtotal %]]*(PROVEEDORES[[#This Row],[SUBTOTAL]]-PROVEEDORES[[#This Row],[descuento sobre subtotal]])</f>
        <v>0</v>
      </c>
      <c r="P643" s="74">
        <f>+IF(PROVEEDORES[[#This Row],[SUBTOTAL]]&lt;PROVEEDORES[[#This Row],[base retencion]],0,PROVEEDORES[[#This Row],[retención aplicada]])</f>
        <v>0</v>
      </c>
      <c r="Q643" s="22">
        <f>+PROVEEDORES[[#This Row],[Rete Fuente %]]*(PROVEEDORES[[#This Row],[SUBTOTAL]]-PROVEEDORES[[#This Row],[descuento sobre subtotal]])</f>
        <v>0</v>
      </c>
      <c r="R643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64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63">
        <f ca="1">IF(PROVEEDORES[[#This Row],[FECHA DE PAGO]]=0,TODAY()-PROVEEDORES[[#This Row],[FECHA DE FACTURACIÓN]]-PROVEEDORES[[#This Row],[PLAZO Días]],0)</f>
        <v>0</v>
      </c>
      <c r="U643" s="104" t="str">
        <f>+VLOOKUP(PROVEEDORES[[#This Row],[PROVEEDOR]],Terceros!$A:$D,4,FALSE)</f>
        <v>2,5% con base</v>
      </c>
      <c r="V643" s="105">
        <f>+YEAR(PROVEEDORES[[#This Row],[FECHA DE FACTURACIÓN]])</f>
        <v>2022</v>
      </c>
      <c r="W643" s="105">
        <f>+MATCH(PROVEEDORES[[#This Row],[año facturado]],Retenciones!$1:$1,0)</f>
        <v>5</v>
      </c>
      <c r="X643" s="106">
        <f>+VLOOKUP(PROVEEDORES[[#This Row],[ID RETENCION]],Retenciones!$A$1:$O$25,PROVEEDORES[[#This Row],[indicador de columna]],FALSE)</f>
        <v>1026000</v>
      </c>
      <c r="Y643" s="107">
        <f>+VLOOKUP(PROVEEDORES[[#This Row],[ID RETENCION]],Retenciones!$A$1:$O$25,2,FALSE)</f>
        <v>2.5000000000000001E-2</v>
      </c>
      <c r="Z643" s="116" t="b">
        <f>OR(COUNTIF(PROVEEDORES[[#This Row],[PROVEEDOR]],"*"&amp;'Palabra no opera'!$A$2&amp;"*"))</f>
        <v>0</v>
      </c>
    </row>
    <row r="644" spans="1:26" ht="22.35" customHeight="1" x14ac:dyDescent="0.3">
      <c r="A644" s="148" t="str">
        <f>+IF(PROVEEDORES[[#This Row],[FECHA DE PAGO]]=PROVEEDORES[[#This Row],[FECHA DE FACTURACIÓN]],"DE CONTADO","CRÉDITO")</f>
        <v>CRÉDITO</v>
      </c>
      <c r="B644" s="38" t="str">
        <f>+IF((PROVEEDORES[[#This Row],[FECHA DE PAGO]]-PROVEEDORES[[#This Row],[FECHA DE FACTURACIÓN]])&gt;PROVEEDORES[[#This Row],[PLAZO Días]],"PAGO VENCIDO")</f>
        <v>PAGO VENCIDO</v>
      </c>
      <c r="C644" s="20">
        <f>+VLOOKUP(PROVEEDORES[[#This Row],[PROVEEDOR]],TERCEROS_INFO[#All],2,FALSE)</f>
        <v>30</v>
      </c>
      <c r="D644" s="25">
        <f>+SUMIFS(PROVEEDORES[Total],PROVEEDORES[PROVEEDOR],PROVEEDORES[[#This Row],[PROVEEDOR]],PROVEEDORES[FECHA DE PAGO],"")</f>
        <v>10321993.199999999</v>
      </c>
      <c r="E644" s="25"/>
      <c r="F644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44" s="68">
        <v>44776</v>
      </c>
      <c r="H644" s="26" t="s">
        <v>1068</v>
      </c>
      <c r="I644" s="68">
        <v>44721</v>
      </c>
      <c r="J644" s="35">
        <v>26161</v>
      </c>
      <c r="K644" s="21">
        <v>3457080</v>
      </c>
      <c r="L644" s="21">
        <v>314280</v>
      </c>
      <c r="M644" s="22">
        <f>(PROVEEDORES[[#This Row],[SUBTOTAL]]-PROVEEDORES[[#This Row],[descuento sobre subtotal]])*VLOOKUP(PROVEEDORES[[#This Row],[PROVEEDOR]],TERCEROS_INFO[#All],3,FALSE)</f>
        <v>597132</v>
      </c>
      <c r="N644" s="23"/>
      <c r="O644" s="22">
        <f>+PROVEEDORES[[#This Row],[Descuento sobre subtotal %]]*(PROVEEDORES[[#This Row],[SUBTOTAL]]-PROVEEDORES[[#This Row],[descuento sobre subtotal]])</f>
        <v>0</v>
      </c>
      <c r="P644" s="74">
        <f>+IF(PROVEEDORES[[#This Row],[SUBTOTAL]]&lt;PROVEEDORES[[#This Row],[base retencion]],0,PROVEEDORES[[#This Row],[retención aplicada]])</f>
        <v>2.5000000000000001E-2</v>
      </c>
      <c r="Q644" s="22">
        <f>+PROVEEDORES[[#This Row],[Rete Fuente %]]*(PROVEEDORES[[#This Row],[SUBTOTAL]]-PROVEEDORES[[#This Row],[descuento sobre subtotal]])</f>
        <v>78570</v>
      </c>
      <c r="R644" s="21">
        <f>+PROVEEDORES[[#This Row],[SUBTOTAL]]+PROVEEDORES[[#This Row],[IVA 19%]]-PROVEEDORES[[#This Row],[descuento sobre subtotal]]-PROVEEDORES[[#This Row],[Descuento sobre subtotal $2]]-PROVEEDORES[[#This Row],[Rete Fuente $]]</f>
        <v>3661362</v>
      </c>
      <c r="S64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63">
        <f ca="1">IF(PROVEEDORES[[#This Row],[FECHA DE PAGO]]=0,TODAY()-PROVEEDORES[[#This Row],[FECHA DE FACTURACIÓN]]-PROVEEDORES[[#This Row],[PLAZO Días]],0)</f>
        <v>0</v>
      </c>
      <c r="U644" s="104" t="str">
        <f>+VLOOKUP(PROVEEDORES[[#This Row],[PROVEEDOR]],Terceros!$A:$D,4,FALSE)</f>
        <v>2,5% con base</v>
      </c>
      <c r="V644" s="105">
        <f>+YEAR(PROVEEDORES[[#This Row],[FECHA DE FACTURACIÓN]])</f>
        <v>2022</v>
      </c>
      <c r="W644" s="105">
        <f>+MATCH(PROVEEDORES[[#This Row],[año facturado]],Retenciones!$1:$1,0)</f>
        <v>5</v>
      </c>
      <c r="X644" s="106">
        <f>+VLOOKUP(PROVEEDORES[[#This Row],[ID RETENCION]],Retenciones!$A$1:$O$25,PROVEEDORES[[#This Row],[indicador de columna]],FALSE)</f>
        <v>1026000</v>
      </c>
      <c r="Y644" s="107">
        <f>+VLOOKUP(PROVEEDORES[[#This Row],[ID RETENCION]],Retenciones!$A$1:$O$25,2,FALSE)</f>
        <v>2.5000000000000001E-2</v>
      </c>
      <c r="Z644" s="116" t="b">
        <f>OR(COUNTIF(PROVEEDORES[[#This Row],[PROVEEDOR]],"*"&amp;'Palabra no opera'!$A$2&amp;"*"))</f>
        <v>0</v>
      </c>
    </row>
    <row r="645" spans="1:26" ht="22.35" customHeight="1" x14ac:dyDescent="0.3">
      <c r="A645" s="148" t="str">
        <f>+IF(PROVEEDORES[[#This Row],[FECHA DE PAGO]]=PROVEEDORES[[#This Row],[FECHA DE FACTURACIÓN]],"DE CONTADO","CRÉDITO")</f>
        <v>CRÉDITO</v>
      </c>
      <c r="B645" s="38" t="str">
        <f>+IF((PROVEEDORES[[#This Row],[FECHA DE PAGO]]-PROVEEDORES[[#This Row],[FECHA DE FACTURACIÓN]])&gt;PROVEEDORES[[#This Row],[PLAZO Días]],"PAGO VENCIDO")</f>
        <v>PAGO VENCIDO</v>
      </c>
      <c r="C645" s="20">
        <f>+VLOOKUP(PROVEEDORES[[#This Row],[PROVEEDOR]],TERCEROS_INFO[#All],2,FALSE)</f>
        <v>30</v>
      </c>
      <c r="D645" s="25">
        <f>+SUMIFS(PROVEEDORES[Total],PROVEEDORES[PROVEEDOR],PROVEEDORES[[#This Row],[PROVEEDOR]],PROVEEDORES[FECHA DE PAGO],"")</f>
        <v>10321993.199999999</v>
      </c>
      <c r="E645" s="25"/>
      <c r="F645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45" s="68">
        <v>44776</v>
      </c>
      <c r="H645" s="26" t="s">
        <v>1068</v>
      </c>
      <c r="I645" s="68">
        <v>44740</v>
      </c>
      <c r="J645" s="35">
        <v>26319</v>
      </c>
      <c r="K645" s="21">
        <v>617200</v>
      </c>
      <c r="L645" s="21">
        <v>20400</v>
      </c>
      <c r="M645" s="22">
        <f>(PROVEEDORES[[#This Row],[SUBTOTAL]]-PROVEEDORES[[#This Row],[descuento sobre subtotal]])*VLOOKUP(PROVEEDORES[[#This Row],[PROVEEDOR]],TERCEROS_INFO[#All],3,FALSE)</f>
        <v>113392</v>
      </c>
      <c r="N645" s="23"/>
      <c r="O645" s="22">
        <f>+PROVEEDORES[[#This Row],[Descuento sobre subtotal %]]*(PROVEEDORES[[#This Row],[SUBTOTAL]]-PROVEEDORES[[#This Row],[descuento sobre subtotal]])</f>
        <v>0</v>
      </c>
      <c r="P645" s="74">
        <f>+IF(PROVEEDORES[[#This Row],[SUBTOTAL]]&lt;PROVEEDORES[[#This Row],[base retencion]],0,PROVEEDORES[[#This Row],[retención aplicada]])</f>
        <v>0</v>
      </c>
      <c r="Q645" s="22">
        <f>+PROVEEDORES[[#This Row],[Rete Fuente %]]*(PROVEEDORES[[#This Row],[SUBTOTAL]]-PROVEEDORES[[#This Row],[descuento sobre subtotal]])</f>
        <v>0</v>
      </c>
      <c r="R645" s="21">
        <f>+PROVEEDORES[[#This Row],[SUBTOTAL]]+PROVEEDORES[[#This Row],[IVA 19%]]-PROVEEDORES[[#This Row],[descuento sobre subtotal]]-PROVEEDORES[[#This Row],[Descuento sobre subtotal $2]]-PROVEEDORES[[#This Row],[Rete Fuente $]]</f>
        <v>710192</v>
      </c>
      <c r="S64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63">
        <f ca="1">IF(PROVEEDORES[[#This Row],[FECHA DE PAGO]]=0,TODAY()-PROVEEDORES[[#This Row],[FECHA DE FACTURACIÓN]]-PROVEEDORES[[#This Row],[PLAZO Días]],0)</f>
        <v>0</v>
      </c>
      <c r="U645" s="104" t="str">
        <f>+VLOOKUP(PROVEEDORES[[#This Row],[PROVEEDOR]],Terceros!$A:$D,4,FALSE)</f>
        <v>2,5% con base</v>
      </c>
      <c r="V645" s="105">
        <f>+YEAR(PROVEEDORES[[#This Row],[FECHA DE FACTURACIÓN]])</f>
        <v>2022</v>
      </c>
      <c r="W645" s="105">
        <f>+MATCH(PROVEEDORES[[#This Row],[año facturado]],Retenciones!$1:$1,0)</f>
        <v>5</v>
      </c>
      <c r="X645" s="106">
        <f>+VLOOKUP(PROVEEDORES[[#This Row],[ID RETENCION]],Retenciones!$A$1:$O$25,PROVEEDORES[[#This Row],[indicador de columna]],FALSE)</f>
        <v>1026000</v>
      </c>
      <c r="Y645" s="107">
        <f>+VLOOKUP(PROVEEDORES[[#This Row],[ID RETENCION]],Retenciones!$A$1:$O$25,2,FALSE)</f>
        <v>2.5000000000000001E-2</v>
      </c>
      <c r="Z645" s="116" t="b">
        <f>OR(COUNTIF(PROVEEDORES[[#This Row],[PROVEEDOR]],"*"&amp;'Palabra no opera'!$A$2&amp;"*"))</f>
        <v>0</v>
      </c>
    </row>
    <row r="646" spans="1:26" ht="22.35" customHeight="1" x14ac:dyDescent="0.3">
      <c r="A646" s="148" t="str">
        <f>+IF(PROVEEDORES[[#This Row],[FECHA DE PAGO]]=PROVEEDORES[[#This Row],[FECHA DE FACTURACIÓN]],"DE CONTADO","CRÉDITO")</f>
        <v>CRÉDITO</v>
      </c>
      <c r="B646" s="38" t="str">
        <f>+IF((PROVEEDORES[[#This Row],[FECHA DE PAGO]]-PROVEEDORES[[#This Row],[FECHA DE FACTURACIÓN]])&gt;PROVEEDORES[[#This Row],[PLAZO Días]],"PAGO VENCIDO")</f>
        <v>PAGO VENCIDO</v>
      </c>
      <c r="C646" s="20">
        <f>+VLOOKUP(PROVEEDORES[[#This Row],[PROVEEDOR]],TERCEROS_INFO[#All],2,FALSE)</f>
        <v>30</v>
      </c>
      <c r="D646" s="25">
        <f>+SUMIFS(PROVEEDORES[Total],PROVEEDORES[PROVEEDOR],PROVEEDORES[[#This Row],[PROVEEDOR]],PROVEEDORES[FECHA DE PAGO],"")</f>
        <v>0</v>
      </c>
      <c r="E646" s="25"/>
      <c r="F646" s="56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646" s="68">
        <v>44776</v>
      </c>
      <c r="H646" s="26" t="s">
        <v>16</v>
      </c>
      <c r="I646" s="68">
        <v>44733</v>
      </c>
      <c r="J646" s="35">
        <v>4622</v>
      </c>
      <c r="K646" s="21">
        <v>749579.83</v>
      </c>
      <c r="L646" s="21"/>
      <c r="M646" s="22">
        <f>(PROVEEDORES[[#This Row],[SUBTOTAL]]-PROVEEDORES[[#This Row],[descuento sobre subtotal]])*VLOOKUP(PROVEEDORES[[#This Row],[PROVEEDOR]],TERCEROS_INFO[#All],3,FALSE)</f>
        <v>142420.16769999999</v>
      </c>
      <c r="N646" s="23"/>
      <c r="O646" s="22">
        <f>+PROVEEDORES[[#This Row],[Descuento sobre subtotal %]]*(PROVEEDORES[[#This Row],[SUBTOTAL]]-PROVEEDORES[[#This Row],[descuento sobre subtotal]])</f>
        <v>0</v>
      </c>
      <c r="P646" s="74">
        <f>+IF(PROVEEDORES[[#This Row],[SUBTOTAL]]&lt;PROVEEDORES[[#This Row],[base retencion]],0,PROVEEDORES[[#This Row],[retención aplicada]])</f>
        <v>0</v>
      </c>
      <c r="Q646" s="22">
        <f>+PROVEEDORES[[#This Row],[Rete Fuente %]]*(PROVEEDORES[[#This Row],[SUBTOTAL]]-PROVEEDORES[[#This Row],[descuento sobre subtotal]])</f>
        <v>0</v>
      </c>
      <c r="R646" s="21">
        <f>+PROVEEDORES[[#This Row],[SUBTOTAL]]+PROVEEDORES[[#This Row],[IVA 19%]]-PROVEEDORES[[#This Row],[descuento sobre subtotal]]-PROVEEDORES[[#This Row],[Descuento sobre subtotal $2]]-PROVEEDORES[[#This Row],[Rete Fuente $]]</f>
        <v>891999.99769999995</v>
      </c>
      <c r="S64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63">
        <f ca="1">IF(PROVEEDORES[[#This Row],[FECHA DE PAGO]]=0,TODAY()-PROVEEDORES[[#This Row],[FECHA DE FACTURACIÓN]]-PROVEEDORES[[#This Row],[PLAZO Días]],0)</f>
        <v>0</v>
      </c>
      <c r="U646" s="104" t="str">
        <f>+VLOOKUP(PROVEEDORES[[#This Row],[PROVEEDOR]],Terceros!$A:$D,4,FALSE)</f>
        <v>2,5% con base</v>
      </c>
      <c r="V646" s="105">
        <f>+YEAR(PROVEEDORES[[#This Row],[FECHA DE FACTURACIÓN]])</f>
        <v>2022</v>
      </c>
      <c r="W646" s="105">
        <f>+MATCH(PROVEEDORES[[#This Row],[año facturado]],Retenciones!$1:$1,0)</f>
        <v>5</v>
      </c>
      <c r="X646" s="106">
        <f>+VLOOKUP(PROVEEDORES[[#This Row],[ID RETENCION]],Retenciones!$A$1:$O$25,PROVEEDORES[[#This Row],[indicador de columna]],FALSE)</f>
        <v>1026000</v>
      </c>
      <c r="Y646" s="107">
        <f>+VLOOKUP(PROVEEDORES[[#This Row],[ID RETENCION]],Retenciones!$A$1:$O$25,2,FALSE)</f>
        <v>2.5000000000000001E-2</v>
      </c>
      <c r="Z646" s="116" t="b">
        <f>OR(COUNTIF(PROVEEDORES[[#This Row],[PROVEEDOR]],"*"&amp;'Palabra no opera'!$A$2&amp;"*"))</f>
        <v>0</v>
      </c>
    </row>
    <row r="647" spans="1:26" ht="22.35" customHeight="1" x14ac:dyDescent="0.3">
      <c r="A647" s="67" t="str">
        <f>+IF(PROVEEDORES[[#This Row],[FECHA DE PAGO]]=PROVEEDORES[[#This Row],[FECHA DE FACTURACIÓN]],"DE CONTADO","CRÉDITO")</f>
        <v>CRÉDITO</v>
      </c>
      <c r="B647" s="38" t="str">
        <f>+IF((PROVEEDORES[[#This Row],[FECHA DE PAGO]]-PROVEEDORES[[#This Row],[FECHA DE FACTURACIÓN]])&gt;PROVEEDORES[[#This Row],[PLAZO Días]],"PAGO VENCIDO")</f>
        <v>PAGO VENCIDO</v>
      </c>
      <c r="C647" s="20">
        <f>+VLOOKUP(PROVEEDORES[[#This Row],[PROVEEDOR]],TERCEROS_INFO[#All],2,FALSE)</f>
        <v>30</v>
      </c>
      <c r="D647" s="25">
        <f>+SUMIFS(PROVEEDORES[Total],PROVEEDORES[PROVEEDOR],PROVEEDORES[[#This Row],[PROVEEDOR]],PROVEEDORES[FECHA DE PAGO],"")</f>
        <v>0</v>
      </c>
      <c r="E647" s="25"/>
      <c r="F647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647" s="68">
        <v>44776</v>
      </c>
      <c r="H647" s="26" t="s">
        <v>651</v>
      </c>
      <c r="I647" s="68">
        <v>44743</v>
      </c>
      <c r="J647" s="35">
        <v>5476</v>
      </c>
      <c r="K647" s="21">
        <v>215356</v>
      </c>
      <c r="L647" s="21"/>
      <c r="M647" s="22">
        <f>(PROVEEDORES[[#This Row],[SUBTOTAL]]-PROVEEDORES[[#This Row],[descuento sobre subtotal]])*VLOOKUP(PROVEEDORES[[#This Row],[PROVEEDOR]],TERCEROS_INFO[#All],3,FALSE)</f>
        <v>40917.64</v>
      </c>
      <c r="N647" s="23"/>
      <c r="O647" s="22">
        <f>+PROVEEDORES[[#This Row],[Descuento sobre subtotal %]]*(PROVEEDORES[[#This Row],[SUBTOTAL]]-PROVEEDORES[[#This Row],[descuento sobre subtotal]])</f>
        <v>0</v>
      </c>
      <c r="P647" s="74">
        <f>+IF(PROVEEDORES[[#This Row],[SUBTOTAL]]&lt;PROVEEDORES[[#This Row],[base retencion]],0,PROVEEDORES[[#This Row],[retención aplicada]])</f>
        <v>3.5000000000000003E-2</v>
      </c>
      <c r="Q647" s="22">
        <f>+PROVEEDORES[[#This Row],[Rete Fuente %]]*(PROVEEDORES[[#This Row],[SUBTOTAL]]-PROVEEDORES[[#This Row],[descuento sobre subtotal]])</f>
        <v>7537.4600000000009</v>
      </c>
      <c r="R647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6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63">
        <f ca="1">IF(PROVEEDORES[[#This Row],[FECHA DE PAGO]]=0,TODAY()-PROVEEDORES[[#This Row],[FECHA DE FACTURACIÓN]]-PROVEEDORES[[#This Row],[PLAZO Días]],0)</f>
        <v>0</v>
      </c>
      <c r="U647" s="104" t="str">
        <f>+VLOOKUP(PROVEEDORES[[#This Row],[PROVEEDOR]],Terceros!$A:$D,4,FALSE)</f>
        <v>3,5% sin base</v>
      </c>
      <c r="V647" s="105">
        <f>+YEAR(PROVEEDORES[[#This Row],[FECHA DE FACTURACIÓN]])</f>
        <v>2022</v>
      </c>
      <c r="W647" s="105">
        <f>+MATCH(PROVEEDORES[[#This Row],[año facturado]],Retenciones!$1:$1,0)</f>
        <v>5</v>
      </c>
      <c r="X647" s="106">
        <f>+VLOOKUP(PROVEEDORES[[#This Row],[ID RETENCION]],Retenciones!$A$1:$O$25,PROVEEDORES[[#This Row],[indicador de columna]],FALSE)</f>
        <v>0</v>
      </c>
      <c r="Y647" s="107">
        <f>+VLOOKUP(PROVEEDORES[[#This Row],[ID RETENCION]],Retenciones!$A$1:$O$25,2,FALSE)</f>
        <v>3.5000000000000003E-2</v>
      </c>
      <c r="Z647" s="116" t="b">
        <f>OR(COUNTIF(PROVEEDORES[[#This Row],[PROVEEDOR]],"*"&amp;'Palabra no opera'!$A$2&amp;"*"))</f>
        <v>1</v>
      </c>
    </row>
    <row r="648" spans="1:26" ht="22.35" customHeight="1" x14ac:dyDescent="0.3">
      <c r="A648" s="148" t="str">
        <f>+IF(PROVEEDORES[[#This Row],[FECHA DE PAGO]]=PROVEEDORES[[#This Row],[FECHA DE FACTURACIÓN]],"DE CONTADO","CRÉDITO")</f>
        <v>CRÉDITO</v>
      </c>
      <c r="B648" s="38" t="str">
        <f>+IF((PROVEEDORES[[#This Row],[FECHA DE PAGO]]-PROVEEDORES[[#This Row],[FECHA DE FACTURACIÓN]])&gt;PROVEEDORES[[#This Row],[PLAZO Días]],"PAGO VENCIDO")</f>
        <v>PAGO VENCIDO</v>
      </c>
      <c r="C648" s="20">
        <f>+VLOOKUP(PROVEEDORES[[#This Row],[PROVEEDOR]],TERCEROS_INFO[#All],2,FALSE)</f>
        <v>45</v>
      </c>
      <c r="D648" s="25">
        <f>+SUMIFS(PROVEEDORES[Total],PROVEEDORES[PROVEEDOR],PROVEEDORES[[#This Row],[PROVEEDOR]],PROVEEDORES[FECHA DE PAGO],"")</f>
        <v>8072960</v>
      </c>
      <c r="E648" s="25"/>
      <c r="F648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48" s="68">
        <v>44776</v>
      </c>
      <c r="H648" s="26" t="s">
        <v>10</v>
      </c>
      <c r="I648" s="68">
        <v>44718</v>
      </c>
      <c r="J648" s="35" t="s">
        <v>739</v>
      </c>
      <c r="K648" s="21">
        <v>1440000</v>
      </c>
      <c r="L648" s="21"/>
      <c r="M648" s="22">
        <f>(PROVEEDORES[[#This Row],[SUBTOTAL]]-PROVEEDORES[[#This Row],[descuento sobre subtotal]])*VLOOKUP(PROVEEDORES[[#This Row],[PROVEEDOR]],TERCEROS_INFO[#All],3,FALSE)</f>
        <v>273600</v>
      </c>
      <c r="N648" s="23"/>
      <c r="O648" s="22">
        <f>+PROVEEDORES[[#This Row],[Descuento sobre subtotal %]]*(PROVEEDORES[[#This Row],[SUBTOTAL]]-PROVEEDORES[[#This Row],[descuento sobre subtotal]])</f>
        <v>0</v>
      </c>
      <c r="P648" s="74">
        <f>+IF(PROVEEDORES[[#This Row],[SUBTOTAL]]&lt;PROVEEDORES[[#This Row],[base retencion]],0,PROVEEDORES[[#This Row],[retención aplicada]])</f>
        <v>0</v>
      </c>
      <c r="Q648" s="22">
        <f>+PROVEEDORES[[#This Row],[Rete Fuente %]]*(PROVEEDORES[[#This Row],[SUBTOTAL]]-PROVEEDORES[[#This Row],[descuento sobre subtotal]])</f>
        <v>0</v>
      </c>
      <c r="R648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64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63">
        <f ca="1">IF(PROVEEDORES[[#This Row],[FECHA DE PAGO]]=0,TODAY()-PROVEEDORES[[#This Row],[FECHA DE FACTURACIÓN]]-PROVEEDORES[[#This Row],[PLAZO Días]],0)</f>
        <v>0</v>
      </c>
      <c r="U648" s="104">
        <f>+VLOOKUP(PROVEEDORES[[#This Row],[PROVEEDOR]],Terceros!$A:$D,4,FALSE)</f>
        <v>0</v>
      </c>
      <c r="V648" s="105">
        <f>+YEAR(PROVEEDORES[[#This Row],[FECHA DE FACTURACIÓN]])</f>
        <v>2022</v>
      </c>
      <c r="W648" s="105">
        <f>+MATCH(PROVEEDORES[[#This Row],[año facturado]],Retenciones!$1:$1,0)</f>
        <v>5</v>
      </c>
      <c r="X648" s="106">
        <f>+VLOOKUP(PROVEEDORES[[#This Row],[ID RETENCION]],Retenciones!$A$1:$O$25,PROVEEDORES[[#This Row],[indicador de columna]],FALSE)</f>
        <v>0</v>
      </c>
      <c r="Y648" s="107">
        <f>+VLOOKUP(PROVEEDORES[[#This Row],[ID RETENCION]],Retenciones!$A$1:$O$25,2,FALSE)</f>
        <v>0</v>
      </c>
      <c r="Z648" s="116" t="b">
        <f>OR(COUNTIF(PROVEEDORES[[#This Row],[PROVEEDOR]],"*"&amp;'Palabra no opera'!$A$2&amp;"*"))</f>
        <v>0</v>
      </c>
    </row>
    <row r="649" spans="1:26" ht="22.35" customHeight="1" x14ac:dyDescent="0.3">
      <c r="A649" s="148" t="str">
        <f>+IF(PROVEEDORES[[#This Row],[FECHA DE PAGO]]=PROVEEDORES[[#This Row],[FECHA DE FACTURACIÓN]],"DE CONTADO","CRÉDITO")</f>
        <v>CRÉDITO</v>
      </c>
      <c r="B649" s="38" t="str">
        <f>+IF((PROVEEDORES[[#This Row],[FECHA DE PAGO]]-PROVEEDORES[[#This Row],[FECHA DE FACTURACIÓN]])&gt;PROVEEDORES[[#This Row],[PLAZO Días]],"PAGO VENCIDO")</f>
        <v>PAGO VENCIDO</v>
      </c>
      <c r="C649" s="20">
        <f>+VLOOKUP(PROVEEDORES[[#This Row],[PROVEEDOR]],TERCEROS_INFO[#All],2,FALSE)</f>
        <v>45</v>
      </c>
      <c r="D649" s="25">
        <f>+SUMIFS(PROVEEDORES[Total],PROVEEDORES[PROVEEDOR],PROVEEDORES[[#This Row],[PROVEEDOR]],PROVEEDORES[FECHA DE PAGO],"")</f>
        <v>8072960</v>
      </c>
      <c r="E649" s="25"/>
      <c r="F64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49" s="68">
        <v>44776</v>
      </c>
      <c r="H649" s="26" t="s">
        <v>10</v>
      </c>
      <c r="I649" s="68">
        <v>44726</v>
      </c>
      <c r="J649" s="35" t="s">
        <v>747</v>
      </c>
      <c r="K649" s="21">
        <v>87000</v>
      </c>
      <c r="L649" s="21"/>
      <c r="M649" s="22">
        <f>(PROVEEDORES[[#This Row],[SUBTOTAL]]-PROVEEDORES[[#This Row],[descuento sobre subtotal]])*VLOOKUP(PROVEEDORES[[#This Row],[PROVEEDOR]],TERCEROS_INFO[#All],3,FALSE)</f>
        <v>16530</v>
      </c>
      <c r="N649" s="23"/>
      <c r="O649" s="22">
        <f>+PROVEEDORES[[#This Row],[Descuento sobre subtotal %]]*(PROVEEDORES[[#This Row],[SUBTOTAL]]-PROVEEDORES[[#This Row],[descuento sobre subtotal]])</f>
        <v>0</v>
      </c>
      <c r="P649" s="74">
        <f>+IF(PROVEEDORES[[#This Row],[SUBTOTAL]]&lt;PROVEEDORES[[#This Row],[base retencion]],0,PROVEEDORES[[#This Row],[retención aplicada]])</f>
        <v>0</v>
      </c>
      <c r="Q649" s="22">
        <f>+PROVEEDORES[[#This Row],[Rete Fuente %]]*(PROVEEDORES[[#This Row],[SUBTOTAL]]-PROVEEDORES[[#This Row],[descuento sobre subtotal]])</f>
        <v>0</v>
      </c>
      <c r="R649" s="21">
        <f>+PROVEEDORES[[#This Row],[SUBTOTAL]]+PROVEEDORES[[#This Row],[IVA 19%]]-PROVEEDORES[[#This Row],[descuento sobre subtotal]]-PROVEEDORES[[#This Row],[Descuento sobre subtotal $2]]-PROVEEDORES[[#This Row],[Rete Fuente $]]</f>
        <v>103530</v>
      </c>
      <c r="S64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63">
        <f ca="1">IF(PROVEEDORES[[#This Row],[FECHA DE PAGO]]=0,TODAY()-PROVEEDORES[[#This Row],[FECHA DE FACTURACIÓN]]-PROVEEDORES[[#This Row],[PLAZO Días]],0)</f>
        <v>0</v>
      </c>
      <c r="U649" s="104">
        <f>+VLOOKUP(PROVEEDORES[[#This Row],[PROVEEDOR]],Terceros!$A:$D,4,FALSE)</f>
        <v>0</v>
      </c>
      <c r="V649" s="105">
        <f>+YEAR(PROVEEDORES[[#This Row],[FECHA DE FACTURACIÓN]])</f>
        <v>2022</v>
      </c>
      <c r="W649" s="105">
        <f>+MATCH(PROVEEDORES[[#This Row],[año facturado]],Retenciones!$1:$1,0)</f>
        <v>5</v>
      </c>
      <c r="X649" s="106">
        <f>+VLOOKUP(PROVEEDORES[[#This Row],[ID RETENCION]],Retenciones!$A$1:$O$25,PROVEEDORES[[#This Row],[indicador de columna]],FALSE)</f>
        <v>0</v>
      </c>
      <c r="Y649" s="107">
        <f>+VLOOKUP(PROVEEDORES[[#This Row],[ID RETENCION]],Retenciones!$A$1:$O$25,2,FALSE)</f>
        <v>0</v>
      </c>
      <c r="Z649" s="116" t="b">
        <f>OR(COUNTIF(PROVEEDORES[[#This Row],[PROVEEDOR]],"*"&amp;'Palabra no opera'!$A$2&amp;"*"))</f>
        <v>0</v>
      </c>
    </row>
    <row r="650" spans="1:26" ht="22.35" customHeight="1" x14ac:dyDescent="0.3">
      <c r="A650" s="148" t="str">
        <f>+IF(PROVEEDORES[[#This Row],[FECHA DE PAGO]]=PROVEEDORES[[#This Row],[FECHA DE FACTURACIÓN]],"DE CONTADO","CRÉDITO")</f>
        <v>CRÉDITO</v>
      </c>
      <c r="B650" s="38" t="str">
        <f>+IF((PROVEEDORES[[#This Row],[FECHA DE PAGO]]-PROVEEDORES[[#This Row],[FECHA DE FACTURACIÓN]])&gt;PROVEEDORES[[#This Row],[PLAZO Días]],"PAGO VENCIDO")</f>
        <v>PAGO VENCIDO</v>
      </c>
      <c r="C650" s="20">
        <f>+VLOOKUP(PROVEEDORES[[#This Row],[PROVEEDOR]],TERCEROS_INFO[#All],2,FALSE)</f>
        <v>45</v>
      </c>
      <c r="D650" s="25">
        <f>+SUMIFS(PROVEEDORES[Total],PROVEEDORES[PROVEEDOR],PROVEEDORES[[#This Row],[PROVEEDOR]],PROVEEDORES[FECHA DE PAGO],"")</f>
        <v>8072960</v>
      </c>
      <c r="E650" s="25"/>
      <c r="F65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50" s="68">
        <v>44776</v>
      </c>
      <c r="H650" s="26" t="s">
        <v>10</v>
      </c>
      <c r="I650" s="68">
        <v>44727</v>
      </c>
      <c r="J650" s="35" t="s">
        <v>745</v>
      </c>
      <c r="K650" s="21">
        <v>735000</v>
      </c>
      <c r="L650" s="21"/>
      <c r="M650" s="22">
        <f>(PROVEEDORES[[#This Row],[SUBTOTAL]]-PROVEEDORES[[#This Row],[descuento sobre subtotal]])*VLOOKUP(PROVEEDORES[[#This Row],[PROVEEDOR]],TERCEROS_INFO[#All],3,FALSE)</f>
        <v>139650</v>
      </c>
      <c r="N650" s="23"/>
      <c r="O650" s="22">
        <f>+PROVEEDORES[[#This Row],[Descuento sobre subtotal %]]*(PROVEEDORES[[#This Row],[SUBTOTAL]]-PROVEEDORES[[#This Row],[descuento sobre subtotal]])</f>
        <v>0</v>
      </c>
      <c r="P650" s="74">
        <f>+IF(PROVEEDORES[[#This Row],[SUBTOTAL]]&lt;PROVEEDORES[[#This Row],[base retencion]],0,PROVEEDORES[[#This Row],[retención aplicada]])</f>
        <v>0</v>
      </c>
      <c r="Q650" s="22">
        <f>+PROVEEDORES[[#This Row],[Rete Fuente %]]*(PROVEEDORES[[#This Row],[SUBTOTAL]]-PROVEEDORES[[#This Row],[descuento sobre subtotal]])</f>
        <v>0</v>
      </c>
      <c r="R650" s="21">
        <f>+PROVEEDORES[[#This Row],[SUBTOTAL]]+PROVEEDORES[[#This Row],[IVA 19%]]-PROVEEDORES[[#This Row],[descuento sobre subtotal]]-PROVEEDORES[[#This Row],[Descuento sobre subtotal $2]]-PROVEEDORES[[#This Row],[Rete Fuente $]]</f>
        <v>874650</v>
      </c>
      <c r="S650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63">
        <f ca="1">IF(PROVEEDORES[[#This Row],[FECHA DE PAGO]]=0,TODAY()-PROVEEDORES[[#This Row],[FECHA DE FACTURACIÓN]]-PROVEEDORES[[#This Row],[PLAZO Días]],0)</f>
        <v>0</v>
      </c>
      <c r="U650" s="104">
        <f>+VLOOKUP(PROVEEDORES[[#This Row],[PROVEEDOR]],Terceros!$A:$D,4,FALSE)</f>
        <v>0</v>
      </c>
      <c r="V650" s="105">
        <f>+YEAR(PROVEEDORES[[#This Row],[FECHA DE FACTURACIÓN]])</f>
        <v>2022</v>
      </c>
      <c r="W650" s="105">
        <f>+MATCH(PROVEEDORES[[#This Row],[año facturado]],Retenciones!$1:$1,0)</f>
        <v>5</v>
      </c>
      <c r="X650" s="106">
        <f>+VLOOKUP(PROVEEDORES[[#This Row],[ID RETENCION]],Retenciones!$A$1:$O$25,PROVEEDORES[[#This Row],[indicador de columna]],FALSE)</f>
        <v>0</v>
      </c>
      <c r="Y650" s="107">
        <f>+VLOOKUP(PROVEEDORES[[#This Row],[ID RETENCION]],Retenciones!$A$1:$O$25,2,FALSE)</f>
        <v>0</v>
      </c>
      <c r="Z650" s="116" t="b">
        <f>OR(COUNTIF(PROVEEDORES[[#This Row],[PROVEEDOR]],"*"&amp;'Palabra no opera'!$A$2&amp;"*"))</f>
        <v>0</v>
      </c>
    </row>
    <row r="651" spans="1:26" ht="22.35" customHeight="1" x14ac:dyDescent="0.3">
      <c r="A651" s="148" t="str">
        <f>+IF(PROVEEDORES[[#This Row],[FECHA DE PAGO]]=PROVEEDORES[[#This Row],[FECHA DE FACTURACIÓN]],"DE CONTADO","CRÉDITO")</f>
        <v>CRÉDITO</v>
      </c>
      <c r="B651" s="38" t="str">
        <f>+IF((PROVEEDORES[[#This Row],[FECHA DE PAGO]]-PROVEEDORES[[#This Row],[FECHA DE FACTURACIÓN]])&gt;PROVEEDORES[[#This Row],[PLAZO Días]],"PAGO VENCIDO")</f>
        <v>PAGO VENCIDO</v>
      </c>
      <c r="C651" s="20">
        <f>+VLOOKUP(PROVEEDORES[[#This Row],[PROVEEDOR]],TERCEROS_INFO[#All],2,FALSE)</f>
        <v>45</v>
      </c>
      <c r="D651" s="25">
        <f>+SUMIFS(PROVEEDORES[Total],PROVEEDORES[PROVEEDOR],PROVEEDORES[[#This Row],[PROVEEDOR]],PROVEEDORES[FECHA DE PAGO],"")</f>
        <v>8072960</v>
      </c>
      <c r="E651" s="25"/>
      <c r="F65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51" s="68">
        <v>44776</v>
      </c>
      <c r="H651" s="26" t="s">
        <v>10</v>
      </c>
      <c r="I651" s="68">
        <v>44727</v>
      </c>
      <c r="J651" s="35" t="s">
        <v>746</v>
      </c>
      <c r="K651" s="21">
        <v>1790000</v>
      </c>
      <c r="L651" s="21"/>
      <c r="M651" s="22">
        <f>(PROVEEDORES[[#This Row],[SUBTOTAL]]-PROVEEDORES[[#This Row],[descuento sobre subtotal]])*VLOOKUP(PROVEEDORES[[#This Row],[PROVEEDOR]],TERCEROS_INFO[#All],3,FALSE)</f>
        <v>340100</v>
      </c>
      <c r="N651" s="23"/>
      <c r="O651" s="22">
        <f>+PROVEEDORES[[#This Row],[Descuento sobre subtotal %]]*(PROVEEDORES[[#This Row],[SUBTOTAL]]-PROVEEDORES[[#This Row],[descuento sobre subtotal]])</f>
        <v>0</v>
      </c>
      <c r="P651" s="74">
        <f>+IF(PROVEEDORES[[#This Row],[SUBTOTAL]]&lt;PROVEEDORES[[#This Row],[base retencion]],0,PROVEEDORES[[#This Row],[retención aplicada]])</f>
        <v>0</v>
      </c>
      <c r="Q651" s="22">
        <f>+PROVEEDORES[[#This Row],[Rete Fuente %]]*(PROVEEDORES[[#This Row],[SUBTOTAL]]-PROVEEDORES[[#This Row],[descuento sobre subtotal]])</f>
        <v>0</v>
      </c>
      <c r="R651" s="21">
        <f>+PROVEEDORES[[#This Row],[SUBTOTAL]]+PROVEEDORES[[#This Row],[IVA 19%]]-PROVEEDORES[[#This Row],[descuento sobre subtotal]]-PROVEEDORES[[#This Row],[Descuento sobre subtotal $2]]-PROVEEDORES[[#This Row],[Rete Fuente $]]</f>
        <v>2130100</v>
      </c>
      <c r="S65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63">
        <f ca="1">IF(PROVEEDORES[[#This Row],[FECHA DE PAGO]]=0,TODAY()-PROVEEDORES[[#This Row],[FECHA DE FACTURACIÓN]]-PROVEEDORES[[#This Row],[PLAZO Días]],0)</f>
        <v>0</v>
      </c>
      <c r="U651" s="104">
        <f>+VLOOKUP(PROVEEDORES[[#This Row],[PROVEEDOR]],Terceros!$A:$D,4,FALSE)</f>
        <v>0</v>
      </c>
      <c r="V651" s="105">
        <f>+YEAR(PROVEEDORES[[#This Row],[FECHA DE FACTURACIÓN]])</f>
        <v>2022</v>
      </c>
      <c r="W651" s="105">
        <f>+MATCH(PROVEEDORES[[#This Row],[año facturado]],Retenciones!$1:$1,0)</f>
        <v>5</v>
      </c>
      <c r="X651" s="106">
        <f>+VLOOKUP(PROVEEDORES[[#This Row],[ID RETENCION]],Retenciones!$A$1:$O$25,PROVEEDORES[[#This Row],[indicador de columna]],FALSE)</f>
        <v>0</v>
      </c>
      <c r="Y651" s="107">
        <f>+VLOOKUP(PROVEEDORES[[#This Row],[ID RETENCION]],Retenciones!$A$1:$O$25,2,FALSE)</f>
        <v>0</v>
      </c>
      <c r="Z651" s="116" t="b">
        <f>OR(COUNTIF(PROVEEDORES[[#This Row],[PROVEEDOR]],"*"&amp;'Palabra no opera'!$A$2&amp;"*"))</f>
        <v>0</v>
      </c>
    </row>
    <row r="652" spans="1:26" ht="22.35" customHeight="1" x14ac:dyDescent="0.3">
      <c r="A652" s="148" t="str">
        <f>+IF(PROVEEDORES[[#This Row],[FECHA DE PAGO]]=PROVEEDORES[[#This Row],[FECHA DE FACTURACIÓN]],"DE CONTADO","CRÉDITO")</f>
        <v>CRÉDITO</v>
      </c>
      <c r="B652" s="38" t="str">
        <f>+IF((PROVEEDORES[[#This Row],[FECHA DE PAGO]]-PROVEEDORES[[#This Row],[FECHA DE FACTURACIÓN]])&gt;PROVEEDORES[[#This Row],[PLAZO Días]],"PAGO VENCIDO")</f>
        <v>PAGO VENCIDO</v>
      </c>
      <c r="C652" s="20">
        <f>+VLOOKUP(PROVEEDORES[[#This Row],[PROVEEDOR]],TERCEROS_INFO[#All],2,FALSE)</f>
        <v>30</v>
      </c>
      <c r="D652" s="25">
        <f>+SUMIFS(PROVEEDORES[Total],PROVEEDORES[PROVEEDOR],PROVEEDORES[[#This Row],[PROVEEDOR]],PROVEEDORES[FECHA DE PAGO],"")</f>
        <v>0</v>
      </c>
      <c r="E652" s="25"/>
      <c r="F652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652" s="68">
        <v>44776</v>
      </c>
      <c r="H652" s="26" t="s">
        <v>1069</v>
      </c>
      <c r="I652" s="68">
        <v>44741</v>
      </c>
      <c r="J652" s="35" t="s">
        <v>798</v>
      </c>
      <c r="K652" s="21">
        <v>605043</v>
      </c>
      <c r="L652" s="21"/>
      <c r="M652" s="22">
        <f>(PROVEEDORES[[#This Row],[SUBTOTAL]]-PROVEEDORES[[#This Row],[descuento sobre subtotal]])*VLOOKUP(PROVEEDORES[[#This Row],[PROVEEDOR]],TERCEROS_INFO[#All],3,FALSE)</f>
        <v>114958.17</v>
      </c>
      <c r="N652" s="23"/>
      <c r="O652" s="22">
        <f>+PROVEEDORES[[#This Row],[Descuento sobre subtotal %]]*(PROVEEDORES[[#This Row],[SUBTOTAL]]-PROVEEDORES[[#This Row],[descuento sobre subtotal]])</f>
        <v>0</v>
      </c>
      <c r="P652" s="74">
        <f>+IF(PROVEEDORES[[#This Row],[SUBTOTAL]]&lt;PROVEEDORES[[#This Row],[base retencion]],0,PROVEEDORES[[#This Row],[retención aplicada]])</f>
        <v>0</v>
      </c>
      <c r="Q652" s="22">
        <f>+PROVEEDORES[[#This Row],[Rete Fuente %]]*(PROVEEDORES[[#This Row],[SUBTOTAL]]-PROVEEDORES[[#This Row],[descuento sobre subtotal]])</f>
        <v>0</v>
      </c>
      <c r="R652" s="21">
        <f>+PROVEEDORES[[#This Row],[SUBTOTAL]]+PROVEEDORES[[#This Row],[IVA 19%]]-PROVEEDORES[[#This Row],[descuento sobre subtotal]]-PROVEEDORES[[#This Row],[Descuento sobre subtotal $2]]-PROVEEDORES[[#This Row],[Rete Fuente $]]</f>
        <v>720001.17</v>
      </c>
      <c r="S65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63">
        <f ca="1">IF(PROVEEDORES[[#This Row],[FECHA DE PAGO]]=0,TODAY()-PROVEEDORES[[#This Row],[FECHA DE FACTURACIÓN]]-PROVEEDORES[[#This Row],[PLAZO Días]],0)</f>
        <v>0</v>
      </c>
      <c r="U652" s="104" t="str">
        <f>+VLOOKUP(PROVEEDORES[[#This Row],[PROVEEDOR]],Terceros!$A:$D,4,FALSE)</f>
        <v>2,5% con base</v>
      </c>
      <c r="V652" s="105">
        <f>+YEAR(PROVEEDORES[[#This Row],[FECHA DE FACTURACIÓN]])</f>
        <v>2022</v>
      </c>
      <c r="W652" s="105">
        <f>+MATCH(PROVEEDORES[[#This Row],[año facturado]],Retenciones!$1:$1,0)</f>
        <v>5</v>
      </c>
      <c r="X652" s="106">
        <f>+VLOOKUP(PROVEEDORES[[#This Row],[ID RETENCION]],Retenciones!$A$1:$O$25,PROVEEDORES[[#This Row],[indicador de columna]],FALSE)</f>
        <v>1026000</v>
      </c>
      <c r="Y652" s="107">
        <f>+VLOOKUP(PROVEEDORES[[#This Row],[ID RETENCION]],Retenciones!$A$1:$O$25,2,FALSE)</f>
        <v>2.5000000000000001E-2</v>
      </c>
      <c r="Z652" s="116" t="b">
        <f>OR(COUNTIF(PROVEEDORES[[#This Row],[PROVEEDOR]],"*"&amp;'Palabra no opera'!$A$2&amp;"*"))</f>
        <v>0</v>
      </c>
    </row>
    <row r="653" spans="1:26" ht="22.35" customHeight="1" x14ac:dyDescent="0.3">
      <c r="A653" s="148" t="str">
        <f>+IF(PROVEEDORES[[#This Row],[FECHA DE PAGO]]=PROVEEDORES[[#This Row],[FECHA DE FACTURACIÓN]],"DE CONTADO","CRÉDITO")</f>
        <v>CRÉDITO</v>
      </c>
      <c r="B653" s="38" t="str">
        <f>+IF((PROVEEDORES[[#This Row],[FECHA DE PAGO]]-PROVEEDORES[[#This Row],[FECHA DE FACTURACIÓN]])&gt;PROVEEDORES[[#This Row],[PLAZO Días]],"PAGO VENCIDO")</f>
        <v>PAGO VENCIDO</v>
      </c>
      <c r="C653" s="20">
        <f>+VLOOKUP(PROVEEDORES[[#This Row],[PROVEEDOR]],TERCEROS_INFO[#All],2,FALSE)</f>
        <v>30</v>
      </c>
      <c r="D653" s="25">
        <f>+SUMIFS(PROVEEDORES[Total],PROVEEDORES[PROVEEDOR],PROVEEDORES[[#This Row],[PROVEEDOR]],PROVEEDORES[FECHA DE PAGO],"")</f>
        <v>18444236.894999996</v>
      </c>
      <c r="E653" s="25"/>
      <c r="F65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653" s="68">
        <v>44776</v>
      </c>
      <c r="H653" s="26" t="s">
        <v>11</v>
      </c>
      <c r="I653" s="68">
        <v>44724</v>
      </c>
      <c r="J653" s="35" t="s">
        <v>748</v>
      </c>
      <c r="K653" s="21">
        <v>2640000</v>
      </c>
      <c r="L653" s="21"/>
      <c r="M653" s="22">
        <f>(PROVEEDORES[[#This Row],[SUBTOTAL]]-PROVEEDORES[[#This Row],[descuento sobre subtotal]])*VLOOKUP(PROVEEDORES[[#This Row],[PROVEEDOR]],TERCEROS_INFO[#All],3,FALSE)</f>
        <v>501600</v>
      </c>
      <c r="N653" s="23"/>
      <c r="O653" s="22">
        <f>+PROVEEDORES[[#This Row],[Descuento sobre subtotal %]]*(PROVEEDORES[[#This Row],[SUBTOTAL]]-PROVEEDORES[[#This Row],[descuento sobre subtotal]])</f>
        <v>0</v>
      </c>
      <c r="P653" s="74">
        <f>+IF(PROVEEDORES[[#This Row],[SUBTOTAL]]&lt;PROVEEDORES[[#This Row],[base retencion]],0,PROVEEDORES[[#This Row],[retención aplicada]])</f>
        <v>2.5000000000000001E-2</v>
      </c>
      <c r="Q653" s="22">
        <f>+PROVEEDORES[[#This Row],[Rete Fuente %]]*(PROVEEDORES[[#This Row],[SUBTOTAL]]-PROVEEDORES[[#This Row],[descuento sobre subtotal]])</f>
        <v>66000</v>
      </c>
      <c r="R653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653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63">
        <f ca="1">IF(PROVEEDORES[[#This Row],[FECHA DE PAGO]]=0,TODAY()-PROVEEDORES[[#This Row],[FECHA DE FACTURACIÓN]]-PROVEEDORES[[#This Row],[PLAZO Días]],0)</f>
        <v>0</v>
      </c>
      <c r="U653" s="104" t="str">
        <f>+VLOOKUP(PROVEEDORES[[#This Row],[PROVEEDOR]],Terceros!$A:$D,4,FALSE)</f>
        <v>2,5% con base</v>
      </c>
      <c r="V653" s="105">
        <f>+YEAR(PROVEEDORES[[#This Row],[FECHA DE FACTURACIÓN]])</f>
        <v>2022</v>
      </c>
      <c r="W653" s="105">
        <f>+MATCH(PROVEEDORES[[#This Row],[año facturado]],Retenciones!$1:$1,0)</f>
        <v>5</v>
      </c>
      <c r="X653" s="106">
        <f>+VLOOKUP(PROVEEDORES[[#This Row],[ID RETENCION]],Retenciones!$A$1:$O$25,PROVEEDORES[[#This Row],[indicador de columna]],FALSE)</f>
        <v>1026000</v>
      </c>
      <c r="Y653" s="107">
        <f>+VLOOKUP(PROVEEDORES[[#This Row],[ID RETENCION]],Retenciones!$A$1:$O$25,2,FALSE)</f>
        <v>2.5000000000000001E-2</v>
      </c>
      <c r="Z653" s="116" t="b">
        <f>OR(COUNTIF(PROVEEDORES[[#This Row],[PROVEEDOR]],"*"&amp;'Palabra no opera'!$A$2&amp;"*"))</f>
        <v>0</v>
      </c>
    </row>
    <row r="654" spans="1:26" ht="22.35" customHeight="1" x14ac:dyDescent="0.3">
      <c r="A654" s="148" t="str">
        <f>+IF(PROVEEDORES[[#This Row],[FECHA DE PAGO]]=PROVEEDORES[[#This Row],[FECHA DE FACTURACIÓN]],"DE CONTADO","CRÉDITO")</f>
        <v>CRÉDITO</v>
      </c>
      <c r="B654" s="38" t="str">
        <f>+IF((PROVEEDORES[[#This Row],[FECHA DE PAGO]]-PROVEEDORES[[#This Row],[FECHA DE FACTURACIÓN]])&gt;PROVEEDORES[[#This Row],[PLAZO Días]],"PAGO VENCIDO")</f>
        <v>PAGO VENCIDO</v>
      </c>
      <c r="C654" s="20">
        <f>+VLOOKUP(PROVEEDORES[[#This Row],[PROVEEDOR]],TERCEROS_INFO[#All],2,FALSE)</f>
        <v>30</v>
      </c>
      <c r="D654" s="25">
        <f>+SUMIFS(PROVEEDORES[Total],PROVEEDORES[PROVEEDOR],PROVEEDORES[[#This Row],[PROVEEDOR]],PROVEEDORES[FECHA DE PAGO],"")</f>
        <v>18444236.894999996</v>
      </c>
      <c r="E654" s="25"/>
      <c r="F65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654" s="68">
        <v>44776</v>
      </c>
      <c r="H654" s="26" t="s">
        <v>11</v>
      </c>
      <c r="I654" s="68">
        <v>44742</v>
      </c>
      <c r="J654" s="35" t="s">
        <v>795</v>
      </c>
      <c r="K654" s="21">
        <v>4086050</v>
      </c>
      <c r="L654" s="21"/>
      <c r="M654" s="22">
        <f>(PROVEEDORES[[#This Row],[SUBTOTAL]]-PROVEEDORES[[#This Row],[descuento sobre subtotal]])*VLOOKUP(PROVEEDORES[[#This Row],[PROVEEDOR]],TERCEROS_INFO[#All],3,FALSE)</f>
        <v>776349.5</v>
      </c>
      <c r="N654" s="23"/>
      <c r="O654" s="22">
        <f>+PROVEEDORES[[#This Row],[Descuento sobre subtotal %]]*(PROVEEDORES[[#This Row],[SUBTOTAL]]-PROVEEDORES[[#This Row],[descuento sobre subtotal]])</f>
        <v>0</v>
      </c>
      <c r="P654" s="74">
        <f>+IF(PROVEEDORES[[#This Row],[SUBTOTAL]]&lt;PROVEEDORES[[#This Row],[base retencion]],0,PROVEEDORES[[#This Row],[retención aplicada]])</f>
        <v>2.5000000000000001E-2</v>
      </c>
      <c r="Q654" s="22">
        <f>+PROVEEDORES[[#This Row],[Rete Fuente %]]*(PROVEEDORES[[#This Row],[SUBTOTAL]]-PROVEEDORES[[#This Row],[descuento sobre subtotal]])</f>
        <v>102151.25</v>
      </c>
      <c r="R654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65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63">
        <f ca="1">IF(PROVEEDORES[[#This Row],[FECHA DE PAGO]]=0,TODAY()-PROVEEDORES[[#This Row],[FECHA DE FACTURACIÓN]]-PROVEEDORES[[#This Row],[PLAZO Días]],0)</f>
        <v>0</v>
      </c>
      <c r="U654" s="104" t="str">
        <f>+VLOOKUP(PROVEEDORES[[#This Row],[PROVEEDOR]],Terceros!$A:$D,4,FALSE)</f>
        <v>2,5% con base</v>
      </c>
      <c r="V654" s="105">
        <f>+YEAR(PROVEEDORES[[#This Row],[FECHA DE FACTURACIÓN]])</f>
        <v>2022</v>
      </c>
      <c r="W654" s="105">
        <f>+MATCH(PROVEEDORES[[#This Row],[año facturado]],Retenciones!$1:$1,0)</f>
        <v>5</v>
      </c>
      <c r="X654" s="106">
        <f>+VLOOKUP(PROVEEDORES[[#This Row],[ID RETENCION]],Retenciones!$A$1:$O$25,PROVEEDORES[[#This Row],[indicador de columna]],FALSE)</f>
        <v>1026000</v>
      </c>
      <c r="Y654" s="107">
        <f>+VLOOKUP(PROVEEDORES[[#This Row],[ID RETENCION]],Retenciones!$A$1:$O$25,2,FALSE)</f>
        <v>2.5000000000000001E-2</v>
      </c>
      <c r="Z654" s="116" t="b">
        <f>OR(COUNTIF(PROVEEDORES[[#This Row],[PROVEEDOR]],"*"&amp;'Palabra no opera'!$A$2&amp;"*"))</f>
        <v>0</v>
      </c>
    </row>
    <row r="655" spans="1:26" ht="22.35" customHeight="1" x14ac:dyDescent="0.3">
      <c r="A655" s="171" t="str">
        <f>+IF(PROVEEDORES[[#This Row],[FECHA DE PAGO]]=PROVEEDORES[[#This Row],[FECHA DE FACTURACIÓN]],"DE CONTADO","CRÉDITO")</f>
        <v>CRÉDITO</v>
      </c>
      <c r="B655" s="38" t="b">
        <f>+IF((PROVEEDORES[[#This Row],[FECHA DE PAGO]]-PROVEEDORES[[#This Row],[FECHA DE FACTURACIÓN]])&gt;PROVEEDORES[[#This Row],[PLAZO Días]],"PAGO VENCIDO")</f>
        <v>0</v>
      </c>
      <c r="C655" s="20">
        <f>+VLOOKUP(PROVEEDORES[[#This Row],[PROVEEDOR]],TERCEROS_INFO[#All],2,FALSE)</f>
        <v>30</v>
      </c>
      <c r="D655" s="25">
        <f>+SUMIFS(PROVEEDORES[Total],PROVEEDORES[PROVEEDOR],PROVEEDORES[[#This Row],[PROVEEDOR]],PROVEEDORES[FECHA DE PAGO],"")</f>
        <v>0</v>
      </c>
      <c r="E655" s="25"/>
      <c r="F655" s="56" t="str">
        <f>+VLOOKUP(PROVEEDORES[[#This Row],[PROVEEDOR]],
                       Terceros!$A:$F,
                       5,
                       FALSE)</f>
        <v/>
      </c>
      <c r="G655" s="68">
        <v>44777</v>
      </c>
      <c r="H655" s="26" t="s">
        <v>356</v>
      </c>
      <c r="I655" s="68">
        <v>44774</v>
      </c>
      <c r="J655" s="35" t="s">
        <v>872</v>
      </c>
      <c r="K655" s="21">
        <v>1955000</v>
      </c>
      <c r="L655" s="21"/>
      <c r="M655" s="22">
        <f>(PROVEEDORES[[#This Row],[SUBTOTAL]]-PROVEEDORES[[#This Row],[descuento sobre subtotal]])*VLOOKUP(PROVEEDORES[[#This Row],[PROVEEDOR]],TERCEROS_INFO[#All],3,FALSE)</f>
        <v>0</v>
      </c>
      <c r="N655" s="23"/>
      <c r="O655" s="22">
        <f>+PROVEEDORES[[#This Row],[Descuento sobre subtotal %]]*(PROVEEDORES[[#This Row],[SUBTOTAL]]-PROVEEDORES[[#This Row],[descuento sobre subtotal]])</f>
        <v>0</v>
      </c>
      <c r="P655" s="74">
        <f>+IF(PROVEEDORES[[#This Row],[SUBTOTAL]]&lt;PROVEEDORES[[#This Row],[base retencion]],0,PROVEEDORES[[#This Row],[retención aplicada]])</f>
        <v>0</v>
      </c>
      <c r="Q655" s="22">
        <f>+PROVEEDORES[[#This Row],[Rete Fuente %]]*(PROVEEDORES[[#This Row],[SUBTOTAL]]-PROVEEDORES[[#This Row],[descuento sobre subtotal]])</f>
        <v>0</v>
      </c>
      <c r="R655" s="21">
        <f>+PROVEEDORES[[#This Row],[SUBTOTAL]]+PROVEEDORES[[#This Row],[IVA 19%]]-PROVEEDORES[[#This Row],[descuento sobre subtotal]]-PROVEEDORES[[#This Row],[Descuento sobre subtotal $2]]-PROVEEDORES[[#This Row],[Rete Fuente $]]</f>
        <v>1955000</v>
      </c>
      <c r="S655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63">
        <f ca="1">IF(PROVEEDORES[[#This Row],[FECHA DE PAGO]]=0,TODAY()-PROVEEDORES[[#This Row],[FECHA DE FACTURACIÓN]]-PROVEEDORES[[#This Row],[PLAZO Días]],0)</f>
        <v>0</v>
      </c>
      <c r="U655" s="104">
        <f>+VLOOKUP(PROVEEDORES[[#This Row],[PROVEEDOR]],Terceros!$A:$D,4,FALSE)</f>
        <v>0</v>
      </c>
      <c r="V655" s="105">
        <f>+YEAR(PROVEEDORES[[#This Row],[FECHA DE FACTURACIÓN]])</f>
        <v>2022</v>
      </c>
      <c r="W655" s="105">
        <f>+MATCH(PROVEEDORES[[#This Row],[año facturado]],Retenciones!$1:$1,0)</f>
        <v>5</v>
      </c>
      <c r="X655" s="106">
        <f>+VLOOKUP(PROVEEDORES[[#This Row],[ID RETENCION]],Retenciones!$A$1:$O$25,PROVEEDORES[[#This Row],[indicador de columna]],FALSE)</f>
        <v>0</v>
      </c>
      <c r="Y655" s="107">
        <f>+VLOOKUP(PROVEEDORES[[#This Row],[ID RETENCION]],Retenciones!$A$1:$O$25,2,FALSE)</f>
        <v>0</v>
      </c>
      <c r="Z655" s="116" t="b">
        <f>OR(COUNTIF(PROVEEDORES[[#This Row],[PROVEEDOR]],"*"&amp;'Palabra no opera'!$A$2&amp;"*"))</f>
        <v>0</v>
      </c>
    </row>
    <row r="656" spans="1:26" ht="22.35" customHeight="1" x14ac:dyDescent="0.3">
      <c r="A656" s="67" t="str">
        <f>+IF(PROVEEDORES[[#This Row],[FECHA DE PAGO]]=PROVEEDORES[[#This Row],[FECHA DE FACTURACIÓN]],"DE CONTADO","CRÉDITO")</f>
        <v>DE CONTADO</v>
      </c>
      <c r="B656" s="38" t="b">
        <f>+IF((PROVEEDORES[[#This Row],[FECHA DE PAGO]]-PROVEEDORES[[#This Row],[FECHA DE FACTURACIÓN]])&gt;PROVEEDORES[[#This Row],[PLAZO Días]],"PAGO VENCIDO")</f>
        <v>0</v>
      </c>
      <c r="C656" s="20">
        <f>+VLOOKUP(PROVEEDORES[[#This Row],[PROVEEDOR]],TERCEROS_INFO[#All],2,FALSE)</f>
        <v>30</v>
      </c>
      <c r="D656" s="25">
        <f>+SUMIFS(PROVEEDORES[Total],PROVEEDORES[PROVEEDOR],PROVEEDORES[[#This Row],[PROVEEDOR]],PROVEEDORES[FECHA DE PAGO],"")</f>
        <v>0</v>
      </c>
      <c r="E656" s="25"/>
      <c r="F656" s="56" t="str">
        <f>+VLOOKUP(PROVEEDORES[[#This Row],[PROVEEDOR]],
                       Terceros!$A:$F,
                       5,
                       FALSE)</f>
        <v/>
      </c>
      <c r="G656" s="68">
        <v>44778</v>
      </c>
      <c r="H656" s="26" t="s">
        <v>390</v>
      </c>
      <c r="I656" s="68">
        <v>44778</v>
      </c>
      <c r="J656" s="35"/>
      <c r="K656" s="21">
        <v>1000000</v>
      </c>
      <c r="L656" s="21"/>
      <c r="M656" s="22">
        <f>(PROVEEDORES[[#This Row],[SUBTOTAL]]-PROVEEDORES[[#This Row],[descuento sobre subtotal]])*VLOOKUP(PROVEEDORES[[#This Row],[PROVEEDOR]],TERCEROS_INFO[#All],3,FALSE)</f>
        <v>0</v>
      </c>
      <c r="N656" s="23"/>
      <c r="O656" s="22">
        <f>+PROVEEDORES[[#This Row],[Descuento sobre subtotal %]]*(PROVEEDORES[[#This Row],[SUBTOTAL]]-PROVEEDORES[[#This Row],[descuento sobre subtotal]])</f>
        <v>0</v>
      </c>
      <c r="P656" s="74">
        <f>+IF(PROVEEDORES[[#This Row],[SUBTOTAL]]&lt;PROVEEDORES[[#This Row],[base retencion]],0,PROVEEDORES[[#This Row],[retención aplicada]])</f>
        <v>0</v>
      </c>
      <c r="Q656" s="22">
        <f>+PROVEEDORES[[#This Row],[Rete Fuente %]]*(PROVEEDORES[[#This Row],[SUBTOTAL]]-PROVEEDORES[[#This Row],[descuento sobre subtotal]])</f>
        <v>0</v>
      </c>
      <c r="R65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6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63">
        <f ca="1">IF(PROVEEDORES[[#This Row],[FECHA DE PAGO]]=0,TODAY()-PROVEEDORES[[#This Row],[FECHA DE FACTURACIÓN]]-PROVEEDORES[[#This Row],[PLAZO Días]],0)</f>
        <v>0</v>
      </c>
      <c r="U656" s="104">
        <f>+VLOOKUP(PROVEEDORES[[#This Row],[PROVEEDOR]],Terceros!$A:$D,4,FALSE)</f>
        <v>0</v>
      </c>
      <c r="V656" s="105">
        <f>+YEAR(PROVEEDORES[[#This Row],[FECHA DE FACTURACIÓN]])</f>
        <v>2022</v>
      </c>
      <c r="W656" s="105">
        <f>+MATCH(PROVEEDORES[[#This Row],[año facturado]],Retenciones!$1:$1,0)</f>
        <v>5</v>
      </c>
      <c r="X656" s="106">
        <f>+VLOOKUP(PROVEEDORES[[#This Row],[ID RETENCION]],Retenciones!$A$1:$O$25,PROVEEDORES[[#This Row],[indicador de columna]],FALSE)</f>
        <v>0</v>
      </c>
      <c r="Y656" s="107">
        <f>+VLOOKUP(PROVEEDORES[[#This Row],[ID RETENCION]],Retenciones!$A$1:$O$25,2,FALSE)</f>
        <v>0</v>
      </c>
      <c r="Z656" s="116" t="b">
        <f>OR(COUNTIF(PROVEEDORES[[#This Row],[PROVEEDOR]],"*"&amp;'Palabra no opera'!$A$2&amp;"*"))</f>
        <v>0</v>
      </c>
    </row>
    <row r="657" spans="1:26" ht="22.35" customHeight="1" x14ac:dyDescent="0.3">
      <c r="A657" s="169" t="str">
        <f>+IF(PROVEEDORES[[#This Row],[FECHA DE PAGO]]=PROVEEDORES[[#This Row],[FECHA DE FACTURACIÓN]],"DE CONTADO","CRÉDITO")</f>
        <v>CRÉDITO</v>
      </c>
      <c r="B657" s="38" t="b">
        <f>+IF((PROVEEDORES[[#This Row],[FECHA DE PAGO]]-PROVEEDORES[[#This Row],[FECHA DE FACTURACIÓN]])&gt;PROVEEDORES[[#This Row],[PLAZO Días]],"PAGO VENCIDO")</f>
        <v>0</v>
      </c>
      <c r="C657" s="20">
        <f>+VLOOKUP(PROVEEDORES[[#This Row],[PROVEEDOR]],TERCEROS_INFO[#All],2,FALSE)</f>
        <v>30</v>
      </c>
      <c r="D657" s="25">
        <f>+SUMIFS(PROVEEDORES[Total],PROVEEDORES[PROVEEDOR],PROVEEDORES[[#This Row],[PROVEEDOR]],PROVEEDORES[FECHA DE PAGO],"")</f>
        <v>0</v>
      </c>
      <c r="E657" s="25"/>
      <c r="F657" s="56" t="str">
        <f>+VLOOKUP(PROVEEDORES[[#This Row],[PROVEEDOR]],
                       Terceros!$A:$F,
                       5,
                       FALSE)</f>
        <v/>
      </c>
      <c r="G657" s="68">
        <v>44778</v>
      </c>
      <c r="H657" s="26" t="s">
        <v>832</v>
      </c>
      <c r="I657" s="68">
        <v>44768</v>
      </c>
      <c r="J657" s="35" t="s">
        <v>860</v>
      </c>
      <c r="K657" s="21">
        <f>588603+(100*4330)</f>
        <v>1021603</v>
      </c>
      <c r="L657" s="21"/>
      <c r="M657" s="22">
        <f>(PROVEEDORES[[#This Row],[SUBTOTAL]]-PROVEEDORES[[#This Row],[descuento sobre subtotal]])*VLOOKUP(PROVEEDORES[[#This Row],[PROVEEDOR]],TERCEROS_INFO[#All],3,FALSE)</f>
        <v>0</v>
      </c>
      <c r="N657" s="23"/>
      <c r="O657" s="22">
        <f>+PROVEEDORES[[#This Row],[Descuento sobre subtotal %]]*(PROVEEDORES[[#This Row],[SUBTOTAL]]-PROVEEDORES[[#This Row],[descuento sobre subtotal]])</f>
        <v>0</v>
      </c>
      <c r="P657" s="74">
        <f>+IF(PROVEEDORES[[#This Row],[SUBTOTAL]]&lt;PROVEEDORES[[#This Row],[base retencion]],0,PROVEEDORES[[#This Row],[retención aplicada]])</f>
        <v>0</v>
      </c>
      <c r="Q657" s="22">
        <f>+PROVEEDORES[[#This Row],[Rete Fuente %]]*(PROVEEDORES[[#This Row],[SUBTOTAL]]-PROVEEDORES[[#This Row],[descuento sobre subtotal]])</f>
        <v>0</v>
      </c>
      <c r="R657" s="21">
        <f>+PROVEEDORES[[#This Row],[SUBTOTAL]]+PROVEEDORES[[#This Row],[IVA 19%]]-PROVEEDORES[[#This Row],[descuento sobre subtotal]]-PROVEEDORES[[#This Row],[Descuento sobre subtotal $2]]-PROVEEDORES[[#This Row],[Rete Fuente $]]</f>
        <v>1021603</v>
      </c>
      <c r="S657" s="1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63">
        <f ca="1">IF(PROVEEDORES[[#This Row],[FECHA DE PAGO]]=0,TODAY()-PROVEEDORES[[#This Row],[FECHA DE FACTURACIÓN]]-PROVEEDORES[[#This Row],[PLAZO Días]],0)</f>
        <v>0</v>
      </c>
      <c r="U657" s="104">
        <f>+VLOOKUP(PROVEEDORES[[#This Row],[PROVEEDOR]],Terceros!$A:$D,4,FALSE)</f>
        <v>0</v>
      </c>
      <c r="V657" s="105">
        <f>+YEAR(PROVEEDORES[[#This Row],[FECHA DE FACTURACIÓN]])</f>
        <v>2022</v>
      </c>
      <c r="W657" s="105">
        <f>+MATCH(PROVEEDORES[[#This Row],[año facturado]],Retenciones!$1:$1,0)</f>
        <v>5</v>
      </c>
      <c r="X657" s="106">
        <f>+VLOOKUP(PROVEEDORES[[#This Row],[ID RETENCION]],Retenciones!$A$1:$O$25,PROVEEDORES[[#This Row],[indicador de columna]],FALSE)</f>
        <v>0</v>
      </c>
      <c r="Y657" s="107">
        <f>+VLOOKUP(PROVEEDORES[[#This Row],[ID RETENCION]],Retenciones!$A$1:$O$25,2,FALSE)</f>
        <v>0</v>
      </c>
      <c r="Z657" s="116" t="b">
        <f>OR(COUNTIF(PROVEEDORES[[#This Row],[PROVEEDOR]],"*"&amp;'Palabra no opera'!$A$2&amp;"*"))</f>
        <v>1</v>
      </c>
    </row>
    <row r="658" spans="1:26" ht="22.35" customHeight="1" x14ac:dyDescent="0.3">
      <c r="A658" s="175" t="str">
        <f>+IF(PROVEEDORES[[#This Row],[FECHA DE PAGO]]=PROVEEDORES[[#This Row],[FECHA DE FACTURACIÓN]],"DE CONTADO","CRÉDITO")</f>
        <v>DE CONTADO</v>
      </c>
      <c r="B658" s="38" t="b">
        <f>+IF((PROVEEDORES[[#This Row],[FECHA DE PAGO]]-PROVEEDORES[[#This Row],[FECHA DE FACTURACIÓN]])&gt;PROVEEDORES[[#This Row],[PLAZO Días]],"PAGO VENCIDO")</f>
        <v>0</v>
      </c>
      <c r="C658" s="20">
        <f>+VLOOKUP(PROVEEDORES[[#This Row],[PROVEEDOR]],TERCEROS_INFO[#All],2,FALSE)</f>
        <v>30</v>
      </c>
      <c r="D658" s="25">
        <f>+SUMIFS(PROVEEDORES[Total],PROVEEDORES[PROVEEDOR],PROVEEDORES[[#This Row],[PROVEEDOR]],PROVEEDORES[FECHA DE PAGO],"")</f>
        <v>0</v>
      </c>
      <c r="E658" s="25"/>
      <c r="F658" s="56" t="str">
        <f>+VLOOKUP(PROVEEDORES[[#This Row],[PROVEEDOR]],
                       Terceros!$A:$F,
                       5,
                       FALSE)</f>
        <v/>
      </c>
      <c r="G658" s="68">
        <v>44780</v>
      </c>
      <c r="H658" s="26" t="s">
        <v>378</v>
      </c>
      <c r="I658" s="68">
        <v>44780</v>
      </c>
      <c r="J658" s="35" t="s">
        <v>881</v>
      </c>
      <c r="K658" s="21">
        <v>710000</v>
      </c>
      <c r="L658" s="21"/>
      <c r="M658" s="22">
        <f>(PROVEEDORES[[#This Row],[SUBTOTAL]]-PROVEEDORES[[#This Row],[descuento sobre subtotal]])*VLOOKUP(PROVEEDORES[[#This Row],[PROVEEDOR]],TERCEROS_INFO[#All],3,FALSE)</f>
        <v>0</v>
      </c>
      <c r="N658" s="23"/>
      <c r="O658" s="22">
        <f>+PROVEEDORES[[#This Row],[Descuento sobre subtotal %]]*(PROVEEDORES[[#This Row],[SUBTOTAL]]-PROVEEDORES[[#This Row],[descuento sobre subtotal]])</f>
        <v>0</v>
      </c>
      <c r="P658" s="74">
        <f>+IF(PROVEEDORES[[#This Row],[SUBTOTAL]]&lt;PROVEEDORES[[#This Row],[base retencion]],0,PROVEEDORES[[#This Row],[retención aplicada]])</f>
        <v>0</v>
      </c>
      <c r="Q658" s="22">
        <f>+PROVEEDORES[[#This Row],[Rete Fuente %]]*(PROVEEDORES[[#This Row],[SUBTOTAL]]-PROVEEDORES[[#This Row],[descuento sobre subtotal]])</f>
        <v>0</v>
      </c>
      <c r="R658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658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63">
        <f ca="1">IF(PROVEEDORES[[#This Row],[FECHA DE PAGO]]=0,TODAY()-PROVEEDORES[[#This Row],[FECHA DE FACTURACIÓN]]-PROVEEDORES[[#This Row],[PLAZO Días]],0)</f>
        <v>0</v>
      </c>
      <c r="U658" s="104">
        <f>+VLOOKUP(PROVEEDORES[[#This Row],[PROVEEDOR]],Terceros!$A:$D,4,FALSE)</f>
        <v>0</v>
      </c>
      <c r="V658" s="105">
        <f>+YEAR(PROVEEDORES[[#This Row],[FECHA DE FACTURACIÓN]])</f>
        <v>2022</v>
      </c>
      <c r="W658" s="105">
        <f>+MATCH(PROVEEDORES[[#This Row],[año facturado]],Retenciones!$1:$1,0)</f>
        <v>5</v>
      </c>
      <c r="X658" s="106">
        <f>+VLOOKUP(PROVEEDORES[[#This Row],[ID RETENCION]],Retenciones!$A$1:$O$25,PROVEEDORES[[#This Row],[indicador de columna]],FALSE)</f>
        <v>0</v>
      </c>
      <c r="Y658" s="107">
        <f>+VLOOKUP(PROVEEDORES[[#This Row],[ID RETENCION]],Retenciones!$A$1:$O$25,2,FALSE)</f>
        <v>0</v>
      </c>
      <c r="Z658" s="116" t="b">
        <f>OR(COUNTIF(PROVEEDORES[[#This Row],[PROVEEDOR]],"*"&amp;'Palabra no opera'!$A$2&amp;"*"))</f>
        <v>0</v>
      </c>
    </row>
    <row r="659" spans="1:26" ht="22.35" customHeight="1" x14ac:dyDescent="0.3">
      <c r="A659" s="171" t="str">
        <f>+IF(PROVEEDORES[[#This Row],[FECHA DE PAGO]]=PROVEEDORES[[#This Row],[FECHA DE FACTURACIÓN]],"DE CONTADO","CRÉDITO")</f>
        <v>DE CONTADO</v>
      </c>
      <c r="B659" s="38" t="b">
        <f>+IF((PROVEEDORES[[#This Row],[FECHA DE PAGO]]-PROVEEDORES[[#This Row],[FECHA DE FACTURACIÓN]])&gt;PROVEEDORES[[#This Row],[PLAZO Días]],"PAGO VENCIDO")</f>
        <v>0</v>
      </c>
      <c r="C659" s="20">
        <f>+VLOOKUP(PROVEEDORES[[#This Row],[PROVEEDOR]],TERCEROS_INFO[#All],2,FALSE)</f>
        <v>0</v>
      </c>
      <c r="D659" s="25">
        <f>+SUMIFS(PROVEEDORES[Total],PROVEEDORES[PROVEEDOR],PROVEEDORES[[#This Row],[PROVEEDOR]],PROVEEDORES[FECHA DE PAGO],"")</f>
        <v>0</v>
      </c>
      <c r="E659" s="25"/>
      <c r="F659" s="56">
        <f>+VLOOKUP(PROVEEDORES[[#This Row],[PROVEEDOR]],
                       Terceros!$A:$F,
                       5,
                       FALSE)</f>
        <v>0</v>
      </c>
      <c r="G659" s="68">
        <v>44781</v>
      </c>
      <c r="H659" s="26" t="s">
        <v>754</v>
      </c>
      <c r="I659" s="68">
        <v>44781</v>
      </c>
      <c r="J659" s="35" t="s">
        <v>907</v>
      </c>
      <c r="K659" s="21">
        <v>3765900</v>
      </c>
      <c r="L659" s="21"/>
      <c r="M659" s="22">
        <f>(PROVEEDORES[[#This Row],[SUBTOTAL]]-PROVEEDORES[[#This Row],[descuento sobre subtotal]])*VLOOKUP(PROVEEDORES[[#This Row],[PROVEEDOR]],TERCEROS_INFO[#All],3,FALSE)</f>
        <v>0</v>
      </c>
      <c r="N659" s="23"/>
      <c r="O659" s="22">
        <f>+PROVEEDORES[[#This Row],[Descuento sobre subtotal %]]*(PROVEEDORES[[#This Row],[SUBTOTAL]]-PROVEEDORES[[#This Row],[descuento sobre subtotal]])</f>
        <v>0</v>
      </c>
      <c r="P659" s="74">
        <f>+IF(PROVEEDORES[[#This Row],[SUBTOTAL]]&lt;PROVEEDORES[[#This Row],[base retencion]],0,PROVEEDORES[[#This Row],[retención aplicada]])</f>
        <v>0</v>
      </c>
      <c r="Q659" s="22">
        <f>+PROVEEDORES[[#This Row],[Rete Fuente %]]*(PROVEEDORES[[#This Row],[SUBTOTAL]]-PROVEEDORES[[#This Row],[descuento sobre subtotal]])</f>
        <v>0</v>
      </c>
      <c r="R659" s="21">
        <f>+PROVEEDORES[[#This Row],[SUBTOTAL]]+PROVEEDORES[[#This Row],[IVA 19%]]-PROVEEDORES[[#This Row],[descuento sobre subtotal]]-PROVEEDORES[[#This Row],[Descuento sobre subtotal $2]]-PROVEEDORES[[#This Row],[Rete Fuente $]]</f>
        <v>3765900</v>
      </c>
      <c r="S659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9" s="63">
        <f ca="1">IF(PROVEEDORES[[#This Row],[FECHA DE PAGO]]=0,TODAY()-PROVEEDORES[[#This Row],[FECHA DE FACTURACIÓN]]-PROVEEDORES[[#This Row],[PLAZO Días]],0)</f>
        <v>0</v>
      </c>
      <c r="U659" s="104">
        <f>+VLOOKUP(PROVEEDORES[[#This Row],[PROVEEDOR]],Terceros!$A:$D,4,FALSE)</f>
        <v>0</v>
      </c>
      <c r="V659" s="105">
        <f>+YEAR(PROVEEDORES[[#This Row],[FECHA DE FACTURACIÓN]])</f>
        <v>2022</v>
      </c>
      <c r="W659" s="105">
        <f>+MATCH(PROVEEDORES[[#This Row],[año facturado]],Retenciones!$1:$1,0)</f>
        <v>5</v>
      </c>
      <c r="X659" s="106">
        <f>+VLOOKUP(PROVEEDORES[[#This Row],[ID RETENCION]],Retenciones!$A$1:$O$25,PROVEEDORES[[#This Row],[indicador de columna]],FALSE)</f>
        <v>0</v>
      </c>
      <c r="Y659" s="107">
        <f>+VLOOKUP(PROVEEDORES[[#This Row],[ID RETENCION]],Retenciones!$A$1:$O$25,2,FALSE)</f>
        <v>0</v>
      </c>
      <c r="Z659" s="116" t="b">
        <f>OR(COUNTIF(PROVEEDORES[[#This Row],[PROVEEDOR]],"*"&amp;'Palabra no opera'!$A$2&amp;"*"))</f>
        <v>1</v>
      </c>
    </row>
    <row r="660" spans="1:26" ht="22.35" customHeight="1" x14ac:dyDescent="0.3">
      <c r="A660" s="111" t="str">
        <f>+IF(PROVEEDORES[[#This Row],[FECHA DE PAGO]]=PROVEEDORES[[#This Row],[FECHA DE FACTURACIÓN]],"DE CONTADO","CRÉDITO")</f>
        <v>CRÉDITO</v>
      </c>
      <c r="B660" s="38" t="str">
        <f>+IF((PROVEEDORES[[#This Row],[FECHA DE PAGO]]-PROVEEDORES[[#This Row],[FECHA DE FACTURACIÓN]])&gt;PROVEEDORES[[#This Row],[PLAZO Días]],"PAGO VENCIDO")</f>
        <v>PAGO VENCIDO</v>
      </c>
      <c r="C660" s="20">
        <f>+VLOOKUP(PROVEEDORES[[#This Row],[PROVEEDOR]],TERCEROS_INFO[#All],2,FALSE)</f>
        <v>30</v>
      </c>
      <c r="D660" s="25">
        <f>+SUMIFS(PROVEEDORES[Total],PROVEEDORES[PROVEEDOR],PROVEEDORES[[#This Row],[PROVEEDOR]],PROVEEDORES[FECHA DE PAGO],"")</f>
        <v>0</v>
      </c>
      <c r="E660" s="25" t="s">
        <v>866</v>
      </c>
      <c r="F660" s="56" t="str">
        <f>+VLOOKUP(PROVEEDORES[[#This Row],[PROVEEDOR]],
                       Terceros!$A:$F,
                       5,
                       FALSE)</f>
        <v/>
      </c>
      <c r="G660" s="68">
        <v>44782</v>
      </c>
      <c r="H660" s="26" t="s">
        <v>396</v>
      </c>
      <c r="I660" s="68">
        <v>44674</v>
      </c>
      <c r="J660" s="35" t="s">
        <v>602</v>
      </c>
      <c r="K660" s="21">
        <v>180000</v>
      </c>
      <c r="L660" s="21"/>
      <c r="M660" s="22">
        <f>(PROVEEDORES[[#This Row],[SUBTOTAL]]-PROVEEDORES[[#This Row],[descuento sobre subtotal]])*VLOOKUP(PROVEEDORES[[#This Row],[PROVEEDOR]],TERCEROS_INFO[#All],3,FALSE)</f>
        <v>0</v>
      </c>
      <c r="N660" s="23"/>
      <c r="O660" s="22">
        <f>+PROVEEDORES[[#This Row],[Descuento sobre subtotal %]]*(PROVEEDORES[[#This Row],[SUBTOTAL]]-PROVEEDORES[[#This Row],[descuento sobre subtotal]])</f>
        <v>0</v>
      </c>
      <c r="P660" s="74">
        <f>+IF(PROVEEDORES[[#This Row],[SUBTOTAL]]&lt;PROVEEDORES[[#This Row],[base retencion]],0,PROVEEDORES[[#This Row],[retención aplicada]])</f>
        <v>0</v>
      </c>
      <c r="Q660" s="22">
        <f>+PROVEEDORES[[#This Row],[Rete Fuente %]]*(PROVEEDORES[[#This Row],[SUBTOTAL]]-PROVEEDORES[[#This Row],[descuento sobre subtotal]])</f>
        <v>0</v>
      </c>
      <c r="R660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660" s="1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63">
        <f ca="1">IF(PROVEEDORES[[#This Row],[FECHA DE PAGO]]=0,TODAY()-PROVEEDORES[[#This Row],[FECHA DE FACTURACIÓN]]-PROVEEDORES[[#This Row],[PLAZO Días]],0)</f>
        <v>0</v>
      </c>
      <c r="U660" s="104">
        <f>+VLOOKUP(PROVEEDORES[[#This Row],[PROVEEDOR]],Terceros!$A:$D,4,FALSE)</f>
        <v>0</v>
      </c>
      <c r="V660" s="105">
        <f>+YEAR(PROVEEDORES[[#This Row],[FECHA DE FACTURACIÓN]])</f>
        <v>2022</v>
      </c>
      <c r="W660" s="105">
        <f>+MATCH(PROVEEDORES[[#This Row],[año facturado]],Retenciones!$1:$1,0)</f>
        <v>5</v>
      </c>
      <c r="X660" s="106">
        <f>+VLOOKUP(PROVEEDORES[[#This Row],[ID RETENCION]],Retenciones!$A$1:$O$25,PROVEEDORES[[#This Row],[indicador de columna]],FALSE)</f>
        <v>0</v>
      </c>
      <c r="Y660" s="107">
        <f>+VLOOKUP(PROVEEDORES[[#This Row],[ID RETENCION]],Retenciones!$A$1:$O$25,2,FALSE)</f>
        <v>0</v>
      </c>
      <c r="Z660" s="116" t="b">
        <f>OR(COUNTIF(PROVEEDORES[[#This Row],[PROVEEDOR]],"*"&amp;'Palabra no opera'!$A$2&amp;"*"))</f>
        <v>0</v>
      </c>
    </row>
    <row r="661" spans="1:26" ht="22.35" customHeight="1" x14ac:dyDescent="0.3">
      <c r="A661" s="67" t="str">
        <f>+IF(PROVEEDORES[[#This Row],[FECHA DE PAGO]]=PROVEEDORES[[#This Row],[FECHA DE FACTURACIÓN]],"DE CONTADO","CRÉDITO")</f>
        <v>CRÉDITO</v>
      </c>
      <c r="B661" s="38" t="b">
        <f>+IF((PROVEEDORES[[#This Row],[FECHA DE PAGO]]-PROVEEDORES[[#This Row],[FECHA DE FACTURACIÓN]])&gt;PROVEEDORES[[#This Row],[PLAZO Días]],"PAGO VENCIDO")</f>
        <v>0</v>
      </c>
      <c r="C661" s="20">
        <f>+VLOOKUP(PROVEEDORES[[#This Row],[PROVEEDOR]],TERCEROS_INFO[#All],2,FALSE)</f>
        <v>30</v>
      </c>
      <c r="D661" s="25">
        <f>+SUMIFS(PROVEEDORES[Total],PROVEEDORES[PROVEEDOR],PROVEEDORES[[#This Row],[PROVEEDOR]],PROVEEDORES[FECHA DE PAGO],"")</f>
        <v>0</v>
      </c>
      <c r="E661" s="25"/>
      <c r="F66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61" s="68">
        <v>44783</v>
      </c>
      <c r="H661" s="26" t="s">
        <v>623</v>
      </c>
      <c r="I661" s="68">
        <v>44774</v>
      </c>
      <c r="J661" s="35" t="s">
        <v>848</v>
      </c>
      <c r="K661" s="21">
        <v>791781</v>
      </c>
      <c r="L661" s="21"/>
      <c r="M661" s="22">
        <f>(PROVEEDORES[[#This Row],[SUBTOTAL]]-PROVEEDORES[[#This Row],[descuento sobre subtotal]])*VLOOKUP(PROVEEDORES[[#This Row],[PROVEEDOR]],TERCEROS_INFO[#All],3,FALSE)</f>
        <v>150438.39000000001</v>
      </c>
      <c r="N661" s="23"/>
      <c r="O661" s="22">
        <f>+PROVEEDORES[[#This Row],[Descuento sobre subtotal %]]*(PROVEEDORES[[#This Row],[SUBTOTAL]]-PROVEEDORES[[#This Row],[descuento sobre subtotal]])</f>
        <v>0</v>
      </c>
      <c r="P661" s="74">
        <v>0</v>
      </c>
      <c r="Q661" s="22">
        <f>+PROVEEDORES[[#This Row],[Rete Fuente %]]*(PROVEEDORES[[#This Row],[SUBTOTAL]]-PROVEEDORES[[#This Row],[descuento sobre subtotal]])</f>
        <v>0</v>
      </c>
      <c r="R661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6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63">
        <f ca="1">IF(PROVEEDORES[[#This Row],[FECHA DE PAGO]]=0,TODAY()-PROVEEDORES[[#This Row],[FECHA DE FACTURACIÓN]]-PROVEEDORES[[#This Row],[PLAZO Días]],0)</f>
        <v>0</v>
      </c>
      <c r="U661" s="104" t="str">
        <f>+VLOOKUP(PROVEEDORES[[#This Row],[PROVEEDOR]],Terceros!$A:$D,4,FALSE)</f>
        <v>4% sin base</v>
      </c>
      <c r="V661" s="105">
        <f>+YEAR(PROVEEDORES[[#This Row],[FECHA DE FACTURACIÓN]])</f>
        <v>2022</v>
      </c>
      <c r="W661" s="105">
        <f>+MATCH(PROVEEDORES[[#This Row],[año facturado]],Retenciones!$1:$1,0)</f>
        <v>5</v>
      </c>
      <c r="X661" s="106">
        <f>+VLOOKUP(PROVEEDORES[[#This Row],[ID RETENCION]],Retenciones!$A$1:$O$25,PROVEEDORES[[#This Row],[indicador de columna]],FALSE)</f>
        <v>0</v>
      </c>
      <c r="Y661" s="107">
        <f>+VLOOKUP(PROVEEDORES[[#This Row],[ID RETENCION]],Retenciones!$A$1:$O$25,2,FALSE)</f>
        <v>0.04</v>
      </c>
      <c r="Z661" s="116" t="b">
        <f>OR(COUNTIF(PROVEEDORES[[#This Row],[PROVEEDOR]],"*"&amp;'Palabra no opera'!$A$2&amp;"*"))</f>
        <v>1</v>
      </c>
    </row>
    <row r="662" spans="1:26" ht="22.35" customHeight="1" x14ac:dyDescent="0.3">
      <c r="A662" s="67" t="str">
        <f>+IF(PROVEEDORES[[#This Row],[FECHA DE PAGO]]=PROVEEDORES[[#This Row],[FECHA DE FACTURACIÓN]],"DE CONTADO","CRÉDITO")</f>
        <v>CRÉDITO</v>
      </c>
      <c r="B662" s="38" t="b">
        <f>+IF((PROVEEDORES[[#This Row],[FECHA DE PAGO]]-PROVEEDORES[[#This Row],[FECHA DE FACTURACIÓN]])&gt;PROVEEDORES[[#This Row],[PLAZO Días]],"PAGO VENCIDO")</f>
        <v>0</v>
      </c>
      <c r="C662" s="20">
        <f>+VLOOKUP(PROVEEDORES[[#This Row],[PROVEEDOR]],TERCEROS_INFO[#All],2,FALSE)</f>
        <v>30</v>
      </c>
      <c r="D662" s="25">
        <f>+SUMIFS(PROVEEDORES[Total],PROVEEDORES[PROVEEDOR],PROVEEDORES[[#This Row],[PROVEEDOR]],PROVEEDORES[FECHA DE PAGO],"")</f>
        <v>0</v>
      </c>
      <c r="E662" s="25"/>
      <c r="F66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62" s="68">
        <v>44783</v>
      </c>
      <c r="H662" s="26" t="s">
        <v>623</v>
      </c>
      <c r="I662" s="68">
        <v>44774</v>
      </c>
      <c r="J662" s="35" t="s">
        <v>847</v>
      </c>
      <c r="K662" s="21">
        <v>3294426</v>
      </c>
      <c r="L662" s="21"/>
      <c r="M662" s="22">
        <f>(PROVEEDORES[[#This Row],[SUBTOTAL]]-PROVEEDORES[[#This Row],[descuento sobre subtotal]])*VLOOKUP(PROVEEDORES[[#This Row],[PROVEEDOR]],TERCEROS_INFO[#All],3,FALSE)</f>
        <v>625940.94000000006</v>
      </c>
      <c r="N662" s="23"/>
      <c r="O662" s="22">
        <f>+PROVEEDORES[[#This Row],[Descuento sobre subtotal %]]*(PROVEEDORES[[#This Row],[SUBTOTAL]]-PROVEEDORES[[#This Row],[descuento sobre subtotal]])</f>
        <v>0</v>
      </c>
      <c r="P662" s="74">
        <v>0</v>
      </c>
      <c r="Q662" s="22">
        <f>+PROVEEDORES[[#This Row],[Rete Fuente %]]*(PROVEEDORES[[#This Row],[SUBTOTAL]]-PROVEEDORES[[#This Row],[descuento sobre subtotal]])</f>
        <v>0</v>
      </c>
      <c r="R662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6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63">
        <f ca="1">IF(PROVEEDORES[[#This Row],[FECHA DE PAGO]]=0,TODAY()-PROVEEDORES[[#This Row],[FECHA DE FACTURACIÓN]]-PROVEEDORES[[#This Row],[PLAZO Días]],0)</f>
        <v>0</v>
      </c>
      <c r="U662" s="104" t="str">
        <f>+VLOOKUP(PROVEEDORES[[#This Row],[PROVEEDOR]],Terceros!$A:$D,4,FALSE)</f>
        <v>4% sin base</v>
      </c>
      <c r="V662" s="105">
        <f>+YEAR(PROVEEDORES[[#This Row],[FECHA DE FACTURACIÓN]])</f>
        <v>2022</v>
      </c>
      <c r="W662" s="105">
        <f>+MATCH(PROVEEDORES[[#This Row],[año facturado]],Retenciones!$1:$1,0)</f>
        <v>5</v>
      </c>
      <c r="X662" s="106">
        <f>+VLOOKUP(PROVEEDORES[[#This Row],[ID RETENCION]],Retenciones!$A$1:$O$25,PROVEEDORES[[#This Row],[indicador de columna]],FALSE)</f>
        <v>0</v>
      </c>
      <c r="Y662" s="107">
        <f>+VLOOKUP(PROVEEDORES[[#This Row],[ID RETENCION]],Retenciones!$A$1:$O$25,2,FALSE)</f>
        <v>0.04</v>
      </c>
      <c r="Z662" s="116" t="b">
        <f>OR(COUNTIF(PROVEEDORES[[#This Row],[PROVEEDOR]],"*"&amp;'Palabra no opera'!$A$2&amp;"*"))</f>
        <v>1</v>
      </c>
    </row>
    <row r="663" spans="1:26" ht="22.35" customHeight="1" x14ac:dyDescent="0.3">
      <c r="A663" s="171" t="str">
        <f>+IF(PROVEEDORES[[#This Row],[FECHA DE PAGO]]=PROVEEDORES[[#This Row],[FECHA DE FACTURACIÓN]],"DE CONTADO","CRÉDITO")</f>
        <v>DE CONTADO</v>
      </c>
      <c r="B663" s="38" t="b">
        <f>+IF((PROVEEDORES[[#This Row],[FECHA DE PAGO]]-PROVEEDORES[[#This Row],[FECHA DE FACTURACIÓN]])&gt;PROVEEDORES[[#This Row],[PLAZO Días]],"PAGO VENCIDO")</f>
        <v>0</v>
      </c>
      <c r="C663" s="20">
        <f>+VLOOKUP(PROVEEDORES[[#This Row],[PROVEEDOR]],TERCEROS_INFO[#All],2,FALSE)</f>
        <v>0</v>
      </c>
      <c r="D663" s="25">
        <f>+SUMIFS(PROVEEDORES[Total],PROVEEDORES[PROVEEDOR],PROVEEDORES[[#This Row],[PROVEEDOR]],PROVEEDORES[FECHA DE PAGO],"")</f>
        <v>0</v>
      </c>
      <c r="E663" s="25"/>
      <c r="F663" s="56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663" s="68">
        <v>44783</v>
      </c>
      <c r="H663" s="26" t="s">
        <v>835</v>
      </c>
      <c r="I663" s="68">
        <v>44783</v>
      </c>
      <c r="J663" s="35" t="s">
        <v>870</v>
      </c>
      <c r="K663" s="21">
        <v>0</v>
      </c>
      <c r="L663" s="21"/>
      <c r="M663" s="22">
        <v>380000</v>
      </c>
      <c r="N663" s="23"/>
      <c r="O663" s="22">
        <f>+PROVEEDORES[[#This Row],[Descuento sobre subtotal %]]*(PROVEEDORES[[#This Row],[SUBTOTAL]]-PROVEEDORES[[#This Row],[descuento sobre subtotal]])</f>
        <v>0</v>
      </c>
      <c r="P663" s="74">
        <f>+IF(PROVEEDORES[[#This Row],[SUBTOTAL]]&lt;PROVEEDORES[[#This Row],[base retencion]],0,PROVEEDORES[[#This Row],[retención aplicada]])</f>
        <v>0</v>
      </c>
      <c r="Q663" s="22">
        <f>+PROVEEDORES[[#This Row],[Rete Fuente %]]*(PROVEEDORES[[#This Row],[SUBTOTAL]]-PROVEEDORES[[#This Row],[descuento sobre subtotal]])</f>
        <v>0</v>
      </c>
      <c r="R663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663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63">
        <f ca="1">IF(PROVEEDORES[[#This Row],[FECHA DE PAGO]]=0,TODAY()-PROVEEDORES[[#This Row],[FECHA DE FACTURACIÓN]]-PROVEEDORES[[#This Row],[PLAZO Días]],0)</f>
        <v>0</v>
      </c>
      <c r="U663" s="104">
        <f>+VLOOKUP(PROVEEDORES[[#This Row],[PROVEEDOR]],Terceros!$A:$D,4,FALSE)</f>
        <v>0</v>
      </c>
      <c r="V663" s="105">
        <f>+YEAR(PROVEEDORES[[#This Row],[FECHA DE FACTURACIÓN]])</f>
        <v>2022</v>
      </c>
      <c r="W663" s="105">
        <f>+MATCH(PROVEEDORES[[#This Row],[año facturado]],Retenciones!$1:$1,0)</f>
        <v>5</v>
      </c>
      <c r="X663" s="106">
        <f>+VLOOKUP(PROVEEDORES[[#This Row],[ID RETENCION]],Retenciones!$A$1:$O$25,PROVEEDORES[[#This Row],[indicador de columna]],FALSE)</f>
        <v>0</v>
      </c>
      <c r="Y663" s="107">
        <f>+VLOOKUP(PROVEEDORES[[#This Row],[ID RETENCION]],Retenciones!$A$1:$O$25,2,FALSE)</f>
        <v>0</v>
      </c>
      <c r="Z663" s="116" t="b">
        <f>OR(COUNTIF(PROVEEDORES[[#This Row],[PROVEEDOR]],"*"&amp;'Palabra no opera'!$A$2&amp;"*"))</f>
        <v>1</v>
      </c>
    </row>
    <row r="664" spans="1:26" ht="22.35" customHeight="1" x14ac:dyDescent="0.3">
      <c r="A664" s="148" t="str">
        <f>+IF(PROVEEDORES[[#This Row],[FECHA DE PAGO]]=PROVEEDORES[[#This Row],[FECHA DE FACTURACIÓN]],"DE CONTADO","CRÉDITO")</f>
        <v>CRÉDITO</v>
      </c>
      <c r="B664" s="38" t="str">
        <f>+IF((PROVEEDORES[[#This Row],[FECHA DE PAGO]]-PROVEEDORES[[#This Row],[FECHA DE FACTURACIÓN]])&gt;PROVEEDORES[[#This Row],[PLAZO Días]],"PAGO VENCIDO")</f>
        <v>PAGO VENCIDO</v>
      </c>
      <c r="C664" s="20">
        <f>+VLOOKUP(PROVEEDORES[[#This Row],[PROVEEDOR]],TERCEROS_INFO[#All],2,FALSE)</f>
        <v>30</v>
      </c>
      <c r="D664" s="25">
        <f>+SUMIFS(PROVEEDORES[Total],PROVEEDORES[PROVEEDOR],PROVEEDORES[[#This Row],[PROVEEDOR]],PROVEEDORES[FECHA DE PAGO],"")</f>
        <v>27189617.395</v>
      </c>
      <c r="E664" s="25"/>
      <c r="F664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4" s="68">
        <v>44783</v>
      </c>
      <c r="H664" s="26" t="s">
        <v>77</v>
      </c>
      <c r="I664" s="68">
        <v>44725</v>
      </c>
      <c r="J664" s="35" t="s">
        <v>769</v>
      </c>
      <c r="K664" s="21">
        <v>277311</v>
      </c>
      <c r="L664" s="21"/>
      <c r="M664" s="22">
        <f>(PROVEEDORES[[#This Row],[SUBTOTAL]]-PROVEEDORES[[#This Row],[descuento sobre subtotal]])*VLOOKUP(PROVEEDORES[[#This Row],[PROVEEDOR]],TERCEROS_INFO[#All],3,FALSE)</f>
        <v>52689.090000000004</v>
      </c>
      <c r="N664" s="23"/>
      <c r="O664" s="22">
        <f>+PROVEEDORES[[#This Row],[Descuento sobre subtotal %]]*(PROVEEDORES[[#This Row],[SUBTOTAL]]-PROVEEDORES[[#This Row],[descuento sobre subtotal]])</f>
        <v>0</v>
      </c>
      <c r="P664" s="74">
        <f>+IF(PROVEEDORES[[#This Row],[SUBTOTAL]]&lt;PROVEEDORES[[#This Row],[base retencion]],0,PROVEEDORES[[#This Row],[retención aplicada]])</f>
        <v>0</v>
      </c>
      <c r="Q664" s="22">
        <f>+PROVEEDORES[[#This Row],[Rete Fuente %]]*(PROVEEDORES[[#This Row],[SUBTOTAL]]-PROVEEDORES[[#This Row],[descuento sobre subtotal]])</f>
        <v>0</v>
      </c>
      <c r="R664" s="21">
        <f>+PROVEEDORES[[#This Row],[SUBTOTAL]]+PROVEEDORES[[#This Row],[IVA 19%]]-PROVEEDORES[[#This Row],[descuento sobre subtotal]]-PROVEEDORES[[#This Row],[Descuento sobre subtotal $2]]-PROVEEDORES[[#This Row],[Rete Fuente $]]</f>
        <v>330000.09000000003</v>
      </c>
      <c r="S66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63">
        <f ca="1">IF(PROVEEDORES[[#This Row],[FECHA DE PAGO]]=0,TODAY()-PROVEEDORES[[#This Row],[FECHA DE FACTURACIÓN]]-PROVEEDORES[[#This Row],[PLAZO Días]],0)</f>
        <v>0</v>
      </c>
      <c r="U664" s="104" t="str">
        <f>+VLOOKUP(PROVEEDORES[[#This Row],[PROVEEDOR]],Terceros!$A:$D,4,FALSE)</f>
        <v>2,5% con base</v>
      </c>
      <c r="V664" s="105">
        <f>+YEAR(PROVEEDORES[[#This Row],[FECHA DE FACTURACIÓN]])</f>
        <v>2022</v>
      </c>
      <c r="W664" s="105">
        <f>+MATCH(PROVEEDORES[[#This Row],[año facturado]],Retenciones!$1:$1,0)</f>
        <v>5</v>
      </c>
      <c r="X664" s="106">
        <f>+VLOOKUP(PROVEEDORES[[#This Row],[ID RETENCION]],Retenciones!$A$1:$O$25,PROVEEDORES[[#This Row],[indicador de columna]],FALSE)</f>
        <v>1026000</v>
      </c>
      <c r="Y664" s="107">
        <f>+VLOOKUP(PROVEEDORES[[#This Row],[ID RETENCION]],Retenciones!$A$1:$O$25,2,FALSE)</f>
        <v>2.5000000000000001E-2</v>
      </c>
      <c r="Z664" s="116" t="b">
        <f>OR(COUNTIF(PROVEEDORES[[#This Row],[PROVEEDOR]],"*"&amp;'Palabra no opera'!$A$2&amp;"*"))</f>
        <v>0</v>
      </c>
    </row>
    <row r="665" spans="1:26" ht="22.35" customHeight="1" x14ac:dyDescent="0.3">
      <c r="A665" s="148" t="str">
        <f>+IF(PROVEEDORES[[#This Row],[FECHA DE PAGO]]=PROVEEDORES[[#This Row],[FECHA DE FACTURACIÓN]],"DE CONTADO","CRÉDITO")</f>
        <v>CRÉDITO</v>
      </c>
      <c r="B665" s="38" t="str">
        <f>+IF((PROVEEDORES[[#This Row],[FECHA DE PAGO]]-PROVEEDORES[[#This Row],[FECHA DE FACTURACIÓN]])&gt;PROVEEDORES[[#This Row],[PLAZO Días]],"PAGO VENCIDO")</f>
        <v>PAGO VENCIDO</v>
      </c>
      <c r="C665" s="20">
        <f>+VLOOKUP(PROVEEDORES[[#This Row],[PROVEEDOR]],TERCEROS_INFO[#All],2,FALSE)</f>
        <v>30</v>
      </c>
      <c r="D665" s="25">
        <f>+SUMIFS(PROVEEDORES[Total],PROVEEDORES[PROVEEDOR],PROVEEDORES[[#This Row],[PROVEEDOR]],PROVEEDORES[FECHA DE PAGO],"")</f>
        <v>0</v>
      </c>
      <c r="E665" s="25"/>
      <c r="F665" s="56" t="str">
        <f>+VLOOKUP(PROVEEDORES[[#This Row],[PROVEEDOR]],
                       Terceros!$A:$F,
                       5,
                       FALSE)</f>
        <v>julian@ieosas.com;girlesa.ruiz@servipilas.com;joriescobar64@gmail.com</v>
      </c>
      <c r="G665" s="68">
        <v>44783</v>
      </c>
      <c r="H665" s="26" t="s">
        <v>763</v>
      </c>
      <c r="I665" s="68">
        <v>44735</v>
      </c>
      <c r="J665" s="35">
        <v>362</v>
      </c>
      <c r="K665" s="21">
        <v>1900000</v>
      </c>
      <c r="L665" s="21"/>
      <c r="M665" s="22">
        <f>(PROVEEDORES[[#This Row],[SUBTOTAL]]-PROVEEDORES[[#This Row],[descuento sobre subtotal]])*VLOOKUP(PROVEEDORES[[#This Row],[PROVEEDOR]],TERCEROS_INFO[#All],3,FALSE)</f>
        <v>361000</v>
      </c>
      <c r="N665" s="23"/>
      <c r="O665" s="22">
        <f>+PROVEEDORES[[#This Row],[Descuento sobre subtotal %]]*(PROVEEDORES[[#This Row],[SUBTOTAL]]-PROVEEDORES[[#This Row],[descuento sobre subtotal]])</f>
        <v>0</v>
      </c>
      <c r="P665" s="74">
        <f>+IF(PROVEEDORES[[#This Row],[SUBTOTAL]]&lt;PROVEEDORES[[#This Row],[base retencion]],0,PROVEEDORES[[#This Row],[retención aplicada]])</f>
        <v>2.5000000000000001E-2</v>
      </c>
      <c r="Q665" s="22">
        <f>+PROVEEDORES[[#This Row],[Rete Fuente %]]*(PROVEEDORES[[#This Row],[SUBTOTAL]]-PROVEEDORES[[#This Row],[descuento sobre subtotal]])</f>
        <v>47500</v>
      </c>
      <c r="R665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66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63">
        <f ca="1">IF(PROVEEDORES[[#This Row],[FECHA DE PAGO]]=0,TODAY()-PROVEEDORES[[#This Row],[FECHA DE FACTURACIÓN]]-PROVEEDORES[[#This Row],[PLAZO Días]],0)</f>
        <v>0</v>
      </c>
      <c r="U665" s="104" t="str">
        <f>+VLOOKUP(PROVEEDORES[[#This Row],[PROVEEDOR]],Terceros!$A:$D,4,FALSE)</f>
        <v>2,5% con base</v>
      </c>
      <c r="V665" s="105">
        <f>+YEAR(PROVEEDORES[[#This Row],[FECHA DE FACTURACIÓN]])</f>
        <v>2022</v>
      </c>
      <c r="W665" s="105">
        <f>+MATCH(PROVEEDORES[[#This Row],[año facturado]],Retenciones!$1:$1,0)</f>
        <v>5</v>
      </c>
      <c r="X665" s="106">
        <f>+VLOOKUP(PROVEEDORES[[#This Row],[ID RETENCION]],Retenciones!$A$1:$O$25,PROVEEDORES[[#This Row],[indicador de columna]],FALSE)</f>
        <v>1026000</v>
      </c>
      <c r="Y665" s="107">
        <f>+VLOOKUP(PROVEEDORES[[#This Row],[ID RETENCION]],Retenciones!$A$1:$O$25,2,FALSE)</f>
        <v>2.5000000000000001E-2</v>
      </c>
      <c r="Z665" s="116" t="b">
        <f>OR(COUNTIF(PROVEEDORES[[#This Row],[PROVEEDOR]],"*"&amp;'Palabra no opera'!$A$2&amp;"*"))</f>
        <v>0</v>
      </c>
    </row>
    <row r="666" spans="1:26" ht="22.35" customHeight="1" x14ac:dyDescent="0.3">
      <c r="A666" s="163" t="str">
        <f>+IF(PROVEEDORES[[#This Row],[FECHA DE PAGO]]=PROVEEDORES[[#This Row],[FECHA DE FACTURACIÓN]],"DE CONTADO","CRÉDITO")</f>
        <v>CRÉDITO</v>
      </c>
      <c r="B666" s="38" t="b">
        <f>+IF((PROVEEDORES[[#This Row],[FECHA DE PAGO]]-PROVEEDORES[[#This Row],[FECHA DE FACTURACIÓN]])&gt;PROVEEDORES[[#This Row],[PLAZO Días]],"PAGO VENCIDO")</f>
        <v>0</v>
      </c>
      <c r="C666" s="20">
        <f>+VLOOKUP(PROVEEDORES[[#This Row],[PROVEEDOR]],TERCEROS_INFO[#All],2,FALSE)</f>
        <v>30</v>
      </c>
      <c r="D666" s="25">
        <f>+SUMIFS(PROVEEDORES[Total],PROVEEDORES[PROVEEDOR],PROVEEDORES[[#This Row],[PROVEEDOR]],PROVEEDORES[FECHA DE PAGO],"")</f>
        <v>0</v>
      </c>
      <c r="E666" s="25"/>
      <c r="F666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666" s="68">
        <v>44783</v>
      </c>
      <c r="H666" s="26" t="s">
        <v>964</v>
      </c>
      <c r="I666" s="68">
        <v>44753</v>
      </c>
      <c r="J666" s="35">
        <v>33069</v>
      </c>
      <c r="K666" s="21">
        <v>1965400</v>
      </c>
      <c r="L666" s="21"/>
      <c r="M666" s="22">
        <f>(PROVEEDORES[[#This Row],[SUBTOTAL]]-PROVEEDORES[[#This Row],[descuento sobre subtotal]])*VLOOKUP(PROVEEDORES[[#This Row],[PROVEEDOR]],TERCEROS_INFO[#All],3,FALSE)</f>
        <v>373426</v>
      </c>
      <c r="N666" s="23"/>
      <c r="O666" s="22">
        <f>+PROVEEDORES[[#This Row],[Descuento sobre subtotal %]]*(PROVEEDORES[[#This Row],[SUBTOTAL]]-PROVEEDORES[[#This Row],[descuento sobre subtotal]])</f>
        <v>0</v>
      </c>
      <c r="P666" s="74">
        <v>2.5000000000000001E-2</v>
      </c>
      <c r="Q666" s="22">
        <f>+PROVEEDORES[[#This Row],[Rete Fuente %]]*(PROVEEDORES[[#This Row],[SUBTOTAL]]-PROVEEDORES[[#This Row],[descuento sobre subtotal]])</f>
        <v>49135</v>
      </c>
      <c r="R666" s="21">
        <f>+PROVEEDORES[[#This Row],[SUBTOTAL]]+PROVEEDORES[[#This Row],[IVA 19%]]-PROVEEDORES[[#This Row],[descuento sobre subtotal]]-PROVEEDORES[[#This Row],[Descuento sobre subtotal $2]]-PROVEEDORES[[#This Row],[Rete Fuente $]]</f>
        <v>2289691</v>
      </c>
      <c r="S666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63">
        <f ca="1">IF(PROVEEDORES[[#This Row],[FECHA DE PAGO]]=0,TODAY()-PROVEEDORES[[#This Row],[FECHA DE FACTURACIÓN]]-PROVEEDORES[[#This Row],[PLAZO Días]],0)</f>
        <v>0</v>
      </c>
      <c r="U666" s="104">
        <f>+VLOOKUP(PROVEEDORES[[#This Row],[PROVEEDOR]],Terceros!$A:$D,4,FALSE)</f>
        <v>0</v>
      </c>
      <c r="V666" s="105">
        <f>+YEAR(PROVEEDORES[[#This Row],[FECHA DE FACTURACIÓN]])</f>
        <v>2022</v>
      </c>
      <c r="W666" s="105">
        <f>+MATCH(PROVEEDORES[[#This Row],[año facturado]],Retenciones!$1:$1,0)</f>
        <v>5</v>
      </c>
      <c r="X666" s="106">
        <f>+VLOOKUP(PROVEEDORES[[#This Row],[ID RETENCION]],Retenciones!$A$1:$O$25,PROVEEDORES[[#This Row],[indicador de columna]],FALSE)</f>
        <v>0</v>
      </c>
      <c r="Y666" s="107">
        <f>+VLOOKUP(PROVEEDORES[[#This Row],[ID RETENCION]],Retenciones!$A$1:$O$25,2,FALSE)</f>
        <v>0</v>
      </c>
      <c r="Z666" s="116" t="b">
        <f>OR(COUNTIF(PROVEEDORES[[#This Row],[PROVEEDOR]],"*"&amp;'Palabra no opera'!$A$2&amp;"*"))</f>
        <v>0</v>
      </c>
    </row>
    <row r="667" spans="1:26" ht="22.35" customHeight="1" x14ac:dyDescent="0.3">
      <c r="A667" s="146" t="str">
        <f>+IF(PROVEEDORES[[#This Row],[FECHA DE PAGO]]=PROVEEDORES[[#This Row],[FECHA DE FACTURACIÓN]],"DE CONTADO","CRÉDITO")</f>
        <v>CRÉDITO</v>
      </c>
      <c r="B667" s="38" t="str">
        <f>+IF((PROVEEDORES[[#This Row],[FECHA DE PAGO]]-PROVEEDORES[[#This Row],[FECHA DE FACTURACIÓN]])&gt;PROVEEDORES[[#This Row],[PLAZO Días]],"PAGO VENCIDO")</f>
        <v>PAGO VENCIDO</v>
      </c>
      <c r="C667" s="20">
        <f>+VLOOKUP(PROVEEDORES[[#This Row],[PROVEEDOR]],TERCEROS_INFO[#All],2,FALSE)</f>
        <v>30</v>
      </c>
      <c r="D667" s="25">
        <f>+SUMIFS(PROVEEDORES[Total],PROVEEDORES[PROVEEDOR],PROVEEDORES[[#This Row],[PROVEEDOR]],PROVEEDORES[FECHA DE PAGO],"")</f>
        <v>0</v>
      </c>
      <c r="E667" s="25"/>
      <c r="F667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667" s="68">
        <v>44783</v>
      </c>
      <c r="H667" s="26" t="s">
        <v>33</v>
      </c>
      <c r="I667" s="68">
        <v>44718</v>
      </c>
      <c r="J667" s="35">
        <v>2730</v>
      </c>
      <c r="K667" s="21">
        <v>2006000</v>
      </c>
      <c r="L667" s="21"/>
      <c r="M667" s="22">
        <f>(PROVEEDORES[[#This Row],[SUBTOTAL]]-PROVEEDORES[[#This Row],[descuento sobre subtotal]])*VLOOKUP(PROVEEDORES[[#This Row],[PROVEEDOR]],TERCEROS_INFO[#All],3,FALSE)</f>
        <v>381140</v>
      </c>
      <c r="N667" s="23"/>
      <c r="O667" s="22">
        <f>+PROVEEDORES[[#This Row],[Descuento sobre subtotal %]]*(PROVEEDORES[[#This Row],[SUBTOTAL]]-PROVEEDORES[[#This Row],[descuento sobre subtotal]])</f>
        <v>0</v>
      </c>
      <c r="P667" s="74">
        <f>+IF(PROVEEDORES[[#This Row],[SUBTOTAL]]&lt;PROVEEDORES[[#This Row],[base retencion]],0,PROVEEDORES[[#This Row],[retención aplicada]])</f>
        <v>2.5000000000000001E-2</v>
      </c>
      <c r="Q667" s="22">
        <f>+PROVEEDORES[[#This Row],[Rete Fuente %]]*(PROVEEDORES[[#This Row],[SUBTOTAL]]-PROVEEDORES[[#This Row],[descuento sobre subtotal]])</f>
        <v>50150</v>
      </c>
      <c r="R667" s="21">
        <f>+PROVEEDORES[[#This Row],[SUBTOTAL]]+PROVEEDORES[[#This Row],[IVA 19%]]-PROVEEDORES[[#This Row],[descuento sobre subtotal]]-PROVEEDORES[[#This Row],[Descuento sobre subtotal $2]]-PROVEEDORES[[#This Row],[Rete Fuente $]]</f>
        <v>2336990</v>
      </c>
      <c r="S667" s="14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63">
        <f ca="1">IF(PROVEEDORES[[#This Row],[FECHA DE PAGO]]=0,TODAY()-PROVEEDORES[[#This Row],[FECHA DE FACTURACIÓN]]-PROVEEDORES[[#This Row],[PLAZO Días]],0)</f>
        <v>0</v>
      </c>
      <c r="U667" s="104" t="str">
        <f>+VLOOKUP(PROVEEDORES[[#This Row],[PROVEEDOR]],Terceros!$A:$D,4,FALSE)</f>
        <v>2,5% con base</v>
      </c>
      <c r="V667" s="105">
        <f>+YEAR(PROVEEDORES[[#This Row],[FECHA DE FACTURACIÓN]])</f>
        <v>2022</v>
      </c>
      <c r="W667" s="105">
        <f>+MATCH(PROVEEDORES[[#This Row],[año facturado]],Retenciones!$1:$1,0)</f>
        <v>5</v>
      </c>
      <c r="X667" s="106">
        <f>+VLOOKUP(PROVEEDORES[[#This Row],[ID RETENCION]],Retenciones!$A$1:$O$25,PROVEEDORES[[#This Row],[indicador de columna]],FALSE)</f>
        <v>1026000</v>
      </c>
      <c r="Y667" s="107">
        <f>+VLOOKUP(PROVEEDORES[[#This Row],[ID RETENCION]],Retenciones!$A$1:$O$25,2,FALSE)</f>
        <v>2.5000000000000001E-2</v>
      </c>
      <c r="Z667" s="116" t="b">
        <f>OR(COUNTIF(PROVEEDORES[[#This Row],[PROVEEDOR]],"*"&amp;'Palabra no opera'!$A$2&amp;"*"))</f>
        <v>0</v>
      </c>
    </row>
    <row r="668" spans="1:26" ht="22.35" customHeight="1" x14ac:dyDescent="0.3">
      <c r="A668" s="67" t="str">
        <f>+IF(PROVEEDORES[[#This Row],[FECHA DE PAGO]]=PROVEEDORES[[#This Row],[FECHA DE FACTURACIÓN]],"DE CONTADO","CRÉDITO")</f>
        <v>CRÉDITO</v>
      </c>
      <c r="B668" s="38" t="str">
        <f>+IF((PROVEEDORES[[#This Row],[FECHA DE PAGO]]-PROVEEDORES[[#This Row],[FECHA DE FACTURACIÓN]])&gt;PROVEEDORES[[#This Row],[PLAZO Días]],"PAGO VENCIDO")</f>
        <v>PAGO VENCIDO</v>
      </c>
      <c r="C668" s="20">
        <f>+VLOOKUP(PROVEEDORES[[#This Row],[PROVEEDOR]],TERCEROS_INFO[#All],2,FALSE)</f>
        <v>30</v>
      </c>
      <c r="D668" s="25">
        <f>+SUMIFS(PROVEEDORES[Total],PROVEEDORES[PROVEEDOR],PROVEEDORES[[#This Row],[PROVEEDOR]],PROVEEDORES[FECHA DE PAGO],"")</f>
        <v>-139600.09</v>
      </c>
      <c r="E668" s="25"/>
      <c r="F668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668" s="68">
        <v>44783</v>
      </c>
      <c r="H668" s="26" t="s">
        <v>32</v>
      </c>
      <c r="I668" s="68">
        <v>44749</v>
      </c>
      <c r="J668" s="35" t="s">
        <v>853</v>
      </c>
      <c r="K668" s="21">
        <v>368487.39</v>
      </c>
      <c r="L668" s="21"/>
      <c r="M668" s="22">
        <f>(PROVEEDORES[[#This Row],[SUBTOTAL]]-PROVEEDORES[[#This Row],[descuento sobre subtotal]])*VLOOKUP(PROVEEDORES[[#This Row],[PROVEEDOR]],TERCEROS_INFO[#All],3,FALSE)</f>
        <v>70012.604099999997</v>
      </c>
      <c r="N668" s="23"/>
      <c r="O668" s="22">
        <f>+PROVEEDORES[[#This Row],[Descuento sobre subtotal %]]*(PROVEEDORES[[#This Row],[SUBTOTAL]]-PROVEEDORES[[#This Row],[descuento sobre subtotal]])</f>
        <v>0</v>
      </c>
      <c r="P668" s="74">
        <f>+IF(PROVEEDORES[[#This Row],[SUBTOTAL]]&lt;PROVEEDORES[[#This Row],[base retencion]],0,PROVEEDORES[[#This Row],[retención aplicada]])</f>
        <v>0</v>
      </c>
      <c r="Q668" s="22">
        <f>+PROVEEDORES[[#This Row],[Rete Fuente %]]*(PROVEEDORES[[#This Row],[SUBTOTAL]]-PROVEEDORES[[#This Row],[descuento sobre subtotal]])</f>
        <v>0</v>
      </c>
      <c r="R668" s="21">
        <f>+PROVEEDORES[[#This Row],[SUBTOTAL]]+PROVEEDORES[[#This Row],[IVA 19%]]-PROVEEDORES[[#This Row],[descuento sobre subtotal]]-PROVEEDORES[[#This Row],[Descuento sobre subtotal $2]]-PROVEEDORES[[#This Row],[Rete Fuente $]]</f>
        <v>438499.99410000001</v>
      </c>
      <c r="S6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63">
        <f ca="1">IF(PROVEEDORES[[#This Row],[FECHA DE PAGO]]=0,TODAY()-PROVEEDORES[[#This Row],[FECHA DE FACTURACIÓN]]-PROVEEDORES[[#This Row],[PLAZO Días]],0)</f>
        <v>0</v>
      </c>
      <c r="U668" s="104" t="str">
        <f>+VLOOKUP(PROVEEDORES[[#This Row],[PROVEEDOR]],Terceros!$A:$D,4,FALSE)</f>
        <v>2,5% con base</v>
      </c>
      <c r="V668" s="105">
        <f>+YEAR(PROVEEDORES[[#This Row],[FECHA DE FACTURACIÓN]])</f>
        <v>2022</v>
      </c>
      <c r="W668" s="105">
        <f>+MATCH(PROVEEDORES[[#This Row],[año facturado]],Retenciones!$1:$1,0)</f>
        <v>5</v>
      </c>
      <c r="X668" s="106">
        <f>+VLOOKUP(PROVEEDORES[[#This Row],[ID RETENCION]],Retenciones!$A$1:$O$25,PROVEEDORES[[#This Row],[indicador de columna]],FALSE)</f>
        <v>1026000</v>
      </c>
      <c r="Y668" s="107">
        <f>+VLOOKUP(PROVEEDORES[[#This Row],[ID RETENCION]],Retenciones!$A$1:$O$25,2,FALSE)</f>
        <v>2.5000000000000001E-2</v>
      </c>
      <c r="Z668" s="116" t="b">
        <f>OR(COUNTIF(PROVEEDORES[[#This Row],[PROVEEDOR]],"*"&amp;'Palabra no opera'!$A$2&amp;"*"))</f>
        <v>0</v>
      </c>
    </row>
    <row r="669" spans="1:26" ht="22.35" customHeight="1" x14ac:dyDescent="0.3">
      <c r="A669" s="163" t="str">
        <f>+IF(PROVEEDORES[[#This Row],[FECHA DE PAGO]]=PROVEEDORES[[#This Row],[FECHA DE FACTURACIÓN]],"DE CONTADO","CRÉDITO")</f>
        <v>CRÉDITO</v>
      </c>
      <c r="B669" s="38" t="str">
        <f>+IF((PROVEEDORES[[#This Row],[FECHA DE PAGO]]-PROVEEDORES[[#This Row],[FECHA DE FACTURACIÓN]])&gt;PROVEEDORES[[#This Row],[PLAZO Días]],"PAGO VENCIDO")</f>
        <v>PAGO VENCIDO</v>
      </c>
      <c r="C669" s="20">
        <f>+VLOOKUP(PROVEEDORES[[#This Row],[PROVEEDOR]],TERCEROS_INFO[#All],2,FALSE)</f>
        <v>30</v>
      </c>
      <c r="D669" s="25">
        <f>+SUMIFS(PROVEEDORES[Total],PROVEEDORES[PROVEEDOR],PROVEEDORES[[#This Row],[PROVEEDOR]],PROVEEDORES[FECHA DE PAGO],"")</f>
        <v>0</v>
      </c>
      <c r="E669" s="25"/>
      <c r="F669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669" s="68">
        <v>44783</v>
      </c>
      <c r="H669" s="26" t="s">
        <v>248</v>
      </c>
      <c r="I669" s="68">
        <v>44751</v>
      </c>
      <c r="J669" s="35" t="s">
        <v>824</v>
      </c>
      <c r="K669" s="21">
        <v>2562110.2599999998</v>
      </c>
      <c r="L669" s="21"/>
      <c r="M669" s="22">
        <f>(PROVEEDORES[[#This Row],[SUBTOTAL]]-PROVEEDORES[[#This Row],[descuento sobre subtotal]])*VLOOKUP(PROVEEDORES[[#This Row],[PROVEEDOR]],TERCEROS_INFO[#All],3,FALSE)</f>
        <v>486800.94939999998</v>
      </c>
      <c r="N669" s="23"/>
      <c r="O669" s="22">
        <f>+PROVEEDORES[[#This Row],[Descuento sobre subtotal %]]*(PROVEEDORES[[#This Row],[SUBTOTAL]]-PROVEEDORES[[#This Row],[descuento sobre subtotal]])</f>
        <v>0</v>
      </c>
      <c r="P669" s="74">
        <f>+IF(PROVEEDORES[[#This Row],[SUBTOTAL]]&lt;PROVEEDORES[[#This Row],[base retencion]],0,PROVEEDORES[[#This Row],[retención aplicada]])</f>
        <v>0</v>
      </c>
      <c r="Q669" s="22">
        <f>+PROVEEDORES[[#This Row],[Rete Fuente %]]*(PROVEEDORES[[#This Row],[SUBTOTAL]]-PROVEEDORES[[#This Row],[descuento sobre subtotal]])</f>
        <v>0</v>
      </c>
      <c r="R669" s="21">
        <f>+PROVEEDORES[[#This Row],[SUBTOTAL]]+PROVEEDORES[[#This Row],[IVA 19%]]-PROVEEDORES[[#This Row],[descuento sobre subtotal]]-PROVEEDORES[[#This Row],[Descuento sobre subtotal $2]]-PROVEEDORES[[#This Row],[Rete Fuente $]]</f>
        <v>3048911.2093999996</v>
      </c>
      <c r="S669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63">
        <f ca="1">IF(PROVEEDORES[[#This Row],[FECHA DE PAGO]]=0,TODAY()-PROVEEDORES[[#This Row],[FECHA DE FACTURACIÓN]]-PROVEEDORES[[#This Row],[PLAZO Días]],0)</f>
        <v>0</v>
      </c>
      <c r="U669" s="104">
        <f>+VLOOKUP(PROVEEDORES[[#This Row],[PROVEEDOR]],Terceros!$A:$D,4,FALSE)</f>
        <v>0</v>
      </c>
      <c r="V669" s="105">
        <f>+YEAR(PROVEEDORES[[#This Row],[FECHA DE FACTURACIÓN]])</f>
        <v>2022</v>
      </c>
      <c r="W669" s="105">
        <f>+MATCH(PROVEEDORES[[#This Row],[año facturado]],Retenciones!$1:$1,0)</f>
        <v>5</v>
      </c>
      <c r="X669" s="106">
        <f>+VLOOKUP(PROVEEDORES[[#This Row],[ID RETENCION]],Retenciones!$A$1:$O$25,PROVEEDORES[[#This Row],[indicador de columna]],FALSE)</f>
        <v>0</v>
      </c>
      <c r="Y669" s="107">
        <f>+VLOOKUP(PROVEEDORES[[#This Row],[ID RETENCION]],Retenciones!$A$1:$O$25,2,FALSE)</f>
        <v>0</v>
      </c>
      <c r="Z669" s="116" t="b">
        <f>OR(COUNTIF(PROVEEDORES[[#This Row],[PROVEEDOR]],"*"&amp;'Palabra no opera'!$A$2&amp;"*"))</f>
        <v>0</v>
      </c>
    </row>
    <row r="670" spans="1:26" ht="22.35" customHeight="1" x14ac:dyDescent="0.3">
      <c r="A670" s="171" t="str">
        <f>+IF(PROVEEDORES[[#This Row],[FECHA DE PAGO]]=PROVEEDORES[[#This Row],[FECHA DE FACTURACIÓN]],"DE CONTADO","CRÉDITO")</f>
        <v>CRÉDITO</v>
      </c>
      <c r="B670" s="38" t="b">
        <f>+IF((PROVEEDORES[[#This Row],[FECHA DE PAGO]]-PROVEEDORES[[#This Row],[FECHA DE FACTURACIÓN]])&gt;PROVEEDORES[[#This Row],[PLAZO Días]],"PAGO VENCIDO")</f>
        <v>0</v>
      </c>
      <c r="C670" s="20">
        <f>+VLOOKUP(PROVEEDORES[[#This Row],[PROVEEDOR]],TERCEROS_INFO[#All],2,FALSE)</f>
        <v>10</v>
      </c>
      <c r="D670" s="25">
        <f>+SUMIFS(PROVEEDORES[Total],PROVEEDORES[PROVEEDOR],PROVEEDORES[[#This Row],[PROVEEDOR]],PROVEEDORES[FECHA DE PAGO],"")</f>
        <v>0</v>
      </c>
      <c r="E670" s="25"/>
      <c r="F670" s="56" t="str">
        <f>+VLOOKUP(PROVEEDORES[[#This Row],[PROVEEDOR]],
                       Terceros!$A:$F,
                       5,
                       FALSE)</f>
        <v>margaritadavid@hotmail.es;girlesa.ruiz@servipilas.com;joriescobar64@gmail.com;MERCADEO@servipilas.com</v>
      </c>
      <c r="G670" s="68">
        <v>44783</v>
      </c>
      <c r="H670" s="26" t="s">
        <v>869</v>
      </c>
      <c r="I670" s="68">
        <v>44781</v>
      </c>
      <c r="J670" s="35">
        <v>337</v>
      </c>
      <c r="K670" s="21">
        <v>300000</v>
      </c>
      <c r="L670" s="21"/>
      <c r="M670" s="22">
        <f>(PROVEEDORES[[#This Row],[SUBTOTAL]]-PROVEEDORES[[#This Row],[descuento sobre subtotal]])*VLOOKUP(PROVEEDORES[[#This Row],[PROVEEDOR]],TERCEROS_INFO[#All],3,FALSE)</f>
        <v>57000</v>
      </c>
      <c r="N670" s="23"/>
      <c r="O670" s="22">
        <f>+PROVEEDORES[[#This Row],[Descuento sobre subtotal %]]*(PROVEEDORES[[#This Row],[SUBTOTAL]]-PROVEEDORES[[#This Row],[descuento sobre subtotal]])</f>
        <v>0</v>
      </c>
      <c r="P670" s="74">
        <f>+IF(PROVEEDORES[[#This Row],[SUBTOTAL]]&lt;PROVEEDORES[[#This Row],[base retencion]],0,PROVEEDORES[[#This Row],[retención aplicada]])</f>
        <v>0.04</v>
      </c>
      <c r="Q670" s="22">
        <f>+PROVEEDORES[[#This Row],[Rete Fuente %]]*(PROVEEDORES[[#This Row],[SUBTOTAL]]-PROVEEDORES[[#This Row],[descuento sobre subtotal]])</f>
        <v>12000</v>
      </c>
      <c r="R670" s="21">
        <f>+PROVEEDORES[[#This Row],[SUBTOTAL]]+PROVEEDORES[[#This Row],[IVA 19%]]-PROVEEDORES[[#This Row],[descuento sobre subtotal]]-PROVEEDORES[[#This Row],[Descuento sobre subtotal $2]]-PROVEEDORES[[#This Row],[Rete Fuente $]]</f>
        <v>345000</v>
      </c>
      <c r="S670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63">
        <f ca="1">IF(PROVEEDORES[[#This Row],[FECHA DE PAGO]]=0,TODAY()-PROVEEDORES[[#This Row],[FECHA DE FACTURACIÓN]]-PROVEEDORES[[#This Row],[PLAZO Días]],0)</f>
        <v>0</v>
      </c>
      <c r="U670" s="104" t="str">
        <f>+VLOOKUP(PROVEEDORES[[#This Row],[PROVEEDOR]],Terceros!$A:$D,4,FALSE)</f>
        <v>4% sin base</v>
      </c>
      <c r="V670" s="105">
        <f>+YEAR(PROVEEDORES[[#This Row],[FECHA DE FACTURACIÓN]])</f>
        <v>2022</v>
      </c>
      <c r="W670" s="105">
        <f>+MATCH(PROVEEDORES[[#This Row],[año facturado]],Retenciones!$1:$1,0)</f>
        <v>5</v>
      </c>
      <c r="X670" s="106">
        <f>+VLOOKUP(PROVEEDORES[[#This Row],[ID RETENCION]],Retenciones!$A$1:$O$25,PROVEEDORES[[#This Row],[indicador de columna]],FALSE)</f>
        <v>0</v>
      </c>
      <c r="Y670" s="107">
        <f>+VLOOKUP(PROVEEDORES[[#This Row],[ID RETENCION]],Retenciones!$A$1:$O$25,2,FALSE)</f>
        <v>0.04</v>
      </c>
      <c r="Z670" s="116" t="b">
        <f>OR(COUNTIF(PROVEEDORES[[#This Row],[PROVEEDOR]],"*"&amp;'Palabra no opera'!$A$2&amp;"*"))</f>
        <v>1</v>
      </c>
    </row>
    <row r="671" spans="1:26" ht="22.35" customHeight="1" x14ac:dyDescent="0.3">
      <c r="A671" s="67" t="str">
        <f>+IF(PROVEEDORES[[#This Row],[FECHA DE PAGO]]=PROVEEDORES[[#This Row],[FECHA DE FACTURACIÓN]],"DE CONTADO","CRÉDITO")</f>
        <v>CRÉDITO</v>
      </c>
      <c r="B671" s="38" t="b">
        <f>+IF((PROVEEDORES[[#This Row],[FECHA DE PAGO]]-PROVEEDORES[[#This Row],[FECHA DE FACTURACIÓN]])&gt;PROVEEDORES[[#This Row],[PLAZO Días]],"PAGO VENCIDO")</f>
        <v>0</v>
      </c>
      <c r="C671" s="20">
        <f>+VLOOKUP(PROVEEDORES[[#This Row],[PROVEEDOR]],TERCEROS_INFO[#All],2,FALSE)</f>
        <v>30</v>
      </c>
      <c r="D671" s="25">
        <f>+SUMIFS(PROVEEDORES[Total],PROVEEDORES[PROVEEDOR],PROVEEDORES[[#This Row],[PROVEEDOR]],PROVEEDORES[FECHA DE PAGO],"")</f>
        <v>0</v>
      </c>
      <c r="E671" s="25"/>
      <c r="F671" s="56">
        <f>+VLOOKUP(PROVEEDORES[[#This Row],[PROVEEDOR]],
                       Terceros!$A:$F,
                       5,
                       FALSE)</f>
        <v>0</v>
      </c>
      <c r="G671" s="68">
        <v>44783</v>
      </c>
      <c r="H671" s="26" t="s">
        <v>642</v>
      </c>
      <c r="I671" s="68">
        <v>44774</v>
      </c>
      <c r="J671" s="35" t="s">
        <v>217</v>
      </c>
      <c r="K671" s="21">
        <v>455823</v>
      </c>
      <c r="L671" s="21"/>
      <c r="M671" s="22">
        <f>(PROVEEDORES[[#This Row],[SUBTOTAL]]-PROVEEDORES[[#This Row],[descuento sobre subtotal]])*VLOOKUP(PROVEEDORES[[#This Row],[PROVEEDOR]],TERCEROS_INFO[#All],3,FALSE)</f>
        <v>0</v>
      </c>
      <c r="N671" s="23"/>
      <c r="O671" s="22">
        <f>+PROVEEDORES[[#This Row],[Descuento sobre subtotal %]]*(PROVEEDORES[[#This Row],[SUBTOTAL]]-PROVEEDORES[[#This Row],[descuento sobre subtotal]])</f>
        <v>0</v>
      </c>
      <c r="P671" s="74">
        <f>+IF(PROVEEDORES[[#This Row],[SUBTOTAL]]&lt;PROVEEDORES[[#This Row],[base retencion]],0,PROVEEDORES[[#This Row],[retención aplicada]])</f>
        <v>0</v>
      </c>
      <c r="Q671" s="22">
        <f>+PROVEEDORES[[#This Row],[Rete Fuente %]]*(PROVEEDORES[[#This Row],[SUBTOTAL]]-PROVEEDORES[[#This Row],[descuento sobre subtotal]])</f>
        <v>0</v>
      </c>
      <c r="R671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63">
        <f ca="1">IF(PROVEEDORES[[#This Row],[FECHA DE PAGO]]=0,TODAY()-PROVEEDORES[[#This Row],[FECHA DE FACTURACIÓN]]-PROVEEDORES[[#This Row],[PLAZO Días]],0)</f>
        <v>0</v>
      </c>
      <c r="U671" s="104">
        <f>+VLOOKUP(PROVEEDORES[[#This Row],[PROVEEDOR]],Terceros!$A:$D,4,FALSE)</f>
        <v>0</v>
      </c>
      <c r="V671" s="105">
        <f>+YEAR(PROVEEDORES[[#This Row],[FECHA DE FACTURACIÓN]])</f>
        <v>2022</v>
      </c>
      <c r="W671" s="105">
        <f>+MATCH(PROVEEDORES[[#This Row],[año facturado]],Retenciones!$1:$1,0)</f>
        <v>5</v>
      </c>
      <c r="X671" s="106">
        <f>+VLOOKUP(PROVEEDORES[[#This Row],[ID RETENCION]],Retenciones!$A$1:$O$25,PROVEEDORES[[#This Row],[indicador de columna]],FALSE)</f>
        <v>0</v>
      </c>
      <c r="Y671" s="107">
        <f>+VLOOKUP(PROVEEDORES[[#This Row],[ID RETENCION]],Retenciones!$A$1:$O$25,2,FALSE)</f>
        <v>0</v>
      </c>
      <c r="Z671" s="116" t="b">
        <f>OR(COUNTIF(PROVEEDORES[[#This Row],[PROVEEDOR]],"*"&amp;'Palabra no opera'!$A$2&amp;"*"))</f>
        <v>1</v>
      </c>
    </row>
    <row r="672" spans="1:26" ht="22.35" customHeight="1" x14ac:dyDescent="0.3">
      <c r="A672" s="169" t="str">
        <f>+IF(PROVEEDORES[[#This Row],[FECHA DE PAGO]]=PROVEEDORES[[#This Row],[FECHA DE FACTURACIÓN]],"DE CONTADO","CRÉDITO")</f>
        <v>CRÉDITO</v>
      </c>
      <c r="B672" s="38" t="b">
        <f>+IF((PROVEEDORES[[#This Row],[FECHA DE PAGO]]-PROVEEDORES[[#This Row],[FECHA DE FACTURACIÓN]])&gt;PROVEEDORES[[#This Row],[PLAZO Días]],"PAGO VENCIDO")</f>
        <v>0</v>
      </c>
      <c r="C672" s="20">
        <f>+VLOOKUP(PROVEEDORES[[#This Row],[PROVEEDOR]],TERCEROS_INFO[#All],2,FALSE)</f>
        <v>30</v>
      </c>
      <c r="D672" s="25">
        <f>+SUMIFS(PROVEEDORES[Total],PROVEEDORES[PROVEEDOR],PROVEEDORES[[#This Row],[PROVEEDOR]],PROVEEDORES[FECHA DE PAGO],"")</f>
        <v>352505.48</v>
      </c>
      <c r="E672" s="25"/>
      <c r="F672" s="56" t="str">
        <f>+VLOOKUP(PROVEEDORES[[#This Row],[PROVEEDOR]],
                       Terceros!$A:$F,
                       5,
                       FALSE)</f>
        <v>facturacion@losmolinos.com.co</v>
      </c>
      <c r="G672" s="68">
        <v>44784</v>
      </c>
      <c r="H672" s="26" t="s">
        <v>650</v>
      </c>
      <c r="I672" s="68">
        <v>44774</v>
      </c>
      <c r="J672" s="35">
        <v>68476</v>
      </c>
      <c r="K672" s="21">
        <v>284467</v>
      </c>
      <c r="L672" s="21"/>
      <c r="M672" s="22">
        <f>(PROVEEDORES[[#This Row],[SUBTOTAL]]-PROVEEDORES[[#This Row],[descuento sobre subtotal]])*VLOOKUP(PROVEEDORES[[#This Row],[PROVEEDOR]],TERCEROS_INFO[#All],3,FALSE)</f>
        <v>0</v>
      </c>
      <c r="N672" s="23"/>
      <c r="O672" s="22">
        <v>8522.67</v>
      </c>
      <c r="P672" s="74">
        <f>+IF(PROVEEDORES[[#This Row],[SUBTOTAL]]&lt;PROVEEDORES[[#This Row],[base retencion]],0,PROVEEDORES[[#This Row],[retención aplicada]])</f>
        <v>0</v>
      </c>
      <c r="Q672" s="22">
        <f>+PROVEEDORES[[#This Row],[Rete Fuente %]]*(PROVEEDORES[[#This Row],[SUBTOTAL]]-PROVEEDORES[[#This Row],[descuento sobre subtotal]])</f>
        <v>0</v>
      </c>
      <c r="R672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672" s="1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63">
        <f ca="1">IF(PROVEEDORES[[#This Row],[FECHA DE PAGO]]=0,TODAY()-PROVEEDORES[[#This Row],[FECHA DE FACTURACIÓN]]-PROVEEDORES[[#This Row],[PLAZO Días]],0)</f>
        <v>0</v>
      </c>
      <c r="U672" s="104">
        <f>+VLOOKUP(PROVEEDORES[[#This Row],[PROVEEDOR]],Terceros!$A:$D,4,FALSE)</f>
        <v>0</v>
      </c>
      <c r="V672" s="105">
        <f>+YEAR(PROVEEDORES[[#This Row],[FECHA DE FACTURACIÓN]])</f>
        <v>2022</v>
      </c>
      <c r="W672" s="105">
        <f>+MATCH(PROVEEDORES[[#This Row],[año facturado]],Retenciones!$1:$1,0)</f>
        <v>5</v>
      </c>
      <c r="X672" s="106">
        <f>+VLOOKUP(PROVEEDORES[[#This Row],[ID RETENCION]],Retenciones!$A$1:$O$25,PROVEEDORES[[#This Row],[indicador de columna]],FALSE)</f>
        <v>0</v>
      </c>
      <c r="Y672" s="107">
        <f>+VLOOKUP(PROVEEDORES[[#This Row],[ID RETENCION]],Retenciones!$A$1:$O$25,2,FALSE)</f>
        <v>0</v>
      </c>
      <c r="Z672" s="116" t="b">
        <f>OR(COUNTIF(PROVEEDORES[[#This Row],[PROVEEDOR]],"*"&amp;'Palabra no opera'!$A$2&amp;"*"))</f>
        <v>1</v>
      </c>
    </row>
    <row r="673" spans="1:26" ht="22.35" customHeight="1" x14ac:dyDescent="0.3">
      <c r="A673" s="171" t="str">
        <f>+IF(PROVEEDORES[[#This Row],[FECHA DE PAGO]]=PROVEEDORES[[#This Row],[FECHA DE FACTURACIÓN]],"DE CONTADO","CRÉDITO")</f>
        <v>CRÉDITO</v>
      </c>
      <c r="B673" s="38" t="b">
        <f>+IF((PROVEEDORES[[#This Row],[FECHA DE PAGO]]-PROVEEDORES[[#This Row],[FECHA DE FACTURACIÓN]])&gt;PROVEEDORES[[#This Row],[PLAZO Días]],"PAGO VENCIDO")</f>
        <v>0</v>
      </c>
      <c r="C673" s="20">
        <f>+VLOOKUP(PROVEEDORES[[#This Row],[PROVEEDOR]],TERCEROS_INFO[#All],2,FALSE)</f>
        <v>13</v>
      </c>
      <c r="D673" s="25">
        <f>+SUMIFS(PROVEEDORES[Total],PROVEEDORES[PROVEEDOR],PROVEEDORES[[#This Row],[PROVEEDOR]],PROVEEDORES[FECHA DE PAGO],"")</f>
        <v>0</v>
      </c>
      <c r="E673" s="25"/>
      <c r="F673" s="56">
        <f>+VLOOKUP(PROVEEDORES[[#This Row],[PROVEEDOR]],
                       Terceros!$A:$F,
                       5,
                       FALSE)</f>
        <v>0</v>
      </c>
      <c r="G673" s="68">
        <v>44784</v>
      </c>
      <c r="H673" s="26" t="s">
        <v>644</v>
      </c>
      <c r="I673" s="68">
        <v>44774</v>
      </c>
      <c r="J673" s="35"/>
      <c r="K673" s="21">
        <v>1104931</v>
      </c>
      <c r="L673" s="21"/>
      <c r="M673" s="22">
        <f>(PROVEEDORES[[#This Row],[SUBTOTAL]]-PROVEEDORES[[#This Row],[descuento sobre subtotal]])*VLOOKUP(PROVEEDORES[[#This Row],[PROVEEDOR]],TERCEROS_INFO[#All],3,FALSE)</f>
        <v>0</v>
      </c>
      <c r="N673" s="23"/>
      <c r="O673" s="22">
        <f>+PROVEEDORES[[#This Row],[Descuento sobre subtotal %]]*(PROVEEDORES[[#This Row],[SUBTOTAL]]-PROVEEDORES[[#This Row],[descuento sobre subtotal]])</f>
        <v>0</v>
      </c>
      <c r="P673" s="74">
        <f>+IF(PROVEEDORES[[#This Row],[SUBTOTAL]]&lt;PROVEEDORES[[#This Row],[base retencion]],0,PROVEEDORES[[#This Row],[retención aplicada]])</f>
        <v>0</v>
      </c>
      <c r="Q673" s="22">
        <f>+PROVEEDORES[[#This Row],[Rete Fuente %]]*(PROVEEDORES[[#This Row],[SUBTOTAL]]-PROVEEDORES[[#This Row],[descuento sobre subtotal]])</f>
        <v>0</v>
      </c>
      <c r="R673" s="21">
        <f>+PROVEEDORES[[#This Row],[SUBTOTAL]]+PROVEEDORES[[#This Row],[IVA 19%]]-PROVEEDORES[[#This Row],[descuento sobre subtotal]]-PROVEEDORES[[#This Row],[Descuento sobre subtotal $2]]-PROVEEDORES[[#This Row],[Rete Fuente $]]</f>
        <v>1104931</v>
      </c>
      <c r="S673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63">
        <f ca="1">IF(PROVEEDORES[[#This Row],[FECHA DE PAGO]]=0,TODAY()-PROVEEDORES[[#This Row],[FECHA DE FACTURACIÓN]]-PROVEEDORES[[#This Row],[PLAZO Días]],0)</f>
        <v>0</v>
      </c>
      <c r="U673" s="104">
        <f>+VLOOKUP(PROVEEDORES[[#This Row],[PROVEEDOR]],Terceros!$A:$D,4,FALSE)</f>
        <v>0</v>
      </c>
      <c r="V673" s="105">
        <f>+YEAR(PROVEEDORES[[#This Row],[FECHA DE FACTURACIÓN]])</f>
        <v>2022</v>
      </c>
      <c r="W673" s="105">
        <f>+MATCH(PROVEEDORES[[#This Row],[año facturado]],Retenciones!$1:$1,0)</f>
        <v>5</v>
      </c>
      <c r="X673" s="106">
        <f>+VLOOKUP(PROVEEDORES[[#This Row],[ID RETENCION]],Retenciones!$A$1:$O$25,PROVEEDORES[[#This Row],[indicador de columna]],FALSE)</f>
        <v>0</v>
      </c>
      <c r="Y673" s="107">
        <f>+VLOOKUP(PROVEEDORES[[#This Row],[ID RETENCION]],Retenciones!$A$1:$O$25,2,FALSE)</f>
        <v>0</v>
      </c>
      <c r="Z673" s="116" t="b">
        <f>OR(COUNTIF(PROVEEDORES[[#This Row],[PROVEEDOR]],"*"&amp;'Palabra no opera'!$A$2&amp;"*"))</f>
        <v>1</v>
      </c>
    </row>
    <row r="674" spans="1:26" ht="22.35" customHeight="1" x14ac:dyDescent="0.3">
      <c r="A674" s="148" t="str">
        <f>+IF(PROVEEDORES[[#This Row],[FECHA DE PAGO]]=PROVEEDORES[[#This Row],[FECHA DE FACTURACIÓN]],"DE CONTADO","CRÉDITO")</f>
        <v>CRÉDITO</v>
      </c>
      <c r="B674" s="38" t="str">
        <f>+IF((PROVEEDORES[[#This Row],[FECHA DE PAGO]]-PROVEEDORES[[#This Row],[FECHA DE FACTURACIÓN]])&gt;PROVEEDORES[[#This Row],[PLAZO Días]],"PAGO VENCIDO")</f>
        <v>PAGO VENCIDO</v>
      </c>
      <c r="C674" s="20">
        <f>+VLOOKUP(PROVEEDORES[[#This Row],[PROVEEDOR]],TERCEROS_INFO[#All],2,FALSE)</f>
        <v>30</v>
      </c>
      <c r="D674" s="25">
        <f>+SUMIFS(PROVEEDORES[Total],PROVEEDORES[PROVEEDOR],PROVEEDORES[[#This Row],[PROVEEDOR]],PROVEEDORES[FECHA DE PAGO],"")</f>
        <v>2100000</v>
      </c>
      <c r="E674" s="25"/>
      <c r="F674" s="56" t="str">
        <f>+VLOOKUP(PROVEEDORES[[#This Row],[PROVEEDOR]],
                       Terceros!$A:$F,
                       5,
                       FALSE)</f>
        <v/>
      </c>
      <c r="G674" s="68">
        <v>44785</v>
      </c>
      <c r="H674" s="26" t="s">
        <v>349</v>
      </c>
      <c r="I674" s="68">
        <v>44741</v>
      </c>
      <c r="J674" s="35" t="s">
        <v>911</v>
      </c>
      <c r="K674" s="21">
        <v>2368000</v>
      </c>
      <c r="L674" s="21"/>
      <c r="M674" s="22">
        <f>(PROVEEDORES[[#This Row],[SUBTOTAL]]-PROVEEDORES[[#This Row],[descuento sobre subtotal]])*VLOOKUP(PROVEEDORES[[#This Row],[PROVEEDOR]],TERCEROS_INFO[#All],3,FALSE)</f>
        <v>0</v>
      </c>
      <c r="N674" s="23"/>
      <c r="O674" s="22">
        <f>+PROVEEDORES[[#This Row],[Descuento sobre subtotal %]]*(PROVEEDORES[[#This Row],[SUBTOTAL]]-PROVEEDORES[[#This Row],[descuento sobre subtotal]])</f>
        <v>0</v>
      </c>
      <c r="P674" s="74">
        <f>+IF(PROVEEDORES[[#This Row],[SUBTOTAL]]&lt;PROVEEDORES[[#This Row],[base retencion]],0,PROVEEDORES[[#This Row],[retención aplicada]])</f>
        <v>0</v>
      </c>
      <c r="Q674" s="22">
        <f>+PROVEEDORES[[#This Row],[Rete Fuente %]]*(PROVEEDORES[[#This Row],[SUBTOTAL]]-PROVEEDORES[[#This Row],[descuento sobre subtotal]])</f>
        <v>0</v>
      </c>
      <c r="R674" s="21">
        <f>+PROVEEDORES[[#This Row],[SUBTOTAL]]+PROVEEDORES[[#This Row],[IVA 19%]]-PROVEEDORES[[#This Row],[descuento sobre subtotal]]-PROVEEDORES[[#This Row],[Descuento sobre subtotal $2]]-PROVEEDORES[[#This Row],[Rete Fuente $]]</f>
        <v>2368000</v>
      </c>
      <c r="S67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63">
        <f ca="1">IF(PROVEEDORES[[#This Row],[FECHA DE PAGO]]=0,TODAY()-PROVEEDORES[[#This Row],[FECHA DE FACTURACIÓN]]-PROVEEDORES[[#This Row],[PLAZO Días]],0)</f>
        <v>0</v>
      </c>
      <c r="U674" s="104">
        <f>+VLOOKUP(PROVEEDORES[[#This Row],[PROVEEDOR]],Terceros!$A:$D,4,FALSE)</f>
        <v>0</v>
      </c>
      <c r="V674" s="105">
        <f>+YEAR(PROVEEDORES[[#This Row],[FECHA DE FACTURACIÓN]])</f>
        <v>2022</v>
      </c>
      <c r="W674" s="105">
        <f>+MATCH(PROVEEDORES[[#This Row],[año facturado]],Retenciones!$1:$1,0)</f>
        <v>5</v>
      </c>
      <c r="X674" s="106">
        <f>+VLOOKUP(PROVEEDORES[[#This Row],[ID RETENCION]],Retenciones!$A$1:$O$25,PROVEEDORES[[#This Row],[indicador de columna]],FALSE)</f>
        <v>0</v>
      </c>
      <c r="Y674" s="107">
        <f>+VLOOKUP(PROVEEDORES[[#This Row],[ID RETENCION]],Retenciones!$A$1:$O$25,2,FALSE)</f>
        <v>0</v>
      </c>
      <c r="Z674" s="116" t="b">
        <f>OR(COUNTIF(PROVEEDORES[[#This Row],[PROVEEDOR]],"*"&amp;'Palabra no opera'!$A$2&amp;"*"))</f>
        <v>0</v>
      </c>
    </row>
    <row r="675" spans="1:26" ht="22.35" customHeight="1" x14ac:dyDescent="0.3">
      <c r="A675" s="175" t="str">
        <f>+IF(PROVEEDORES[[#This Row],[FECHA DE PAGO]]=PROVEEDORES[[#This Row],[FECHA DE FACTURACIÓN]],"DE CONTADO","CRÉDITO")</f>
        <v>DE CONTADO</v>
      </c>
      <c r="B675" s="38" t="b">
        <f>+IF((PROVEEDORES[[#This Row],[FECHA DE PAGO]]-PROVEEDORES[[#This Row],[FECHA DE FACTURACIÓN]])&gt;PROVEEDORES[[#This Row],[PLAZO Días]],"PAGO VENCIDO")</f>
        <v>0</v>
      </c>
      <c r="C675" s="20">
        <f>+VLOOKUP(PROVEEDORES[[#This Row],[PROVEEDOR]],TERCEROS_INFO[#All],2,FALSE)</f>
        <v>30</v>
      </c>
      <c r="D675" s="25">
        <f>+SUMIFS(PROVEEDORES[Total],PROVEEDORES[PROVEEDOR],PROVEEDORES[[#This Row],[PROVEEDOR]],PROVEEDORES[FECHA DE PAGO],"")</f>
        <v>0</v>
      </c>
      <c r="E675" s="25"/>
      <c r="F675" s="56" t="str">
        <f>+VLOOKUP(PROVEEDORES[[#This Row],[PROVEEDOR]],
                       Terceros!$A:$F,
                       5,
                       FALSE)</f>
        <v/>
      </c>
      <c r="G675" s="68">
        <v>44785</v>
      </c>
      <c r="H675" s="26" t="s">
        <v>390</v>
      </c>
      <c r="I675" s="68">
        <v>44785</v>
      </c>
      <c r="J675" s="35"/>
      <c r="K675" s="21">
        <v>1000000</v>
      </c>
      <c r="L675" s="21"/>
      <c r="M675" s="22">
        <f>(PROVEEDORES[[#This Row],[SUBTOTAL]]-PROVEEDORES[[#This Row],[descuento sobre subtotal]])*VLOOKUP(PROVEEDORES[[#This Row],[PROVEEDOR]],TERCEROS_INFO[#All],3,FALSE)</f>
        <v>0</v>
      </c>
      <c r="N675" s="23"/>
      <c r="O675" s="22">
        <f>+PROVEEDORES[[#This Row],[Descuento sobre subtotal %]]*(PROVEEDORES[[#This Row],[SUBTOTAL]]-PROVEEDORES[[#This Row],[descuento sobre subtotal]])</f>
        <v>0</v>
      </c>
      <c r="P675" s="74">
        <f>+IF(PROVEEDORES[[#This Row],[SUBTOTAL]]&lt;PROVEEDORES[[#This Row],[base retencion]],0,PROVEEDORES[[#This Row],[retención aplicada]])</f>
        <v>0</v>
      </c>
      <c r="Q675" s="22">
        <f>+PROVEEDORES[[#This Row],[Rete Fuente %]]*(PROVEEDORES[[#This Row],[SUBTOTAL]]-PROVEEDORES[[#This Row],[descuento sobre subtotal]])</f>
        <v>0</v>
      </c>
      <c r="R67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675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63">
        <f ca="1">IF(PROVEEDORES[[#This Row],[FECHA DE PAGO]]=0,TODAY()-PROVEEDORES[[#This Row],[FECHA DE FACTURACIÓN]]-PROVEEDORES[[#This Row],[PLAZO Días]],0)</f>
        <v>0</v>
      </c>
      <c r="U675" s="104">
        <f>+VLOOKUP(PROVEEDORES[[#This Row],[PROVEEDOR]],Terceros!$A:$D,4,FALSE)</f>
        <v>0</v>
      </c>
      <c r="V675" s="105">
        <f>+YEAR(PROVEEDORES[[#This Row],[FECHA DE FACTURACIÓN]])</f>
        <v>2022</v>
      </c>
      <c r="W675" s="105">
        <f>+MATCH(PROVEEDORES[[#This Row],[año facturado]],Retenciones!$1:$1,0)</f>
        <v>5</v>
      </c>
      <c r="X675" s="106">
        <f>+VLOOKUP(PROVEEDORES[[#This Row],[ID RETENCION]],Retenciones!$A$1:$O$25,PROVEEDORES[[#This Row],[indicador de columna]],FALSE)</f>
        <v>0</v>
      </c>
      <c r="Y675" s="107">
        <f>+VLOOKUP(PROVEEDORES[[#This Row],[ID RETENCION]],Retenciones!$A$1:$O$25,2,FALSE)</f>
        <v>0</v>
      </c>
      <c r="Z675" s="116" t="b">
        <f>OR(COUNTIF(PROVEEDORES[[#This Row],[PROVEEDOR]],"*"&amp;'Palabra no opera'!$A$2&amp;"*"))</f>
        <v>0</v>
      </c>
    </row>
    <row r="676" spans="1:26" ht="22.35" customHeight="1" x14ac:dyDescent="0.3">
      <c r="A676" s="163" t="str">
        <f>+IF(PROVEEDORES[[#This Row],[FECHA DE PAGO]]=PROVEEDORES[[#This Row],[FECHA DE FACTURACIÓN]],"DE CONTADO","CRÉDITO")</f>
        <v>CRÉDITO</v>
      </c>
      <c r="B676" s="38" t="str">
        <f>+IF((PROVEEDORES[[#This Row],[FECHA DE PAGO]]-PROVEEDORES[[#This Row],[FECHA DE FACTURACIÓN]])&gt;PROVEEDORES[[#This Row],[PLAZO Días]],"PAGO VENCIDO")</f>
        <v>PAGO VENCIDO</v>
      </c>
      <c r="C676" s="20">
        <f>+VLOOKUP(PROVEEDORES[[#This Row],[PROVEEDOR]],TERCEROS_INFO[#All],2,FALSE)</f>
        <v>30</v>
      </c>
      <c r="D676" s="25">
        <f>+SUMIFS(PROVEEDORES[Total],PROVEEDORES[PROVEEDOR],PROVEEDORES[[#This Row],[PROVEEDOR]],PROVEEDORES[FECHA DE PAGO],"")</f>
        <v>0</v>
      </c>
      <c r="E676" s="25"/>
      <c r="F676" s="56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676" s="68">
        <v>44786</v>
      </c>
      <c r="H676" s="26" t="s">
        <v>352</v>
      </c>
      <c r="I676" s="68">
        <v>44751</v>
      </c>
      <c r="J676" s="35" t="s">
        <v>1046</v>
      </c>
      <c r="K676" s="21">
        <v>1492400</v>
      </c>
      <c r="L676" s="21"/>
      <c r="M676" s="22">
        <f>(PROVEEDORES[[#This Row],[SUBTOTAL]]-PROVEEDORES[[#This Row],[descuento sobre subtotal]])*VLOOKUP(PROVEEDORES[[#This Row],[PROVEEDOR]],TERCEROS_INFO[#All],3,FALSE)</f>
        <v>0</v>
      </c>
      <c r="N676" s="23"/>
      <c r="O676" s="22">
        <f>+PROVEEDORES[[#This Row],[Descuento sobre subtotal %]]*(PROVEEDORES[[#This Row],[SUBTOTAL]]-PROVEEDORES[[#This Row],[descuento sobre subtotal]])</f>
        <v>0</v>
      </c>
      <c r="P676" s="74">
        <f>+IF(PROVEEDORES[[#This Row],[SUBTOTAL]]&lt;PROVEEDORES[[#This Row],[base retencion]],0,PROVEEDORES[[#This Row],[retención aplicada]])</f>
        <v>0</v>
      </c>
      <c r="Q676" s="22">
        <f>+PROVEEDORES[[#This Row],[Rete Fuente %]]*(PROVEEDORES[[#This Row],[SUBTOTAL]]-PROVEEDORES[[#This Row],[descuento sobre subtotal]])</f>
        <v>0</v>
      </c>
      <c r="R676" s="21">
        <f>+PROVEEDORES[[#This Row],[SUBTOTAL]]+PROVEEDORES[[#This Row],[IVA 19%]]-PROVEEDORES[[#This Row],[descuento sobre subtotal]]-PROVEEDORES[[#This Row],[Descuento sobre subtotal $2]]-PROVEEDORES[[#This Row],[Rete Fuente $]]</f>
        <v>1492400</v>
      </c>
      <c r="S676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63">
        <f ca="1">IF(PROVEEDORES[[#This Row],[FECHA DE PAGO]]=0,TODAY()-PROVEEDORES[[#This Row],[FECHA DE FACTURACIÓN]]-PROVEEDORES[[#This Row],[PLAZO Días]],0)</f>
        <v>0</v>
      </c>
      <c r="U676" s="104">
        <f>+VLOOKUP(PROVEEDORES[[#This Row],[PROVEEDOR]],Terceros!$A:$D,4,FALSE)</f>
        <v>0</v>
      </c>
      <c r="V676" s="105">
        <f>+YEAR(PROVEEDORES[[#This Row],[FECHA DE FACTURACIÓN]])</f>
        <v>2022</v>
      </c>
      <c r="W676" s="105">
        <f>+MATCH(PROVEEDORES[[#This Row],[año facturado]],Retenciones!$1:$1,0)</f>
        <v>5</v>
      </c>
      <c r="X676" s="106">
        <f>+VLOOKUP(PROVEEDORES[[#This Row],[ID RETENCION]],Retenciones!$A$1:$O$25,PROVEEDORES[[#This Row],[indicador de columna]],FALSE)</f>
        <v>0</v>
      </c>
      <c r="Y676" s="107">
        <f>+VLOOKUP(PROVEEDORES[[#This Row],[ID RETENCION]],Retenciones!$A$1:$O$25,2,FALSE)</f>
        <v>0</v>
      </c>
      <c r="Z676" s="116" t="b">
        <f>OR(COUNTIF(PROVEEDORES[[#This Row],[PROVEEDOR]],"*"&amp;'Palabra no opera'!$A$2&amp;"*"))</f>
        <v>0</v>
      </c>
    </row>
    <row r="677" spans="1:26" ht="22.35" customHeight="1" x14ac:dyDescent="0.3">
      <c r="A677" s="182" t="str">
        <f>+IF(PROVEEDORES[[#This Row],[FECHA DE PAGO]]=PROVEEDORES[[#This Row],[FECHA DE FACTURACIÓN]],"DE CONTADO","CRÉDITO")</f>
        <v>CRÉDITO</v>
      </c>
      <c r="B677" s="38" t="b">
        <f>+IF((PROVEEDORES[[#This Row],[FECHA DE PAGO]]-PROVEEDORES[[#This Row],[FECHA DE FACTURACIÓN]])&gt;PROVEEDORES[[#This Row],[PLAZO Días]],"PAGO VENCIDO")</f>
        <v>0</v>
      </c>
      <c r="C677" s="20">
        <f>+VLOOKUP(PROVEEDORES[[#This Row],[PROVEEDOR]],TERCEROS_INFO[#All],2,FALSE)</f>
        <v>30</v>
      </c>
      <c r="D677" s="25">
        <f>+SUMIFS(PROVEEDORES[Total],PROVEEDORES[PROVEEDOR],PROVEEDORES[[#This Row],[PROVEEDOR]],PROVEEDORES[FECHA DE PAGO],"")</f>
        <v>0</v>
      </c>
      <c r="E677" s="25"/>
      <c r="F677" s="56" t="str">
        <f>+VLOOKUP(PROVEEDORES[[#This Row],[PROVEEDOR]],
                       Terceros!$A:$F,
                       5,
                       FALSE)</f>
        <v/>
      </c>
      <c r="G677" s="68">
        <v>44788</v>
      </c>
      <c r="H677" s="26" t="s">
        <v>356</v>
      </c>
      <c r="I677" s="68">
        <v>44781</v>
      </c>
      <c r="J677" s="35" t="s">
        <v>949</v>
      </c>
      <c r="K677" s="21">
        <v>6240000</v>
      </c>
      <c r="L677" s="21"/>
      <c r="M677" s="22">
        <f>(PROVEEDORES[[#This Row],[SUBTOTAL]]-PROVEEDORES[[#This Row],[descuento sobre subtotal]])*VLOOKUP(PROVEEDORES[[#This Row],[PROVEEDOR]],TERCEROS_INFO[#All],3,FALSE)</f>
        <v>0</v>
      </c>
      <c r="N677" s="23"/>
      <c r="O677" s="22">
        <f>+PROVEEDORES[[#This Row],[Descuento sobre subtotal %]]*(PROVEEDORES[[#This Row],[SUBTOTAL]]-PROVEEDORES[[#This Row],[descuento sobre subtotal]])</f>
        <v>0</v>
      </c>
      <c r="P677" s="74">
        <f>+IF(PROVEEDORES[[#This Row],[SUBTOTAL]]&lt;PROVEEDORES[[#This Row],[base retencion]],0,PROVEEDORES[[#This Row],[retención aplicada]])</f>
        <v>0</v>
      </c>
      <c r="Q677" s="22">
        <f>+PROVEEDORES[[#This Row],[Rete Fuente %]]*(PROVEEDORES[[#This Row],[SUBTOTAL]]-PROVEEDORES[[#This Row],[descuento sobre subtotal]])</f>
        <v>0</v>
      </c>
      <c r="R677" s="21">
        <f>+PROVEEDORES[[#This Row],[SUBTOTAL]]+PROVEEDORES[[#This Row],[IVA 19%]]-PROVEEDORES[[#This Row],[descuento sobre subtotal]]-PROVEEDORES[[#This Row],[Descuento sobre subtotal $2]]-PROVEEDORES[[#This Row],[Rete Fuente $]]</f>
        <v>6240000</v>
      </c>
      <c r="S67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63">
        <f ca="1">IF(PROVEEDORES[[#This Row],[FECHA DE PAGO]]=0,TODAY()-PROVEEDORES[[#This Row],[FECHA DE FACTURACIÓN]]-PROVEEDORES[[#This Row],[PLAZO Días]],0)</f>
        <v>0</v>
      </c>
      <c r="U677" s="104">
        <f>+VLOOKUP(PROVEEDORES[[#This Row],[PROVEEDOR]],Terceros!$A:$D,4,FALSE)</f>
        <v>0</v>
      </c>
      <c r="V677" s="105">
        <f>+YEAR(PROVEEDORES[[#This Row],[FECHA DE FACTURACIÓN]])</f>
        <v>2022</v>
      </c>
      <c r="W677" s="105">
        <f>+MATCH(PROVEEDORES[[#This Row],[año facturado]],Retenciones!$1:$1,0)</f>
        <v>5</v>
      </c>
      <c r="X677" s="106">
        <f>+VLOOKUP(PROVEEDORES[[#This Row],[ID RETENCION]],Retenciones!$A$1:$O$25,PROVEEDORES[[#This Row],[indicador de columna]],FALSE)</f>
        <v>0</v>
      </c>
      <c r="Y677" s="107">
        <f>+VLOOKUP(PROVEEDORES[[#This Row],[ID RETENCION]],Retenciones!$A$1:$O$25,2,FALSE)</f>
        <v>0</v>
      </c>
      <c r="Z677" s="116" t="b">
        <f>OR(COUNTIF(PROVEEDORES[[#This Row],[PROVEEDOR]],"*"&amp;'Palabra no opera'!$A$2&amp;"*"))</f>
        <v>0</v>
      </c>
    </row>
    <row r="678" spans="1:26" ht="22.35" customHeight="1" x14ac:dyDescent="0.3">
      <c r="A678" s="171" t="str">
        <f>+IF(PROVEEDORES[[#This Row],[FECHA DE PAGO]]=PROVEEDORES[[#This Row],[FECHA DE FACTURACIÓN]],"DE CONTADO","CRÉDITO")</f>
        <v>CRÉDITO</v>
      </c>
      <c r="B678" s="38" t="b">
        <f>+IF((PROVEEDORES[[#This Row],[FECHA DE PAGO]]-PROVEEDORES[[#This Row],[FECHA DE FACTURACIÓN]])&gt;PROVEEDORES[[#This Row],[PLAZO Días]],"PAGO VENCIDO")</f>
        <v>0</v>
      </c>
      <c r="C678" s="20">
        <f>+VLOOKUP(PROVEEDORES[[#This Row],[PROVEEDOR]],TERCEROS_INFO[#All],2,FALSE)</f>
        <v>30</v>
      </c>
      <c r="D678" s="25">
        <f>+SUMIFS(PROVEEDORES[Total],PROVEEDORES[PROVEEDOR],PROVEEDORES[[#This Row],[PROVEEDOR]],PROVEEDORES[FECHA DE PAGO],"")</f>
        <v>0</v>
      </c>
      <c r="E678" s="25"/>
      <c r="F678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78" s="68">
        <v>44789</v>
      </c>
      <c r="H678" s="26" t="s">
        <v>967</v>
      </c>
      <c r="I678" s="68">
        <v>44781</v>
      </c>
      <c r="J678" s="35">
        <v>257</v>
      </c>
      <c r="K678" s="21">
        <v>423000</v>
      </c>
      <c r="L678" s="21"/>
      <c r="M678" s="22">
        <f>(PROVEEDORES[[#This Row],[SUBTOTAL]]-PROVEEDORES[[#This Row],[descuento sobre subtotal]])*VLOOKUP(PROVEEDORES[[#This Row],[PROVEEDOR]],TERCEROS_INFO[#All],3,FALSE)</f>
        <v>0</v>
      </c>
      <c r="N678" s="23"/>
      <c r="O678" s="22">
        <f>+PROVEEDORES[[#This Row],[Descuento sobre subtotal %]]*(PROVEEDORES[[#This Row],[SUBTOTAL]]-PROVEEDORES[[#This Row],[descuento sobre subtotal]])</f>
        <v>0</v>
      </c>
      <c r="P678" s="74">
        <f>+IF(PROVEEDORES[[#This Row],[SUBTOTAL]]&lt;PROVEEDORES[[#This Row],[base retencion]],0,PROVEEDORES[[#This Row],[retención aplicada]])</f>
        <v>0.01</v>
      </c>
      <c r="Q678" s="22">
        <f>+PROVEEDORES[[#This Row],[Rete Fuente %]]*(PROVEEDORES[[#This Row],[SUBTOTAL]]-PROVEEDORES[[#This Row],[descuento sobre subtotal]])</f>
        <v>4230</v>
      </c>
      <c r="R678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678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63">
        <f ca="1">IF(PROVEEDORES[[#This Row],[FECHA DE PAGO]]=0,TODAY()-PROVEEDORES[[#This Row],[FECHA DE FACTURACIÓN]]-PROVEEDORES[[#This Row],[PLAZO Días]],0)</f>
        <v>0</v>
      </c>
      <c r="U678" s="104" t="str">
        <f>+VLOOKUP(PROVEEDORES[[#This Row],[PROVEEDOR]],Terceros!$A:$D,4,FALSE)</f>
        <v>1% con base</v>
      </c>
      <c r="V678" s="105">
        <f>+YEAR(PROVEEDORES[[#This Row],[FECHA DE FACTURACIÓN]])</f>
        <v>2022</v>
      </c>
      <c r="W678" s="105">
        <f>+MATCH(PROVEEDORES[[#This Row],[año facturado]],Retenciones!$1:$1,0)</f>
        <v>5</v>
      </c>
      <c r="X678" s="106">
        <f>+VLOOKUP(PROVEEDORES[[#This Row],[ID RETENCION]],Retenciones!$A$1:$O$25,PROVEEDORES[[#This Row],[indicador de columna]],FALSE)</f>
        <v>152000</v>
      </c>
      <c r="Y678" s="107">
        <f>+VLOOKUP(PROVEEDORES[[#This Row],[ID RETENCION]],Retenciones!$A$1:$O$25,2,FALSE)</f>
        <v>0.01</v>
      </c>
      <c r="Z678" s="116" t="b">
        <f>OR(COUNTIF(PROVEEDORES[[#This Row],[PROVEEDOR]],"*"&amp;'Palabra no opera'!$A$2&amp;"*"))</f>
        <v>0</v>
      </c>
    </row>
    <row r="679" spans="1:26" ht="22.35" customHeight="1" x14ac:dyDescent="0.3">
      <c r="A679" s="171" t="str">
        <f>+IF(PROVEEDORES[[#This Row],[FECHA DE PAGO]]=PROVEEDORES[[#This Row],[FECHA DE FACTURACIÓN]],"DE CONTADO","CRÉDITO")</f>
        <v>CRÉDITO</v>
      </c>
      <c r="B679" s="38" t="b">
        <f>+IF((PROVEEDORES[[#This Row],[FECHA DE PAGO]]-PROVEEDORES[[#This Row],[FECHA DE FACTURACIÓN]])&gt;PROVEEDORES[[#This Row],[PLAZO Días]],"PAGO VENCIDO")</f>
        <v>0</v>
      </c>
      <c r="C679" s="20">
        <f>+VLOOKUP(PROVEEDORES[[#This Row],[PROVEEDOR]],TERCEROS_INFO[#All],2,FALSE)</f>
        <v>30</v>
      </c>
      <c r="D679" s="25">
        <f>+SUMIFS(PROVEEDORES[Total],PROVEEDORES[PROVEEDOR],PROVEEDORES[[#This Row],[PROVEEDOR]],PROVEEDORES[FECHA DE PAGO],"")</f>
        <v>0</v>
      </c>
      <c r="E679" s="25"/>
      <c r="F679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679" s="68">
        <v>44789</v>
      </c>
      <c r="H679" s="26" t="s">
        <v>628</v>
      </c>
      <c r="I679" s="68">
        <v>44774</v>
      </c>
      <c r="J679" s="35">
        <v>11167</v>
      </c>
      <c r="K679" s="21">
        <v>1649859</v>
      </c>
      <c r="L679" s="21"/>
      <c r="M679" s="22">
        <f>(PROVEEDORES[[#This Row],[SUBTOTAL]]-PROVEEDORES[[#This Row],[descuento sobre subtotal]])*VLOOKUP(PROVEEDORES[[#This Row],[PROVEEDOR]],TERCEROS_INFO[#All],3,FALSE)</f>
        <v>0</v>
      </c>
      <c r="N679" s="23"/>
      <c r="O679" s="22">
        <v>272331</v>
      </c>
      <c r="P679" s="74">
        <f>+IF(PROVEEDORES[[#This Row],[SUBTOTAL]]&lt;PROVEEDORES[[#This Row],[base retencion]],0,PROVEEDORES[[#This Row],[retención aplicada]])</f>
        <v>0</v>
      </c>
      <c r="Q679" s="22">
        <f>+PROVEEDORES[[#This Row],[Rete Fuente %]]*(PROVEEDORES[[#This Row],[SUBTOTAL]]-PROVEEDORES[[#This Row],[descuento sobre subtotal]])</f>
        <v>0</v>
      </c>
      <c r="R679" s="21">
        <f>+PROVEEDORES[[#This Row],[SUBTOTAL]]+PROVEEDORES[[#This Row],[IVA 19%]]-PROVEEDORES[[#This Row],[descuento sobre subtotal]]-PROVEEDORES[[#This Row],[Descuento sobre subtotal $2]]-PROVEEDORES[[#This Row],[Rete Fuente $]]</f>
        <v>1377528</v>
      </c>
      <c r="S679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63">
        <f ca="1">IF(PROVEEDORES[[#This Row],[FECHA DE PAGO]]=0,TODAY()-PROVEEDORES[[#This Row],[FECHA DE FACTURACIÓN]]-PROVEEDORES[[#This Row],[PLAZO Días]],0)</f>
        <v>0</v>
      </c>
      <c r="U679" s="104">
        <f>+VLOOKUP(PROVEEDORES[[#This Row],[PROVEEDOR]],Terceros!$A:$D,4,FALSE)</f>
        <v>0</v>
      </c>
      <c r="V679" s="105">
        <f>+YEAR(PROVEEDORES[[#This Row],[FECHA DE FACTURACIÓN]])</f>
        <v>2022</v>
      </c>
      <c r="W679" s="105">
        <f>+MATCH(PROVEEDORES[[#This Row],[año facturado]],Retenciones!$1:$1,0)</f>
        <v>5</v>
      </c>
      <c r="X679" s="106">
        <f>+VLOOKUP(PROVEEDORES[[#This Row],[ID RETENCION]],Retenciones!$A$1:$O$25,PROVEEDORES[[#This Row],[indicador de columna]],FALSE)</f>
        <v>0</v>
      </c>
      <c r="Y679" s="107">
        <f>+VLOOKUP(PROVEEDORES[[#This Row],[ID RETENCION]],Retenciones!$A$1:$O$25,2,FALSE)</f>
        <v>0</v>
      </c>
      <c r="Z679" s="116" t="b">
        <f>OR(COUNTIF(PROVEEDORES[[#This Row],[PROVEEDOR]],"*"&amp;'Palabra no opera'!$A$2&amp;"*"))</f>
        <v>1</v>
      </c>
    </row>
    <row r="680" spans="1:26" ht="22.35" customHeight="1" x14ac:dyDescent="0.3">
      <c r="A680" s="175" t="str">
        <f>+IF(PROVEEDORES[[#This Row],[FECHA DE PAGO]]=PROVEEDORES[[#This Row],[FECHA DE FACTURACIÓN]],"DE CONTADO","CRÉDITO")</f>
        <v>CRÉDITO</v>
      </c>
      <c r="B680" s="38" t="str">
        <f>+IF((PROVEEDORES[[#This Row],[FECHA DE PAGO]]-PROVEEDORES[[#This Row],[FECHA DE FACTURACIÓN]])&gt;PROVEEDORES[[#This Row],[PLAZO Días]],"PAGO VENCIDO")</f>
        <v>PAGO VENCIDO</v>
      </c>
      <c r="C680" s="20">
        <f>+VLOOKUP(PROVEEDORES[[#This Row],[PROVEEDOR]],TERCEROS_INFO[#All],2,FALSE)</f>
        <v>30</v>
      </c>
      <c r="D680" s="25">
        <f>+SUMIFS(PROVEEDORES[Total],PROVEEDORES[PROVEEDOR],PROVEEDORES[[#This Row],[PROVEEDOR]],PROVEEDORES[FECHA DE PAGO],"")</f>
        <v>0</v>
      </c>
      <c r="E680" s="25"/>
      <c r="F680" s="56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680" s="68">
        <v>44790</v>
      </c>
      <c r="H680" s="26" t="s">
        <v>384</v>
      </c>
      <c r="I680" s="68">
        <v>44714</v>
      </c>
      <c r="J680" s="35" t="s">
        <v>1057</v>
      </c>
      <c r="K680" s="21">
        <v>475000</v>
      </c>
      <c r="L680" s="21"/>
      <c r="M680" s="22">
        <f>(PROVEEDORES[[#This Row],[SUBTOTAL]]-PROVEEDORES[[#This Row],[descuento sobre subtotal]])*VLOOKUP(PROVEEDORES[[#This Row],[PROVEEDOR]],TERCEROS_INFO[#All],3,FALSE)</f>
        <v>0</v>
      </c>
      <c r="N680" s="23"/>
      <c r="O680" s="22">
        <f>+PROVEEDORES[[#This Row],[Descuento sobre subtotal %]]*(PROVEEDORES[[#This Row],[SUBTOTAL]]-PROVEEDORES[[#This Row],[descuento sobre subtotal]])</f>
        <v>0</v>
      </c>
      <c r="P680" s="74">
        <f>+IF(PROVEEDORES[[#This Row],[SUBTOTAL]]&lt;PROVEEDORES[[#This Row],[base retencion]],0,PROVEEDORES[[#This Row],[retención aplicada]])</f>
        <v>0</v>
      </c>
      <c r="Q680" s="22">
        <f>+PROVEEDORES[[#This Row],[Rete Fuente %]]*(PROVEEDORES[[#This Row],[SUBTOTAL]]-PROVEEDORES[[#This Row],[descuento sobre subtotal]])</f>
        <v>0</v>
      </c>
      <c r="R680" s="21">
        <f>+PROVEEDORES[[#This Row],[SUBTOTAL]]+PROVEEDORES[[#This Row],[IVA 19%]]-PROVEEDORES[[#This Row],[descuento sobre subtotal]]-PROVEEDORES[[#This Row],[Descuento sobre subtotal $2]]-PROVEEDORES[[#This Row],[Rete Fuente $]]</f>
        <v>475000</v>
      </c>
      <c r="S680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63">
        <f ca="1">IF(PROVEEDORES[[#This Row],[FECHA DE PAGO]]=0,TODAY()-PROVEEDORES[[#This Row],[FECHA DE FACTURACIÓN]]-PROVEEDORES[[#This Row],[PLAZO Días]],0)</f>
        <v>0</v>
      </c>
      <c r="U680" s="104">
        <f>+VLOOKUP(PROVEEDORES[[#This Row],[PROVEEDOR]],Terceros!$A:$D,4,FALSE)</f>
        <v>0</v>
      </c>
      <c r="V680" s="105">
        <f>+YEAR(PROVEEDORES[[#This Row],[FECHA DE FACTURACIÓN]])</f>
        <v>2022</v>
      </c>
      <c r="W680" s="105">
        <f>+MATCH(PROVEEDORES[[#This Row],[año facturado]],Retenciones!$1:$1,0)</f>
        <v>5</v>
      </c>
      <c r="X680" s="106">
        <f>+VLOOKUP(PROVEEDORES[[#This Row],[ID RETENCION]],Retenciones!$A$1:$O$25,PROVEEDORES[[#This Row],[indicador de columna]],FALSE)</f>
        <v>0</v>
      </c>
      <c r="Y680" s="107">
        <f>+VLOOKUP(PROVEEDORES[[#This Row],[ID RETENCION]],Retenciones!$A$1:$O$25,2,FALSE)</f>
        <v>0</v>
      </c>
      <c r="Z680" s="116" t="b">
        <f>OR(COUNTIF(PROVEEDORES[[#This Row],[PROVEEDOR]],"*"&amp;'Palabra no opera'!$A$2&amp;"*"))</f>
        <v>0</v>
      </c>
    </row>
    <row r="681" spans="1:26" ht="22.35" customHeight="1" x14ac:dyDescent="0.3">
      <c r="A681" s="67" t="str">
        <f>+IF(PROVEEDORES[[#This Row],[FECHA DE PAGO]]=PROVEEDORES[[#This Row],[FECHA DE FACTURACIÓN]],"DE CONTADO","CRÉDITO")</f>
        <v>CRÉDITO</v>
      </c>
      <c r="B681" s="38" t="b">
        <f>+IF((PROVEEDORES[[#This Row],[FECHA DE PAGO]]-PROVEEDORES[[#This Row],[FECHA DE FACTURACIÓN]])&gt;PROVEEDORES[[#This Row],[PLAZO Días]],"PAGO VENCIDO")</f>
        <v>0</v>
      </c>
      <c r="C681" s="20">
        <f>+VLOOKUP(PROVEEDORES[[#This Row],[PROVEEDOR]],TERCEROS_INFO[#All],2,FALSE)</f>
        <v>30</v>
      </c>
      <c r="D681" s="25">
        <f>+SUMIFS(PROVEEDORES[Total],PROVEEDORES[PROVEEDOR],PROVEEDORES[[#This Row],[PROVEEDOR]],PROVEEDORES[FECHA DE PAGO],"")</f>
        <v>0</v>
      </c>
      <c r="E681" s="25"/>
      <c r="F681" s="56" t="str">
        <f>+VLOOKUP(PROVEEDORES[[#This Row],[PROVEEDOR]],
                       Terceros!$A:$F,
                       5,
                       FALSE)</f>
        <v/>
      </c>
      <c r="G681" s="68">
        <v>44790</v>
      </c>
      <c r="H681" s="26" t="s">
        <v>832</v>
      </c>
      <c r="I681" s="68">
        <v>44778</v>
      </c>
      <c r="J681" s="35" t="s">
        <v>862</v>
      </c>
      <c r="K681" s="21">
        <v>120000</v>
      </c>
      <c r="L681" s="21"/>
      <c r="M681" s="22">
        <f>(PROVEEDORES[[#This Row],[SUBTOTAL]]-PROVEEDORES[[#This Row],[descuento sobre subtotal]])*VLOOKUP(PROVEEDORES[[#This Row],[PROVEEDOR]],TERCEROS_INFO[#All],3,FALSE)</f>
        <v>0</v>
      </c>
      <c r="N681" s="23"/>
      <c r="O681" s="22">
        <f>+PROVEEDORES[[#This Row],[Descuento sobre subtotal %]]*(PROVEEDORES[[#This Row],[SUBTOTAL]]-PROVEEDORES[[#This Row],[descuento sobre subtotal]])</f>
        <v>0</v>
      </c>
      <c r="P681" s="74">
        <f>+IF(PROVEEDORES[[#This Row],[SUBTOTAL]]&lt;PROVEEDORES[[#This Row],[base retencion]],0,PROVEEDORES[[#This Row],[retención aplicada]])</f>
        <v>0</v>
      </c>
      <c r="Q681" s="22">
        <f>+PROVEEDORES[[#This Row],[Rete Fuente %]]*(PROVEEDORES[[#This Row],[SUBTOTAL]]-PROVEEDORES[[#This Row],[descuento sobre subtotal]])</f>
        <v>0</v>
      </c>
      <c r="R681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6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63">
        <f ca="1">IF(PROVEEDORES[[#This Row],[FECHA DE PAGO]]=0,TODAY()-PROVEEDORES[[#This Row],[FECHA DE FACTURACIÓN]]-PROVEEDORES[[#This Row],[PLAZO Días]],0)</f>
        <v>0</v>
      </c>
      <c r="U681" s="104">
        <f>+VLOOKUP(PROVEEDORES[[#This Row],[PROVEEDOR]],Terceros!$A:$D,4,FALSE)</f>
        <v>0</v>
      </c>
      <c r="V681" s="105">
        <f>+YEAR(PROVEEDORES[[#This Row],[FECHA DE FACTURACIÓN]])</f>
        <v>2022</v>
      </c>
      <c r="W681" s="105">
        <f>+MATCH(PROVEEDORES[[#This Row],[año facturado]],Retenciones!$1:$1,0)</f>
        <v>5</v>
      </c>
      <c r="X681" s="106">
        <f>+VLOOKUP(PROVEEDORES[[#This Row],[ID RETENCION]],Retenciones!$A$1:$O$25,PROVEEDORES[[#This Row],[indicador de columna]],FALSE)</f>
        <v>0</v>
      </c>
      <c r="Y681" s="107">
        <f>+VLOOKUP(PROVEEDORES[[#This Row],[ID RETENCION]],Retenciones!$A$1:$O$25,2,FALSE)</f>
        <v>0</v>
      </c>
      <c r="Z681" s="116" t="b">
        <f>OR(COUNTIF(PROVEEDORES[[#This Row],[PROVEEDOR]],"*"&amp;'Palabra no opera'!$A$2&amp;"*"))</f>
        <v>1</v>
      </c>
    </row>
    <row r="682" spans="1:26" ht="22.35" customHeight="1" x14ac:dyDescent="0.3">
      <c r="A682" s="67" t="str">
        <f>+IF(PROVEEDORES[[#This Row],[FECHA DE PAGO]]=PROVEEDORES[[#This Row],[FECHA DE FACTURACIÓN]],"DE CONTADO","CRÉDITO")</f>
        <v>CRÉDITO</v>
      </c>
      <c r="B682" s="38" t="b">
        <f>+IF((PROVEEDORES[[#This Row],[FECHA DE PAGO]]-PROVEEDORES[[#This Row],[FECHA DE FACTURACIÓN]])&gt;PROVEEDORES[[#This Row],[PLAZO Días]],"PAGO VENCIDO")</f>
        <v>0</v>
      </c>
      <c r="C682" s="20">
        <f>+VLOOKUP(PROVEEDORES[[#This Row],[PROVEEDOR]],TERCEROS_INFO[#All],2,FALSE)</f>
        <v>30</v>
      </c>
      <c r="D682" s="25">
        <f>+SUMIFS(PROVEEDORES[Total],PROVEEDORES[PROVEEDOR],PROVEEDORES[[#This Row],[PROVEEDOR]],PROVEEDORES[FECHA DE PAGO],"")</f>
        <v>0</v>
      </c>
      <c r="E682" s="25"/>
      <c r="F682" s="56" t="str">
        <f>+VLOOKUP(PROVEEDORES[[#This Row],[PROVEEDOR]],
                       Terceros!$A:$F,
                       5,
                       FALSE)</f>
        <v/>
      </c>
      <c r="G682" s="68">
        <v>44790</v>
      </c>
      <c r="H682" s="26" t="s">
        <v>832</v>
      </c>
      <c r="I682" s="68">
        <v>44778</v>
      </c>
      <c r="J682" s="35" t="s">
        <v>862</v>
      </c>
      <c r="K682" s="21">
        <v>240000</v>
      </c>
      <c r="L682" s="21"/>
      <c r="M682" s="22">
        <f>(PROVEEDORES[[#This Row],[SUBTOTAL]]-PROVEEDORES[[#This Row],[descuento sobre subtotal]])*VLOOKUP(PROVEEDORES[[#This Row],[PROVEEDOR]],TERCEROS_INFO[#All],3,FALSE)</f>
        <v>0</v>
      </c>
      <c r="N682" s="23"/>
      <c r="O682" s="22">
        <f>+PROVEEDORES[[#This Row],[Descuento sobre subtotal %]]*(PROVEEDORES[[#This Row],[SUBTOTAL]]-PROVEEDORES[[#This Row],[descuento sobre subtotal]])</f>
        <v>0</v>
      </c>
      <c r="P682" s="74">
        <f>+IF(PROVEEDORES[[#This Row],[SUBTOTAL]]&lt;PROVEEDORES[[#This Row],[base retencion]],0,PROVEEDORES[[#This Row],[retención aplicada]])</f>
        <v>0</v>
      </c>
      <c r="Q682" s="22">
        <f>+PROVEEDORES[[#This Row],[Rete Fuente %]]*(PROVEEDORES[[#This Row],[SUBTOTAL]]-PROVEEDORES[[#This Row],[descuento sobre subtotal]])</f>
        <v>0</v>
      </c>
      <c r="R682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6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63">
        <f ca="1">IF(PROVEEDORES[[#This Row],[FECHA DE PAGO]]=0,TODAY()-PROVEEDORES[[#This Row],[FECHA DE FACTURACIÓN]]-PROVEEDORES[[#This Row],[PLAZO Días]],0)</f>
        <v>0</v>
      </c>
      <c r="U682" s="104">
        <f>+VLOOKUP(PROVEEDORES[[#This Row],[PROVEEDOR]],Terceros!$A:$D,4,FALSE)</f>
        <v>0</v>
      </c>
      <c r="V682" s="105">
        <f>+YEAR(PROVEEDORES[[#This Row],[FECHA DE FACTURACIÓN]])</f>
        <v>2022</v>
      </c>
      <c r="W682" s="105">
        <f>+MATCH(PROVEEDORES[[#This Row],[año facturado]],Retenciones!$1:$1,0)</f>
        <v>5</v>
      </c>
      <c r="X682" s="106">
        <f>+VLOOKUP(PROVEEDORES[[#This Row],[ID RETENCION]],Retenciones!$A$1:$O$25,PROVEEDORES[[#This Row],[indicador de columna]],FALSE)</f>
        <v>0</v>
      </c>
      <c r="Y682" s="107">
        <f>+VLOOKUP(PROVEEDORES[[#This Row],[ID RETENCION]],Retenciones!$A$1:$O$25,2,FALSE)</f>
        <v>0</v>
      </c>
      <c r="Z682" s="116" t="b">
        <f>OR(COUNTIF(PROVEEDORES[[#This Row],[PROVEEDOR]],"*"&amp;'Palabra no opera'!$A$2&amp;"*"))</f>
        <v>1</v>
      </c>
    </row>
    <row r="683" spans="1:26" ht="22.35" customHeight="1" x14ac:dyDescent="0.3">
      <c r="A683" s="67" t="str">
        <f>+IF(PROVEEDORES[[#This Row],[FECHA DE PAGO]]=PROVEEDORES[[#This Row],[FECHA DE FACTURACIÓN]],"DE CONTADO","CRÉDITO")</f>
        <v>CRÉDITO</v>
      </c>
      <c r="B683" s="38" t="b">
        <f>+IF((PROVEEDORES[[#This Row],[FECHA DE PAGO]]-PROVEEDORES[[#This Row],[FECHA DE FACTURACIÓN]])&gt;PROVEEDORES[[#This Row],[PLAZO Días]],"PAGO VENCIDO")</f>
        <v>0</v>
      </c>
      <c r="C683" s="20">
        <f>+VLOOKUP(PROVEEDORES[[#This Row],[PROVEEDOR]],TERCEROS_INFO[#All],2,FALSE)</f>
        <v>30</v>
      </c>
      <c r="D683" s="25">
        <f>+SUMIFS(PROVEEDORES[Total],PROVEEDORES[PROVEEDOR],PROVEEDORES[[#This Row],[PROVEEDOR]],PROVEEDORES[FECHA DE PAGO],"")</f>
        <v>0</v>
      </c>
      <c r="E683" s="25"/>
      <c r="F683" s="56" t="str">
        <f>+VLOOKUP(PROVEEDORES[[#This Row],[PROVEEDOR]],
                       Terceros!$A:$F,
                       5,
                       FALSE)</f>
        <v/>
      </c>
      <c r="G683" s="68">
        <v>44790</v>
      </c>
      <c r="H683" s="26" t="s">
        <v>832</v>
      </c>
      <c r="I683" s="68">
        <v>44778</v>
      </c>
      <c r="J683" s="35" t="s">
        <v>862</v>
      </c>
      <c r="K683" s="21">
        <v>697250</v>
      </c>
      <c r="L683" s="21"/>
      <c r="M683" s="22">
        <f>(PROVEEDORES[[#This Row],[SUBTOTAL]]-PROVEEDORES[[#This Row],[descuento sobre subtotal]])*VLOOKUP(PROVEEDORES[[#This Row],[PROVEEDOR]],TERCEROS_INFO[#All],3,FALSE)</f>
        <v>0</v>
      </c>
      <c r="N683" s="23"/>
      <c r="O683" s="22">
        <f>+PROVEEDORES[[#This Row],[Descuento sobre subtotal %]]*(PROVEEDORES[[#This Row],[SUBTOTAL]]-PROVEEDORES[[#This Row],[descuento sobre subtotal]])</f>
        <v>0</v>
      </c>
      <c r="P683" s="74">
        <f>+IF(PROVEEDORES[[#This Row],[SUBTOTAL]]&lt;PROVEEDORES[[#This Row],[base retencion]],0,PROVEEDORES[[#This Row],[retención aplicada]])</f>
        <v>0</v>
      </c>
      <c r="Q683" s="22">
        <f>+PROVEEDORES[[#This Row],[Rete Fuente %]]*(PROVEEDORES[[#This Row],[SUBTOTAL]]-PROVEEDORES[[#This Row],[descuento sobre subtotal]])</f>
        <v>0</v>
      </c>
      <c r="R683" s="21">
        <f>+PROVEEDORES[[#This Row],[SUBTOTAL]]+PROVEEDORES[[#This Row],[IVA 19%]]-PROVEEDORES[[#This Row],[descuento sobre subtotal]]-PROVEEDORES[[#This Row],[Descuento sobre subtotal $2]]-PROVEEDORES[[#This Row],[Rete Fuente $]]</f>
        <v>697250</v>
      </c>
      <c r="S6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63">
        <f ca="1">IF(PROVEEDORES[[#This Row],[FECHA DE PAGO]]=0,TODAY()-PROVEEDORES[[#This Row],[FECHA DE FACTURACIÓN]]-PROVEEDORES[[#This Row],[PLAZO Días]],0)</f>
        <v>0</v>
      </c>
      <c r="U683" s="104">
        <f>+VLOOKUP(PROVEEDORES[[#This Row],[PROVEEDOR]],Terceros!$A:$D,4,FALSE)</f>
        <v>0</v>
      </c>
      <c r="V683" s="105">
        <f>+YEAR(PROVEEDORES[[#This Row],[FECHA DE FACTURACIÓN]])</f>
        <v>2022</v>
      </c>
      <c r="W683" s="105">
        <f>+MATCH(PROVEEDORES[[#This Row],[año facturado]],Retenciones!$1:$1,0)</f>
        <v>5</v>
      </c>
      <c r="X683" s="106">
        <f>+VLOOKUP(PROVEEDORES[[#This Row],[ID RETENCION]],Retenciones!$A$1:$O$25,PROVEEDORES[[#This Row],[indicador de columna]],FALSE)</f>
        <v>0</v>
      </c>
      <c r="Y683" s="107">
        <f>+VLOOKUP(PROVEEDORES[[#This Row],[ID RETENCION]],Retenciones!$A$1:$O$25,2,FALSE)</f>
        <v>0</v>
      </c>
      <c r="Z683" s="116" t="b">
        <f>OR(COUNTIF(PROVEEDORES[[#This Row],[PROVEEDOR]],"*"&amp;'Palabra no opera'!$A$2&amp;"*"))</f>
        <v>1</v>
      </c>
    </row>
    <row r="684" spans="1:26" ht="22.35" customHeight="1" x14ac:dyDescent="0.3">
      <c r="A684" s="171" t="str">
        <f>+IF(PROVEEDORES[[#This Row],[FECHA DE PAGO]]=PROVEEDORES[[#This Row],[FECHA DE FACTURACIÓN]],"DE CONTADO","CRÉDITO")</f>
        <v>CRÉDITO</v>
      </c>
      <c r="B684" s="38" t="b">
        <f>+IF((PROVEEDORES[[#This Row],[FECHA DE PAGO]]-PROVEEDORES[[#This Row],[FECHA DE FACTURACIÓN]])&gt;PROVEEDORES[[#This Row],[PLAZO Días]],"PAGO VENCIDO")</f>
        <v>0</v>
      </c>
      <c r="C684" s="20">
        <f>+VLOOKUP(PROVEEDORES[[#This Row],[PROVEEDOR]],TERCEROS_INFO[#All],2,FALSE)</f>
        <v>30</v>
      </c>
      <c r="D684" s="25">
        <f>+SUMIFS(PROVEEDORES[Total],PROVEEDORES[PROVEEDOR],PROVEEDORES[[#This Row],[PROVEEDOR]],PROVEEDORES[FECHA DE PAGO],"")</f>
        <v>0</v>
      </c>
      <c r="E684" s="25"/>
      <c r="F684" s="56" t="str">
        <f>+VLOOKUP(PROVEEDORES[[#This Row],[PROVEEDOR]],
                       Terceros!$A:$F,
                       5,
                       FALSE)</f>
        <v/>
      </c>
      <c r="G684" s="68">
        <v>44790</v>
      </c>
      <c r="H684" s="26" t="s">
        <v>397</v>
      </c>
      <c r="I684" s="68">
        <v>44776</v>
      </c>
      <c r="J684" s="35"/>
      <c r="K684" s="21">
        <v>480000</v>
      </c>
      <c r="L684" s="21"/>
      <c r="M684" s="22">
        <f>(PROVEEDORES[[#This Row],[SUBTOTAL]]-PROVEEDORES[[#This Row],[descuento sobre subtotal]])*VLOOKUP(PROVEEDORES[[#This Row],[PROVEEDOR]],TERCEROS_INFO[#All],3,FALSE)</f>
        <v>0</v>
      </c>
      <c r="N684" s="23"/>
      <c r="O684" s="22">
        <f>+PROVEEDORES[[#This Row],[Descuento sobre subtotal %]]*(PROVEEDORES[[#This Row],[SUBTOTAL]]-PROVEEDORES[[#This Row],[descuento sobre subtotal]])</f>
        <v>0</v>
      </c>
      <c r="P684" s="74">
        <f>+IF(PROVEEDORES[[#This Row],[SUBTOTAL]]&lt;PROVEEDORES[[#This Row],[base retencion]],0,PROVEEDORES[[#This Row],[retención aplicada]])</f>
        <v>0</v>
      </c>
      <c r="Q684" s="22">
        <f>+PROVEEDORES[[#This Row],[Rete Fuente %]]*(PROVEEDORES[[#This Row],[SUBTOTAL]]-PROVEEDORES[[#This Row],[descuento sobre subtotal]])</f>
        <v>0</v>
      </c>
      <c r="R684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84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63">
        <f ca="1">IF(PROVEEDORES[[#This Row],[FECHA DE PAGO]]=0,TODAY()-PROVEEDORES[[#This Row],[FECHA DE FACTURACIÓN]]-PROVEEDORES[[#This Row],[PLAZO Días]],0)</f>
        <v>0</v>
      </c>
      <c r="U684" s="104">
        <f>+VLOOKUP(PROVEEDORES[[#This Row],[PROVEEDOR]],Terceros!$A:$D,4,FALSE)</f>
        <v>0</v>
      </c>
      <c r="V684" s="105">
        <f>+YEAR(PROVEEDORES[[#This Row],[FECHA DE FACTURACIÓN]])</f>
        <v>2022</v>
      </c>
      <c r="W684" s="105">
        <f>+MATCH(PROVEEDORES[[#This Row],[año facturado]],Retenciones!$1:$1,0)</f>
        <v>5</v>
      </c>
      <c r="X684" s="106">
        <f>+VLOOKUP(PROVEEDORES[[#This Row],[ID RETENCION]],Retenciones!$A$1:$O$25,PROVEEDORES[[#This Row],[indicador de columna]],FALSE)</f>
        <v>0</v>
      </c>
      <c r="Y684" s="107">
        <f>+VLOOKUP(PROVEEDORES[[#This Row],[ID RETENCION]],Retenciones!$A$1:$O$25,2,FALSE)</f>
        <v>0</v>
      </c>
      <c r="Z684" s="116" t="b">
        <f>OR(COUNTIF(PROVEEDORES[[#This Row],[PROVEEDOR]],"*"&amp;'Palabra no opera'!$A$2&amp;"*"))</f>
        <v>0</v>
      </c>
    </row>
    <row r="685" spans="1:26" ht="22.35" customHeight="1" x14ac:dyDescent="0.3">
      <c r="A685" s="148" t="str">
        <f>+IF(PROVEEDORES[[#This Row],[FECHA DE PAGO]]=PROVEEDORES[[#This Row],[FECHA DE FACTURACIÓN]],"DE CONTADO","CRÉDITO")</f>
        <v>CRÉDITO</v>
      </c>
      <c r="B685" s="38" t="str">
        <f>+IF((PROVEEDORES[[#This Row],[FECHA DE PAGO]]-PROVEEDORES[[#This Row],[FECHA DE FACTURACIÓN]])&gt;PROVEEDORES[[#This Row],[PLAZO Días]],"PAGO VENCIDO")</f>
        <v>PAGO VENCIDO</v>
      </c>
      <c r="C685" s="20">
        <f>+VLOOKUP(PROVEEDORES[[#This Row],[PROVEEDOR]],TERCEROS_INFO[#All],2,FALSE)</f>
        <v>30</v>
      </c>
      <c r="D685" s="25">
        <f>+SUMIFS(PROVEEDORES[Total],PROVEEDORES[PROVEEDOR],PROVEEDORES[[#This Row],[PROVEEDOR]],PROVEEDORES[FECHA DE PAGO],"")</f>
        <v>342000</v>
      </c>
      <c r="E685" s="25"/>
      <c r="F685" s="56" t="str">
        <f>+VLOOKUP(PROVEEDORES[[#This Row],[PROVEEDOR]],
                       Terceros!$A:$F,
                       5,
                       FALSE)</f>
        <v/>
      </c>
      <c r="G685" s="68">
        <v>44791</v>
      </c>
      <c r="H685" s="26" t="s">
        <v>344</v>
      </c>
      <c r="I685" s="68">
        <v>44741</v>
      </c>
      <c r="J685" s="35" t="s">
        <v>1043</v>
      </c>
      <c r="K685" s="21">
        <v>130000</v>
      </c>
      <c r="L685" s="21"/>
      <c r="M685" s="22">
        <f>(PROVEEDORES[[#This Row],[SUBTOTAL]]-PROVEEDORES[[#This Row],[descuento sobre subtotal]])*VLOOKUP(PROVEEDORES[[#This Row],[PROVEEDOR]],TERCEROS_INFO[#All],3,FALSE)</f>
        <v>0</v>
      </c>
      <c r="N685" s="23"/>
      <c r="O685" s="22">
        <f>+PROVEEDORES[[#This Row],[Descuento sobre subtotal %]]*(PROVEEDORES[[#This Row],[SUBTOTAL]]-PROVEEDORES[[#This Row],[descuento sobre subtotal]])</f>
        <v>0</v>
      </c>
      <c r="P685" s="74">
        <f>+IF(PROVEEDORES[[#This Row],[SUBTOTAL]]&lt;PROVEEDORES[[#This Row],[base retencion]],0,PROVEEDORES[[#This Row],[retención aplicada]])</f>
        <v>0</v>
      </c>
      <c r="Q685" s="22">
        <f>+PROVEEDORES[[#This Row],[Rete Fuente %]]*(PROVEEDORES[[#This Row],[SUBTOTAL]]-PROVEEDORES[[#This Row],[descuento sobre subtotal]])</f>
        <v>0</v>
      </c>
      <c r="R685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68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63">
        <f ca="1">IF(PROVEEDORES[[#This Row],[FECHA DE PAGO]]=0,TODAY()-PROVEEDORES[[#This Row],[FECHA DE FACTURACIÓN]]-PROVEEDORES[[#This Row],[PLAZO Días]],0)</f>
        <v>0</v>
      </c>
      <c r="U685" s="104">
        <f>+VLOOKUP(PROVEEDORES[[#This Row],[PROVEEDOR]],Terceros!$A:$D,4,FALSE)</f>
        <v>0</v>
      </c>
      <c r="V685" s="105">
        <f>+YEAR(PROVEEDORES[[#This Row],[FECHA DE FACTURACIÓN]])</f>
        <v>2022</v>
      </c>
      <c r="W685" s="105">
        <f>+MATCH(PROVEEDORES[[#This Row],[año facturado]],Retenciones!$1:$1,0)</f>
        <v>5</v>
      </c>
      <c r="X685" s="106">
        <f>+VLOOKUP(PROVEEDORES[[#This Row],[ID RETENCION]],Retenciones!$A$1:$O$25,PROVEEDORES[[#This Row],[indicador de columna]],FALSE)</f>
        <v>0</v>
      </c>
      <c r="Y685" s="107">
        <f>+VLOOKUP(PROVEEDORES[[#This Row],[ID RETENCION]],Retenciones!$A$1:$O$25,2,FALSE)</f>
        <v>0</v>
      </c>
      <c r="Z685" s="116" t="b">
        <f>OR(COUNTIF(PROVEEDORES[[#This Row],[PROVEEDOR]],"*"&amp;'Palabra no opera'!$A$2&amp;"*"))</f>
        <v>0</v>
      </c>
    </row>
    <row r="686" spans="1:26" ht="22.35" customHeight="1" x14ac:dyDescent="0.3">
      <c r="A686" s="182" t="str">
        <f>+IF(PROVEEDORES[[#This Row],[FECHA DE PAGO]]=PROVEEDORES[[#This Row],[FECHA DE FACTURACIÓN]],"DE CONTADO","CRÉDITO")</f>
        <v>CRÉDITO</v>
      </c>
      <c r="B686" s="38" t="b">
        <f>+IF((PROVEEDORES[[#This Row],[FECHA DE PAGO]]-PROVEEDORES[[#This Row],[FECHA DE FACTURACIÓN]])&gt;PROVEEDORES[[#This Row],[PLAZO Días]],"PAGO VENCIDO")</f>
        <v>0</v>
      </c>
      <c r="C686" s="20">
        <f>+VLOOKUP(PROVEEDORES[[#This Row],[PROVEEDOR]],TERCEROS_INFO[#All],2,FALSE)</f>
        <v>30</v>
      </c>
      <c r="D686" s="25">
        <f>+SUMIFS(PROVEEDORES[Total],PROVEEDORES[PROVEEDOR],PROVEEDORES[[#This Row],[PROVEEDOR]],PROVEEDORES[FECHA DE PAGO],"")</f>
        <v>0</v>
      </c>
      <c r="E686" s="25"/>
      <c r="F686" s="56" t="str">
        <f>+VLOOKUP(PROVEEDORES[[#This Row],[PROVEEDOR]],
                       Terceros!$A:$F,
                       5,
                       FALSE)</f>
        <v/>
      </c>
      <c r="G686" s="68">
        <v>44792</v>
      </c>
      <c r="H686" s="26" t="s">
        <v>356</v>
      </c>
      <c r="I686" s="68">
        <v>44785</v>
      </c>
      <c r="J686" s="35" t="s">
        <v>946</v>
      </c>
      <c r="K686" s="21">
        <v>4294000</v>
      </c>
      <c r="L686" s="21"/>
      <c r="M686" s="22">
        <f>(PROVEEDORES[[#This Row],[SUBTOTAL]]-PROVEEDORES[[#This Row],[descuento sobre subtotal]])*VLOOKUP(PROVEEDORES[[#This Row],[PROVEEDOR]],TERCEROS_INFO[#All],3,FALSE)</f>
        <v>0</v>
      </c>
      <c r="N686" s="23"/>
      <c r="O686" s="22">
        <f>+PROVEEDORES[[#This Row],[Descuento sobre subtotal %]]*(PROVEEDORES[[#This Row],[SUBTOTAL]]-PROVEEDORES[[#This Row],[descuento sobre subtotal]])</f>
        <v>0</v>
      </c>
      <c r="P686" s="74">
        <f>+IF(PROVEEDORES[[#This Row],[SUBTOTAL]]&lt;PROVEEDORES[[#This Row],[base retencion]],0,PROVEEDORES[[#This Row],[retención aplicada]])</f>
        <v>0</v>
      </c>
      <c r="Q686" s="22">
        <f>+PROVEEDORES[[#This Row],[Rete Fuente %]]*(PROVEEDORES[[#This Row],[SUBTOTAL]]-PROVEEDORES[[#This Row],[descuento sobre subtotal]])</f>
        <v>0</v>
      </c>
      <c r="R686" s="21">
        <f>+PROVEEDORES[[#This Row],[SUBTOTAL]]+PROVEEDORES[[#This Row],[IVA 19%]]-PROVEEDORES[[#This Row],[descuento sobre subtotal]]-PROVEEDORES[[#This Row],[Descuento sobre subtotal $2]]-PROVEEDORES[[#This Row],[Rete Fuente $]]</f>
        <v>4294000</v>
      </c>
      <c r="S68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63">
        <f ca="1">IF(PROVEEDORES[[#This Row],[FECHA DE PAGO]]=0,TODAY()-PROVEEDORES[[#This Row],[FECHA DE FACTURACIÓN]]-PROVEEDORES[[#This Row],[PLAZO Días]],0)</f>
        <v>0</v>
      </c>
      <c r="U686" s="104">
        <f>+VLOOKUP(PROVEEDORES[[#This Row],[PROVEEDOR]],Terceros!$A:$D,4,FALSE)</f>
        <v>0</v>
      </c>
      <c r="V686" s="105">
        <f>+YEAR(PROVEEDORES[[#This Row],[FECHA DE FACTURACIÓN]])</f>
        <v>2022</v>
      </c>
      <c r="W686" s="105">
        <f>+MATCH(PROVEEDORES[[#This Row],[año facturado]],Retenciones!$1:$1,0)</f>
        <v>5</v>
      </c>
      <c r="X686" s="106">
        <f>+VLOOKUP(PROVEEDORES[[#This Row],[ID RETENCION]],Retenciones!$A$1:$O$25,PROVEEDORES[[#This Row],[indicador de columna]],FALSE)</f>
        <v>0</v>
      </c>
      <c r="Y686" s="107">
        <f>+VLOOKUP(PROVEEDORES[[#This Row],[ID RETENCION]],Retenciones!$A$1:$O$25,2,FALSE)</f>
        <v>0</v>
      </c>
      <c r="Z686" s="116" t="b">
        <f>OR(COUNTIF(PROVEEDORES[[#This Row],[PROVEEDOR]],"*"&amp;'Palabra no opera'!$A$2&amp;"*"))</f>
        <v>0</v>
      </c>
    </row>
    <row r="687" spans="1:26" ht="22.35" customHeight="1" x14ac:dyDescent="0.3">
      <c r="A687" s="148" t="str">
        <f>+IF(PROVEEDORES[[#This Row],[FECHA DE PAGO]]=PROVEEDORES[[#This Row],[FECHA DE FACTURACIÓN]],"DE CONTADO","CRÉDITO")</f>
        <v>CRÉDITO</v>
      </c>
      <c r="B687" s="38" t="str">
        <f>+IF((PROVEEDORES[[#This Row],[FECHA DE PAGO]]-PROVEEDORES[[#This Row],[FECHA DE FACTURACIÓN]])&gt;PROVEEDORES[[#This Row],[PLAZO Días]],"PAGO VENCIDO")</f>
        <v>PAGO VENCIDO</v>
      </c>
      <c r="C687" s="20">
        <f>+VLOOKUP(PROVEEDORES[[#This Row],[PROVEEDOR]],TERCEROS_INFO[#All],2,FALSE)</f>
        <v>30</v>
      </c>
      <c r="D687" s="25">
        <f>+SUMIFS(PROVEEDORES[Total],PROVEEDORES[PROVEEDOR],PROVEEDORES[[#This Row],[PROVEEDOR]],PROVEEDORES[FECHA DE PAGO],"")</f>
        <v>0</v>
      </c>
      <c r="E687" s="25"/>
      <c r="F687" s="56">
        <f>+VLOOKUP(PROVEEDORES[[#This Row],[PROVEEDOR]],
                       Terceros!$A:$F,
                       5,
                       FALSE)</f>
        <v>0</v>
      </c>
      <c r="G687" s="68">
        <v>44792</v>
      </c>
      <c r="H687" s="26" t="s">
        <v>777</v>
      </c>
      <c r="I687" s="68">
        <v>44733</v>
      </c>
      <c r="J687" s="35" t="s">
        <v>909</v>
      </c>
      <c r="K687" s="21">
        <v>8070000</v>
      </c>
      <c r="L687" s="21"/>
      <c r="M687" s="22">
        <f>(PROVEEDORES[[#This Row],[SUBTOTAL]]-PROVEEDORES[[#This Row],[descuento sobre subtotal]])*VLOOKUP(PROVEEDORES[[#This Row],[PROVEEDOR]],TERCEROS_INFO[#All],3,FALSE)</f>
        <v>0</v>
      </c>
      <c r="N687" s="23"/>
      <c r="O687" s="22">
        <f>+PROVEEDORES[[#This Row],[Descuento sobre subtotal %]]*(PROVEEDORES[[#This Row],[SUBTOTAL]]-PROVEEDORES[[#This Row],[descuento sobre subtotal]])</f>
        <v>0</v>
      </c>
      <c r="P687" s="74">
        <f>+IF(PROVEEDORES[[#This Row],[SUBTOTAL]]&lt;PROVEEDORES[[#This Row],[base retencion]],0,PROVEEDORES[[#This Row],[retención aplicada]])</f>
        <v>0</v>
      </c>
      <c r="Q687" s="22">
        <f>+PROVEEDORES[[#This Row],[Rete Fuente %]]*(PROVEEDORES[[#This Row],[SUBTOTAL]]-PROVEEDORES[[#This Row],[descuento sobre subtotal]])</f>
        <v>0</v>
      </c>
      <c r="R687" s="21">
        <f>+PROVEEDORES[[#This Row],[SUBTOTAL]]+PROVEEDORES[[#This Row],[IVA 19%]]-PROVEEDORES[[#This Row],[descuento sobre subtotal]]-PROVEEDORES[[#This Row],[Descuento sobre subtotal $2]]-PROVEEDORES[[#This Row],[Rete Fuente $]]</f>
        <v>8070000</v>
      </c>
      <c r="S687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63">
        <f ca="1">IF(PROVEEDORES[[#This Row],[FECHA DE PAGO]]=0,TODAY()-PROVEEDORES[[#This Row],[FECHA DE FACTURACIÓN]]-PROVEEDORES[[#This Row],[PLAZO Días]],0)</f>
        <v>0</v>
      </c>
      <c r="U687" s="104">
        <f>+VLOOKUP(PROVEEDORES[[#This Row],[PROVEEDOR]],Terceros!$A:$D,4,FALSE)</f>
        <v>0</v>
      </c>
      <c r="V687" s="105">
        <f>+YEAR(PROVEEDORES[[#This Row],[FECHA DE FACTURACIÓN]])</f>
        <v>2022</v>
      </c>
      <c r="W687" s="105">
        <f>+MATCH(PROVEEDORES[[#This Row],[año facturado]],Retenciones!$1:$1,0)</f>
        <v>5</v>
      </c>
      <c r="X687" s="106">
        <f>+VLOOKUP(PROVEEDORES[[#This Row],[ID RETENCION]],Retenciones!$A$1:$O$25,PROVEEDORES[[#This Row],[indicador de columna]],FALSE)</f>
        <v>0</v>
      </c>
      <c r="Y687" s="107">
        <f>+VLOOKUP(PROVEEDORES[[#This Row],[ID RETENCION]],Retenciones!$A$1:$O$25,2,FALSE)</f>
        <v>0</v>
      </c>
      <c r="Z687" s="116" t="b">
        <f>OR(COUNTIF(PROVEEDORES[[#This Row],[PROVEEDOR]],"*"&amp;'Palabra no opera'!$A$2&amp;"*"))</f>
        <v>0</v>
      </c>
    </row>
    <row r="688" spans="1:26" ht="22.35" customHeight="1" x14ac:dyDescent="0.3">
      <c r="A688" s="163" t="str">
        <f>+IF(PROVEEDORES[[#This Row],[FECHA DE PAGO]]=PROVEEDORES[[#This Row],[FECHA DE FACTURACIÓN]],"DE CONTADO","CRÉDITO")</f>
        <v>CRÉDITO</v>
      </c>
      <c r="B688" s="38" t="str">
        <f>+IF((PROVEEDORES[[#This Row],[FECHA DE PAGO]]-PROVEEDORES[[#This Row],[FECHA DE FACTURACIÓN]])&gt;PROVEEDORES[[#This Row],[PLAZO Días]],"PAGO VENCIDO")</f>
        <v>PAGO VENCIDO</v>
      </c>
      <c r="C688" s="20">
        <v>2</v>
      </c>
      <c r="D688" s="25">
        <f>+SUMIFS(PROVEEDORES[Total],PROVEEDORES[PROVEEDOR],PROVEEDORES[[#This Row],[PROVEEDOR]],PROVEEDORES[FECHA DE PAGO],"")</f>
        <v>0</v>
      </c>
      <c r="E688" s="25"/>
      <c r="F688" s="56">
        <f>+VLOOKUP(PROVEEDORES[[#This Row],[PROVEEDOR]],
                       Terceros!$A:$F,
                       5,
                       FALSE)</f>
        <v>0</v>
      </c>
      <c r="G688" s="68">
        <v>44792</v>
      </c>
      <c r="H688" s="26" t="s">
        <v>777</v>
      </c>
      <c r="I688" s="68">
        <v>44760</v>
      </c>
      <c r="J688" s="35" t="s">
        <v>913</v>
      </c>
      <c r="K688" s="21">
        <v>-3000000</v>
      </c>
      <c r="L688" s="21"/>
      <c r="M688" s="22">
        <f>(PROVEEDORES[[#This Row],[SUBTOTAL]]-PROVEEDORES[[#This Row],[descuento sobre subtotal]])*VLOOKUP(PROVEEDORES[[#This Row],[PROVEEDOR]],TERCEROS_INFO[#All],3,FALSE)</f>
        <v>0</v>
      </c>
      <c r="N688" s="23"/>
      <c r="O688" s="22">
        <f>+PROVEEDORES[[#This Row],[Descuento sobre subtotal %]]*(PROVEEDORES[[#This Row],[SUBTOTAL]]-PROVEEDORES[[#This Row],[descuento sobre subtotal]])</f>
        <v>0</v>
      </c>
      <c r="P688" s="74">
        <f>+IF(PROVEEDORES[[#This Row],[SUBTOTAL]]&lt;PROVEEDORES[[#This Row],[base retencion]],0,PROVEEDORES[[#This Row],[retención aplicada]])</f>
        <v>0</v>
      </c>
      <c r="Q688" s="22">
        <f>+PROVEEDORES[[#This Row],[Rete Fuente %]]*(PROVEEDORES[[#This Row],[SUBTOTAL]]-PROVEEDORES[[#This Row],[descuento sobre subtotal]])</f>
        <v>0</v>
      </c>
      <c r="R688" s="21">
        <v>0</v>
      </c>
      <c r="S688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63">
        <f ca="1">IF(PROVEEDORES[[#This Row],[FECHA DE PAGO]]=0,TODAY()-PROVEEDORES[[#This Row],[FECHA DE FACTURACIÓN]]-PROVEEDORES[[#This Row],[PLAZO Días]],0)</f>
        <v>0</v>
      </c>
      <c r="U688" s="104">
        <f>+VLOOKUP(PROVEEDORES[[#This Row],[PROVEEDOR]],Terceros!$A:$D,4,FALSE)</f>
        <v>0</v>
      </c>
      <c r="V688" s="105">
        <f>+YEAR(PROVEEDORES[[#This Row],[FECHA DE FACTURACIÓN]])</f>
        <v>2022</v>
      </c>
      <c r="W688" s="105">
        <f>+MATCH(PROVEEDORES[[#This Row],[año facturado]],Retenciones!$1:$1,0)</f>
        <v>5</v>
      </c>
      <c r="X688" s="106">
        <f>+VLOOKUP(PROVEEDORES[[#This Row],[ID RETENCION]],Retenciones!$A$1:$O$25,PROVEEDORES[[#This Row],[indicador de columna]],FALSE)</f>
        <v>0</v>
      </c>
      <c r="Y688" s="107">
        <f>+VLOOKUP(PROVEEDORES[[#This Row],[ID RETENCION]],Retenciones!$A$1:$O$25,2,FALSE)</f>
        <v>0</v>
      </c>
      <c r="Z688" s="116" t="b">
        <f>OR(COUNTIF(PROVEEDORES[[#This Row],[PROVEEDOR]],"*"&amp;'Palabra no opera'!$A$2&amp;"*"))</f>
        <v>0</v>
      </c>
    </row>
    <row r="689" spans="1:26" ht="22.35" customHeight="1" x14ac:dyDescent="0.3">
      <c r="A689" s="175" t="str">
        <f>+IF(PROVEEDORES[[#This Row],[FECHA DE PAGO]]=PROVEEDORES[[#This Row],[FECHA DE FACTURACIÓN]],"DE CONTADO","CRÉDITO")</f>
        <v>DE CONTADO</v>
      </c>
      <c r="B689" s="38" t="b">
        <f>+IF((PROVEEDORES[[#This Row],[FECHA DE PAGO]]-PROVEEDORES[[#This Row],[FECHA DE FACTURACIÓN]])&gt;PROVEEDORES[[#This Row],[PLAZO Días]],"PAGO VENCIDO")</f>
        <v>0</v>
      </c>
      <c r="C689" s="20">
        <f>+VLOOKUP(PROVEEDORES[[#This Row],[PROVEEDOR]],TERCEROS_INFO[#All],2,FALSE)</f>
        <v>30</v>
      </c>
      <c r="D689" s="25">
        <f>+SUMIFS(PROVEEDORES[Total],PROVEEDORES[PROVEEDOR],PROVEEDORES[[#This Row],[PROVEEDOR]],PROVEEDORES[FECHA DE PAGO],"")</f>
        <v>0</v>
      </c>
      <c r="E689" s="25"/>
      <c r="F689" s="56">
        <f>+VLOOKUP(PROVEEDORES[[#This Row],[PROVEEDOR]],
                       Terceros!$A:$F,
                       5,
                       FALSE)</f>
        <v>0</v>
      </c>
      <c r="G689" s="68">
        <v>44792</v>
      </c>
      <c r="H689" s="26" t="s">
        <v>777</v>
      </c>
      <c r="I689" s="68">
        <v>44792</v>
      </c>
      <c r="J689" s="35" t="s">
        <v>913</v>
      </c>
      <c r="K689" s="21">
        <v>-5070000</v>
      </c>
      <c r="L689" s="21"/>
      <c r="M689" s="22">
        <f>(PROVEEDORES[[#This Row],[SUBTOTAL]]-PROVEEDORES[[#This Row],[descuento sobre subtotal]])*VLOOKUP(PROVEEDORES[[#This Row],[PROVEEDOR]],TERCEROS_INFO[#All],3,FALSE)</f>
        <v>0</v>
      </c>
      <c r="N689" s="23"/>
      <c r="O689" s="22">
        <f>+PROVEEDORES[[#This Row],[Descuento sobre subtotal %]]*(PROVEEDORES[[#This Row],[SUBTOTAL]]-PROVEEDORES[[#This Row],[descuento sobre subtotal]])</f>
        <v>0</v>
      </c>
      <c r="P689" s="74">
        <f>+IF(PROVEEDORES[[#This Row],[SUBTOTAL]]&lt;PROVEEDORES[[#This Row],[base retencion]],0,PROVEEDORES[[#This Row],[retención aplicada]])</f>
        <v>0</v>
      </c>
      <c r="Q689" s="22">
        <f>+PROVEEDORES[[#This Row],[Rete Fuente %]]*(PROVEEDORES[[#This Row],[SUBTOTAL]]-PROVEEDORES[[#This Row],[descuento sobre subtotal]])</f>
        <v>0</v>
      </c>
      <c r="R689" s="21">
        <v>0</v>
      </c>
      <c r="S689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63">
        <f ca="1">IF(PROVEEDORES[[#This Row],[FECHA DE PAGO]]=0,TODAY()-PROVEEDORES[[#This Row],[FECHA DE FACTURACIÓN]]-PROVEEDORES[[#This Row],[PLAZO Días]],0)</f>
        <v>0</v>
      </c>
      <c r="U689" s="104">
        <f>+VLOOKUP(PROVEEDORES[[#This Row],[PROVEEDOR]],Terceros!$A:$D,4,FALSE)</f>
        <v>0</v>
      </c>
      <c r="V689" s="105">
        <f>+YEAR(PROVEEDORES[[#This Row],[FECHA DE FACTURACIÓN]])</f>
        <v>2022</v>
      </c>
      <c r="W689" s="105">
        <f>+MATCH(PROVEEDORES[[#This Row],[año facturado]],Retenciones!$1:$1,0)</f>
        <v>5</v>
      </c>
      <c r="X689" s="106">
        <f>+VLOOKUP(PROVEEDORES[[#This Row],[ID RETENCION]],Retenciones!$A$1:$O$25,PROVEEDORES[[#This Row],[indicador de columna]],FALSE)</f>
        <v>0</v>
      </c>
      <c r="Y689" s="107">
        <f>+VLOOKUP(PROVEEDORES[[#This Row],[ID RETENCION]],Retenciones!$A$1:$O$25,2,FALSE)</f>
        <v>0</v>
      </c>
      <c r="Z689" s="116" t="b">
        <f>OR(COUNTIF(PROVEEDORES[[#This Row],[PROVEEDOR]],"*"&amp;'Palabra no opera'!$A$2&amp;"*"))</f>
        <v>0</v>
      </c>
    </row>
    <row r="690" spans="1:26" ht="22.35" customHeight="1" x14ac:dyDescent="0.3">
      <c r="A690" s="171" t="str">
        <f>+IF(PROVEEDORES[[#This Row],[FECHA DE PAGO]]=PROVEEDORES[[#This Row],[FECHA DE FACTURACIÓN]],"DE CONTADO","CRÉDITO")</f>
        <v>CRÉDITO</v>
      </c>
      <c r="B690" s="38" t="b">
        <f>+IF((PROVEEDORES[[#This Row],[FECHA DE PAGO]]-PROVEEDORES[[#This Row],[FECHA DE FACTURACIÓN]])&gt;PROVEEDORES[[#This Row],[PLAZO Días]],"PAGO VENCIDO")</f>
        <v>0</v>
      </c>
      <c r="C690" s="20">
        <f>+VLOOKUP(PROVEEDORES[[#This Row],[PROVEEDOR]],TERCEROS_INFO[#All],2,FALSE)</f>
        <v>30</v>
      </c>
      <c r="D690" s="25">
        <f>+SUMIFS(PROVEEDORES[Total],PROVEEDORES[PROVEEDOR],PROVEEDORES[[#This Row],[PROVEEDOR]],PROVEEDORES[FECHA DE PAGO],"")</f>
        <v>0</v>
      </c>
      <c r="E690" s="25"/>
      <c r="F690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690" s="68">
        <v>44792</v>
      </c>
      <c r="H690" s="26" t="s">
        <v>394</v>
      </c>
      <c r="I690" s="68">
        <v>44781</v>
      </c>
      <c r="J690" s="35" t="s">
        <v>1056</v>
      </c>
      <c r="K690" s="21">
        <v>1890000</v>
      </c>
      <c r="L690" s="21"/>
      <c r="M690" s="22">
        <f>(PROVEEDORES[[#This Row],[SUBTOTAL]]-PROVEEDORES[[#This Row],[descuento sobre subtotal]])*VLOOKUP(PROVEEDORES[[#This Row],[PROVEEDOR]],TERCEROS_INFO[#All],3,FALSE)</f>
        <v>0</v>
      </c>
      <c r="N690" s="23"/>
      <c r="O690" s="22">
        <f>+PROVEEDORES[[#This Row],[Descuento sobre subtotal %]]*(PROVEEDORES[[#This Row],[SUBTOTAL]]-PROVEEDORES[[#This Row],[descuento sobre subtotal]])</f>
        <v>0</v>
      </c>
      <c r="P690" s="74">
        <f>+IF(PROVEEDORES[[#This Row],[SUBTOTAL]]&lt;PROVEEDORES[[#This Row],[base retencion]],0,PROVEEDORES[[#This Row],[retención aplicada]])</f>
        <v>0</v>
      </c>
      <c r="Q690" s="22">
        <f>+PROVEEDORES[[#This Row],[Rete Fuente %]]*(PROVEEDORES[[#This Row],[SUBTOTAL]]-PROVEEDORES[[#This Row],[descuento sobre subtotal]])</f>
        <v>0</v>
      </c>
      <c r="R690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690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63">
        <f ca="1">IF(PROVEEDORES[[#This Row],[FECHA DE PAGO]]=0,TODAY()-PROVEEDORES[[#This Row],[FECHA DE FACTURACIÓN]]-PROVEEDORES[[#This Row],[PLAZO Días]],0)</f>
        <v>0</v>
      </c>
      <c r="U690" s="104">
        <f>+VLOOKUP(PROVEEDORES[[#This Row],[PROVEEDOR]],Terceros!$A:$D,4,FALSE)</f>
        <v>0</v>
      </c>
      <c r="V690" s="105">
        <f>+YEAR(PROVEEDORES[[#This Row],[FECHA DE FACTURACIÓN]])</f>
        <v>2022</v>
      </c>
      <c r="W690" s="105">
        <f>+MATCH(PROVEEDORES[[#This Row],[año facturado]],Retenciones!$1:$1,0)</f>
        <v>5</v>
      </c>
      <c r="X690" s="106">
        <f>+VLOOKUP(PROVEEDORES[[#This Row],[ID RETENCION]],Retenciones!$A$1:$O$25,PROVEEDORES[[#This Row],[indicador de columna]],FALSE)</f>
        <v>0</v>
      </c>
      <c r="Y690" s="107">
        <f>+VLOOKUP(PROVEEDORES[[#This Row],[ID RETENCION]],Retenciones!$A$1:$O$25,2,FALSE)</f>
        <v>0</v>
      </c>
      <c r="Z690" s="116" t="b">
        <f>OR(COUNTIF(PROVEEDORES[[#This Row],[PROVEEDOR]],"*"&amp;'Palabra no opera'!$A$2&amp;"*"))</f>
        <v>0</v>
      </c>
    </row>
    <row r="691" spans="1:26" ht="22.35" customHeight="1" x14ac:dyDescent="0.3">
      <c r="A691" s="148" t="str">
        <f>+IF(PROVEEDORES[[#This Row],[FECHA DE PAGO]]=PROVEEDORES[[#This Row],[FECHA DE FACTURACIÓN]],"DE CONTADO","CRÉDITO")</f>
        <v>CRÉDITO</v>
      </c>
      <c r="B691" s="38" t="str">
        <f>+IF((PROVEEDORES[[#This Row],[FECHA DE PAGO]]-PROVEEDORES[[#This Row],[FECHA DE FACTURACIÓN]])&gt;PROVEEDORES[[#This Row],[PLAZO Días]],"PAGO VENCIDO")</f>
        <v>PAGO VENCIDO</v>
      </c>
      <c r="C691" s="20">
        <f>+VLOOKUP(PROVEEDORES[[#This Row],[PROVEEDOR]],TERCEROS_INFO[#All],2,FALSE)</f>
        <v>30</v>
      </c>
      <c r="D691" s="25">
        <f>+SUMIFS(PROVEEDORES[Total],PROVEEDORES[PROVEEDOR],PROVEEDORES[[#This Row],[PROVEEDOR]],PROVEEDORES[FECHA DE PAGO],"")</f>
        <v>0</v>
      </c>
      <c r="E691" s="25"/>
      <c r="F69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91" s="68">
        <v>44792</v>
      </c>
      <c r="H691" s="26" t="s">
        <v>281</v>
      </c>
      <c r="I691" s="68">
        <v>44726</v>
      </c>
      <c r="J691" s="35" t="s">
        <v>753</v>
      </c>
      <c r="K691" s="21">
        <v>2578500</v>
      </c>
      <c r="L691" s="21"/>
      <c r="M691" s="22">
        <f>(PROVEEDORES[[#This Row],[SUBTOTAL]]-PROVEEDORES[[#This Row],[descuento sobre subtotal]])*VLOOKUP(PROVEEDORES[[#This Row],[PROVEEDOR]],TERCEROS_INFO[#All],3,FALSE)</f>
        <v>489915</v>
      </c>
      <c r="N691" s="23"/>
      <c r="O691" s="22">
        <f>+PROVEEDORES[[#This Row],[Descuento sobre subtotal %]]*(PROVEEDORES[[#This Row],[SUBTOTAL]]-PROVEEDORES[[#This Row],[descuento sobre subtotal]])</f>
        <v>0</v>
      </c>
      <c r="P691" s="74">
        <f>+IF(PROVEEDORES[[#This Row],[SUBTOTAL]]&lt;PROVEEDORES[[#This Row],[base retencion]],0,PROVEEDORES[[#This Row],[retención aplicada]])</f>
        <v>0</v>
      </c>
      <c r="Q691" s="22">
        <f>+PROVEEDORES[[#This Row],[Rete Fuente %]]*(PROVEEDORES[[#This Row],[SUBTOTAL]]-PROVEEDORES[[#This Row],[descuento sobre subtotal]])</f>
        <v>0</v>
      </c>
      <c r="R691" s="21">
        <f>+PROVEEDORES[[#This Row],[SUBTOTAL]]+PROVEEDORES[[#This Row],[IVA 19%]]-PROVEEDORES[[#This Row],[descuento sobre subtotal]]-PROVEEDORES[[#This Row],[Descuento sobre subtotal $2]]-PROVEEDORES[[#This Row],[Rete Fuente $]]</f>
        <v>3068415</v>
      </c>
      <c r="S69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63">
        <f ca="1">IF(PROVEEDORES[[#This Row],[FECHA DE PAGO]]=0,TODAY()-PROVEEDORES[[#This Row],[FECHA DE FACTURACIÓN]]-PROVEEDORES[[#This Row],[PLAZO Días]],0)</f>
        <v>0</v>
      </c>
      <c r="U691" s="104">
        <f>+VLOOKUP(PROVEEDORES[[#This Row],[PROVEEDOR]],Terceros!$A:$D,4,FALSE)</f>
        <v>0</v>
      </c>
      <c r="V691" s="105">
        <f>+YEAR(PROVEEDORES[[#This Row],[FECHA DE FACTURACIÓN]])</f>
        <v>2022</v>
      </c>
      <c r="W691" s="105">
        <f>+MATCH(PROVEEDORES[[#This Row],[año facturado]],Retenciones!$1:$1,0)</f>
        <v>5</v>
      </c>
      <c r="X691" s="106">
        <f>+VLOOKUP(PROVEEDORES[[#This Row],[ID RETENCION]],Retenciones!$A$1:$O$25,PROVEEDORES[[#This Row],[indicador de columna]],FALSE)</f>
        <v>0</v>
      </c>
      <c r="Y691" s="107">
        <f>+VLOOKUP(PROVEEDORES[[#This Row],[ID RETENCION]],Retenciones!$A$1:$O$25,2,FALSE)</f>
        <v>0</v>
      </c>
      <c r="Z691" s="116" t="b">
        <f>OR(COUNTIF(PROVEEDORES[[#This Row],[PROVEEDOR]],"*"&amp;'Palabra no opera'!$A$2&amp;"*"))</f>
        <v>0</v>
      </c>
    </row>
    <row r="692" spans="1:26" ht="22.35" customHeight="1" x14ac:dyDescent="0.3">
      <c r="A692" s="163" t="str">
        <f>+IF(PROVEEDORES[[#This Row],[FECHA DE PAGO]]=PROVEEDORES[[#This Row],[FECHA DE FACTURACIÓN]],"DE CONTADO","CRÉDITO")</f>
        <v>CRÉDITO</v>
      </c>
      <c r="B692" s="38" t="str">
        <f>+IF((PROVEEDORES[[#This Row],[FECHA DE PAGO]]-PROVEEDORES[[#This Row],[FECHA DE FACTURACIÓN]])&gt;PROVEEDORES[[#This Row],[PLAZO Días]],"PAGO VENCIDO")</f>
        <v>PAGO VENCIDO</v>
      </c>
      <c r="C692" s="20">
        <f>+VLOOKUP(PROVEEDORES[[#This Row],[PROVEEDOR]],TERCEROS_INFO[#All],2,FALSE)</f>
        <v>30</v>
      </c>
      <c r="D692" s="25">
        <f>+SUMIFS(PROVEEDORES[Total],PROVEEDORES[PROVEEDOR],PROVEEDORES[[#This Row],[PROVEEDOR]],PROVEEDORES[FECHA DE PAGO],"")</f>
        <v>17870934.149999999</v>
      </c>
      <c r="E692" s="25"/>
      <c r="F69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92" s="68">
        <v>44792</v>
      </c>
      <c r="H692" s="26" t="s">
        <v>18</v>
      </c>
      <c r="I692" s="68">
        <v>44749</v>
      </c>
      <c r="J692" s="35">
        <v>1055982</v>
      </c>
      <c r="K692" s="21">
        <v>3877233.52</v>
      </c>
      <c r="L692" s="21"/>
      <c r="M692" s="22">
        <f>(PROVEEDORES[[#This Row],[SUBTOTAL]]-PROVEEDORES[[#This Row],[descuento sobre subtotal]])*VLOOKUP(PROVEEDORES[[#This Row],[PROVEEDOR]],TERCEROS_INFO[#All],3,FALSE)</f>
        <v>736674.36880000005</v>
      </c>
      <c r="N692" s="23"/>
      <c r="O692" s="22">
        <f>+PROVEEDORES[[#This Row],[Descuento sobre subtotal %]]*(PROVEEDORES[[#This Row],[SUBTOTAL]]-PROVEEDORES[[#This Row],[descuento sobre subtotal]])</f>
        <v>0</v>
      </c>
      <c r="P692" s="74">
        <f>+IF(PROVEEDORES[[#This Row],[SUBTOTAL]]&lt;PROVEEDORES[[#This Row],[base retencion]],0,PROVEEDORES[[#This Row],[retención aplicada]])</f>
        <v>2.5000000000000001E-2</v>
      </c>
      <c r="Q692" s="22">
        <f>+PROVEEDORES[[#This Row],[Rete Fuente %]]*(PROVEEDORES[[#This Row],[SUBTOTAL]]-PROVEEDORES[[#This Row],[descuento sobre subtotal]])</f>
        <v>96930.838000000003</v>
      </c>
      <c r="R692" s="21">
        <f>+PROVEEDORES[[#This Row],[SUBTOTAL]]+PROVEEDORES[[#This Row],[IVA 19%]]-PROVEEDORES[[#This Row],[descuento sobre subtotal]]-PROVEEDORES[[#This Row],[Descuento sobre subtotal $2]]-PROVEEDORES[[#This Row],[Rete Fuente $]]</f>
        <v>4516977.0507999994</v>
      </c>
      <c r="S692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63">
        <f ca="1">IF(PROVEEDORES[[#This Row],[FECHA DE PAGO]]=0,TODAY()-PROVEEDORES[[#This Row],[FECHA DE FACTURACIÓN]]-PROVEEDORES[[#This Row],[PLAZO Días]],0)</f>
        <v>0</v>
      </c>
      <c r="U692" s="104" t="str">
        <f>+VLOOKUP(PROVEEDORES[[#This Row],[PROVEEDOR]],Terceros!$A:$D,4,FALSE)</f>
        <v>2,5% con base</v>
      </c>
      <c r="V692" s="105">
        <f>+YEAR(PROVEEDORES[[#This Row],[FECHA DE FACTURACIÓN]])</f>
        <v>2022</v>
      </c>
      <c r="W692" s="105">
        <f>+MATCH(PROVEEDORES[[#This Row],[año facturado]],Retenciones!$1:$1,0)</f>
        <v>5</v>
      </c>
      <c r="X692" s="106">
        <f>+VLOOKUP(PROVEEDORES[[#This Row],[ID RETENCION]],Retenciones!$A$1:$O$25,PROVEEDORES[[#This Row],[indicador de columna]],FALSE)</f>
        <v>1026000</v>
      </c>
      <c r="Y692" s="107">
        <f>+VLOOKUP(PROVEEDORES[[#This Row],[ID RETENCION]],Retenciones!$A$1:$O$25,2,FALSE)</f>
        <v>2.5000000000000001E-2</v>
      </c>
      <c r="Z692" s="116" t="b">
        <f>OR(COUNTIF(PROVEEDORES[[#This Row],[PROVEEDOR]],"*"&amp;'Palabra no opera'!$A$2&amp;"*"))</f>
        <v>0</v>
      </c>
    </row>
    <row r="693" spans="1:26" ht="22.35" customHeight="1" x14ac:dyDescent="0.3">
      <c r="A693" s="163" t="str">
        <f>+IF(PROVEEDORES[[#This Row],[FECHA DE PAGO]]=PROVEEDORES[[#This Row],[FECHA DE FACTURACIÓN]],"DE CONTADO","CRÉDITO")</f>
        <v>CRÉDITO</v>
      </c>
      <c r="B693" s="38" t="str">
        <f>+IF((PROVEEDORES[[#This Row],[FECHA DE PAGO]]-PROVEEDORES[[#This Row],[FECHA DE FACTURACIÓN]])&gt;PROVEEDORES[[#This Row],[PLAZO Días]],"PAGO VENCIDO")</f>
        <v>PAGO VENCIDO</v>
      </c>
      <c r="C693" s="20">
        <f>+VLOOKUP(PROVEEDORES[[#This Row],[PROVEEDOR]],TERCEROS_INFO[#All],2,FALSE)</f>
        <v>30</v>
      </c>
      <c r="D693" s="25">
        <f>+SUMIFS(PROVEEDORES[Total],PROVEEDORES[PROVEEDOR],PROVEEDORES[[#This Row],[PROVEEDOR]],PROVEEDORES[FECHA DE PAGO],"")</f>
        <v>17870934.149999999</v>
      </c>
      <c r="E693" s="25"/>
      <c r="F69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93" s="68">
        <v>44792</v>
      </c>
      <c r="H693" s="26" t="s">
        <v>18</v>
      </c>
      <c r="I693" s="68">
        <v>44753</v>
      </c>
      <c r="J693" s="35">
        <v>1056159</v>
      </c>
      <c r="K693" s="21">
        <v>1079969.04</v>
      </c>
      <c r="L693" s="21"/>
      <c r="M693" s="22">
        <f>(PROVEEDORES[[#This Row],[SUBTOTAL]]-PROVEEDORES[[#This Row],[descuento sobre subtotal]])*VLOOKUP(PROVEEDORES[[#This Row],[PROVEEDOR]],TERCEROS_INFO[#All],3,FALSE)</f>
        <v>205194.1176</v>
      </c>
      <c r="N693" s="23"/>
      <c r="O693" s="22">
        <f>+PROVEEDORES[[#This Row],[Descuento sobre subtotal %]]*(PROVEEDORES[[#This Row],[SUBTOTAL]]-PROVEEDORES[[#This Row],[descuento sobre subtotal]])</f>
        <v>0</v>
      </c>
      <c r="P693" s="74">
        <f>+IF(PROVEEDORES[[#This Row],[SUBTOTAL]]&lt;PROVEEDORES[[#This Row],[base retencion]],0,PROVEEDORES[[#This Row],[retención aplicada]])</f>
        <v>2.5000000000000001E-2</v>
      </c>
      <c r="Q693" s="22">
        <f>+PROVEEDORES[[#This Row],[Rete Fuente %]]*(PROVEEDORES[[#This Row],[SUBTOTAL]]-PROVEEDORES[[#This Row],[descuento sobre subtotal]])</f>
        <v>26999.226000000002</v>
      </c>
      <c r="R693" s="21">
        <f>+PROVEEDORES[[#This Row],[SUBTOTAL]]+PROVEEDORES[[#This Row],[IVA 19%]]-PROVEEDORES[[#This Row],[descuento sobre subtotal]]-PROVEEDORES[[#This Row],[Descuento sobre subtotal $2]]-PROVEEDORES[[#This Row],[Rete Fuente $]]</f>
        <v>1258163.9316</v>
      </c>
      <c r="S693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63">
        <f ca="1">IF(PROVEEDORES[[#This Row],[FECHA DE PAGO]]=0,TODAY()-PROVEEDORES[[#This Row],[FECHA DE FACTURACIÓN]]-PROVEEDORES[[#This Row],[PLAZO Días]],0)</f>
        <v>0</v>
      </c>
      <c r="U693" s="104" t="str">
        <f>+VLOOKUP(PROVEEDORES[[#This Row],[PROVEEDOR]],Terceros!$A:$D,4,FALSE)</f>
        <v>2,5% con base</v>
      </c>
      <c r="V693" s="105">
        <f>+YEAR(PROVEEDORES[[#This Row],[FECHA DE FACTURACIÓN]])</f>
        <v>2022</v>
      </c>
      <c r="W693" s="105">
        <f>+MATCH(PROVEEDORES[[#This Row],[año facturado]],Retenciones!$1:$1,0)</f>
        <v>5</v>
      </c>
      <c r="X693" s="106">
        <f>+VLOOKUP(PROVEEDORES[[#This Row],[ID RETENCION]],Retenciones!$A$1:$O$25,PROVEEDORES[[#This Row],[indicador de columna]],FALSE)</f>
        <v>1026000</v>
      </c>
      <c r="Y693" s="107">
        <f>+VLOOKUP(PROVEEDORES[[#This Row],[ID RETENCION]],Retenciones!$A$1:$O$25,2,FALSE)</f>
        <v>2.5000000000000001E-2</v>
      </c>
      <c r="Z693" s="116" t="b">
        <f>OR(COUNTIF(PROVEEDORES[[#This Row],[PROVEEDOR]],"*"&amp;'Palabra no opera'!$A$2&amp;"*"))</f>
        <v>0</v>
      </c>
    </row>
    <row r="694" spans="1:26" ht="22.35" customHeight="1" x14ac:dyDescent="0.3">
      <c r="A694" s="175" t="str">
        <f>+IF(PROVEEDORES[[#This Row],[FECHA DE PAGO]]=PROVEEDORES[[#This Row],[FECHA DE FACTURACIÓN]],"DE CONTADO","CRÉDITO")</f>
        <v>CRÉDITO</v>
      </c>
      <c r="B694" s="38" t="str">
        <f>+IF((PROVEEDORES[[#This Row],[FECHA DE PAGO]]-PROVEEDORES[[#This Row],[FECHA DE FACTURACIÓN]])&gt;PROVEEDORES[[#This Row],[PLAZO Días]],"PAGO VENCIDO")</f>
        <v>PAGO VENCIDO</v>
      </c>
      <c r="C694" s="20">
        <f>+VLOOKUP(PROVEEDORES[[#This Row],[PROVEEDOR]],TERCEROS_INFO[#All],2,FALSE)</f>
        <v>0</v>
      </c>
      <c r="D694" s="25">
        <f>+SUMIFS(PROVEEDORES[Total],PROVEEDORES[PROVEEDOR],PROVEEDORES[[#This Row],[PROVEEDOR]],PROVEEDORES[FECHA DE PAGO],"")</f>
        <v>0</v>
      </c>
      <c r="E694" s="25"/>
      <c r="F694" s="56" t="str">
        <f>+VLOOKUP(PROVEEDORES[[#This Row],[PROVEEDOR]],
                       Terceros!$A:$F,
                       5,
                       FALSE)</f>
        <v>syman07@hotmail.com;girlesa.ruiz@servipilas.com;joriescobar64@gmail.com</v>
      </c>
      <c r="G694" s="68">
        <v>44792</v>
      </c>
      <c r="H694" s="26" t="s">
        <v>838</v>
      </c>
      <c r="I694" s="68">
        <v>44764</v>
      </c>
      <c r="J694" s="35" t="s">
        <v>925</v>
      </c>
      <c r="K694" s="21">
        <v>-279650</v>
      </c>
      <c r="L694" s="21"/>
      <c r="M694" s="22">
        <f>(PROVEEDORES[[#This Row],[SUBTOTAL]]-PROVEEDORES[[#This Row],[descuento sobre subtotal]])*VLOOKUP(PROVEEDORES[[#This Row],[PROVEEDOR]],TERCEROS_INFO[#All],3,FALSE)</f>
        <v>-53133.5</v>
      </c>
      <c r="N694" s="23"/>
      <c r="O694" s="22">
        <f>+PROVEEDORES[[#This Row],[Descuento sobre subtotal %]]*(PROVEEDORES[[#This Row],[SUBTOTAL]]-PROVEEDORES[[#This Row],[descuento sobre subtotal]])</f>
        <v>0</v>
      </c>
      <c r="P694" s="74">
        <f>+IF(PROVEEDORES[[#This Row],[SUBTOTAL]]&lt;PROVEEDORES[[#This Row],[base retencion]],0,PROVEEDORES[[#This Row],[retención aplicada]])</f>
        <v>0</v>
      </c>
      <c r="Q694" s="22">
        <f>+PROVEEDORES[[#This Row],[Rete Fuente %]]*(PROVEEDORES[[#This Row],[SUBTOTAL]]-PROVEEDORES[[#This Row],[descuento sobre subtotal]])</f>
        <v>0</v>
      </c>
      <c r="R694" s="21">
        <v>0</v>
      </c>
      <c r="S694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63">
        <f ca="1">IF(PROVEEDORES[[#This Row],[FECHA DE PAGO]]=0,TODAY()-PROVEEDORES[[#This Row],[FECHA DE FACTURACIÓN]]-PROVEEDORES[[#This Row],[PLAZO Días]],0)</f>
        <v>0</v>
      </c>
      <c r="U694" s="104" t="str">
        <f>+VLOOKUP(PROVEEDORES[[#This Row],[PROVEEDOR]],Terceros!$A:$D,4,FALSE)</f>
        <v>4% con base</v>
      </c>
      <c r="V694" s="105">
        <f>+YEAR(PROVEEDORES[[#This Row],[FECHA DE FACTURACIÓN]])</f>
        <v>2022</v>
      </c>
      <c r="W694" s="105">
        <f>+MATCH(PROVEEDORES[[#This Row],[año facturado]],Retenciones!$1:$1,0)</f>
        <v>5</v>
      </c>
      <c r="X694" s="106">
        <f>+VLOOKUP(PROVEEDORES[[#This Row],[ID RETENCION]],Retenciones!$A$1:$O$25,PROVEEDORES[[#This Row],[indicador de columna]],FALSE)</f>
        <v>150000</v>
      </c>
      <c r="Y694" s="107">
        <f>+VLOOKUP(PROVEEDORES[[#This Row],[ID RETENCION]],Retenciones!$A$1:$O$25,2,FALSE)</f>
        <v>0.04</v>
      </c>
      <c r="Z694" s="116" t="b">
        <f>OR(COUNTIF(PROVEEDORES[[#This Row],[PROVEEDOR]],"*"&amp;'Palabra no opera'!$A$2&amp;"*"))</f>
        <v>1</v>
      </c>
    </row>
    <row r="695" spans="1:26" ht="22.35" customHeight="1" x14ac:dyDescent="0.3">
      <c r="A695" s="67" t="str">
        <f>+IF(PROVEEDORES[[#This Row],[FECHA DE PAGO]]=PROVEEDORES[[#This Row],[FECHA DE FACTURACIÓN]],"DE CONTADO","CRÉDITO")</f>
        <v>CRÉDITO</v>
      </c>
      <c r="B695" s="38" t="str">
        <f>+IF((PROVEEDORES[[#This Row],[FECHA DE PAGO]]-PROVEEDORES[[#This Row],[FECHA DE FACTURACIÓN]])&gt;PROVEEDORES[[#This Row],[PLAZO Días]],"PAGO VENCIDO")</f>
        <v>PAGO VENCIDO</v>
      </c>
      <c r="C695" s="20">
        <f>+VLOOKUP(PROVEEDORES[[#This Row],[PROVEEDOR]],TERCEROS_INFO[#All],2,FALSE)</f>
        <v>0</v>
      </c>
      <c r="D695" s="25">
        <f>+SUMIFS(PROVEEDORES[Total],PROVEEDORES[PROVEEDOR],PROVEEDORES[[#This Row],[PROVEEDOR]],PROVEEDORES[FECHA DE PAGO],"")</f>
        <v>0</v>
      </c>
      <c r="E695" s="25"/>
      <c r="F695" s="56" t="str">
        <f>+VLOOKUP(PROVEEDORES[[#This Row],[PROVEEDOR]],
                       Terceros!$A:$F,
                       5,
                       FALSE)</f>
        <v>syman07@hotmail.com;girlesa.ruiz@servipilas.com;joriescobar64@gmail.com</v>
      </c>
      <c r="G695" s="68">
        <v>44792</v>
      </c>
      <c r="H695" s="26" t="s">
        <v>838</v>
      </c>
      <c r="I695" s="68">
        <v>44764</v>
      </c>
      <c r="J695" s="35" t="s">
        <v>925</v>
      </c>
      <c r="K695" s="21">
        <f>-279650+18800</f>
        <v>-260850</v>
      </c>
      <c r="L695" s="21"/>
      <c r="M695" s="22">
        <f>(PROVEEDORES[[#This Row],[SUBTOTAL]]-PROVEEDORES[[#This Row],[descuento sobre subtotal]])*VLOOKUP(PROVEEDORES[[#This Row],[PROVEEDOR]],TERCEROS_INFO[#All],3,FALSE)</f>
        <v>-49561.5</v>
      </c>
      <c r="N695" s="23"/>
      <c r="O695" s="22">
        <f>+PROVEEDORES[[#This Row],[Descuento sobre subtotal %]]*(PROVEEDORES[[#This Row],[SUBTOTAL]]-PROVEEDORES[[#This Row],[descuento sobre subtotal]])</f>
        <v>0</v>
      </c>
      <c r="P695" s="74">
        <f>+IF(PROVEEDORES[[#This Row],[SUBTOTAL]]&lt;PROVEEDORES[[#This Row],[base retencion]],0,PROVEEDORES[[#This Row],[retención aplicada]])</f>
        <v>0</v>
      </c>
      <c r="Q695" s="22">
        <f>+PROVEEDORES[[#This Row],[Rete Fuente %]]*(PROVEEDORES[[#This Row],[SUBTOTAL]]-PROVEEDORES[[#This Row],[descuento sobre subtotal]])</f>
        <v>0</v>
      </c>
      <c r="R695" s="21">
        <v>0</v>
      </c>
      <c r="S69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63">
        <f ca="1">IF(PROVEEDORES[[#This Row],[FECHA DE PAGO]]=0,TODAY()-PROVEEDORES[[#This Row],[FECHA DE FACTURACIÓN]]-PROVEEDORES[[#This Row],[PLAZO Días]],0)</f>
        <v>0</v>
      </c>
      <c r="U695" s="104" t="str">
        <f>+VLOOKUP(PROVEEDORES[[#This Row],[PROVEEDOR]],Terceros!$A:$D,4,FALSE)</f>
        <v>4% con base</v>
      </c>
      <c r="V695" s="105">
        <f>+YEAR(PROVEEDORES[[#This Row],[FECHA DE FACTURACIÓN]])</f>
        <v>2022</v>
      </c>
      <c r="W695" s="105">
        <f>+MATCH(PROVEEDORES[[#This Row],[año facturado]],Retenciones!$1:$1,0)</f>
        <v>5</v>
      </c>
      <c r="X695" s="106">
        <f>+VLOOKUP(PROVEEDORES[[#This Row],[ID RETENCION]],Retenciones!$A$1:$O$25,PROVEEDORES[[#This Row],[indicador de columna]],FALSE)</f>
        <v>150000</v>
      </c>
      <c r="Y695" s="107">
        <f>+VLOOKUP(PROVEEDORES[[#This Row],[ID RETENCION]],Retenciones!$A$1:$O$25,2,FALSE)</f>
        <v>0.04</v>
      </c>
      <c r="Z695" s="116" t="b">
        <f>OR(COUNTIF(PROVEEDORES[[#This Row],[PROVEEDOR]],"*"&amp;'Palabra no opera'!$A$2&amp;"*"))</f>
        <v>1</v>
      </c>
    </row>
    <row r="696" spans="1:26" ht="22.35" customHeight="1" x14ac:dyDescent="0.3">
      <c r="A696" s="67" t="str">
        <f>+IF(PROVEEDORES[[#This Row],[FECHA DE PAGO]]=PROVEEDORES[[#This Row],[FECHA DE FACTURACIÓN]],"DE CONTADO","CRÉDITO")</f>
        <v>CRÉDITO</v>
      </c>
      <c r="B696" s="38" t="str">
        <f>+IF((PROVEEDORES[[#This Row],[FECHA DE PAGO]]-PROVEEDORES[[#This Row],[FECHA DE FACTURACIÓN]])&gt;PROVEEDORES[[#This Row],[PLAZO Días]],"PAGO VENCIDO")</f>
        <v>PAGO VENCIDO</v>
      </c>
      <c r="C696" s="20">
        <f>+VLOOKUP(PROVEEDORES[[#This Row],[PROVEEDOR]],TERCEROS_INFO[#All],2,FALSE)</f>
        <v>0</v>
      </c>
      <c r="D696" s="25">
        <f>+SUMIFS(PROVEEDORES[Total],PROVEEDORES[PROVEEDOR],PROVEEDORES[[#This Row],[PROVEEDOR]],PROVEEDORES[FECHA DE PAGO],"")</f>
        <v>0</v>
      </c>
      <c r="E696" s="25"/>
      <c r="F696" s="56" t="str">
        <f>+VLOOKUP(PROVEEDORES[[#This Row],[PROVEEDOR]],
                       Terceros!$A:$F,
                       5,
                       FALSE)</f>
        <v>syman07@hotmail.com;girlesa.ruiz@servipilas.com;joriescobar64@gmail.com</v>
      </c>
      <c r="G696" s="68">
        <v>44792</v>
      </c>
      <c r="H696" s="26" t="s">
        <v>838</v>
      </c>
      <c r="I696" s="68">
        <v>44764</v>
      </c>
      <c r="J696" s="35" t="s">
        <v>924</v>
      </c>
      <c r="K696" s="21">
        <v>470000</v>
      </c>
      <c r="L696" s="21"/>
      <c r="M696" s="22">
        <f>(PROVEEDORES[[#This Row],[SUBTOTAL]]-PROVEEDORES[[#This Row],[descuento sobre subtotal]])*VLOOKUP(PROVEEDORES[[#This Row],[PROVEEDOR]],TERCEROS_INFO[#All],3,FALSE)</f>
        <v>89300</v>
      </c>
      <c r="N696" s="23"/>
      <c r="O696" s="22">
        <f>+PROVEEDORES[[#This Row],[Descuento sobre subtotal %]]*(PROVEEDORES[[#This Row],[SUBTOTAL]]-PROVEEDORES[[#This Row],[descuento sobre subtotal]])</f>
        <v>0</v>
      </c>
      <c r="P696" s="74">
        <f>+IF(PROVEEDORES[[#This Row],[SUBTOTAL]]&lt;PROVEEDORES[[#This Row],[base retencion]],0,PROVEEDORES[[#This Row],[retención aplicada]])</f>
        <v>0.04</v>
      </c>
      <c r="Q696" s="22">
        <f>+PROVEEDORES[[#This Row],[Rete Fuente %]]*(PROVEEDORES[[#This Row],[SUBTOTAL]]-PROVEEDORES[[#This Row],[descuento sobre subtotal]])</f>
        <v>18800</v>
      </c>
      <c r="R696" s="21">
        <f>+PROVEEDORES[[#This Row],[SUBTOTAL]]+PROVEEDORES[[#This Row],[IVA 19%]]-PROVEEDORES[[#This Row],[descuento sobre subtotal]]-PROVEEDORES[[#This Row],[Descuento sobre subtotal $2]]-PROVEEDORES[[#This Row],[Rete Fuente $]]</f>
        <v>540500</v>
      </c>
      <c r="S6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63">
        <f ca="1">IF(PROVEEDORES[[#This Row],[FECHA DE PAGO]]=0,TODAY()-PROVEEDORES[[#This Row],[FECHA DE FACTURACIÓN]]-PROVEEDORES[[#This Row],[PLAZO Días]],0)</f>
        <v>0</v>
      </c>
      <c r="U696" s="104" t="str">
        <f>+VLOOKUP(PROVEEDORES[[#This Row],[PROVEEDOR]],Terceros!$A:$D,4,FALSE)</f>
        <v>4% con base</v>
      </c>
      <c r="V696" s="105">
        <f>+YEAR(PROVEEDORES[[#This Row],[FECHA DE FACTURACIÓN]])</f>
        <v>2022</v>
      </c>
      <c r="W696" s="105">
        <f>+MATCH(PROVEEDORES[[#This Row],[año facturado]],Retenciones!$1:$1,0)</f>
        <v>5</v>
      </c>
      <c r="X696" s="106">
        <f>+VLOOKUP(PROVEEDORES[[#This Row],[ID RETENCION]],Retenciones!$A$1:$O$25,PROVEEDORES[[#This Row],[indicador de columna]],FALSE)</f>
        <v>150000</v>
      </c>
      <c r="Y696" s="107">
        <f>+VLOOKUP(PROVEEDORES[[#This Row],[ID RETENCION]],Retenciones!$A$1:$O$25,2,FALSE)</f>
        <v>0.04</v>
      </c>
      <c r="Z696" s="116" t="b">
        <f>OR(COUNTIF(PROVEEDORES[[#This Row],[PROVEEDOR]],"*"&amp;'Palabra no opera'!$A$2&amp;"*"))</f>
        <v>1</v>
      </c>
    </row>
    <row r="697" spans="1:26" ht="22.35" customHeight="1" x14ac:dyDescent="0.3">
      <c r="A697" s="175" t="str">
        <f>+IF(PROVEEDORES[[#This Row],[FECHA DE PAGO]]=PROVEEDORES[[#This Row],[FECHA DE FACTURACIÓN]],"DE CONTADO","CRÉDITO")</f>
        <v>CRÉDITO</v>
      </c>
      <c r="B697" s="38" t="str">
        <f>+IF((PROVEEDORES[[#This Row],[FECHA DE PAGO]]-PROVEEDORES[[#This Row],[FECHA DE FACTURACIÓN]])&gt;PROVEEDORES[[#This Row],[PLAZO Días]],"PAGO VENCIDO")</f>
        <v>PAGO VENCIDO</v>
      </c>
      <c r="C697" s="20">
        <f>+VLOOKUP(PROVEEDORES[[#This Row],[PROVEEDOR]],TERCEROS_INFO[#All],2,FALSE)</f>
        <v>0</v>
      </c>
      <c r="D697" s="25">
        <f>+SUMIFS(PROVEEDORES[Total],PROVEEDORES[PROVEEDOR],PROVEEDORES[[#This Row],[PROVEEDOR]],PROVEEDORES[FECHA DE PAGO],"")</f>
        <v>0</v>
      </c>
      <c r="E697" s="25"/>
      <c r="F697" s="56" t="str">
        <f>+VLOOKUP(PROVEEDORES[[#This Row],[PROVEEDOR]],
                       Terceros!$A:$F,
                       5,
                       FALSE)</f>
        <v>syman07@hotmail.com;girlesa.ruiz@servipilas.com;joriescobar64@gmail.com</v>
      </c>
      <c r="G697" s="68">
        <v>44792</v>
      </c>
      <c r="H697" s="26" t="s">
        <v>838</v>
      </c>
      <c r="I697" s="68">
        <v>44791</v>
      </c>
      <c r="J697" s="35" t="s">
        <v>927</v>
      </c>
      <c r="K697" s="21">
        <v>130000</v>
      </c>
      <c r="L697" s="21"/>
      <c r="M697" s="22">
        <f>(PROVEEDORES[[#This Row],[SUBTOTAL]]-PROVEEDORES[[#This Row],[descuento sobre subtotal]])*VLOOKUP(PROVEEDORES[[#This Row],[PROVEEDOR]],TERCEROS_INFO[#All],3,FALSE)</f>
        <v>24700</v>
      </c>
      <c r="N697" s="23"/>
      <c r="O697" s="22">
        <f>+PROVEEDORES[[#This Row],[Descuento sobre subtotal %]]*(PROVEEDORES[[#This Row],[SUBTOTAL]]-PROVEEDORES[[#This Row],[descuento sobre subtotal]])</f>
        <v>0</v>
      </c>
      <c r="P697" s="74">
        <f>+IF(PROVEEDORES[[#This Row],[SUBTOTAL]]&lt;PROVEEDORES[[#This Row],[base retencion]],0,PROVEEDORES[[#This Row],[retención aplicada]])</f>
        <v>0</v>
      </c>
      <c r="Q697" s="22">
        <f>+PROVEEDORES[[#This Row],[Rete Fuente %]]*(PROVEEDORES[[#This Row],[SUBTOTAL]]-PROVEEDORES[[#This Row],[descuento sobre subtotal]])</f>
        <v>0</v>
      </c>
      <c r="R697" s="21">
        <f>+PROVEEDORES[[#This Row],[SUBTOTAL]]+PROVEEDORES[[#This Row],[IVA 19%]]-PROVEEDORES[[#This Row],[descuento sobre subtotal]]-PROVEEDORES[[#This Row],[Descuento sobre subtotal $2]]-PROVEEDORES[[#This Row],[Rete Fuente $]]</f>
        <v>154700</v>
      </c>
      <c r="S697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63">
        <f ca="1">IF(PROVEEDORES[[#This Row],[FECHA DE PAGO]]=0,TODAY()-PROVEEDORES[[#This Row],[FECHA DE FACTURACIÓN]]-PROVEEDORES[[#This Row],[PLAZO Días]],0)</f>
        <v>0</v>
      </c>
      <c r="U697" s="104" t="str">
        <f>+VLOOKUP(PROVEEDORES[[#This Row],[PROVEEDOR]],Terceros!$A:$D,4,FALSE)</f>
        <v>4% con base</v>
      </c>
      <c r="V697" s="105">
        <f>+YEAR(PROVEEDORES[[#This Row],[FECHA DE FACTURACIÓN]])</f>
        <v>2022</v>
      </c>
      <c r="W697" s="105">
        <f>+MATCH(PROVEEDORES[[#This Row],[año facturado]],Retenciones!$1:$1,0)</f>
        <v>5</v>
      </c>
      <c r="X697" s="106">
        <f>+VLOOKUP(PROVEEDORES[[#This Row],[ID RETENCION]],Retenciones!$A$1:$O$25,PROVEEDORES[[#This Row],[indicador de columna]],FALSE)</f>
        <v>150000</v>
      </c>
      <c r="Y697" s="107">
        <f>+VLOOKUP(PROVEEDORES[[#This Row],[ID RETENCION]],Retenciones!$A$1:$O$25,2,FALSE)</f>
        <v>0.04</v>
      </c>
      <c r="Z697" s="116" t="b">
        <f>OR(COUNTIF(PROVEEDORES[[#This Row],[PROVEEDOR]],"*"&amp;'Palabra no opera'!$A$2&amp;"*"))</f>
        <v>1</v>
      </c>
    </row>
    <row r="698" spans="1:26" ht="22.35" customHeight="1" x14ac:dyDescent="0.3">
      <c r="A698" s="182" t="str">
        <f>+IF(PROVEEDORES[[#This Row],[FECHA DE PAGO]]=PROVEEDORES[[#This Row],[FECHA DE FACTURACIÓN]],"DE CONTADO","CRÉDITO")</f>
        <v>CRÉDITO</v>
      </c>
      <c r="B698" s="38" t="b">
        <f>+IF((PROVEEDORES[[#This Row],[FECHA DE PAGO]]-PROVEEDORES[[#This Row],[FECHA DE FACTURACIÓN]])&gt;PROVEEDORES[[#This Row],[PLAZO Días]],"PAGO VENCIDO")</f>
        <v>0</v>
      </c>
      <c r="C698" s="20">
        <f>+VLOOKUP(PROVEEDORES[[#This Row],[PROVEEDOR]],TERCEROS_INFO[#All],2,FALSE)</f>
        <v>30</v>
      </c>
      <c r="D698" s="25">
        <f>+SUMIFS(PROVEEDORES[Total],PROVEEDORES[PROVEEDOR],PROVEEDORES[[#This Row],[PROVEEDOR]],PROVEEDORES[FECHA DE PAGO],"")</f>
        <v>0</v>
      </c>
      <c r="E698" s="25"/>
      <c r="F698" s="56" t="str">
        <f>+VLOOKUP(PROVEEDORES[[#This Row],[PROVEEDOR]],
                       Terceros!$A:$F,
                       5,
                       FALSE)</f>
        <v/>
      </c>
      <c r="G698" s="68">
        <v>44793</v>
      </c>
      <c r="H698" s="26" t="s">
        <v>356</v>
      </c>
      <c r="I698" s="68">
        <v>44785</v>
      </c>
      <c r="J698" s="35" t="s">
        <v>947</v>
      </c>
      <c r="K698" s="21">
        <v>1708000</v>
      </c>
      <c r="L698" s="21"/>
      <c r="M698" s="22">
        <f>(PROVEEDORES[[#This Row],[SUBTOTAL]]-PROVEEDORES[[#This Row],[descuento sobre subtotal]])*VLOOKUP(PROVEEDORES[[#This Row],[PROVEEDOR]],TERCEROS_INFO[#All],3,FALSE)</f>
        <v>0</v>
      </c>
      <c r="N698" s="23"/>
      <c r="O698" s="22">
        <f>+PROVEEDORES[[#This Row],[Descuento sobre subtotal %]]*(PROVEEDORES[[#This Row],[SUBTOTAL]]-PROVEEDORES[[#This Row],[descuento sobre subtotal]])</f>
        <v>0</v>
      </c>
      <c r="P698" s="74">
        <f>+IF(PROVEEDORES[[#This Row],[SUBTOTAL]]&lt;PROVEEDORES[[#This Row],[base retencion]],0,PROVEEDORES[[#This Row],[retención aplicada]])</f>
        <v>0</v>
      </c>
      <c r="Q698" s="22">
        <f>+PROVEEDORES[[#This Row],[Rete Fuente %]]*(PROVEEDORES[[#This Row],[SUBTOTAL]]-PROVEEDORES[[#This Row],[descuento sobre subtotal]])</f>
        <v>0</v>
      </c>
      <c r="R698" s="21">
        <f>+PROVEEDORES[[#This Row],[SUBTOTAL]]+PROVEEDORES[[#This Row],[IVA 19%]]-PROVEEDORES[[#This Row],[descuento sobre subtotal]]-PROVEEDORES[[#This Row],[Descuento sobre subtotal $2]]-PROVEEDORES[[#This Row],[Rete Fuente $]]</f>
        <v>1708000</v>
      </c>
      <c r="S69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63">
        <f ca="1">IF(PROVEEDORES[[#This Row],[FECHA DE PAGO]]=0,TODAY()-PROVEEDORES[[#This Row],[FECHA DE FACTURACIÓN]]-PROVEEDORES[[#This Row],[PLAZO Días]],0)</f>
        <v>0</v>
      </c>
      <c r="U698" s="104">
        <f>+VLOOKUP(PROVEEDORES[[#This Row],[PROVEEDOR]],Terceros!$A:$D,4,FALSE)</f>
        <v>0</v>
      </c>
      <c r="V698" s="105">
        <f>+YEAR(PROVEEDORES[[#This Row],[FECHA DE FACTURACIÓN]])</f>
        <v>2022</v>
      </c>
      <c r="W698" s="105">
        <f>+MATCH(PROVEEDORES[[#This Row],[año facturado]],Retenciones!$1:$1,0)</f>
        <v>5</v>
      </c>
      <c r="X698" s="106">
        <f>+VLOOKUP(PROVEEDORES[[#This Row],[ID RETENCION]],Retenciones!$A$1:$O$25,PROVEEDORES[[#This Row],[indicador de columna]],FALSE)</f>
        <v>0</v>
      </c>
      <c r="Y698" s="107">
        <f>+VLOOKUP(PROVEEDORES[[#This Row],[ID RETENCION]],Retenciones!$A$1:$O$25,2,FALSE)</f>
        <v>0</v>
      </c>
      <c r="Z698" s="116" t="b">
        <f>OR(COUNTIF(PROVEEDORES[[#This Row],[PROVEEDOR]],"*"&amp;'Palabra no opera'!$A$2&amp;"*"))</f>
        <v>0</v>
      </c>
    </row>
    <row r="699" spans="1:26" ht="22.35" customHeight="1" x14ac:dyDescent="0.3">
      <c r="A699" s="182" t="str">
        <f>+IF(PROVEEDORES[[#This Row],[FECHA DE PAGO]]=PROVEEDORES[[#This Row],[FECHA DE FACTURACIÓN]],"DE CONTADO","CRÉDITO")</f>
        <v>DE CONTADO</v>
      </c>
      <c r="B699" s="38" t="b">
        <f>+IF((PROVEEDORES[[#This Row],[FECHA DE PAGO]]-PROVEEDORES[[#This Row],[FECHA DE FACTURACIÓN]])&gt;PROVEEDORES[[#This Row],[PLAZO Días]],"PAGO VENCIDO")</f>
        <v>0</v>
      </c>
      <c r="C699" s="20">
        <f>+VLOOKUP(PROVEEDORES[[#This Row],[PROVEEDOR]],TERCEROS_INFO[#All],2,FALSE)</f>
        <v>30</v>
      </c>
      <c r="D699" s="25">
        <f>+SUMIFS(PROVEEDORES[Total],PROVEEDORES[PROVEEDOR],PROVEEDORES[[#This Row],[PROVEEDOR]],PROVEEDORES[FECHA DE PAGO],"")</f>
        <v>0</v>
      </c>
      <c r="E699" s="25"/>
      <c r="F699" s="56" t="str">
        <f>+VLOOKUP(PROVEEDORES[[#This Row],[PROVEEDOR]],
                       Terceros!$A:$F,
                       5,
                       FALSE)</f>
        <v/>
      </c>
      <c r="G699" s="68">
        <v>44793</v>
      </c>
      <c r="H699" s="26" t="s">
        <v>390</v>
      </c>
      <c r="I699" s="68">
        <v>44793</v>
      </c>
      <c r="J699" s="35"/>
      <c r="K699" s="21">
        <v>888000</v>
      </c>
      <c r="L699" s="21"/>
      <c r="M699" s="22">
        <f>(PROVEEDORES[[#This Row],[SUBTOTAL]]-PROVEEDORES[[#This Row],[descuento sobre subtotal]])*VLOOKUP(PROVEEDORES[[#This Row],[PROVEEDOR]],TERCEROS_INFO[#All],3,FALSE)</f>
        <v>0</v>
      </c>
      <c r="N699" s="23"/>
      <c r="O699" s="22">
        <f>+PROVEEDORES[[#This Row],[Descuento sobre subtotal %]]*(PROVEEDORES[[#This Row],[SUBTOTAL]]-PROVEEDORES[[#This Row],[descuento sobre subtotal]])</f>
        <v>0</v>
      </c>
      <c r="P699" s="74">
        <f>+IF(PROVEEDORES[[#This Row],[SUBTOTAL]]&lt;PROVEEDORES[[#This Row],[base retencion]],0,PROVEEDORES[[#This Row],[retención aplicada]])</f>
        <v>0</v>
      </c>
      <c r="Q699" s="22">
        <f>+PROVEEDORES[[#This Row],[Rete Fuente %]]*(PROVEEDORES[[#This Row],[SUBTOTAL]]-PROVEEDORES[[#This Row],[descuento sobre subtotal]])</f>
        <v>0</v>
      </c>
      <c r="R699" s="21">
        <f>+PROVEEDORES[[#This Row],[SUBTOTAL]]+PROVEEDORES[[#This Row],[IVA 19%]]-PROVEEDORES[[#This Row],[descuento sobre subtotal]]-PROVEEDORES[[#This Row],[Descuento sobre subtotal $2]]-PROVEEDORES[[#This Row],[Rete Fuente $]]</f>
        <v>888000</v>
      </c>
      <c r="S69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63">
        <f ca="1">IF(PROVEEDORES[[#This Row],[FECHA DE PAGO]]=0,TODAY()-PROVEEDORES[[#This Row],[FECHA DE FACTURACIÓN]]-PROVEEDORES[[#This Row],[PLAZO Días]],0)</f>
        <v>0</v>
      </c>
      <c r="U699" s="104">
        <f>+VLOOKUP(PROVEEDORES[[#This Row],[PROVEEDOR]],Terceros!$A:$D,4,FALSE)</f>
        <v>0</v>
      </c>
      <c r="V699" s="105">
        <f>+YEAR(PROVEEDORES[[#This Row],[FECHA DE FACTURACIÓN]])</f>
        <v>2022</v>
      </c>
      <c r="W699" s="105">
        <f>+MATCH(PROVEEDORES[[#This Row],[año facturado]],Retenciones!$1:$1,0)</f>
        <v>5</v>
      </c>
      <c r="X699" s="106">
        <f>+VLOOKUP(PROVEEDORES[[#This Row],[ID RETENCION]],Retenciones!$A$1:$O$25,PROVEEDORES[[#This Row],[indicador de columna]],FALSE)</f>
        <v>0</v>
      </c>
      <c r="Y699" s="107">
        <f>+VLOOKUP(PROVEEDORES[[#This Row],[ID RETENCION]],Retenciones!$A$1:$O$25,2,FALSE)</f>
        <v>0</v>
      </c>
      <c r="Z699" s="116" t="b">
        <f>OR(COUNTIF(PROVEEDORES[[#This Row],[PROVEEDOR]],"*"&amp;'Palabra no opera'!$A$2&amp;"*"))</f>
        <v>0</v>
      </c>
    </row>
    <row r="700" spans="1:26" ht="22.35" customHeight="1" x14ac:dyDescent="0.3">
      <c r="A700" s="163" t="str">
        <f>+IF(PROVEEDORES[[#This Row],[FECHA DE PAGO]]=PROVEEDORES[[#This Row],[FECHA DE FACTURACIÓN]],"DE CONTADO","CRÉDITO")</f>
        <v>CRÉDITO</v>
      </c>
      <c r="B700" s="38" t="str">
        <f>+IF((PROVEEDORES[[#This Row],[FECHA DE PAGO]]-PROVEEDORES[[#This Row],[FECHA DE FACTURACIÓN]])&gt;PROVEEDORES[[#This Row],[PLAZO Días]],"PAGO VENCIDO")</f>
        <v>PAGO VENCIDO</v>
      </c>
      <c r="C700" s="20">
        <f>+VLOOKUP(PROVEEDORES[[#This Row],[PROVEEDOR]],TERCEROS_INFO[#All],2,FALSE)</f>
        <v>30</v>
      </c>
      <c r="D700" s="25">
        <f>+SUMIFS(PROVEEDORES[Total],PROVEEDORES[PROVEEDOR],PROVEEDORES[[#This Row],[PROVEEDOR]],PROVEEDORES[FECHA DE PAGO],"")</f>
        <v>0</v>
      </c>
      <c r="E700" s="25"/>
      <c r="F700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700" s="68">
        <v>44795</v>
      </c>
      <c r="H700" s="26" t="s">
        <v>343</v>
      </c>
      <c r="I700" s="68">
        <v>44743</v>
      </c>
      <c r="J700" s="35" t="s">
        <v>1045</v>
      </c>
      <c r="K700" s="21">
        <v>2659000</v>
      </c>
      <c r="L700" s="21"/>
      <c r="M700" s="22">
        <f>(PROVEEDORES[[#This Row],[SUBTOTAL]]-PROVEEDORES[[#This Row],[descuento sobre subtotal]])*VLOOKUP(PROVEEDORES[[#This Row],[PROVEEDOR]],TERCEROS_INFO[#All],3,FALSE)</f>
        <v>0</v>
      </c>
      <c r="N700" s="23"/>
      <c r="O700" s="22">
        <f>+PROVEEDORES[[#This Row],[Descuento sobre subtotal %]]*(PROVEEDORES[[#This Row],[SUBTOTAL]]-PROVEEDORES[[#This Row],[descuento sobre subtotal]])</f>
        <v>0</v>
      </c>
      <c r="P700" s="74">
        <f>+IF(PROVEEDORES[[#This Row],[SUBTOTAL]]&lt;PROVEEDORES[[#This Row],[base retencion]],0,PROVEEDORES[[#This Row],[retención aplicada]])</f>
        <v>0</v>
      </c>
      <c r="Q700" s="22">
        <f>+PROVEEDORES[[#This Row],[Rete Fuente %]]*(PROVEEDORES[[#This Row],[SUBTOTAL]]-PROVEEDORES[[#This Row],[descuento sobre subtotal]])</f>
        <v>0</v>
      </c>
      <c r="R700" s="21">
        <f>+PROVEEDORES[[#This Row],[SUBTOTAL]]+PROVEEDORES[[#This Row],[IVA 19%]]-PROVEEDORES[[#This Row],[descuento sobre subtotal]]-PROVEEDORES[[#This Row],[Descuento sobre subtotal $2]]-PROVEEDORES[[#This Row],[Rete Fuente $]]</f>
        <v>2659000</v>
      </c>
      <c r="S700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63">
        <f ca="1">IF(PROVEEDORES[[#This Row],[FECHA DE PAGO]]=0,TODAY()-PROVEEDORES[[#This Row],[FECHA DE FACTURACIÓN]]-PROVEEDORES[[#This Row],[PLAZO Días]],0)</f>
        <v>0</v>
      </c>
      <c r="U700" s="104">
        <f>+VLOOKUP(PROVEEDORES[[#This Row],[PROVEEDOR]],Terceros!$A:$D,4,FALSE)</f>
        <v>0</v>
      </c>
      <c r="V700" s="105">
        <f>+YEAR(PROVEEDORES[[#This Row],[FECHA DE FACTURACIÓN]])</f>
        <v>2022</v>
      </c>
      <c r="W700" s="105">
        <f>+MATCH(PROVEEDORES[[#This Row],[año facturado]],Retenciones!$1:$1,0)</f>
        <v>5</v>
      </c>
      <c r="X700" s="106">
        <f>+VLOOKUP(PROVEEDORES[[#This Row],[ID RETENCION]],Retenciones!$A$1:$O$25,PROVEEDORES[[#This Row],[indicador de columna]],FALSE)</f>
        <v>0</v>
      </c>
      <c r="Y700" s="107">
        <f>+VLOOKUP(PROVEEDORES[[#This Row],[ID RETENCION]],Retenciones!$A$1:$O$25,2,FALSE)</f>
        <v>0</v>
      </c>
      <c r="Z700" s="116" t="b">
        <f>OR(COUNTIF(PROVEEDORES[[#This Row],[PROVEEDOR]],"*"&amp;'Palabra no opera'!$A$2&amp;"*"))</f>
        <v>0</v>
      </c>
    </row>
    <row r="701" spans="1:26" ht="22.35" customHeight="1" x14ac:dyDescent="0.3">
      <c r="A701" s="148" t="str">
        <f>+IF(PROVEEDORES[[#This Row],[FECHA DE PAGO]]=PROVEEDORES[[#This Row],[FECHA DE FACTURACIÓN]],"DE CONTADO","CRÉDITO")</f>
        <v>CRÉDITO</v>
      </c>
      <c r="B701" s="38" t="str">
        <f>+IF((PROVEEDORES[[#This Row],[FECHA DE PAGO]]-PROVEEDORES[[#This Row],[FECHA DE FACTURACIÓN]])&gt;PROVEEDORES[[#This Row],[PLAZO Días]],"PAGO VENCIDO")</f>
        <v>PAGO VENCIDO</v>
      </c>
      <c r="C701" s="20">
        <f>+VLOOKUP(PROVEEDORES[[#This Row],[PROVEEDOR]],TERCEROS_INFO[#All],2,FALSE)</f>
        <v>30</v>
      </c>
      <c r="D701" s="25">
        <f>+SUMIFS(PROVEEDORES[Total],PROVEEDORES[PROVEEDOR],PROVEEDORES[[#This Row],[PROVEEDOR]],PROVEEDORES[FECHA DE PAGO],"")</f>
        <v>0</v>
      </c>
      <c r="E701" s="25"/>
      <c r="F701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701" s="68">
        <v>44795</v>
      </c>
      <c r="H701" s="26" t="s">
        <v>387</v>
      </c>
      <c r="I701" s="68">
        <v>44716</v>
      </c>
      <c r="J701" s="35" t="s">
        <v>773</v>
      </c>
      <c r="K701" s="21">
        <v>258000</v>
      </c>
      <c r="L701" s="21"/>
      <c r="M701" s="22">
        <f>(PROVEEDORES[[#This Row],[SUBTOTAL]]-PROVEEDORES[[#This Row],[descuento sobre subtotal]])*VLOOKUP(PROVEEDORES[[#This Row],[PROVEEDOR]],TERCEROS_INFO[#All],3,FALSE)</f>
        <v>0</v>
      </c>
      <c r="N701" s="23"/>
      <c r="O701" s="22">
        <f>+PROVEEDORES[[#This Row],[Descuento sobre subtotal %]]*(PROVEEDORES[[#This Row],[SUBTOTAL]]-PROVEEDORES[[#This Row],[descuento sobre subtotal]])</f>
        <v>0</v>
      </c>
      <c r="P701" s="74">
        <f>+IF(PROVEEDORES[[#This Row],[SUBTOTAL]]&lt;PROVEEDORES[[#This Row],[base retencion]],0,PROVEEDORES[[#This Row],[retención aplicada]])</f>
        <v>0</v>
      </c>
      <c r="Q701" s="22">
        <f>+PROVEEDORES[[#This Row],[Rete Fuente %]]*(PROVEEDORES[[#This Row],[SUBTOTAL]]-PROVEEDORES[[#This Row],[descuento sobre subtotal]])</f>
        <v>0</v>
      </c>
      <c r="R701" s="21">
        <f>+PROVEEDORES[[#This Row],[SUBTOTAL]]+PROVEEDORES[[#This Row],[IVA 19%]]-PROVEEDORES[[#This Row],[descuento sobre subtotal]]-PROVEEDORES[[#This Row],[Descuento sobre subtotal $2]]-PROVEEDORES[[#This Row],[Rete Fuente $]]</f>
        <v>258000</v>
      </c>
      <c r="S70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63">
        <f ca="1">IF(PROVEEDORES[[#This Row],[FECHA DE PAGO]]=0,TODAY()-PROVEEDORES[[#This Row],[FECHA DE FACTURACIÓN]]-PROVEEDORES[[#This Row],[PLAZO Días]],0)</f>
        <v>0</v>
      </c>
      <c r="U701" s="104">
        <f>+VLOOKUP(PROVEEDORES[[#This Row],[PROVEEDOR]],Terceros!$A:$D,4,FALSE)</f>
        <v>0</v>
      </c>
      <c r="V701" s="105">
        <f>+YEAR(PROVEEDORES[[#This Row],[FECHA DE FACTURACIÓN]])</f>
        <v>2022</v>
      </c>
      <c r="W701" s="105">
        <f>+MATCH(PROVEEDORES[[#This Row],[año facturado]],Retenciones!$1:$1,0)</f>
        <v>5</v>
      </c>
      <c r="X701" s="106">
        <f>+VLOOKUP(PROVEEDORES[[#This Row],[ID RETENCION]],Retenciones!$A$1:$O$25,PROVEEDORES[[#This Row],[indicador de columna]],FALSE)</f>
        <v>0</v>
      </c>
      <c r="Y701" s="107">
        <f>+VLOOKUP(PROVEEDORES[[#This Row],[ID RETENCION]],Retenciones!$A$1:$O$25,2,FALSE)</f>
        <v>0</v>
      </c>
      <c r="Z701" s="116" t="b">
        <f>OR(COUNTIF(PROVEEDORES[[#This Row],[PROVEEDOR]],"*"&amp;'Palabra no opera'!$A$2&amp;"*"))</f>
        <v>0</v>
      </c>
    </row>
    <row r="702" spans="1:26" ht="22.35" customHeight="1" x14ac:dyDescent="0.3">
      <c r="A702" s="148" t="str">
        <f>+IF(PROVEEDORES[[#This Row],[FECHA DE PAGO]]=PROVEEDORES[[#This Row],[FECHA DE FACTURACIÓN]],"DE CONTADO","CRÉDITO")</f>
        <v>CRÉDITO</v>
      </c>
      <c r="B702" s="38" t="str">
        <f>+IF((PROVEEDORES[[#This Row],[FECHA DE PAGO]]-PROVEEDORES[[#This Row],[FECHA DE FACTURACIÓN]])&gt;PROVEEDORES[[#This Row],[PLAZO Días]],"PAGO VENCIDO")</f>
        <v>PAGO VENCIDO</v>
      </c>
      <c r="C702" s="20">
        <f>+VLOOKUP(PROVEEDORES[[#This Row],[PROVEEDOR]],TERCEROS_INFO[#All],2,FALSE)</f>
        <v>30</v>
      </c>
      <c r="D702" s="25">
        <f>+SUMIFS(PROVEEDORES[Total],PROVEEDORES[PROVEEDOR],PROVEEDORES[[#This Row],[PROVEEDOR]],PROVEEDORES[FECHA DE PAGO],"")</f>
        <v>0</v>
      </c>
      <c r="E702" s="25"/>
      <c r="F702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702" s="68">
        <v>44795</v>
      </c>
      <c r="H702" s="26" t="s">
        <v>387</v>
      </c>
      <c r="I702" s="68">
        <v>44716</v>
      </c>
      <c r="J702" s="35" t="s">
        <v>778</v>
      </c>
      <c r="K702" s="21">
        <v>4213300</v>
      </c>
      <c r="L702" s="21"/>
      <c r="M702" s="22">
        <f>(PROVEEDORES[[#This Row],[SUBTOTAL]]-PROVEEDORES[[#This Row],[descuento sobre subtotal]])*VLOOKUP(PROVEEDORES[[#This Row],[PROVEEDOR]],TERCEROS_INFO[#All],3,FALSE)</f>
        <v>0</v>
      </c>
      <c r="N702" s="23"/>
      <c r="O702" s="22">
        <f>+PROVEEDORES[[#This Row],[Descuento sobre subtotal %]]*(PROVEEDORES[[#This Row],[SUBTOTAL]]-PROVEEDORES[[#This Row],[descuento sobre subtotal]])</f>
        <v>0</v>
      </c>
      <c r="P702" s="74">
        <f>+IF(PROVEEDORES[[#This Row],[SUBTOTAL]]&lt;PROVEEDORES[[#This Row],[base retencion]],0,PROVEEDORES[[#This Row],[retención aplicada]])</f>
        <v>0</v>
      </c>
      <c r="Q702" s="22">
        <f>+PROVEEDORES[[#This Row],[Rete Fuente %]]*(PROVEEDORES[[#This Row],[SUBTOTAL]]-PROVEEDORES[[#This Row],[descuento sobre subtotal]])</f>
        <v>0</v>
      </c>
      <c r="R702" s="21">
        <f>+PROVEEDORES[[#This Row],[SUBTOTAL]]+PROVEEDORES[[#This Row],[IVA 19%]]-PROVEEDORES[[#This Row],[descuento sobre subtotal]]-PROVEEDORES[[#This Row],[Descuento sobre subtotal $2]]-PROVEEDORES[[#This Row],[Rete Fuente $]]</f>
        <v>4213300</v>
      </c>
      <c r="S702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63">
        <f ca="1">IF(PROVEEDORES[[#This Row],[FECHA DE PAGO]]=0,TODAY()-PROVEEDORES[[#This Row],[FECHA DE FACTURACIÓN]]-PROVEEDORES[[#This Row],[PLAZO Días]],0)</f>
        <v>0</v>
      </c>
      <c r="U702" s="104">
        <f>+VLOOKUP(PROVEEDORES[[#This Row],[PROVEEDOR]],Terceros!$A:$D,4,FALSE)</f>
        <v>0</v>
      </c>
      <c r="V702" s="105">
        <f>+YEAR(PROVEEDORES[[#This Row],[FECHA DE FACTURACIÓN]])</f>
        <v>2022</v>
      </c>
      <c r="W702" s="105">
        <f>+MATCH(PROVEEDORES[[#This Row],[año facturado]],Retenciones!$1:$1,0)</f>
        <v>5</v>
      </c>
      <c r="X702" s="106">
        <f>+VLOOKUP(PROVEEDORES[[#This Row],[ID RETENCION]],Retenciones!$A$1:$O$25,PROVEEDORES[[#This Row],[indicador de columna]],FALSE)</f>
        <v>0</v>
      </c>
      <c r="Y702" s="107">
        <f>+VLOOKUP(PROVEEDORES[[#This Row],[ID RETENCION]],Retenciones!$A$1:$O$25,2,FALSE)</f>
        <v>0</v>
      </c>
      <c r="Z702" s="116" t="b">
        <f>OR(COUNTIF(PROVEEDORES[[#This Row],[PROVEEDOR]],"*"&amp;'Palabra no opera'!$A$2&amp;"*"))</f>
        <v>0</v>
      </c>
    </row>
    <row r="703" spans="1:26" ht="22.35" customHeight="1" x14ac:dyDescent="0.3">
      <c r="A703" s="175" t="str">
        <f>+IF(PROVEEDORES[[#This Row],[FECHA DE PAGO]]=PROVEEDORES[[#This Row],[FECHA DE FACTURACIÓN]],"DE CONTADO","CRÉDITO")</f>
        <v>CRÉDITO</v>
      </c>
      <c r="B703" s="38" t="b">
        <f>+IF((PROVEEDORES[[#This Row],[FECHA DE PAGO]]-PROVEEDORES[[#This Row],[FECHA DE FACTURACIÓN]])&gt;PROVEEDORES[[#This Row],[PLAZO Días]],"PAGO VENCIDO")</f>
        <v>0</v>
      </c>
      <c r="C703" s="20">
        <f>+VLOOKUP(PROVEEDORES[[#This Row],[PROVEEDOR]],TERCEROS_INFO[#All],2,FALSE)</f>
        <v>30</v>
      </c>
      <c r="D703" s="25">
        <f>+SUMIFS(PROVEEDORES[Total],PROVEEDORES[PROVEEDOR],PROVEEDORES[[#This Row],[PROVEEDOR]],PROVEEDORES[FECHA DE PAGO],"")</f>
        <v>0</v>
      </c>
      <c r="E703" s="25" t="s">
        <v>918</v>
      </c>
      <c r="F703" s="56" t="str">
        <f>+VLOOKUP(PROVEEDORES[[#This Row],[PROVEEDOR]],
                       Terceros!$A:$F,
                       5,
                       FALSE)</f>
        <v/>
      </c>
      <c r="G703" s="68">
        <v>44796</v>
      </c>
      <c r="H703" s="26" t="s">
        <v>832</v>
      </c>
      <c r="I703" s="68">
        <v>44790</v>
      </c>
      <c r="J703" s="35" t="s">
        <v>862</v>
      </c>
      <c r="K703" s="21">
        <v>-120000</v>
      </c>
      <c r="L703" s="21"/>
      <c r="M703" s="22">
        <f>(PROVEEDORES[[#This Row],[SUBTOTAL]]-PROVEEDORES[[#This Row],[descuento sobre subtotal]])*VLOOKUP(PROVEEDORES[[#This Row],[PROVEEDOR]],TERCEROS_INFO[#All],3,FALSE)</f>
        <v>0</v>
      </c>
      <c r="N703" s="23"/>
      <c r="O703" s="22">
        <f>+PROVEEDORES[[#This Row],[Descuento sobre subtotal %]]*(PROVEEDORES[[#This Row],[SUBTOTAL]]-PROVEEDORES[[#This Row],[descuento sobre subtotal]])</f>
        <v>0</v>
      </c>
      <c r="P703" s="74">
        <f>+IF(PROVEEDORES[[#This Row],[SUBTOTAL]]&lt;PROVEEDORES[[#This Row],[base retencion]],0,PROVEEDORES[[#This Row],[retención aplicada]])</f>
        <v>0</v>
      </c>
      <c r="Q703" s="22">
        <f>+PROVEEDORES[[#This Row],[Rete Fuente %]]*(PROVEEDORES[[#This Row],[SUBTOTAL]]-PROVEEDORES[[#This Row],[descuento sobre subtotal]])</f>
        <v>0</v>
      </c>
      <c r="R703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703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63">
        <f ca="1">IF(PROVEEDORES[[#This Row],[FECHA DE PAGO]]=0,TODAY()-PROVEEDORES[[#This Row],[FECHA DE FACTURACIÓN]]-PROVEEDORES[[#This Row],[PLAZO Días]],0)</f>
        <v>0</v>
      </c>
      <c r="U703" s="104">
        <f>+VLOOKUP(PROVEEDORES[[#This Row],[PROVEEDOR]],Terceros!$A:$D,4,FALSE)</f>
        <v>0</v>
      </c>
      <c r="V703" s="105">
        <f>+YEAR(PROVEEDORES[[#This Row],[FECHA DE FACTURACIÓN]])</f>
        <v>2022</v>
      </c>
      <c r="W703" s="105">
        <f>+MATCH(PROVEEDORES[[#This Row],[año facturado]],Retenciones!$1:$1,0)</f>
        <v>5</v>
      </c>
      <c r="X703" s="106">
        <f>+VLOOKUP(PROVEEDORES[[#This Row],[ID RETENCION]],Retenciones!$A$1:$O$25,PROVEEDORES[[#This Row],[indicador de columna]],FALSE)</f>
        <v>0</v>
      </c>
      <c r="Y703" s="107">
        <f>+VLOOKUP(PROVEEDORES[[#This Row],[ID RETENCION]],Retenciones!$A$1:$O$25,2,FALSE)</f>
        <v>0</v>
      </c>
      <c r="Z703" s="116" t="b">
        <f>OR(COUNTIF(PROVEEDORES[[#This Row],[PROVEEDOR]],"*"&amp;'Palabra no opera'!$A$2&amp;"*"))</f>
        <v>1</v>
      </c>
    </row>
    <row r="704" spans="1:26" ht="22.35" customHeight="1" x14ac:dyDescent="0.3">
      <c r="A704" s="175" t="str">
        <f>+IF(PROVEEDORES[[#This Row],[FECHA DE PAGO]]=PROVEEDORES[[#This Row],[FECHA DE FACTURACIÓN]],"DE CONTADO","CRÉDITO")</f>
        <v>CRÉDITO</v>
      </c>
      <c r="B704" s="38" t="b">
        <f>+IF((PROVEEDORES[[#This Row],[FECHA DE PAGO]]-PROVEEDORES[[#This Row],[FECHA DE FACTURACIÓN]])&gt;PROVEEDORES[[#This Row],[PLAZO Días]],"PAGO VENCIDO")</f>
        <v>0</v>
      </c>
      <c r="C704" s="20">
        <f>+VLOOKUP(PROVEEDORES[[#This Row],[PROVEEDOR]],TERCEROS_INFO[#All],2,FALSE)</f>
        <v>30</v>
      </c>
      <c r="D704" s="25">
        <f>+SUMIFS(PROVEEDORES[Total],PROVEEDORES[PROVEEDOR],PROVEEDORES[[#This Row],[PROVEEDOR]],PROVEEDORES[FECHA DE PAGO],"")</f>
        <v>0</v>
      </c>
      <c r="E704" s="25"/>
      <c r="F704" s="56" t="str">
        <f>+VLOOKUP(PROVEEDORES[[#This Row],[PROVEEDOR]],
                       Terceros!$A:$F,
                       5,
                       FALSE)</f>
        <v/>
      </c>
      <c r="G704" s="68">
        <v>44796</v>
      </c>
      <c r="H704" s="26" t="s">
        <v>832</v>
      </c>
      <c r="I704" s="68">
        <v>44790</v>
      </c>
      <c r="J704" s="35" t="s">
        <v>923</v>
      </c>
      <c r="K704" s="21">
        <v>178500</v>
      </c>
      <c r="L704" s="21"/>
      <c r="M704" s="22">
        <f>(PROVEEDORES[[#This Row],[SUBTOTAL]]-PROVEEDORES[[#This Row],[descuento sobre subtotal]])*VLOOKUP(PROVEEDORES[[#This Row],[PROVEEDOR]],TERCEROS_INFO[#All],3,FALSE)</f>
        <v>0</v>
      </c>
      <c r="N704" s="23"/>
      <c r="O704" s="22">
        <f>+PROVEEDORES[[#This Row],[Descuento sobre subtotal %]]*(PROVEEDORES[[#This Row],[SUBTOTAL]]-PROVEEDORES[[#This Row],[descuento sobre subtotal]])</f>
        <v>0</v>
      </c>
      <c r="P704" s="74">
        <f>+IF(PROVEEDORES[[#This Row],[SUBTOTAL]]&lt;PROVEEDORES[[#This Row],[base retencion]],0,PROVEEDORES[[#This Row],[retención aplicada]])</f>
        <v>0</v>
      </c>
      <c r="Q704" s="22">
        <f>+PROVEEDORES[[#This Row],[Rete Fuente %]]*(PROVEEDORES[[#This Row],[SUBTOTAL]]-PROVEEDORES[[#This Row],[descuento sobre subtotal]])</f>
        <v>0</v>
      </c>
      <c r="R704" s="21">
        <f>+PROVEEDORES[[#This Row],[SUBTOTAL]]+PROVEEDORES[[#This Row],[IVA 19%]]-PROVEEDORES[[#This Row],[descuento sobre subtotal]]-PROVEEDORES[[#This Row],[Descuento sobre subtotal $2]]-PROVEEDORES[[#This Row],[Rete Fuente $]]</f>
        <v>178500</v>
      </c>
      <c r="S704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63">
        <f ca="1">IF(PROVEEDORES[[#This Row],[FECHA DE PAGO]]=0,TODAY()-PROVEEDORES[[#This Row],[FECHA DE FACTURACIÓN]]-PROVEEDORES[[#This Row],[PLAZO Días]],0)</f>
        <v>0</v>
      </c>
      <c r="U704" s="104">
        <f>+VLOOKUP(PROVEEDORES[[#This Row],[PROVEEDOR]],Terceros!$A:$D,4,FALSE)</f>
        <v>0</v>
      </c>
      <c r="V704" s="105">
        <f>+YEAR(PROVEEDORES[[#This Row],[FECHA DE FACTURACIÓN]])</f>
        <v>2022</v>
      </c>
      <c r="W704" s="105">
        <f>+MATCH(PROVEEDORES[[#This Row],[año facturado]],Retenciones!$1:$1,0)</f>
        <v>5</v>
      </c>
      <c r="X704" s="106">
        <f>+VLOOKUP(PROVEEDORES[[#This Row],[ID RETENCION]],Retenciones!$A$1:$O$25,PROVEEDORES[[#This Row],[indicador de columna]],FALSE)</f>
        <v>0</v>
      </c>
      <c r="Y704" s="107">
        <f>+VLOOKUP(PROVEEDORES[[#This Row],[ID RETENCION]],Retenciones!$A$1:$O$25,2,FALSE)</f>
        <v>0</v>
      </c>
      <c r="Z704" s="116" t="b">
        <f>OR(COUNTIF(PROVEEDORES[[#This Row],[PROVEEDOR]],"*"&amp;'Palabra no opera'!$A$2&amp;"*"))</f>
        <v>1</v>
      </c>
    </row>
    <row r="705" spans="1:26" ht="22.35" customHeight="1" x14ac:dyDescent="0.3">
      <c r="A705" s="175" t="str">
        <f>+IF(PROVEEDORES[[#This Row],[FECHA DE PAGO]]=PROVEEDORES[[#This Row],[FECHA DE FACTURACIÓN]],"DE CONTADO","CRÉDITO")</f>
        <v>CRÉDITO</v>
      </c>
      <c r="B705" s="38" t="b">
        <f>+IF((PROVEEDORES[[#This Row],[FECHA DE PAGO]]-PROVEEDORES[[#This Row],[FECHA DE FACTURACIÓN]])&gt;PROVEEDORES[[#This Row],[PLAZO Días]],"PAGO VENCIDO")</f>
        <v>0</v>
      </c>
      <c r="C705" s="20">
        <f>+VLOOKUP(PROVEEDORES[[#This Row],[PROVEEDOR]],TERCEROS_INFO[#All],2,FALSE)</f>
        <v>30</v>
      </c>
      <c r="D705" s="25">
        <f>+SUMIFS(PROVEEDORES[Total],PROVEEDORES[PROVEEDOR],PROVEEDORES[[#This Row],[PROVEEDOR]],PROVEEDORES[FECHA DE PAGO],"")</f>
        <v>0</v>
      </c>
      <c r="E705" s="25"/>
      <c r="F705" s="56" t="str">
        <f>+VLOOKUP(PROVEEDORES[[#This Row],[PROVEEDOR]],
                       Terceros!$A:$F,
                       5,
                       FALSE)</f>
        <v/>
      </c>
      <c r="G705" s="68">
        <v>44796</v>
      </c>
      <c r="H705" s="26" t="s">
        <v>832</v>
      </c>
      <c r="I705" s="68">
        <v>44790</v>
      </c>
      <c r="J705" s="35" t="s">
        <v>862</v>
      </c>
      <c r="K705" s="21">
        <v>293580</v>
      </c>
      <c r="L705" s="21"/>
      <c r="M705" s="22">
        <f>(PROVEEDORES[[#This Row],[SUBTOTAL]]-PROVEEDORES[[#This Row],[descuento sobre subtotal]])*VLOOKUP(PROVEEDORES[[#This Row],[PROVEEDOR]],TERCEROS_INFO[#All],3,FALSE)</f>
        <v>0</v>
      </c>
      <c r="N705" s="23"/>
      <c r="O705" s="22">
        <f>+PROVEEDORES[[#This Row],[Descuento sobre subtotal %]]*(PROVEEDORES[[#This Row],[SUBTOTAL]]-PROVEEDORES[[#This Row],[descuento sobre subtotal]])</f>
        <v>0</v>
      </c>
      <c r="P705" s="74">
        <f>+IF(PROVEEDORES[[#This Row],[SUBTOTAL]]&lt;PROVEEDORES[[#This Row],[base retencion]],0,PROVEEDORES[[#This Row],[retención aplicada]])</f>
        <v>0</v>
      </c>
      <c r="Q705" s="22">
        <f>+PROVEEDORES[[#This Row],[Rete Fuente %]]*(PROVEEDORES[[#This Row],[SUBTOTAL]]-PROVEEDORES[[#This Row],[descuento sobre subtotal]])</f>
        <v>0</v>
      </c>
      <c r="R705" s="21">
        <f>+PROVEEDORES[[#This Row],[SUBTOTAL]]+PROVEEDORES[[#This Row],[IVA 19%]]-PROVEEDORES[[#This Row],[descuento sobre subtotal]]-PROVEEDORES[[#This Row],[Descuento sobre subtotal $2]]-PROVEEDORES[[#This Row],[Rete Fuente $]]</f>
        <v>293580</v>
      </c>
      <c r="S705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63">
        <f ca="1">IF(PROVEEDORES[[#This Row],[FECHA DE PAGO]]=0,TODAY()-PROVEEDORES[[#This Row],[FECHA DE FACTURACIÓN]]-PROVEEDORES[[#This Row],[PLAZO Días]],0)</f>
        <v>0</v>
      </c>
      <c r="U705" s="104">
        <f>+VLOOKUP(PROVEEDORES[[#This Row],[PROVEEDOR]],Terceros!$A:$D,4,FALSE)</f>
        <v>0</v>
      </c>
      <c r="V705" s="105">
        <f>+YEAR(PROVEEDORES[[#This Row],[FECHA DE FACTURACIÓN]])</f>
        <v>2022</v>
      </c>
      <c r="W705" s="105">
        <f>+MATCH(PROVEEDORES[[#This Row],[año facturado]],Retenciones!$1:$1,0)</f>
        <v>5</v>
      </c>
      <c r="X705" s="106">
        <f>+VLOOKUP(PROVEEDORES[[#This Row],[ID RETENCION]],Retenciones!$A$1:$O$25,PROVEEDORES[[#This Row],[indicador de columna]],FALSE)</f>
        <v>0</v>
      </c>
      <c r="Y705" s="107">
        <f>+VLOOKUP(PROVEEDORES[[#This Row],[ID RETENCION]],Retenciones!$A$1:$O$25,2,FALSE)</f>
        <v>0</v>
      </c>
      <c r="Z705" s="116" t="b">
        <f>OR(COUNTIF(PROVEEDORES[[#This Row],[PROVEEDOR]],"*"&amp;'Palabra no opera'!$A$2&amp;"*"))</f>
        <v>1</v>
      </c>
    </row>
    <row r="706" spans="1:26" ht="22.35" customHeight="1" x14ac:dyDescent="0.3">
      <c r="A706" s="67" t="str">
        <f>+IF(PROVEEDORES[[#This Row],[FECHA DE PAGO]]=PROVEEDORES[[#This Row],[FECHA DE FACTURACIÓN]],"DE CONTADO","CRÉDITO")</f>
        <v>CRÉDITO</v>
      </c>
      <c r="B706" s="38" t="b">
        <f>+IF((PROVEEDORES[[#This Row],[FECHA DE PAGO]]-PROVEEDORES[[#This Row],[FECHA DE FACTURACIÓN]])&gt;PROVEEDORES[[#This Row],[PLAZO Días]],"PAGO VENCIDO")</f>
        <v>0</v>
      </c>
      <c r="C706" s="20">
        <f>+VLOOKUP(PROVEEDORES[[#This Row],[PROVEEDOR]],TERCEROS_INFO[#All],2,FALSE)</f>
        <v>30</v>
      </c>
      <c r="D706" s="25">
        <f>+SUMIFS(PROVEEDORES[Total],PROVEEDORES[PROVEEDOR],PROVEEDORES[[#This Row],[PROVEEDOR]],PROVEEDORES[FECHA DE PAGO],"")</f>
        <v>0</v>
      </c>
      <c r="E706" s="25"/>
      <c r="F706" s="56" t="str">
        <f>+VLOOKUP(PROVEEDORES[[#This Row],[PROVEEDOR]],
                       Terceros!$A:$F,
                       5,
                       FALSE)</f>
        <v/>
      </c>
      <c r="G706" s="68">
        <v>44796</v>
      </c>
      <c r="H706" s="26" t="s">
        <v>832</v>
      </c>
      <c r="I706" s="68">
        <v>44793</v>
      </c>
      <c r="J706" s="35" t="s">
        <v>929</v>
      </c>
      <c r="K706" s="21">
        <v>101400</v>
      </c>
      <c r="L706" s="21"/>
      <c r="M706" s="22">
        <f>(PROVEEDORES[[#This Row],[SUBTOTAL]]-PROVEEDORES[[#This Row],[descuento sobre subtotal]])*VLOOKUP(PROVEEDORES[[#This Row],[PROVEEDOR]],TERCEROS_INFO[#All],3,FALSE)</f>
        <v>0</v>
      </c>
      <c r="N706" s="23"/>
      <c r="O706" s="22">
        <f>+PROVEEDORES[[#This Row],[Descuento sobre subtotal %]]*(PROVEEDORES[[#This Row],[SUBTOTAL]]-PROVEEDORES[[#This Row],[descuento sobre subtotal]])</f>
        <v>0</v>
      </c>
      <c r="P706" s="74">
        <f>+IF(PROVEEDORES[[#This Row],[SUBTOTAL]]&lt;PROVEEDORES[[#This Row],[base retencion]],0,PROVEEDORES[[#This Row],[retención aplicada]])</f>
        <v>0</v>
      </c>
      <c r="Q706" s="22">
        <f>+PROVEEDORES[[#This Row],[Rete Fuente %]]*(PROVEEDORES[[#This Row],[SUBTOTAL]]-PROVEEDORES[[#This Row],[descuento sobre subtotal]])</f>
        <v>0</v>
      </c>
      <c r="R706" s="21">
        <f>+PROVEEDORES[[#This Row],[SUBTOTAL]]+PROVEEDORES[[#This Row],[IVA 19%]]-PROVEEDORES[[#This Row],[descuento sobre subtotal]]-PROVEEDORES[[#This Row],[Descuento sobre subtotal $2]]-PROVEEDORES[[#This Row],[Rete Fuente $]]</f>
        <v>101400</v>
      </c>
      <c r="S7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63">
        <f ca="1">IF(PROVEEDORES[[#This Row],[FECHA DE PAGO]]=0,TODAY()-PROVEEDORES[[#This Row],[FECHA DE FACTURACIÓN]]-PROVEEDORES[[#This Row],[PLAZO Días]],0)</f>
        <v>0</v>
      </c>
      <c r="U706" s="104">
        <f>+VLOOKUP(PROVEEDORES[[#This Row],[PROVEEDOR]],Terceros!$A:$D,4,FALSE)</f>
        <v>0</v>
      </c>
      <c r="V706" s="105">
        <f>+YEAR(PROVEEDORES[[#This Row],[FECHA DE FACTURACIÓN]])</f>
        <v>2022</v>
      </c>
      <c r="W706" s="105">
        <f>+MATCH(PROVEEDORES[[#This Row],[año facturado]],Retenciones!$1:$1,0)</f>
        <v>5</v>
      </c>
      <c r="X706" s="106">
        <f>+VLOOKUP(PROVEEDORES[[#This Row],[ID RETENCION]],Retenciones!$A$1:$O$25,PROVEEDORES[[#This Row],[indicador de columna]],FALSE)</f>
        <v>0</v>
      </c>
      <c r="Y706" s="107">
        <f>+VLOOKUP(PROVEEDORES[[#This Row],[ID RETENCION]],Retenciones!$A$1:$O$25,2,FALSE)</f>
        <v>0</v>
      </c>
      <c r="Z706" s="116" t="b">
        <f>OR(COUNTIF(PROVEEDORES[[#This Row],[PROVEEDOR]],"*"&amp;'Palabra no opera'!$A$2&amp;"*"))</f>
        <v>1</v>
      </c>
    </row>
    <row r="707" spans="1:26" ht="22.35" customHeight="1" x14ac:dyDescent="0.3">
      <c r="A707" s="182" t="str">
        <f>+IF(PROVEEDORES[[#This Row],[FECHA DE PAGO]]=PROVEEDORES[[#This Row],[FECHA DE FACTURACIÓN]],"DE CONTADO","CRÉDITO")</f>
        <v>CRÉDITO</v>
      </c>
      <c r="B707" s="38" t="b">
        <f>+IF((PROVEEDORES[[#This Row],[FECHA DE PAGO]]-PROVEEDORES[[#This Row],[FECHA DE FACTURACIÓN]])&gt;PROVEEDORES[[#This Row],[PLAZO Días]],"PAGO VENCIDO")</f>
        <v>0</v>
      </c>
      <c r="C707" s="20">
        <f>+VLOOKUP(PROVEEDORES[[#This Row],[PROVEEDOR]],TERCEROS_INFO[#All],2,FALSE)</f>
        <v>30</v>
      </c>
      <c r="D707" s="25">
        <f>+SUMIFS(PROVEEDORES[Total],PROVEEDORES[PROVEEDOR],PROVEEDORES[[#This Row],[PROVEEDOR]],PROVEEDORES[FECHA DE PAGO],"")</f>
        <v>0</v>
      </c>
      <c r="E707" s="25"/>
      <c r="F707" s="56" t="str">
        <f>+VLOOKUP(PROVEEDORES[[#This Row],[PROVEEDOR]],
                       Terceros!$A:$F,
                       5,
                       FALSE)</f>
        <v/>
      </c>
      <c r="G707" s="68">
        <v>44796</v>
      </c>
      <c r="H707" s="26" t="s">
        <v>832</v>
      </c>
      <c r="I707" s="68">
        <v>44795</v>
      </c>
      <c r="J707" s="35" t="s">
        <v>930</v>
      </c>
      <c r="K707" s="21">
        <v>146790</v>
      </c>
      <c r="L707" s="21"/>
      <c r="M707" s="22">
        <f>(PROVEEDORES[[#This Row],[SUBTOTAL]]-PROVEEDORES[[#This Row],[descuento sobre subtotal]])*VLOOKUP(PROVEEDORES[[#This Row],[PROVEEDOR]],TERCEROS_INFO[#All],3,FALSE)</f>
        <v>0</v>
      </c>
      <c r="N707" s="23"/>
      <c r="O707" s="22">
        <f>+PROVEEDORES[[#This Row],[Descuento sobre subtotal %]]*(PROVEEDORES[[#This Row],[SUBTOTAL]]-PROVEEDORES[[#This Row],[descuento sobre subtotal]])</f>
        <v>0</v>
      </c>
      <c r="P707" s="74">
        <f>+IF(PROVEEDORES[[#This Row],[SUBTOTAL]]&lt;PROVEEDORES[[#This Row],[base retencion]],0,PROVEEDORES[[#This Row],[retención aplicada]])</f>
        <v>0</v>
      </c>
      <c r="Q707" s="22">
        <f>+PROVEEDORES[[#This Row],[Rete Fuente %]]*(PROVEEDORES[[#This Row],[SUBTOTAL]]-PROVEEDORES[[#This Row],[descuento sobre subtotal]])</f>
        <v>0</v>
      </c>
      <c r="R707" s="21">
        <f>+PROVEEDORES[[#This Row],[SUBTOTAL]]+PROVEEDORES[[#This Row],[IVA 19%]]-PROVEEDORES[[#This Row],[descuento sobre subtotal]]-PROVEEDORES[[#This Row],[Descuento sobre subtotal $2]]-PROVEEDORES[[#This Row],[Rete Fuente $]]</f>
        <v>146790</v>
      </c>
      <c r="S70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63">
        <f ca="1">IF(PROVEEDORES[[#This Row],[FECHA DE PAGO]]=0,TODAY()-PROVEEDORES[[#This Row],[FECHA DE FACTURACIÓN]]-PROVEEDORES[[#This Row],[PLAZO Días]],0)</f>
        <v>0</v>
      </c>
      <c r="U707" s="104">
        <f>+VLOOKUP(PROVEEDORES[[#This Row],[PROVEEDOR]],Terceros!$A:$D,4,FALSE)</f>
        <v>0</v>
      </c>
      <c r="V707" s="105">
        <f>+YEAR(PROVEEDORES[[#This Row],[FECHA DE FACTURACIÓN]])</f>
        <v>2022</v>
      </c>
      <c r="W707" s="105">
        <f>+MATCH(PROVEEDORES[[#This Row],[año facturado]],Retenciones!$1:$1,0)</f>
        <v>5</v>
      </c>
      <c r="X707" s="106">
        <f>+VLOOKUP(PROVEEDORES[[#This Row],[ID RETENCION]],Retenciones!$A$1:$O$25,PROVEEDORES[[#This Row],[indicador de columna]],FALSE)</f>
        <v>0</v>
      </c>
      <c r="Y707" s="107">
        <f>+VLOOKUP(PROVEEDORES[[#This Row],[ID RETENCION]],Retenciones!$A$1:$O$25,2,FALSE)</f>
        <v>0</v>
      </c>
      <c r="Z707" s="116" t="b">
        <f>OR(COUNTIF(PROVEEDORES[[#This Row],[PROVEEDOR]],"*"&amp;'Palabra no opera'!$A$2&amp;"*"))</f>
        <v>1</v>
      </c>
    </row>
    <row r="708" spans="1:26" ht="22.35" customHeight="1" x14ac:dyDescent="0.3">
      <c r="A708" s="67" t="str">
        <f>+IF(PROVEEDORES[[#This Row],[FECHA DE PAGO]]=PROVEEDORES[[#This Row],[FECHA DE FACTURACIÓN]],"DE CONTADO","CRÉDITO")</f>
        <v>CRÉDITO</v>
      </c>
      <c r="B708" s="38" t="b">
        <f>+IF((PROVEEDORES[[#This Row],[FECHA DE PAGO]]-PROVEEDORES[[#This Row],[FECHA DE FACTURACIÓN]])&gt;PROVEEDORES[[#This Row],[PLAZO Días]],"PAGO VENCIDO")</f>
        <v>0</v>
      </c>
      <c r="C708" s="20">
        <f>+VLOOKUP(PROVEEDORES[[#This Row],[PROVEEDOR]],TERCEROS_INFO[#All],2,FALSE)</f>
        <v>30</v>
      </c>
      <c r="D708" s="25">
        <f>+SUMIFS(PROVEEDORES[Total],PROVEEDORES[PROVEEDOR],PROVEEDORES[[#This Row],[PROVEEDOR]],PROVEEDORES[FECHA DE PAGO],"")</f>
        <v>0</v>
      </c>
      <c r="E708" s="25"/>
      <c r="F708" s="56">
        <f>+VLOOKUP(PROVEEDORES[[#This Row],[PROVEEDOR]],
                       Terceros!$A:$F,
                       5,
                       FALSE)</f>
        <v>0</v>
      </c>
      <c r="G708" s="68">
        <v>44796</v>
      </c>
      <c r="H708" s="26" t="s">
        <v>413</v>
      </c>
      <c r="I708" s="68">
        <v>44767</v>
      </c>
      <c r="J708" s="35" t="s">
        <v>856</v>
      </c>
      <c r="K708" s="21">
        <v>1170000</v>
      </c>
      <c r="L708" s="21"/>
      <c r="M708" s="22">
        <f>(PROVEEDORES[[#This Row],[SUBTOTAL]]-PROVEEDORES[[#This Row],[descuento sobre subtotal]])*VLOOKUP(PROVEEDORES[[#This Row],[PROVEEDOR]],TERCEROS_INFO[#All],3,FALSE)</f>
        <v>0</v>
      </c>
      <c r="N708" s="23"/>
      <c r="O708" s="22">
        <f>+PROVEEDORES[[#This Row],[Descuento sobre subtotal %]]*(PROVEEDORES[[#This Row],[SUBTOTAL]]-PROVEEDORES[[#This Row],[descuento sobre subtotal]])</f>
        <v>0</v>
      </c>
      <c r="P708" s="74">
        <f>+IF(PROVEEDORES[[#This Row],[SUBTOTAL]]&lt;PROVEEDORES[[#This Row],[base retencion]],0,PROVEEDORES[[#This Row],[retención aplicada]])</f>
        <v>0</v>
      </c>
      <c r="Q708" s="22">
        <f>+PROVEEDORES[[#This Row],[Rete Fuente %]]*(PROVEEDORES[[#This Row],[SUBTOTAL]]-PROVEEDORES[[#This Row],[descuento sobre subtotal]])</f>
        <v>0</v>
      </c>
      <c r="R708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7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8" s="63">
        <f ca="1">IF(PROVEEDORES[[#This Row],[FECHA DE PAGO]]=0,TODAY()-PROVEEDORES[[#This Row],[FECHA DE FACTURACIÓN]]-PROVEEDORES[[#This Row],[PLAZO Días]],0)</f>
        <v>0</v>
      </c>
      <c r="U708" s="104">
        <f>+VLOOKUP(PROVEEDORES[[#This Row],[PROVEEDOR]],Terceros!$A:$D,4,FALSE)</f>
        <v>0</v>
      </c>
      <c r="V708" s="105">
        <f>+YEAR(PROVEEDORES[[#This Row],[FECHA DE FACTURACIÓN]])</f>
        <v>2022</v>
      </c>
      <c r="W708" s="105">
        <f>+MATCH(PROVEEDORES[[#This Row],[año facturado]],Retenciones!$1:$1,0)</f>
        <v>5</v>
      </c>
      <c r="X708" s="106">
        <f>+VLOOKUP(PROVEEDORES[[#This Row],[ID RETENCION]],Retenciones!$A$1:$O$25,PROVEEDORES[[#This Row],[indicador de columna]],FALSE)</f>
        <v>0</v>
      </c>
      <c r="Y708" s="107">
        <f>+VLOOKUP(PROVEEDORES[[#This Row],[ID RETENCION]],Retenciones!$A$1:$O$25,2,FALSE)</f>
        <v>0</v>
      </c>
      <c r="Z708" s="116" t="b">
        <f>OR(COUNTIF(PROVEEDORES[[#This Row],[PROVEEDOR]],"*"&amp;'Palabra no opera'!$A$2&amp;"*"))</f>
        <v>0</v>
      </c>
    </row>
    <row r="709" spans="1:26" ht="22.35" customHeight="1" x14ac:dyDescent="0.3">
      <c r="A709" s="182" t="str">
        <f>+IF(PROVEEDORES[[#This Row],[FECHA DE PAGO]]=PROVEEDORES[[#This Row],[FECHA DE FACTURACIÓN]],"DE CONTADO","CRÉDITO")</f>
        <v>CRÉDITO</v>
      </c>
      <c r="B709" s="38" t="b">
        <f>+IF((PROVEEDORES[[#This Row],[FECHA DE PAGO]]-PROVEEDORES[[#This Row],[FECHA DE FACTURACIÓN]])&gt;PROVEEDORES[[#This Row],[PLAZO Días]],"PAGO VENCIDO")</f>
        <v>0</v>
      </c>
      <c r="C709" s="20">
        <f>+VLOOKUP(PROVEEDORES[[#This Row],[PROVEEDOR]],TERCEROS_INFO[#All],2,FALSE)</f>
        <v>30</v>
      </c>
      <c r="D709" s="25">
        <f>+SUMIFS(PROVEEDORES[Total],PROVEEDORES[PROVEEDOR],PROVEEDORES[[#This Row],[PROVEEDOR]],PROVEEDORES[FECHA DE PAGO],"")</f>
        <v>0</v>
      </c>
      <c r="E709" s="25"/>
      <c r="F709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709" s="68">
        <v>44796</v>
      </c>
      <c r="H709" s="26" t="s">
        <v>829</v>
      </c>
      <c r="I709" s="68">
        <v>44795</v>
      </c>
      <c r="J709" s="35" t="s">
        <v>950</v>
      </c>
      <c r="K709" s="21">
        <v>1259000</v>
      </c>
      <c r="L709" s="21"/>
      <c r="M709" s="22">
        <v>0</v>
      </c>
      <c r="N709" s="23"/>
      <c r="O709" s="22">
        <f>+PROVEEDORES[[#This Row],[Descuento sobre subtotal %]]*(PROVEEDORES[[#This Row],[SUBTOTAL]]-PROVEEDORES[[#This Row],[descuento sobre subtotal]])</f>
        <v>0</v>
      </c>
      <c r="P709" s="74">
        <f>+IF(PROVEEDORES[[#This Row],[SUBTOTAL]]&lt;PROVEEDORES[[#This Row],[base retencion]],0,PROVEEDORES[[#This Row],[retención aplicada]])</f>
        <v>2.5000000000000001E-2</v>
      </c>
      <c r="Q709" s="22">
        <f>+PROVEEDORES[[#This Row],[Rete Fuente %]]*(PROVEEDORES[[#This Row],[SUBTOTAL]]-PROVEEDORES[[#This Row],[descuento sobre subtotal]])</f>
        <v>31475</v>
      </c>
      <c r="R709" s="21">
        <f>+PROVEEDORES[[#This Row],[SUBTOTAL]]+PROVEEDORES[[#This Row],[IVA 19%]]-PROVEEDORES[[#This Row],[descuento sobre subtotal]]-PROVEEDORES[[#This Row],[Descuento sobre subtotal $2]]-PROVEEDORES[[#This Row],[Rete Fuente $]]</f>
        <v>1227525</v>
      </c>
      <c r="S70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63">
        <f ca="1">IF(PROVEEDORES[[#This Row],[FECHA DE PAGO]]=0,TODAY()-PROVEEDORES[[#This Row],[FECHA DE FACTURACIÓN]]-PROVEEDORES[[#This Row],[PLAZO Días]],0)</f>
        <v>0</v>
      </c>
      <c r="U709" s="104" t="str">
        <f>+VLOOKUP(PROVEEDORES[[#This Row],[PROVEEDOR]],Terceros!$A:$D,4,FALSE)</f>
        <v>2,5% con base</v>
      </c>
      <c r="V709" s="105">
        <f>+YEAR(PROVEEDORES[[#This Row],[FECHA DE FACTURACIÓN]])</f>
        <v>2022</v>
      </c>
      <c r="W709" s="105">
        <f>+MATCH(PROVEEDORES[[#This Row],[año facturado]],Retenciones!$1:$1,0)</f>
        <v>5</v>
      </c>
      <c r="X709" s="106">
        <f>+VLOOKUP(PROVEEDORES[[#This Row],[ID RETENCION]],Retenciones!$A$1:$O$25,PROVEEDORES[[#This Row],[indicador de columna]],FALSE)</f>
        <v>1026000</v>
      </c>
      <c r="Y709" s="107">
        <f>+VLOOKUP(PROVEEDORES[[#This Row],[ID RETENCION]],Retenciones!$A$1:$O$25,2,FALSE)</f>
        <v>2.5000000000000001E-2</v>
      </c>
      <c r="Z709" s="116" t="b">
        <f>OR(COUNTIF(PROVEEDORES[[#This Row],[PROVEEDOR]],"*"&amp;'Palabra no opera'!$A$2&amp;"*"))</f>
        <v>1</v>
      </c>
    </row>
    <row r="710" spans="1:26" ht="22.35" customHeight="1" x14ac:dyDescent="0.3">
      <c r="A710" s="148" t="str">
        <f>+IF(PROVEEDORES[[#This Row],[FECHA DE PAGO]]=PROVEEDORES[[#This Row],[FECHA DE FACTURACIÓN]],"DE CONTADO","CRÉDITO")</f>
        <v>CRÉDITO</v>
      </c>
      <c r="B710" s="38" t="str">
        <f>+IF((PROVEEDORES[[#This Row],[FECHA DE PAGO]]-PROVEEDORES[[#This Row],[FECHA DE FACTURACIÓN]])&gt;PROVEEDORES[[#This Row],[PLAZO Días]],"PAGO VENCIDO")</f>
        <v>PAGO VENCIDO</v>
      </c>
      <c r="C710" s="20">
        <f>+VLOOKUP(PROVEEDORES[[#This Row],[PROVEEDOR]],TERCEROS_INFO[#All],2,FALSE)</f>
        <v>45</v>
      </c>
      <c r="D710" s="25">
        <f>+SUMIFS(PROVEEDORES[Total],PROVEEDORES[PROVEEDOR],PROVEEDORES[[#This Row],[PROVEEDOR]],PROVEEDORES[FECHA DE PAGO],"")</f>
        <v>15770594</v>
      </c>
      <c r="E710" s="25"/>
      <c r="F710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10" s="68">
        <v>44796</v>
      </c>
      <c r="H710" s="26" t="s">
        <v>19</v>
      </c>
      <c r="I710" s="68">
        <v>44734</v>
      </c>
      <c r="J710" s="35" t="s">
        <v>764</v>
      </c>
      <c r="K710" s="21">
        <v>14080000</v>
      </c>
      <c r="L710" s="21"/>
      <c r="M710" s="22">
        <f>(PROVEEDORES[[#This Row],[SUBTOTAL]]-PROVEEDORES[[#This Row],[descuento sobre subtotal]])*VLOOKUP(PROVEEDORES[[#This Row],[PROVEEDOR]],TERCEROS_INFO[#All],3,FALSE)</f>
        <v>2675200</v>
      </c>
      <c r="N710" s="23"/>
      <c r="O710" s="22">
        <f>+PROVEEDORES[[#This Row],[Descuento sobre subtotal %]]*(PROVEEDORES[[#This Row],[SUBTOTAL]]-PROVEEDORES[[#This Row],[descuento sobre subtotal]])</f>
        <v>0</v>
      </c>
      <c r="P710" s="74">
        <f>+IF(PROVEEDORES[[#This Row],[SUBTOTAL]]&lt;PROVEEDORES[[#This Row],[base retencion]],0,PROVEEDORES[[#This Row],[retención aplicada]])</f>
        <v>0</v>
      </c>
      <c r="Q710" s="22">
        <f>+PROVEEDORES[[#This Row],[Rete Fuente %]]*(PROVEEDORES[[#This Row],[SUBTOTAL]]-PROVEEDORES[[#This Row],[descuento sobre subtotal]])</f>
        <v>0</v>
      </c>
      <c r="R710" s="21">
        <f>+PROVEEDORES[[#This Row],[SUBTOTAL]]+PROVEEDORES[[#This Row],[IVA 19%]]-PROVEEDORES[[#This Row],[descuento sobre subtotal]]-PROVEEDORES[[#This Row],[Descuento sobre subtotal $2]]-PROVEEDORES[[#This Row],[Rete Fuente $]]</f>
        <v>16755200</v>
      </c>
      <c r="S710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63">
        <f ca="1">IF(PROVEEDORES[[#This Row],[FECHA DE PAGO]]=0,TODAY()-PROVEEDORES[[#This Row],[FECHA DE FACTURACIÓN]]-PROVEEDORES[[#This Row],[PLAZO Días]],0)</f>
        <v>0</v>
      </c>
      <c r="U710" s="104">
        <f>+VLOOKUP(PROVEEDORES[[#This Row],[PROVEEDOR]],Terceros!$A:$D,4,FALSE)</f>
        <v>0</v>
      </c>
      <c r="V710" s="105">
        <f>+YEAR(PROVEEDORES[[#This Row],[FECHA DE FACTURACIÓN]])</f>
        <v>2022</v>
      </c>
      <c r="W710" s="105">
        <f>+MATCH(PROVEEDORES[[#This Row],[año facturado]],Retenciones!$1:$1,0)</f>
        <v>5</v>
      </c>
      <c r="X710" s="106">
        <f>+VLOOKUP(PROVEEDORES[[#This Row],[ID RETENCION]],Retenciones!$A$1:$O$25,PROVEEDORES[[#This Row],[indicador de columna]],FALSE)</f>
        <v>0</v>
      </c>
      <c r="Y710" s="107">
        <f>+VLOOKUP(PROVEEDORES[[#This Row],[ID RETENCION]],Retenciones!$A$1:$O$25,2,FALSE)</f>
        <v>0</v>
      </c>
      <c r="Z710" s="116" t="b">
        <f>OR(COUNTIF(PROVEEDORES[[#This Row],[PROVEEDOR]],"*"&amp;'Palabra no opera'!$A$2&amp;"*"))</f>
        <v>0</v>
      </c>
    </row>
    <row r="711" spans="1:26" ht="22.35" customHeight="1" x14ac:dyDescent="0.3">
      <c r="A711" s="148" t="str">
        <f>+IF(PROVEEDORES[[#This Row],[FECHA DE PAGO]]=PROVEEDORES[[#This Row],[FECHA DE FACTURACIÓN]],"DE CONTADO","CRÉDITO")</f>
        <v>CRÉDITO</v>
      </c>
      <c r="B711" s="38" t="str">
        <f>+IF((PROVEEDORES[[#This Row],[FECHA DE PAGO]]-PROVEEDORES[[#This Row],[FECHA DE FACTURACIÓN]])&gt;PROVEEDORES[[#This Row],[PLAZO Días]],"PAGO VENCIDO")</f>
        <v>PAGO VENCIDO</v>
      </c>
      <c r="C711" s="20">
        <f>+VLOOKUP(PROVEEDORES[[#This Row],[PROVEEDOR]],TERCEROS_INFO[#All],2,FALSE)</f>
        <v>45</v>
      </c>
      <c r="D711" s="25">
        <f>+SUMIFS(PROVEEDORES[Total],PROVEEDORES[PROVEEDOR],PROVEEDORES[[#This Row],[PROVEEDOR]],PROVEEDORES[FECHA DE PAGO],"")</f>
        <v>15770594</v>
      </c>
      <c r="E711" s="25"/>
      <c r="F71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11" s="68">
        <v>44796</v>
      </c>
      <c r="H711" s="26" t="s">
        <v>19</v>
      </c>
      <c r="I711" s="68">
        <v>44740</v>
      </c>
      <c r="J711" s="35" t="s">
        <v>804</v>
      </c>
      <c r="K711" s="21">
        <v>1122560</v>
      </c>
      <c r="L711" s="21"/>
      <c r="M711" s="22">
        <f>(PROVEEDORES[[#This Row],[SUBTOTAL]]-PROVEEDORES[[#This Row],[descuento sobre subtotal]])*VLOOKUP(PROVEEDORES[[#This Row],[PROVEEDOR]],TERCEROS_INFO[#All],3,FALSE)</f>
        <v>213286.39999999999</v>
      </c>
      <c r="N711" s="23"/>
      <c r="O711" s="22">
        <f>+PROVEEDORES[[#This Row],[Descuento sobre subtotal %]]*(PROVEEDORES[[#This Row],[SUBTOTAL]]-PROVEEDORES[[#This Row],[descuento sobre subtotal]])</f>
        <v>0</v>
      </c>
      <c r="P711" s="74">
        <f>+IF(PROVEEDORES[[#This Row],[SUBTOTAL]]&lt;PROVEEDORES[[#This Row],[base retencion]],0,PROVEEDORES[[#This Row],[retención aplicada]])</f>
        <v>0</v>
      </c>
      <c r="Q711" s="22">
        <f>+PROVEEDORES[[#This Row],[Rete Fuente %]]*(PROVEEDORES[[#This Row],[SUBTOTAL]]-PROVEEDORES[[#This Row],[descuento sobre subtotal]])</f>
        <v>0</v>
      </c>
      <c r="R711" s="21">
        <f>+PROVEEDORES[[#This Row],[SUBTOTAL]]+PROVEEDORES[[#This Row],[IVA 19%]]-PROVEEDORES[[#This Row],[descuento sobre subtotal]]-PROVEEDORES[[#This Row],[Descuento sobre subtotal $2]]-PROVEEDORES[[#This Row],[Rete Fuente $]]</f>
        <v>1335846.3999999999</v>
      </c>
      <c r="S71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63">
        <f ca="1">IF(PROVEEDORES[[#This Row],[FECHA DE PAGO]]=0,TODAY()-PROVEEDORES[[#This Row],[FECHA DE FACTURACIÓN]]-PROVEEDORES[[#This Row],[PLAZO Días]],0)</f>
        <v>0</v>
      </c>
      <c r="U711" s="104">
        <f>+VLOOKUP(PROVEEDORES[[#This Row],[PROVEEDOR]],Terceros!$A:$D,4,FALSE)</f>
        <v>0</v>
      </c>
      <c r="V711" s="105">
        <f>+YEAR(PROVEEDORES[[#This Row],[FECHA DE FACTURACIÓN]])</f>
        <v>2022</v>
      </c>
      <c r="W711" s="105">
        <f>+MATCH(PROVEEDORES[[#This Row],[año facturado]],Retenciones!$1:$1,0)</f>
        <v>5</v>
      </c>
      <c r="X711" s="106">
        <f>+VLOOKUP(PROVEEDORES[[#This Row],[ID RETENCION]],Retenciones!$A$1:$O$25,PROVEEDORES[[#This Row],[indicador de columna]],FALSE)</f>
        <v>0</v>
      </c>
      <c r="Y711" s="107">
        <f>+VLOOKUP(PROVEEDORES[[#This Row],[ID RETENCION]],Retenciones!$A$1:$O$25,2,FALSE)</f>
        <v>0</v>
      </c>
      <c r="Z711" s="116" t="b">
        <f>OR(COUNTIF(PROVEEDORES[[#This Row],[PROVEEDOR]],"*"&amp;'Palabra no opera'!$A$2&amp;"*"))</f>
        <v>0</v>
      </c>
    </row>
    <row r="712" spans="1:26" ht="22.35" customHeight="1" x14ac:dyDescent="0.3">
      <c r="A712" s="175" t="str">
        <f>+IF(PROVEEDORES[[#This Row],[FECHA DE PAGO]]=PROVEEDORES[[#This Row],[FECHA DE FACTURACIÓN]],"DE CONTADO","CRÉDITO")</f>
        <v>CRÉDITO</v>
      </c>
      <c r="B712" s="38" t="b">
        <f>+IF((PROVEEDORES[[#This Row],[FECHA DE PAGO]]-PROVEEDORES[[#This Row],[FECHA DE FACTURACIÓN]])&gt;PROVEEDORES[[#This Row],[PLAZO Días]],"PAGO VENCIDO")</f>
        <v>0</v>
      </c>
      <c r="C712" s="20">
        <f>+VLOOKUP(PROVEEDORES[[#This Row],[PROVEEDOR]],TERCEROS_INFO[#All],2,FALSE)</f>
        <v>30</v>
      </c>
      <c r="D712" s="25">
        <f>+SUMIFS(PROVEEDORES[Total],PROVEEDORES[PROVEEDOR],PROVEEDORES[[#This Row],[PROVEEDOR]],PROVEEDORES[FECHA DE PAGO],"")</f>
        <v>0</v>
      </c>
      <c r="E712" s="25"/>
      <c r="F712" s="56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712" s="68">
        <v>44796</v>
      </c>
      <c r="H712" s="26" t="s">
        <v>640</v>
      </c>
      <c r="I712" s="68">
        <v>44783</v>
      </c>
      <c r="J712" s="35" t="s">
        <v>880</v>
      </c>
      <c r="K712" s="21">
        <v>1070000</v>
      </c>
      <c r="L712" s="21"/>
      <c r="M712" s="22">
        <f>(PROVEEDORES[[#This Row],[SUBTOTAL]]-PROVEEDORES[[#This Row],[descuento sobre subtotal]])*VLOOKUP(PROVEEDORES[[#This Row],[PROVEEDOR]],TERCEROS_INFO[#All],3,FALSE)</f>
        <v>0</v>
      </c>
      <c r="N712" s="23"/>
      <c r="O712" s="22">
        <f>+PROVEEDORES[[#This Row],[Descuento sobre subtotal %]]*(PROVEEDORES[[#This Row],[SUBTOTAL]]-PROVEEDORES[[#This Row],[descuento sobre subtotal]])</f>
        <v>0</v>
      </c>
      <c r="P712" s="74">
        <v>0</v>
      </c>
      <c r="Q712" s="22">
        <f>+PROVEEDORES[[#This Row],[Rete Fuente %]]*(PROVEEDORES[[#This Row],[SUBTOTAL]]-PROVEEDORES[[#This Row],[descuento sobre subtotal]])</f>
        <v>0</v>
      </c>
      <c r="R712" s="21">
        <f>+PROVEEDORES[[#This Row],[SUBTOTAL]]+PROVEEDORES[[#This Row],[IVA 19%]]-PROVEEDORES[[#This Row],[descuento sobre subtotal]]-PROVEEDORES[[#This Row],[Descuento sobre subtotal $2]]-PROVEEDORES[[#This Row],[Rete Fuente $]]</f>
        <v>1070000</v>
      </c>
      <c r="S712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63">
        <f ca="1">IF(PROVEEDORES[[#This Row],[FECHA DE PAGO]]=0,TODAY()-PROVEEDORES[[#This Row],[FECHA DE FACTURACIÓN]]-PROVEEDORES[[#This Row],[PLAZO Días]],0)</f>
        <v>0</v>
      </c>
      <c r="U712" s="104" t="str">
        <f>+VLOOKUP(PROVEEDORES[[#This Row],[PROVEEDOR]],Terceros!$A:$D,4,FALSE)</f>
        <v>3,5% sin base</v>
      </c>
      <c r="V712" s="105">
        <f>+YEAR(PROVEEDORES[[#This Row],[FECHA DE FACTURACIÓN]])</f>
        <v>2022</v>
      </c>
      <c r="W712" s="105">
        <f>+MATCH(PROVEEDORES[[#This Row],[año facturado]],Retenciones!$1:$1,0)</f>
        <v>5</v>
      </c>
      <c r="X712" s="106">
        <f>+VLOOKUP(PROVEEDORES[[#This Row],[ID RETENCION]],Retenciones!$A$1:$O$25,PROVEEDORES[[#This Row],[indicador de columna]],FALSE)</f>
        <v>0</v>
      </c>
      <c r="Y712" s="107">
        <f>+VLOOKUP(PROVEEDORES[[#This Row],[ID RETENCION]],Retenciones!$A$1:$O$25,2,FALSE)</f>
        <v>3.5000000000000003E-2</v>
      </c>
      <c r="Z712" s="116" t="b">
        <f>OR(COUNTIF(PROVEEDORES[[#This Row],[PROVEEDOR]],"*"&amp;'Palabra no opera'!$A$2&amp;"*"))</f>
        <v>1</v>
      </c>
    </row>
    <row r="713" spans="1:26" ht="22.35" customHeight="1" x14ac:dyDescent="0.3">
      <c r="A713" s="182" t="str">
        <f>+IF(PROVEEDORES[[#This Row],[FECHA DE PAGO]]=PROVEEDORES[[#This Row],[FECHA DE FACTURACIÓN]],"DE CONTADO","CRÉDITO")</f>
        <v>DE CONTADO</v>
      </c>
      <c r="B713" s="38" t="b">
        <f>+IF((PROVEEDORES[[#This Row],[FECHA DE PAGO]]-PROVEEDORES[[#This Row],[FECHA DE FACTURACIÓN]])&gt;PROVEEDORES[[#This Row],[PLAZO Días]],"PAGO VENCIDO")</f>
        <v>0</v>
      </c>
      <c r="C713" s="20">
        <f>+VLOOKUP(PROVEEDORES[[#This Row],[PROVEEDOR]],TERCEROS_INFO[#All],2,FALSE)</f>
        <v>0</v>
      </c>
      <c r="D713" s="25">
        <f>+SUMIFS(PROVEEDORES[Total],PROVEEDORES[PROVEEDOR],PROVEEDORES[[#This Row],[PROVEEDOR]],PROVEEDORES[FECHA DE PAGO],"")</f>
        <v>0</v>
      </c>
      <c r="E713" s="25"/>
      <c r="F713" s="56" t="str">
        <f>+VLOOKUP(PROVEEDORES[[#This Row],[PROVEEDOR]],
                       Terceros!$A:$F,
                       5,
                       FALSE)</f>
        <v>pse</v>
      </c>
      <c r="G713" s="68">
        <v>44797</v>
      </c>
      <c r="H713" s="26" t="s">
        <v>1064</v>
      </c>
      <c r="I713" s="68">
        <v>44797</v>
      </c>
      <c r="J713" s="35" t="s">
        <v>1065</v>
      </c>
      <c r="K713" s="21">
        <v>238655.46</v>
      </c>
      <c r="L713" s="21"/>
      <c r="M713" s="22">
        <f>(PROVEEDORES[[#This Row],[SUBTOTAL]]-PROVEEDORES[[#This Row],[descuento sobre subtotal]])*VLOOKUP(PROVEEDORES[[#This Row],[PROVEEDOR]],TERCEROS_INFO[#All],3,FALSE)</f>
        <v>45344.537400000001</v>
      </c>
      <c r="N713" s="23"/>
      <c r="O713" s="22">
        <f>+PROVEEDORES[[#This Row],[Descuento sobre subtotal %]]*(PROVEEDORES[[#This Row],[SUBTOTAL]]-PROVEEDORES[[#This Row],[descuento sobre subtotal]])</f>
        <v>0</v>
      </c>
      <c r="P713" s="74">
        <f>+IF(PROVEEDORES[[#This Row],[SUBTOTAL]]&lt;PROVEEDORES[[#This Row],[base retencion]],0,PROVEEDORES[[#This Row],[retención aplicada]])</f>
        <v>0</v>
      </c>
      <c r="Q713" s="22">
        <f>+PROVEEDORES[[#This Row],[Rete Fuente %]]*(PROVEEDORES[[#This Row],[SUBTOTAL]]-PROVEEDORES[[#This Row],[descuento sobre subtotal]])</f>
        <v>0</v>
      </c>
      <c r="R713" s="21">
        <f>+PROVEEDORES[[#This Row],[SUBTOTAL]]+PROVEEDORES[[#This Row],[IVA 19%]]-PROVEEDORES[[#This Row],[descuento sobre subtotal]]-PROVEEDORES[[#This Row],[Descuento sobre subtotal $2]]-PROVEEDORES[[#This Row],[Rete Fuente $]]</f>
        <v>283999.99739999999</v>
      </c>
      <c r="S71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63">
        <f ca="1">IF(PROVEEDORES[[#This Row],[FECHA DE PAGO]]=0,TODAY()-PROVEEDORES[[#This Row],[FECHA DE FACTURACIÓN]]-PROVEEDORES[[#This Row],[PLAZO Días]],0)</f>
        <v>0</v>
      </c>
      <c r="U713" s="104" t="str">
        <f>+VLOOKUP(PROVEEDORES[[#This Row],[PROVEEDOR]],Terceros!$A:$D,4,FALSE)</f>
        <v>2,5% con base</v>
      </c>
      <c r="V713" s="105">
        <f>+YEAR(PROVEEDORES[[#This Row],[FECHA DE FACTURACIÓN]])</f>
        <v>2022</v>
      </c>
      <c r="W713" s="105">
        <f>+MATCH(PROVEEDORES[[#This Row],[año facturado]],Retenciones!$1:$1,0)</f>
        <v>5</v>
      </c>
      <c r="X713" s="106">
        <f>+VLOOKUP(PROVEEDORES[[#This Row],[ID RETENCION]],Retenciones!$A$1:$O$25,PROVEEDORES[[#This Row],[indicador de columna]],FALSE)</f>
        <v>1026000</v>
      </c>
      <c r="Y713" s="107">
        <f>+VLOOKUP(PROVEEDORES[[#This Row],[ID RETENCION]],Retenciones!$A$1:$O$25,2,FALSE)</f>
        <v>2.5000000000000001E-2</v>
      </c>
      <c r="Z713" s="116" t="b">
        <f>OR(COUNTIF(PROVEEDORES[[#This Row],[PROVEEDOR]],"*"&amp;'Palabra no opera'!$A$2&amp;"*"))</f>
        <v>1</v>
      </c>
    </row>
    <row r="714" spans="1:26" ht="22.35" customHeight="1" x14ac:dyDescent="0.3">
      <c r="A714" s="186" t="str">
        <f>+IF(PROVEEDORES[[#This Row],[FECHA DE PAGO]]=PROVEEDORES[[#This Row],[FECHA DE FACTURACIÓN]],"DE CONTADO","CRÉDITO")</f>
        <v>CRÉDITO</v>
      </c>
      <c r="B714" s="38" t="b">
        <f>+IF((PROVEEDORES[[#This Row],[FECHA DE PAGO]]-PROVEEDORES[[#This Row],[FECHA DE FACTURACIÓN]])&gt;PROVEEDORES[[#This Row],[PLAZO Días]],"PAGO VENCIDO")</f>
        <v>0</v>
      </c>
      <c r="C714" s="20">
        <f>+VLOOKUP(PROVEEDORES[[#This Row],[PROVEEDOR]],TERCEROS_INFO[#All],2,FALSE)</f>
        <v>30</v>
      </c>
      <c r="D714" s="25">
        <f>+SUMIFS(PROVEEDORES[Total],PROVEEDORES[PROVEEDOR],PROVEEDORES[[#This Row],[PROVEEDOR]],PROVEEDORES[FECHA DE PAGO],"")</f>
        <v>0</v>
      </c>
      <c r="E714" s="25"/>
      <c r="F714" s="56" t="str">
        <f>+VLOOKUP(PROVEEDORES[[#This Row],[PROVEEDOR]],
                       Terceros!$A:$F,
                       5,
                       FALSE)</f>
        <v/>
      </c>
      <c r="G714" s="68">
        <v>44797</v>
      </c>
      <c r="H714" s="26" t="s">
        <v>23</v>
      </c>
      <c r="I714" s="68">
        <v>44796</v>
      </c>
      <c r="J714" s="35">
        <v>293703</v>
      </c>
      <c r="K714" s="21">
        <v>15669538</v>
      </c>
      <c r="L714" s="21"/>
      <c r="M714" s="22">
        <f>(PROVEEDORES[[#This Row],[SUBTOTAL]]-PROVEEDORES[[#This Row],[descuento sobre subtotal]])*VLOOKUP(PROVEEDORES[[#This Row],[PROVEEDOR]],TERCEROS_INFO[#All],3,FALSE)</f>
        <v>0</v>
      </c>
      <c r="N714" s="23"/>
      <c r="O714" s="22">
        <f>+PROVEEDORES[[#This Row],[Descuento sobre subtotal %]]*(PROVEEDORES[[#This Row],[SUBTOTAL]]-PROVEEDORES[[#This Row],[descuento sobre subtotal]])</f>
        <v>0</v>
      </c>
      <c r="P714" s="74">
        <f>+IF(PROVEEDORES[[#This Row],[SUBTOTAL]]&lt;PROVEEDORES[[#This Row],[base retencion]],0,PROVEEDORES[[#This Row],[retención aplicada]])</f>
        <v>0</v>
      </c>
      <c r="Q714" s="22">
        <f>+PROVEEDORES[[#This Row],[Rete Fuente %]]*(PROVEEDORES[[#This Row],[SUBTOTAL]]-PROVEEDORES[[#This Row],[descuento sobre subtotal]])</f>
        <v>0</v>
      </c>
      <c r="R714" s="21">
        <f>+PROVEEDORES[[#This Row],[SUBTOTAL]]+PROVEEDORES[[#This Row],[IVA 19%]]-PROVEEDORES[[#This Row],[descuento sobre subtotal]]-PROVEEDORES[[#This Row],[Descuento sobre subtotal $2]]-PROVEEDORES[[#This Row],[Rete Fuente $]]</f>
        <v>15669538</v>
      </c>
      <c r="S714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63">
        <f ca="1">IF(PROVEEDORES[[#This Row],[FECHA DE PAGO]]=0,TODAY()-PROVEEDORES[[#This Row],[FECHA DE FACTURACIÓN]]-PROVEEDORES[[#This Row],[PLAZO Días]],0)</f>
        <v>0</v>
      </c>
      <c r="U714" s="104">
        <f>+VLOOKUP(PROVEEDORES[[#This Row],[PROVEEDOR]],Terceros!$A:$D,4,FALSE)</f>
        <v>0</v>
      </c>
      <c r="V714" s="105">
        <f>+YEAR(PROVEEDORES[[#This Row],[FECHA DE FACTURACIÓN]])</f>
        <v>2022</v>
      </c>
      <c r="W714" s="105">
        <f>+MATCH(PROVEEDORES[[#This Row],[año facturado]],Retenciones!$1:$1,0)</f>
        <v>5</v>
      </c>
      <c r="X714" s="106">
        <f>+VLOOKUP(PROVEEDORES[[#This Row],[ID RETENCION]],Retenciones!$A$1:$O$25,PROVEEDORES[[#This Row],[indicador de columna]],FALSE)</f>
        <v>0</v>
      </c>
      <c r="Y714" s="107">
        <f>+VLOOKUP(PROVEEDORES[[#This Row],[ID RETENCION]],Retenciones!$A$1:$O$25,2,FALSE)</f>
        <v>0</v>
      </c>
      <c r="Z714" s="116" t="b">
        <f>OR(COUNTIF(PROVEEDORES[[#This Row],[PROVEEDOR]],"*"&amp;'Palabra no opera'!$A$2&amp;"*"))</f>
        <v>0</v>
      </c>
    </row>
    <row r="715" spans="1:26" ht="22.35" customHeight="1" x14ac:dyDescent="0.3">
      <c r="A715" s="148" t="str">
        <f>+IF(PROVEEDORES[[#This Row],[FECHA DE PAGO]]=PROVEEDORES[[#This Row],[FECHA DE FACTURACIÓN]],"DE CONTADO","CRÉDITO")</f>
        <v>CRÉDITO</v>
      </c>
      <c r="B715" s="38" t="str">
        <f>+IF((PROVEEDORES[[#This Row],[FECHA DE PAGO]]-PROVEEDORES[[#This Row],[FECHA DE FACTURACIÓN]])&gt;PROVEEDORES[[#This Row],[PLAZO Días]],"PAGO VENCIDO")</f>
        <v>PAGO VENCIDO</v>
      </c>
      <c r="C715" s="20">
        <f>+VLOOKUP(PROVEEDORES[[#This Row],[PROVEEDOR]],TERCEROS_INFO[#All],2,FALSE)</f>
        <v>30</v>
      </c>
      <c r="D715" s="25">
        <f>+SUMIFS(PROVEEDORES[Total],PROVEEDORES[PROVEEDOR],PROVEEDORES[[#This Row],[PROVEEDOR]],PROVEEDORES[FECHA DE PAGO],"")</f>
        <v>2773899.95</v>
      </c>
      <c r="E715" s="25"/>
      <c r="F715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15" s="68">
        <v>44799</v>
      </c>
      <c r="H715" s="26" t="s">
        <v>20</v>
      </c>
      <c r="I715" s="68">
        <v>44741</v>
      </c>
      <c r="J715" s="35">
        <v>7283</v>
      </c>
      <c r="K715" s="21">
        <v>1919422</v>
      </c>
      <c r="L715" s="21"/>
      <c r="M715" s="22">
        <f>(PROVEEDORES[[#This Row],[SUBTOTAL]]-PROVEEDORES[[#This Row],[descuento sobre subtotal]])*VLOOKUP(PROVEEDORES[[#This Row],[PROVEEDOR]],TERCEROS_INFO[#All],3,FALSE)</f>
        <v>364690.18</v>
      </c>
      <c r="N715" s="23"/>
      <c r="O715" s="22">
        <f>+PROVEEDORES[[#This Row],[Descuento sobre subtotal %]]*(PROVEEDORES[[#This Row],[SUBTOTAL]]-PROVEEDORES[[#This Row],[descuento sobre subtotal]])</f>
        <v>0</v>
      </c>
      <c r="P715" s="74">
        <f>+IF(PROVEEDORES[[#This Row],[SUBTOTAL]]&lt;PROVEEDORES[[#This Row],[base retencion]],0,PROVEEDORES[[#This Row],[retención aplicada]])</f>
        <v>2.5000000000000001E-2</v>
      </c>
      <c r="Q715" s="22">
        <f>+PROVEEDORES[[#This Row],[Rete Fuente %]]*(PROVEEDORES[[#This Row],[SUBTOTAL]]-PROVEEDORES[[#This Row],[descuento sobre subtotal]])</f>
        <v>47985.55</v>
      </c>
      <c r="R715" s="21">
        <f>+PROVEEDORES[[#This Row],[SUBTOTAL]]+PROVEEDORES[[#This Row],[IVA 19%]]-PROVEEDORES[[#This Row],[descuento sobre subtotal]]-PROVEEDORES[[#This Row],[Descuento sobre subtotal $2]]-PROVEEDORES[[#This Row],[Rete Fuente $]]</f>
        <v>2236126.6300000004</v>
      </c>
      <c r="S71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63">
        <f ca="1">IF(PROVEEDORES[[#This Row],[FECHA DE PAGO]]=0,TODAY()-PROVEEDORES[[#This Row],[FECHA DE FACTURACIÓN]]-PROVEEDORES[[#This Row],[PLAZO Días]],0)</f>
        <v>0</v>
      </c>
      <c r="U715" s="104" t="str">
        <f>+VLOOKUP(PROVEEDORES[[#This Row],[PROVEEDOR]],Terceros!$A:$D,4,FALSE)</f>
        <v>2,5% con base</v>
      </c>
      <c r="V715" s="105">
        <f>+YEAR(PROVEEDORES[[#This Row],[FECHA DE FACTURACIÓN]])</f>
        <v>2022</v>
      </c>
      <c r="W715" s="105">
        <f>+MATCH(PROVEEDORES[[#This Row],[año facturado]],Retenciones!$1:$1,0)</f>
        <v>5</v>
      </c>
      <c r="X715" s="106">
        <f>+VLOOKUP(PROVEEDORES[[#This Row],[ID RETENCION]],Retenciones!$A$1:$O$25,PROVEEDORES[[#This Row],[indicador de columna]],FALSE)</f>
        <v>1026000</v>
      </c>
      <c r="Y715" s="107">
        <f>+VLOOKUP(PROVEEDORES[[#This Row],[ID RETENCION]],Retenciones!$A$1:$O$25,2,FALSE)</f>
        <v>2.5000000000000001E-2</v>
      </c>
      <c r="Z715" s="116" t="b">
        <f>OR(COUNTIF(PROVEEDORES[[#This Row],[PROVEEDOR]],"*"&amp;'Palabra no opera'!$A$2&amp;"*"))</f>
        <v>0</v>
      </c>
    </row>
    <row r="716" spans="1:26" ht="22.35" customHeight="1" x14ac:dyDescent="0.3">
      <c r="A716" s="148" t="str">
        <f>+IF(PROVEEDORES[[#This Row],[FECHA DE PAGO]]=PROVEEDORES[[#This Row],[FECHA DE FACTURACIÓN]],"DE CONTADO","CRÉDITO")</f>
        <v>CRÉDITO</v>
      </c>
      <c r="B716" s="38" t="str">
        <f>+IF((PROVEEDORES[[#This Row],[FECHA DE PAGO]]-PROVEEDORES[[#This Row],[FECHA DE FACTURACIÓN]])&gt;PROVEEDORES[[#This Row],[PLAZO Días]],"PAGO VENCIDO")</f>
        <v>PAGO VENCIDO</v>
      </c>
      <c r="C716" s="20">
        <f>+VLOOKUP(PROVEEDORES[[#This Row],[PROVEEDOR]],TERCEROS_INFO[#All],2,FALSE)</f>
        <v>30</v>
      </c>
      <c r="D716" s="25">
        <f>+SUMIFS(PROVEEDORES[Total],PROVEEDORES[PROVEEDOR],PROVEEDORES[[#This Row],[PROVEEDOR]],PROVEEDORES[FECHA DE PAGO],"")</f>
        <v>2773899.95</v>
      </c>
      <c r="E716" s="25"/>
      <c r="F716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16" s="68">
        <v>44799</v>
      </c>
      <c r="H716" s="26" t="s">
        <v>20</v>
      </c>
      <c r="I716" s="68">
        <v>44743</v>
      </c>
      <c r="J716" s="35">
        <v>7306</v>
      </c>
      <c r="K716" s="21">
        <v>779500</v>
      </c>
      <c r="L716" s="21"/>
      <c r="M716" s="22">
        <f>(PROVEEDORES[[#This Row],[SUBTOTAL]]-PROVEEDORES[[#This Row],[descuento sobre subtotal]])*VLOOKUP(PROVEEDORES[[#This Row],[PROVEEDOR]],TERCEROS_INFO[#All],3,FALSE)</f>
        <v>148105</v>
      </c>
      <c r="N716" s="23"/>
      <c r="O716" s="22">
        <f>+PROVEEDORES[[#This Row],[Descuento sobre subtotal %]]*(PROVEEDORES[[#This Row],[SUBTOTAL]]-PROVEEDORES[[#This Row],[descuento sobre subtotal]])</f>
        <v>0</v>
      </c>
      <c r="P716" s="74">
        <f>+IF(PROVEEDORES[[#This Row],[SUBTOTAL]]&lt;PROVEEDORES[[#This Row],[base retencion]],0,PROVEEDORES[[#This Row],[retención aplicada]])</f>
        <v>0</v>
      </c>
      <c r="Q716" s="22">
        <f>+PROVEEDORES[[#This Row],[Rete Fuente %]]*(PROVEEDORES[[#This Row],[SUBTOTAL]]-PROVEEDORES[[#This Row],[descuento sobre subtotal]])</f>
        <v>0</v>
      </c>
      <c r="R716" s="21">
        <f>+PROVEEDORES[[#This Row],[SUBTOTAL]]+PROVEEDORES[[#This Row],[IVA 19%]]-PROVEEDORES[[#This Row],[descuento sobre subtotal]]-PROVEEDORES[[#This Row],[Descuento sobre subtotal $2]]-PROVEEDORES[[#This Row],[Rete Fuente $]]</f>
        <v>927605</v>
      </c>
      <c r="S71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63">
        <f ca="1">IF(PROVEEDORES[[#This Row],[FECHA DE PAGO]]=0,TODAY()-PROVEEDORES[[#This Row],[FECHA DE FACTURACIÓN]]-PROVEEDORES[[#This Row],[PLAZO Días]],0)</f>
        <v>0</v>
      </c>
      <c r="U716" s="104" t="str">
        <f>+VLOOKUP(PROVEEDORES[[#This Row],[PROVEEDOR]],Terceros!$A:$D,4,FALSE)</f>
        <v>2,5% con base</v>
      </c>
      <c r="V716" s="105">
        <f>+YEAR(PROVEEDORES[[#This Row],[FECHA DE FACTURACIÓN]])</f>
        <v>2022</v>
      </c>
      <c r="W716" s="105">
        <f>+MATCH(PROVEEDORES[[#This Row],[año facturado]],Retenciones!$1:$1,0)</f>
        <v>5</v>
      </c>
      <c r="X716" s="106">
        <f>+VLOOKUP(PROVEEDORES[[#This Row],[ID RETENCION]],Retenciones!$A$1:$O$25,PROVEEDORES[[#This Row],[indicador de columna]],FALSE)</f>
        <v>1026000</v>
      </c>
      <c r="Y716" s="107">
        <f>+VLOOKUP(PROVEEDORES[[#This Row],[ID RETENCION]],Retenciones!$A$1:$O$25,2,FALSE)</f>
        <v>2.5000000000000001E-2</v>
      </c>
      <c r="Z716" s="116" t="b">
        <f>OR(COUNTIF(PROVEEDORES[[#This Row],[PROVEEDOR]],"*"&amp;'Palabra no opera'!$A$2&amp;"*"))</f>
        <v>0</v>
      </c>
    </row>
    <row r="717" spans="1:26" ht="22.35" customHeight="1" x14ac:dyDescent="0.3">
      <c r="A717" s="67" t="str">
        <f>+IF(PROVEEDORES[[#This Row],[FECHA DE PAGO]]=PROVEEDORES[[#This Row],[FECHA DE FACTURACIÓN]],"DE CONTADO","CRÉDITO")</f>
        <v>CRÉDITO</v>
      </c>
      <c r="B717" s="38" t="str">
        <f>+IF((PROVEEDORES[[#This Row],[FECHA DE PAGO]]-PROVEEDORES[[#This Row],[FECHA DE FACTURACIÓN]])&gt;PROVEEDORES[[#This Row],[PLAZO Días]],"PAGO VENCIDO")</f>
        <v>PAGO VENCIDO</v>
      </c>
      <c r="C717" s="20">
        <f>+VLOOKUP(PROVEEDORES[[#This Row],[PROVEEDOR]],TERCEROS_INFO[#All],2,FALSE)</f>
        <v>30</v>
      </c>
      <c r="D717" s="25">
        <f>+SUMIFS(PROVEEDORES[Total],PROVEEDORES[PROVEEDOR],PROVEEDORES[[#This Row],[PROVEEDOR]],PROVEEDORES[FECHA DE PAGO],"")</f>
        <v>2773899.95</v>
      </c>
      <c r="E717" s="25"/>
      <c r="F717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717" s="68">
        <v>44799</v>
      </c>
      <c r="H717" s="26" t="s">
        <v>20</v>
      </c>
      <c r="I717" s="68">
        <v>44763</v>
      </c>
      <c r="J717" s="35">
        <v>7441</v>
      </c>
      <c r="K717" s="21">
        <v>1194240</v>
      </c>
      <c r="L717" s="21"/>
      <c r="M717" s="22">
        <f>(PROVEEDORES[[#This Row],[SUBTOTAL]]-PROVEEDORES[[#This Row],[descuento sobre subtotal]])*VLOOKUP(PROVEEDORES[[#This Row],[PROVEEDOR]],TERCEROS_INFO[#All],3,FALSE)</f>
        <v>226905.60000000001</v>
      </c>
      <c r="N717" s="23"/>
      <c r="O717" s="22">
        <f>+PROVEEDORES[[#This Row],[Descuento sobre subtotal %]]*(PROVEEDORES[[#This Row],[SUBTOTAL]]-PROVEEDORES[[#This Row],[descuento sobre subtotal]])</f>
        <v>0</v>
      </c>
      <c r="P717" s="74">
        <f>+IF(PROVEEDORES[[#This Row],[SUBTOTAL]]&lt;PROVEEDORES[[#This Row],[base retencion]],0,PROVEEDORES[[#This Row],[retención aplicada]])</f>
        <v>2.5000000000000001E-2</v>
      </c>
      <c r="Q717" s="22">
        <f>+PROVEEDORES[[#This Row],[Rete Fuente %]]*(PROVEEDORES[[#This Row],[SUBTOTAL]]-PROVEEDORES[[#This Row],[descuento sobre subtotal]])</f>
        <v>29856</v>
      </c>
      <c r="R717" s="21">
        <f>+PROVEEDORES[[#This Row],[SUBTOTAL]]+PROVEEDORES[[#This Row],[IVA 19%]]-PROVEEDORES[[#This Row],[descuento sobre subtotal]]-PROVEEDORES[[#This Row],[Descuento sobre subtotal $2]]-PROVEEDORES[[#This Row],[Rete Fuente $]]</f>
        <v>1391289.6</v>
      </c>
      <c r="S71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63">
        <f ca="1">IF(PROVEEDORES[[#This Row],[FECHA DE PAGO]]=0,TODAY()-PROVEEDORES[[#This Row],[FECHA DE FACTURACIÓN]]-PROVEEDORES[[#This Row],[PLAZO Días]],0)</f>
        <v>0</v>
      </c>
      <c r="U717" s="104" t="str">
        <f>+VLOOKUP(PROVEEDORES[[#This Row],[PROVEEDOR]],Terceros!$A:$D,4,FALSE)</f>
        <v>2,5% con base</v>
      </c>
      <c r="V717" s="105">
        <f>+YEAR(PROVEEDORES[[#This Row],[FECHA DE FACTURACIÓN]])</f>
        <v>2022</v>
      </c>
      <c r="W717" s="105">
        <f>+MATCH(PROVEEDORES[[#This Row],[año facturado]],Retenciones!$1:$1,0)</f>
        <v>5</v>
      </c>
      <c r="X717" s="106">
        <f>+VLOOKUP(PROVEEDORES[[#This Row],[ID RETENCION]],Retenciones!$A$1:$O$25,PROVEEDORES[[#This Row],[indicador de columna]],FALSE)</f>
        <v>1026000</v>
      </c>
      <c r="Y717" s="107">
        <f>+VLOOKUP(PROVEEDORES[[#This Row],[ID RETENCION]],Retenciones!$A$1:$O$25,2,FALSE)</f>
        <v>2.5000000000000001E-2</v>
      </c>
      <c r="Z717" s="116" t="b">
        <f>OR(COUNTIF(PROVEEDORES[[#This Row],[PROVEEDOR]],"*"&amp;'Palabra no opera'!$A$2&amp;"*"))</f>
        <v>0</v>
      </c>
    </row>
    <row r="718" spans="1:26" ht="22.35" customHeight="1" x14ac:dyDescent="0.3">
      <c r="A718" s="148" t="str">
        <f>+IF(PROVEEDORES[[#This Row],[FECHA DE PAGO]]=PROVEEDORES[[#This Row],[FECHA DE FACTURACIÓN]],"DE CONTADO","CRÉDITO")</f>
        <v>CRÉDITO</v>
      </c>
      <c r="B718" s="38" t="str">
        <f>+IF((PROVEEDORES[[#This Row],[FECHA DE PAGO]]-PROVEEDORES[[#This Row],[FECHA DE FACTURACIÓN]])&gt;PROVEEDORES[[#This Row],[PLAZO Días]],"PAGO VENCIDO")</f>
        <v>PAGO VENCIDO</v>
      </c>
      <c r="C718" s="20">
        <f>+VLOOKUP(PROVEEDORES[[#This Row],[PROVEEDOR]],TERCEROS_INFO[#All],2,FALSE)</f>
        <v>30</v>
      </c>
      <c r="D718" s="25">
        <f>+SUMIFS(PROVEEDORES[Total],PROVEEDORES[PROVEEDOR],PROVEEDORES[[#This Row],[PROVEEDOR]],PROVEEDORES[FECHA DE PAGO],"")</f>
        <v>-66999.998800000001</v>
      </c>
      <c r="E718" s="25" t="s">
        <v>762</v>
      </c>
      <c r="F718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18" s="68">
        <v>44799</v>
      </c>
      <c r="H718" s="26" t="s">
        <v>459</v>
      </c>
      <c r="I718" s="68">
        <v>44718</v>
      </c>
      <c r="J718" s="35" t="s">
        <v>761</v>
      </c>
      <c r="K718" s="21">
        <v>4845</v>
      </c>
      <c r="L718" s="21"/>
      <c r="M718" s="22">
        <f>(PROVEEDORES[[#This Row],[SUBTOTAL]]-PROVEEDORES[[#This Row],[descuento sobre subtotal]])*VLOOKUP(PROVEEDORES[[#This Row],[PROVEEDOR]],TERCEROS_INFO[#All],3,FALSE)</f>
        <v>920.55</v>
      </c>
      <c r="N718" s="23"/>
      <c r="O718" s="22">
        <f>+PROVEEDORES[[#This Row],[Descuento sobre subtotal %]]*(PROVEEDORES[[#This Row],[SUBTOTAL]]-PROVEEDORES[[#This Row],[descuento sobre subtotal]])</f>
        <v>0</v>
      </c>
      <c r="P718" s="74">
        <f>+IF(PROVEEDORES[[#This Row],[SUBTOTAL]]&lt;PROVEEDORES[[#This Row],[base retencion]],0,PROVEEDORES[[#This Row],[retención aplicada]])</f>
        <v>0</v>
      </c>
      <c r="Q718" s="22">
        <f>+PROVEEDORES[[#This Row],[Rete Fuente %]]*(PROVEEDORES[[#This Row],[SUBTOTAL]]-PROVEEDORES[[#This Row],[descuento sobre subtotal]])</f>
        <v>0</v>
      </c>
      <c r="R718" s="21">
        <f>+PROVEEDORES[[#This Row],[SUBTOTAL]]+PROVEEDORES[[#This Row],[IVA 19%]]-PROVEEDORES[[#This Row],[descuento sobre subtotal]]-PROVEEDORES[[#This Row],[Descuento sobre subtotal $2]]-PROVEEDORES[[#This Row],[Rete Fuente $]]</f>
        <v>5765.55</v>
      </c>
      <c r="S718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63">
        <f ca="1">IF(PROVEEDORES[[#This Row],[FECHA DE PAGO]]=0,TODAY()-PROVEEDORES[[#This Row],[FECHA DE FACTURACIÓN]]-PROVEEDORES[[#This Row],[PLAZO Días]],0)</f>
        <v>0</v>
      </c>
      <c r="U718" s="104" t="str">
        <f>+VLOOKUP(PROVEEDORES[[#This Row],[PROVEEDOR]],Terceros!$A:$D,4,FALSE)</f>
        <v>2,5% con base</v>
      </c>
      <c r="V718" s="105">
        <f>+YEAR(PROVEEDORES[[#This Row],[FECHA DE FACTURACIÓN]])</f>
        <v>2022</v>
      </c>
      <c r="W718" s="105">
        <f>+MATCH(PROVEEDORES[[#This Row],[año facturado]],Retenciones!$1:$1,0)</f>
        <v>5</v>
      </c>
      <c r="X718" s="106">
        <f>+VLOOKUP(PROVEEDORES[[#This Row],[ID RETENCION]],Retenciones!$A$1:$O$25,PROVEEDORES[[#This Row],[indicador de columna]],FALSE)</f>
        <v>1026000</v>
      </c>
      <c r="Y718" s="107">
        <f>+VLOOKUP(PROVEEDORES[[#This Row],[ID RETENCION]],Retenciones!$A$1:$O$25,2,FALSE)</f>
        <v>2.5000000000000001E-2</v>
      </c>
      <c r="Z718" s="116" t="b">
        <f>OR(COUNTIF(PROVEEDORES[[#This Row],[PROVEEDOR]],"*"&amp;'Palabra no opera'!$A$2&amp;"*"))</f>
        <v>0</v>
      </c>
    </row>
    <row r="719" spans="1:26" ht="22.35" customHeight="1" x14ac:dyDescent="0.3">
      <c r="A719" s="148" t="str">
        <f>+IF(PROVEEDORES[[#This Row],[FECHA DE PAGO]]=PROVEEDORES[[#This Row],[FECHA DE FACTURACIÓN]],"DE CONTADO","CRÉDITO")</f>
        <v>CRÉDITO</v>
      </c>
      <c r="B719" s="38" t="str">
        <f>+IF((PROVEEDORES[[#This Row],[FECHA DE PAGO]]-PROVEEDORES[[#This Row],[FECHA DE FACTURACIÓN]])&gt;PROVEEDORES[[#This Row],[PLAZO Días]],"PAGO VENCIDO")</f>
        <v>PAGO VENCIDO</v>
      </c>
      <c r="C719" s="20">
        <f>+VLOOKUP(PROVEEDORES[[#This Row],[PROVEEDOR]],TERCEROS_INFO[#All],2,FALSE)</f>
        <v>30</v>
      </c>
      <c r="D719" s="25">
        <f>+SUMIFS(PROVEEDORES[Total],PROVEEDORES[PROVEEDOR],PROVEEDORES[[#This Row],[PROVEEDOR]],PROVEEDORES[FECHA DE PAGO],"")</f>
        <v>-66999.998800000001</v>
      </c>
      <c r="E719" s="25"/>
      <c r="F719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19" s="68">
        <v>44799</v>
      </c>
      <c r="H719" s="26" t="s">
        <v>459</v>
      </c>
      <c r="I719" s="68">
        <v>44728</v>
      </c>
      <c r="J719" s="35">
        <v>2396</v>
      </c>
      <c r="K719" s="21">
        <v>1458823.53</v>
      </c>
      <c r="L719" s="21"/>
      <c r="M719" s="22">
        <f>(PROVEEDORES[[#This Row],[SUBTOTAL]]-PROVEEDORES[[#This Row],[descuento sobre subtotal]])*VLOOKUP(PROVEEDORES[[#This Row],[PROVEEDOR]],TERCEROS_INFO[#All],3,FALSE)</f>
        <v>277176.47070000001</v>
      </c>
      <c r="N719" s="23"/>
      <c r="O719" s="22">
        <f>+PROVEEDORES[[#This Row],[Descuento sobre subtotal %]]*(PROVEEDORES[[#This Row],[SUBTOTAL]]-PROVEEDORES[[#This Row],[descuento sobre subtotal]])</f>
        <v>0</v>
      </c>
      <c r="P719" s="74">
        <f>+IF(PROVEEDORES[[#This Row],[SUBTOTAL]]&lt;PROVEEDORES[[#This Row],[base retencion]],0,PROVEEDORES[[#This Row],[retención aplicada]])</f>
        <v>2.5000000000000001E-2</v>
      </c>
      <c r="Q719" s="22">
        <f>+PROVEEDORES[[#This Row],[Rete Fuente %]]*(PROVEEDORES[[#This Row],[SUBTOTAL]]-PROVEEDORES[[#This Row],[descuento sobre subtotal]])</f>
        <v>36470.588250000001</v>
      </c>
      <c r="R719" s="21">
        <f>+PROVEEDORES[[#This Row],[SUBTOTAL]]+PROVEEDORES[[#This Row],[IVA 19%]]-PROVEEDORES[[#This Row],[descuento sobre subtotal]]-PROVEEDORES[[#This Row],[Descuento sobre subtotal $2]]-PROVEEDORES[[#This Row],[Rete Fuente $]]</f>
        <v>1699529.4124499999</v>
      </c>
      <c r="S719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63">
        <f ca="1">IF(PROVEEDORES[[#This Row],[FECHA DE PAGO]]=0,TODAY()-PROVEEDORES[[#This Row],[FECHA DE FACTURACIÓN]]-PROVEEDORES[[#This Row],[PLAZO Días]],0)</f>
        <v>0</v>
      </c>
      <c r="U719" s="104" t="str">
        <f>+VLOOKUP(PROVEEDORES[[#This Row],[PROVEEDOR]],Terceros!$A:$D,4,FALSE)</f>
        <v>2,5% con base</v>
      </c>
      <c r="V719" s="105">
        <f>+YEAR(PROVEEDORES[[#This Row],[FECHA DE FACTURACIÓN]])</f>
        <v>2022</v>
      </c>
      <c r="W719" s="105">
        <f>+MATCH(PROVEEDORES[[#This Row],[año facturado]],Retenciones!$1:$1,0)</f>
        <v>5</v>
      </c>
      <c r="X719" s="106">
        <f>+VLOOKUP(PROVEEDORES[[#This Row],[ID RETENCION]],Retenciones!$A$1:$O$25,PROVEEDORES[[#This Row],[indicador de columna]],FALSE)</f>
        <v>1026000</v>
      </c>
      <c r="Y719" s="107">
        <f>+VLOOKUP(PROVEEDORES[[#This Row],[ID RETENCION]],Retenciones!$A$1:$O$25,2,FALSE)</f>
        <v>2.5000000000000001E-2</v>
      </c>
      <c r="Z719" s="116" t="b">
        <f>OR(COUNTIF(PROVEEDORES[[#This Row],[PROVEEDOR]],"*"&amp;'Palabra no opera'!$A$2&amp;"*"))</f>
        <v>0</v>
      </c>
    </row>
    <row r="720" spans="1:26" ht="22.35" customHeight="1" x14ac:dyDescent="0.3">
      <c r="A720" s="148" t="str">
        <f>+IF(PROVEEDORES[[#This Row],[FECHA DE PAGO]]=PROVEEDORES[[#This Row],[FECHA DE FACTURACIÓN]],"DE CONTADO","CRÉDITO")</f>
        <v>CRÉDITO</v>
      </c>
      <c r="B720" s="38" t="str">
        <f>+IF((PROVEEDORES[[#This Row],[FECHA DE PAGO]]-PROVEEDORES[[#This Row],[FECHA DE FACTURACIÓN]])&gt;PROVEEDORES[[#This Row],[PLAZO Días]],"PAGO VENCIDO")</f>
        <v>PAGO VENCIDO</v>
      </c>
      <c r="C720" s="20">
        <f>+VLOOKUP(PROVEEDORES[[#This Row],[PROVEEDOR]],TERCEROS_INFO[#All],2,FALSE)</f>
        <v>30</v>
      </c>
      <c r="D720" s="25">
        <f>+SUMIFS(PROVEEDORES[Total],PROVEEDORES[PROVEEDOR],PROVEEDORES[[#This Row],[PROVEEDOR]],PROVEEDORES[FECHA DE PAGO],"")</f>
        <v>-66999.998800000001</v>
      </c>
      <c r="E720" s="25"/>
      <c r="F720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20" s="68">
        <v>44799</v>
      </c>
      <c r="H720" s="26" t="s">
        <v>459</v>
      </c>
      <c r="I720" s="68">
        <v>44744</v>
      </c>
      <c r="J720" s="35">
        <v>2467</v>
      </c>
      <c r="K720" s="21">
        <v>1194537.81</v>
      </c>
      <c r="L720" s="21"/>
      <c r="M720" s="22">
        <f>(PROVEEDORES[[#This Row],[SUBTOTAL]]-PROVEEDORES[[#This Row],[descuento sobre subtotal]])*VLOOKUP(PROVEEDORES[[#This Row],[PROVEEDOR]],TERCEROS_INFO[#All],3,FALSE)</f>
        <v>226962.1839</v>
      </c>
      <c r="N720" s="23"/>
      <c r="O720" s="22">
        <f>+PROVEEDORES[[#This Row],[Descuento sobre subtotal %]]*(PROVEEDORES[[#This Row],[SUBTOTAL]]-PROVEEDORES[[#This Row],[descuento sobre subtotal]])</f>
        <v>0</v>
      </c>
      <c r="P720" s="74">
        <f>+IF(PROVEEDORES[[#This Row],[SUBTOTAL]]&lt;PROVEEDORES[[#This Row],[base retencion]],0,PROVEEDORES[[#This Row],[retención aplicada]])</f>
        <v>2.5000000000000001E-2</v>
      </c>
      <c r="Q720" s="22">
        <f>+PROVEEDORES[[#This Row],[Rete Fuente %]]*(PROVEEDORES[[#This Row],[SUBTOTAL]]-PROVEEDORES[[#This Row],[descuento sobre subtotal]])</f>
        <v>29863.445250000004</v>
      </c>
      <c r="R720" s="21">
        <f>+PROVEEDORES[[#This Row],[SUBTOTAL]]+PROVEEDORES[[#This Row],[IVA 19%]]-PROVEEDORES[[#This Row],[descuento sobre subtotal]]-PROVEEDORES[[#This Row],[Descuento sobre subtotal $2]]-PROVEEDORES[[#This Row],[Rete Fuente $]]</f>
        <v>1391636.54865</v>
      </c>
      <c r="S720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0" s="63">
        <f ca="1">IF(PROVEEDORES[[#This Row],[FECHA DE PAGO]]=0,TODAY()-PROVEEDORES[[#This Row],[FECHA DE FACTURACIÓN]]-PROVEEDORES[[#This Row],[PLAZO Días]],0)</f>
        <v>0</v>
      </c>
      <c r="U720" s="104" t="str">
        <f>+VLOOKUP(PROVEEDORES[[#This Row],[PROVEEDOR]],Terceros!$A:$D,4,FALSE)</f>
        <v>2,5% con base</v>
      </c>
      <c r="V720" s="105">
        <f>+YEAR(PROVEEDORES[[#This Row],[FECHA DE FACTURACIÓN]])</f>
        <v>2022</v>
      </c>
      <c r="W720" s="105">
        <f>+MATCH(PROVEEDORES[[#This Row],[año facturado]],Retenciones!$1:$1,0)</f>
        <v>5</v>
      </c>
      <c r="X720" s="106">
        <f>+VLOOKUP(PROVEEDORES[[#This Row],[ID RETENCION]],Retenciones!$A$1:$O$25,PROVEEDORES[[#This Row],[indicador de columna]],FALSE)</f>
        <v>1026000</v>
      </c>
      <c r="Y720" s="107">
        <f>+VLOOKUP(PROVEEDORES[[#This Row],[ID RETENCION]],Retenciones!$A$1:$O$25,2,FALSE)</f>
        <v>2.5000000000000001E-2</v>
      </c>
      <c r="Z720" s="116" t="b">
        <f>OR(COUNTIF(PROVEEDORES[[#This Row],[PROVEEDOR]],"*"&amp;'Palabra no opera'!$A$2&amp;"*"))</f>
        <v>0</v>
      </c>
    </row>
    <row r="721" spans="1:26" ht="22.35" customHeight="1" x14ac:dyDescent="0.3">
      <c r="A721" s="67" t="str">
        <f>+IF(PROVEEDORES[[#This Row],[FECHA DE PAGO]]=PROVEEDORES[[#This Row],[FECHA DE FACTURACIÓN]],"DE CONTADO","CRÉDITO")</f>
        <v>CRÉDITO</v>
      </c>
      <c r="B721" s="38" t="b">
        <f>+IF((PROVEEDORES[[#This Row],[FECHA DE PAGO]]-PROVEEDORES[[#This Row],[FECHA DE FACTURACIÓN]])&gt;PROVEEDORES[[#This Row],[PLAZO Días]],"PAGO VENCIDO")</f>
        <v>0</v>
      </c>
      <c r="C721" s="20">
        <f>+VLOOKUP(PROVEEDORES[[#This Row],[PROVEEDOR]],TERCEROS_INFO[#All],2,FALSE)</f>
        <v>30</v>
      </c>
      <c r="D721" s="25">
        <f>+SUMIFS(PROVEEDORES[Total],PROVEEDORES[PROVEEDOR],PROVEEDORES[[#This Row],[PROVEEDOR]],PROVEEDORES[FECHA DE PAGO],"")</f>
        <v>-66999.998800000001</v>
      </c>
      <c r="E721" s="25"/>
      <c r="F721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21" s="68">
        <v>44799</v>
      </c>
      <c r="H721" s="26" t="s">
        <v>459</v>
      </c>
      <c r="I721" s="68">
        <v>44769</v>
      </c>
      <c r="J721" s="35" t="s">
        <v>855</v>
      </c>
      <c r="K721" s="21">
        <v>-18487.39</v>
      </c>
      <c r="L721" s="21"/>
      <c r="M721" s="22">
        <f>(PROVEEDORES[[#This Row],[SUBTOTAL]]-PROVEEDORES[[#This Row],[descuento sobre subtotal]])*VLOOKUP(PROVEEDORES[[#This Row],[PROVEEDOR]],TERCEROS_INFO[#All],3,FALSE)</f>
        <v>-3512.6041</v>
      </c>
      <c r="N721" s="23"/>
      <c r="O721" s="22">
        <f>+PROVEEDORES[[#This Row],[Descuento sobre subtotal %]]*(PROVEEDORES[[#This Row],[SUBTOTAL]]-PROVEEDORES[[#This Row],[descuento sobre subtotal]])</f>
        <v>0</v>
      </c>
      <c r="P721" s="74">
        <f>+IF(PROVEEDORES[[#This Row],[SUBTOTAL]]&lt;PROVEEDORES[[#This Row],[base retencion]],0,PROVEEDORES[[#This Row],[retención aplicada]])</f>
        <v>0</v>
      </c>
      <c r="Q721" s="22">
        <f>+PROVEEDORES[[#This Row],[Rete Fuente %]]*(PROVEEDORES[[#This Row],[SUBTOTAL]]-PROVEEDORES[[#This Row],[descuento sobre subtotal]])</f>
        <v>0</v>
      </c>
      <c r="R721" s="21">
        <f>+PROVEEDORES[[#This Row],[SUBTOTAL]]+PROVEEDORES[[#This Row],[IVA 19%]]-PROVEEDORES[[#This Row],[descuento sobre subtotal]]-PROVEEDORES[[#This Row],[Descuento sobre subtotal $2]]-PROVEEDORES[[#This Row],[Rete Fuente $]]</f>
        <v>-21999.9941</v>
      </c>
      <c r="S7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1" s="63">
        <f ca="1">IF(PROVEEDORES[[#This Row],[FECHA DE PAGO]]=0,TODAY()-PROVEEDORES[[#This Row],[FECHA DE FACTURACIÓN]]-PROVEEDORES[[#This Row],[PLAZO Días]],0)</f>
        <v>0</v>
      </c>
      <c r="U721" s="104" t="str">
        <f>+VLOOKUP(PROVEEDORES[[#This Row],[PROVEEDOR]],Terceros!$A:$D,4,FALSE)</f>
        <v>2,5% con base</v>
      </c>
      <c r="V721" s="105">
        <f>+YEAR(PROVEEDORES[[#This Row],[FECHA DE FACTURACIÓN]])</f>
        <v>2022</v>
      </c>
      <c r="W721" s="105">
        <f>+MATCH(PROVEEDORES[[#This Row],[año facturado]],Retenciones!$1:$1,0)</f>
        <v>5</v>
      </c>
      <c r="X721" s="106">
        <f>+VLOOKUP(PROVEEDORES[[#This Row],[ID RETENCION]],Retenciones!$A$1:$O$25,PROVEEDORES[[#This Row],[indicador de columna]],FALSE)</f>
        <v>1026000</v>
      </c>
      <c r="Y721" s="107">
        <f>+VLOOKUP(PROVEEDORES[[#This Row],[ID RETENCION]],Retenciones!$A$1:$O$25,2,FALSE)</f>
        <v>2.5000000000000001E-2</v>
      </c>
      <c r="Z721" s="116" t="b">
        <f>OR(COUNTIF(PROVEEDORES[[#This Row],[PROVEEDOR]],"*"&amp;'Palabra no opera'!$A$2&amp;"*"))</f>
        <v>0</v>
      </c>
    </row>
    <row r="722" spans="1:26" ht="22.35" customHeight="1" x14ac:dyDescent="0.3">
      <c r="A722" s="67" t="str">
        <f>+IF(PROVEEDORES[[#This Row],[FECHA DE PAGO]]=PROVEEDORES[[#This Row],[FECHA DE FACTURACIÓN]],"DE CONTADO","CRÉDITO")</f>
        <v>CRÉDITO</v>
      </c>
      <c r="B722" s="38" t="b">
        <f>+IF((PROVEEDORES[[#This Row],[FECHA DE PAGO]]-PROVEEDORES[[#This Row],[FECHA DE FACTURACIÓN]])&gt;PROVEEDORES[[#This Row],[PLAZO Días]],"PAGO VENCIDO")</f>
        <v>0</v>
      </c>
      <c r="C722" s="20">
        <f>+VLOOKUP(PROVEEDORES[[#This Row],[PROVEEDOR]],TERCEROS_INFO[#All],2,FALSE)</f>
        <v>30</v>
      </c>
      <c r="D722" s="25">
        <f>+SUMIFS(PROVEEDORES[Total],PROVEEDORES[PROVEEDOR],PROVEEDORES[[#This Row],[PROVEEDOR]],PROVEEDORES[FECHA DE PAGO],"")</f>
        <v>0</v>
      </c>
      <c r="E722" s="25"/>
      <c r="F72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722" s="68">
        <v>44799</v>
      </c>
      <c r="H722" s="26" t="s">
        <v>248</v>
      </c>
      <c r="I722" s="68">
        <v>44769</v>
      </c>
      <c r="J722" s="35" t="s">
        <v>846</v>
      </c>
      <c r="K722" s="21">
        <v>3170940.64</v>
      </c>
      <c r="L722" s="21"/>
      <c r="M722" s="22">
        <f>(PROVEEDORES[[#This Row],[SUBTOTAL]]-PROVEEDORES[[#This Row],[descuento sobre subtotal]])*VLOOKUP(PROVEEDORES[[#This Row],[PROVEEDOR]],TERCEROS_INFO[#All],3,FALSE)</f>
        <v>602478.72160000005</v>
      </c>
      <c r="N722" s="23"/>
      <c r="O722" s="22">
        <f>+PROVEEDORES[[#This Row],[Descuento sobre subtotal %]]*(PROVEEDORES[[#This Row],[SUBTOTAL]]-PROVEEDORES[[#This Row],[descuento sobre subtotal]])</f>
        <v>0</v>
      </c>
      <c r="P722" s="74">
        <f>+IF(PROVEEDORES[[#This Row],[SUBTOTAL]]&lt;PROVEEDORES[[#This Row],[base retencion]],0,PROVEEDORES[[#This Row],[retención aplicada]])</f>
        <v>0</v>
      </c>
      <c r="Q722" s="22">
        <f>+PROVEEDORES[[#This Row],[Rete Fuente %]]*(PROVEEDORES[[#This Row],[SUBTOTAL]]-PROVEEDORES[[#This Row],[descuento sobre subtotal]])</f>
        <v>0</v>
      </c>
      <c r="R722" s="21">
        <f>+PROVEEDORES[[#This Row],[SUBTOTAL]]+PROVEEDORES[[#This Row],[IVA 19%]]-PROVEEDORES[[#This Row],[descuento sobre subtotal]]-PROVEEDORES[[#This Row],[Descuento sobre subtotal $2]]-PROVEEDORES[[#This Row],[Rete Fuente $]]</f>
        <v>3773419.3616000004</v>
      </c>
      <c r="S7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63">
        <f ca="1">IF(PROVEEDORES[[#This Row],[FECHA DE PAGO]]=0,TODAY()-PROVEEDORES[[#This Row],[FECHA DE FACTURACIÓN]]-PROVEEDORES[[#This Row],[PLAZO Días]],0)</f>
        <v>0</v>
      </c>
      <c r="U722" s="104">
        <f>+VLOOKUP(PROVEEDORES[[#This Row],[PROVEEDOR]],Terceros!$A:$D,4,FALSE)</f>
        <v>0</v>
      </c>
      <c r="V722" s="105">
        <f>+YEAR(PROVEEDORES[[#This Row],[FECHA DE FACTURACIÓN]])</f>
        <v>2022</v>
      </c>
      <c r="W722" s="105">
        <f>+MATCH(PROVEEDORES[[#This Row],[año facturado]],Retenciones!$1:$1,0)</f>
        <v>5</v>
      </c>
      <c r="X722" s="106">
        <f>+VLOOKUP(PROVEEDORES[[#This Row],[ID RETENCION]],Retenciones!$A$1:$O$25,PROVEEDORES[[#This Row],[indicador de columna]],FALSE)</f>
        <v>0</v>
      </c>
      <c r="Y722" s="107">
        <f>+VLOOKUP(PROVEEDORES[[#This Row],[ID RETENCION]],Retenciones!$A$1:$O$25,2,FALSE)</f>
        <v>0</v>
      </c>
      <c r="Z722" s="116" t="b">
        <f>OR(COUNTIF(PROVEEDORES[[#This Row],[PROVEEDOR]],"*"&amp;'Palabra no opera'!$A$2&amp;"*"))</f>
        <v>0</v>
      </c>
    </row>
    <row r="723" spans="1:26" ht="22.35" customHeight="1" x14ac:dyDescent="0.3">
      <c r="A723" s="67" t="str">
        <f>+IF(PROVEEDORES[[#This Row],[FECHA DE PAGO]]=PROVEEDORES[[#This Row],[FECHA DE FACTURACIÓN]],"DE CONTADO","CRÉDITO")</f>
        <v>CRÉDITO</v>
      </c>
      <c r="B723" s="38" t="b">
        <f>+IF((PROVEEDORES[[#This Row],[FECHA DE PAGO]]-PROVEEDORES[[#This Row],[FECHA DE FACTURACIÓN]])&gt;PROVEEDORES[[#This Row],[PLAZO Días]],"PAGO VENCIDO")</f>
        <v>0</v>
      </c>
      <c r="C723" s="20">
        <v>60</v>
      </c>
      <c r="D723" s="25">
        <f>+SUMIFS(PROVEEDORES[Total],PROVEEDORES[PROVEEDOR],PROVEEDORES[[#This Row],[PROVEEDOR]],PROVEEDORES[FECHA DE PAGO],"")</f>
        <v>0</v>
      </c>
      <c r="E723" s="25"/>
      <c r="F723" s="56">
        <f>+VLOOKUP(PROVEEDORES[[#This Row],[PROVEEDOR]],
                       Terceros!$A:$F,
                       5,
                       FALSE)</f>
        <v>0</v>
      </c>
      <c r="G723" s="68">
        <v>44802</v>
      </c>
      <c r="H723" s="26" t="s">
        <v>633</v>
      </c>
      <c r="I723" s="68">
        <v>44743</v>
      </c>
      <c r="J723" s="35" t="s">
        <v>882</v>
      </c>
      <c r="K723" s="21">
        <v>263948</v>
      </c>
      <c r="L723" s="21"/>
      <c r="M723" s="22">
        <f>(PROVEEDORES[[#This Row],[SUBTOTAL]]-PROVEEDORES[[#This Row],[descuento sobre subtotal]])*VLOOKUP(PROVEEDORES[[#This Row],[PROVEEDOR]],TERCEROS_INFO[#All],3,FALSE)</f>
        <v>0</v>
      </c>
      <c r="N723" s="23"/>
      <c r="O723" s="22">
        <f>+PROVEEDORES[[#This Row],[Descuento sobre subtotal %]]*(PROVEEDORES[[#This Row],[SUBTOTAL]]-PROVEEDORES[[#This Row],[descuento sobre subtotal]])</f>
        <v>0</v>
      </c>
      <c r="P723" s="74">
        <f>+IF(PROVEEDORES[[#This Row],[SUBTOTAL]]&lt;PROVEEDORES[[#This Row],[base retencion]],0,PROVEEDORES[[#This Row],[retención aplicada]])</f>
        <v>0</v>
      </c>
      <c r="Q723" s="22">
        <f>+PROVEEDORES[[#This Row],[Rete Fuente %]]*(PROVEEDORES[[#This Row],[SUBTOTAL]]-PROVEEDORES[[#This Row],[descuento sobre subtotal]])</f>
        <v>0</v>
      </c>
      <c r="R723" s="21">
        <f>+PROVEEDORES[[#This Row],[SUBTOTAL]]+PROVEEDORES[[#This Row],[IVA 19%]]-PROVEEDORES[[#This Row],[descuento sobre subtotal]]-PROVEEDORES[[#This Row],[Descuento sobre subtotal $2]]-PROVEEDORES[[#This Row],[Rete Fuente $]]</f>
        <v>263948</v>
      </c>
      <c r="S72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63">
        <f ca="1">IF(PROVEEDORES[[#This Row],[FECHA DE PAGO]]=0,TODAY()-PROVEEDORES[[#This Row],[FECHA DE FACTURACIÓN]]-PROVEEDORES[[#This Row],[PLAZO Días]],0)</f>
        <v>0</v>
      </c>
      <c r="U723" s="104">
        <f>+VLOOKUP(PROVEEDORES[[#This Row],[PROVEEDOR]],Terceros!$A:$D,4,FALSE)</f>
        <v>0</v>
      </c>
      <c r="V723" s="105">
        <f>+YEAR(PROVEEDORES[[#This Row],[FECHA DE FACTURACIÓN]])</f>
        <v>2022</v>
      </c>
      <c r="W723" s="105">
        <f>+MATCH(PROVEEDORES[[#This Row],[año facturado]],Retenciones!$1:$1,0)</f>
        <v>5</v>
      </c>
      <c r="X723" s="106">
        <f>+VLOOKUP(PROVEEDORES[[#This Row],[ID RETENCION]],Retenciones!$A$1:$O$25,PROVEEDORES[[#This Row],[indicador de columna]],FALSE)</f>
        <v>0</v>
      </c>
      <c r="Y723" s="107">
        <f>+VLOOKUP(PROVEEDORES[[#This Row],[ID RETENCION]],Retenciones!$A$1:$O$25,2,FALSE)</f>
        <v>0</v>
      </c>
      <c r="Z723" s="116" t="b">
        <f>OR(COUNTIF(PROVEEDORES[[#This Row],[PROVEEDOR]],"*"&amp;'Palabra no opera'!$A$2&amp;"*"))</f>
        <v>1</v>
      </c>
    </row>
    <row r="724" spans="1:26" ht="22.35" customHeight="1" x14ac:dyDescent="0.3">
      <c r="A724" s="67" t="str">
        <f>+IF(PROVEEDORES[[#This Row],[FECHA DE PAGO]]=PROVEEDORES[[#This Row],[FECHA DE FACTURACIÓN]],"DE CONTADO","CRÉDITO")</f>
        <v>CRÉDITO</v>
      </c>
      <c r="B724" s="38" t="b">
        <f>+IF((PROVEEDORES[[#This Row],[FECHA DE PAGO]]-PROVEEDORES[[#This Row],[FECHA DE FACTURACIÓN]])&gt;PROVEEDORES[[#This Row],[PLAZO Días]],"PAGO VENCIDO")</f>
        <v>0</v>
      </c>
      <c r="C724" s="20">
        <v>60</v>
      </c>
      <c r="D724" s="25">
        <f>+SUMIFS(PROVEEDORES[Total],PROVEEDORES[PROVEEDOR],PROVEEDORES[[#This Row],[PROVEEDOR]],PROVEEDORES[FECHA DE PAGO],"")</f>
        <v>0</v>
      </c>
      <c r="E724" s="25"/>
      <c r="F724" s="56">
        <f>+VLOOKUP(PROVEEDORES[[#This Row],[PROVEEDOR]],
                       Terceros!$A:$F,
                       5,
                       FALSE)</f>
        <v>0</v>
      </c>
      <c r="G724" s="68">
        <v>44802</v>
      </c>
      <c r="H724" s="26" t="s">
        <v>633</v>
      </c>
      <c r="I724" s="68">
        <v>44743</v>
      </c>
      <c r="J724" s="35" t="s">
        <v>883</v>
      </c>
      <c r="K724" s="21">
        <v>1591380</v>
      </c>
      <c r="L724" s="21"/>
      <c r="M724" s="22">
        <f>(PROVEEDORES[[#This Row],[SUBTOTAL]]-PROVEEDORES[[#This Row],[descuento sobre subtotal]])*VLOOKUP(PROVEEDORES[[#This Row],[PROVEEDOR]],TERCEROS_INFO[#All],3,FALSE)</f>
        <v>0</v>
      </c>
      <c r="N724" s="23"/>
      <c r="O724" s="22">
        <f>+PROVEEDORES[[#This Row],[Descuento sobre subtotal %]]*(PROVEEDORES[[#This Row],[SUBTOTAL]]-PROVEEDORES[[#This Row],[descuento sobre subtotal]])</f>
        <v>0</v>
      </c>
      <c r="P724" s="74">
        <f>+IF(PROVEEDORES[[#This Row],[SUBTOTAL]]&lt;PROVEEDORES[[#This Row],[base retencion]],0,PROVEEDORES[[#This Row],[retención aplicada]])</f>
        <v>0</v>
      </c>
      <c r="Q724" s="22">
        <f>+PROVEEDORES[[#This Row],[Rete Fuente %]]*(PROVEEDORES[[#This Row],[SUBTOTAL]]-PROVEEDORES[[#This Row],[descuento sobre subtotal]])</f>
        <v>0</v>
      </c>
      <c r="R724" s="21">
        <f>+PROVEEDORES[[#This Row],[SUBTOTAL]]+PROVEEDORES[[#This Row],[IVA 19%]]-PROVEEDORES[[#This Row],[descuento sobre subtotal]]-PROVEEDORES[[#This Row],[Descuento sobre subtotal $2]]-PROVEEDORES[[#This Row],[Rete Fuente $]]</f>
        <v>1591380</v>
      </c>
      <c r="S7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63">
        <f ca="1">IF(PROVEEDORES[[#This Row],[FECHA DE PAGO]]=0,TODAY()-PROVEEDORES[[#This Row],[FECHA DE FACTURACIÓN]]-PROVEEDORES[[#This Row],[PLAZO Días]],0)</f>
        <v>0</v>
      </c>
      <c r="U724" s="104">
        <f>+VLOOKUP(PROVEEDORES[[#This Row],[PROVEEDOR]],Terceros!$A:$D,4,FALSE)</f>
        <v>0</v>
      </c>
      <c r="V724" s="105">
        <f>+YEAR(PROVEEDORES[[#This Row],[FECHA DE FACTURACIÓN]])</f>
        <v>2022</v>
      </c>
      <c r="W724" s="105">
        <f>+MATCH(PROVEEDORES[[#This Row],[año facturado]],Retenciones!$1:$1,0)</f>
        <v>5</v>
      </c>
      <c r="X724" s="106">
        <f>+VLOOKUP(PROVEEDORES[[#This Row],[ID RETENCION]],Retenciones!$A$1:$O$25,PROVEEDORES[[#This Row],[indicador de columna]],FALSE)</f>
        <v>0</v>
      </c>
      <c r="Y724" s="107">
        <f>+VLOOKUP(PROVEEDORES[[#This Row],[ID RETENCION]],Retenciones!$A$1:$O$25,2,FALSE)</f>
        <v>0</v>
      </c>
      <c r="Z724" s="116" t="b">
        <f>OR(COUNTIF(PROVEEDORES[[#This Row],[PROVEEDOR]],"*"&amp;'Palabra no opera'!$A$2&amp;"*"))</f>
        <v>1</v>
      </c>
    </row>
    <row r="725" spans="1:26" ht="22.35" customHeight="1" x14ac:dyDescent="0.3">
      <c r="A725" s="169" t="str">
        <f>+IF(PROVEEDORES[[#This Row],[FECHA DE PAGO]]=PROVEEDORES[[#This Row],[FECHA DE FACTURACIÓN]],"DE CONTADO","CRÉDITO")</f>
        <v>CRÉDITO</v>
      </c>
      <c r="B725" s="38" t="b">
        <f>+IF((PROVEEDORES[[#This Row],[FECHA DE PAGO]]-PROVEEDORES[[#This Row],[FECHA DE FACTURACIÓN]])&gt;PROVEEDORES[[#This Row],[PLAZO Días]],"PAGO VENCIDO")</f>
        <v>0</v>
      </c>
      <c r="C725" s="20">
        <f>+VLOOKUP(PROVEEDORES[[#This Row],[PROVEEDOR]],TERCEROS_INFO[#All],2,FALSE)</f>
        <v>30</v>
      </c>
      <c r="D725" s="25">
        <f>+SUMIFS(PROVEEDORES[Total],PROVEEDORES[PROVEEDOR],PROVEEDORES[[#This Row],[PROVEEDOR]],PROVEEDORES[FECHA DE PAGO],"")</f>
        <v>0</v>
      </c>
      <c r="E725" s="25"/>
      <c r="F725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725" s="68">
        <v>44802</v>
      </c>
      <c r="H725" s="26" t="s">
        <v>635</v>
      </c>
      <c r="I725" s="68">
        <v>44774</v>
      </c>
      <c r="J725" s="35">
        <v>3881</v>
      </c>
      <c r="K725" s="21">
        <v>3002200</v>
      </c>
      <c r="L725" s="21"/>
      <c r="M725" s="22">
        <f>(PROVEEDORES[[#This Row],[SUBTOTAL]]-PROVEEDORES[[#This Row],[descuento sobre subtotal]])*VLOOKUP(PROVEEDORES[[#This Row],[PROVEEDOR]],TERCEROS_INFO[#All],3,FALSE)</f>
        <v>0</v>
      </c>
      <c r="N725" s="23"/>
      <c r="O725" s="22">
        <f>+PROVEEDORES[[#This Row],[Descuento sobre subtotal %]]*(PROVEEDORES[[#This Row],[SUBTOTAL]]-PROVEEDORES[[#This Row],[descuento sobre subtotal]])</f>
        <v>0</v>
      </c>
      <c r="P725" s="74">
        <f>+IF(PROVEEDORES[[#This Row],[SUBTOTAL]]&lt;PROVEEDORES[[#This Row],[base retencion]],0,PROVEEDORES[[#This Row],[retención aplicada]])</f>
        <v>3.5000000000000003E-2</v>
      </c>
      <c r="Q725" s="22">
        <f>+PROVEEDORES[[#This Row],[Rete Fuente %]]*(PROVEEDORES[[#This Row],[SUBTOTAL]]-PROVEEDORES[[#This Row],[descuento sobre subtotal]])</f>
        <v>105077.00000000001</v>
      </c>
      <c r="R725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725" s="1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63">
        <f ca="1">IF(PROVEEDORES[[#This Row],[FECHA DE PAGO]]=0,TODAY()-PROVEEDORES[[#This Row],[FECHA DE FACTURACIÓN]]-PROVEEDORES[[#This Row],[PLAZO Días]],0)</f>
        <v>0</v>
      </c>
      <c r="U725" s="104" t="str">
        <f>+VLOOKUP(PROVEEDORES[[#This Row],[PROVEEDOR]],Terceros!$A:$D,4,FALSE)</f>
        <v>3,5% sin base</v>
      </c>
      <c r="V725" s="105">
        <f>+YEAR(PROVEEDORES[[#This Row],[FECHA DE FACTURACIÓN]])</f>
        <v>2022</v>
      </c>
      <c r="W725" s="105">
        <f>+MATCH(PROVEEDORES[[#This Row],[año facturado]],Retenciones!$1:$1,0)</f>
        <v>5</v>
      </c>
      <c r="X725" s="106">
        <f>+VLOOKUP(PROVEEDORES[[#This Row],[ID RETENCION]],Retenciones!$A$1:$O$25,PROVEEDORES[[#This Row],[indicador de columna]],FALSE)</f>
        <v>0</v>
      </c>
      <c r="Y725" s="107">
        <f>+VLOOKUP(PROVEEDORES[[#This Row],[ID RETENCION]],Retenciones!$A$1:$O$25,2,FALSE)</f>
        <v>3.5000000000000003E-2</v>
      </c>
      <c r="Z725" s="116" t="b">
        <f>OR(COUNTIF(PROVEEDORES[[#This Row],[PROVEEDOR]],"*"&amp;'Palabra no opera'!$A$2&amp;"*"))</f>
        <v>1</v>
      </c>
    </row>
    <row r="726" spans="1:26" ht="22.35" customHeight="1" x14ac:dyDescent="0.3">
      <c r="A726" s="67" t="str">
        <f>+IF(PROVEEDORES[[#This Row],[FECHA DE PAGO]]=PROVEEDORES[[#This Row],[FECHA DE FACTURACIÓN]],"DE CONTADO","CRÉDITO")</f>
        <v>CRÉDITO</v>
      </c>
      <c r="B726" s="38" t="b">
        <f>+IF((PROVEEDORES[[#This Row],[FECHA DE PAGO]]-PROVEEDORES[[#This Row],[FECHA DE FACTURACIÓN]])&gt;PROVEEDORES[[#This Row],[PLAZO Días]],"PAGO VENCIDO")</f>
        <v>0</v>
      </c>
      <c r="C726" s="20">
        <f>+VLOOKUP(PROVEEDORES[[#This Row],[PROVEEDOR]],TERCEROS_INFO[#All],2,FALSE)</f>
        <v>30</v>
      </c>
      <c r="D726" s="25">
        <f>+SUMIFS(PROVEEDORES[Total],PROVEEDORES[PROVEEDOR],PROVEEDORES[[#This Row],[PROVEEDOR]],PROVEEDORES[FECHA DE PAGO],"")</f>
        <v>0</v>
      </c>
      <c r="E726" s="25"/>
      <c r="F72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726" s="68">
        <v>44802</v>
      </c>
      <c r="H726" s="26" t="s">
        <v>637</v>
      </c>
      <c r="I726" s="68">
        <v>44774</v>
      </c>
      <c r="J726" s="35" t="s">
        <v>219</v>
      </c>
      <c r="K726" s="21">
        <v>59583</v>
      </c>
      <c r="L726" s="21"/>
      <c r="M726" s="22">
        <f>(PROVEEDORES[[#This Row],[SUBTOTAL]]-PROVEEDORES[[#This Row],[descuento sobre subtotal]])*VLOOKUP(PROVEEDORES[[#This Row],[PROVEEDOR]],TERCEROS_INFO[#All],3,FALSE)</f>
        <v>0</v>
      </c>
      <c r="N726" s="23"/>
      <c r="O726" s="22">
        <f>+PROVEEDORES[[#This Row],[Descuento sobre subtotal %]]*(PROVEEDORES[[#This Row],[SUBTOTAL]]-PROVEEDORES[[#This Row],[descuento sobre subtotal]])</f>
        <v>0</v>
      </c>
      <c r="P726" s="74">
        <f>+IF(PROVEEDORES[[#This Row],[SUBTOTAL]]&lt;PROVEEDORES[[#This Row],[base retencion]],0,PROVEEDORES[[#This Row],[retención aplicada]])</f>
        <v>0</v>
      </c>
      <c r="Q726" s="22">
        <f>+PROVEEDORES[[#This Row],[Rete Fuente %]]*(PROVEEDORES[[#This Row],[SUBTOTAL]]-PROVEEDORES[[#This Row],[descuento sobre subtotal]])</f>
        <v>0</v>
      </c>
      <c r="R726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72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63">
        <f ca="1">IF(PROVEEDORES[[#This Row],[FECHA DE PAGO]]=0,TODAY()-PROVEEDORES[[#This Row],[FECHA DE FACTURACIÓN]]-PROVEEDORES[[#This Row],[PLAZO Días]],0)</f>
        <v>0</v>
      </c>
      <c r="U726" s="104">
        <f>+VLOOKUP(PROVEEDORES[[#This Row],[PROVEEDOR]],Terceros!$A:$D,4,FALSE)</f>
        <v>0</v>
      </c>
      <c r="V726" s="105">
        <f>+YEAR(PROVEEDORES[[#This Row],[FECHA DE FACTURACIÓN]])</f>
        <v>2022</v>
      </c>
      <c r="W726" s="105">
        <f>+MATCH(PROVEEDORES[[#This Row],[año facturado]],Retenciones!$1:$1,0)</f>
        <v>5</v>
      </c>
      <c r="X726" s="106">
        <f>+VLOOKUP(PROVEEDORES[[#This Row],[ID RETENCION]],Retenciones!$A$1:$O$25,PROVEEDORES[[#This Row],[indicador de columna]],FALSE)</f>
        <v>0</v>
      </c>
      <c r="Y726" s="107">
        <f>+VLOOKUP(PROVEEDORES[[#This Row],[ID RETENCION]],Retenciones!$A$1:$O$25,2,FALSE)</f>
        <v>0</v>
      </c>
      <c r="Z726" s="116" t="b">
        <f>OR(COUNTIF(PROVEEDORES[[#This Row],[PROVEEDOR]],"*"&amp;'Palabra no opera'!$A$2&amp;"*"))</f>
        <v>1</v>
      </c>
    </row>
    <row r="727" spans="1:26" ht="22.35" customHeight="1" x14ac:dyDescent="0.3">
      <c r="A727" s="67" t="str">
        <f>+IF(PROVEEDORES[[#This Row],[FECHA DE PAGO]]=PROVEEDORES[[#This Row],[FECHA DE FACTURACIÓN]],"DE CONTADO","CRÉDITO")</f>
        <v>CRÉDITO</v>
      </c>
      <c r="B727" s="38" t="b">
        <f>+IF((PROVEEDORES[[#This Row],[FECHA DE PAGO]]-PROVEEDORES[[#This Row],[FECHA DE FACTURACIÓN]])&gt;PROVEEDORES[[#This Row],[PLAZO Días]],"PAGO VENCIDO")</f>
        <v>0</v>
      </c>
      <c r="C727" s="20">
        <f>+VLOOKUP(PROVEEDORES[[#This Row],[PROVEEDOR]],TERCEROS_INFO[#All],2,FALSE)</f>
        <v>30</v>
      </c>
      <c r="D727" s="25">
        <f>+SUMIFS(PROVEEDORES[Total],PROVEEDORES[PROVEEDOR],PROVEEDORES[[#This Row],[PROVEEDOR]],PROVEEDORES[FECHA DE PAGO],"")</f>
        <v>0</v>
      </c>
      <c r="E727" s="25"/>
      <c r="F727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727" s="68">
        <v>44802</v>
      </c>
      <c r="H727" s="26" t="s">
        <v>637</v>
      </c>
      <c r="I727" s="68">
        <v>44774</v>
      </c>
      <c r="J727" s="35" t="s">
        <v>220</v>
      </c>
      <c r="K727" s="21">
        <v>68166</v>
      </c>
      <c r="L727" s="21"/>
      <c r="M727" s="22">
        <f>(PROVEEDORES[[#This Row],[SUBTOTAL]]-PROVEEDORES[[#This Row],[descuento sobre subtotal]])*VLOOKUP(PROVEEDORES[[#This Row],[PROVEEDOR]],TERCEROS_INFO[#All],3,FALSE)</f>
        <v>0</v>
      </c>
      <c r="N727" s="23"/>
      <c r="O727" s="22">
        <f>+PROVEEDORES[[#This Row],[Descuento sobre subtotal %]]*(PROVEEDORES[[#This Row],[SUBTOTAL]]-PROVEEDORES[[#This Row],[descuento sobre subtotal]])</f>
        <v>0</v>
      </c>
      <c r="P727" s="74">
        <f>+IF(PROVEEDORES[[#This Row],[SUBTOTAL]]&lt;PROVEEDORES[[#This Row],[base retencion]],0,PROVEEDORES[[#This Row],[retención aplicada]])</f>
        <v>0</v>
      </c>
      <c r="Q727" s="22">
        <f>+PROVEEDORES[[#This Row],[Rete Fuente %]]*(PROVEEDORES[[#This Row],[SUBTOTAL]]-PROVEEDORES[[#This Row],[descuento sobre subtotal]])</f>
        <v>0</v>
      </c>
      <c r="R727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72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63">
        <f ca="1">IF(PROVEEDORES[[#This Row],[FECHA DE PAGO]]=0,TODAY()-PROVEEDORES[[#This Row],[FECHA DE FACTURACIÓN]]-PROVEEDORES[[#This Row],[PLAZO Días]],0)</f>
        <v>0</v>
      </c>
      <c r="U727" s="104">
        <f>+VLOOKUP(PROVEEDORES[[#This Row],[PROVEEDOR]],Terceros!$A:$D,4,FALSE)</f>
        <v>0</v>
      </c>
      <c r="V727" s="105">
        <f>+YEAR(PROVEEDORES[[#This Row],[FECHA DE FACTURACIÓN]])</f>
        <v>2022</v>
      </c>
      <c r="W727" s="105">
        <f>+MATCH(PROVEEDORES[[#This Row],[año facturado]],Retenciones!$1:$1,0)</f>
        <v>5</v>
      </c>
      <c r="X727" s="106">
        <f>+VLOOKUP(PROVEEDORES[[#This Row],[ID RETENCION]],Retenciones!$A$1:$O$25,PROVEEDORES[[#This Row],[indicador de columna]],FALSE)</f>
        <v>0</v>
      </c>
      <c r="Y727" s="107">
        <f>+VLOOKUP(PROVEEDORES[[#This Row],[ID RETENCION]],Retenciones!$A$1:$O$25,2,FALSE)</f>
        <v>0</v>
      </c>
      <c r="Z727" s="116" t="b">
        <f>OR(COUNTIF(PROVEEDORES[[#This Row],[PROVEEDOR]],"*"&amp;'Palabra no opera'!$A$2&amp;"*"))</f>
        <v>1</v>
      </c>
    </row>
    <row r="728" spans="1:26" ht="22.35" customHeight="1" x14ac:dyDescent="0.3">
      <c r="A728" s="67" t="str">
        <f>+IF(PROVEEDORES[[#This Row],[FECHA DE PAGO]]=PROVEEDORES[[#This Row],[FECHA DE FACTURACIÓN]],"DE CONTADO","CRÉDITO")</f>
        <v>CRÉDITO</v>
      </c>
      <c r="B728" s="38" t="b">
        <f>+IF((PROVEEDORES[[#This Row],[FECHA DE PAGO]]-PROVEEDORES[[#This Row],[FECHA DE FACTURACIÓN]])&gt;PROVEEDORES[[#This Row],[PLAZO Días]],"PAGO VENCIDO")</f>
        <v>0</v>
      </c>
      <c r="C728" s="20">
        <f>+VLOOKUP(PROVEEDORES[[#This Row],[PROVEEDOR]],TERCEROS_INFO[#All],2,FALSE)</f>
        <v>30</v>
      </c>
      <c r="D728" s="25">
        <f>+SUMIFS(PROVEEDORES[Total],PROVEEDORES[PROVEEDOR],PROVEEDORES[[#This Row],[PROVEEDOR]],PROVEEDORES[FECHA DE PAGO],"")</f>
        <v>0</v>
      </c>
      <c r="E728" s="25"/>
      <c r="F728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728" s="68">
        <v>44802</v>
      </c>
      <c r="H728" s="26" t="s">
        <v>638</v>
      </c>
      <c r="I728" s="68">
        <v>44774</v>
      </c>
      <c r="J728" s="35" t="s">
        <v>844</v>
      </c>
      <c r="K728" s="21">
        <v>3961260</v>
      </c>
      <c r="L728" s="21"/>
      <c r="M728" s="22">
        <f>(PROVEEDORES[[#This Row],[SUBTOTAL]]-PROVEEDORES[[#This Row],[descuento sobre subtotal]])*VLOOKUP(PROVEEDORES[[#This Row],[PROVEEDOR]],TERCEROS_INFO[#All],3,FALSE)</f>
        <v>752639.4</v>
      </c>
      <c r="N728" s="23"/>
      <c r="O728" s="22">
        <f>+PROVEEDORES[[#This Row],[Descuento sobre subtotal %]]*(PROVEEDORES[[#This Row],[SUBTOTAL]]-PROVEEDORES[[#This Row],[descuento sobre subtotal]])</f>
        <v>0</v>
      </c>
      <c r="P728" s="74">
        <f>+IF(PROVEEDORES[[#This Row],[SUBTOTAL]]&lt;PROVEEDORES[[#This Row],[base retencion]],0,PROVEEDORES[[#This Row],[retención aplicada]])</f>
        <v>3.5000000000000003E-2</v>
      </c>
      <c r="Q728" s="22">
        <f>+PROVEEDORES[[#This Row],[Rete Fuente %]]*(PROVEEDORES[[#This Row],[SUBTOTAL]]-PROVEEDORES[[#This Row],[descuento sobre subtotal]])</f>
        <v>138644.1</v>
      </c>
      <c r="R728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72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63">
        <f ca="1">IF(PROVEEDORES[[#This Row],[FECHA DE PAGO]]=0,TODAY()-PROVEEDORES[[#This Row],[FECHA DE FACTURACIÓN]]-PROVEEDORES[[#This Row],[PLAZO Días]],0)</f>
        <v>0</v>
      </c>
      <c r="U728" s="104" t="str">
        <f>+VLOOKUP(PROVEEDORES[[#This Row],[PROVEEDOR]],Terceros!$A:$D,4,FALSE)</f>
        <v>3,5% sin base</v>
      </c>
      <c r="V728" s="105">
        <f>+YEAR(PROVEEDORES[[#This Row],[FECHA DE FACTURACIÓN]])</f>
        <v>2022</v>
      </c>
      <c r="W728" s="105">
        <f>+MATCH(PROVEEDORES[[#This Row],[año facturado]],Retenciones!$1:$1,0)</f>
        <v>5</v>
      </c>
      <c r="X728" s="106">
        <f>+VLOOKUP(PROVEEDORES[[#This Row],[ID RETENCION]],Retenciones!$A$1:$O$25,PROVEEDORES[[#This Row],[indicador de columna]],FALSE)</f>
        <v>0</v>
      </c>
      <c r="Y728" s="107">
        <f>+VLOOKUP(PROVEEDORES[[#This Row],[ID RETENCION]],Retenciones!$A$1:$O$25,2,FALSE)</f>
        <v>3.5000000000000003E-2</v>
      </c>
      <c r="Z728" s="116" t="b">
        <f>OR(COUNTIF(PROVEEDORES[[#This Row],[PROVEEDOR]],"*"&amp;'Palabra no opera'!$A$2&amp;"*"))</f>
        <v>1</v>
      </c>
    </row>
    <row r="729" spans="1:26" ht="22.35" customHeight="1" x14ac:dyDescent="0.3">
      <c r="A729" s="67" t="str">
        <f>+IF(PROVEEDORES[[#This Row],[FECHA DE PAGO]]=PROVEEDORES[[#This Row],[FECHA DE FACTURACIÓN]],"DE CONTADO","CRÉDITO")</f>
        <v>CRÉDITO</v>
      </c>
      <c r="B729" s="38" t="b">
        <f>+IF((PROVEEDORES[[#This Row],[FECHA DE PAGO]]-PROVEEDORES[[#This Row],[FECHA DE FACTURACIÓN]])&gt;PROVEEDORES[[#This Row],[PLAZO Días]],"PAGO VENCIDO")</f>
        <v>0</v>
      </c>
      <c r="C729" s="20">
        <f>+VLOOKUP(PROVEEDORES[[#This Row],[PROVEEDOR]],TERCEROS_INFO[#All],2,FALSE)</f>
        <v>30</v>
      </c>
      <c r="D729" s="25">
        <f>+SUMIFS(PROVEEDORES[Total],PROVEEDORES[PROVEEDOR],PROVEEDORES[[#This Row],[PROVEEDOR]],PROVEEDORES[FECHA DE PAGO],"")</f>
        <v>0</v>
      </c>
      <c r="E729" s="25"/>
      <c r="F729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729" s="68">
        <v>44802</v>
      </c>
      <c r="H729" s="26" t="s">
        <v>651</v>
      </c>
      <c r="I729" s="68">
        <v>44774</v>
      </c>
      <c r="J729" s="35">
        <v>5753</v>
      </c>
      <c r="K729" s="21">
        <v>215356</v>
      </c>
      <c r="L729" s="21"/>
      <c r="M729" s="22">
        <f>(PROVEEDORES[[#This Row],[SUBTOTAL]]-PROVEEDORES[[#This Row],[descuento sobre subtotal]])*VLOOKUP(PROVEEDORES[[#This Row],[PROVEEDOR]],TERCEROS_INFO[#All],3,FALSE)</f>
        <v>40917.64</v>
      </c>
      <c r="N729" s="23"/>
      <c r="O729" s="22">
        <f>+PROVEEDORES[[#This Row],[Descuento sobre subtotal %]]*(PROVEEDORES[[#This Row],[SUBTOTAL]]-PROVEEDORES[[#This Row],[descuento sobre subtotal]])</f>
        <v>0</v>
      </c>
      <c r="P729" s="74">
        <f>+IF(PROVEEDORES[[#This Row],[SUBTOTAL]]&lt;PROVEEDORES[[#This Row],[base retencion]],0,PROVEEDORES[[#This Row],[retención aplicada]])</f>
        <v>3.5000000000000003E-2</v>
      </c>
      <c r="Q729" s="22">
        <f>+PROVEEDORES[[#This Row],[Rete Fuente %]]*(PROVEEDORES[[#This Row],[SUBTOTAL]]-PROVEEDORES[[#This Row],[descuento sobre subtotal]])</f>
        <v>7537.4600000000009</v>
      </c>
      <c r="R729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7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63">
        <f ca="1">IF(PROVEEDORES[[#This Row],[FECHA DE PAGO]]=0,TODAY()-PROVEEDORES[[#This Row],[FECHA DE FACTURACIÓN]]-PROVEEDORES[[#This Row],[PLAZO Días]],0)</f>
        <v>0</v>
      </c>
      <c r="U729" s="104" t="str">
        <f>+VLOOKUP(PROVEEDORES[[#This Row],[PROVEEDOR]],Terceros!$A:$D,4,FALSE)</f>
        <v>3,5% sin base</v>
      </c>
      <c r="V729" s="105">
        <f>+YEAR(PROVEEDORES[[#This Row],[FECHA DE FACTURACIÓN]])</f>
        <v>2022</v>
      </c>
      <c r="W729" s="105">
        <f>+MATCH(PROVEEDORES[[#This Row],[año facturado]],Retenciones!$1:$1,0)</f>
        <v>5</v>
      </c>
      <c r="X729" s="106">
        <f>+VLOOKUP(PROVEEDORES[[#This Row],[ID RETENCION]],Retenciones!$A$1:$O$25,PROVEEDORES[[#This Row],[indicador de columna]],FALSE)</f>
        <v>0</v>
      </c>
      <c r="Y729" s="107">
        <f>+VLOOKUP(PROVEEDORES[[#This Row],[ID RETENCION]],Retenciones!$A$1:$O$25,2,FALSE)</f>
        <v>3.5000000000000003E-2</v>
      </c>
      <c r="Z729" s="116" t="b">
        <f>OR(COUNTIF(PROVEEDORES[[#This Row],[PROVEEDOR]],"*"&amp;'Palabra no opera'!$A$2&amp;"*"))</f>
        <v>1</v>
      </c>
    </row>
    <row r="730" spans="1:26" ht="22.35" customHeight="1" x14ac:dyDescent="0.3">
      <c r="A730" s="67" t="str">
        <f>+IF(PROVEEDORES[[#This Row],[FECHA DE PAGO]]=PROVEEDORES[[#This Row],[FECHA DE FACTURACIÓN]],"DE CONTADO","CRÉDITO")</f>
        <v>CRÉDITO</v>
      </c>
      <c r="B730" s="38" t="str">
        <f>+IF((PROVEEDORES[[#This Row],[FECHA DE PAGO]]-PROVEEDORES[[#This Row],[FECHA DE FACTURACIÓN]])&gt;PROVEEDORES[[#This Row],[PLAZO Días]],"PAGO VENCIDO")</f>
        <v>PAGO VENCIDO</v>
      </c>
      <c r="C730" s="20">
        <f>+VLOOKUP(PROVEEDORES[[#This Row],[PROVEEDOR]],TERCEROS_INFO[#All],2,FALSE)</f>
        <v>20</v>
      </c>
      <c r="D730" s="25">
        <f>+SUMIFS(PROVEEDORES[Total],PROVEEDORES[PROVEEDOR],PROVEEDORES[[#This Row],[PROVEEDOR]],PROVEEDORES[FECHA DE PAGO],"")</f>
        <v>0</v>
      </c>
      <c r="E730" s="25"/>
      <c r="F730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730" s="68">
        <v>44802</v>
      </c>
      <c r="H730" s="26" t="s">
        <v>652</v>
      </c>
      <c r="I730" s="68">
        <v>44774</v>
      </c>
      <c r="J730" s="35">
        <v>44059</v>
      </c>
      <c r="K730" s="21">
        <v>4730000</v>
      </c>
      <c r="L730" s="21"/>
      <c r="M730" s="22">
        <f>(PROVEEDORES[[#This Row],[SUBTOTAL]]-PROVEEDORES[[#This Row],[descuento sobre subtotal]])*VLOOKUP(PROVEEDORES[[#This Row],[PROVEEDOR]],TERCEROS_INFO[#All],3,FALSE)</f>
        <v>898700</v>
      </c>
      <c r="N730" s="23"/>
      <c r="O730" s="22">
        <f>+PROVEEDORES[[#This Row],[Descuento sobre subtotal %]]*(PROVEEDORES[[#This Row],[SUBTOTAL]]-PROVEEDORES[[#This Row],[descuento sobre subtotal]])</f>
        <v>0</v>
      </c>
      <c r="P730" s="74">
        <f>+IF(PROVEEDORES[[#This Row],[SUBTOTAL]]&lt;PROVEEDORES[[#This Row],[base retencion]],0,PROVEEDORES[[#This Row],[retención aplicada]])</f>
        <v>3.5000000000000003E-2</v>
      </c>
      <c r="Q730" s="22">
        <f>+PROVEEDORES[[#This Row],[Rete Fuente %]]*(PROVEEDORES[[#This Row],[SUBTOTAL]]-PROVEEDORES[[#This Row],[descuento sobre subtotal]])</f>
        <v>165550.00000000003</v>
      </c>
      <c r="R730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7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63">
        <f ca="1">IF(PROVEEDORES[[#This Row],[FECHA DE PAGO]]=0,TODAY()-PROVEEDORES[[#This Row],[FECHA DE FACTURACIÓN]]-PROVEEDORES[[#This Row],[PLAZO Días]],0)</f>
        <v>0</v>
      </c>
      <c r="U730" s="104" t="str">
        <f>+VLOOKUP(PROVEEDORES[[#This Row],[PROVEEDOR]],Terceros!$A:$D,4,FALSE)</f>
        <v>3,5% sin base</v>
      </c>
      <c r="V730" s="105">
        <f>+YEAR(PROVEEDORES[[#This Row],[FECHA DE FACTURACIÓN]])</f>
        <v>2022</v>
      </c>
      <c r="W730" s="105">
        <f>+MATCH(PROVEEDORES[[#This Row],[año facturado]],Retenciones!$1:$1,0)</f>
        <v>5</v>
      </c>
      <c r="X730" s="106">
        <f>+VLOOKUP(PROVEEDORES[[#This Row],[ID RETENCION]],Retenciones!$A$1:$O$25,PROVEEDORES[[#This Row],[indicador de columna]],FALSE)</f>
        <v>0</v>
      </c>
      <c r="Y730" s="107">
        <f>+VLOOKUP(PROVEEDORES[[#This Row],[ID RETENCION]],Retenciones!$A$1:$O$25,2,FALSE)</f>
        <v>3.5000000000000003E-2</v>
      </c>
      <c r="Z730" s="116" t="b">
        <f>OR(COUNTIF(PROVEEDORES[[#This Row],[PROVEEDOR]],"*"&amp;'Palabra no opera'!$A$2&amp;"*"))</f>
        <v>1</v>
      </c>
    </row>
    <row r="731" spans="1:26" ht="22.35" customHeight="1" x14ac:dyDescent="0.3">
      <c r="A731" s="182" t="str">
        <f>+IF(PROVEEDORES[[#This Row],[FECHA DE PAGO]]=PROVEEDORES[[#This Row],[FECHA DE FACTURACIÓN]],"DE CONTADO","CRÉDITO")</f>
        <v>CRÉDITO</v>
      </c>
      <c r="B731" s="38" t="b">
        <f>+IF((PROVEEDORES[[#This Row],[FECHA DE PAGO]]-PROVEEDORES[[#This Row],[FECHA DE FACTURACIÓN]])&gt;PROVEEDORES[[#This Row],[PLAZO Días]],"PAGO VENCIDO")</f>
        <v>0</v>
      </c>
      <c r="C731" s="20">
        <f>+VLOOKUP(PROVEEDORES[[#This Row],[PROVEEDOR]],TERCEROS_INFO[#All],2,FALSE)</f>
        <v>30</v>
      </c>
      <c r="D731" s="25">
        <f>+SUMIFS(PROVEEDORES[Total],PROVEEDORES[PROVEEDOR],PROVEEDORES[[#This Row],[PROVEEDOR]],PROVEEDORES[FECHA DE PAGO],"")</f>
        <v>2950000</v>
      </c>
      <c r="E731" s="25"/>
      <c r="F731" s="56">
        <f>+VLOOKUP(PROVEEDORES[[#This Row],[PROVEEDOR]],
                       Terceros!$A:$F,
                       5,
                       FALSE)</f>
        <v>0</v>
      </c>
      <c r="G731" s="68">
        <v>44803</v>
      </c>
      <c r="H731" s="26" t="s">
        <v>703</v>
      </c>
      <c r="I731" s="68">
        <v>44793</v>
      </c>
      <c r="J731" s="35" t="s">
        <v>943</v>
      </c>
      <c r="K731" s="21">
        <v>1009000</v>
      </c>
      <c r="L731" s="21"/>
      <c r="M731" s="22">
        <f>(PROVEEDORES[[#This Row],[SUBTOTAL]]-PROVEEDORES[[#This Row],[descuento sobre subtotal]])*VLOOKUP(PROVEEDORES[[#This Row],[PROVEEDOR]],TERCEROS_INFO[#All],3,FALSE)</f>
        <v>0</v>
      </c>
      <c r="N731" s="23"/>
      <c r="O731" s="22">
        <f>+PROVEEDORES[[#This Row],[Descuento sobre subtotal %]]*(PROVEEDORES[[#This Row],[SUBTOTAL]]-PROVEEDORES[[#This Row],[descuento sobre subtotal]])</f>
        <v>0</v>
      </c>
      <c r="P731" s="74">
        <f>+IF(PROVEEDORES[[#This Row],[SUBTOTAL]]&lt;PROVEEDORES[[#This Row],[base retencion]],0,PROVEEDORES[[#This Row],[retención aplicada]])</f>
        <v>0</v>
      </c>
      <c r="Q731" s="22">
        <f>+PROVEEDORES[[#This Row],[Rete Fuente %]]*(PROVEEDORES[[#This Row],[SUBTOTAL]]-PROVEEDORES[[#This Row],[descuento sobre subtotal]])</f>
        <v>0</v>
      </c>
      <c r="R731" s="21">
        <f>+PROVEEDORES[[#This Row],[SUBTOTAL]]+PROVEEDORES[[#This Row],[IVA 19%]]-PROVEEDORES[[#This Row],[descuento sobre subtotal]]-PROVEEDORES[[#This Row],[Descuento sobre subtotal $2]]-PROVEEDORES[[#This Row],[Rete Fuente $]]</f>
        <v>1009000</v>
      </c>
      <c r="S73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63">
        <f ca="1">IF(PROVEEDORES[[#This Row],[FECHA DE PAGO]]=0,TODAY()-PROVEEDORES[[#This Row],[FECHA DE FACTURACIÓN]]-PROVEEDORES[[#This Row],[PLAZO Días]],0)</f>
        <v>0</v>
      </c>
      <c r="U731" s="104">
        <f>+VLOOKUP(PROVEEDORES[[#This Row],[PROVEEDOR]],Terceros!$A:$D,4,FALSE)</f>
        <v>0</v>
      </c>
      <c r="V731" s="105">
        <f>+YEAR(PROVEEDORES[[#This Row],[FECHA DE FACTURACIÓN]])</f>
        <v>2022</v>
      </c>
      <c r="W731" s="105">
        <f>+MATCH(PROVEEDORES[[#This Row],[año facturado]],Retenciones!$1:$1,0)</f>
        <v>5</v>
      </c>
      <c r="X731" s="106">
        <f>+VLOOKUP(PROVEEDORES[[#This Row],[ID RETENCION]],Retenciones!$A$1:$O$25,PROVEEDORES[[#This Row],[indicador de columna]],FALSE)</f>
        <v>0</v>
      </c>
      <c r="Y731" s="107">
        <f>+VLOOKUP(PROVEEDORES[[#This Row],[ID RETENCION]],Retenciones!$A$1:$O$25,2,FALSE)</f>
        <v>0</v>
      </c>
      <c r="Z731" s="116" t="b">
        <f>OR(COUNTIF(PROVEEDORES[[#This Row],[PROVEEDOR]],"*"&amp;'Palabra no opera'!$A$2&amp;"*"))</f>
        <v>0</v>
      </c>
    </row>
    <row r="732" spans="1:26" ht="22.35" customHeight="1" x14ac:dyDescent="0.3">
      <c r="A732" s="67" t="str">
        <f>+IF(PROVEEDORES[[#This Row],[FECHA DE PAGO]]=PROVEEDORES[[#This Row],[FECHA DE FACTURACIÓN]],"DE CONTADO","CRÉDITO")</f>
        <v>CRÉDITO</v>
      </c>
      <c r="B732" s="38" t="str">
        <f>+IF((PROVEEDORES[[#This Row],[FECHA DE PAGO]]-PROVEEDORES[[#This Row],[FECHA DE FACTURACIÓN]])&gt;PROVEEDORES[[#This Row],[PLAZO Días]],"PAGO VENCIDO")</f>
        <v>PAGO VENCIDO</v>
      </c>
      <c r="C732" s="20">
        <f>+VLOOKUP(PROVEEDORES[[#This Row],[PROVEEDOR]],TERCEROS_INFO[#All],2,FALSE)</f>
        <v>30</v>
      </c>
      <c r="D732" s="25">
        <f>+SUMIFS(PROVEEDORES[Total],PROVEEDORES[PROVEEDOR],PROVEEDORES[[#This Row],[PROVEEDOR]],PROVEEDORES[FECHA DE PAGO],"")</f>
        <v>2100000</v>
      </c>
      <c r="E732" s="25"/>
      <c r="F732" s="56" t="str">
        <f>+VLOOKUP(PROVEEDORES[[#This Row],[PROVEEDOR]],
                       Terceros!$A:$F,
                       5,
                       FALSE)</f>
        <v/>
      </c>
      <c r="G732" s="68">
        <v>44804</v>
      </c>
      <c r="H732" s="26" t="s">
        <v>349</v>
      </c>
      <c r="I732" s="68">
        <v>44760</v>
      </c>
      <c r="J732" s="35" t="s">
        <v>912</v>
      </c>
      <c r="K732" s="21">
        <v>3443000</v>
      </c>
      <c r="L732" s="21"/>
      <c r="M732" s="22">
        <f>(PROVEEDORES[[#This Row],[SUBTOTAL]]-PROVEEDORES[[#This Row],[descuento sobre subtotal]])*VLOOKUP(PROVEEDORES[[#This Row],[PROVEEDOR]],TERCEROS_INFO[#All],3,FALSE)</f>
        <v>0</v>
      </c>
      <c r="N732" s="23"/>
      <c r="O732" s="22">
        <f>+PROVEEDORES[[#This Row],[Descuento sobre subtotal %]]*(PROVEEDORES[[#This Row],[SUBTOTAL]]-PROVEEDORES[[#This Row],[descuento sobre subtotal]])</f>
        <v>0</v>
      </c>
      <c r="P732" s="74">
        <f>+IF(PROVEEDORES[[#This Row],[SUBTOTAL]]&lt;PROVEEDORES[[#This Row],[base retencion]],0,PROVEEDORES[[#This Row],[retención aplicada]])</f>
        <v>0</v>
      </c>
      <c r="Q732" s="22">
        <f>+PROVEEDORES[[#This Row],[Rete Fuente %]]*(PROVEEDORES[[#This Row],[SUBTOTAL]]-PROVEEDORES[[#This Row],[descuento sobre subtotal]])</f>
        <v>0</v>
      </c>
      <c r="R732" s="21">
        <f>+PROVEEDORES[[#This Row],[SUBTOTAL]]+PROVEEDORES[[#This Row],[IVA 19%]]-PROVEEDORES[[#This Row],[descuento sobre subtotal]]-PROVEEDORES[[#This Row],[Descuento sobre subtotal $2]]-PROVEEDORES[[#This Row],[Rete Fuente $]]</f>
        <v>3443000</v>
      </c>
      <c r="S7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63">
        <f ca="1">IF(PROVEEDORES[[#This Row],[FECHA DE PAGO]]=0,TODAY()-PROVEEDORES[[#This Row],[FECHA DE FACTURACIÓN]]-PROVEEDORES[[#This Row],[PLAZO Días]],0)</f>
        <v>0</v>
      </c>
      <c r="U732" s="104">
        <f>+VLOOKUP(PROVEEDORES[[#This Row],[PROVEEDOR]],Terceros!$A:$D,4,FALSE)</f>
        <v>0</v>
      </c>
      <c r="V732" s="105">
        <f>+YEAR(PROVEEDORES[[#This Row],[FECHA DE FACTURACIÓN]])</f>
        <v>2022</v>
      </c>
      <c r="W732" s="105">
        <f>+MATCH(PROVEEDORES[[#This Row],[año facturado]],Retenciones!$1:$1,0)</f>
        <v>5</v>
      </c>
      <c r="X732" s="106">
        <f>+VLOOKUP(PROVEEDORES[[#This Row],[ID RETENCION]],Retenciones!$A$1:$O$25,PROVEEDORES[[#This Row],[indicador de columna]],FALSE)</f>
        <v>0</v>
      </c>
      <c r="Y732" s="107">
        <f>+VLOOKUP(PROVEEDORES[[#This Row],[ID RETENCION]],Retenciones!$A$1:$O$25,2,FALSE)</f>
        <v>0</v>
      </c>
      <c r="Z732" s="116" t="b">
        <f>OR(COUNTIF(PROVEEDORES[[#This Row],[PROVEEDOR]],"*"&amp;'Palabra no opera'!$A$2&amp;"*"))</f>
        <v>0</v>
      </c>
    </row>
    <row r="733" spans="1:26" ht="22.35" customHeight="1" x14ac:dyDescent="0.3">
      <c r="A733" s="188" t="str">
        <f>+IF(PROVEEDORES[[#This Row],[FECHA DE PAGO]]=PROVEEDORES[[#This Row],[FECHA DE FACTURACIÓN]],"DE CONTADO","CRÉDITO")</f>
        <v>DE CONTADO</v>
      </c>
      <c r="B733" s="38" t="b">
        <f>+IF((PROVEEDORES[[#This Row],[FECHA DE PAGO]]-PROVEEDORES[[#This Row],[FECHA DE FACTURACIÓN]])&gt;PROVEEDORES[[#This Row],[PLAZO Días]],"PAGO VENCIDO")</f>
        <v>0</v>
      </c>
      <c r="C733" s="20">
        <f>+VLOOKUP(PROVEEDORES[[#This Row],[PROVEEDOR]],TERCEROS_INFO[#All],2,FALSE)</f>
        <v>30</v>
      </c>
      <c r="D733" s="25">
        <f>+SUMIFS(PROVEEDORES[Total],PROVEEDORES[PROVEEDOR],PROVEEDORES[[#This Row],[PROVEEDOR]],PROVEEDORES[FECHA DE PAGO],"")</f>
        <v>0</v>
      </c>
      <c r="E733" s="25"/>
      <c r="F733" s="56" t="str">
        <f>+VLOOKUP(PROVEEDORES[[#This Row],[PROVEEDOR]],
                       Terceros!$A:$F,
                       5,
                       FALSE)</f>
        <v/>
      </c>
      <c r="G733" s="68">
        <v>44804</v>
      </c>
      <c r="H733" s="26" t="s">
        <v>362</v>
      </c>
      <c r="I733" s="68">
        <v>44804</v>
      </c>
      <c r="J733" s="35" t="s">
        <v>1081</v>
      </c>
      <c r="K733" s="21">
        <v>0</v>
      </c>
      <c r="L733" s="21"/>
      <c r="M733" s="22">
        <f>(PROVEEDORES[[#This Row],[SUBTOTAL]]-PROVEEDORES[[#This Row],[descuento sobre subtotal]])*VLOOKUP(PROVEEDORES[[#This Row],[PROVEEDOR]],TERCEROS_INFO[#All],3,FALSE)</f>
        <v>0</v>
      </c>
      <c r="N733" s="23"/>
      <c r="O733" s="22">
        <f>+PROVEEDORES[[#This Row],[Descuento sobre subtotal %]]*(PROVEEDORES[[#This Row],[SUBTOTAL]]-PROVEEDORES[[#This Row],[descuento sobre subtotal]])</f>
        <v>0</v>
      </c>
      <c r="P733" s="74">
        <f>+IF(PROVEEDORES[[#This Row],[SUBTOTAL]]&lt;PROVEEDORES[[#This Row],[base retencion]],0,PROVEEDORES[[#This Row],[retención aplicada]])</f>
        <v>0</v>
      </c>
      <c r="Q733" s="22">
        <f>+PROVEEDORES[[#This Row],[Rete Fuente %]]*(PROVEEDORES[[#This Row],[SUBTOTAL]]-PROVEEDORES[[#This Row],[descuento sobre subtotal]])</f>
        <v>0</v>
      </c>
      <c r="R73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733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63">
        <f ca="1">IF(PROVEEDORES[[#This Row],[FECHA DE PAGO]]=0,TODAY()-PROVEEDORES[[#This Row],[FECHA DE FACTURACIÓN]]-PROVEEDORES[[#This Row],[PLAZO Días]],0)</f>
        <v>0</v>
      </c>
      <c r="U733" s="104">
        <f>+VLOOKUP(PROVEEDORES[[#This Row],[PROVEEDOR]],Terceros!$A:$D,4,FALSE)</f>
        <v>0</v>
      </c>
      <c r="V733" s="105">
        <f>+YEAR(PROVEEDORES[[#This Row],[FECHA DE FACTURACIÓN]])</f>
        <v>2022</v>
      </c>
      <c r="W733" s="105">
        <f>+MATCH(PROVEEDORES[[#This Row],[año facturado]],Retenciones!$1:$1,0)</f>
        <v>5</v>
      </c>
      <c r="X733" s="106">
        <f>+VLOOKUP(PROVEEDORES[[#This Row],[ID RETENCION]],Retenciones!$A$1:$O$25,PROVEEDORES[[#This Row],[indicador de columna]],FALSE)</f>
        <v>0</v>
      </c>
      <c r="Y733" s="107">
        <f>+VLOOKUP(PROVEEDORES[[#This Row],[ID RETENCION]],Retenciones!$A$1:$O$25,2,FALSE)</f>
        <v>0</v>
      </c>
      <c r="Z733" s="116" t="b">
        <f>OR(COUNTIF(PROVEEDORES[[#This Row],[PROVEEDOR]],"*"&amp;'Palabra no opera'!$A$2&amp;"*"))</f>
        <v>0</v>
      </c>
    </row>
    <row r="734" spans="1:26" ht="22.35" customHeight="1" x14ac:dyDescent="0.3">
      <c r="A734" s="188" t="str">
        <f>+IF(PROVEEDORES[[#This Row],[FECHA DE PAGO]]=PROVEEDORES[[#This Row],[FECHA DE FACTURACIÓN]],"DE CONTADO","CRÉDITO")</f>
        <v>DE CONTADO</v>
      </c>
      <c r="B734" s="38" t="b">
        <f>+IF((PROVEEDORES[[#This Row],[FECHA DE PAGO]]-PROVEEDORES[[#This Row],[FECHA DE FACTURACIÓN]])&gt;PROVEEDORES[[#This Row],[PLAZO Días]],"PAGO VENCIDO")</f>
        <v>0</v>
      </c>
      <c r="C734" s="20">
        <f>+VLOOKUP(PROVEEDORES[[#This Row],[PROVEEDOR]],TERCEROS_INFO[#All],2,FALSE)</f>
        <v>30</v>
      </c>
      <c r="D734" s="25">
        <f>+SUMIFS(PROVEEDORES[Total],PROVEEDORES[PROVEEDOR],PROVEEDORES[[#This Row],[PROVEEDOR]],PROVEEDORES[FECHA DE PAGO],"")</f>
        <v>0</v>
      </c>
      <c r="E734" s="25"/>
      <c r="F734" s="56" t="str">
        <f>+VLOOKUP(PROVEEDORES[[#This Row],[PROVEEDOR]],
                       Terceros!$A:$F,
                       5,
                       FALSE)</f>
        <v/>
      </c>
      <c r="G734" s="68">
        <v>44804</v>
      </c>
      <c r="H734" s="26" t="s">
        <v>362</v>
      </c>
      <c r="I734" s="68">
        <v>44804</v>
      </c>
      <c r="J734" s="35" t="s">
        <v>655</v>
      </c>
      <c r="K734" s="21">
        <v>71500</v>
      </c>
      <c r="L734" s="21"/>
      <c r="M734" s="22">
        <f>(PROVEEDORES[[#This Row],[SUBTOTAL]]-PROVEEDORES[[#This Row],[descuento sobre subtotal]])*VLOOKUP(PROVEEDORES[[#This Row],[PROVEEDOR]],TERCEROS_INFO[#All],3,FALSE)</f>
        <v>0</v>
      </c>
      <c r="N734" s="23"/>
      <c r="O734" s="22">
        <f>+PROVEEDORES[[#This Row],[Descuento sobre subtotal %]]*(PROVEEDORES[[#This Row],[SUBTOTAL]]-PROVEEDORES[[#This Row],[descuento sobre subtotal]])</f>
        <v>0</v>
      </c>
      <c r="P734" s="74">
        <f>+IF(PROVEEDORES[[#This Row],[SUBTOTAL]]&lt;PROVEEDORES[[#This Row],[base retencion]],0,PROVEEDORES[[#This Row],[retención aplicada]])</f>
        <v>0</v>
      </c>
      <c r="Q734" s="22">
        <f>+PROVEEDORES[[#This Row],[Rete Fuente %]]*(PROVEEDORES[[#This Row],[SUBTOTAL]]-PROVEEDORES[[#This Row],[descuento sobre subtotal]])</f>
        <v>0</v>
      </c>
      <c r="R734" s="21">
        <f>+PROVEEDORES[[#This Row],[SUBTOTAL]]+PROVEEDORES[[#This Row],[IVA 19%]]-PROVEEDORES[[#This Row],[descuento sobre subtotal]]-PROVEEDORES[[#This Row],[Descuento sobre subtotal $2]]-PROVEEDORES[[#This Row],[Rete Fuente $]]</f>
        <v>71500</v>
      </c>
      <c r="S734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63">
        <f ca="1">IF(PROVEEDORES[[#This Row],[FECHA DE PAGO]]=0,TODAY()-PROVEEDORES[[#This Row],[FECHA DE FACTURACIÓN]]-PROVEEDORES[[#This Row],[PLAZO Días]],0)</f>
        <v>0</v>
      </c>
      <c r="U734" s="104">
        <f>+VLOOKUP(PROVEEDORES[[#This Row],[PROVEEDOR]],Terceros!$A:$D,4,FALSE)</f>
        <v>0</v>
      </c>
      <c r="V734" s="105">
        <f>+YEAR(PROVEEDORES[[#This Row],[FECHA DE FACTURACIÓN]])</f>
        <v>2022</v>
      </c>
      <c r="W734" s="105">
        <f>+MATCH(PROVEEDORES[[#This Row],[año facturado]],Retenciones!$1:$1,0)</f>
        <v>5</v>
      </c>
      <c r="X734" s="106">
        <f>+VLOOKUP(PROVEEDORES[[#This Row],[ID RETENCION]],Retenciones!$A$1:$O$25,PROVEEDORES[[#This Row],[indicador de columna]],FALSE)</f>
        <v>0</v>
      </c>
      <c r="Y734" s="107">
        <f>+VLOOKUP(PROVEEDORES[[#This Row],[ID RETENCION]],Retenciones!$A$1:$O$25,2,FALSE)</f>
        <v>0</v>
      </c>
      <c r="Z734" s="116" t="b">
        <f>OR(COUNTIF(PROVEEDORES[[#This Row],[PROVEEDOR]],"*"&amp;'Palabra no opera'!$A$2&amp;"*"))</f>
        <v>0</v>
      </c>
    </row>
    <row r="735" spans="1:26" ht="22.35" customHeight="1" x14ac:dyDescent="0.3">
      <c r="A735" s="188" t="str">
        <f>+IF(PROVEEDORES[[#This Row],[FECHA DE PAGO]]=PROVEEDORES[[#This Row],[FECHA DE FACTURACIÓN]],"DE CONTADO","CRÉDITO")</f>
        <v>DE CONTADO</v>
      </c>
      <c r="B735" s="38" t="b">
        <f>+IF((PROVEEDORES[[#This Row],[FECHA DE PAGO]]-PROVEEDORES[[#This Row],[FECHA DE FACTURACIÓN]])&gt;PROVEEDORES[[#This Row],[PLAZO Días]],"PAGO VENCIDO")</f>
        <v>0</v>
      </c>
      <c r="C735" s="20">
        <f>+VLOOKUP(PROVEEDORES[[#This Row],[PROVEEDOR]],TERCEROS_INFO[#All],2,FALSE)</f>
        <v>30</v>
      </c>
      <c r="D735" s="25">
        <f>+SUMIFS(PROVEEDORES[Total],PROVEEDORES[PROVEEDOR],PROVEEDORES[[#This Row],[PROVEEDOR]],PROVEEDORES[FECHA DE PAGO],"")</f>
        <v>0</v>
      </c>
      <c r="E735" s="25"/>
      <c r="F735" s="56" t="str">
        <f>+VLOOKUP(PROVEEDORES[[#This Row],[PROVEEDOR]],
                       Terceros!$A:$F,
                       5,
                       FALSE)</f>
        <v/>
      </c>
      <c r="G735" s="68">
        <v>44804</v>
      </c>
      <c r="H735" s="26" t="s">
        <v>362</v>
      </c>
      <c r="I735" s="68">
        <v>44804</v>
      </c>
      <c r="J735" s="35" t="s">
        <v>318</v>
      </c>
      <c r="K735" s="21">
        <v>579900</v>
      </c>
      <c r="L735" s="21"/>
      <c r="M735" s="22">
        <f>(PROVEEDORES[[#This Row],[SUBTOTAL]]-PROVEEDORES[[#This Row],[descuento sobre subtotal]])*VLOOKUP(PROVEEDORES[[#This Row],[PROVEEDOR]],TERCEROS_INFO[#All],3,FALSE)</f>
        <v>0</v>
      </c>
      <c r="N735" s="23"/>
      <c r="O735" s="22">
        <f>+PROVEEDORES[[#This Row],[Descuento sobre subtotal %]]*(PROVEEDORES[[#This Row],[SUBTOTAL]]-PROVEEDORES[[#This Row],[descuento sobre subtotal]])</f>
        <v>0</v>
      </c>
      <c r="P735" s="74">
        <f>+IF(PROVEEDORES[[#This Row],[SUBTOTAL]]&lt;PROVEEDORES[[#This Row],[base retencion]],0,PROVEEDORES[[#This Row],[retención aplicada]])</f>
        <v>0</v>
      </c>
      <c r="Q735" s="22">
        <f>+PROVEEDORES[[#This Row],[Rete Fuente %]]*(PROVEEDORES[[#This Row],[SUBTOTAL]]-PROVEEDORES[[#This Row],[descuento sobre subtotal]])</f>
        <v>0</v>
      </c>
      <c r="R735" s="21">
        <f>+PROVEEDORES[[#This Row],[SUBTOTAL]]+PROVEEDORES[[#This Row],[IVA 19%]]-PROVEEDORES[[#This Row],[descuento sobre subtotal]]-PROVEEDORES[[#This Row],[Descuento sobre subtotal $2]]-PROVEEDORES[[#This Row],[Rete Fuente $]]</f>
        <v>579900</v>
      </c>
      <c r="S735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63">
        <f ca="1">IF(PROVEEDORES[[#This Row],[FECHA DE PAGO]]=0,TODAY()-PROVEEDORES[[#This Row],[FECHA DE FACTURACIÓN]]-PROVEEDORES[[#This Row],[PLAZO Días]],0)</f>
        <v>0</v>
      </c>
      <c r="U735" s="104">
        <f>+VLOOKUP(PROVEEDORES[[#This Row],[PROVEEDOR]],Terceros!$A:$D,4,FALSE)</f>
        <v>0</v>
      </c>
      <c r="V735" s="105">
        <f>+YEAR(PROVEEDORES[[#This Row],[FECHA DE FACTURACIÓN]])</f>
        <v>2022</v>
      </c>
      <c r="W735" s="105">
        <f>+MATCH(PROVEEDORES[[#This Row],[año facturado]],Retenciones!$1:$1,0)</f>
        <v>5</v>
      </c>
      <c r="X735" s="106">
        <f>+VLOOKUP(PROVEEDORES[[#This Row],[ID RETENCION]],Retenciones!$A$1:$O$25,PROVEEDORES[[#This Row],[indicador de columna]],FALSE)</f>
        <v>0</v>
      </c>
      <c r="Y735" s="107">
        <f>+VLOOKUP(PROVEEDORES[[#This Row],[ID RETENCION]],Retenciones!$A$1:$O$25,2,FALSE)</f>
        <v>0</v>
      </c>
      <c r="Z735" s="116" t="b">
        <f>OR(COUNTIF(PROVEEDORES[[#This Row],[PROVEEDOR]],"*"&amp;'Palabra no opera'!$A$2&amp;"*"))</f>
        <v>0</v>
      </c>
    </row>
    <row r="736" spans="1:26" ht="22.35" customHeight="1" x14ac:dyDescent="0.3">
      <c r="A736" s="188" t="str">
        <f>+IF(PROVEEDORES[[#This Row],[FECHA DE PAGO]]=PROVEEDORES[[#This Row],[FECHA DE FACTURACIÓN]],"DE CONTADO","CRÉDITO")</f>
        <v>DE CONTADO</v>
      </c>
      <c r="B736" s="38" t="b">
        <f>+IF((PROVEEDORES[[#This Row],[FECHA DE PAGO]]-PROVEEDORES[[#This Row],[FECHA DE FACTURACIÓN]])&gt;PROVEEDORES[[#This Row],[PLAZO Días]],"PAGO VENCIDO")</f>
        <v>0</v>
      </c>
      <c r="C736" s="20">
        <f>+VLOOKUP(PROVEEDORES[[#This Row],[PROVEEDOR]],TERCEROS_INFO[#All],2,FALSE)</f>
        <v>30</v>
      </c>
      <c r="D736" s="25">
        <f>+SUMIFS(PROVEEDORES[Total],PROVEEDORES[PROVEEDOR],PROVEEDORES[[#This Row],[PROVEEDOR]],PROVEEDORES[FECHA DE PAGO],"")</f>
        <v>0</v>
      </c>
      <c r="E736" s="25"/>
      <c r="F736" s="56" t="str">
        <f>+VLOOKUP(PROVEEDORES[[#This Row],[PROVEEDOR]],
                       Terceros!$A:$F,
                       5,
                       FALSE)</f>
        <v/>
      </c>
      <c r="G736" s="68">
        <v>44804</v>
      </c>
      <c r="H736" s="26" t="s">
        <v>362</v>
      </c>
      <c r="I736" s="68">
        <v>44804</v>
      </c>
      <c r="J736" s="35" t="s">
        <v>319</v>
      </c>
      <c r="K736" s="21">
        <v>940000</v>
      </c>
      <c r="L736" s="21"/>
      <c r="M736" s="22">
        <f>(PROVEEDORES[[#This Row],[SUBTOTAL]]-PROVEEDORES[[#This Row],[descuento sobre subtotal]])*VLOOKUP(PROVEEDORES[[#This Row],[PROVEEDOR]],TERCEROS_INFO[#All],3,FALSE)</f>
        <v>0</v>
      </c>
      <c r="N736" s="23"/>
      <c r="O736" s="22">
        <f>+PROVEEDORES[[#This Row],[Descuento sobre subtotal %]]*(PROVEEDORES[[#This Row],[SUBTOTAL]]-PROVEEDORES[[#This Row],[descuento sobre subtotal]])</f>
        <v>0</v>
      </c>
      <c r="P736" s="74">
        <f>+IF(PROVEEDORES[[#This Row],[SUBTOTAL]]&lt;PROVEEDORES[[#This Row],[base retencion]],0,PROVEEDORES[[#This Row],[retención aplicada]])</f>
        <v>0</v>
      </c>
      <c r="Q736" s="22">
        <f>+PROVEEDORES[[#This Row],[Rete Fuente %]]*(PROVEEDORES[[#This Row],[SUBTOTAL]]-PROVEEDORES[[#This Row],[descuento sobre subtotal]])</f>
        <v>0</v>
      </c>
      <c r="R736" s="21">
        <f>+PROVEEDORES[[#This Row],[SUBTOTAL]]+PROVEEDORES[[#This Row],[IVA 19%]]-PROVEEDORES[[#This Row],[descuento sobre subtotal]]-PROVEEDORES[[#This Row],[Descuento sobre subtotal $2]]-PROVEEDORES[[#This Row],[Rete Fuente $]]</f>
        <v>940000</v>
      </c>
      <c r="S736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63">
        <f ca="1">IF(PROVEEDORES[[#This Row],[FECHA DE PAGO]]=0,TODAY()-PROVEEDORES[[#This Row],[FECHA DE FACTURACIÓN]]-PROVEEDORES[[#This Row],[PLAZO Días]],0)</f>
        <v>0</v>
      </c>
      <c r="U736" s="104">
        <f>+VLOOKUP(PROVEEDORES[[#This Row],[PROVEEDOR]],Terceros!$A:$D,4,FALSE)</f>
        <v>0</v>
      </c>
      <c r="V736" s="105">
        <f>+YEAR(PROVEEDORES[[#This Row],[FECHA DE FACTURACIÓN]])</f>
        <v>2022</v>
      </c>
      <c r="W736" s="105">
        <f>+MATCH(PROVEEDORES[[#This Row],[año facturado]],Retenciones!$1:$1,0)</f>
        <v>5</v>
      </c>
      <c r="X736" s="106">
        <f>+VLOOKUP(PROVEEDORES[[#This Row],[ID RETENCION]],Retenciones!$A$1:$O$25,PROVEEDORES[[#This Row],[indicador de columna]],FALSE)</f>
        <v>0</v>
      </c>
      <c r="Y736" s="107">
        <f>+VLOOKUP(PROVEEDORES[[#This Row],[ID RETENCION]],Retenciones!$A$1:$O$25,2,FALSE)</f>
        <v>0</v>
      </c>
      <c r="Z736" s="116" t="b">
        <f>OR(COUNTIF(PROVEEDORES[[#This Row],[PROVEEDOR]],"*"&amp;'Palabra no opera'!$A$2&amp;"*"))</f>
        <v>0</v>
      </c>
    </row>
    <row r="737" spans="1:26" ht="22.35" customHeight="1" x14ac:dyDescent="0.3">
      <c r="A737" s="188" t="str">
        <f>+IF(PROVEEDORES[[#This Row],[FECHA DE PAGO]]=PROVEEDORES[[#This Row],[FECHA DE FACTURACIÓN]],"DE CONTADO","CRÉDITO")</f>
        <v>DE CONTADO</v>
      </c>
      <c r="B737" s="38" t="b">
        <f>+IF((PROVEEDORES[[#This Row],[FECHA DE PAGO]]-PROVEEDORES[[#This Row],[FECHA DE FACTURACIÓN]])&gt;PROVEEDORES[[#This Row],[PLAZO Días]],"PAGO VENCIDO")</f>
        <v>0</v>
      </c>
      <c r="C737" s="20">
        <f>+VLOOKUP(PROVEEDORES[[#This Row],[PROVEEDOR]],TERCEROS_INFO[#All],2,FALSE)</f>
        <v>30</v>
      </c>
      <c r="D737" s="25">
        <f>+SUMIFS(PROVEEDORES[Total],PROVEEDORES[PROVEEDOR],PROVEEDORES[[#This Row],[PROVEEDOR]],PROVEEDORES[FECHA DE PAGO],"")</f>
        <v>0</v>
      </c>
      <c r="E737" s="25"/>
      <c r="F737" s="56" t="str">
        <f>+VLOOKUP(PROVEEDORES[[#This Row],[PROVEEDOR]],
                       Terceros!$A:$F,
                       5,
                       FALSE)</f>
        <v/>
      </c>
      <c r="G737" s="68">
        <v>44804</v>
      </c>
      <c r="H737" s="26" t="s">
        <v>362</v>
      </c>
      <c r="I737" s="68">
        <v>44804</v>
      </c>
      <c r="J737" s="35" t="s">
        <v>139</v>
      </c>
      <c r="K737" s="21">
        <v>1084000</v>
      </c>
      <c r="L737" s="21"/>
      <c r="M737" s="22">
        <f>(PROVEEDORES[[#This Row],[SUBTOTAL]]-PROVEEDORES[[#This Row],[descuento sobre subtotal]])*VLOOKUP(PROVEEDORES[[#This Row],[PROVEEDOR]],TERCEROS_INFO[#All],3,FALSE)</f>
        <v>0</v>
      </c>
      <c r="N737" s="23"/>
      <c r="O737" s="22">
        <f>+PROVEEDORES[[#This Row],[Descuento sobre subtotal %]]*(PROVEEDORES[[#This Row],[SUBTOTAL]]-PROVEEDORES[[#This Row],[descuento sobre subtotal]])</f>
        <v>0</v>
      </c>
      <c r="P737" s="74">
        <f>+IF(PROVEEDORES[[#This Row],[SUBTOTAL]]&lt;PROVEEDORES[[#This Row],[base retencion]],0,PROVEEDORES[[#This Row],[retención aplicada]])</f>
        <v>0</v>
      </c>
      <c r="Q737" s="22">
        <f>+PROVEEDORES[[#This Row],[Rete Fuente %]]*(PROVEEDORES[[#This Row],[SUBTOTAL]]-PROVEEDORES[[#This Row],[descuento sobre subtotal]])</f>
        <v>0</v>
      </c>
      <c r="R737" s="21">
        <f>+PROVEEDORES[[#This Row],[SUBTOTAL]]+PROVEEDORES[[#This Row],[IVA 19%]]-PROVEEDORES[[#This Row],[descuento sobre subtotal]]-PROVEEDORES[[#This Row],[Descuento sobre subtotal $2]]-PROVEEDORES[[#This Row],[Rete Fuente $]]</f>
        <v>1084000</v>
      </c>
      <c r="S737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63">
        <f ca="1">IF(PROVEEDORES[[#This Row],[FECHA DE PAGO]]=0,TODAY()-PROVEEDORES[[#This Row],[FECHA DE FACTURACIÓN]]-PROVEEDORES[[#This Row],[PLAZO Días]],0)</f>
        <v>0</v>
      </c>
      <c r="U737" s="104">
        <f>+VLOOKUP(PROVEEDORES[[#This Row],[PROVEEDOR]],Terceros!$A:$D,4,FALSE)</f>
        <v>0</v>
      </c>
      <c r="V737" s="105">
        <f>+YEAR(PROVEEDORES[[#This Row],[FECHA DE FACTURACIÓN]])</f>
        <v>2022</v>
      </c>
      <c r="W737" s="105">
        <f>+MATCH(PROVEEDORES[[#This Row],[año facturado]],Retenciones!$1:$1,0)</f>
        <v>5</v>
      </c>
      <c r="X737" s="106">
        <f>+VLOOKUP(PROVEEDORES[[#This Row],[ID RETENCION]],Retenciones!$A$1:$O$25,PROVEEDORES[[#This Row],[indicador de columna]],FALSE)</f>
        <v>0</v>
      </c>
      <c r="Y737" s="107">
        <f>+VLOOKUP(PROVEEDORES[[#This Row],[ID RETENCION]],Retenciones!$A$1:$O$25,2,FALSE)</f>
        <v>0</v>
      </c>
      <c r="Z737" s="116" t="b">
        <f>OR(COUNTIF(PROVEEDORES[[#This Row],[PROVEEDOR]],"*"&amp;'Palabra no opera'!$A$2&amp;"*"))</f>
        <v>0</v>
      </c>
    </row>
    <row r="738" spans="1:26" ht="22.35" customHeight="1" x14ac:dyDescent="0.3">
      <c r="A738" s="188" t="str">
        <f>+IF(PROVEEDORES[[#This Row],[FECHA DE PAGO]]=PROVEEDORES[[#This Row],[FECHA DE FACTURACIÓN]],"DE CONTADO","CRÉDITO")</f>
        <v>DE CONTADO</v>
      </c>
      <c r="B738" s="38" t="b">
        <f>+IF((PROVEEDORES[[#This Row],[FECHA DE PAGO]]-PROVEEDORES[[#This Row],[FECHA DE FACTURACIÓN]])&gt;PROVEEDORES[[#This Row],[PLAZO Días]],"PAGO VENCIDO")</f>
        <v>0</v>
      </c>
      <c r="C738" s="20">
        <f>+VLOOKUP(PROVEEDORES[[#This Row],[PROVEEDOR]],TERCEROS_INFO[#All],2,FALSE)</f>
        <v>30</v>
      </c>
      <c r="D738" s="25">
        <f>+SUMIFS(PROVEEDORES[Total],PROVEEDORES[PROVEEDOR],PROVEEDORES[[#This Row],[PROVEEDOR]],PROVEEDORES[FECHA DE PAGO],"")</f>
        <v>0</v>
      </c>
      <c r="E738" s="25"/>
      <c r="F738" s="56" t="str">
        <f>+VLOOKUP(PROVEEDORES[[#This Row],[PROVEEDOR]],
                       Terceros!$A:$F,
                       5,
                       FALSE)</f>
        <v/>
      </c>
      <c r="G738" s="68">
        <v>44804</v>
      </c>
      <c r="H738" s="26" t="s">
        <v>362</v>
      </c>
      <c r="I738" s="68">
        <v>44804</v>
      </c>
      <c r="J738" s="35" t="s">
        <v>316</v>
      </c>
      <c r="K738" s="21">
        <v>2787750</v>
      </c>
      <c r="L738" s="21"/>
      <c r="M738" s="22">
        <f>(PROVEEDORES[[#This Row],[SUBTOTAL]]-PROVEEDORES[[#This Row],[descuento sobre subtotal]])*VLOOKUP(PROVEEDORES[[#This Row],[PROVEEDOR]],TERCEROS_INFO[#All],3,FALSE)</f>
        <v>0</v>
      </c>
      <c r="N738" s="23"/>
      <c r="O738" s="22">
        <f>+PROVEEDORES[[#This Row],[Descuento sobre subtotal %]]*(PROVEEDORES[[#This Row],[SUBTOTAL]]-PROVEEDORES[[#This Row],[descuento sobre subtotal]])</f>
        <v>0</v>
      </c>
      <c r="P738" s="74">
        <f>+IF(PROVEEDORES[[#This Row],[SUBTOTAL]]&lt;PROVEEDORES[[#This Row],[base retencion]],0,PROVEEDORES[[#This Row],[retención aplicada]])</f>
        <v>0</v>
      </c>
      <c r="Q738" s="22">
        <f>+PROVEEDORES[[#This Row],[Rete Fuente %]]*(PROVEEDORES[[#This Row],[SUBTOTAL]]-PROVEEDORES[[#This Row],[descuento sobre subtotal]])</f>
        <v>0</v>
      </c>
      <c r="R738" s="21">
        <f>+PROVEEDORES[[#This Row],[SUBTOTAL]]+PROVEEDORES[[#This Row],[IVA 19%]]-PROVEEDORES[[#This Row],[descuento sobre subtotal]]-PROVEEDORES[[#This Row],[Descuento sobre subtotal $2]]-PROVEEDORES[[#This Row],[Rete Fuente $]]</f>
        <v>2787750</v>
      </c>
      <c r="S738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63">
        <f ca="1">IF(PROVEEDORES[[#This Row],[FECHA DE PAGO]]=0,TODAY()-PROVEEDORES[[#This Row],[FECHA DE FACTURACIÓN]]-PROVEEDORES[[#This Row],[PLAZO Días]],0)</f>
        <v>0</v>
      </c>
      <c r="U738" s="104">
        <f>+VLOOKUP(PROVEEDORES[[#This Row],[PROVEEDOR]],Terceros!$A:$D,4,FALSE)</f>
        <v>0</v>
      </c>
      <c r="V738" s="105">
        <f>+YEAR(PROVEEDORES[[#This Row],[FECHA DE FACTURACIÓN]])</f>
        <v>2022</v>
      </c>
      <c r="W738" s="105">
        <f>+MATCH(PROVEEDORES[[#This Row],[año facturado]],Retenciones!$1:$1,0)</f>
        <v>5</v>
      </c>
      <c r="X738" s="106">
        <f>+VLOOKUP(PROVEEDORES[[#This Row],[ID RETENCION]],Retenciones!$A$1:$O$25,PROVEEDORES[[#This Row],[indicador de columna]],FALSE)</f>
        <v>0</v>
      </c>
      <c r="Y738" s="107">
        <f>+VLOOKUP(PROVEEDORES[[#This Row],[ID RETENCION]],Retenciones!$A$1:$O$25,2,FALSE)</f>
        <v>0</v>
      </c>
      <c r="Z738" s="116" t="b">
        <f>OR(COUNTIF(PROVEEDORES[[#This Row],[PROVEEDOR]],"*"&amp;'Palabra no opera'!$A$2&amp;"*"))</f>
        <v>0</v>
      </c>
    </row>
    <row r="739" spans="1:26" ht="22.35" customHeight="1" x14ac:dyDescent="0.3">
      <c r="A739" s="182" t="str">
        <f>+IF(PROVEEDORES[[#This Row],[FECHA DE PAGO]]=PROVEEDORES[[#This Row],[FECHA DE FACTURACIÓN]],"DE CONTADO","CRÉDITO")</f>
        <v>DE CONTADO</v>
      </c>
      <c r="B739" s="38" t="b">
        <f>+IF((PROVEEDORES[[#This Row],[FECHA DE PAGO]]-PROVEEDORES[[#This Row],[FECHA DE FACTURACIÓN]])&gt;PROVEEDORES[[#This Row],[PLAZO Días]],"PAGO VENCIDO")</f>
        <v>0</v>
      </c>
      <c r="C739" s="20">
        <f>+VLOOKUP(PROVEEDORES[[#This Row],[PROVEEDOR]],TERCEROS_INFO[#All],2,FALSE)</f>
        <v>30</v>
      </c>
      <c r="D739" s="25">
        <f>+SUMIFS(PROVEEDORES[Total],PROVEEDORES[PROVEEDOR],PROVEEDORES[[#This Row],[PROVEEDOR]],PROVEEDORES[FECHA DE PAGO],"")</f>
        <v>0</v>
      </c>
      <c r="E739" s="25"/>
      <c r="F739" s="56" t="str">
        <f>+VLOOKUP(PROVEEDORES[[#This Row],[PROVEEDOR]],
                       Terceros!$A:$F,
                       5,
                       FALSE)</f>
        <v/>
      </c>
      <c r="G739" s="68">
        <v>44804</v>
      </c>
      <c r="H739" s="26" t="s">
        <v>390</v>
      </c>
      <c r="I739" s="68">
        <v>44804</v>
      </c>
      <c r="J739" s="35"/>
      <c r="K739" s="21">
        <v>500000</v>
      </c>
      <c r="L739" s="21"/>
      <c r="M739" s="22">
        <f>(PROVEEDORES[[#This Row],[SUBTOTAL]]-PROVEEDORES[[#This Row],[descuento sobre subtotal]])*VLOOKUP(PROVEEDORES[[#This Row],[PROVEEDOR]],TERCEROS_INFO[#All],3,FALSE)</f>
        <v>0</v>
      </c>
      <c r="N739" s="23"/>
      <c r="O739" s="22">
        <f>+PROVEEDORES[[#This Row],[Descuento sobre subtotal %]]*(PROVEEDORES[[#This Row],[SUBTOTAL]]-PROVEEDORES[[#This Row],[descuento sobre subtotal]])</f>
        <v>0</v>
      </c>
      <c r="P739" s="74">
        <f>+IF(PROVEEDORES[[#This Row],[SUBTOTAL]]&lt;PROVEEDORES[[#This Row],[base retencion]],0,PROVEEDORES[[#This Row],[retención aplicada]])</f>
        <v>0</v>
      </c>
      <c r="Q739" s="22">
        <f>+PROVEEDORES[[#This Row],[Rete Fuente %]]*(PROVEEDORES[[#This Row],[SUBTOTAL]]-PROVEEDORES[[#This Row],[descuento sobre subtotal]])</f>
        <v>0</v>
      </c>
      <c r="R739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3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63">
        <f ca="1">IF(PROVEEDORES[[#This Row],[FECHA DE PAGO]]=0,TODAY()-PROVEEDORES[[#This Row],[FECHA DE FACTURACIÓN]]-PROVEEDORES[[#This Row],[PLAZO Días]],0)</f>
        <v>0</v>
      </c>
      <c r="U739" s="104">
        <f>+VLOOKUP(PROVEEDORES[[#This Row],[PROVEEDOR]],Terceros!$A:$D,4,FALSE)</f>
        <v>0</v>
      </c>
      <c r="V739" s="105">
        <f>+YEAR(PROVEEDORES[[#This Row],[FECHA DE FACTURACIÓN]])</f>
        <v>2022</v>
      </c>
      <c r="W739" s="105">
        <f>+MATCH(PROVEEDORES[[#This Row],[año facturado]],Retenciones!$1:$1,0)</f>
        <v>5</v>
      </c>
      <c r="X739" s="106">
        <f>+VLOOKUP(PROVEEDORES[[#This Row],[ID RETENCION]],Retenciones!$A$1:$O$25,PROVEEDORES[[#This Row],[indicador de columna]],FALSE)</f>
        <v>0</v>
      </c>
      <c r="Y739" s="107">
        <f>+VLOOKUP(PROVEEDORES[[#This Row],[ID RETENCION]],Retenciones!$A$1:$O$25,2,FALSE)</f>
        <v>0</v>
      </c>
      <c r="Z739" s="116" t="b">
        <f>OR(COUNTIF(PROVEEDORES[[#This Row],[PROVEEDOR]],"*"&amp;'Palabra no opera'!$A$2&amp;"*"))</f>
        <v>0</v>
      </c>
    </row>
    <row r="740" spans="1:26" ht="22.35" customHeight="1" x14ac:dyDescent="0.3">
      <c r="A740" s="182" t="str">
        <f>+IF(PROVEEDORES[[#This Row],[FECHA DE PAGO]]=PROVEEDORES[[#This Row],[FECHA DE FACTURACIÓN]],"DE CONTADO","CRÉDITO")</f>
        <v>DE CONTADO</v>
      </c>
      <c r="B740" s="38" t="b">
        <f>+IF((PROVEEDORES[[#This Row],[FECHA DE PAGO]]-PROVEEDORES[[#This Row],[FECHA DE FACTURACIÓN]])&gt;PROVEEDORES[[#This Row],[PLAZO Días]],"PAGO VENCIDO")</f>
        <v>0</v>
      </c>
      <c r="C740" s="20">
        <f>+VLOOKUP(PROVEEDORES[[#This Row],[PROVEEDOR]],TERCEROS_INFO[#All],2,FALSE)</f>
        <v>30</v>
      </c>
      <c r="D740" s="25">
        <f>+SUMIFS(PROVEEDORES[Total],PROVEEDORES[PROVEEDOR],PROVEEDORES[[#This Row],[PROVEEDOR]],PROVEEDORES[FECHA DE PAGO],"")</f>
        <v>0</v>
      </c>
      <c r="E740" s="25"/>
      <c r="F740" s="56" t="str">
        <f>+VLOOKUP(PROVEEDORES[[#This Row],[PROVEEDOR]],
                       Terceros!$A:$F,
                       5,
                       FALSE)</f>
        <v/>
      </c>
      <c r="G740" s="68">
        <v>44804</v>
      </c>
      <c r="H740" s="26" t="s">
        <v>390</v>
      </c>
      <c r="I740" s="68">
        <v>44804</v>
      </c>
      <c r="J740" s="35"/>
      <c r="K740" s="21">
        <v>500000</v>
      </c>
      <c r="L740" s="21"/>
      <c r="M740" s="22">
        <f>(PROVEEDORES[[#This Row],[SUBTOTAL]]-PROVEEDORES[[#This Row],[descuento sobre subtotal]])*VLOOKUP(PROVEEDORES[[#This Row],[PROVEEDOR]],TERCEROS_INFO[#All],3,FALSE)</f>
        <v>0</v>
      </c>
      <c r="N740" s="23"/>
      <c r="O740" s="22">
        <f>+PROVEEDORES[[#This Row],[Descuento sobre subtotal %]]*(PROVEEDORES[[#This Row],[SUBTOTAL]]-PROVEEDORES[[#This Row],[descuento sobre subtotal]])</f>
        <v>0</v>
      </c>
      <c r="P740" s="74">
        <f>+IF(PROVEEDORES[[#This Row],[SUBTOTAL]]&lt;PROVEEDORES[[#This Row],[base retencion]],0,PROVEEDORES[[#This Row],[retención aplicada]])</f>
        <v>0</v>
      </c>
      <c r="Q740" s="22">
        <f>+PROVEEDORES[[#This Row],[Rete Fuente %]]*(PROVEEDORES[[#This Row],[SUBTOTAL]]-PROVEEDORES[[#This Row],[descuento sobre subtotal]])</f>
        <v>0</v>
      </c>
      <c r="R740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4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63">
        <f ca="1">IF(PROVEEDORES[[#This Row],[FECHA DE PAGO]]=0,TODAY()-PROVEEDORES[[#This Row],[FECHA DE FACTURACIÓN]]-PROVEEDORES[[#This Row],[PLAZO Días]],0)</f>
        <v>0</v>
      </c>
      <c r="U740" s="104">
        <f>+VLOOKUP(PROVEEDORES[[#This Row],[PROVEEDOR]],Terceros!$A:$D,4,FALSE)</f>
        <v>0</v>
      </c>
      <c r="V740" s="105">
        <f>+YEAR(PROVEEDORES[[#This Row],[FECHA DE FACTURACIÓN]])</f>
        <v>2022</v>
      </c>
      <c r="W740" s="105">
        <f>+MATCH(PROVEEDORES[[#This Row],[año facturado]],Retenciones!$1:$1,0)</f>
        <v>5</v>
      </c>
      <c r="X740" s="106">
        <f>+VLOOKUP(PROVEEDORES[[#This Row],[ID RETENCION]],Retenciones!$A$1:$O$25,PROVEEDORES[[#This Row],[indicador de columna]],FALSE)</f>
        <v>0</v>
      </c>
      <c r="Y740" s="107">
        <f>+VLOOKUP(PROVEEDORES[[#This Row],[ID RETENCION]],Retenciones!$A$1:$O$25,2,FALSE)</f>
        <v>0</v>
      </c>
      <c r="Z740" s="116" t="b">
        <f>OR(COUNTIF(PROVEEDORES[[#This Row],[PROVEEDOR]],"*"&amp;'Palabra no opera'!$A$2&amp;"*"))</f>
        <v>0</v>
      </c>
    </row>
    <row r="741" spans="1:26" ht="22.35" customHeight="1" x14ac:dyDescent="0.3">
      <c r="A741" s="148" t="str">
        <f>+IF(PROVEEDORES[[#This Row],[FECHA DE PAGO]]=PROVEEDORES[[#This Row],[FECHA DE FACTURACIÓN]],"DE CONTADO","CRÉDITO")</f>
        <v>CRÉDITO</v>
      </c>
      <c r="B741" s="38" t="str">
        <f>+IF((PROVEEDORES[[#This Row],[FECHA DE PAGO]]-PROVEEDORES[[#This Row],[FECHA DE FACTURACIÓN]])&gt;PROVEEDORES[[#This Row],[PLAZO Días]],"PAGO VENCIDO")</f>
        <v>PAGO VENCIDO</v>
      </c>
      <c r="C741" s="20">
        <f>+VLOOKUP(PROVEEDORES[[#This Row],[PROVEEDOR]],TERCEROS_INFO[#All],2,FALSE)</f>
        <v>30</v>
      </c>
      <c r="D741" s="25">
        <f>+SUMIFS(PROVEEDORES[Total],PROVEEDORES[PROVEEDOR],PROVEEDORES[[#This Row],[PROVEEDOR]],PROVEEDORES[FECHA DE PAGO],"")</f>
        <v>0</v>
      </c>
      <c r="E741" s="25"/>
      <c r="F741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741" s="68">
        <v>44804</v>
      </c>
      <c r="H741" s="26" t="s">
        <v>400</v>
      </c>
      <c r="I741" s="68">
        <v>44747</v>
      </c>
      <c r="J741" s="35" t="s">
        <v>794</v>
      </c>
      <c r="K741" s="21">
        <v>4035000</v>
      </c>
      <c r="L741" s="21"/>
      <c r="M741" s="22">
        <f>(PROVEEDORES[[#This Row],[SUBTOTAL]]-PROVEEDORES[[#This Row],[descuento sobre subtotal]])*VLOOKUP(PROVEEDORES[[#This Row],[PROVEEDOR]],TERCEROS_INFO[#All],3,FALSE)</f>
        <v>0</v>
      </c>
      <c r="N741" s="23"/>
      <c r="O741" s="22">
        <f>+PROVEEDORES[[#This Row],[Descuento sobre subtotal %]]*(PROVEEDORES[[#This Row],[SUBTOTAL]]-PROVEEDORES[[#This Row],[descuento sobre subtotal]])</f>
        <v>0</v>
      </c>
      <c r="P741" s="74">
        <f>+IF(PROVEEDORES[[#This Row],[SUBTOTAL]]&lt;PROVEEDORES[[#This Row],[base retencion]],0,PROVEEDORES[[#This Row],[retención aplicada]])</f>
        <v>0</v>
      </c>
      <c r="Q741" s="22">
        <f>+PROVEEDORES[[#This Row],[Rete Fuente %]]*(PROVEEDORES[[#This Row],[SUBTOTAL]]-PROVEEDORES[[#This Row],[descuento sobre subtotal]])</f>
        <v>0</v>
      </c>
      <c r="R741" s="21">
        <f>+PROVEEDORES[[#This Row],[SUBTOTAL]]+PROVEEDORES[[#This Row],[IVA 19%]]-PROVEEDORES[[#This Row],[descuento sobre subtotal]]-PROVEEDORES[[#This Row],[Descuento sobre subtotal $2]]-PROVEEDORES[[#This Row],[Rete Fuente $]]</f>
        <v>4035000</v>
      </c>
      <c r="S741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63">
        <f ca="1">IF(PROVEEDORES[[#This Row],[FECHA DE PAGO]]=0,TODAY()-PROVEEDORES[[#This Row],[FECHA DE FACTURACIÓN]]-PROVEEDORES[[#This Row],[PLAZO Días]],0)</f>
        <v>0</v>
      </c>
      <c r="U741" s="104">
        <f>+VLOOKUP(PROVEEDORES[[#This Row],[PROVEEDOR]],Terceros!$A:$D,4,FALSE)</f>
        <v>0</v>
      </c>
      <c r="V741" s="105">
        <f>+YEAR(PROVEEDORES[[#This Row],[FECHA DE FACTURACIÓN]])</f>
        <v>2022</v>
      </c>
      <c r="W741" s="105">
        <f>+MATCH(PROVEEDORES[[#This Row],[año facturado]],Retenciones!$1:$1,0)</f>
        <v>5</v>
      </c>
      <c r="X741" s="106">
        <f>+VLOOKUP(PROVEEDORES[[#This Row],[ID RETENCION]],Retenciones!$A$1:$O$25,PROVEEDORES[[#This Row],[indicador de columna]],FALSE)</f>
        <v>0</v>
      </c>
      <c r="Y741" s="107">
        <f>+VLOOKUP(PROVEEDORES[[#This Row],[ID RETENCION]],Retenciones!$A$1:$O$25,2,FALSE)</f>
        <v>0</v>
      </c>
      <c r="Z741" s="116" t="b">
        <f>OR(COUNTIF(PROVEEDORES[[#This Row],[PROVEEDOR]],"*"&amp;'Palabra no opera'!$A$2&amp;"*"))</f>
        <v>0</v>
      </c>
    </row>
    <row r="742" spans="1:26" ht="22.35" customHeight="1" x14ac:dyDescent="0.3">
      <c r="A742" s="67" t="str">
        <f>+IF(PROVEEDORES[[#This Row],[FECHA DE PAGO]]=PROVEEDORES[[#This Row],[FECHA DE FACTURACIÓN]],"DE CONTADO","CRÉDITO")</f>
        <v>CRÉDITO</v>
      </c>
      <c r="B742" s="38" t="str">
        <f>+IF((PROVEEDORES[[#This Row],[FECHA DE PAGO]]-PROVEEDORES[[#This Row],[FECHA DE FACTURACIÓN]])&gt;PROVEEDORES[[#This Row],[PLAZO Días]],"PAGO VENCIDO")</f>
        <v>PAGO VENCIDO</v>
      </c>
      <c r="C742" s="20">
        <f>+VLOOKUP(PROVEEDORES[[#This Row],[PROVEEDOR]],TERCEROS_INFO[#All],2,FALSE)</f>
        <v>30</v>
      </c>
      <c r="D742" s="25">
        <f>+SUMIFS(PROVEEDORES[Total],PROVEEDORES[PROVEEDOR],PROVEEDORES[[#This Row],[PROVEEDOR]],PROVEEDORES[FECHA DE PAGO],"")</f>
        <v>0</v>
      </c>
      <c r="E742" s="25"/>
      <c r="F742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742" s="68">
        <v>44804</v>
      </c>
      <c r="H742" s="26" t="s">
        <v>400</v>
      </c>
      <c r="I742" s="68">
        <v>44760</v>
      </c>
      <c r="J742" s="35" t="s">
        <v>1051</v>
      </c>
      <c r="K742" s="21">
        <v>1225000</v>
      </c>
      <c r="L742" s="21"/>
      <c r="M742" s="22">
        <f>(PROVEEDORES[[#This Row],[SUBTOTAL]]-PROVEEDORES[[#This Row],[descuento sobre subtotal]])*VLOOKUP(PROVEEDORES[[#This Row],[PROVEEDOR]],TERCEROS_INFO[#All],3,FALSE)</f>
        <v>0</v>
      </c>
      <c r="N742" s="23"/>
      <c r="O742" s="22">
        <f>+PROVEEDORES[[#This Row],[Descuento sobre subtotal %]]*(PROVEEDORES[[#This Row],[SUBTOTAL]]-PROVEEDORES[[#This Row],[descuento sobre subtotal]])</f>
        <v>0</v>
      </c>
      <c r="P742" s="74">
        <f>+IF(PROVEEDORES[[#This Row],[SUBTOTAL]]&lt;PROVEEDORES[[#This Row],[base retencion]],0,PROVEEDORES[[#This Row],[retención aplicada]])</f>
        <v>0</v>
      </c>
      <c r="Q742" s="22">
        <f>+PROVEEDORES[[#This Row],[Rete Fuente %]]*(PROVEEDORES[[#This Row],[SUBTOTAL]]-PROVEEDORES[[#This Row],[descuento sobre subtotal]])</f>
        <v>0</v>
      </c>
      <c r="R742" s="21">
        <f>+PROVEEDORES[[#This Row],[SUBTOTAL]]+PROVEEDORES[[#This Row],[IVA 19%]]-PROVEEDORES[[#This Row],[descuento sobre subtotal]]-PROVEEDORES[[#This Row],[Descuento sobre subtotal $2]]-PROVEEDORES[[#This Row],[Rete Fuente $]]</f>
        <v>1225000</v>
      </c>
      <c r="S7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63">
        <f ca="1">IF(PROVEEDORES[[#This Row],[FECHA DE PAGO]]=0,TODAY()-PROVEEDORES[[#This Row],[FECHA DE FACTURACIÓN]]-PROVEEDORES[[#This Row],[PLAZO Días]],0)</f>
        <v>0</v>
      </c>
      <c r="U742" s="104">
        <f>+VLOOKUP(PROVEEDORES[[#This Row],[PROVEEDOR]],Terceros!$A:$D,4,FALSE)</f>
        <v>0</v>
      </c>
      <c r="V742" s="105">
        <f>+YEAR(PROVEEDORES[[#This Row],[FECHA DE FACTURACIÓN]])</f>
        <v>2022</v>
      </c>
      <c r="W742" s="105">
        <f>+MATCH(PROVEEDORES[[#This Row],[año facturado]],Retenciones!$1:$1,0)</f>
        <v>5</v>
      </c>
      <c r="X742" s="106">
        <f>+VLOOKUP(PROVEEDORES[[#This Row],[ID RETENCION]],Retenciones!$A$1:$O$25,PROVEEDORES[[#This Row],[indicador de columna]],FALSE)</f>
        <v>0</v>
      </c>
      <c r="Y742" s="107">
        <f>+VLOOKUP(PROVEEDORES[[#This Row],[ID RETENCION]],Retenciones!$A$1:$O$25,2,FALSE)</f>
        <v>0</v>
      </c>
      <c r="Z742" s="116" t="b">
        <f>OR(COUNTIF(PROVEEDORES[[#This Row],[PROVEEDOR]],"*"&amp;'Palabra no opera'!$A$2&amp;"*"))</f>
        <v>0</v>
      </c>
    </row>
    <row r="743" spans="1:26" ht="22.35" customHeight="1" x14ac:dyDescent="0.3">
      <c r="A743" s="182" t="str">
        <f>+IF(PROVEEDORES[[#This Row],[FECHA DE PAGO]]=PROVEEDORES[[#This Row],[FECHA DE FACTURACIÓN]],"DE CONTADO","CRÉDITO")</f>
        <v>CRÉDITO</v>
      </c>
      <c r="B743" s="38" t="b">
        <f>+IF((PROVEEDORES[[#This Row],[FECHA DE PAGO]]-PROVEEDORES[[#This Row],[FECHA DE FACTURACIÓN]])&gt;PROVEEDORES[[#This Row],[PLAZO Días]],"PAGO VENCIDO")</f>
        <v>0</v>
      </c>
      <c r="C743" s="20">
        <f>+VLOOKUP(PROVEEDORES[[#This Row],[PROVEEDOR]],TERCEROS_INFO[#All],2,FALSE)</f>
        <v>30</v>
      </c>
      <c r="D743" s="25">
        <f>+SUMIFS(PROVEEDORES[Total],PROVEEDORES[PROVEEDOR],PROVEEDORES[[#This Row],[PROVEEDOR]],PROVEEDORES[FECHA DE PAGO],"")</f>
        <v>0</v>
      </c>
      <c r="E743" s="25"/>
      <c r="F743" s="56" t="str">
        <f>+VLOOKUP(PROVEEDORES[[#This Row],[PROVEEDOR]],
                       Terceros!$A:$F,
                       5,
                       FALSE)</f>
        <v>PSE</v>
      </c>
      <c r="G743" s="68">
        <v>44804</v>
      </c>
      <c r="H743" s="26" t="s">
        <v>645</v>
      </c>
      <c r="I743" s="68">
        <v>44774</v>
      </c>
      <c r="J743" s="35"/>
      <c r="K743" s="21">
        <v>326243</v>
      </c>
      <c r="L743" s="21"/>
      <c r="M743" s="22">
        <f>(PROVEEDORES[[#This Row],[SUBTOTAL]]-PROVEEDORES[[#This Row],[descuento sobre subtotal]])*VLOOKUP(PROVEEDORES[[#This Row],[PROVEEDOR]],TERCEROS_INFO[#All],3,FALSE)</f>
        <v>0</v>
      </c>
      <c r="N743" s="23"/>
      <c r="O743" s="22">
        <f>+PROVEEDORES[[#This Row],[Descuento sobre subtotal %]]*(PROVEEDORES[[#This Row],[SUBTOTAL]]-PROVEEDORES[[#This Row],[descuento sobre subtotal]])</f>
        <v>0</v>
      </c>
      <c r="P743" s="74">
        <f>+IF(PROVEEDORES[[#This Row],[SUBTOTAL]]&lt;PROVEEDORES[[#This Row],[base retencion]],0,PROVEEDORES[[#This Row],[retención aplicada]])</f>
        <v>0</v>
      </c>
      <c r="Q743" s="22">
        <f>+PROVEEDORES[[#This Row],[Rete Fuente %]]*(PROVEEDORES[[#This Row],[SUBTOTAL]]-PROVEEDORES[[#This Row],[descuento sobre subtotal]])</f>
        <v>0</v>
      </c>
      <c r="R743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74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63">
        <f ca="1">IF(PROVEEDORES[[#This Row],[FECHA DE PAGO]]=0,TODAY()-PROVEEDORES[[#This Row],[FECHA DE FACTURACIÓN]]-PROVEEDORES[[#This Row],[PLAZO Días]],0)</f>
        <v>0</v>
      </c>
      <c r="U743" s="104">
        <f>+VLOOKUP(PROVEEDORES[[#This Row],[PROVEEDOR]],Terceros!$A:$D,4,FALSE)</f>
        <v>0</v>
      </c>
      <c r="V743" s="105">
        <f>+YEAR(PROVEEDORES[[#This Row],[FECHA DE FACTURACIÓN]])</f>
        <v>2022</v>
      </c>
      <c r="W743" s="105">
        <f>+MATCH(PROVEEDORES[[#This Row],[año facturado]],Retenciones!$1:$1,0)</f>
        <v>5</v>
      </c>
      <c r="X743" s="106">
        <f>+VLOOKUP(PROVEEDORES[[#This Row],[ID RETENCION]],Retenciones!$A$1:$O$25,PROVEEDORES[[#This Row],[indicador de columna]],FALSE)</f>
        <v>0</v>
      </c>
      <c r="Y743" s="107">
        <f>+VLOOKUP(PROVEEDORES[[#This Row],[ID RETENCION]],Retenciones!$A$1:$O$25,2,FALSE)</f>
        <v>0</v>
      </c>
      <c r="Z743" s="116" t="b">
        <f>OR(COUNTIF(PROVEEDORES[[#This Row],[PROVEEDOR]],"*"&amp;'Palabra no opera'!$A$2&amp;"*"))</f>
        <v>1</v>
      </c>
    </row>
    <row r="744" spans="1:26" ht="22.35" customHeight="1" x14ac:dyDescent="0.3">
      <c r="A744" s="133" t="str">
        <f>+IF(PROVEEDORES[[#This Row],[FECHA DE PAGO]]=PROVEEDORES[[#This Row],[FECHA DE FACTURACIÓN]],"DE CONTADO","CRÉDITO")</f>
        <v>CRÉDITO</v>
      </c>
      <c r="B744" s="38" t="str">
        <f>+IF((PROVEEDORES[[#This Row],[FECHA DE PAGO]]-PROVEEDORES[[#This Row],[FECHA DE FACTURACIÓN]])&gt;PROVEEDORES[[#This Row],[PLAZO Días]],"PAGO VENCIDO")</f>
        <v>PAGO VENCIDO</v>
      </c>
      <c r="C744" s="20">
        <v>90</v>
      </c>
      <c r="D744" s="25">
        <f>+SUMIFS(PROVEEDORES[Total],PROVEEDORES[PROVEEDOR],PROVEEDORES[[#This Row],[PROVEEDOR]],PROVEEDORES[FECHA DE PAGO],"")</f>
        <v>0</v>
      </c>
      <c r="E744" s="25" t="s">
        <v>1067</v>
      </c>
      <c r="F744" s="56">
        <f>+VLOOKUP(PROVEEDORES[[#This Row],[PROVEEDOR]],
                       Terceros!$A:$F,
                       5,
                       FALSE)</f>
        <v>0</v>
      </c>
      <c r="G744" s="68">
        <v>44805</v>
      </c>
      <c r="H744" s="26" t="s">
        <v>618</v>
      </c>
      <c r="I744" s="68">
        <v>44706</v>
      </c>
      <c r="J744" s="35" t="s">
        <v>906</v>
      </c>
      <c r="K744" s="21">
        <v>655462.18000000005</v>
      </c>
      <c r="L744" s="21"/>
      <c r="M744" s="22">
        <f>(PROVEEDORES[[#This Row],[SUBTOTAL]]-PROVEEDORES[[#This Row],[descuento sobre subtotal]])*VLOOKUP(PROVEEDORES[[#This Row],[PROVEEDOR]],TERCEROS_INFO[#All],3,FALSE)</f>
        <v>124537.81420000001</v>
      </c>
      <c r="N744" s="23"/>
      <c r="O744" s="22">
        <f>+PROVEEDORES[[#This Row],[Descuento sobre subtotal %]]*(PROVEEDORES[[#This Row],[SUBTOTAL]]-PROVEEDORES[[#This Row],[descuento sobre subtotal]])</f>
        <v>0</v>
      </c>
      <c r="P744" s="74">
        <v>0</v>
      </c>
      <c r="Q744" s="22">
        <f>+PROVEEDORES[[#This Row],[Rete Fuente %]]*(PROVEEDORES[[#This Row],[SUBTOTAL]]-PROVEEDORES[[#This Row],[descuento sobre subtotal]])</f>
        <v>0</v>
      </c>
      <c r="R744" s="21">
        <f>+PROVEEDORES[[#This Row],[SUBTOTAL]]+PROVEEDORES[[#This Row],[IVA 19%]]-PROVEEDORES[[#This Row],[descuento sobre subtotal]]-PROVEEDORES[[#This Row],[Descuento sobre subtotal $2]]-PROVEEDORES[[#This Row],[Rete Fuente $]]</f>
        <v>779999.99420000007</v>
      </c>
      <c r="S744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63">
        <f ca="1">IF(PROVEEDORES[[#This Row],[FECHA DE PAGO]]=0,TODAY()-PROVEEDORES[[#This Row],[FECHA DE FACTURACIÓN]]-PROVEEDORES[[#This Row],[PLAZO Días]],0)</f>
        <v>0</v>
      </c>
      <c r="U744" s="104" t="str">
        <f>+VLOOKUP(PROVEEDORES[[#This Row],[PROVEEDOR]],Terceros!$A:$D,4,FALSE)</f>
        <v>4% sin base</v>
      </c>
      <c r="V744" s="105">
        <f>+YEAR(PROVEEDORES[[#This Row],[FECHA DE FACTURACIÓN]])</f>
        <v>2022</v>
      </c>
      <c r="W744" s="105">
        <f>+MATCH(PROVEEDORES[[#This Row],[año facturado]],Retenciones!$1:$1,0)</f>
        <v>5</v>
      </c>
      <c r="X744" s="106">
        <f>+VLOOKUP(PROVEEDORES[[#This Row],[ID RETENCION]],Retenciones!$A$1:$O$25,PROVEEDORES[[#This Row],[indicador de columna]],FALSE)</f>
        <v>0</v>
      </c>
      <c r="Y744" s="107">
        <f>+VLOOKUP(PROVEEDORES[[#This Row],[ID RETENCION]],Retenciones!$A$1:$O$25,2,FALSE)</f>
        <v>0.04</v>
      </c>
      <c r="Z744" s="116" t="b">
        <f>OR(COUNTIF(PROVEEDORES[[#This Row],[PROVEEDOR]],"*"&amp;'Palabra no opera'!$A$2&amp;"*"))</f>
        <v>1</v>
      </c>
    </row>
    <row r="745" spans="1:26" ht="22.35" customHeight="1" x14ac:dyDescent="0.3">
      <c r="A745" s="186" t="str">
        <f>+IF(PROVEEDORES[[#This Row],[FECHA DE PAGO]]=PROVEEDORES[[#This Row],[FECHA DE FACTURACIÓN]],"DE CONTADO","CRÉDITO")</f>
        <v>CRÉDITO</v>
      </c>
      <c r="B745" s="38" t="b">
        <f>+IF((PROVEEDORES[[#This Row],[FECHA DE PAGO]]-PROVEEDORES[[#This Row],[FECHA DE FACTURACIÓN]])&gt;PROVEEDORES[[#This Row],[PLAZO Días]],"PAGO VENCIDO")</f>
        <v>0</v>
      </c>
      <c r="C745" s="20">
        <f>+VLOOKUP(PROVEEDORES[[#This Row],[PROVEEDOR]],TERCEROS_INFO[#All],2,FALSE)</f>
        <v>30</v>
      </c>
      <c r="D745" s="25">
        <f>+SUMIFS(PROVEEDORES[Total],PROVEEDORES[PROVEEDOR],PROVEEDORES[[#This Row],[PROVEEDOR]],PROVEEDORES[FECHA DE PAGO],"")</f>
        <v>0</v>
      </c>
      <c r="E745" s="25"/>
      <c r="F74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45" s="68">
        <v>44805</v>
      </c>
      <c r="H745" s="26" t="s">
        <v>967</v>
      </c>
      <c r="I745" s="68">
        <v>44781</v>
      </c>
      <c r="J745" s="35"/>
      <c r="K745" s="21">
        <v>423000</v>
      </c>
      <c r="L745" s="21"/>
      <c r="M745" s="22">
        <f>(PROVEEDORES[[#This Row],[SUBTOTAL]]-PROVEEDORES[[#This Row],[descuento sobre subtotal]])*VLOOKUP(PROVEEDORES[[#This Row],[PROVEEDOR]],TERCEROS_INFO[#All],3,FALSE)</f>
        <v>0</v>
      </c>
      <c r="N745" s="23"/>
      <c r="O745" s="22">
        <f>+PROVEEDORES[[#This Row],[Descuento sobre subtotal %]]*(PROVEEDORES[[#This Row],[SUBTOTAL]]-PROVEEDORES[[#This Row],[descuento sobre subtotal]])</f>
        <v>0</v>
      </c>
      <c r="P745" s="74">
        <f>+IF(PROVEEDORES[[#This Row],[SUBTOTAL]]&lt;PROVEEDORES[[#This Row],[base retencion]],0,PROVEEDORES[[#This Row],[retención aplicada]])</f>
        <v>0.01</v>
      </c>
      <c r="Q745" s="22">
        <f>+PROVEEDORES[[#This Row],[Rete Fuente %]]*(PROVEEDORES[[#This Row],[SUBTOTAL]]-PROVEEDORES[[#This Row],[descuento sobre subtotal]])</f>
        <v>4230</v>
      </c>
      <c r="R745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745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63">
        <f ca="1">IF(PROVEEDORES[[#This Row],[FECHA DE PAGO]]=0,TODAY()-PROVEEDORES[[#This Row],[FECHA DE FACTURACIÓN]]-PROVEEDORES[[#This Row],[PLAZO Días]],0)</f>
        <v>0</v>
      </c>
      <c r="U745" s="104" t="str">
        <f>+VLOOKUP(PROVEEDORES[[#This Row],[PROVEEDOR]],Terceros!$A:$D,4,FALSE)</f>
        <v>1% con base</v>
      </c>
      <c r="V745" s="105">
        <f>+YEAR(PROVEEDORES[[#This Row],[FECHA DE FACTURACIÓN]])</f>
        <v>2022</v>
      </c>
      <c r="W745" s="105">
        <f>+MATCH(PROVEEDORES[[#This Row],[año facturado]],Retenciones!$1:$1,0)</f>
        <v>5</v>
      </c>
      <c r="X745" s="106">
        <f>+VLOOKUP(PROVEEDORES[[#This Row],[ID RETENCION]],Retenciones!$A$1:$O$25,PROVEEDORES[[#This Row],[indicador de columna]],FALSE)</f>
        <v>152000</v>
      </c>
      <c r="Y745" s="107">
        <f>+VLOOKUP(PROVEEDORES[[#This Row],[ID RETENCION]],Retenciones!$A$1:$O$25,2,FALSE)</f>
        <v>0.01</v>
      </c>
      <c r="Z745" s="116" t="b">
        <f>OR(COUNTIF(PROVEEDORES[[#This Row],[PROVEEDOR]],"*"&amp;'Palabra no opera'!$A$2&amp;"*"))</f>
        <v>0</v>
      </c>
    </row>
    <row r="746" spans="1:26" ht="22.35" customHeight="1" x14ac:dyDescent="0.3">
      <c r="A746" s="67" t="str">
        <f>+IF(PROVEEDORES[[#This Row],[FECHA DE PAGO]]=PROVEEDORES[[#This Row],[FECHA DE FACTURACIÓN]],"DE CONTADO","CRÉDITO")</f>
        <v>CRÉDITO</v>
      </c>
      <c r="B746" s="38" t="b">
        <f>+IF((PROVEEDORES[[#This Row],[FECHA DE PAGO]]-PROVEEDORES[[#This Row],[FECHA DE FACTURACIÓN]])&gt;PROVEEDORES[[#This Row],[PLAZO Días]],"PAGO VENCIDO")</f>
        <v>0</v>
      </c>
      <c r="C746" s="20">
        <f>+VLOOKUP(PROVEEDORES[[#This Row],[PROVEEDOR]],TERCEROS_INFO[#All],2,FALSE)</f>
        <v>30</v>
      </c>
      <c r="D746" s="25">
        <f>+SUMIFS(PROVEEDORES[Total],PROVEEDORES[PROVEEDOR],PROVEEDORES[[#This Row],[PROVEEDOR]],PROVEEDORES[FECHA DE PAGO],"")</f>
        <v>0</v>
      </c>
      <c r="E746" s="25"/>
      <c r="F746" s="56" t="str">
        <f>+VLOOKUP(PROVEEDORES[[#This Row],[PROVEEDOR]],
                       Terceros!$A:$F,
                       5,
                       FALSE)</f>
        <v/>
      </c>
      <c r="G746" s="68">
        <v>44806</v>
      </c>
      <c r="H746" s="26" t="s">
        <v>362</v>
      </c>
      <c r="I746" s="68">
        <v>44805</v>
      </c>
      <c r="J746" s="35" t="s">
        <v>1128</v>
      </c>
      <c r="K746" s="21">
        <v>250000</v>
      </c>
      <c r="L746" s="21"/>
      <c r="M746" s="22">
        <f>(PROVEEDORES[[#This Row],[SUBTOTAL]]-PROVEEDORES[[#This Row],[descuento sobre subtotal]])*VLOOKUP(PROVEEDORES[[#This Row],[PROVEEDOR]],TERCEROS_INFO[#All],3,FALSE)</f>
        <v>0</v>
      </c>
      <c r="N746" s="23"/>
      <c r="O746" s="22">
        <f>+PROVEEDORES[[#This Row],[Descuento sobre subtotal %]]*(PROVEEDORES[[#This Row],[SUBTOTAL]]-PROVEEDORES[[#This Row],[descuento sobre subtotal]])</f>
        <v>0</v>
      </c>
      <c r="P746" s="74">
        <f>+IF(PROVEEDORES[[#This Row],[SUBTOTAL]]&lt;PROVEEDORES[[#This Row],[base retencion]],0,PROVEEDORES[[#This Row],[retención aplicada]])</f>
        <v>0</v>
      </c>
      <c r="Q746" s="22">
        <f>+PROVEEDORES[[#This Row],[Rete Fuente %]]*(PROVEEDORES[[#This Row],[SUBTOTAL]]-PROVEEDORES[[#This Row],[descuento sobre subtotal]])</f>
        <v>0</v>
      </c>
      <c r="R746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7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63">
        <f ca="1">IF(PROVEEDORES[[#This Row],[FECHA DE PAGO]]=0,TODAY()-PROVEEDORES[[#This Row],[FECHA DE FACTURACIÓN]]-PROVEEDORES[[#This Row],[PLAZO Días]],0)</f>
        <v>0</v>
      </c>
      <c r="U746" s="104">
        <f>+VLOOKUP(PROVEEDORES[[#This Row],[PROVEEDOR]],Terceros!$A:$D,4,FALSE)</f>
        <v>0</v>
      </c>
      <c r="V746" s="105">
        <f>+YEAR(PROVEEDORES[[#This Row],[FECHA DE FACTURACIÓN]])</f>
        <v>2022</v>
      </c>
      <c r="W746" s="105">
        <f>+MATCH(PROVEEDORES[[#This Row],[año facturado]],Retenciones!$1:$1,0)</f>
        <v>5</v>
      </c>
      <c r="X746" s="106">
        <f>+VLOOKUP(PROVEEDORES[[#This Row],[ID RETENCION]],Retenciones!$A$1:$O$25,PROVEEDORES[[#This Row],[indicador de columna]],FALSE)</f>
        <v>0</v>
      </c>
      <c r="Y746" s="107">
        <f>+VLOOKUP(PROVEEDORES[[#This Row],[ID RETENCION]],Retenciones!$A$1:$O$25,2,FALSE)</f>
        <v>0</v>
      </c>
      <c r="Z746" s="116" t="b">
        <f>OR(COUNTIF(PROVEEDORES[[#This Row],[PROVEEDOR]],"*"&amp;'Palabra no opera'!$A$2&amp;"*"))</f>
        <v>0</v>
      </c>
    </row>
    <row r="747" spans="1:26" ht="22.35" customHeight="1" x14ac:dyDescent="0.3">
      <c r="A747" s="163" t="str">
        <f>+IF(PROVEEDORES[[#This Row],[FECHA DE PAGO]]=PROVEEDORES[[#This Row],[FECHA DE FACTURACIÓN]],"DE CONTADO","CRÉDITO")</f>
        <v>CRÉDITO</v>
      </c>
      <c r="B747" s="38" t="str">
        <f>+IF((PROVEEDORES[[#This Row],[FECHA DE PAGO]]-PROVEEDORES[[#This Row],[FECHA DE FACTURACIÓN]])&gt;PROVEEDORES[[#This Row],[PLAZO Días]],"PAGO VENCIDO")</f>
        <v>PAGO VENCIDO</v>
      </c>
      <c r="C747" s="20">
        <f>+VLOOKUP(PROVEEDORES[[#This Row],[PROVEEDOR]],TERCEROS_INFO[#All],2,FALSE)</f>
        <v>30</v>
      </c>
      <c r="D747" s="25">
        <f>+SUMIFS(PROVEEDORES[Total],PROVEEDORES[PROVEEDOR],PROVEEDORES[[#This Row],[PROVEEDOR]],PROVEEDORES[FECHA DE PAGO],"")</f>
        <v>0</v>
      </c>
      <c r="E747" s="25"/>
      <c r="F747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747" s="68">
        <v>44806</v>
      </c>
      <c r="H747" s="26" t="s">
        <v>281</v>
      </c>
      <c r="I747" s="68">
        <v>44748</v>
      </c>
      <c r="J747" s="35" t="s">
        <v>826</v>
      </c>
      <c r="K747" s="21">
        <v>2616000</v>
      </c>
      <c r="L747" s="21"/>
      <c r="M747" s="22">
        <f>+PROVEEDORES[[#This Row],[SUBTOTAL]]*0.05</f>
        <v>130800</v>
      </c>
      <c r="N747" s="23"/>
      <c r="O747" s="22">
        <f>+PROVEEDORES[[#This Row],[Descuento sobre subtotal %]]*(PROVEEDORES[[#This Row],[SUBTOTAL]]-PROVEEDORES[[#This Row],[descuento sobre subtotal]])</f>
        <v>0</v>
      </c>
      <c r="P747" s="74">
        <f>+IF(PROVEEDORES[[#This Row],[SUBTOTAL]]&lt;PROVEEDORES[[#This Row],[base retencion]],0,PROVEEDORES[[#This Row],[retención aplicada]])</f>
        <v>0</v>
      </c>
      <c r="Q747" s="22">
        <f>+PROVEEDORES[[#This Row],[Rete Fuente %]]*(PROVEEDORES[[#This Row],[SUBTOTAL]]-PROVEEDORES[[#This Row],[descuento sobre subtotal]])</f>
        <v>0</v>
      </c>
      <c r="R747" s="21">
        <f>+PROVEEDORES[[#This Row],[SUBTOTAL]]+PROVEEDORES[[#This Row],[IVA 19%]]-PROVEEDORES[[#This Row],[descuento sobre subtotal]]-PROVEEDORES[[#This Row],[Descuento sobre subtotal $2]]-PROVEEDORES[[#This Row],[Rete Fuente $]]</f>
        <v>2746800</v>
      </c>
      <c r="S747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63">
        <f ca="1">IF(PROVEEDORES[[#This Row],[FECHA DE PAGO]]=0,TODAY()-PROVEEDORES[[#This Row],[FECHA DE FACTURACIÓN]]-PROVEEDORES[[#This Row],[PLAZO Días]],0)</f>
        <v>0</v>
      </c>
      <c r="U747" s="104">
        <f>+VLOOKUP(PROVEEDORES[[#This Row],[PROVEEDOR]],Terceros!$A:$D,4,FALSE)</f>
        <v>0</v>
      </c>
      <c r="V747" s="105">
        <f>+YEAR(PROVEEDORES[[#This Row],[FECHA DE FACTURACIÓN]])</f>
        <v>2022</v>
      </c>
      <c r="W747" s="105">
        <f>+MATCH(PROVEEDORES[[#This Row],[año facturado]],Retenciones!$1:$1,0)</f>
        <v>5</v>
      </c>
      <c r="X747" s="106">
        <f>+VLOOKUP(PROVEEDORES[[#This Row],[ID RETENCION]],Retenciones!$A$1:$O$25,PROVEEDORES[[#This Row],[indicador de columna]],FALSE)</f>
        <v>0</v>
      </c>
      <c r="Y747" s="107">
        <f>+VLOOKUP(PROVEEDORES[[#This Row],[ID RETENCION]],Retenciones!$A$1:$O$25,2,FALSE)</f>
        <v>0</v>
      </c>
      <c r="Z747" s="116" t="b">
        <f>OR(COUNTIF(PROVEEDORES[[#This Row],[PROVEEDOR]],"*"&amp;'Palabra no opera'!$A$2&amp;"*"))</f>
        <v>0</v>
      </c>
    </row>
    <row r="748" spans="1:26" ht="22.35" customHeight="1" x14ac:dyDescent="0.3">
      <c r="A748" s="186" t="str">
        <f>+IF(PROVEEDORES[[#This Row],[FECHA DE PAGO]]=PROVEEDORES[[#This Row],[FECHA DE FACTURACIÓN]],"DE CONTADO","CRÉDITO")</f>
        <v>CRÉDITO</v>
      </c>
      <c r="B748" s="38" t="b">
        <f>+IF((PROVEEDORES[[#This Row],[FECHA DE PAGO]]-PROVEEDORES[[#This Row],[FECHA DE FACTURACIÓN]])&gt;PROVEEDORES[[#This Row],[PLAZO Días]],"PAGO VENCIDO")</f>
        <v>0</v>
      </c>
      <c r="C748" s="20">
        <f>+VLOOKUP(PROVEEDORES[[#This Row],[PROVEEDOR]],TERCEROS_INFO[#All],2,FALSE)</f>
        <v>30</v>
      </c>
      <c r="D748" s="25">
        <f>+SUMIFS(PROVEEDORES[Total],PROVEEDORES[PROVEEDOR],PROVEEDORES[[#This Row],[PROVEEDOR]],PROVEEDORES[FECHA DE PAGO],"")</f>
        <v>0</v>
      </c>
      <c r="E748" s="25"/>
      <c r="F748" s="56" t="str">
        <f>+VLOOKUP(PROVEEDORES[[#This Row],[PROVEEDOR]],
                       Terceros!$A:$F,
                       5,
                       FALSE)</f>
        <v/>
      </c>
      <c r="G748" s="68">
        <v>44806</v>
      </c>
      <c r="H748" s="26" t="s">
        <v>53</v>
      </c>
      <c r="I748" s="68">
        <v>44805</v>
      </c>
      <c r="J748" s="35">
        <v>293703</v>
      </c>
      <c r="K748" s="21">
        <v>1458000</v>
      </c>
      <c r="L748" s="21"/>
      <c r="M748" s="22">
        <f>(PROVEEDORES[[#This Row],[SUBTOTAL]]-PROVEEDORES[[#This Row],[descuento sobre subtotal]])*VLOOKUP(PROVEEDORES[[#This Row],[PROVEEDOR]],TERCEROS_INFO[#All],3,FALSE)</f>
        <v>0</v>
      </c>
      <c r="N748" s="23"/>
      <c r="O748" s="22">
        <f>+PROVEEDORES[[#This Row],[Descuento sobre subtotal %]]*(PROVEEDORES[[#This Row],[SUBTOTAL]]-PROVEEDORES[[#This Row],[descuento sobre subtotal]])</f>
        <v>0</v>
      </c>
      <c r="P748" s="74">
        <f>+IF(PROVEEDORES[[#This Row],[SUBTOTAL]]&lt;PROVEEDORES[[#This Row],[base retencion]],0,PROVEEDORES[[#This Row],[retención aplicada]])</f>
        <v>0</v>
      </c>
      <c r="Q748" s="22">
        <f>+PROVEEDORES[[#This Row],[Rete Fuente %]]*(PROVEEDORES[[#This Row],[SUBTOTAL]]-PROVEEDORES[[#This Row],[descuento sobre subtotal]])</f>
        <v>0</v>
      </c>
      <c r="R748" s="21">
        <f>+PROVEEDORES[[#This Row],[SUBTOTAL]]+PROVEEDORES[[#This Row],[IVA 19%]]-PROVEEDORES[[#This Row],[descuento sobre subtotal]]-PROVEEDORES[[#This Row],[Descuento sobre subtotal $2]]-PROVEEDORES[[#This Row],[Rete Fuente $]]</f>
        <v>1458000</v>
      </c>
      <c r="S748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63">
        <f ca="1">IF(PROVEEDORES[[#This Row],[FECHA DE PAGO]]=0,TODAY()-PROVEEDORES[[#This Row],[FECHA DE FACTURACIÓN]]-PROVEEDORES[[#This Row],[PLAZO Días]],0)</f>
        <v>0</v>
      </c>
      <c r="U748" s="104">
        <f>+VLOOKUP(PROVEEDORES[[#This Row],[PROVEEDOR]],Terceros!$A:$D,4,FALSE)</f>
        <v>0</v>
      </c>
      <c r="V748" s="105">
        <f>+YEAR(PROVEEDORES[[#This Row],[FECHA DE FACTURACIÓN]])</f>
        <v>2022</v>
      </c>
      <c r="W748" s="105">
        <f>+MATCH(PROVEEDORES[[#This Row],[año facturado]],Retenciones!$1:$1,0)</f>
        <v>5</v>
      </c>
      <c r="X748" s="106">
        <f>+VLOOKUP(PROVEEDORES[[#This Row],[ID RETENCION]],Retenciones!$A$1:$O$25,PROVEEDORES[[#This Row],[indicador de columna]],FALSE)</f>
        <v>0</v>
      </c>
      <c r="Y748" s="107">
        <f>+VLOOKUP(PROVEEDORES[[#This Row],[ID RETENCION]],Retenciones!$A$1:$O$25,2,FALSE)</f>
        <v>0</v>
      </c>
      <c r="Z748" s="116" t="b">
        <f>OR(COUNTIF(PROVEEDORES[[#This Row],[PROVEEDOR]],"*"&amp;'Palabra no opera'!$A$2&amp;"*"))</f>
        <v>0</v>
      </c>
    </row>
    <row r="749" spans="1:26" ht="22.35" customHeight="1" x14ac:dyDescent="0.3">
      <c r="A749" s="186" t="str">
        <f>+IF(PROVEEDORES[[#This Row],[FECHA DE PAGO]]=PROVEEDORES[[#This Row],[FECHA DE FACTURACIÓN]],"DE CONTADO","CRÉDITO")</f>
        <v>CRÉDITO</v>
      </c>
      <c r="B749" s="38" t="b">
        <f>+IF((PROVEEDORES[[#This Row],[FECHA DE PAGO]]-PROVEEDORES[[#This Row],[FECHA DE FACTURACIÓN]])&gt;PROVEEDORES[[#This Row],[PLAZO Días]],"PAGO VENCIDO")</f>
        <v>0</v>
      </c>
      <c r="C749" s="20">
        <f>+VLOOKUP(PROVEEDORES[[#This Row],[PROVEEDOR]],TERCEROS_INFO[#All],2,FALSE)</f>
        <v>30</v>
      </c>
      <c r="D749" s="25">
        <f>+SUMIFS(PROVEEDORES[Total],PROVEEDORES[PROVEEDOR],PROVEEDORES[[#This Row],[PROVEEDOR]],PROVEEDORES[FECHA DE PAGO],"")</f>
        <v>0</v>
      </c>
      <c r="E749" s="25"/>
      <c r="F749" s="56" t="str">
        <f>+VLOOKUP(PROVEEDORES[[#This Row],[PROVEEDOR]],
                       Terceros!$A:$F,
                       5,
                       FALSE)</f>
        <v/>
      </c>
      <c r="G749" s="68">
        <v>44806</v>
      </c>
      <c r="H749" s="26" t="s">
        <v>53</v>
      </c>
      <c r="I749" s="68">
        <v>44805</v>
      </c>
      <c r="J749" s="35">
        <v>293703</v>
      </c>
      <c r="K749" s="21">
        <v>2055000</v>
      </c>
      <c r="L749" s="21"/>
      <c r="M749" s="22">
        <f>(PROVEEDORES[[#This Row],[SUBTOTAL]]-PROVEEDORES[[#This Row],[descuento sobre subtotal]])*VLOOKUP(PROVEEDORES[[#This Row],[PROVEEDOR]],TERCEROS_INFO[#All],3,FALSE)</f>
        <v>0</v>
      </c>
      <c r="N749" s="23"/>
      <c r="O749" s="22">
        <f>+PROVEEDORES[[#This Row],[Descuento sobre subtotal %]]*(PROVEEDORES[[#This Row],[SUBTOTAL]]-PROVEEDORES[[#This Row],[descuento sobre subtotal]])</f>
        <v>0</v>
      </c>
      <c r="P749" s="74">
        <f>+IF(PROVEEDORES[[#This Row],[SUBTOTAL]]&lt;PROVEEDORES[[#This Row],[base retencion]],0,PROVEEDORES[[#This Row],[retención aplicada]])</f>
        <v>0</v>
      </c>
      <c r="Q749" s="22">
        <f>+PROVEEDORES[[#This Row],[Rete Fuente %]]*(PROVEEDORES[[#This Row],[SUBTOTAL]]-PROVEEDORES[[#This Row],[descuento sobre subtotal]])</f>
        <v>0</v>
      </c>
      <c r="R749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749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63">
        <f ca="1">IF(PROVEEDORES[[#This Row],[FECHA DE PAGO]]=0,TODAY()-PROVEEDORES[[#This Row],[FECHA DE FACTURACIÓN]]-PROVEEDORES[[#This Row],[PLAZO Días]],0)</f>
        <v>0</v>
      </c>
      <c r="U749" s="104">
        <f>+VLOOKUP(PROVEEDORES[[#This Row],[PROVEEDOR]],Terceros!$A:$D,4,FALSE)</f>
        <v>0</v>
      </c>
      <c r="V749" s="105">
        <f>+YEAR(PROVEEDORES[[#This Row],[FECHA DE FACTURACIÓN]])</f>
        <v>2022</v>
      </c>
      <c r="W749" s="105">
        <f>+MATCH(PROVEEDORES[[#This Row],[año facturado]],Retenciones!$1:$1,0)</f>
        <v>5</v>
      </c>
      <c r="X749" s="106">
        <f>+VLOOKUP(PROVEEDORES[[#This Row],[ID RETENCION]],Retenciones!$A$1:$O$25,PROVEEDORES[[#This Row],[indicador de columna]],FALSE)</f>
        <v>0</v>
      </c>
      <c r="Y749" s="107">
        <f>+VLOOKUP(PROVEEDORES[[#This Row],[ID RETENCION]],Retenciones!$A$1:$O$25,2,FALSE)</f>
        <v>0</v>
      </c>
      <c r="Z749" s="116" t="b">
        <f>OR(COUNTIF(PROVEEDORES[[#This Row],[PROVEEDOR]],"*"&amp;'Palabra no opera'!$A$2&amp;"*"))</f>
        <v>0</v>
      </c>
    </row>
    <row r="750" spans="1:26" ht="22.35" customHeight="1" x14ac:dyDescent="0.3">
      <c r="A750" s="67" t="str">
        <f>+IF(PROVEEDORES[[#This Row],[FECHA DE PAGO]]=PROVEEDORES[[#This Row],[FECHA DE FACTURACIÓN]],"DE CONTADO","CRÉDITO")</f>
        <v>CRÉDITO</v>
      </c>
      <c r="B750" s="38" t="str">
        <f>+IF((PROVEEDORES[[#This Row],[FECHA DE PAGO]]-PROVEEDORES[[#This Row],[FECHA DE FACTURACIÓN]])&gt;PROVEEDORES[[#This Row],[PLAZO Días]],"PAGO VENCIDO")</f>
        <v>PAGO VENCIDO</v>
      </c>
      <c r="C750" s="20">
        <f>+VLOOKUP(PROVEEDORES[[#This Row],[PROVEEDOR]],TERCEROS_INFO[#All],2,FALSE)</f>
        <v>30</v>
      </c>
      <c r="D750" s="25">
        <f>+SUMIFS(PROVEEDORES[Total],PROVEEDORES[PROVEEDOR],PROVEEDORES[[#This Row],[PROVEEDOR]],PROVEEDORES[FECHA DE PAGO],"")</f>
        <v>0</v>
      </c>
      <c r="E750" s="25"/>
      <c r="F750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50" s="68">
        <v>44806</v>
      </c>
      <c r="H750" s="26" t="s">
        <v>964</v>
      </c>
      <c r="I750" s="68">
        <v>44765</v>
      </c>
      <c r="J750" s="35">
        <v>33651</v>
      </c>
      <c r="K750" s="21">
        <v>1227600</v>
      </c>
      <c r="L750" s="21"/>
      <c r="M750" s="22">
        <f>(PROVEEDORES[[#This Row],[SUBTOTAL]]-PROVEEDORES[[#This Row],[descuento sobre subtotal]])*VLOOKUP(PROVEEDORES[[#This Row],[PROVEEDOR]],TERCEROS_INFO[#All],3,FALSE)</f>
        <v>233244</v>
      </c>
      <c r="N750" s="23"/>
      <c r="O750" s="22">
        <f>+PROVEEDORES[[#This Row],[Descuento sobre subtotal %]]*(PROVEEDORES[[#This Row],[SUBTOTAL]]-PROVEEDORES[[#This Row],[descuento sobre subtotal]])</f>
        <v>0</v>
      </c>
      <c r="P750" s="74">
        <v>2.5000000000000001E-2</v>
      </c>
      <c r="Q750" s="22">
        <f>+PROVEEDORES[[#This Row],[Rete Fuente %]]*(PROVEEDORES[[#This Row],[SUBTOTAL]]-PROVEEDORES[[#This Row],[descuento sobre subtotal]])</f>
        <v>30690</v>
      </c>
      <c r="R750" s="21">
        <f>+PROVEEDORES[[#This Row],[SUBTOTAL]]+PROVEEDORES[[#This Row],[IVA 19%]]-PROVEEDORES[[#This Row],[descuento sobre subtotal]]-PROVEEDORES[[#This Row],[Descuento sobre subtotal $2]]-PROVEEDORES[[#This Row],[Rete Fuente $]]</f>
        <v>1430154</v>
      </c>
      <c r="S7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63">
        <f ca="1">IF(PROVEEDORES[[#This Row],[FECHA DE PAGO]]=0,TODAY()-PROVEEDORES[[#This Row],[FECHA DE FACTURACIÓN]]-PROVEEDORES[[#This Row],[PLAZO Días]],0)</f>
        <v>0</v>
      </c>
      <c r="U750" s="104">
        <f>+VLOOKUP(PROVEEDORES[[#This Row],[PROVEEDOR]],Terceros!$A:$D,4,FALSE)</f>
        <v>0</v>
      </c>
      <c r="V750" s="105">
        <f>+YEAR(PROVEEDORES[[#This Row],[FECHA DE FACTURACIÓN]])</f>
        <v>2022</v>
      </c>
      <c r="W750" s="105">
        <f>+MATCH(PROVEEDORES[[#This Row],[año facturado]],Retenciones!$1:$1,0)</f>
        <v>5</v>
      </c>
      <c r="X750" s="106">
        <f>+VLOOKUP(PROVEEDORES[[#This Row],[ID RETENCION]],Retenciones!$A$1:$O$25,PROVEEDORES[[#This Row],[indicador de columna]],FALSE)</f>
        <v>0</v>
      </c>
      <c r="Y750" s="107">
        <f>+VLOOKUP(PROVEEDORES[[#This Row],[ID RETENCION]],Retenciones!$A$1:$O$25,2,FALSE)</f>
        <v>0</v>
      </c>
      <c r="Z750" s="116" t="b">
        <f>OR(COUNTIF(PROVEEDORES[[#This Row],[PROVEEDOR]],"*"&amp;'Palabra no opera'!$A$2&amp;"*"))</f>
        <v>0</v>
      </c>
    </row>
    <row r="751" spans="1:26" ht="22.35" customHeight="1" x14ac:dyDescent="0.3">
      <c r="A751" s="67" t="str">
        <f>+IF(PROVEEDORES[[#This Row],[FECHA DE PAGO]]=PROVEEDORES[[#This Row],[FECHA DE FACTURACIÓN]],"DE CONTADO","CRÉDITO")</f>
        <v>CRÉDITO</v>
      </c>
      <c r="B751" s="38" t="str">
        <f>+IF((PROVEEDORES[[#This Row],[FECHA DE PAGO]]-PROVEEDORES[[#This Row],[FECHA DE FACTURACIÓN]])&gt;PROVEEDORES[[#This Row],[PLAZO Días]],"PAGO VENCIDO")</f>
        <v>PAGO VENCIDO</v>
      </c>
      <c r="C751" s="20">
        <f>+VLOOKUP(PROVEEDORES[[#This Row],[PROVEEDOR]],TERCEROS_INFO[#All],2,FALSE)</f>
        <v>30</v>
      </c>
      <c r="D751" s="25">
        <f>+SUMIFS(PROVEEDORES[Total],PROVEEDORES[PROVEEDOR],PROVEEDORES[[#This Row],[PROVEEDOR]],PROVEEDORES[FECHA DE PAGO],"")</f>
        <v>0</v>
      </c>
      <c r="E751" s="25"/>
      <c r="F751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51" s="68">
        <v>44806</v>
      </c>
      <c r="H751" s="26" t="s">
        <v>964</v>
      </c>
      <c r="I751" s="68">
        <v>44770</v>
      </c>
      <c r="J751" s="35">
        <v>33833</v>
      </c>
      <c r="K751" s="21">
        <v>4800000</v>
      </c>
      <c r="L751" s="21"/>
      <c r="M751" s="22">
        <f>(PROVEEDORES[[#This Row],[SUBTOTAL]]-PROVEEDORES[[#This Row],[descuento sobre subtotal]])*VLOOKUP(PROVEEDORES[[#This Row],[PROVEEDOR]],TERCEROS_INFO[#All],3,FALSE)</f>
        <v>912000</v>
      </c>
      <c r="N751" s="23"/>
      <c r="O751" s="22">
        <f>+PROVEEDORES[[#This Row],[Descuento sobre subtotal %]]*(PROVEEDORES[[#This Row],[SUBTOTAL]]-PROVEEDORES[[#This Row],[descuento sobre subtotal]])</f>
        <v>0</v>
      </c>
      <c r="P751" s="74">
        <v>2.5000000000000001E-2</v>
      </c>
      <c r="Q751" s="22">
        <f>+PROVEEDORES[[#This Row],[Rete Fuente %]]*(PROVEEDORES[[#This Row],[SUBTOTAL]]-PROVEEDORES[[#This Row],[descuento sobre subtotal]])</f>
        <v>120000</v>
      </c>
      <c r="R751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7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63">
        <f ca="1">IF(PROVEEDORES[[#This Row],[FECHA DE PAGO]]=0,TODAY()-PROVEEDORES[[#This Row],[FECHA DE FACTURACIÓN]]-PROVEEDORES[[#This Row],[PLAZO Días]],0)</f>
        <v>0</v>
      </c>
      <c r="U751" s="104">
        <f>+VLOOKUP(PROVEEDORES[[#This Row],[PROVEEDOR]],Terceros!$A:$D,4,FALSE)</f>
        <v>0</v>
      </c>
      <c r="V751" s="105">
        <f>+YEAR(PROVEEDORES[[#This Row],[FECHA DE FACTURACIÓN]])</f>
        <v>2022</v>
      </c>
      <c r="W751" s="105">
        <f>+MATCH(PROVEEDORES[[#This Row],[año facturado]],Retenciones!$1:$1,0)</f>
        <v>5</v>
      </c>
      <c r="X751" s="106">
        <f>+VLOOKUP(PROVEEDORES[[#This Row],[ID RETENCION]],Retenciones!$A$1:$O$25,PROVEEDORES[[#This Row],[indicador de columna]],FALSE)</f>
        <v>0</v>
      </c>
      <c r="Y751" s="107">
        <f>+VLOOKUP(PROVEEDORES[[#This Row],[ID RETENCION]],Retenciones!$A$1:$O$25,2,FALSE)</f>
        <v>0</v>
      </c>
      <c r="Z751" s="116" t="b">
        <f>OR(COUNTIF(PROVEEDORES[[#This Row],[PROVEEDOR]],"*"&amp;'Palabra no opera'!$A$2&amp;"*"))</f>
        <v>0</v>
      </c>
    </row>
    <row r="752" spans="1:26" ht="22.35" customHeight="1" x14ac:dyDescent="0.3">
      <c r="A752" s="182" t="str">
        <f>+IF(PROVEEDORES[[#This Row],[FECHA DE PAGO]]=PROVEEDORES[[#This Row],[FECHA DE FACTURACIÓN]],"DE CONTADO","CRÉDITO")</f>
        <v>CRÉDITO</v>
      </c>
      <c r="B752" s="38" t="b">
        <f>+IF((PROVEEDORES[[#This Row],[FECHA DE PAGO]]-PROVEEDORES[[#This Row],[FECHA DE FACTURACIÓN]])&gt;PROVEEDORES[[#This Row],[PLAZO Días]],"PAGO VENCIDO")</f>
        <v>0</v>
      </c>
      <c r="C752" s="20">
        <f>+VLOOKUP(PROVEEDORES[[#This Row],[PROVEEDOR]],TERCEROS_INFO[#All],2,FALSE)</f>
        <v>30</v>
      </c>
      <c r="D752" s="25">
        <f>+SUMIFS(PROVEEDORES[Total],PROVEEDORES[PROVEEDOR],PROVEEDORES[[#This Row],[PROVEEDOR]],PROVEEDORES[FECHA DE PAGO],"")</f>
        <v>-139600.09</v>
      </c>
      <c r="E752" s="25"/>
      <c r="F752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752" s="68">
        <v>44806</v>
      </c>
      <c r="H752" s="26" t="s">
        <v>32</v>
      </c>
      <c r="I752" s="68">
        <v>44786</v>
      </c>
      <c r="J752" s="35" t="s">
        <v>936</v>
      </c>
      <c r="K752" s="21">
        <v>209243.7</v>
      </c>
      <c r="L752" s="21"/>
      <c r="M752" s="22">
        <f>(PROVEEDORES[[#This Row],[SUBTOTAL]]-PROVEEDORES[[#This Row],[descuento sobre subtotal]])*VLOOKUP(PROVEEDORES[[#This Row],[PROVEEDOR]],TERCEROS_INFO[#All],3,FALSE)</f>
        <v>39756.303</v>
      </c>
      <c r="N752" s="23"/>
      <c r="O752" s="22">
        <f>+PROVEEDORES[[#This Row],[Descuento sobre subtotal %]]*(PROVEEDORES[[#This Row],[SUBTOTAL]]-PROVEEDORES[[#This Row],[descuento sobre subtotal]])</f>
        <v>0</v>
      </c>
      <c r="P752" s="74">
        <f>+IF(PROVEEDORES[[#This Row],[SUBTOTAL]]&lt;PROVEEDORES[[#This Row],[base retencion]],0,PROVEEDORES[[#This Row],[retención aplicada]])</f>
        <v>0</v>
      </c>
      <c r="Q752" s="22">
        <f>+PROVEEDORES[[#This Row],[Rete Fuente %]]*(PROVEEDORES[[#This Row],[SUBTOTAL]]-PROVEEDORES[[#This Row],[descuento sobre subtotal]])</f>
        <v>0</v>
      </c>
      <c r="R752" s="21">
        <f>+PROVEEDORES[[#This Row],[SUBTOTAL]]+PROVEEDORES[[#This Row],[IVA 19%]]-PROVEEDORES[[#This Row],[descuento sobre subtotal]]-PROVEEDORES[[#This Row],[Descuento sobre subtotal $2]]-PROVEEDORES[[#This Row],[Rete Fuente $]]</f>
        <v>249000.00300000003</v>
      </c>
      <c r="S75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63">
        <f ca="1">IF(PROVEEDORES[[#This Row],[FECHA DE PAGO]]=0,TODAY()-PROVEEDORES[[#This Row],[FECHA DE FACTURACIÓN]]-PROVEEDORES[[#This Row],[PLAZO Días]],0)</f>
        <v>0</v>
      </c>
      <c r="U752" s="104" t="str">
        <f>+VLOOKUP(PROVEEDORES[[#This Row],[PROVEEDOR]],Terceros!$A:$D,4,FALSE)</f>
        <v>2,5% con base</v>
      </c>
      <c r="V752" s="105">
        <f>+YEAR(PROVEEDORES[[#This Row],[FECHA DE FACTURACIÓN]])</f>
        <v>2022</v>
      </c>
      <c r="W752" s="105">
        <f>+MATCH(PROVEEDORES[[#This Row],[año facturado]],Retenciones!$1:$1,0)</f>
        <v>5</v>
      </c>
      <c r="X752" s="106">
        <f>+VLOOKUP(PROVEEDORES[[#This Row],[ID RETENCION]],Retenciones!$A$1:$O$25,PROVEEDORES[[#This Row],[indicador de columna]],FALSE)</f>
        <v>1026000</v>
      </c>
      <c r="Y752" s="107">
        <f>+VLOOKUP(PROVEEDORES[[#This Row],[ID RETENCION]],Retenciones!$A$1:$O$25,2,FALSE)</f>
        <v>2.5000000000000001E-2</v>
      </c>
      <c r="Z752" s="116" t="b">
        <f>OR(COUNTIF(PROVEEDORES[[#This Row],[PROVEEDOR]],"*"&amp;'Palabra no opera'!$A$2&amp;"*"))</f>
        <v>0</v>
      </c>
    </row>
    <row r="753" spans="1:26" ht="22.35" customHeight="1" x14ac:dyDescent="0.3">
      <c r="A753" s="163" t="str">
        <f>+IF(PROVEEDORES[[#This Row],[FECHA DE PAGO]]=PROVEEDORES[[#This Row],[FECHA DE FACTURACIÓN]],"DE CONTADO","CRÉDITO")</f>
        <v>CRÉDITO</v>
      </c>
      <c r="B753" s="38" t="str">
        <f>+IF((PROVEEDORES[[#This Row],[FECHA DE PAGO]]-PROVEEDORES[[#This Row],[FECHA DE FACTURACIÓN]])&gt;PROVEEDORES[[#This Row],[PLAZO Días]],"PAGO VENCIDO")</f>
        <v>PAGO VENCIDO</v>
      </c>
      <c r="C753" s="20">
        <f>+VLOOKUP(PROVEEDORES[[#This Row],[PROVEEDOR]],TERCEROS_INFO[#All],2,FALSE)</f>
        <v>30</v>
      </c>
      <c r="D753" s="25">
        <f>+SUMIFS(PROVEEDORES[Total],PROVEEDORES[PROVEEDOR],PROVEEDORES[[#This Row],[PROVEEDOR]],PROVEEDORES[FECHA DE PAGO],"")</f>
        <v>10321993.199999999</v>
      </c>
      <c r="E753" s="25"/>
      <c r="F753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53" s="68">
        <v>44806</v>
      </c>
      <c r="H753" s="26" t="s">
        <v>1068</v>
      </c>
      <c r="I753" s="68">
        <v>44751</v>
      </c>
      <c r="J753" s="35">
        <v>26516</v>
      </c>
      <c r="K753" s="21">
        <v>5185620</v>
      </c>
      <c r="L753" s="21">
        <v>471420</v>
      </c>
      <c r="M753" s="22">
        <f>(PROVEEDORES[[#This Row],[SUBTOTAL]]-PROVEEDORES[[#This Row],[descuento sobre subtotal]])*VLOOKUP(PROVEEDORES[[#This Row],[PROVEEDOR]],TERCEROS_INFO[#All],3,FALSE)</f>
        <v>895698</v>
      </c>
      <c r="N753" s="23"/>
      <c r="O753" s="22">
        <f>+PROVEEDORES[[#This Row],[Descuento sobre subtotal %]]*(PROVEEDORES[[#This Row],[SUBTOTAL]]-PROVEEDORES[[#This Row],[descuento sobre subtotal]])</f>
        <v>0</v>
      </c>
      <c r="P753" s="74">
        <f>+IF(PROVEEDORES[[#This Row],[SUBTOTAL]]&lt;PROVEEDORES[[#This Row],[base retencion]],0,PROVEEDORES[[#This Row],[retención aplicada]])</f>
        <v>2.5000000000000001E-2</v>
      </c>
      <c r="Q753" s="22">
        <f>+PROVEEDORES[[#This Row],[Rete Fuente %]]*(PROVEEDORES[[#This Row],[SUBTOTAL]]-PROVEEDORES[[#This Row],[descuento sobre subtotal]])</f>
        <v>117855</v>
      </c>
      <c r="R753" s="21">
        <f>+PROVEEDORES[[#This Row],[SUBTOTAL]]+PROVEEDORES[[#This Row],[IVA 19%]]-PROVEEDORES[[#This Row],[descuento sobre subtotal]]-PROVEEDORES[[#This Row],[Descuento sobre subtotal $2]]-PROVEEDORES[[#This Row],[Rete Fuente $]]</f>
        <v>5492043</v>
      </c>
      <c r="S753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63">
        <f ca="1">IF(PROVEEDORES[[#This Row],[FECHA DE PAGO]]=0,TODAY()-PROVEEDORES[[#This Row],[FECHA DE FACTURACIÓN]]-PROVEEDORES[[#This Row],[PLAZO Días]],0)</f>
        <v>0</v>
      </c>
      <c r="U753" s="104" t="str">
        <f>+VLOOKUP(PROVEEDORES[[#This Row],[PROVEEDOR]],Terceros!$A:$D,4,FALSE)</f>
        <v>2,5% con base</v>
      </c>
      <c r="V753" s="105">
        <f>+YEAR(PROVEEDORES[[#This Row],[FECHA DE FACTURACIÓN]])</f>
        <v>2022</v>
      </c>
      <c r="W753" s="105">
        <f>+MATCH(PROVEEDORES[[#This Row],[año facturado]],Retenciones!$1:$1,0)</f>
        <v>5</v>
      </c>
      <c r="X753" s="106">
        <f>+VLOOKUP(PROVEEDORES[[#This Row],[ID RETENCION]],Retenciones!$A$1:$O$25,PROVEEDORES[[#This Row],[indicador de columna]],FALSE)</f>
        <v>1026000</v>
      </c>
      <c r="Y753" s="107">
        <f>+VLOOKUP(PROVEEDORES[[#This Row],[ID RETENCION]],Retenciones!$A$1:$O$25,2,FALSE)</f>
        <v>2.5000000000000001E-2</v>
      </c>
      <c r="Z753" s="116" t="b">
        <f>OR(COUNTIF(PROVEEDORES[[#This Row],[PROVEEDOR]],"*"&amp;'Palabra no opera'!$A$2&amp;"*"))</f>
        <v>0</v>
      </c>
    </row>
    <row r="754" spans="1:26" ht="22.35" customHeight="1" x14ac:dyDescent="0.3">
      <c r="A754" s="148" t="str">
        <f>+IF(PROVEEDORES[[#This Row],[FECHA DE PAGO]]=PROVEEDORES[[#This Row],[FECHA DE FACTURACIÓN]],"DE CONTADO","CRÉDITO")</f>
        <v>CRÉDITO</v>
      </c>
      <c r="B754" s="38" t="str">
        <f>+IF((PROVEEDORES[[#This Row],[FECHA DE PAGO]]-PROVEEDORES[[#This Row],[FECHA DE FACTURACIÓN]])&gt;PROVEEDORES[[#This Row],[PLAZO Días]],"PAGO VENCIDO")</f>
        <v>PAGO VENCIDO</v>
      </c>
      <c r="C754" s="20">
        <f>+VLOOKUP(PROVEEDORES[[#This Row],[PROVEEDOR]],TERCEROS_INFO[#All],2,FALSE)</f>
        <v>45</v>
      </c>
      <c r="D754" s="25">
        <f>+SUMIFS(PROVEEDORES[Total],PROVEEDORES[PROVEEDOR],PROVEEDORES[[#This Row],[PROVEEDOR]],PROVEEDORES[FECHA DE PAGO],"")</f>
        <v>8072960</v>
      </c>
      <c r="E754" s="25"/>
      <c r="F75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54" s="68">
        <v>44806</v>
      </c>
      <c r="H754" s="26" t="s">
        <v>10</v>
      </c>
      <c r="I754" s="68">
        <v>44740</v>
      </c>
      <c r="J754" s="35" t="s">
        <v>797</v>
      </c>
      <c r="K754" s="21">
        <v>1615000</v>
      </c>
      <c r="L754" s="21"/>
      <c r="M754" s="22">
        <f>(PROVEEDORES[[#This Row],[SUBTOTAL]]-PROVEEDORES[[#This Row],[descuento sobre subtotal]])*VLOOKUP(PROVEEDORES[[#This Row],[PROVEEDOR]],TERCEROS_INFO[#All],3,FALSE)</f>
        <v>306850</v>
      </c>
      <c r="N754" s="23"/>
      <c r="O754" s="22">
        <f>+PROVEEDORES[[#This Row],[Descuento sobre subtotal %]]*(PROVEEDORES[[#This Row],[SUBTOTAL]]-PROVEEDORES[[#This Row],[descuento sobre subtotal]])</f>
        <v>0</v>
      </c>
      <c r="P754" s="74">
        <f>+IF(PROVEEDORES[[#This Row],[SUBTOTAL]]&lt;PROVEEDORES[[#This Row],[base retencion]],0,PROVEEDORES[[#This Row],[retención aplicada]])</f>
        <v>0</v>
      </c>
      <c r="Q754" s="22">
        <f>+PROVEEDORES[[#This Row],[Rete Fuente %]]*(PROVEEDORES[[#This Row],[SUBTOTAL]]-PROVEEDORES[[#This Row],[descuento sobre subtotal]])</f>
        <v>0</v>
      </c>
      <c r="R754" s="21">
        <f>+PROVEEDORES[[#This Row],[SUBTOTAL]]+PROVEEDORES[[#This Row],[IVA 19%]]-PROVEEDORES[[#This Row],[descuento sobre subtotal]]-PROVEEDORES[[#This Row],[Descuento sobre subtotal $2]]-PROVEEDORES[[#This Row],[Rete Fuente $]]</f>
        <v>1921850</v>
      </c>
      <c r="S754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63">
        <f ca="1">IF(PROVEEDORES[[#This Row],[FECHA DE PAGO]]=0,TODAY()-PROVEEDORES[[#This Row],[FECHA DE FACTURACIÓN]]-PROVEEDORES[[#This Row],[PLAZO Días]],0)</f>
        <v>0</v>
      </c>
      <c r="U754" s="104">
        <f>+VLOOKUP(PROVEEDORES[[#This Row],[PROVEEDOR]],Terceros!$A:$D,4,FALSE)</f>
        <v>0</v>
      </c>
      <c r="V754" s="105">
        <f>+YEAR(PROVEEDORES[[#This Row],[FECHA DE FACTURACIÓN]])</f>
        <v>2022</v>
      </c>
      <c r="W754" s="105">
        <f>+MATCH(PROVEEDORES[[#This Row],[año facturado]],Retenciones!$1:$1,0)</f>
        <v>5</v>
      </c>
      <c r="X754" s="106">
        <f>+VLOOKUP(PROVEEDORES[[#This Row],[ID RETENCION]],Retenciones!$A$1:$O$25,PROVEEDORES[[#This Row],[indicador de columna]],FALSE)</f>
        <v>0</v>
      </c>
      <c r="Y754" s="107">
        <f>+VLOOKUP(PROVEEDORES[[#This Row],[ID RETENCION]],Retenciones!$A$1:$O$25,2,FALSE)</f>
        <v>0</v>
      </c>
      <c r="Z754" s="116" t="b">
        <f>OR(COUNTIF(PROVEEDORES[[#This Row],[PROVEEDOR]],"*"&amp;'Palabra no opera'!$A$2&amp;"*"))</f>
        <v>0</v>
      </c>
    </row>
    <row r="755" spans="1:26" ht="22.35" customHeight="1" x14ac:dyDescent="0.3">
      <c r="A755" s="148" t="str">
        <f>+IF(PROVEEDORES[[#This Row],[FECHA DE PAGO]]=PROVEEDORES[[#This Row],[FECHA DE FACTURACIÓN]],"DE CONTADO","CRÉDITO")</f>
        <v>CRÉDITO</v>
      </c>
      <c r="B755" s="38" t="str">
        <f>+IF((PROVEEDORES[[#This Row],[FECHA DE PAGO]]-PROVEEDORES[[#This Row],[FECHA DE FACTURACIÓN]])&gt;PROVEEDORES[[#This Row],[PLAZO Días]],"PAGO VENCIDO")</f>
        <v>PAGO VENCIDO</v>
      </c>
      <c r="C755" s="20">
        <f>+VLOOKUP(PROVEEDORES[[#This Row],[PROVEEDOR]],TERCEROS_INFO[#All],2,FALSE)</f>
        <v>45</v>
      </c>
      <c r="D755" s="25">
        <f>+SUMIFS(PROVEEDORES[Total],PROVEEDORES[PROVEEDOR],PROVEEDORES[[#This Row],[PROVEEDOR]],PROVEEDORES[FECHA DE PAGO],"")</f>
        <v>8072960</v>
      </c>
      <c r="E755" s="25"/>
      <c r="F755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55" s="68">
        <v>44806</v>
      </c>
      <c r="H755" s="26" t="s">
        <v>10</v>
      </c>
      <c r="I755" s="68">
        <v>44741</v>
      </c>
      <c r="J755" s="35" t="s">
        <v>793</v>
      </c>
      <c r="K755" s="21">
        <v>85714.2</v>
      </c>
      <c r="L755" s="21"/>
      <c r="M755" s="22">
        <f>(PROVEEDORES[[#This Row],[SUBTOTAL]]-PROVEEDORES[[#This Row],[descuento sobre subtotal]])*VLOOKUP(PROVEEDORES[[#This Row],[PROVEEDOR]],TERCEROS_INFO[#All],3,FALSE)</f>
        <v>16285.698</v>
      </c>
      <c r="N755" s="23"/>
      <c r="O755" s="22">
        <f>+PROVEEDORES[[#This Row],[Descuento sobre subtotal %]]*(PROVEEDORES[[#This Row],[SUBTOTAL]]-PROVEEDORES[[#This Row],[descuento sobre subtotal]])</f>
        <v>0</v>
      </c>
      <c r="P755" s="74">
        <f>+IF(PROVEEDORES[[#This Row],[SUBTOTAL]]&lt;PROVEEDORES[[#This Row],[base retencion]],0,PROVEEDORES[[#This Row],[retención aplicada]])</f>
        <v>0</v>
      </c>
      <c r="Q755" s="22">
        <f>+PROVEEDORES[[#This Row],[Rete Fuente %]]*(PROVEEDORES[[#This Row],[SUBTOTAL]]-PROVEEDORES[[#This Row],[descuento sobre subtotal]])</f>
        <v>0</v>
      </c>
      <c r="R755" s="21">
        <f>+PROVEEDORES[[#This Row],[SUBTOTAL]]+PROVEEDORES[[#This Row],[IVA 19%]]-PROVEEDORES[[#This Row],[descuento sobre subtotal]]-PROVEEDORES[[#This Row],[Descuento sobre subtotal $2]]-PROVEEDORES[[#This Row],[Rete Fuente $]]</f>
        <v>101999.898</v>
      </c>
      <c r="S75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63">
        <f ca="1">IF(PROVEEDORES[[#This Row],[FECHA DE PAGO]]=0,TODAY()-PROVEEDORES[[#This Row],[FECHA DE FACTURACIÓN]]-PROVEEDORES[[#This Row],[PLAZO Días]],0)</f>
        <v>0</v>
      </c>
      <c r="U755" s="104">
        <f>+VLOOKUP(PROVEEDORES[[#This Row],[PROVEEDOR]],Terceros!$A:$D,4,FALSE)</f>
        <v>0</v>
      </c>
      <c r="V755" s="105">
        <f>+YEAR(PROVEEDORES[[#This Row],[FECHA DE FACTURACIÓN]])</f>
        <v>2022</v>
      </c>
      <c r="W755" s="105">
        <f>+MATCH(PROVEEDORES[[#This Row],[año facturado]],Retenciones!$1:$1,0)</f>
        <v>5</v>
      </c>
      <c r="X755" s="106">
        <f>+VLOOKUP(PROVEEDORES[[#This Row],[ID RETENCION]],Retenciones!$A$1:$O$25,PROVEEDORES[[#This Row],[indicador de columna]],FALSE)</f>
        <v>0</v>
      </c>
      <c r="Y755" s="107">
        <f>+VLOOKUP(PROVEEDORES[[#This Row],[ID RETENCION]],Retenciones!$A$1:$O$25,2,FALSE)</f>
        <v>0</v>
      </c>
      <c r="Z755" s="116" t="b">
        <f>OR(COUNTIF(PROVEEDORES[[#This Row],[PROVEEDOR]],"*"&amp;'Palabra no opera'!$A$2&amp;"*"))</f>
        <v>0</v>
      </c>
    </row>
    <row r="756" spans="1:26" ht="22.35" customHeight="1" x14ac:dyDescent="0.3">
      <c r="A756" s="163" t="str">
        <f>+IF(PROVEEDORES[[#This Row],[FECHA DE PAGO]]=PROVEEDORES[[#This Row],[FECHA DE FACTURACIÓN]],"DE CONTADO","CRÉDITO")</f>
        <v>CRÉDITO</v>
      </c>
      <c r="B756" s="38" t="str">
        <f>+IF((PROVEEDORES[[#This Row],[FECHA DE PAGO]]-PROVEEDORES[[#This Row],[FECHA DE FACTURACIÓN]])&gt;PROVEEDORES[[#This Row],[PLAZO Días]],"PAGO VENCIDO")</f>
        <v>PAGO VENCIDO</v>
      </c>
      <c r="C756" s="20">
        <f>+VLOOKUP(PROVEEDORES[[#This Row],[PROVEEDOR]],TERCEROS_INFO[#All],2,FALSE)</f>
        <v>45</v>
      </c>
      <c r="D756" s="25">
        <f>+SUMIFS(PROVEEDORES[Total],PROVEEDORES[PROVEEDOR],PROVEEDORES[[#This Row],[PROVEEDOR]],PROVEEDORES[FECHA DE PAGO],"")</f>
        <v>8072960</v>
      </c>
      <c r="E756" s="25"/>
      <c r="F756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56" s="68">
        <v>44806</v>
      </c>
      <c r="H756" s="26" t="s">
        <v>10</v>
      </c>
      <c r="I756" s="68">
        <v>44755</v>
      </c>
      <c r="J756" s="35" t="s">
        <v>825</v>
      </c>
      <c r="K756" s="21">
        <v>1980000</v>
      </c>
      <c r="L756" s="21"/>
      <c r="M756" s="22">
        <f>(PROVEEDORES[[#This Row],[SUBTOTAL]]-PROVEEDORES[[#This Row],[descuento sobre subtotal]])*VLOOKUP(PROVEEDORES[[#This Row],[PROVEEDOR]],TERCEROS_INFO[#All],3,FALSE)</f>
        <v>376200</v>
      </c>
      <c r="N756" s="23"/>
      <c r="O756" s="22">
        <f>+PROVEEDORES[[#This Row],[Descuento sobre subtotal %]]*(PROVEEDORES[[#This Row],[SUBTOTAL]]-PROVEEDORES[[#This Row],[descuento sobre subtotal]])</f>
        <v>0</v>
      </c>
      <c r="P756" s="74">
        <f>+IF(PROVEEDORES[[#This Row],[SUBTOTAL]]&lt;PROVEEDORES[[#This Row],[base retencion]],0,PROVEEDORES[[#This Row],[retención aplicada]])</f>
        <v>0</v>
      </c>
      <c r="Q756" s="22">
        <f>+PROVEEDORES[[#This Row],[Rete Fuente %]]*(PROVEEDORES[[#This Row],[SUBTOTAL]]-PROVEEDORES[[#This Row],[descuento sobre subtotal]])</f>
        <v>0</v>
      </c>
      <c r="R756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756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63">
        <f ca="1">IF(PROVEEDORES[[#This Row],[FECHA DE PAGO]]=0,TODAY()-PROVEEDORES[[#This Row],[FECHA DE FACTURACIÓN]]-PROVEEDORES[[#This Row],[PLAZO Días]],0)</f>
        <v>0</v>
      </c>
      <c r="U756" s="104">
        <f>+VLOOKUP(PROVEEDORES[[#This Row],[PROVEEDOR]],Terceros!$A:$D,4,FALSE)</f>
        <v>0</v>
      </c>
      <c r="V756" s="105">
        <f>+YEAR(PROVEEDORES[[#This Row],[FECHA DE FACTURACIÓN]])</f>
        <v>2022</v>
      </c>
      <c r="W756" s="105">
        <f>+MATCH(PROVEEDORES[[#This Row],[año facturado]],Retenciones!$1:$1,0)</f>
        <v>5</v>
      </c>
      <c r="X756" s="106">
        <f>+VLOOKUP(PROVEEDORES[[#This Row],[ID RETENCION]],Retenciones!$A$1:$O$25,PROVEEDORES[[#This Row],[indicador de columna]],FALSE)</f>
        <v>0</v>
      </c>
      <c r="Y756" s="107">
        <f>+VLOOKUP(PROVEEDORES[[#This Row],[ID RETENCION]],Retenciones!$A$1:$O$25,2,FALSE)</f>
        <v>0</v>
      </c>
      <c r="Z756" s="116" t="b">
        <f>OR(COUNTIF(PROVEEDORES[[#This Row],[PROVEEDOR]],"*"&amp;'Palabra no opera'!$A$2&amp;"*"))</f>
        <v>0</v>
      </c>
    </row>
    <row r="757" spans="1:26" ht="22.35" customHeight="1" x14ac:dyDescent="0.3">
      <c r="A757" s="67" t="str">
        <f>+IF(PROVEEDORES[[#This Row],[FECHA DE PAGO]]=PROVEEDORES[[#This Row],[FECHA DE FACTURACIÓN]],"DE CONTADO","CRÉDITO")</f>
        <v>CRÉDITO</v>
      </c>
      <c r="B757" s="38" t="str">
        <f>+IF((PROVEEDORES[[#This Row],[FECHA DE PAGO]]-PROVEEDORES[[#This Row],[FECHA DE FACTURACIÓN]])&gt;PROVEEDORES[[#This Row],[PLAZO Días]],"PAGO VENCIDO")</f>
        <v>PAGO VENCIDO</v>
      </c>
      <c r="C757" s="20">
        <f>+VLOOKUP(PROVEEDORES[[#This Row],[PROVEEDOR]],TERCEROS_INFO[#All],2,FALSE)</f>
        <v>30</v>
      </c>
      <c r="D757" s="25">
        <f>+SUMIFS(PROVEEDORES[Total],PROVEEDORES[PROVEEDOR],PROVEEDORES[[#This Row],[PROVEEDOR]],PROVEEDORES[FECHA DE PAGO],"")</f>
        <v>18444236.894999996</v>
      </c>
      <c r="E757" s="25"/>
      <c r="F75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757" s="68">
        <v>44806</v>
      </c>
      <c r="H757" s="26" t="s">
        <v>11</v>
      </c>
      <c r="I757" s="68">
        <v>44760</v>
      </c>
      <c r="J757" s="35" t="s">
        <v>845</v>
      </c>
      <c r="K757" s="21">
        <v>3960000</v>
      </c>
      <c r="L757" s="21"/>
      <c r="M757" s="22">
        <f>(PROVEEDORES[[#This Row],[SUBTOTAL]]-PROVEEDORES[[#This Row],[descuento sobre subtotal]])*VLOOKUP(PROVEEDORES[[#This Row],[PROVEEDOR]],TERCEROS_INFO[#All],3,FALSE)</f>
        <v>752400</v>
      </c>
      <c r="N757" s="23"/>
      <c r="O757" s="22">
        <f>+PROVEEDORES[[#This Row],[Descuento sobre subtotal %]]*(PROVEEDORES[[#This Row],[SUBTOTAL]]-PROVEEDORES[[#This Row],[descuento sobre subtotal]])</f>
        <v>0</v>
      </c>
      <c r="P757" s="74">
        <f>+IF(PROVEEDORES[[#This Row],[SUBTOTAL]]&lt;PROVEEDORES[[#This Row],[base retencion]],0,PROVEEDORES[[#This Row],[retención aplicada]])</f>
        <v>2.5000000000000001E-2</v>
      </c>
      <c r="Q757" s="22">
        <f>+PROVEEDORES[[#This Row],[Rete Fuente %]]*(PROVEEDORES[[#This Row],[SUBTOTAL]]-PROVEEDORES[[#This Row],[descuento sobre subtotal]])</f>
        <v>99000</v>
      </c>
      <c r="R757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7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63">
        <f ca="1">IF(PROVEEDORES[[#This Row],[FECHA DE PAGO]]=0,TODAY()-PROVEEDORES[[#This Row],[FECHA DE FACTURACIÓN]]-PROVEEDORES[[#This Row],[PLAZO Días]],0)</f>
        <v>0</v>
      </c>
      <c r="U757" s="104" t="str">
        <f>+VLOOKUP(PROVEEDORES[[#This Row],[PROVEEDOR]],Terceros!$A:$D,4,FALSE)</f>
        <v>2,5% con base</v>
      </c>
      <c r="V757" s="105">
        <f>+YEAR(PROVEEDORES[[#This Row],[FECHA DE FACTURACIÓN]])</f>
        <v>2022</v>
      </c>
      <c r="W757" s="105">
        <f>+MATCH(PROVEEDORES[[#This Row],[año facturado]],Retenciones!$1:$1,0)</f>
        <v>5</v>
      </c>
      <c r="X757" s="106">
        <f>+VLOOKUP(PROVEEDORES[[#This Row],[ID RETENCION]],Retenciones!$A$1:$O$25,PROVEEDORES[[#This Row],[indicador de columna]],FALSE)</f>
        <v>1026000</v>
      </c>
      <c r="Y757" s="107">
        <f>+VLOOKUP(PROVEEDORES[[#This Row],[ID RETENCION]],Retenciones!$A$1:$O$25,2,FALSE)</f>
        <v>2.5000000000000001E-2</v>
      </c>
      <c r="Z757" s="116" t="b">
        <f>OR(COUNTIF(PROVEEDORES[[#This Row],[PROVEEDOR]],"*"&amp;'Palabra no opera'!$A$2&amp;"*"))</f>
        <v>0</v>
      </c>
    </row>
    <row r="758" spans="1:26" ht="22.35" customHeight="1" x14ac:dyDescent="0.3">
      <c r="A758" s="182" t="str">
        <f>+IF(PROVEEDORES[[#This Row],[FECHA DE PAGO]]=PROVEEDORES[[#This Row],[FECHA DE FACTURACIÓN]],"DE CONTADO","CRÉDITO")</f>
        <v>CRÉDITO</v>
      </c>
      <c r="B758" s="38" t="b">
        <f>+IF((PROVEEDORES[[#This Row],[FECHA DE PAGO]]-PROVEEDORES[[#This Row],[FECHA DE FACTURACIÓN]])&gt;PROVEEDORES[[#This Row],[PLAZO Días]],"PAGO VENCIDO")</f>
        <v>0</v>
      </c>
      <c r="C758" s="20">
        <f>+VLOOKUP(PROVEEDORES[[#This Row],[PROVEEDOR]],TERCEROS_INFO[#All],2,FALSE)</f>
        <v>30</v>
      </c>
      <c r="D758" s="25">
        <f>+SUMIFS(PROVEEDORES[Total],PROVEEDORES[PROVEEDOR],PROVEEDORES[[#This Row],[PROVEEDOR]],PROVEEDORES[FECHA DE PAGO],"")</f>
        <v>0</v>
      </c>
      <c r="E758" s="25"/>
      <c r="F758" s="56" t="str">
        <f>+VLOOKUP(PROVEEDORES[[#This Row],[PROVEEDOR]],
                       Terceros!$A:$F,
                       5,
                       FALSE)</f>
        <v/>
      </c>
      <c r="G758" s="68">
        <v>44809</v>
      </c>
      <c r="H758" s="26" t="s">
        <v>401</v>
      </c>
      <c r="I758" s="68">
        <v>44782</v>
      </c>
      <c r="J758" s="35" t="s">
        <v>944</v>
      </c>
      <c r="K758" s="21">
        <v>696250</v>
      </c>
      <c r="L758" s="21"/>
      <c r="M758" s="22">
        <f>(PROVEEDORES[[#This Row],[SUBTOTAL]]-PROVEEDORES[[#This Row],[descuento sobre subtotal]])*VLOOKUP(PROVEEDORES[[#This Row],[PROVEEDOR]],TERCEROS_INFO[#All],3,FALSE)</f>
        <v>0</v>
      </c>
      <c r="N758" s="23"/>
      <c r="O758" s="22">
        <f>+PROVEEDORES[[#This Row],[Descuento sobre subtotal %]]*(PROVEEDORES[[#This Row],[SUBTOTAL]]-PROVEEDORES[[#This Row],[descuento sobre subtotal]])</f>
        <v>0</v>
      </c>
      <c r="P758" s="74">
        <f>+IF(PROVEEDORES[[#This Row],[SUBTOTAL]]&lt;PROVEEDORES[[#This Row],[base retencion]],0,PROVEEDORES[[#This Row],[retención aplicada]])</f>
        <v>0</v>
      </c>
      <c r="Q758" s="22">
        <f>+PROVEEDORES[[#This Row],[Rete Fuente %]]*(PROVEEDORES[[#This Row],[SUBTOTAL]]-PROVEEDORES[[#This Row],[descuento sobre subtotal]])</f>
        <v>0</v>
      </c>
      <c r="R758" s="21">
        <f>+PROVEEDORES[[#This Row],[SUBTOTAL]]+PROVEEDORES[[#This Row],[IVA 19%]]-PROVEEDORES[[#This Row],[descuento sobre subtotal]]-PROVEEDORES[[#This Row],[Descuento sobre subtotal $2]]-PROVEEDORES[[#This Row],[Rete Fuente $]]</f>
        <v>696250</v>
      </c>
      <c r="S75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63">
        <f ca="1">IF(PROVEEDORES[[#This Row],[FECHA DE PAGO]]=0,TODAY()-PROVEEDORES[[#This Row],[FECHA DE FACTURACIÓN]]-PROVEEDORES[[#This Row],[PLAZO Días]],0)</f>
        <v>0</v>
      </c>
      <c r="U758" s="104">
        <f>+VLOOKUP(PROVEEDORES[[#This Row],[PROVEEDOR]],Terceros!$A:$D,4,FALSE)</f>
        <v>0</v>
      </c>
      <c r="V758" s="105">
        <f>+YEAR(PROVEEDORES[[#This Row],[FECHA DE FACTURACIÓN]])</f>
        <v>2022</v>
      </c>
      <c r="W758" s="105">
        <f>+MATCH(PROVEEDORES[[#This Row],[año facturado]],Retenciones!$1:$1,0)</f>
        <v>5</v>
      </c>
      <c r="X758" s="106">
        <f>+VLOOKUP(PROVEEDORES[[#This Row],[ID RETENCION]],Retenciones!$A$1:$O$25,PROVEEDORES[[#This Row],[indicador de columna]],FALSE)</f>
        <v>0</v>
      </c>
      <c r="Y758" s="107">
        <f>+VLOOKUP(PROVEEDORES[[#This Row],[ID RETENCION]],Retenciones!$A$1:$O$25,2,FALSE)</f>
        <v>0</v>
      </c>
      <c r="Z758" s="116" t="b">
        <f>OR(COUNTIF(PROVEEDORES[[#This Row],[PROVEEDOR]],"*"&amp;'Palabra no opera'!$A$2&amp;"*"))</f>
        <v>0</v>
      </c>
    </row>
    <row r="759" spans="1:26" ht="22.35" customHeight="1" x14ac:dyDescent="0.3">
      <c r="A759" s="67" t="str">
        <f>+IF(PROVEEDORES[[#This Row],[FECHA DE PAGO]]=PROVEEDORES[[#This Row],[FECHA DE FACTURACIÓN]],"DE CONTADO","CRÉDITO")</f>
        <v>CRÉDITO</v>
      </c>
      <c r="B759" s="38" t="b">
        <f>+IF((PROVEEDORES[[#This Row],[FECHA DE PAGO]]-PROVEEDORES[[#This Row],[FECHA DE FACTURACIÓN]])&gt;PROVEEDORES[[#This Row],[PLAZO Días]],"PAGO VENCIDO")</f>
        <v>0</v>
      </c>
      <c r="C759" s="20">
        <f>+VLOOKUP(PROVEEDORES[[#This Row],[PROVEEDOR]],TERCEROS_INFO[#All],2,FALSE)</f>
        <v>10</v>
      </c>
      <c r="D759" s="25">
        <f>+SUMIFS(PROVEEDORES[Total],PROVEEDORES[PROVEEDOR],PROVEEDORES[[#This Row],[PROVEEDOR]],PROVEEDORES[FECHA DE PAGO],"")</f>
        <v>0</v>
      </c>
      <c r="E759" s="25"/>
      <c r="F759" s="56" t="str">
        <f>+VLOOKUP(PROVEEDORES[[#This Row],[PROVEEDOR]],
                       Terceros!$A:$F,
                       5,
                       FALSE)</f>
        <v>logistic@grupozambrano.com;info@servipilas.com;girlesa.ruiz@servipilas.com;joriescobar64@gmail.com</v>
      </c>
      <c r="G759" s="68">
        <v>44809</v>
      </c>
      <c r="H759" s="26" t="s">
        <v>1072</v>
      </c>
      <c r="I759" s="68">
        <v>44805</v>
      </c>
      <c r="J759" s="35" t="s">
        <v>1074</v>
      </c>
      <c r="K759" s="21">
        <v>10543092</v>
      </c>
      <c r="L759" s="21"/>
      <c r="M759" s="22">
        <v>0</v>
      </c>
      <c r="N759" s="23"/>
      <c r="O759" s="22">
        <f>+PROVEEDORES[[#This Row],[Descuento sobre subtotal %]]*(PROVEEDORES[[#This Row],[SUBTOTAL]]-PROVEEDORES[[#This Row],[descuento sobre subtotal]])</f>
        <v>0</v>
      </c>
      <c r="P759" s="74">
        <v>0</v>
      </c>
      <c r="Q759" s="22">
        <f>+PROVEEDORES[[#This Row],[Rete Fuente %]]*(PROVEEDORES[[#This Row],[SUBTOTAL]]-PROVEEDORES[[#This Row],[descuento sobre subtotal]])</f>
        <v>0</v>
      </c>
      <c r="R759" s="21">
        <f>+PROVEEDORES[[#This Row],[SUBTOTAL]]+PROVEEDORES[[#This Row],[IVA 19%]]-PROVEEDORES[[#This Row],[descuento sobre subtotal]]-PROVEEDORES[[#This Row],[Descuento sobre subtotal $2]]-PROVEEDORES[[#This Row],[Rete Fuente $]]</f>
        <v>10543092</v>
      </c>
      <c r="S7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63">
        <f ca="1">IF(PROVEEDORES[[#This Row],[FECHA DE PAGO]]=0,TODAY()-PROVEEDORES[[#This Row],[FECHA DE FACTURACIÓN]]-PROVEEDORES[[#This Row],[PLAZO Días]],0)</f>
        <v>0</v>
      </c>
      <c r="U759" s="104" t="str">
        <f>+VLOOKUP(PROVEEDORES[[#This Row],[PROVEEDOR]],Terceros!$A:$D,4,FALSE)</f>
        <v>2,5% con base</v>
      </c>
      <c r="V759" s="105">
        <f>+YEAR(PROVEEDORES[[#This Row],[FECHA DE FACTURACIÓN]])</f>
        <v>2022</v>
      </c>
      <c r="W759" s="105">
        <f>+MATCH(PROVEEDORES[[#This Row],[año facturado]],Retenciones!$1:$1,0)</f>
        <v>5</v>
      </c>
      <c r="X759" s="106">
        <f>+VLOOKUP(PROVEEDORES[[#This Row],[ID RETENCION]],Retenciones!$A$1:$O$25,PROVEEDORES[[#This Row],[indicador de columna]],FALSE)</f>
        <v>1026000</v>
      </c>
      <c r="Y759" s="107">
        <f>+VLOOKUP(PROVEEDORES[[#This Row],[ID RETENCION]],Retenciones!$A$1:$O$25,2,FALSE)</f>
        <v>2.5000000000000001E-2</v>
      </c>
      <c r="Z759" s="116" t="b">
        <f>OR(COUNTIF(PROVEEDORES[[#This Row],[PROVEEDOR]],"*"&amp;'Palabra no opera'!$A$2&amp;"*"))</f>
        <v>0</v>
      </c>
    </row>
    <row r="760" spans="1:26" ht="22.35" customHeight="1" x14ac:dyDescent="0.3">
      <c r="A760" s="175" t="str">
        <f>+IF(PROVEEDORES[[#This Row],[FECHA DE PAGO]]=PROVEEDORES[[#This Row],[FECHA DE FACTURACIÓN]],"DE CONTADO","CRÉDITO")</f>
        <v>CRÉDITO</v>
      </c>
      <c r="B760" s="38" t="str">
        <f>+IF((PROVEEDORES[[#This Row],[FECHA DE PAGO]]-PROVEEDORES[[#This Row],[FECHA DE FACTURACIÓN]])&gt;PROVEEDORES[[#This Row],[PLAZO Días]],"PAGO VENCIDO")</f>
        <v>PAGO VENCIDO</v>
      </c>
      <c r="C760" s="20">
        <f>+VLOOKUP(PROVEEDORES[[#This Row],[PROVEEDOR]],TERCEROS_INFO[#All],2,FALSE)</f>
        <v>30</v>
      </c>
      <c r="D760" s="25">
        <f>+SUMIFS(PROVEEDORES[Total],PROVEEDORES[PROVEEDOR],PROVEEDORES[[#This Row],[PROVEEDOR]],PROVEEDORES[FECHA DE PAGO],"")</f>
        <v>0</v>
      </c>
      <c r="E760" s="25"/>
      <c r="F760" s="56">
        <f>+VLOOKUP(PROVEEDORES[[#This Row],[PROVEEDOR]],
                       Terceros!$A:$F,
                       5,
                       FALSE)</f>
        <v>0</v>
      </c>
      <c r="G760" s="68">
        <v>44809</v>
      </c>
      <c r="H760" s="26" t="s">
        <v>642</v>
      </c>
      <c r="I760" s="68">
        <v>44774</v>
      </c>
      <c r="J760" s="35" t="s">
        <v>919</v>
      </c>
      <c r="K760" s="21">
        <v>100196</v>
      </c>
      <c r="L760" s="21"/>
      <c r="M760" s="22">
        <f>(PROVEEDORES[[#This Row],[SUBTOTAL]]-PROVEEDORES[[#This Row],[descuento sobre subtotal]])*VLOOKUP(PROVEEDORES[[#This Row],[PROVEEDOR]],TERCEROS_INFO[#All],3,FALSE)</f>
        <v>0</v>
      </c>
      <c r="N760" s="23"/>
      <c r="O760" s="22">
        <f>+PROVEEDORES[[#This Row],[Descuento sobre subtotal %]]*(PROVEEDORES[[#This Row],[SUBTOTAL]]-PROVEEDORES[[#This Row],[descuento sobre subtotal]])</f>
        <v>0</v>
      </c>
      <c r="P760" s="74">
        <f>+IF(PROVEEDORES[[#This Row],[SUBTOTAL]]&lt;PROVEEDORES[[#This Row],[base retencion]],0,PROVEEDORES[[#This Row],[retención aplicada]])</f>
        <v>0</v>
      </c>
      <c r="Q760" s="22">
        <f>+PROVEEDORES[[#This Row],[Rete Fuente %]]*(PROVEEDORES[[#This Row],[SUBTOTAL]]-PROVEEDORES[[#This Row],[descuento sobre subtotal]])</f>
        <v>0</v>
      </c>
      <c r="R760" s="21">
        <f>+PROVEEDORES[[#This Row],[SUBTOTAL]]+PROVEEDORES[[#This Row],[IVA 19%]]-PROVEEDORES[[#This Row],[descuento sobre subtotal]]-PROVEEDORES[[#This Row],[Descuento sobre subtotal $2]]-PROVEEDORES[[#This Row],[Rete Fuente $]]</f>
        <v>100196</v>
      </c>
      <c r="S760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63">
        <f ca="1">IF(PROVEEDORES[[#This Row],[FECHA DE PAGO]]=0,TODAY()-PROVEEDORES[[#This Row],[FECHA DE FACTURACIÓN]]-PROVEEDORES[[#This Row],[PLAZO Días]],0)</f>
        <v>0</v>
      </c>
      <c r="U760" s="104">
        <f>+VLOOKUP(PROVEEDORES[[#This Row],[PROVEEDOR]],Terceros!$A:$D,4,FALSE)</f>
        <v>0</v>
      </c>
      <c r="V760" s="105">
        <f>+YEAR(PROVEEDORES[[#This Row],[FECHA DE FACTURACIÓN]])</f>
        <v>2022</v>
      </c>
      <c r="W760" s="105">
        <f>+MATCH(PROVEEDORES[[#This Row],[año facturado]],Retenciones!$1:$1,0)</f>
        <v>5</v>
      </c>
      <c r="X760" s="106">
        <f>+VLOOKUP(PROVEEDORES[[#This Row],[ID RETENCION]],Retenciones!$A$1:$O$25,PROVEEDORES[[#This Row],[indicador de columna]],FALSE)</f>
        <v>0</v>
      </c>
      <c r="Y760" s="107">
        <f>+VLOOKUP(PROVEEDORES[[#This Row],[ID RETENCION]],Retenciones!$A$1:$O$25,2,FALSE)</f>
        <v>0</v>
      </c>
      <c r="Z760" s="116" t="b">
        <f>OR(COUNTIF(PROVEEDORES[[#This Row],[PROVEEDOR]],"*"&amp;'Palabra no opera'!$A$2&amp;"*"))</f>
        <v>1</v>
      </c>
    </row>
    <row r="761" spans="1:26" ht="22.35" customHeight="1" x14ac:dyDescent="0.3">
      <c r="A761" s="67" t="str">
        <f>+IF(PROVEEDORES[[#This Row],[FECHA DE PAGO]]=PROVEEDORES[[#This Row],[FECHA DE FACTURACIÓN]],"DE CONTADO","CRÉDITO")</f>
        <v>CRÉDITO</v>
      </c>
      <c r="B761" s="38" t="str">
        <f>+IF((PROVEEDORES[[#This Row],[FECHA DE PAGO]]-PROVEEDORES[[#This Row],[FECHA DE FACTURACIÓN]])&gt;PROVEEDORES[[#This Row],[PLAZO Días]],"PAGO VENCIDO")</f>
        <v>PAGO VENCIDO</v>
      </c>
      <c r="C761" s="20">
        <f>+VLOOKUP(PROVEEDORES[[#This Row],[PROVEEDOR]],TERCEROS_INFO[#All],2,FALSE)</f>
        <v>45</v>
      </c>
      <c r="D761" s="25">
        <f>+SUMIFS(PROVEEDORES[Total],PROVEEDORES[PROVEEDOR],PROVEEDORES[[#This Row],[PROVEEDOR]],PROVEEDORES[FECHA DE PAGO],"")</f>
        <v>15770594</v>
      </c>
      <c r="E761" s="25"/>
      <c r="F76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61" s="68">
        <v>44810</v>
      </c>
      <c r="H761" s="26" t="s">
        <v>19</v>
      </c>
      <c r="I761" s="68">
        <v>44757</v>
      </c>
      <c r="J761" s="35" t="s">
        <v>849</v>
      </c>
      <c r="K761" s="21">
        <v>10739200</v>
      </c>
      <c r="L761" s="21"/>
      <c r="M761" s="22">
        <f>(PROVEEDORES[[#This Row],[SUBTOTAL]]-PROVEEDORES[[#This Row],[descuento sobre subtotal]])*VLOOKUP(PROVEEDORES[[#This Row],[PROVEEDOR]],TERCEROS_INFO[#All],3,FALSE)</f>
        <v>2040448</v>
      </c>
      <c r="N761" s="23"/>
      <c r="O761" s="22">
        <f>+PROVEEDORES[[#This Row],[Descuento sobre subtotal %]]*(PROVEEDORES[[#This Row],[SUBTOTAL]]-PROVEEDORES[[#This Row],[descuento sobre subtotal]])</f>
        <v>0</v>
      </c>
      <c r="P761" s="74">
        <f>+IF(PROVEEDORES[[#This Row],[SUBTOTAL]]&lt;PROVEEDORES[[#This Row],[base retencion]],0,PROVEEDORES[[#This Row],[retención aplicada]])</f>
        <v>0</v>
      </c>
      <c r="Q761" s="22">
        <f>+PROVEEDORES[[#This Row],[Rete Fuente %]]*(PROVEEDORES[[#This Row],[SUBTOTAL]]-PROVEEDORES[[#This Row],[descuento sobre subtotal]])</f>
        <v>0</v>
      </c>
      <c r="R761" s="21">
        <f>+PROVEEDORES[[#This Row],[SUBTOTAL]]+PROVEEDORES[[#This Row],[IVA 19%]]-PROVEEDORES[[#This Row],[descuento sobre subtotal]]-PROVEEDORES[[#This Row],[Descuento sobre subtotal $2]]-PROVEEDORES[[#This Row],[Rete Fuente $]]</f>
        <v>12779648</v>
      </c>
      <c r="S7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63">
        <f ca="1">IF(PROVEEDORES[[#This Row],[FECHA DE PAGO]]=0,TODAY()-PROVEEDORES[[#This Row],[FECHA DE FACTURACIÓN]]-PROVEEDORES[[#This Row],[PLAZO Días]],0)</f>
        <v>0</v>
      </c>
      <c r="U761" s="104">
        <f>+VLOOKUP(PROVEEDORES[[#This Row],[PROVEEDOR]],Terceros!$A:$D,4,FALSE)</f>
        <v>0</v>
      </c>
      <c r="V761" s="105">
        <f>+YEAR(PROVEEDORES[[#This Row],[FECHA DE FACTURACIÓN]])</f>
        <v>2022</v>
      </c>
      <c r="W761" s="105">
        <f>+MATCH(PROVEEDORES[[#This Row],[año facturado]],Retenciones!$1:$1,0)</f>
        <v>5</v>
      </c>
      <c r="X761" s="106">
        <f>+VLOOKUP(PROVEEDORES[[#This Row],[ID RETENCION]],Retenciones!$A$1:$O$25,PROVEEDORES[[#This Row],[indicador de columna]],FALSE)</f>
        <v>0</v>
      </c>
      <c r="Y761" s="107">
        <f>+VLOOKUP(PROVEEDORES[[#This Row],[ID RETENCION]],Retenciones!$A$1:$O$25,2,FALSE)</f>
        <v>0</v>
      </c>
      <c r="Z761" s="116" t="b">
        <f>OR(COUNTIF(PROVEEDORES[[#This Row],[PROVEEDOR]],"*"&amp;'Palabra no opera'!$A$2&amp;"*"))</f>
        <v>0</v>
      </c>
    </row>
    <row r="762" spans="1:26" ht="22.35" customHeight="1" x14ac:dyDescent="0.3">
      <c r="A762" s="171" t="str">
        <f>+IF(PROVEEDORES[[#This Row],[FECHA DE PAGO]]=PROVEEDORES[[#This Row],[FECHA DE FACTURACIÓN]],"DE CONTADO","CRÉDITO")</f>
        <v>CRÉDITO</v>
      </c>
      <c r="B762" s="38" t="b">
        <f>+IF((PROVEEDORES[[#This Row],[FECHA DE PAGO]]-PROVEEDORES[[#This Row],[FECHA DE FACTURACIÓN]])&gt;PROVEEDORES[[#This Row],[PLAZO Días]],"PAGO VENCIDO")</f>
        <v>0</v>
      </c>
      <c r="C762" s="20">
        <f>+VLOOKUP(PROVEEDORES[[#This Row],[PROVEEDOR]],TERCEROS_INFO[#All],2,FALSE)</f>
        <v>60</v>
      </c>
      <c r="D762" s="25">
        <f>+SUMIFS(PROVEEDORES[Total],PROVEEDORES[PROVEEDOR],PROVEEDORES[[#This Row],[PROVEEDOR]],PROVEEDORES[FECHA DE PAGO],"")</f>
        <v>395600</v>
      </c>
      <c r="E762" s="25"/>
      <c r="F76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2" s="68">
        <v>44811</v>
      </c>
      <c r="H762" s="26" t="s">
        <v>287</v>
      </c>
      <c r="I762" s="68">
        <v>44757</v>
      </c>
      <c r="J762" s="35" t="s">
        <v>1055</v>
      </c>
      <c r="K762" s="21">
        <v>321156</v>
      </c>
      <c r="L762" s="21"/>
      <c r="M762" s="22">
        <f>(PROVEEDORES[[#This Row],[SUBTOTAL]]-PROVEEDORES[[#This Row],[descuento sobre subtotal]])*VLOOKUP(PROVEEDORES[[#This Row],[PROVEEDOR]],TERCEROS_INFO[#All],3,FALSE)</f>
        <v>0</v>
      </c>
      <c r="N762" s="23"/>
      <c r="O762" s="22">
        <f>+PROVEEDORES[[#This Row],[Descuento sobre subtotal %]]*(PROVEEDORES[[#This Row],[SUBTOTAL]]-PROVEEDORES[[#This Row],[descuento sobre subtotal]])</f>
        <v>0</v>
      </c>
      <c r="P762" s="74">
        <f>+IF(PROVEEDORES[[#This Row],[SUBTOTAL]]&lt;PROVEEDORES[[#This Row],[base retencion]],0,PROVEEDORES[[#This Row],[retención aplicada]])</f>
        <v>0</v>
      </c>
      <c r="Q762" s="22">
        <f>+PROVEEDORES[[#This Row],[Rete Fuente %]]*(PROVEEDORES[[#This Row],[SUBTOTAL]]-PROVEEDORES[[#This Row],[descuento sobre subtotal]])</f>
        <v>0</v>
      </c>
      <c r="R762" s="21">
        <f>+PROVEEDORES[[#This Row],[SUBTOTAL]]+PROVEEDORES[[#This Row],[IVA 19%]]-PROVEEDORES[[#This Row],[descuento sobre subtotal]]-PROVEEDORES[[#This Row],[Descuento sobre subtotal $2]]-PROVEEDORES[[#This Row],[Rete Fuente $]]</f>
        <v>321156</v>
      </c>
      <c r="S762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63">
        <f ca="1">IF(PROVEEDORES[[#This Row],[FECHA DE PAGO]]=0,TODAY()-PROVEEDORES[[#This Row],[FECHA DE FACTURACIÓN]]-PROVEEDORES[[#This Row],[PLAZO Días]],0)</f>
        <v>0</v>
      </c>
      <c r="U762" s="104">
        <f>+VLOOKUP(PROVEEDORES[[#This Row],[PROVEEDOR]],Terceros!$A:$D,4,FALSE)</f>
        <v>0</v>
      </c>
      <c r="V762" s="105">
        <f>+YEAR(PROVEEDORES[[#This Row],[FECHA DE FACTURACIÓN]])</f>
        <v>2022</v>
      </c>
      <c r="W762" s="105">
        <f>+MATCH(PROVEEDORES[[#This Row],[año facturado]],Retenciones!$1:$1,0)</f>
        <v>5</v>
      </c>
      <c r="X762" s="106">
        <f>+VLOOKUP(PROVEEDORES[[#This Row],[ID RETENCION]],Retenciones!$A$1:$O$25,PROVEEDORES[[#This Row],[indicador de columna]],FALSE)</f>
        <v>0</v>
      </c>
      <c r="Y762" s="107">
        <f>+VLOOKUP(PROVEEDORES[[#This Row],[ID RETENCION]],Retenciones!$A$1:$O$25,2,FALSE)</f>
        <v>0</v>
      </c>
      <c r="Z762" s="116" t="b">
        <f>OR(COUNTIF(PROVEEDORES[[#This Row],[PROVEEDOR]],"*"&amp;'Palabra no opera'!$A$2&amp;"*"))</f>
        <v>0</v>
      </c>
    </row>
    <row r="763" spans="1:26" ht="22.35" customHeight="1" x14ac:dyDescent="0.3">
      <c r="A763" s="163" t="str">
        <f>+IF(PROVEEDORES[[#This Row],[FECHA DE PAGO]]=PROVEEDORES[[#This Row],[FECHA DE FACTURACIÓN]],"DE CONTADO","CRÉDITO")</f>
        <v>CRÉDITO</v>
      </c>
      <c r="B763" s="38" t="b">
        <f>+IF((PROVEEDORES[[#This Row],[FECHA DE PAGO]]-PROVEEDORES[[#This Row],[FECHA DE FACTURACIÓN]])&gt;PROVEEDORES[[#This Row],[PLAZO Días]],"PAGO VENCIDO")</f>
        <v>0</v>
      </c>
      <c r="C763" s="20">
        <f>+VLOOKUP(PROVEEDORES[[#This Row],[PROVEEDOR]],TERCEROS_INFO[#All],2,FALSE)</f>
        <v>60</v>
      </c>
      <c r="D763" s="25">
        <f>+SUMIFS(PROVEEDORES[Total],PROVEEDORES[PROVEEDOR],PROVEEDORES[[#This Row],[PROVEEDOR]],PROVEEDORES[FECHA DE PAGO],"")</f>
        <v>395600</v>
      </c>
      <c r="E763" s="25"/>
      <c r="F76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3" s="68">
        <v>44811</v>
      </c>
      <c r="H763" s="26" t="s">
        <v>287</v>
      </c>
      <c r="I763" s="68">
        <v>44757</v>
      </c>
      <c r="J763" s="35" t="s">
        <v>1049</v>
      </c>
      <c r="K763" s="21">
        <v>428208</v>
      </c>
      <c r="L763" s="21"/>
      <c r="M763" s="22">
        <f>(PROVEEDORES[[#This Row],[SUBTOTAL]]-PROVEEDORES[[#This Row],[descuento sobre subtotal]])*VLOOKUP(PROVEEDORES[[#This Row],[PROVEEDOR]],TERCEROS_INFO[#All],3,FALSE)</f>
        <v>0</v>
      </c>
      <c r="N763" s="23"/>
      <c r="O763" s="22">
        <f>+PROVEEDORES[[#This Row],[Descuento sobre subtotal %]]*(PROVEEDORES[[#This Row],[SUBTOTAL]]-PROVEEDORES[[#This Row],[descuento sobre subtotal]])</f>
        <v>0</v>
      </c>
      <c r="P763" s="74">
        <f>+IF(PROVEEDORES[[#This Row],[SUBTOTAL]]&lt;PROVEEDORES[[#This Row],[base retencion]],0,PROVEEDORES[[#This Row],[retención aplicada]])</f>
        <v>0</v>
      </c>
      <c r="Q763" s="22">
        <f>+PROVEEDORES[[#This Row],[Rete Fuente %]]*(PROVEEDORES[[#This Row],[SUBTOTAL]]-PROVEEDORES[[#This Row],[descuento sobre subtotal]])</f>
        <v>0</v>
      </c>
      <c r="R763" s="21">
        <f>+PROVEEDORES[[#This Row],[SUBTOTAL]]+PROVEEDORES[[#This Row],[IVA 19%]]-PROVEEDORES[[#This Row],[descuento sobre subtotal]]-PROVEEDORES[[#This Row],[Descuento sobre subtotal $2]]-PROVEEDORES[[#This Row],[Rete Fuente $]]</f>
        <v>428208</v>
      </c>
      <c r="S763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63">
        <f ca="1">IF(PROVEEDORES[[#This Row],[FECHA DE PAGO]]=0,TODAY()-PROVEEDORES[[#This Row],[FECHA DE FACTURACIÓN]]-PROVEEDORES[[#This Row],[PLAZO Días]],0)</f>
        <v>0</v>
      </c>
      <c r="U763" s="104">
        <f>+VLOOKUP(PROVEEDORES[[#This Row],[PROVEEDOR]],Terceros!$A:$D,4,FALSE)</f>
        <v>0</v>
      </c>
      <c r="V763" s="105">
        <f>+YEAR(PROVEEDORES[[#This Row],[FECHA DE FACTURACIÓN]])</f>
        <v>2022</v>
      </c>
      <c r="W763" s="105">
        <f>+MATCH(PROVEEDORES[[#This Row],[año facturado]],Retenciones!$1:$1,0)</f>
        <v>5</v>
      </c>
      <c r="X763" s="106">
        <f>+VLOOKUP(PROVEEDORES[[#This Row],[ID RETENCION]],Retenciones!$A$1:$O$25,PROVEEDORES[[#This Row],[indicador de columna]],FALSE)</f>
        <v>0</v>
      </c>
      <c r="Y763" s="107">
        <f>+VLOOKUP(PROVEEDORES[[#This Row],[ID RETENCION]],Retenciones!$A$1:$O$25,2,FALSE)</f>
        <v>0</v>
      </c>
      <c r="Z763" s="116" t="b">
        <f>OR(COUNTIF(PROVEEDORES[[#This Row],[PROVEEDOR]],"*"&amp;'Palabra no opera'!$A$2&amp;"*"))</f>
        <v>0</v>
      </c>
    </row>
    <row r="764" spans="1:26" ht="22.35" customHeight="1" x14ac:dyDescent="0.3">
      <c r="A764" s="182" t="str">
        <f>+IF(PROVEEDORES[[#This Row],[FECHA DE PAGO]]=PROVEEDORES[[#This Row],[FECHA DE FACTURACIÓN]],"DE CONTADO","CRÉDITO")</f>
        <v>CRÉDITO</v>
      </c>
      <c r="B764" s="38" t="b">
        <f>+IF((PROVEEDORES[[#This Row],[FECHA DE PAGO]]-PROVEEDORES[[#This Row],[FECHA DE FACTURACIÓN]])&gt;PROVEEDORES[[#This Row],[PLAZO Días]],"PAGO VENCIDO")</f>
        <v>0</v>
      </c>
      <c r="C764" s="20">
        <f>+VLOOKUP(PROVEEDORES[[#This Row],[PROVEEDOR]],TERCEROS_INFO[#All],2,FALSE)</f>
        <v>60</v>
      </c>
      <c r="D764" s="25">
        <f>+SUMIFS(PROVEEDORES[Total],PROVEEDORES[PROVEEDOR],PROVEEDORES[[#This Row],[PROVEEDOR]],PROVEEDORES[FECHA DE PAGO],"")</f>
        <v>395600</v>
      </c>
      <c r="E764" s="25"/>
      <c r="F76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4" s="68">
        <v>44811</v>
      </c>
      <c r="H764" s="26" t="s">
        <v>287</v>
      </c>
      <c r="I764" s="68">
        <v>44785</v>
      </c>
      <c r="J764" s="35" t="s">
        <v>1058</v>
      </c>
      <c r="K764" s="21">
        <v>338998</v>
      </c>
      <c r="L764" s="21"/>
      <c r="M764" s="22">
        <f>(PROVEEDORES[[#This Row],[SUBTOTAL]]-PROVEEDORES[[#This Row],[descuento sobre subtotal]])*VLOOKUP(PROVEEDORES[[#This Row],[PROVEEDOR]],TERCEROS_INFO[#All],3,FALSE)</f>
        <v>0</v>
      </c>
      <c r="N764" s="23"/>
      <c r="O764" s="22">
        <f>+PROVEEDORES[[#This Row],[Descuento sobre subtotal %]]*(PROVEEDORES[[#This Row],[SUBTOTAL]]-PROVEEDORES[[#This Row],[descuento sobre subtotal]])</f>
        <v>0</v>
      </c>
      <c r="P764" s="74">
        <f>+IF(PROVEEDORES[[#This Row],[SUBTOTAL]]&lt;PROVEEDORES[[#This Row],[base retencion]],0,PROVEEDORES[[#This Row],[retención aplicada]])</f>
        <v>0</v>
      </c>
      <c r="Q764" s="22">
        <f>+PROVEEDORES[[#This Row],[Rete Fuente %]]*(PROVEEDORES[[#This Row],[SUBTOTAL]]-PROVEEDORES[[#This Row],[descuento sobre subtotal]])</f>
        <v>0</v>
      </c>
      <c r="R764" s="21">
        <f>+PROVEEDORES[[#This Row],[SUBTOTAL]]+PROVEEDORES[[#This Row],[IVA 19%]]-PROVEEDORES[[#This Row],[descuento sobre subtotal]]-PROVEEDORES[[#This Row],[Descuento sobre subtotal $2]]-PROVEEDORES[[#This Row],[Rete Fuente $]]</f>
        <v>338998</v>
      </c>
      <c r="S76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63">
        <f ca="1">IF(PROVEEDORES[[#This Row],[FECHA DE PAGO]]=0,TODAY()-PROVEEDORES[[#This Row],[FECHA DE FACTURACIÓN]]-PROVEEDORES[[#This Row],[PLAZO Días]],0)</f>
        <v>0</v>
      </c>
      <c r="U764" s="104">
        <f>+VLOOKUP(PROVEEDORES[[#This Row],[PROVEEDOR]],Terceros!$A:$D,4,FALSE)</f>
        <v>0</v>
      </c>
      <c r="V764" s="105">
        <f>+YEAR(PROVEEDORES[[#This Row],[FECHA DE FACTURACIÓN]])</f>
        <v>2022</v>
      </c>
      <c r="W764" s="105">
        <f>+MATCH(PROVEEDORES[[#This Row],[año facturado]],Retenciones!$1:$1,0)</f>
        <v>5</v>
      </c>
      <c r="X764" s="106">
        <f>+VLOOKUP(PROVEEDORES[[#This Row],[ID RETENCION]],Retenciones!$A$1:$O$25,PROVEEDORES[[#This Row],[indicador de columna]],FALSE)</f>
        <v>0</v>
      </c>
      <c r="Y764" s="107">
        <f>+VLOOKUP(PROVEEDORES[[#This Row],[ID RETENCION]],Retenciones!$A$1:$O$25,2,FALSE)</f>
        <v>0</v>
      </c>
      <c r="Z764" s="116" t="b">
        <f>OR(COUNTIF(PROVEEDORES[[#This Row],[PROVEEDOR]],"*"&amp;'Palabra no opera'!$A$2&amp;"*"))</f>
        <v>0</v>
      </c>
    </row>
    <row r="765" spans="1:26" ht="22.35" customHeight="1" x14ac:dyDescent="0.3">
      <c r="A765" s="182" t="str">
        <f>+IF(PROVEEDORES[[#This Row],[FECHA DE PAGO]]=PROVEEDORES[[#This Row],[FECHA DE FACTURACIÓN]],"DE CONTADO","CRÉDITO")</f>
        <v>CRÉDITO</v>
      </c>
      <c r="B765" s="38" t="b">
        <f>+IF((PROVEEDORES[[#This Row],[FECHA DE PAGO]]-PROVEEDORES[[#This Row],[FECHA DE FACTURACIÓN]])&gt;PROVEEDORES[[#This Row],[PLAZO Días]],"PAGO VENCIDO")</f>
        <v>0</v>
      </c>
      <c r="C765" s="20">
        <f>+VLOOKUP(PROVEEDORES[[#This Row],[PROVEEDOR]],TERCEROS_INFO[#All],2,FALSE)</f>
        <v>60</v>
      </c>
      <c r="D765" s="25">
        <f>+SUMIFS(PROVEEDORES[Total],PROVEEDORES[PROVEEDOR],PROVEEDORES[[#This Row],[PROVEEDOR]],PROVEEDORES[FECHA DE PAGO],"")</f>
        <v>395600</v>
      </c>
      <c r="E765" s="25"/>
      <c r="F76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5" s="68">
        <v>44811</v>
      </c>
      <c r="H765" s="26" t="s">
        <v>287</v>
      </c>
      <c r="I765" s="68">
        <v>44785</v>
      </c>
      <c r="J765" s="35" t="s">
        <v>1062</v>
      </c>
      <c r="K765" s="21">
        <v>356840</v>
      </c>
      <c r="L765" s="21"/>
      <c r="M765" s="22">
        <f>(PROVEEDORES[[#This Row],[SUBTOTAL]]-PROVEEDORES[[#This Row],[descuento sobre subtotal]])*VLOOKUP(PROVEEDORES[[#This Row],[PROVEEDOR]],TERCEROS_INFO[#All],3,FALSE)</f>
        <v>0</v>
      </c>
      <c r="N765" s="23"/>
      <c r="O765" s="22">
        <f>+PROVEEDORES[[#This Row],[Descuento sobre subtotal %]]*(PROVEEDORES[[#This Row],[SUBTOTAL]]-PROVEEDORES[[#This Row],[descuento sobre subtotal]])</f>
        <v>0</v>
      </c>
      <c r="P765" s="74">
        <f>+IF(PROVEEDORES[[#This Row],[SUBTOTAL]]&lt;PROVEEDORES[[#This Row],[base retencion]],0,PROVEEDORES[[#This Row],[retención aplicada]])</f>
        <v>0</v>
      </c>
      <c r="Q765" s="22">
        <f>+PROVEEDORES[[#This Row],[Rete Fuente %]]*(PROVEEDORES[[#This Row],[SUBTOTAL]]-PROVEEDORES[[#This Row],[descuento sobre subtotal]])</f>
        <v>0</v>
      </c>
      <c r="R765" s="21">
        <f>+PROVEEDORES[[#This Row],[SUBTOTAL]]+PROVEEDORES[[#This Row],[IVA 19%]]-PROVEEDORES[[#This Row],[descuento sobre subtotal]]-PROVEEDORES[[#This Row],[Descuento sobre subtotal $2]]-PROVEEDORES[[#This Row],[Rete Fuente $]]</f>
        <v>356840</v>
      </c>
      <c r="S76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63">
        <f ca="1">IF(PROVEEDORES[[#This Row],[FECHA DE PAGO]]=0,TODAY()-PROVEEDORES[[#This Row],[FECHA DE FACTURACIÓN]]-PROVEEDORES[[#This Row],[PLAZO Días]],0)</f>
        <v>0</v>
      </c>
      <c r="U765" s="104">
        <f>+VLOOKUP(PROVEEDORES[[#This Row],[PROVEEDOR]],Terceros!$A:$D,4,FALSE)</f>
        <v>0</v>
      </c>
      <c r="V765" s="105">
        <f>+YEAR(PROVEEDORES[[#This Row],[FECHA DE FACTURACIÓN]])</f>
        <v>2022</v>
      </c>
      <c r="W765" s="105">
        <f>+MATCH(PROVEEDORES[[#This Row],[año facturado]],Retenciones!$1:$1,0)</f>
        <v>5</v>
      </c>
      <c r="X765" s="106">
        <f>+VLOOKUP(PROVEEDORES[[#This Row],[ID RETENCION]],Retenciones!$A$1:$O$25,PROVEEDORES[[#This Row],[indicador de columna]],FALSE)</f>
        <v>0</v>
      </c>
      <c r="Y765" s="107">
        <f>+VLOOKUP(PROVEEDORES[[#This Row],[ID RETENCION]],Retenciones!$A$1:$O$25,2,FALSE)</f>
        <v>0</v>
      </c>
      <c r="Z765" s="116" t="b">
        <f>OR(COUNTIF(PROVEEDORES[[#This Row],[PROVEEDOR]],"*"&amp;'Palabra no opera'!$A$2&amp;"*"))</f>
        <v>0</v>
      </c>
    </row>
    <row r="766" spans="1:26" ht="22.35" customHeight="1" x14ac:dyDescent="0.3">
      <c r="A766" s="182" t="str">
        <f>+IF(PROVEEDORES[[#This Row],[FECHA DE PAGO]]=PROVEEDORES[[#This Row],[FECHA DE FACTURACIÓN]],"DE CONTADO","CRÉDITO")</f>
        <v>CRÉDITO</v>
      </c>
      <c r="B766" s="38" t="b">
        <f>+IF((PROVEEDORES[[#This Row],[FECHA DE PAGO]]-PROVEEDORES[[#This Row],[FECHA DE FACTURACIÓN]])&gt;PROVEEDORES[[#This Row],[PLAZO Días]],"PAGO VENCIDO")</f>
        <v>0</v>
      </c>
      <c r="C766" s="20">
        <f>+VLOOKUP(PROVEEDORES[[#This Row],[PROVEEDOR]],TERCEROS_INFO[#All],2,FALSE)</f>
        <v>60</v>
      </c>
      <c r="D766" s="25">
        <f>+SUMIFS(PROVEEDORES[Total],PROVEEDORES[PROVEEDOR],PROVEEDORES[[#This Row],[PROVEEDOR]],PROVEEDORES[FECHA DE PAGO],"")</f>
        <v>395600</v>
      </c>
      <c r="E766" s="25"/>
      <c r="F76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6" s="68">
        <v>44811</v>
      </c>
      <c r="H766" s="26" t="s">
        <v>287</v>
      </c>
      <c r="I766" s="68">
        <v>44792</v>
      </c>
      <c r="J766" s="35" t="s">
        <v>1060</v>
      </c>
      <c r="K766" s="21">
        <v>463892</v>
      </c>
      <c r="L766" s="21"/>
      <c r="M766" s="22">
        <f>(PROVEEDORES[[#This Row],[SUBTOTAL]]-PROVEEDORES[[#This Row],[descuento sobre subtotal]])*VLOOKUP(PROVEEDORES[[#This Row],[PROVEEDOR]],TERCEROS_INFO[#All],3,FALSE)</f>
        <v>0</v>
      </c>
      <c r="N766" s="23"/>
      <c r="O766" s="22">
        <f>+PROVEEDORES[[#This Row],[Descuento sobre subtotal %]]*(PROVEEDORES[[#This Row],[SUBTOTAL]]-PROVEEDORES[[#This Row],[descuento sobre subtotal]])</f>
        <v>0</v>
      </c>
      <c r="P766" s="74">
        <f>+IF(PROVEEDORES[[#This Row],[SUBTOTAL]]&lt;PROVEEDORES[[#This Row],[base retencion]],0,PROVEEDORES[[#This Row],[retención aplicada]])</f>
        <v>0</v>
      </c>
      <c r="Q766" s="22">
        <f>+PROVEEDORES[[#This Row],[Rete Fuente %]]*(PROVEEDORES[[#This Row],[SUBTOTAL]]-PROVEEDORES[[#This Row],[descuento sobre subtotal]])</f>
        <v>0</v>
      </c>
      <c r="R766" s="21">
        <f>+PROVEEDORES[[#This Row],[SUBTOTAL]]+PROVEEDORES[[#This Row],[IVA 19%]]-PROVEEDORES[[#This Row],[descuento sobre subtotal]]-PROVEEDORES[[#This Row],[Descuento sobre subtotal $2]]-PROVEEDORES[[#This Row],[Rete Fuente $]]</f>
        <v>463892</v>
      </c>
      <c r="S76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63">
        <f ca="1">IF(PROVEEDORES[[#This Row],[FECHA DE PAGO]]=0,TODAY()-PROVEEDORES[[#This Row],[FECHA DE FACTURACIÓN]]-PROVEEDORES[[#This Row],[PLAZO Días]],0)</f>
        <v>0</v>
      </c>
      <c r="U766" s="104">
        <f>+VLOOKUP(PROVEEDORES[[#This Row],[PROVEEDOR]],Terceros!$A:$D,4,FALSE)</f>
        <v>0</v>
      </c>
      <c r="V766" s="105">
        <f>+YEAR(PROVEEDORES[[#This Row],[FECHA DE FACTURACIÓN]])</f>
        <v>2022</v>
      </c>
      <c r="W766" s="105">
        <f>+MATCH(PROVEEDORES[[#This Row],[año facturado]],Retenciones!$1:$1,0)</f>
        <v>5</v>
      </c>
      <c r="X766" s="106">
        <f>+VLOOKUP(PROVEEDORES[[#This Row],[ID RETENCION]],Retenciones!$A$1:$O$25,PROVEEDORES[[#This Row],[indicador de columna]],FALSE)</f>
        <v>0</v>
      </c>
      <c r="Y766" s="107">
        <f>+VLOOKUP(PROVEEDORES[[#This Row],[ID RETENCION]],Retenciones!$A$1:$O$25,2,FALSE)</f>
        <v>0</v>
      </c>
      <c r="Z766" s="116" t="b">
        <f>OR(COUNTIF(PROVEEDORES[[#This Row],[PROVEEDOR]],"*"&amp;'Palabra no opera'!$A$2&amp;"*"))</f>
        <v>0</v>
      </c>
    </row>
    <row r="767" spans="1:26" ht="22.35" customHeight="1" x14ac:dyDescent="0.3">
      <c r="A767" s="182" t="str">
        <f>+IF(PROVEEDORES[[#This Row],[FECHA DE PAGO]]=PROVEEDORES[[#This Row],[FECHA DE FACTURACIÓN]],"DE CONTADO","CRÉDITO")</f>
        <v>CRÉDITO</v>
      </c>
      <c r="B767" s="38" t="b">
        <f>+IF((PROVEEDORES[[#This Row],[FECHA DE PAGO]]-PROVEEDORES[[#This Row],[FECHA DE FACTURACIÓN]])&gt;PROVEEDORES[[#This Row],[PLAZO Días]],"PAGO VENCIDO")</f>
        <v>0</v>
      </c>
      <c r="C767" s="20">
        <f>+VLOOKUP(PROVEEDORES[[#This Row],[PROVEEDOR]],TERCEROS_INFO[#All],2,FALSE)</f>
        <v>60</v>
      </c>
      <c r="D767" s="25">
        <f>+SUMIFS(PROVEEDORES[Total],PROVEEDORES[PROVEEDOR],PROVEEDORES[[#This Row],[PROVEEDOR]],PROVEEDORES[FECHA DE PAGO],"")</f>
        <v>395600</v>
      </c>
      <c r="E767" s="25"/>
      <c r="F76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7" s="68">
        <v>44811</v>
      </c>
      <c r="H767" s="26" t="s">
        <v>287</v>
      </c>
      <c r="I767" s="68">
        <v>44792</v>
      </c>
      <c r="J767" s="35" t="s">
        <v>1059</v>
      </c>
      <c r="K767" s="21">
        <v>946964.15</v>
      </c>
      <c r="L767" s="21"/>
      <c r="M767" s="22">
        <f>(PROVEEDORES[[#This Row],[SUBTOTAL]]-PROVEEDORES[[#This Row],[descuento sobre subtotal]])*VLOOKUP(PROVEEDORES[[#This Row],[PROVEEDOR]],TERCEROS_INFO[#All],3,FALSE)</f>
        <v>0</v>
      </c>
      <c r="N767" s="23"/>
      <c r="O767" s="22">
        <f>+PROVEEDORES[[#This Row],[Descuento sobre subtotal %]]*(PROVEEDORES[[#This Row],[SUBTOTAL]]-PROVEEDORES[[#This Row],[descuento sobre subtotal]])</f>
        <v>0</v>
      </c>
      <c r="P767" s="74">
        <f>+IF(PROVEEDORES[[#This Row],[SUBTOTAL]]&lt;PROVEEDORES[[#This Row],[base retencion]],0,PROVEEDORES[[#This Row],[retención aplicada]])</f>
        <v>0</v>
      </c>
      <c r="Q767" s="22">
        <f>+PROVEEDORES[[#This Row],[Rete Fuente %]]*(PROVEEDORES[[#This Row],[SUBTOTAL]]-PROVEEDORES[[#This Row],[descuento sobre subtotal]])</f>
        <v>0</v>
      </c>
      <c r="R767" s="21">
        <f>+PROVEEDORES[[#This Row],[SUBTOTAL]]+PROVEEDORES[[#This Row],[IVA 19%]]-PROVEEDORES[[#This Row],[descuento sobre subtotal]]-PROVEEDORES[[#This Row],[Descuento sobre subtotal $2]]-PROVEEDORES[[#This Row],[Rete Fuente $]]</f>
        <v>946964.15</v>
      </c>
      <c r="S76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63">
        <f ca="1">IF(PROVEEDORES[[#This Row],[FECHA DE PAGO]]=0,TODAY()-PROVEEDORES[[#This Row],[FECHA DE FACTURACIÓN]]-PROVEEDORES[[#This Row],[PLAZO Días]],0)</f>
        <v>0</v>
      </c>
      <c r="U767" s="104">
        <f>+VLOOKUP(PROVEEDORES[[#This Row],[PROVEEDOR]],Terceros!$A:$D,4,FALSE)</f>
        <v>0</v>
      </c>
      <c r="V767" s="105">
        <f>+YEAR(PROVEEDORES[[#This Row],[FECHA DE FACTURACIÓN]])</f>
        <v>2022</v>
      </c>
      <c r="W767" s="105">
        <f>+MATCH(PROVEEDORES[[#This Row],[año facturado]],Retenciones!$1:$1,0)</f>
        <v>5</v>
      </c>
      <c r="X767" s="106">
        <f>+VLOOKUP(PROVEEDORES[[#This Row],[ID RETENCION]],Retenciones!$A$1:$O$25,PROVEEDORES[[#This Row],[indicador de columna]],FALSE)</f>
        <v>0</v>
      </c>
      <c r="Y767" s="107">
        <f>+VLOOKUP(PROVEEDORES[[#This Row],[ID RETENCION]],Retenciones!$A$1:$O$25,2,FALSE)</f>
        <v>0</v>
      </c>
      <c r="Z767" s="116" t="b">
        <f>OR(COUNTIF(PROVEEDORES[[#This Row],[PROVEEDOR]],"*"&amp;'Palabra no opera'!$A$2&amp;"*"))</f>
        <v>0</v>
      </c>
    </row>
    <row r="768" spans="1:26" ht="22.35" customHeight="1" x14ac:dyDescent="0.3">
      <c r="A768" s="186" t="str">
        <f>+IF(PROVEEDORES[[#This Row],[FECHA DE PAGO]]=PROVEEDORES[[#This Row],[FECHA DE FACTURACIÓN]],"DE CONTADO","CRÉDITO")</f>
        <v>CRÉDITO</v>
      </c>
      <c r="B768" s="38" t="b">
        <f>+IF((PROVEEDORES[[#This Row],[FECHA DE PAGO]]-PROVEEDORES[[#This Row],[FECHA DE FACTURACIÓN]])&gt;PROVEEDORES[[#This Row],[PLAZO Días]],"PAGO VENCIDO")</f>
        <v>0</v>
      </c>
      <c r="C768" s="20">
        <f>+VLOOKUP(PROVEEDORES[[#This Row],[PROVEEDOR]],TERCEROS_INFO[#All],2,FALSE)</f>
        <v>60</v>
      </c>
      <c r="D768" s="25">
        <f>+SUMIFS(PROVEEDORES[Total],PROVEEDORES[PROVEEDOR],PROVEEDORES[[#This Row],[PROVEEDOR]],PROVEEDORES[FECHA DE PAGO],"")</f>
        <v>395600</v>
      </c>
      <c r="E768" s="25"/>
      <c r="F76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8" s="68">
        <v>44811</v>
      </c>
      <c r="H768" s="26" t="s">
        <v>287</v>
      </c>
      <c r="I768" s="68">
        <v>44803</v>
      </c>
      <c r="J768" s="35" t="s">
        <v>1099</v>
      </c>
      <c r="K768" s="21">
        <v>649894.85</v>
      </c>
      <c r="L768" s="21"/>
      <c r="M768" s="22">
        <f>(PROVEEDORES[[#This Row],[SUBTOTAL]]-PROVEEDORES[[#This Row],[descuento sobre subtotal]])*VLOOKUP(PROVEEDORES[[#This Row],[PROVEEDOR]],TERCEROS_INFO[#All],3,FALSE)</f>
        <v>0</v>
      </c>
      <c r="N768" s="23"/>
      <c r="O768" s="22">
        <f>+PROVEEDORES[[#This Row],[Descuento sobre subtotal %]]*(PROVEEDORES[[#This Row],[SUBTOTAL]]-PROVEEDORES[[#This Row],[descuento sobre subtotal]])</f>
        <v>0</v>
      </c>
      <c r="P768" s="74">
        <f>+IF(PROVEEDORES[[#This Row],[SUBTOTAL]]&lt;PROVEEDORES[[#This Row],[base retencion]],0,PROVEEDORES[[#This Row],[retención aplicada]])</f>
        <v>0</v>
      </c>
      <c r="Q768" s="22">
        <f>+PROVEEDORES[[#This Row],[Rete Fuente %]]*(PROVEEDORES[[#This Row],[SUBTOTAL]]-PROVEEDORES[[#This Row],[descuento sobre subtotal]])</f>
        <v>0</v>
      </c>
      <c r="R768" s="21">
        <f>+PROVEEDORES[[#This Row],[SUBTOTAL]]+PROVEEDORES[[#This Row],[IVA 19%]]-PROVEEDORES[[#This Row],[descuento sobre subtotal]]-PROVEEDORES[[#This Row],[Descuento sobre subtotal $2]]-PROVEEDORES[[#This Row],[Rete Fuente $]]</f>
        <v>649894.85</v>
      </c>
      <c r="S768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63">
        <f ca="1">IF(PROVEEDORES[[#This Row],[FECHA DE PAGO]]=0,TODAY()-PROVEEDORES[[#This Row],[FECHA DE FACTURACIÓN]]-PROVEEDORES[[#This Row],[PLAZO Días]],0)</f>
        <v>0</v>
      </c>
      <c r="U768" s="104">
        <f>+VLOOKUP(PROVEEDORES[[#This Row],[PROVEEDOR]],Terceros!$A:$D,4,FALSE)</f>
        <v>0</v>
      </c>
      <c r="V768" s="105">
        <f>+YEAR(PROVEEDORES[[#This Row],[FECHA DE FACTURACIÓN]])</f>
        <v>2022</v>
      </c>
      <c r="W768" s="105">
        <f>+MATCH(PROVEEDORES[[#This Row],[año facturado]],Retenciones!$1:$1,0)</f>
        <v>5</v>
      </c>
      <c r="X768" s="106">
        <f>+VLOOKUP(PROVEEDORES[[#This Row],[ID RETENCION]],Retenciones!$A$1:$O$25,PROVEEDORES[[#This Row],[indicador de columna]],FALSE)</f>
        <v>0</v>
      </c>
      <c r="Y768" s="107">
        <f>+VLOOKUP(PROVEEDORES[[#This Row],[ID RETENCION]],Retenciones!$A$1:$O$25,2,FALSE)</f>
        <v>0</v>
      </c>
      <c r="Z768" s="116" t="b">
        <f>OR(COUNTIF(PROVEEDORES[[#This Row],[PROVEEDOR]],"*"&amp;'Palabra no opera'!$A$2&amp;"*"))</f>
        <v>0</v>
      </c>
    </row>
    <row r="769" spans="1:26" ht="22.35" customHeight="1" x14ac:dyDescent="0.3">
      <c r="A769" s="186" t="str">
        <f>+IF(PROVEEDORES[[#This Row],[FECHA DE PAGO]]=PROVEEDORES[[#This Row],[FECHA DE FACTURACIÓN]],"DE CONTADO","CRÉDITO")</f>
        <v>CRÉDITO</v>
      </c>
      <c r="B769" s="38" t="b">
        <f>+IF((PROVEEDORES[[#This Row],[FECHA DE PAGO]]-PROVEEDORES[[#This Row],[FECHA DE FACTURACIÓN]])&gt;PROVEEDORES[[#This Row],[PLAZO Días]],"PAGO VENCIDO")</f>
        <v>0</v>
      </c>
      <c r="C769" s="20">
        <f>+VLOOKUP(PROVEEDORES[[#This Row],[PROVEEDOR]],TERCEROS_INFO[#All],2,FALSE)</f>
        <v>60</v>
      </c>
      <c r="D769" s="25">
        <f>+SUMIFS(PROVEEDORES[Total],PROVEEDORES[PROVEEDOR],PROVEEDORES[[#This Row],[PROVEEDOR]],PROVEEDORES[FECHA DE PAGO],"")</f>
        <v>395600</v>
      </c>
      <c r="E769" s="25"/>
      <c r="F76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69" s="68">
        <v>44811</v>
      </c>
      <c r="H769" s="26" t="s">
        <v>287</v>
      </c>
      <c r="I769" s="68">
        <v>44803</v>
      </c>
      <c r="J769" s="35" t="s">
        <v>1100</v>
      </c>
      <c r="K769" s="21">
        <v>655693.5</v>
      </c>
      <c r="L769" s="21"/>
      <c r="M769" s="22">
        <f>(PROVEEDORES[[#This Row],[SUBTOTAL]]-PROVEEDORES[[#This Row],[descuento sobre subtotal]])*VLOOKUP(PROVEEDORES[[#This Row],[PROVEEDOR]],TERCEROS_INFO[#All],3,FALSE)</f>
        <v>0</v>
      </c>
      <c r="N769" s="23"/>
      <c r="O769" s="22">
        <f>+PROVEEDORES[[#This Row],[Descuento sobre subtotal %]]*(PROVEEDORES[[#This Row],[SUBTOTAL]]-PROVEEDORES[[#This Row],[descuento sobre subtotal]])</f>
        <v>0</v>
      </c>
      <c r="P769" s="74">
        <f>+IF(PROVEEDORES[[#This Row],[SUBTOTAL]]&lt;PROVEEDORES[[#This Row],[base retencion]],0,PROVEEDORES[[#This Row],[retención aplicada]])</f>
        <v>0</v>
      </c>
      <c r="Q769" s="22">
        <f>+PROVEEDORES[[#This Row],[Rete Fuente %]]*(PROVEEDORES[[#This Row],[SUBTOTAL]]-PROVEEDORES[[#This Row],[descuento sobre subtotal]])</f>
        <v>0</v>
      </c>
      <c r="R769" s="21">
        <f>+PROVEEDORES[[#This Row],[SUBTOTAL]]+PROVEEDORES[[#This Row],[IVA 19%]]-PROVEEDORES[[#This Row],[descuento sobre subtotal]]-PROVEEDORES[[#This Row],[Descuento sobre subtotal $2]]-PROVEEDORES[[#This Row],[Rete Fuente $]]</f>
        <v>655693.5</v>
      </c>
      <c r="S769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63">
        <f ca="1">IF(PROVEEDORES[[#This Row],[FECHA DE PAGO]]=0,TODAY()-PROVEEDORES[[#This Row],[FECHA DE FACTURACIÓN]]-PROVEEDORES[[#This Row],[PLAZO Días]],0)</f>
        <v>0</v>
      </c>
      <c r="U769" s="104">
        <f>+VLOOKUP(PROVEEDORES[[#This Row],[PROVEEDOR]],Terceros!$A:$D,4,FALSE)</f>
        <v>0</v>
      </c>
      <c r="V769" s="105">
        <f>+YEAR(PROVEEDORES[[#This Row],[FECHA DE FACTURACIÓN]])</f>
        <v>2022</v>
      </c>
      <c r="W769" s="105">
        <f>+MATCH(PROVEEDORES[[#This Row],[año facturado]],Retenciones!$1:$1,0)</f>
        <v>5</v>
      </c>
      <c r="X769" s="106">
        <f>+VLOOKUP(PROVEEDORES[[#This Row],[ID RETENCION]],Retenciones!$A$1:$O$25,PROVEEDORES[[#This Row],[indicador de columna]],FALSE)</f>
        <v>0</v>
      </c>
      <c r="Y769" s="107">
        <f>+VLOOKUP(PROVEEDORES[[#This Row],[ID RETENCION]],Retenciones!$A$1:$O$25,2,FALSE)</f>
        <v>0</v>
      </c>
      <c r="Z769" s="116" t="b">
        <f>OR(COUNTIF(PROVEEDORES[[#This Row],[PROVEEDOR]],"*"&amp;'Palabra no opera'!$A$2&amp;"*"))</f>
        <v>0</v>
      </c>
    </row>
    <row r="770" spans="1:26" ht="22.35" customHeight="1" x14ac:dyDescent="0.3">
      <c r="A770" s="186" t="str">
        <f>+IF(PROVEEDORES[[#This Row],[FECHA DE PAGO]]=PROVEEDORES[[#This Row],[FECHA DE FACTURACIÓN]],"DE CONTADO","CRÉDITO")</f>
        <v>CRÉDITO</v>
      </c>
      <c r="B770" s="38" t="b">
        <f>+IF((PROVEEDORES[[#This Row],[FECHA DE PAGO]]-PROVEEDORES[[#This Row],[FECHA DE FACTURACIÓN]])&gt;PROVEEDORES[[#This Row],[PLAZO Días]],"PAGO VENCIDO")</f>
        <v>0</v>
      </c>
      <c r="C770" s="20">
        <f>+VLOOKUP(PROVEEDORES[[#This Row],[PROVEEDOR]],TERCEROS_INFO[#All],2,FALSE)</f>
        <v>45</v>
      </c>
      <c r="D770" s="25">
        <f>+SUMIFS(PROVEEDORES[Total],PROVEEDORES[PROVEEDOR],PROVEEDORES[[#This Row],[PROVEEDOR]],PROVEEDORES[FECHA DE PAGO],"")</f>
        <v>3074500</v>
      </c>
      <c r="E770" s="25"/>
      <c r="F77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70" s="68">
        <v>44811</v>
      </c>
      <c r="H770" s="26" t="s">
        <v>289</v>
      </c>
      <c r="I770" s="68">
        <v>44803</v>
      </c>
      <c r="J770" s="35" t="s">
        <v>1075</v>
      </c>
      <c r="K770" s="21">
        <v>1785805.78</v>
      </c>
      <c r="L770" s="21"/>
      <c r="M770" s="22">
        <f>(PROVEEDORES[[#This Row],[SUBTOTAL]]-PROVEEDORES[[#This Row],[descuento sobre subtotal]])*VLOOKUP(PROVEEDORES[[#This Row],[PROVEEDOR]],TERCEROS_INFO[#All],3,FALSE)</f>
        <v>0</v>
      </c>
      <c r="N770" s="23"/>
      <c r="O770" s="22">
        <f>+PROVEEDORES[[#This Row],[Descuento sobre subtotal %]]*(PROVEEDORES[[#This Row],[SUBTOTAL]]-PROVEEDORES[[#This Row],[descuento sobre subtotal]])</f>
        <v>0</v>
      </c>
      <c r="P770" s="74">
        <f>+IF(PROVEEDORES[[#This Row],[SUBTOTAL]]&lt;PROVEEDORES[[#This Row],[base retencion]],0,PROVEEDORES[[#This Row],[retención aplicada]])</f>
        <v>0</v>
      </c>
      <c r="Q770" s="22">
        <f>+PROVEEDORES[[#This Row],[Rete Fuente %]]*(PROVEEDORES[[#This Row],[SUBTOTAL]]-PROVEEDORES[[#This Row],[descuento sobre subtotal]])</f>
        <v>0</v>
      </c>
      <c r="R770" s="21">
        <f>+PROVEEDORES[[#This Row],[SUBTOTAL]]+PROVEEDORES[[#This Row],[IVA 19%]]-PROVEEDORES[[#This Row],[descuento sobre subtotal]]-PROVEEDORES[[#This Row],[Descuento sobre subtotal $2]]-PROVEEDORES[[#This Row],[Rete Fuente $]]</f>
        <v>1785805.78</v>
      </c>
      <c r="S770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63">
        <f ca="1">IF(PROVEEDORES[[#This Row],[FECHA DE PAGO]]=0,TODAY()-PROVEEDORES[[#This Row],[FECHA DE FACTURACIÓN]]-PROVEEDORES[[#This Row],[PLAZO Días]],0)</f>
        <v>0</v>
      </c>
      <c r="U770" s="104">
        <f>+VLOOKUP(PROVEEDORES[[#This Row],[PROVEEDOR]],Terceros!$A:$D,4,FALSE)</f>
        <v>0</v>
      </c>
      <c r="V770" s="105">
        <f>+YEAR(PROVEEDORES[[#This Row],[FECHA DE FACTURACIÓN]])</f>
        <v>2022</v>
      </c>
      <c r="W770" s="105">
        <f>+MATCH(PROVEEDORES[[#This Row],[año facturado]],Retenciones!$1:$1,0)</f>
        <v>5</v>
      </c>
      <c r="X770" s="106">
        <f>+VLOOKUP(PROVEEDORES[[#This Row],[ID RETENCION]],Retenciones!$A$1:$O$25,PROVEEDORES[[#This Row],[indicador de columna]],FALSE)</f>
        <v>0</v>
      </c>
      <c r="Y770" s="107">
        <f>+VLOOKUP(PROVEEDORES[[#This Row],[ID RETENCION]],Retenciones!$A$1:$O$25,2,FALSE)</f>
        <v>0</v>
      </c>
      <c r="Z770" s="116" t="b">
        <f>OR(COUNTIF(PROVEEDORES[[#This Row],[PROVEEDOR]],"*"&amp;'Palabra no opera'!$A$2&amp;"*"))</f>
        <v>0</v>
      </c>
    </row>
    <row r="771" spans="1:26" ht="22.35" customHeight="1" x14ac:dyDescent="0.3">
      <c r="A771" s="67" t="str">
        <f>+IF(PROVEEDORES[[#This Row],[FECHA DE PAGO]]=PROVEEDORES[[#This Row],[FECHA DE FACTURACIÓN]],"DE CONTADO","CRÉDITO")</f>
        <v>CRÉDITO</v>
      </c>
      <c r="B771" s="38" t="b">
        <f>+IF((PROVEEDORES[[#This Row],[FECHA DE PAGO]]-PROVEEDORES[[#This Row],[FECHA DE FACTURACIÓN]])&gt;PROVEEDORES[[#This Row],[PLAZO Días]],"PAGO VENCIDO")</f>
        <v>0</v>
      </c>
      <c r="C771" s="20">
        <f>+VLOOKUP(PROVEEDORES[[#This Row],[PROVEEDOR]],TERCEROS_INFO[#All],2,FALSE)</f>
        <v>30</v>
      </c>
      <c r="D771" s="25">
        <f>+SUMIFS(PROVEEDORES[Total],PROVEEDORES[PROVEEDOR],PROVEEDORES[[#This Row],[PROVEEDOR]],PROVEEDORES[FECHA DE PAGO],"")</f>
        <v>0</v>
      </c>
      <c r="E771" s="25"/>
      <c r="F771" s="56" t="str">
        <f>+VLOOKUP(PROVEEDORES[[#This Row],[PROVEEDOR]],
                       Terceros!$A:$F,
                       5,
                       FALSE)</f>
        <v/>
      </c>
      <c r="G771" s="68">
        <v>44812</v>
      </c>
      <c r="H771" s="26" t="s">
        <v>356</v>
      </c>
      <c r="I771" s="68">
        <v>44809</v>
      </c>
      <c r="J771" s="35" t="s">
        <v>1094</v>
      </c>
      <c r="K771" s="21">
        <v>1759000</v>
      </c>
      <c r="L771" s="21"/>
      <c r="M771" s="22">
        <f>(PROVEEDORES[[#This Row],[SUBTOTAL]]-PROVEEDORES[[#This Row],[descuento sobre subtotal]])*VLOOKUP(PROVEEDORES[[#This Row],[PROVEEDOR]],TERCEROS_INFO[#All],3,FALSE)</f>
        <v>0</v>
      </c>
      <c r="N771" s="23"/>
      <c r="O771" s="22">
        <f>+PROVEEDORES[[#This Row],[Descuento sobre subtotal %]]*(PROVEEDORES[[#This Row],[SUBTOTAL]]-PROVEEDORES[[#This Row],[descuento sobre subtotal]])</f>
        <v>0</v>
      </c>
      <c r="P771" s="74">
        <f>+IF(PROVEEDORES[[#This Row],[SUBTOTAL]]&lt;PROVEEDORES[[#This Row],[base retencion]],0,PROVEEDORES[[#This Row],[retención aplicada]])</f>
        <v>0</v>
      </c>
      <c r="Q771" s="22">
        <f>+PROVEEDORES[[#This Row],[Rete Fuente %]]*(PROVEEDORES[[#This Row],[SUBTOTAL]]-PROVEEDORES[[#This Row],[descuento sobre subtotal]])</f>
        <v>0</v>
      </c>
      <c r="R771" s="21">
        <f>+PROVEEDORES[[#This Row],[SUBTOTAL]]+PROVEEDORES[[#This Row],[IVA 19%]]-PROVEEDORES[[#This Row],[descuento sobre subtotal]]-PROVEEDORES[[#This Row],[Descuento sobre subtotal $2]]-PROVEEDORES[[#This Row],[Rete Fuente $]]</f>
        <v>1759000</v>
      </c>
      <c r="S7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63">
        <f ca="1">IF(PROVEEDORES[[#This Row],[FECHA DE PAGO]]=0,TODAY()-PROVEEDORES[[#This Row],[FECHA DE FACTURACIÓN]]-PROVEEDORES[[#This Row],[PLAZO Días]],0)</f>
        <v>0</v>
      </c>
      <c r="U771" s="104">
        <f>+VLOOKUP(PROVEEDORES[[#This Row],[PROVEEDOR]],Terceros!$A:$D,4,FALSE)</f>
        <v>0</v>
      </c>
      <c r="V771" s="105">
        <f>+YEAR(PROVEEDORES[[#This Row],[FECHA DE FACTURACIÓN]])</f>
        <v>2022</v>
      </c>
      <c r="W771" s="105">
        <f>+MATCH(PROVEEDORES[[#This Row],[año facturado]],Retenciones!$1:$1,0)</f>
        <v>5</v>
      </c>
      <c r="X771" s="106">
        <f>+VLOOKUP(PROVEEDORES[[#This Row],[ID RETENCION]],Retenciones!$A$1:$O$25,PROVEEDORES[[#This Row],[indicador de columna]],FALSE)</f>
        <v>0</v>
      </c>
      <c r="Y771" s="107">
        <f>+VLOOKUP(PROVEEDORES[[#This Row],[ID RETENCION]],Retenciones!$A$1:$O$25,2,FALSE)</f>
        <v>0</v>
      </c>
      <c r="Z771" s="116" t="b">
        <f>OR(COUNTIF(PROVEEDORES[[#This Row],[PROVEEDOR]],"*"&amp;'Palabra no opera'!$A$2&amp;"*"))</f>
        <v>0</v>
      </c>
    </row>
    <row r="772" spans="1:26" ht="22.35" customHeight="1" x14ac:dyDescent="0.3">
      <c r="A772" s="67" t="str">
        <f>+IF(PROVEEDORES[[#This Row],[FECHA DE PAGO]]=PROVEEDORES[[#This Row],[FECHA DE FACTURACIÓN]],"DE CONTADO","CRÉDITO")</f>
        <v>CRÉDITO</v>
      </c>
      <c r="B772" s="38" t="b">
        <f>+IF((PROVEEDORES[[#This Row],[FECHA DE PAGO]]-PROVEEDORES[[#This Row],[FECHA DE FACTURACIÓN]])&gt;PROVEEDORES[[#This Row],[PLAZO Días]],"PAGO VENCIDO")</f>
        <v>0</v>
      </c>
      <c r="C772" s="20">
        <f>+VLOOKUP(PROVEEDORES[[#This Row],[PROVEEDOR]],TERCEROS_INFO[#All],2,FALSE)</f>
        <v>30</v>
      </c>
      <c r="D772" s="25">
        <f>+SUMIFS(PROVEEDORES[Total],PROVEEDORES[PROVEEDOR],PROVEEDORES[[#This Row],[PROVEEDOR]],PROVEEDORES[FECHA DE PAGO],"")</f>
        <v>0</v>
      </c>
      <c r="E772" s="25"/>
      <c r="F772" s="56" t="str">
        <f>+VLOOKUP(PROVEEDORES[[#This Row],[PROVEEDOR]],
                       Terceros!$A:$F,
                       5,
                       FALSE)</f>
        <v/>
      </c>
      <c r="G772" s="68">
        <v>44812</v>
      </c>
      <c r="H772" s="26" t="s">
        <v>404</v>
      </c>
      <c r="I772" s="68">
        <v>44809</v>
      </c>
      <c r="J772" s="35" t="s">
        <v>1095</v>
      </c>
      <c r="K772" s="21">
        <v>1347110</v>
      </c>
      <c r="L772" s="21"/>
      <c r="M772" s="22">
        <f>(PROVEEDORES[[#This Row],[SUBTOTAL]]-PROVEEDORES[[#This Row],[descuento sobre subtotal]])*VLOOKUP(PROVEEDORES[[#This Row],[PROVEEDOR]],TERCEROS_INFO[#All],3,FALSE)</f>
        <v>0</v>
      </c>
      <c r="N772" s="23"/>
      <c r="O772" s="22">
        <f>+PROVEEDORES[[#This Row],[Descuento sobre subtotal %]]*(PROVEEDORES[[#This Row],[SUBTOTAL]]-PROVEEDORES[[#This Row],[descuento sobre subtotal]])</f>
        <v>0</v>
      </c>
      <c r="P772" s="74">
        <f>+IF(PROVEEDORES[[#This Row],[SUBTOTAL]]&lt;PROVEEDORES[[#This Row],[base retencion]],0,PROVEEDORES[[#This Row],[retención aplicada]])</f>
        <v>0</v>
      </c>
      <c r="Q772" s="22">
        <f>+PROVEEDORES[[#This Row],[Rete Fuente %]]*(PROVEEDORES[[#This Row],[SUBTOTAL]]-PROVEEDORES[[#This Row],[descuento sobre subtotal]])</f>
        <v>0</v>
      </c>
      <c r="R772" s="21">
        <f>+PROVEEDORES[[#This Row],[SUBTOTAL]]+PROVEEDORES[[#This Row],[IVA 19%]]-PROVEEDORES[[#This Row],[descuento sobre subtotal]]-PROVEEDORES[[#This Row],[Descuento sobre subtotal $2]]-PROVEEDORES[[#This Row],[Rete Fuente $]]</f>
        <v>1347110</v>
      </c>
      <c r="S77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63">
        <f ca="1">IF(PROVEEDORES[[#This Row],[FECHA DE PAGO]]=0,TODAY()-PROVEEDORES[[#This Row],[FECHA DE FACTURACIÓN]]-PROVEEDORES[[#This Row],[PLAZO Días]],0)</f>
        <v>0</v>
      </c>
      <c r="U772" s="104">
        <f>+VLOOKUP(PROVEEDORES[[#This Row],[PROVEEDOR]],Terceros!$A:$D,4,FALSE)</f>
        <v>0</v>
      </c>
      <c r="V772" s="105">
        <f>+YEAR(PROVEEDORES[[#This Row],[FECHA DE FACTURACIÓN]])</f>
        <v>2022</v>
      </c>
      <c r="W772" s="105">
        <f>+MATCH(PROVEEDORES[[#This Row],[año facturado]],Retenciones!$1:$1,0)</f>
        <v>5</v>
      </c>
      <c r="X772" s="106">
        <f>+VLOOKUP(PROVEEDORES[[#This Row],[ID RETENCION]],Retenciones!$A$1:$O$25,PROVEEDORES[[#This Row],[indicador de columna]],FALSE)</f>
        <v>0</v>
      </c>
      <c r="Y772" s="107">
        <f>+VLOOKUP(PROVEEDORES[[#This Row],[ID RETENCION]],Retenciones!$A$1:$O$25,2,FALSE)</f>
        <v>0</v>
      </c>
      <c r="Z772" s="116" t="b">
        <f>OR(COUNTIF(PROVEEDORES[[#This Row],[PROVEEDOR]],"*"&amp;'Palabra no opera'!$A$2&amp;"*"))</f>
        <v>0</v>
      </c>
    </row>
    <row r="773" spans="1:26" ht="22.35" customHeight="1" x14ac:dyDescent="0.3">
      <c r="A773" s="190" t="str">
        <f>+IF(PROVEEDORES[[#This Row],[FECHA DE PAGO]]=PROVEEDORES[[#This Row],[FECHA DE FACTURACIÓN]],"DE CONTADO","CRÉDITO")</f>
        <v>CRÉDITO</v>
      </c>
      <c r="B773" s="38" t="str">
        <f>+IF((PROVEEDORES[[#This Row],[FECHA DE PAGO]]-PROVEEDORES[[#This Row],[FECHA DE FACTURACIÓN]])&gt;PROVEEDORES[[#This Row],[PLAZO Días]],"PAGO VENCIDO")</f>
        <v>PAGO VENCIDO</v>
      </c>
      <c r="C773" s="20">
        <f>+VLOOKUP(PROVEEDORES[[#This Row],[PROVEEDOR]],TERCEROS_INFO[#All],2,FALSE)</f>
        <v>0</v>
      </c>
      <c r="D773" s="25">
        <f>+SUMIFS(PROVEEDORES[Total],PROVEEDORES[PROVEEDOR],PROVEEDORES[[#This Row],[PROVEEDOR]],PROVEEDORES[FECHA DE PAGO],"")</f>
        <v>0</v>
      </c>
      <c r="E773" s="25"/>
      <c r="F773" s="56">
        <f>+VLOOKUP(PROVEEDORES[[#This Row],[PROVEEDOR]],
                       Terceros!$A:$F,
                       5,
                       FALSE)</f>
        <v>0</v>
      </c>
      <c r="G773" s="68">
        <v>44813</v>
      </c>
      <c r="H773" s="26" t="s">
        <v>1083</v>
      </c>
      <c r="I773" s="68">
        <v>44805</v>
      </c>
      <c r="J773" s="35" t="s">
        <v>1085</v>
      </c>
      <c r="K773" s="21">
        <v>300000</v>
      </c>
      <c r="L773" s="21"/>
      <c r="M773" s="22">
        <f>(PROVEEDORES[[#This Row],[SUBTOTAL]]-PROVEEDORES[[#This Row],[descuento sobre subtotal]])*VLOOKUP(PROVEEDORES[[#This Row],[PROVEEDOR]],TERCEROS_INFO[#All],3,FALSE)</f>
        <v>0</v>
      </c>
      <c r="N773" s="23"/>
      <c r="O773" s="22">
        <f>+PROVEEDORES[[#This Row],[Descuento sobre subtotal %]]*(PROVEEDORES[[#This Row],[SUBTOTAL]]-PROVEEDORES[[#This Row],[descuento sobre subtotal]])</f>
        <v>0</v>
      </c>
      <c r="P773" s="74">
        <f>+IF(PROVEEDORES[[#This Row],[SUBTOTAL]]&lt;PROVEEDORES[[#This Row],[base retencion]],0,PROVEEDORES[[#This Row],[retención aplicada]])</f>
        <v>0</v>
      </c>
      <c r="Q773" s="22">
        <f>+PROVEEDORES[[#This Row],[Rete Fuente %]]*(PROVEEDORES[[#This Row],[SUBTOTAL]]-PROVEEDORES[[#This Row],[descuento sobre subtotal]])</f>
        <v>0</v>
      </c>
      <c r="R773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773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63">
        <f ca="1">IF(PROVEEDORES[[#This Row],[FECHA DE PAGO]]=0,TODAY()-PROVEEDORES[[#This Row],[FECHA DE FACTURACIÓN]]-PROVEEDORES[[#This Row],[PLAZO Días]],0)</f>
        <v>0</v>
      </c>
      <c r="U773" s="104">
        <f>+VLOOKUP(PROVEEDORES[[#This Row],[PROVEEDOR]],Terceros!$A:$D,4,FALSE)</f>
        <v>0</v>
      </c>
      <c r="V773" s="105">
        <f>+YEAR(PROVEEDORES[[#This Row],[FECHA DE FACTURACIÓN]])</f>
        <v>2022</v>
      </c>
      <c r="W773" s="105">
        <f>+MATCH(PROVEEDORES[[#This Row],[año facturado]],Retenciones!$1:$1,0)</f>
        <v>5</v>
      </c>
      <c r="X773" s="106">
        <f>+VLOOKUP(PROVEEDORES[[#This Row],[ID RETENCION]],Retenciones!$A$1:$O$25,PROVEEDORES[[#This Row],[indicador de columna]],FALSE)</f>
        <v>0</v>
      </c>
      <c r="Y773" s="107">
        <f>+VLOOKUP(PROVEEDORES[[#This Row],[ID RETENCION]],Retenciones!$A$1:$O$25,2,FALSE)</f>
        <v>0</v>
      </c>
      <c r="Z773" s="116" t="b">
        <f>OR(COUNTIF(PROVEEDORES[[#This Row],[PROVEEDOR]],"*"&amp;'Palabra no opera'!$A$2&amp;"*"))</f>
        <v>1</v>
      </c>
    </row>
    <row r="774" spans="1:26" ht="22.35" customHeight="1" x14ac:dyDescent="0.3">
      <c r="A774" s="182" t="str">
        <f>+IF(PROVEEDORES[[#This Row],[FECHA DE PAGO]]=PROVEEDORES[[#This Row],[FECHA DE FACTURACIÓN]],"DE CONTADO","CRÉDITO")</f>
        <v>CRÉDITO</v>
      </c>
      <c r="B774" s="38" t="str">
        <f>+IF((PROVEEDORES[[#This Row],[FECHA DE PAGO]]-PROVEEDORES[[#This Row],[FECHA DE FACTURACIÓN]])&gt;PROVEEDORES[[#This Row],[PLAZO Días]],"PAGO VENCIDO")</f>
        <v>PAGO VENCIDO</v>
      </c>
      <c r="C774" s="20">
        <f>+VLOOKUP(PROVEEDORES[[#This Row],[PROVEEDOR]],TERCEROS_INFO[#All],2,FALSE)</f>
        <v>30</v>
      </c>
      <c r="D774" s="25">
        <f>+SUMIFS(PROVEEDORES[Total],PROVEEDORES[PROVEEDOR],PROVEEDORES[[#This Row],[PROVEEDOR]],PROVEEDORES[FECHA DE PAGO],"")</f>
        <v>2100000</v>
      </c>
      <c r="E774" s="25"/>
      <c r="F774" s="56" t="str">
        <f>+VLOOKUP(PROVEEDORES[[#This Row],[PROVEEDOR]],
                       Terceros!$A:$F,
                       5,
                       FALSE)</f>
        <v/>
      </c>
      <c r="G774" s="68">
        <v>44816</v>
      </c>
      <c r="H774" s="26" t="s">
        <v>349</v>
      </c>
      <c r="I774" s="68">
        <v>44785</v>
      </c>
      <c r="J774" s="35" t="s">
        <v>948</v>
      </c>
      <c r="K774" s="21">
        <v>2302000</v>
      </c>
      <c r="L774" s="21"/>
      <c r="M774" s="22">
        <f>(PROVEEDORES[[#This Row],[SUBTOTAL]]-PROVEEDORES[[#This Row],[descuento sobre subtotal]])*VLOOKUP(PROVEEDORES[[#This Row],[PROVEEDOR]],TERCEROS_INFO[#All],3,FALSE)</f>
        <v>0</v>
      </c>
      <c r="N774" s="23"/>
      <c r="O774" s="22">
        <f>+PROVEEDORES[[#This Row],[Descuento sobre subtotal %]]*(PROVEEDORES[[#This Row],[SUBTOTAL]]-PROVEEDORES[[#This Row],[descuento sobre subtotal]])</f>
        <v>0</v>
      </c>
      <c r="P774" s="74">
        <f>+IF(PROVEEDORES[[#This Row],[SUBTOTAL]]&lt;PROVEEDORES[[#This Row],[base retencion]],0,PROVEEDORES[[#This Row],[retención aplicada]])</f>
        <v>0</v>
      </c>
      <c r="Q774" s="22">
        <f>+PROVEEDORES[[#This Row],[Rete Fuente %]]*(PROVEEDORES[[#This Row],[SUBTOTAL]]-PROVEEDORES[[#This Row],[descuento sobre subtotal]])</f>
        <v>0</v>
      </c>
      <c r="R774" s="21">
        <f>+PROVEEDORES[[#This Row],[SUBTOTAL]]+PROVEEDORES[[#This Row],[IVA 19%]]-PROVEEDORES[[#This Row],[descuento sobre subtotal]]-PROVEEDORES[[#This Row],[Descuento sobre subtotal $2]]-PROVEEDORES[[#This Row],[Rete Fuente $]]</f>
        <v>2302000</v>
      </c>
      <c r="S77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63">
        <f ca="1">IF(PROVEEDORES[[#This Row],[FECHA DE PAGO]]=0,TODAY()-PROVEEDORES[[#This Row],[FECHA DE FACTURACIÓN]]-PROVEEDORES[[#This Row],[PLAZO Días]],0)</f>
        <v>0</v>
      </c>
      <c r="U774" s="104">
        <f>+VLOOKUP(PROVEEDORES[[#This Row],[PROVEEDOR]],Terceros!$A:$D,4,FALSE)</f>
        <v>0</v>
      </c>
      <c r="V774" s="105">
        <f>+YEAR(PROVEEDORES[[#This Row],[FECHA DE FACTURACIÓN]])</f>
        <v>2022</v>
      </c>
      <c r="W774" s="105">
        <f>+MATCH(PROVEEDORES[[#This Row],[año facturado]],Retenciones!$1:$1,0)</f>
        <v>5</v>
      </c>
      <c r="X774" s="106">
        <f>+VLOOKUP(PROVEEDORES[[#This Row],[ID RETENCION]],Retenciones!$A$1:$O$25,PROVEEDORES[[#This Row],[indicador de columna]],FALSE)</f>
        <v>0</v>
      </c>
      <c r="Y774" s="107">
        <f>+VLOOKUP(PROVEEDORES[[#This Row],[ID RETENCION]],Retenciones!$A$1:$O$25,2,FALSE)</f>
        <v>0</v>
      </c>
      <c r="Z774" s="116" t="b">
        <f>OR(COUNTIF(PROVEEDORES[[#This Row],[PROVEEDOR]],"*"&amp;'Palabra no opera'!$A$2&amp;"*"))</f>
        <v>0</v>
      </c>
    </row>
    <row r="775" spans="1:26" ht="22.35" customHeight="1" x14ac:dyDescent="0.3">
      <c r="A775" s="190" t="str">
        <f>+IF(PROVEEDORES[[#This Row],[FECHA DE PAGO]]=PROVEEDORES[[#This Row],[FECHA DE FACTURACIÓN]],"DE CONTADO","CRÉDITO")</f>
        <v>CRÉDITO</v>
      </c>
      <c r="B775" s="38" t="b">
        <f>+IF((PROVEEDORES[[#This Row],[FECHA DE PAGO]]-PROVEEDORES[[#This Row],[FECHA DE FACTURACIÓN]])&gt;PROVEEDORES[[#This Row],[PLAZO Días]],"PAGO VENCIDO")</f>
        <v>0</v>
      </c>
      <c r="C775" s="20">
        <f>+VLOOKUP(PROVEEDORES[[#This Row],[PROVEEDOR]],TERCEROS_INFO[#All],2,FALSE)</f>
        <v>30</v>
      </c>
      <c r="D775" s="25">
        <f>+SUMIFS(PROVEEDORES[Total],PROVEEDORES[PROVEEDOR],PROVEEDORES[[#This Row],[PROVEEDOR]],PROVEEDORES[FECHA DE PAGO],"")</f>
        <v>0</v>
      </c>
      <c r="E775" s="25"/>
      <c r="F775" s="56">
        <f>+VLOOKUP(PROVEEDORES[[#This Row],[PROVEEDOR]],
                       Terceros!$A:$F,
                       5,
                       FALSE)</f>
        <v>0</v>
      </c>
      <c r="G775" s="68">
        <v>44816</v>
      </c>
      <c r="H775" s="26" t="s">
        <v>642</v>
      </c>
      <c r="I775" s="68">
        <v>44805</v>
      </c>
      <c r="J775" s="35" t="s">
        <v>217</v>
      </c>
      <c r="K775" s="21">
        <v>455823</v>
      </c>
      <c r="L775" s="21"/>
      <c r="M775" s="22">
        <f>(PROVEEDORES[[#This Row],[SUBTOTAL]]-PROVEEDORES[[#This Row],[descuento sobre subtotal]])*VLOOKUP(PROVEEDORES[[#This Row],[PROVEEDOR]],TERCEROS_INFO[#All],3,FALSE)</f>
        <v>0</v>
      </c>
      <c r="N775" s="23"/>
      <c r="O775" s="22">
        <f>+PROVEEDORES[[#This Row],[Descuento sobre subtotal %]]*(PROVEEDORES[[#This Row],[SUBTOTAL]]-PROVEEDORES[[#This Row],[descuento sobre subtotal]])</f>
        <v>0</v>
      </c>
      <c r="P775" s="74">
        <f>+IF(PROVEEDORES[[#This Row],[SUBTOTAL]]&lt;PROVEEDORES[[#This Row],[base retencion]],0,PROVEEDORES[[#This Row],[retención aplicada]])</f>
        <v>0</v>
      </c>
      <c r="Q775" s="22">
        <f>+PROVEEDORES[[#This Row],[Rete Fuente %]]*(PROVEEDORES[[#This Row],[SUBTOTAL]]-PROVEEDORES[[#This Row],[descuento sobre subtotal]])</f>
        <v>0</v>
      </c>
      <c r="R775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775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63">
        <f ca="1">IF(PROVEEDORES[[#This Row],[FECHA DE PAGO]]=0,TODAY()-PROVEEDORES[[#This Row],[FECHA DE FACTURACIÓN]]-PROVEEDORES[[#This Row],[PLAZO Días]],0)</f>
        <v>0</v>
      </c>
      <c r="U775" s="104">
        <f>+VLOOKUP(PROVEEDORES[[#This Row],[PROVEEDOR]],Terceros!$A:$D,4,FALSE)</f>
        <v>0</v>
      </c>
      <c r="V775" s="105">
        <f>+YEAR(PROVEEDORES[[#This Row],[FECHA DE FACTURACIÓN]])</f>
        <v>2022</v>
      </c>
      <c r="W775" s="105">
        <f>+MATCH(PROVEEDORES[[#This Row],[año facturado]],Retenciones!$1:$1,0)</f>
        <v>5</v>
      </c>
      <c r="X775" s="106">
        <f>+VLOOKUP(PROVEEDORES[[#This Row],[ID RETENCION]],Retenciones!$A$1:$O$25,PROVEEDORES[[#This Row],[indicador de columna]],FALSE)</f>
        <v>0</v>
      </c>
      <c r="Y775" s="107">
        <f>+VLOOKUP(PROVEEDORES[[#This Row],[ID RETENCION]],Retenciones!$A$1:$O$25,2,FALSE)</f>
        <v>0</v>
      </c>
      <c r="Z775" s="116" t="b">
        <f>OR(COUNTIF(PROVEEDORES[[#This Row],[PROVEEDOR]],"*"&amp;'Palabra no opera'!$A$2&amp;"*"))</f>
        <v>1</v>
      </c>
    </row>
    <row r="776" spans="1:26" ht="22.35" customHeight="1" x14ac:dyDescent="0.3">
      <c r="A776" s="192" t="str">
        <f>+IF(PROVEEDORES[[#This Row],[FECHA DE PAGO]]=PROVEEDORES[[#This Row],[FECHA DE FACTURACIÓN]],"DE CONTADO","CRÉDITO")</f>
        <v>CRÉDITO</v>
      </c>
      <c r="B776" s="38" t="b">
        <f>+IF((PROVEEDORES[[#This Row],[FECHA DE PAGO]]-PROVEEDORES[[#This Row],[FECHA DE FACTURACIÓN]])&gt;PROVEEDORES[[#This Row],[PLAZO Días]],"PAGO VENCIDO")</f>
        <v>0</v>
      </c>
      <c r="C776" s="20">
        <f>+VLOOKUP(PROVEEDORES[[#This Row],[PROVEEDOR]],TERCEROS_INFO[#All],2,FALSE)</f>
        <v>30</v>
      </c>
      <c r="D776" s="25">
        <f>+SUMIFS(PROVEEDORES[Total],PROVEEDORES[PROVEEDOR],PROVEEDORES[[#This Row],[PROVEEDOR]],PROVEEDORES[FECHA DE PAGO],"")</f>
        <v>0</v>
      </c>
      <c r="E776" s="25"/>
      <c r="F776" s="56" t="str">
        <f>+VLOOKUP(PROVEEDORES[[#This Row],[PROVEEDOR]],
                       Terceros!$A:$F,
                       5,
                       FALSE)</f>
        <v/>
      </c>
      <c r="G776" s="68">
        <v>44817</v>
      </c>
      <c r="H776" s="26" t="s">
        <v>409</v>
      </c>
      <c r="I776" s="68">
        <v>44810</v>
      </c>
      <c r="J776" s="35">
        <v>609</v>
      </c>
      <c r="K776" s="21">
        <v>921500</v>
      </c>
      <c r="L776" s="21"/>
      <c r="M776" s="22">
        <f>(PROVEEDORES[[#This Row],[SUBTOTAL]]-PROVEEDORES[[#This Row],[descuento sobre subtotal]])*VLOOKUP(PROVEEDORES[[#This Row],[PROVEEDOR]],TERCEROS_INFO[#All],3,FALSE)</f>
        <v>0</v>
      </c>
      <c r="N776" s="23"/>
      <c r="O776" s="22">
        <f>+PROVEEDORES[[#This Row],[Descuento sobre subtotal %]]*(PROVEEDORES[[#This Row],[SUBTOTAL]]-PROVEEDORES[[#This Row],[descuento sobre subtotal]])</f>
        <v>0</v>
      </c>
      <c r="P776" s="74">
        <f>+IF(PROVEEDORES[[#This Row],[SUBTOTAL]]&lt;PROVEEDORES[[#This Row],[base retencion]],0,PROVEEDORES[[#This Row],[retención aplicada]])</f>
        <v>0</v>
      </c>
      <c r="Q776" s="22">
        <f>+PROVEEDORES[[#This Row],[Rete Fuente %]]*(PROVEEDORES[[#This Row],[SUBTOTAL]]-PROVEEDORES[[#This Row],[descuento sobre subtotal]])</f>
        <v>0</v>
      </c>
      <c r="R776" s="21">
        <f>+PROVEEDORES[[#This Row],[SUBTOTAL]]+PROVEEDORES[[#This Row],[IVA 19%]]-PROVEEDORES[[#This Row],[descuento sobre subtotal]]-PROVEEDORES[[#This Row],[Descuento sobre subtotal $2]]-PROVEEDORES[[#This Row],[Rete Fuente $]]</f>
        <v>921500</v>
      </c>
      <c r="S77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63">
        <f ca="1">IF(PROVEEDORES[[#This Row],[FECHA DE PAGO]]=0,TODAY()-PROVEEDORES[[#This Row],[FECHA DE FACTURACIÓN]]-PROVEEDORES[[#This Row],[PLAZO Días]],0)</f>
        <v>0</v>
      </c>
      <c r="U776" s="104">
        <f>+VLOOKUP(PROVEEDORES[[#This Row],[PROVEEDOR]],Terceros!$A:$D,4,FALSE)</f>
        <v>0</v>
      </c>
      <c r="V776" s="105">
        <f>+YEAR(PROVEEDORES[[#This Row],[FECHA DE FACTURACIÓN]])</f>
        <v>2022</v>
      </c>
      <c r="W776" s="105">
        <f>+MATCH(PROVEEDORES[[#This Row],[año facturado]],Retenciones!$1:$1,0)</f>
        <v>5</v>
      </c>
      <c r="X776" s="106">
        <f>+VLOOKUP(PROVEEDORES[[#This Row],[ID RETENCION]],Retenciones!$A$1:$O$25,PROVEEDORES[[#This Row],[indicador de columna]],FALSE)</f>
        <v>0</v>
      </c>
      <c r="Y776" s="107">
        <f>+VLOOKUP(PROVEEDORES[[#This Row],[ID RETENCION]],Retenciones!$A$1:$O$25,2,FALSE)</f>
        <v>0</v>
      </c>
      <c r="Z776" s="116" t="b">
        <f>OR(COUNTIF(PROVEEDORES[[#This Row],[PROVEEDOR]],"*"&amp;'Palabra no opera'!$A$2&amp;"*"))</f>
        <v>0</v>
      </c>
    </row>
    <row r="777" spans="1:26" ht="22.35" customHeight="1" x14ac:dyDescent="0.3">
      <c r="A777" s="67" t="str">
        <f>+IF(PROVEEDORES[[#This Row],[FECHA DE PAGO]]=PROVEEDORES[[#This Row],[FECHA DE FACTURACIÓN]],"DE CONTADO","CRÉDITO")</f>
        <v>DE CONTADO</v>
      </c>
      <c r="B777" s="38" t="b">
        <f>+IF((PROVEEDORES[[#This Row],[FECHA DE PAGO]]-PROVEEDORES[[#This Row],[FECHA DE FACTURACIÓN]])&gt;PROVEEDORES[[#This Row],[PLAZO Días]],"PAGO VENCIDO")</f>
        <v>0</v>
      </c>
      <c r="C777" s="20">
        <f>+VLOOKUP(PROVEEDORES[[#This Row],[PROVEEDOR]],TERCEROS_INFO[#All],2,FALSE)</f>
        <v>0</v>
      </c>
      <c r="D777" s="25">
        <f>+SUMIFS(PROVEEDORES[Total],PROVEEDORES[PROVEEDOR],PROVEEDORES[[#This Row],[PROVEEDOR]],PROVEEDORES[FECHA DE PAGO],"")</f>
        <v>0</v>
      </c>
      <c r="E777" s="25"/>
      <c r="F777" s="56" t="str">
        <f>+VLOOKUP(PROVEEDORES[[#This Row],[PROVEEDOR]],
                       Terceros!$A:$F,
                       5,
                       FALSE)</f>
        <v>syman07@hotmail.com;girlesa.ruiz@servipilas.com;joriescobar64@gmail.com</v>
      </c>
      <c r="G777" s="68">
        <v>44817</v>
      </c>
      <c r="H777" s="26" t="s">
        <v>838</v>
      </c>
      <c r="I777" s="68">
        <v>44817</v>
      </c>
      <c r="J777" s="35" t="s">
        <v>1086</v>
      </c>
      <c r="K777" s="21">
        <v>170000</v>
      </c>
      <c r="L777" s="21"/>
      <c r="M777" s="22">
        <f>(PROVEEDORES[[#This Row],[SUBTOTAL]]-PROVEEDORES[[#This Row],[descuento sobre subtotal]])*VLOOKUP(PROVEEDORES[[#This Row],[PROVEEDOR]],TERCEROS_INFO[#All],3,FALSE)</f>
        <v>32300</v>
      </c>
      <c r="N777" s="23"/>
      <c r="O777" s="22">
        <f>+PROVEEDORES[[#This Row],[Descuento sobre subtotal %]]*(PROVEEDORES[[#This Row],[SUBTOTAL]]-PROVEEDORES[[#This Row],[descuento sobre subtotal]])</f>
        <v>0</v>
      </c>
      <c r="P777" s="74">
        <f>+IF(PROVEEDORES[[#This Row],[SUBTOTAL]]&lt;PROVEEDORES[[#This Row],[base retencion]],0,PROVEEDORES[[#This Row],[retención aplicada]])</f>
        <v>0.04</v>
      </c>
      <c r="Q777" s="22">
        <f>+PROVEEDORES[[#This Row],[Rete Fuente %]]*(PROVEEDORES[[#This Row],[SUBTOTAL]]-PROVEEDORES[[#This Row],[descuento sobre subtotal]])</f>
        <v>6800</v>
      </c>
      <c r="R777" s="21">
        <f>+PROVEEDORES[[#This Row],[SUBTOTAL]]+PROVEEDORES[[#This Row],[IVA 19%]]-PROVEEDORES[[#This Row],[descuento sobre subtotal]]-PROVEEDORES[[#This Row],[Descuento sobre subtotal $2]]-PROVEEDORES[[#This Row],[Rete Fuente $]]</f>
        <v>195500</v>
      </c>
      <c r="S7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63">
        <f ca="1">IF(PROVEEDORES[[#This Row],[FECHA DE PAGO]]=0,TODAY()-PROVEEDORES[[#This Row],[FECHA DE FACTURACIÓN]]-PROVEEDORES[[#This Row],[PLAZO Días]],0)</f>
        <v>0</v>
      </c>
      <c r="U777" s="104" t="str">
        <f>+VLOOKUP(PROVEEDORES[[#This Row],[PROVEEDOR]],Terceros!$A:$D,4,FALSE)</f>
        <v>4% con base</v>
      </c>
      <c r="V777" s="105">
        <f>+YEAR(PROVEEDORES[[#This Row],[FECHA DE FACTURACIÓN]])</f>
        <v>2022</v>
      </c>
      <c r="W777" s="105">
        <f>+MATCH(PROVEEDORES[[#This Row],[año facturado]],Retenciones!$1:$1,0)</f>
        <v>5</v>
      </c>
      <c r="X777" s="106">
        <f>+VLOOKUP(PROVEEDORES[[#This Row],[ID RETENCION]],Retenciones!$A$1:$O$25,PROVEEDORES[[#This Row],[indicador de columna]],FALSE)</f>
        <v>150000</v>
      </c>
      <c r="Y777" s="107">
        <f>+VLOOKUP(PROVEEDORES[[#This Row],[ID RETENCION]],Retenciones!$A$1:$O$25,2,FALSE)</f>
        <v>0.04</v>
      </c>
      <c r="Z777" s="116" t="b">
        <f>OR(COUNTIF(PROVEEDORES[[#This Row],[PROVEEDOR]],"*"&amp;'Palabra no opera'!$A$2&amp;"*"))</f>
        <v>1</v>
      </c>
    </row>
    <row r="778" spans="1:26" ht="22.35" customHeight="1" x14ac:dyDescent="0.3">
      <c r="A778" s="67" t="str">
        <f>+IF(PROVEEDORES[[#This Row],[FECHA DE PAGO]]=PROVEEDORES[[#This Row],[FECHA DE FACTURACIÓN]],"DE CONTADO","CRÉDITO")</f>
        <v>CRÉDITO</v>
      </c>
      <c r="B778" s="38" t="b">
        <f>+IF((PROVEEDORES[[#This Row],[FECHA DE PAGO]]-PROVEEDORES[[#This Row],[FECHA DE FACTURACIÓN]])&gt;PROVEEDORES[[#This Row],[PLAZO Días]],"PAGO VENCIDO")</f>
        <v>0</v>
      </c>
      <c r="C778" s="20">
        <f>+VLOOKUP(PROVEEDORES[[#This Row],[PROVEEDOR]],TERCEROS_INFO[#All],2,FALSE)</f>
        <v>30</v>
      </c>
      <c r="D778" s="25">
        <f>+SUMIFS(PROVEEDORES[Total],PROVEEDORES[PROVEEDOR],PROVEEDORES[[#This Row],[PROVEEDOR]],PROVEEDORES[FECHA DE PAGO],"")</f>
        <v>352505.48</v>
      </c>
      <c r="E778" s="25"/>
      <c r="F778" s="56" t="str">
        <f>+VLOOKUP(PROVEEDORES[[#This Row],[PROVEEDOR]],
                       Terceros!$A:$F,
                       5,
                       FALSE)</f>
        <v>facturacion@losmolinos.com.co</v>
      </c>
      <c r="G778" s="68">
        <v>44818</v>
      </c>
      <c r="H778" s="26" t="s">
        <v>650</v>
      </c>
      <c r="I778" s="68">
        <v>44805</v>
      </c>
      <c r="J778" s="35">
        <v>68862</v>
      </c>
      <c r="K778" s="21">
        <v>284467</v>
      </c>
      <c r="L778" s="21"/>
      <c r="M778" s="22">
        <f>(PROVEEDORES[[#This Row],[SUBTOTAL]]-PROVEEDORES[[#This Row],[descuento sobre subtotal]])*VLOOKUP(PROVEEDORES[[#This Row],[PROVEEDOR]],TERCEROS_INFO[#All],3,FALSE)</f>
        <v>0</v>
      </c>
      <c r="N778" s="23"/>
      <c r="O778" s="22">
        <v>8522.67</v>
      </c>
      <c r="P778" s="74">
        <f>+IF(PROVEEDORES[[#This Row],[SUBTOTAL]]&lt;PROVEEDORES[[#This Row],[base retencion]],0,PROVEEDORES[[#This Row],[retención aplicada]])</f>
        <v>0</v>
      </c>
      <c r="Q778" s="22">
        <f>+PROVEEDORES[[#This Row],[Rete Fuente %]]*(PROVEEDORES[[#This Row],[SUBTOTAL]]-PROVEEDORES[[#This Row],[descuento sobre subtotal]])</f>
        <v>0</v>
      </c>
      <c r="R778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7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63">
        <f ca="1">IF(PROVEEDORES[[#This Row],[FECHA DE PAGO]]=0,TODAY()-PROVEEDORES[[#This Row],[FECHA DE FACTURACIÓN]]-PROVEEDORES[[#This Row],[PLAZO Días]],0)</f>
        <v>0</v>
      </c>
      <c r="U778" s="104">
        <f>+VLOOKUP(PROVEEDORES[[#This Row],[PROVEEDOR]],Terceros!$A:$D,4,FALSE)</f>
        <v>0</v>
      </c>
      <c r="V778" s="105">
        <f>+YEAR(PROVEEDORES[[#This Row],[FECHA DE FACTURACIÓN]])</f>
        <v>2022</v>
      </c>
      <c r="W778" s="105">
        <f>+MATCH(PROVEEDORES[[#This Row],[año facturado]],Retenciones!$1:$1,0)</f>
        <v>5</v>
      </c>
      <c r="X778" s="106">
        <f>+VLOOKUP(PROVEEDORES[[#This Row],[ID RETENCION]],Retenciones!$A$1:$O$25,PROVEEDORES[[#This Row],[indicador de columna]],FALSE)</f>
        <v>0</v>
      </c>
      <c r="Y778" s="107">
        <f>+VLOOKUP(PROVEEDORES[[#This Row],[ID RETENCION]],Retenciones!$A$1:$O$25,2,FALSE)</f>
        <v>0</v>
      </c>
      <c r="Z778" s="116" t="b">
        <f>OR(COUNTIF(PROVEEDORES[[#This Row],[PROVEEDOR]],"*"&amp;'Palabra no opera'!$A$2&amp;"*"))</f>
        <v>1</v>
      </c>
    </row>
    <row r="779" spans="1:26" ht="22.35" customHeight="1" x14ac:dyDescent="0.3">
      <c r="A779" s="192" t="str">
        <f>+IF(PROVEEDORES[[#This Row],[FECHA DE PAGO]]=PROVEEDORES[[#This Row],[FECHA DE FACTURACIÓN]],"DE CONTADO","CRÉDITO")</f>
        <v>CRÉDITO</v>
      </c>
      <c r="B779" s="38" t="b">
        <f>+IF((PROVEEDORES[[#This Row],[FECHA DE PAGO]]-PROVEEDORES[[#This Row],[FECHA DE FACTURACIÓN]])&gt;PROVEEDORES[[#This Row],[PLAZO Días]],"PAGO VENCIDO")</f>
        <v>0</v>
      </c>
      <c r="C779" s="20">
        <f>+VLOOKUP(PROVEEDORES[[#This Row],[PROVEEDOR]],TERCEROS_INFO[#All],2,FALSE)</f>
        <v>30</v>
      </c>
      <c r="D779" s="25">
        <f>+SUMIFS(PROVEEDORES[Total],PROVEEDORES[PROVEEDOR],PROVEEDORES[[#This Row],[PROVEEDOR]],PROVEEDORES[FECHA DE PAGO],"")</f>
        <v>352505.48</v>
      </c>
      <c r="E779" s="25"/>
      <c r="F779" s="56" t="str">
        <f>+VLOOKUP(PROVEEDORES[[#This Row],[PROVEEDOR]],
                       Terceros!$A:$F,
                       5,
                       FALSE)</f>
        <v>facturacion@losmolinos.com.co</v>
      </c>
      <c r="G779" s="68">
        <v>44818</v>
      </c>
      <c r="H779" s="26" t="s">
        <v>650</v>
      </c>
      <c r="I779" s="68">
        <v>44805</v>
      </c>
      <c r="J779" s="35">
        <v>68862</v>
      </c>
      <c r="K779" s="21">
        <v>284467</v>
      </c>
      <c r="L779" s="21"/>
      <c r="M779" s="22">
        <f>(PROVEEDORES[[#This Row],[SUBTOTAL]]-PROVEEDORES[[#This Row],[descuento sobre subtotal]])*VLOOKUP(PROVEEDORES[[#This Row],[PROVEEDOR]],TERCEROS_INFO[#All],3,FALSE)</f>
        <v>0</v>
      </c>
      <c r="N779" s="23"/>
      <c r="O779" s="22">
        <v>8522.67</v>
      </c>
      <c r="P779" s="74">
        <f>+IF(PROVEEDORES[[#This Row],[SUBTOTAL]]&lt;PROVEEDORES[[#This Row],[base retencion]],0,PROVEEDORES[[#This Row],[retención aplicada]])</f>
        <v>0</v>
      </c>
      <c r="Q779" s="22">
        <f>+PROVEEDORES[[#This Row],[Rete Fuente %]]*(PROVEEDORES[[#This Row],[SUBTOTAL]]-PROVEEDORES[[#This Row],[descuento sobre subtotal]])</f>
        <v>0</v>
      </c>
      <c r="R779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77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63">
        <f ca="1">IF(PROVEEDORES[[#This Row],[FECHA DE PAGO]]=0,TODAY()-PROVEEDORES[[#This Row],[FECHA DE FACTURACIÓN]]-PROVEEDORES[[#This Row],[PLAZO Días]],0)</f>
        <v>0</v>
      </c>
      <c r="U779" s="104">
        <f>+VLOOKUP(PROVEEDORES[[#This Row],[PROVEEDOR]],Terceros!$A:$D,4,FALSE)</f>
        <v>0</v>
      </c>
      <c r="V779" s="105">
        <f>+YEAR(PROVEEDORES[[#This Row],[FECHA DE FACTURACIÓN]])</f>
        <v>2022</v>
      </c>
      <c r="W779" s="105">
        <f>+MATCH(PROVEEDORES[[#This Row],[año facturado]],Retenciones!$1:$1,0)</f>
        <v>5</v>
      </c>
      <c r="X779" s="106">
        <f>+VLOOKUP(PROVEEDORES[[#This Row],[ID RETENCION]],Retenciones!$A$1:$O$25,PROVEEDORES[[#This Row],[indicador de columna]],FALSE)</f>
        <v>0</v>
      </c>
      <c r="Y779" s="107">
        <f>+VLOOKUP(PROVEEDORES[[#This Row],[ID RETENCION]],Retenciones!$A$1:$O$25,2,FALSE)</f>
        <v>0</v>
      </c>
      <c r="Z779" s="116" t="b">
        <f>OR(COUNTIF(PROVEEDORES[[#This Row],[PROVEEDOR]],"*"&amp;'Palabra no opera'!$A$2&amp;"*"))</f>
        <v>1</v>
      </c>
    </row>
    <row r="780" spans="1:26" ht="22.35" customHeight="1" x14ac:dyDescent="0.3">
      <c r="A780" s="192" t="str">
        <f>+IF(PROVEEDORES[[#This Row],[FECHA DE PAGO]]=PROVEEDORES[[#This Row],[FECHA DE FACTURACIÓN]],"DE CONTADO","CRÉDITO")</f>
        <v>CRÉDITO</v>
      </c>
      <c r="B780" s="38" t="b">
        <f>+IF((PROVEEDORES[[#This Row],[FECHA DE PAGO]]-PROVEEDORES[[#This Row],[FECHA DE FACTURACIÓN]])&gt;PROVEEDORES[[#This Row],[PLAZO Días]],"PAGO VENCIDO")</f>
        <v>0</v>
      </c>
      <c r="C780" s="20">
        <f>+VLOOKUP(PROVEEDORES[[#This Row],[PROVEEDOR]],TERCEROS_INFO[#All],2,FALSE)</f>
        <v>30</v>
      </c>
      <c r="D780" s="25">
        <f>+SUMIFS(PROVEEDORES[Total],PROVEEDORES[PROVEEDOR],PROVEEDORES[[#This Row],[PROVEEDOR]],PROVEEDORES[FECHA DE PAGO],"")</f>
        <v>0</v>
      </c>
      <c r="E780" s="25"/>
      <c r="F780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780" s="68">
        <v>44819</v>
      </c>
      <c r="H780" s="26" t="s">
        <v>628</v>
      </c>
      <c r="I780" s="68">
        <v>44805</v>
      </c>
      <c r="J780" s="35">
        <v>11379</v>
      </c>
      <c r="K780" s="21">
        <v>1649859</v>
      </c>
      <c r="L780" s="21"/>
      <c r="M780" s="22">
        <f>(PROVEEDORES[[#This Row],[SUBTOTAL]]-PROVEEDORES[[#This Row],[descuento sobre subtotal]])*VLOOKUP(PROVEEDORES[[#This Row],[PROVEEDOR]],TERCEROS_INFO[#All],3,FALSE)</f>
        <v>0</v>
      </c>
      <c r="N780" s="23"/>
      <c r="O780" s="22">
        <v>80632</v>
      </c>
      <c r="P780" s="74">
        <f>+IF(PROVEEDORES[[#This Row],[SUBTOTAL]]&lt;PROVEEDORES[[#This Row],[base retencion]],0,PROVEEDORES[[#This Row],[retención aplicada]])</f>
        <v>0</v>
      </c>
      <c r="Q780" s="22">
        <f>+PROVEEDORES[[#This Row],[Rete Fuente %]]*(PROVEEDORES[[#This Row],[SUBTOTAL]]-PROVEEDORES[[#This Row],[descuento sobre subtotal]])</f>
        <v>0</v>
      </c>
      <c r="R780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78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63">
        <f ca="1">IF(PROVEEDORES[[#This Row],[FECHA DE PAGO]]=0,TODAY()-PROVEEDORES[[#This Row],[FECHA DE FACTURACIÓN]]-PROVEEDORES[[#This Row],[PLAZO Días]],0)</f>
        <v>0</v>
      </c>
      <c r="U780" s="104">
        <f>+VLOOKUP(PROVEEDORES[[#This Row],[PROVEEDOR]],Terceros!$A:$D,4,FALSE)</f>
        <v>0</v>
      </c>
      <c r="V780" s="105">
        <f>+YEAR(PROVEEDORES[[#This Row],[FECHA DE FACTURACIÓN]])</f>
        <v>2022</v>
      </c>
      <c r="W780" s="105">
        <f>+MATCH(PROVEEDORES[[#This Row],[año facturado]],Retenciones!$1:$1,0)</f>
        <v>5</v>
      </c>
      <c r="X780" s="106">
        <f>+VLOOKUP(PROVEEDORES[[#This Row],[ID RETENCION]],Retenciones!$A$1:$O$25,PROVEEDORES[[#This Row],[indicador de columna]],FALSE)</f>
        <v>0</v>
      </c>
      <c r="Y780" s="107">
        <f>+VLOOKUP(PROVEEDORES[[#This Row],[ID RETENCION]],Retenciones!$A$1:$O$25,2,FALSE)</f>
        <v>0</v>
      </c>
      <c r="Z780" s="116" t="b">
        <f>OR(COUNTIF(PROVEEDORES[[#This Row],[PROVEEDOR]],"*"&amp;'Palabra no opera'!$A$2&amp;"*"))</f>
        <v>1</v>
      </c>
    </row>
    <row r="781" spans="1:26" ht="22.35" customHeight="1" x14ac:dyDescent="0.3">
      <c r="A781" s="67" t="str">
        <f>+IF(PROVEEDORES[[#This Row],[FECHA DE PAGO]]=PROVEEDORES[[#This Row],[FECHA DE FACTURACIÓN]],"DE CONTADO","CRÉDITO")</f>
        <v>CRÉDITO</v>
      </c>
      <c r="B781" s="38" t="b">
        <f>+IF((PROVEEDORES[[#This Row],[FECHA DE PAGO]]-PROVEEDORES[[#This Row],[FECHA DE FACTURACIÓN]])&gt;PROVEEDORES[[#This Row],[PLAZO Días]],"PAGO VENCIDO")</f>
        <v>0</v>
      </c>
      <c r="C781" s="20">
        <f>+VLOOKUP(PROVEEDORES[[#This Row],[PROVEEDOR]],TERCEROS_INFO[#All],2,FALSE)</f>
        <v>30</v>
      </c>
      <c r="D781" s="25">
        <f>+SUMIFS(PROVEEDORES[Total],PROVEEDORES[PROVEEDOR],PROVEEDORES[[#This Row],[PROVEEDOR]],PROVEEDORES[FECHA DE PAGO],"")</f>
        <v>0</v>
      </c>
      <c r="E781" s="25"/>
      <c r="F781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781" s="68">
        <v>44819</v>
      </c>
      <c r="H781" s="26" t="s">
        <v>628</v>
      </c>
      <c r="I781" s="68">
        <v>44805</v>
      </c>
      <c r="J781" s="35">
        <v>11379</v>
      </c>
      <c r="K781" s="21">
        <v>1649859</v>
      </c>
      <c r="L781" s="21"/>
      <c r="M781" s="22">
        <f>(PROVEEDORES[[#This Row],[SUBTOTAL]]-PROVEEDORES[[#This Row],[descuento sobre subtotal]])*VLOOKUP(PROVEEDORES[[#This Row],[PROVEEDOR]],TERCEROS_INFO[#All],3,FALSE)</f>
        <v>0</v>
      </c>
      <c r="N781" s="23"/>
      <c r="O781" s="22">
        <v>80632</v>
      </c>
      <c r="P781" s="74">
        <f>+IF(PROVEEDORES[[#This Row],[SUBTOTAL]]&lt;PROVEEDORES[[#This Row],[base retencion]],0,PROVEEDORES[[#This Row],[retención aplicada]])</f>
        <v>0</v>
      </c>
      <c r="Q781" s="22">
        <f>+PROVEEDORES[[#This Row],[Rete Fuente %]]*(PROVEEDORES[[#This Row],[SUBTOTAL]]-PROVEEDORES[[#This Row],[descuento sobre subtotal]])</f>
        <v>0</v>
      </c>
      <c r="R781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7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63">
        <f ca="1">IF(PROVEEDORES[[#This Row],[FECHA DE PAGO]]=0,TODAY()-PROVEEDORES[[#This Row],[FECHA DE FACTURACIÓN]]-PROVEEDORES[[#This Row],[PLAZO Días]],0)</f>
        <v>0</v>
      </c>
      <c r="U781" s="104">
        <f>+VLOOKUP(PROVEEDORES[[#This Row],[PROVEEDOR]],Terceros!$A:$D,4,FALSE)</f>
        <v>0</v>
      </c>
      <c r="V781" s="105">
        <f>+YEAR(PROVEEDORES[[#This Row],[FECHA DE FACTURACIÓN]])</f>
        <v>2022</v>
      </c>
      <c r="W781" s="105">
        <f>+MATCH(PROVEEDORES[[#This Row],[año facturado]],Retenciones!$1:$1,0)</f>
        <v>5</v>
      </c>
      <c r="X781" s="106">
        <f>+VLOOKUP(PROVEEDORES[[#This Row],[ID RETENCION]],Retenciones!$A$1:$O$25,PROVEEDORES[[#This Row],[indicador de columna]],FALSE)</f>
        <v>0</v>
      </c>
      <c r="Y781" s="107">
        <f>+VLOOKUP(PROVEEDORES[[#This Row],[ID RETENCION]],Retenciones!$A$1:$O$25,2,FALSE)</f>
        <v>0</v>
      </c>
      <c r="Z781" s="116" t="b">
        <f>OR(COUNTIF(PROVEEDORES[[#This Row],[PROVEEDOR]],"*"&amp;'Palabra no opera'!$A$2&amp;"*"))</f>
        <v>1</v>
      </c>
    </row>
    <row r="782" spans="1:26" ht="22.35" customHeight="1" x14ac:dyDescent="0.3">
      <c r="A782" s="200" t="str">
        <f>+IF(PROVEEDORES[[#This Row],[FECHA DE PAGO]]=PROVEEDORES[[#This Row],[FECHA DE FACTURACIÓN]],"DE CONTADO","CRÉDITO")</f>
        <v>CRÉDITO</v>
      </c>
      <c r="B782" s="201" t="b">
        <f>+IF((PROVEEDORES[[#This Row],[FECHA DE PAGO]]-PROVEEDORES[[#This Row],[FECHA DE FACTURACIÓN]])&gt;PROVEEDORES[[#This Row],[PLAZO Días]],"PAGO VENCIDO")</f>
        <v>0</v>
      </c>
      <c r="C782" s="202">
        <f>+VLOOKUP(PROVEEDORES[[#This Row],[PROVEEDOR]],TERCEROS_INFO[#All],2,FALSE)</f>
        <v>30</v>
      </c>
      <c r="D782" s="203">
        <f>+SUMIFS(PROVEEDORES[Total],PROVEEDORES[PROVEEDOR],PROVEEDORES[[#This Row],[PROVEEDOR]],PROVEEDORES[FECHA DE PAGO],"")</f>
        <v>0</v>
      </c>
      <c r="E782" s="203"/>
      <c r="F782" s="204" t="str">
        <f>+VLOOKUP(PROVEEDORES[[#This Row],[PROVEEDOR]],
                       Terceros!$A:$F,
                       5,
                       FALSE)</f>
        <v/>
      </c>
      <c r="G782" s="177">
        <v>44821</v>
      </c>
      <c r="H782" s="205" t="s">
        <v>356</v>
      </c>
      <c r="I782" s="177">
        <v>44819</v>
      </c>
      <c r="J782" s="206" t="s">
        <v>1125</v>
      </c>
      <c r="K782" s="207">
        <v>5428000</v>
      </c>
      <c r="L782" s="207"/>
      <c r="M782" s="208">
        <f>(PROVEEDORES[[#This Row],[SUBTOTAL]]-PROVEEDORES[[#This Row],[descuento sobre subtotal]])*VLOOKUP(PROVEEDORES[[#This Row],[PROVEEDOR]],TERCEROS_INFO[#All],3,FALSE)</f>
        <v>0</v>
      </c>
      <c r="N782" s="209"/>
      <c r="O782" s="208">
        <f>+PROVEEDORES[[#This Row],[Descuento sobre subtotal %]]*(PROVEEDORES[[#This Row],[SUBTOTAL]]-PROVEEDORES[[#This Row],[descuento sobre subtotal]])</f>
        <v>0</v>
      </c>
      <c r="P782" s="210">
        <f>+IF(PROVEEDORES[[#This Row],[SUBTOTAL]]&lt;PROVEEDORES[[#This Row],[base retencion]],0,PROVEEDORES[[#This Row],[retención aplicada]])</f>
        <v>0</v>
      </c>
      <c r="Q782" s="208">
        <f>+PROVEEDORES[[#This Row],[Rete Fuente %]]*(PROVEEDORES[[#This Row],[SUBTOTAL]]-PROVEEDORES[[#This Row],[descuento sobre subtotal]])</f>
        <v>0</v>
      </c>
      <c r="R782" s="207">
        <f>+PROVEEDORES[[#This Row],[SUBTOTAL]]+PROVEEDORES[[#This Row],[IVA 19%]]-PROVEEDORES[[#This Row],[descuento sobre subtotal]]-PROVEEDORES[[#This Row],[Descuento sobre subtotal $2]]-PROVEEDORES[[#This Row],[Rete Fuente $]]</f>
        <v>5428000</v>
      </c>
      <c r="S782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212">
        <f ca="1">IF(PROVEEDORES[[#This Row],[FECHA DE PAGO]]=0,TODAY()-PROVEEDORES[[#This Row],[FECHA DE FACTURACIÓN]]-PROVEEDORES[[#This Row],[PLAZO Días]],0)</f>
        <v>0</v>
      </c>
      <c r="U782" s="213">
        <f>+VLOOKUP(PROVEEDORES[[#This Row],[PROVEEDOR]],Terceros!$A:$D,4,FALSE)</f>
        <v>0</v>
      </c>
      <c r="V782" s="214">
        <f>+YEAR(PROVEEDORES[[#This Row],[FECHA DE FACTURACIÓN]])</f>
        <v>2022</v>
      </c>
      <c r="W782" s="214">
        <f>+MATCH(PROVEEDORES[[#This Row],[año facturado]],Retenciones!$1:$1,0)</f>
        <v>5</v>
      </c>
      <c r="X782" s="215">
        <f>+VLOOKUP(PROVEEDORES[[#This Row],[ID RETENCION]],Retenciones!$A$1:$O$25,PROVEEDORES[[#This Row],[indicador de columna]],FALSE)</f>
        <v>0</v>
      </c>
      <c r="Y782" s="216">
        <f>+VLOOKUP(PROVEEDORES[[#This Row],[ID RETENCION]],Retenciones!$A$1:$O$25,2,FALSE)</f>
        <v>0</v>
      </c>
      <c r="Z782" s="217" t="b">
        <f>OR(COUNTIF(PROVEEDORES[[#This Row],[PROVEEDOR]],"*"&amp;'Palabra no opera'!$A$2&amp;"*"))</f>
        <v>0</v>
      </c>
    </row>
    <row r="783" spans="1:26" ht="22.35" customHeight="1" x14ac:dyDescent="0.3">
      <c r="A783" s="67" t="str">
        <f>+IF(PROVEEDORES[[#This Row],[FECHA DE PAGO]]=PROVEEDORES[[#This Row],[FECHA DE FACTURACIÓN]],"DE CONTADO","CRÉDITO")</f>
        <v>CRÉDITO</v>
      </c>
      <c r="B783" s="38" t="b">
        <f>+IF((PROVEEDORES[[#This Row],[FECHA DE PAGO]]-PROVEEDORES[[#This Row],[FECHA DE FACTURACIÓN]])&gt;PROVEEDORES[[#This Row],[PLAZO Días]],"PAGO VENCIDO")</f>
        <v>0</v>
      </c>
      <c r="C783" s="20">
        <f>+VLOOKUP(PROVEEDORES[[#This Row],[PROVEEDOR]],TERCEROS_INFO[#All],2,FALSE)</f>
        <v>30</v>
      </c>
      <c r="D783" s="25">
        <f>+SUMIFS(PROVEEDORES[Total],PROVEEDORES[PROVEEDOR],PROVEEDORES[[#This Row],[PROVEEDOR]],PROVEEDORES[FECHA DE PAGO],"")</f>
        <v>0</v>
      </c>
      <c r="E783" s="25"/>
      <c r="F783" s="56">
        <f>+VLOOKUP(PROVEEDORES[[#This Row],[PROVEEDOR]],
                       Terceros!$A:$F,
                       5,
                       FALSE)</f>
        <v>0</v>
      </c>
      <c r="G783" s="68">
        <v>44821</v>
      </c>
      <c r="H783" s="26" t="s">
        <v>1135</v>
      </c>
      <c r="I783" s="68">
        <v>44812</v>
      </c>
      <c r="J783" s="35" t="s">
        <v>1136</v>
      </c>
      <c r="K783" s="21">
        <v>936000</v>
      </c>
      <c r="L783" s="21"/>
      <c r="M783" s="22">
        <f>(PROVEEDORES[[#This Row],[SUBTOTAL]]-PROVEEDORES[[#This Row],[descuento sobre subtotal]])*VLOOKUP(PROVEEDORES[[#This Row],[PROVEEDOR]],TERCEROS_INFO[#All],3,FALSE)</f>
        <v>0</v>
      </c>
      <c r="N783" s="23"/>
      <c r="O783" s="22">
        <f>+PROVEEDORES[[#This Row],[Descuento sobre subtotal %]]*(PROVEEDORES[[#This Row],[SUBTOTAL]]-PROVEEDORES[[#This Row],[descuento sobre subtotal]])</f>
        <v>0</v>
      </c>
      <c r="P783" s="74">
        <f>+IF(PROVEEDORES[[#This Row],[SUBTOTAL]]&lt;PROVEEDORES[[#This Row],[base retencion]],0,PROVEEDORES[[#This Row],[retención aplicada]])</f>
        <v>0</v>
      </c>
      <c r="Q783" s="22">
        <f>+PROVEEDORES[[#This Row],[Rete Fuente %]]*(PROVEEDORES[[#This Row],[SUBTOTAL]]-PROVEEDORES[[#This Row],[descuento sobre subtotal]])</f>
        <v>0</v>
      </c>
      <c r="R783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7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63">
        <f ca="1">IF(PROVEEDORES[[#This Row],[FECHA DE PAGO]]=0,TODAY()-PROVEEDORES[[#This Row],[FECHA DE FACTURACIÓN]]-PROVEEDORES[[#This Row],[PLAZO Días]],0)</f>
        <v>0</v>
      </c>
      <c r="U783" s="104">
        <f>+VLOOKUP(PROVEEDORES[[#This Row],[PROVEEDOR]],Terceros!$A:$D,4,FALSE)</f>
        <v>0</v>
      </c>
      <c r="V783" s="105">
        <f>+YEAR(PROVEEDORES[[#This Row],[FECHA DE FACTURACIÓN]])</f>
        <v>2022</v>
      </c>
      <c r="W783" s="105">
        <f>+MATCH(PROVEEDORES[[#This Row],[año facturado]],Retenciones!$1:$1,0)</f>
        <v>5</v>
      </c>
      <c r="X783" s="106">
        <f>+VLOOKUP(PROVEEDORES[[#This Row],[ID RETENCION]],Retenciones!$A$1:$O$25,PROVEEDORES[[#This Row],[indicador de columna]],FALSE)</f>
        <v>0</v>
      </c>
      <c r="Y783" s="107">
        <f>+VLOOKUP(PROVEEDORES[[#This Row],[ID RETENCION]],Retenciones!$A$1:$O$25,2,FALSE)</f>
        <v>0</v>
      </c>
      <c r="Z783" s="116" t="b">
        <f>OR(COUNTIF(PROVEEDORES[[#This Row],[PROVEEDOR]],"*"&amp;'Palabra no opera'!$A$2&amp;"*"))</f>
        <v>0</v>
      </c>
    </row>
    <row r="784" spans="1:26" ht="22.35" customHeight="1" x14ac:dyDescent="0.3">
      <c r="A784" s="67" t="str">
        <f>+IF(PROVEEDORES[[#This Row],[FECHA DE PAGO]]=PROVEEDORES[[#This Row],[FECHA DE FACTURACIÓN]],"DE CONTADO","CRÉDITO")</f>
        <v>CRÉDITO</v>
      </c>
      <c r="B784" s="38" t="b">
        <f>+IF((PROVEEDORES[[#This Row],[FECHA DE PAGO]]-PROVEEDORES[[#This Row],[FECHA DE FACTURACIÓN]])&gt;PROVEEDORES[[#This Row],[PLAZO Días]],"PAGO VENCIDO")</f>
        <v>0</v>
      </c>
      <c r="C784" s="20">
        <f>+VLOOKUP(PROVEEDORES[[#This Row],[PROVEEDOR]],TERCEROS_INFO[#All],2,FALSE)</f>
        <v>30</v>
      </c>
      <c r="D784" s="25">
        <f>+SUMIFS(PROVEEDORES[Total],PROVEEDORES[PROVEEDOR],PROVEEDORES[[#This Row],[PROVEEDOR]],PROVEEDORES[FECHA DE PAGO],"")</f>
        <v>0</v>
      </c>
      <c r="E784" s="25"/>
      <c r="F78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784" s="68">
        <v>44823</v>
      </c>
      <c r="H784" s="26" t="s">
        <v>623</v>
      </c>
      <c r="I784" s="68">
        <v>44805</v>
      </c>
      <c r="J784" s="35" t="s">
        <v>1093</v>
      </c>
      <c r="K784" s="21">
        <v>791781</v>
      </c>
      <c r="L784" s="21"/>
      <c r="M784" s="22">
        <f>(PROVEEDORES[[#This Row],[SUBTOTAL]]-PROVEEDORES[[#This Row],[descuento sobre subtotal]])*VLOOKUP(PROVEEDORES[[#This Row],[PROVEEDOR]],TERCEROS_INFO[#All],3,FALSE)</f>
        <v>150438.39000000001</v>
      </c>
      <c r="N784" s="23"/>
      <c r="O784" s="22">
        <f>+PROVEEDORES[[#This Row],[Descuento sobre subtotal %]]*(PROVEEDORES[[#This Row],[SUBTOTAL]]-PROVEEDORES[[#This Row],[descuento sobre subtotal]])</f>
        <v>0</v>
      </c>
      <c r="P784" s="74">
        <v>0</v>
      </c>
      <c r="Q784" s="22">
        <f>+PROVEEDORES[[#This Row],[Rete Fuente %]]*(PROVEEDORES[[#This Row],[SUBTOTAL]]-PROVEEDORES[[#This Row],[descuento sobre subtotal]])</f>
        <v>0</v>
      </c>
      <c r="R784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7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63">
        <f ca="1">IF(PROVEEDORES[[#This Row],[FECHA DE PAGO]]=0,TODAY()-PROVEEDORES[[#This Row],[FECHA DE FACTURACIÓN]]-PROVEEDORES[[#This Row],[PLAZO Días]],0)</f>
        <v>0</v>
      </c>
      <c r="U784" s="104" t="str">
        <f>+VLOOKUP(PROVEEDORES[[#This Row],[PROVEEDOR]],Terceros!$A:$D,4,FALSE)</f>
        <v>4% sin base</v>
      </c>
      <c r="V784" s="105">
        <f>+YEAR(PROVEEDORES[[#This Row],[FECHA DE FACTURACIÓN]])</f>
        <v>2022</v>
      </c>
      <c r="W784" s="105">
        <f>+MATCH(PROVEEDORES[[#This Row],[año facturado]],Retenciones!$1:$1,0)</f>
        <v>5</v>
      </c>
      <c r="X784" s="106">
        <f>+VLOOKUP(PROVEEDORES[[#This Row],[ID RETENCION]],Retenciones!$A$1:$O$25,PROVEEDORES[[#This Row],[indicador de columna]],FALSE)</f>
        <v>0</v>
      </c>
      <c r="Y784" s="107">
        <f>+VLOOKUP(PROVEEDORES[[#This Row],[ID RETENCION]],Retenciones!$A$1:$O$25,2,FALSE)</f>
        <v>0.04</v>
      </c>
      <c r="Z784" s="116" t="b">
        <f>OR(COUNTIF(PROVEEDORES[[#This Row],[PROVEEDOR]],"*"&amp;'Palabra no opera'!$A$2&amp;"*"))</f>
        <v>1</v>
      </c>
    </row>
    <row r="785" spans="1:26" ht="22.35" customHeight="1" x14ac:dyDescent="0.3">
      <c r="A785" s="67" t="str">
        <f>+IF(PROVEEDORES[[#This Row],[FECHA DE PAGO]]=PROVEEDORES[[#This Row],[FECHA DE FACTURACIÓN]],"DE CONTADO","CRÉDITO")</f>
        <v>CRÉDITO</v>
      </c>
      <c r="B785" s="38" t="b">
        <f>+IF((PROVEEDORES[[#This Row],[FECHA DE PAGO]]-PROVEEDORES[[#This Row],[FECHA DE FACTURACIÓN]])&gt;PROVEEDORES[[#This Row],[PLAZO Días]],"PAGO VENCIDO")</f>
        <v>0</v>
      </c>
      <c r="C785" s="20">
        <f>+VLOOKUP(PROVEEDORES[[#This Row],[PROVEEDOR]],TERCEROS_INFO[#All],2,FALSE)</f>
        <v>30</v>
      </c>
      <c r="D785" s="25">
        <f>+SUMIFS(PROVEEDORES[Total],PROVEEDORES[PROVEEDOR],PROVEEDORES[[#This Row],[PROVEEDOR]],PROVEEDORES[FECHA DE PAGO],"")</f>
        <v>0</v>
      </c>
      <c r="E785" s="25"/>
      <c r="F78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785" s="68">
        <v>44823</v>
      </c>
      <c r="H785" s="26" t="s">
        <v>623</v>
      </c>
      <c r="I785" s="68">
        <v>44805</v>
      </c>
      <c r="J785" s="35" t="s">
        <v>1092</v>
      </c>
      <c r="K785" s="21">
        <v>3294426</v>
      </c>
      <c r="L785" s="21"/>
      <c r="M785" s="22">
        <f>(PROVEEDORES[[#This Row],[SUBTOTAL]]-PROVEEDORES[[#This Row],[descuento sobre subtotal]])*VLOOKUP(PROVEEDORES[[#This Row],[PROVEEDOR]],TERCEROS_INFO[#All],3,FALSE)</f>
        <v>625940.94000000006</v>
      </c>
      <c r="N785" s="23"/>
      <c r="O785" s="22">
        <f>+PROVEEDORES[[#This Row],[Descuento sobre subtotal %]]*(PROVEEDORES[[#This Row],[SUBTOTAL]]-PROVEEDORES[[#This Row],[descuento sobre subtotal]])</f>
        <v>0</v>
      </c>
      <c r="P785" s="74">
        <v>0</v>
      </c>
      <c r="Q785" s="22">
        <f>+PROVEEDORES[[#This Row],[Rete Fuente %]]*(PROVEEDORES[[#This Row],[SUBTOTAL]]-PROVEEDORES[[#This Row],[descuento sobre subtotal]])</f>
        <v>0</v>
      </c>
      <c r="R785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78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63">
        <f ca="1">IF(PROVEEDORES[[#This Row],[FECHA DE PAGO]]=0,TODAY()-PROVEEDORES[[#This Row],[FECHA DE FACTURACIÓN]]-PROVEEDORES[[#This Row],[PLAZO Días]],0)</f>
        <v>0</v>
      </c>
      <c r="U785" s="104" t="str">
        <f>+VLOOKUP(PROVEEDORES[[#This Row],[PROVEEDOR]],Terceros!$A:$D,4,FALSE)</f>
        <v>4% sin base</v>
      </c>
      <c r="V785" s="105">
        <f>+YEAR(PROVEEDORES[[#This Row],[FECHA DE FACTURACIÓN]])</f>
        <v>2022</v>
      </c>
      <c r="W785" s="105">
        <f>+MATCH(PROVEEDORES[[#This Row],[año facturado]],Retenciones!$1:$1,0)</f>
        <v>5</v>
      </c>
      <c r="X785" s="106">
        <f>+VLOOKUP(PROVEEDORES[[#This Row],[ID RETENCION]],Retenciones!$A$1:$O$25,PROVEEDORES[[#This Row],[indicador de columna]],FALSE)</f>
        <v>0</v>
      </c>
      <c r="Y785" s="107">
        <f>+VLOOKUP(PROVEEDORES[[#This Row],[ID RETENCION]],Retenciones!$A$1:$O$25,2,FALSE)</f>
        <v>0.04</v>
      </c>
      <c r="Z785" s="116" t="b">
        <f>OR(COUNTIF(PROVEEDORES[[#This Row],[PROVEEDOR]],"*"&amp;'Palabra no opera'!$A$2&amp;"*"))</f>
        <v>1</v>
      </c>
    </row>
    <row r="786" spans="1:26" ht="22.35" customHeight="1" x14ac:dyDescent="0.3">
      <c r="A786" s="133" t="str">
        <f>+IF(PROVEEDORES[[#This Row],[FECHA DE PAGO]]=PROVEEDORES[[#This Row],[FECHA DE FACTURACIÓN]],"DE CONTADO","CRÉDITO")</f>
        <v>CRÉDITO</v>
      </c>
      <c r="B786" s="38" t="str">
        <f>+IF((PROVEEDORES[[#This Row],[FECHA DE PAGO]]-PROVEEDORES[[#This Row],[FECHA DE FACTURACIÓN]])&gt;PROVEEDORES[[#This Row],[PLAZO Días]],"PAGO VENCIDO")</f>
        <v>PAGO VENCIDO</v>
      </c>
      <c r="C786" s="20">
        <f>+VLOOKUP(PROVEEDORES[[#This Row],[PROVEEDOR]],TERCEROS_INFO[#All],2,FALSE)</f>
        <v>30</v>
      </c>
      <c r="D786" s="25">
        <f>+SUMIFS(PROVEEDORES[Total],PROVEEDORES[PROVEEDOR],PROVEEDORES[[#This Row],[PROVEEDOR]],PROVEEDORES[FECHA DE PAGO],"")</f>
        <v>0</v>
      </c>
      <c r="E786" s="25"/>
      <c r="F786" s="56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786" s="68">
        <v>44823</v>
      </c>
      <c r="H786" s="26" t="s">
        <v>239</v>
      </c>
      <c r="I786" s="68">
        <v>44704</v>
      </c>
      <c r="J786" s="35" t="s">
        <v>698</v>
      </c>
      <c r="K786" s="21">
        <v>3657983</v>
      </c>
      <c r="L786" s="21"/>
      <c r="M786" s="22">
        <f>(PROVEEDORES[[#This Row],[SUBTOTAL]]-PROVEEDORES[[#This Row],[descuento sobre subtotal]])*VLOOKUP(PROVEEDORES[[#This Row],[PROVEEDOR]],TERCEROS_INFO[#All],3,FALSE)</f>
        <v>695016.77</v>
      </c>
      <c r="N786" s="23"/>
      <c r="O786" s="22">
        <f>+PROVEEDORES[[#This Row],[Descuento sobre subtotal %]]*(PROVEEDORES[[#This Row],[SUBTOTAL]]-PROVEEDORES[[#This Row],[descuento sobre subtotal]])</f>
        <v>0</v>
      </c>
      <c r="P786" s="74">
        <f>+IF(PROVEEDORES[[#This Row],[SUBTOTAL]]&lt;PROVEEDORES[[#This Row],[base retencion]],0,PROVEEDORES[[#This Row],[retención aplicada]])</f>
        <v>2.5000000000000001E-2</v>
      </c>
      <c r="Q786" s="22">
        <f>+PROVEEDORES[[#This Row],[Rete Fuente %]]*(PROVEEDORES[[#This Row],[SUBTOTAL]]-PROVEEDORES[[#This Row],[descuento sobre subtotal]])</f>
        <v>91449.575000000012</v>
      </c>
      <c r="R786" s="21">
        <f>+PROVEEDORES[[#This Row],[SUBTOTAL]]+PROVEEDORES[[#This Row],[IVA 19%]]-PROVEEDORES[[#This Row],[descuento sobre subtotal]]-PROVEEDORES[[#This Row],[Descuento sobre subtotal $2]]-PROVEEDORES[[#This Row],[Rete Fuente $]]</f>
        <v>4261550.1949999994</v>
      </c>
      <c r="S786" s="1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63">
        <f ca="1">IF(PROVEEDORES[[#This Row],[FECHA DE PAGO]]=0,TODAY()-PROVEEDORES[[#This Row],[FECHA DE FACTURACIÓN]]-PROVEEDORES[[#This Row],[PLAZO Días]],0)</f>
        <v>0</v>
      </c>
      <c r="U786" s="104" t="str">
        <f>+VLOOKUP(PROVEEDORES[[#This Row],[PROVEEDOR]],Terceros!$A:$D,4,FALSE)</f>
        <v>2,5% con base</v>
      </c>
      <c r="V786" s="105">
        <f>+YEAR(PROVEEDORES[[#This Row],[FECHA DE FACTURACIÓN]])</f>
        <v>2022</v>
      </c>
      <c r="W786" s="105">
        <f>+MATCH(PROVEEDORES[[#This Row],[año facturado]],Retenciones!$1:$1,0)</f>
        <v>5</v>
      </c>
      <c r="X786" s="106">
        <f>+VLOOKUP(PROVEEDORES[[#This Row],[ID RETENCION]],Retenciones!$A$1:$O$25,PROVEEDORES[[#This Row],[indicador de columna]],FALSE)</f>
        <v>1026000</v>
      </c>
      <c r="Y786" s="107">
        <f>+VLOOKUP(PROVEEDORES[[#This Row],[ID RETENCION]],Retenciones!$A$1:$O$25,2,FALSE)</f>
        <v>2.5000000000000001E-2</v>
      </c>
      <c r="Z786" s="116" t="b">
        <f>OR(COUNTIF(PROVEEDORES[[#This Row],[PROVEEDOR]],"*"&amp;'Palabra no opera'!$A$2&amp;"*"))</f>
        <v>0</v>
      </c>
    </row>
    <row r="787" spans="1:26" ht="22.35" customHeight="1" x14ac:dyDescent="0.3">
      <c r="A787" s="67" t="str">
        <f>+IF(PROVEEDORES[[#This Row],[FECHA DE PAGO]]=PROVEEDORES[[#This Row],[FECHA DE FACTURACIÓN]],"DE CONTADO","CRÉDITO")</f>
        <v>CRÉDITO</v>
      </c>
      <c r="B787" s="38" t="str">
        <f>+IF((PROVEEDORES[[#This Row],[FECHA DE PAGO]]-PROVEEDORES[[#This Row],[FECHA DE FACTURACIÓN]])&gt;PROVEEDORES[[#This Row],[PLAZO Días]],"PAGO VENCIDO")</f>
        <v>PAGO VENCIDO</v>
      </c>
      <c r="C787" s="20">
        <f>+VLOOKUP(PROVEEDORES[[#This Row],[PROVEEDOR]],TERCEROS_INFO[#All],2,FALSE)</f>
        <v>30</v>
      </c>
      <c r="D787" s="25">
        <f>+SUMIFS(PROVEEDORES[Total],PROVEEDORES[PROVEEDOR],PROVEEDORES[[#This Row],[PROVEEDOR]],PROVEEDORES[FECHA DE PAGO],"")</f>
        <v>17870934.149999999</v>
      </c>
      <c r="E787" s="25"/>
      <c r="F78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87" s="68">
        <v>44823</v>
      </c>
      <c r="H787" s="26" t="s">
        <v>18</v>
      </c>
      <c r="I787" s="68">
        <v>44764</v>
      </c>
      <c r="J787" s="35">
        <v>1056755</v>
      </c>
      <c r="K787" s="21">
        <v>2426648</v>
      </c>
      <c r="L787" s="21"/>
      <c r="M787" s="22">
        <f>(PROVEEDORES[[#This Row],[SUBTOTAL]]-PROVEEDORES[[#This Row],[descuento sobre subtotal]])*VLOOKUP(PROVEEDORES[[#This Row],[PROVEEDOR]],TERCEROS_INFO[#All],3,FALSE)</f>
        <v>461063.12</v>
      </c>
      <c r="N787" s="23"/>
      <c r="O787" s="22">
        <v>595000</v>
      </c>
      <c r="P787" s="74">
        <f>+IF(PROVEEDORES[[#This Row],[SUBTOTAL]]&lt;PROVEEDORES[[#This Row],[base retencion]],0,PROVEEDORES[[#This Row],[retención aplicada]])</f>
        <v>2.5000000000000001E-2</v>
      </c>
      <c r="Q787" s="22">
        <f>+PROVEEDORES[[#This Row],[Rete Fuente %]]*(PROVEEDORES[[#This Row],[SUBTOTAL]]-PROVEEDORES[[#This Row],[descuento sobre subtotal]])</f>
        <v>60666.200000000004</v>
      </c>
      <c r="R787" s="21">
        <f>+PROVEEDORES[[#This Row],[SUBTOTAL]]+PROVEEDORES[[#This Row],[IVA 19%]]-PROVEEDORES[[#This Row],[descuento sobre subtotal]]-PROVEEDORES[[#This Row],[Descuento sobre subtotal $2]]-PROVEEDORES[[#This Row],[Rete Fuente $]]</f>
        <v>2232044.92</v>
      </c>
      <c r="S7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63">
        <f ca="1">IF(PROVEEDORES[[#This Row],[FECHA DE PAGO]]=0,TODAY()-PROVEEDORES[[#This Row],[FECHA DE FACTURACIÓN]]-PROVEEDORES[[#This Row],[PLAZO Días]],0)</f>
        <v>0</v>
      </c>
      <c r="U787" s="104" t="str">
        <f>+VLOOKUP(PROVEEDORES[[#This Row],[PROVEEDOR]],Terceros!$A:$D,4,FALSE)</f>
        <v>2,5% con base</v>
      </c>
      <c r="V787" s="105">
        <f>+YEAR(PROVEEDORES[[#This Row],[FECHA DE FACTURACIÓN]])</f>
        <v>2022</v>
      </c>
      <c r="W787" s="105">
        <f>+MATCH(PROVEEDORES[[#This Row],[año facturado]],Retenciones!$1:$1,0)</f>
        <v>5</v>
      </c>
      <c r="X787" s="106">
        <f>+VLOOKUP(PROVEEDORES[[#This Row],[ID RETENCION]],Retenciones!$A$1:$O$25,PROVEEDORES[[#This Row],[indicador de columna]],FALSE)</f>
        <v>1026000</v>
      </c>
      <c r="Y787" s="107">
        <f>+VLOOKUP(PROVEEDORES[[#This Row],[ID RETENCION]],Retenciones!$A$1:$O$25,2,FALSE)</f>
        <v>2.5000000000000001E-2</v>
      </c>
      <c r="Z787" s="116" t="b">
        <f>OR(COUNTIF(PROVEEDORES[[#This Row],[PROVEEDOR]],"*"&amp;'Palabra no opera'!$A$2&amp;"*"))</f>
        <v>0</v>
      </c>
    </row>
    <row r="788" spans="1:26" ht="22.35" customHeight="1" x14ac:dyDescent="0.3">
      <c r="A788" s="171" t="str">
        <f>+IF(PROVEEDORES[[#This Row],[FECHA DE PAGO]]=PROVEEDORES[[#This Row],[FECHA DE FACTURACIÓN]],"DE CONTADO","CRÉDITO")</f>
        <v>CRÉDITO</v>
      </c>
      <c r="B788" s="38" t="str">
        <f>+IF((PROVEEDORES[[#This Row],[FECHA DE PAGO]]-PROVEEDORES[[#This Row],[FECHA DE FACTURACIÓN]])&gt;PROVEEDORES[[#This Row],[PLAZO Días]],"PAGO VENCIDO")</f>
        <v>PAGO VENCIDO</v>
      </c>
      <c r="C788" s="20">
        <f>+VLOOKUP(PROVEEDORES[[#This Row],[PROVEEDOR]],TERCEROS_INFO[#All],2,FALSE)</f>
        <v>30</v>
      </c>
      <c r="D788" s="25">
        <f>+SUMIFS(PROVEEDORES[Total],PROVEEDORES[PROVEEDOR],PROVEEDORES[[#This Row],[PROVEEDOR]],PROVEEDORES[FECHA DE PAGO],"")</f>
        <v>17870934.149999999</v>
      </c>
      <c r="E788" s="25"/>
      <c r="F78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88" s="68">
        <v>44823</v>
      </c>
      <c r="H788" s="26" t="s">
        <v>18</v>
      </c>
      <c r="I788" s="68">
        <v>44777</v>
      </c>
      <c r="J788" s="35">
        <v>1057349</v>
      </c>
      <c r="K788" s="21">
        <v>1769116.56</v>
      </c>
      <c r="L788" s="21"/>
      <c r="M788" s="22">
        <f>(PROVEEDORES[[#This Row],[SUBTOTAL]]-PROVEEDORES[[#This Row],[descuento sobre subtotal]])*VLOOKUP(PROVEEDORES[[#This Row],[PROVEEDOR]],TERCEROS_INFO[#All],3,FALSE)</f>
        <v>336132.14640000003</v>
      </c>
      <c r="N788" s="23"/>
      <c r="O788" s="22">
        <f>+PROVEEDORES[[#This Row],[Descuento sobre subtotal %]]*(PROVEEDORES[[#This Row],[SUBTOTAL]]-PROVEEDORES[[#This Row],[descuento sobre subtotal]])</f>
        <v>0</v>
      </c>
      <c r="P788" s="74">
        <f>+IF(PROVEEDORES[[#This Row],[SUBTOTAL]]&lt;PROVEEDORES[[#This Row],[base retencion]],0,PROVEEDORES[[#This Row],[retención aplicada]])</f>
        <v>2.5000000000000001E-2</v>
      </c>
      <c r="Q788" s="22">
        <f>+PROVEEDORES[[#This Row],[Rete Fuente %]]*(PROVEEDORES[[#This Row],[SUBTOTAL]]-PROVEEDORES[[#This Row],[descuento sobre subtotal]])</f>
        <v>44227.914000000004</v>
      </c>
      <c r="R788" s="21">
        <f>+PROVEEDORES[[#This Row],[SUBTOTAL]]+PROVEEDORES[[#This Row],[IVA 19%]]-PROVEEDORES[[#This Row],[descuento sobre subtotal]]-PROVEEDORES[[#This Row],[Descuento sobre subtotal $2]]-PROVEEDORES[[#This Row],[Rete Fuente $]]</f>
        <v>2061020.7923999999</v>
      </c>
      <c r="S788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63">
        <f ca="1">IF(PROVEEDORES[[#This Row],[FECHA DE PAGO]]=0,TODAY()-PROVEEDORES[[#This Row],[FECHA DE FACTURACIÓN]]-PROVEEDORES[[#This Row],[PLAZO Días]],0)</f>
        <v>0</v>
      </c>
      <c r="U788" s="104" t="str">
        <f>+VLOOKUP(PROVEEDORES[[#This Row],[PROVEEDOR]],Terceros!$A:$D,4,FALSE)</f>
        <v>2,5% con base</v>
      </c>
      <c r="V788" s="105">
        <f>+YEAR(PROVEEDORES[[#This Row],[FECHA DE FACTURACIÓN]])</f>
        <v>2022</v>
      </c>
      <c r="W788" s="105">
        <f>+MATCH(PROVEEDORES[[#This Row],[año facturado]],Retenciones!$1:$1,0)</f>
        <v>5</v>
      </c>
      <c r="X788" s="106">
        <f>+VLOOKUP(PROVEEDORES[[#This Row],[ID RETENCION]],Retenciones!$A$1:$O$25,PROVEEDORES[[#This Row],[indicador de columna]],FALSE)</f>
        <v>1026000</v>
      </c>
      <c r="Y788" s="107">
        <f>+VLOOKUP(PROVEEDORES[[#This Row],[ID RETENCION]],Retenciones!$A$1:$O$25,2,FALSE)</f>
        <v>2.5000000000000001E-2</v>
      </c>
      <c r="Z788" s="116" t="b">
        <f>OR(COUNTIF(PROVEEDORES[[#This Row],[PROVEEDOR]],"*"&amp;'Palabra no opera'!$A$2&amp;"*"))</f>
        <v>0</v>
      </c>
    </row>
    <row r="789" spans="1:26" ht="22.35" customHeight="1" x14ac:dyDescent="0.3">
      <c r="A789" s="196" t="str">
        <f>+IF(PROVEEDORES[[#This Row],[FECHA DE PAGO]]=PROVEEDORES[[#This Row],[FECHA DE FACTURACIÓN]],"DE CONTADO","CRÉDITO")</f>
        <v>DE CONTADO</v>
      </c>
      <c r="B789" s="38" t="b">
        <f>+IF((PROVEEDORES[[#This Row],[FECHA DE PAGO]]-PROVEEDORES[[#This Row],[FECHA DE FACTURACIÓN]])&gt;PROVEEDORES[[#This Row],[PLAZO Días]],"PAGO VENCIDO")</f>
        <v>0</v>
      </c>
      <c r="C789" s="20">
        <f>+VLOOKUP(PROVEEDORES[[#This Row],[PROVEEDOR]],TERCEROS_INFO[#All],2,FALSE)</f>
        <v>30</v>
      </c>
      <c r="D789" s="25">
        <f>+SUMIFS(PROVEEDORES[Total],PROVEEDORES[PROVEEDOR],PROVEEDORES[[#This Row],[PROVEEDOR]],PROVEEDORES[FECHA DE PAGO],"")</f>
        <v>17870934.149999999</v>
      </c>
      <c r="E789" s="25"/>
      <c r="F78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89" s="68">
        <v>44823</v>
      </c>
      <c r="H789" s="26" t="s">
        <v>18</v>
      </c>
      <c r="I789" s="68">
        <v>44823</v>
      </c>
      <c r="J789" s="35" t="s">
        <v>1137</v>
      </c>
      <c r="K789" s="21">
        <v>-595000</v>
      </c>
      <c r="L789" s="21"/>
      <c r="M789" s="22"/>
      <c r="N789" s="23"/>
      <c r="O789" s="22">
        <f>+PROVEEDORES[[#This Row],[Descuento sobre subtotal %]]*(PROVEEDORES[[#This Row],[SUBTOTAL]]-PROVEEDORES[[#This Row],[descuento sobre subtotal]])</f>
        <v>0</v>
      </c>
      <c r="P789" s="74">
        <f>+IF(PROVEEDORES[[#This Row],[SUBTOTAL]]&lt;PROVEEDORES[[#This Row],[base retencion]],0,PROVEEDORES[[#This Row],[retención aplicada]])</f>
        <v>0</v>
      </c>
      <c r="Q789" s="22">
        <f>+PROVEEDORES[[#This Row],[Rete Fuente %]]*(PROVEEDORES[[#This Row],[SUBTOTAL]]-PROVEEDORES[[#This Row],[descuento sobre subtotal]])</f>
        <v>0</v>
      </c>
      <c r="R789" s="21">
        <f>+PROVEEDORES[[#This Row],[SUBTOTAL]]+PROVEEDORES[[#This Row],[IVA 19%]]-PROVEEDORES[[#This Row],[descuento sobre subtotal]]-PROVEEDORES[[#This Row],[Descuento sobre subtotal $2]]-PROVEEDORES[[#This Row],[Rete Fuente $]]</f>
        <v>-595000</v>
      </c>
      <c r="S789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63">
        <f ca="1">IF(PROVEEDORES[[#This Row],[FECHA DE PAGO]]=0,TODAY()-PROVEEDORES[[#This Row],[FECHA DE FACTURACIÓN]]-PROVEEDORES[[#This Row],[PLAZO Días]],0)</f>
        <v>0</v>
      </c>
      <c r="U789" s="104" t="str">
        <f>+VLOOKUP(PROVEEDORES[[#This Row],[PROVEEDOR]],Terceros!$A:$D,4,FALSE)</f>
        <v>2,5% con base</v>
      </c>
      <c r="V789" s="105">
        <f>+YEAR(PROVEEDORES[[#This Row],[FECHA DE FACTURACIÓN]])</f>
        <v>2022</v>
      </c>
      <c r="W789" s="105">
        <f>+MATCH(PROVEEDORES[[#This Row],[año facturado]],Retenciones!$1:$1,0)</f>
        <v>5</v>
      </c>
      <c r="X789" s="106">
        <f>+VLOOKUP(PROVEEDORES[[#This Row],[ID RETENCION]],Retenciones!$A$1:$O$25,PROVEEDORES[[#This Row],[indicador de columna]],FALSE)</f>
        <v>1026000</v>
      </c>
      <c r="Y789" s="107">
        <f>+VLOOKUP(PROVEEDORES[[#This Row],[ID RETENCION]],Retenciones!$A$1:$O$25,2,FALSE)</f>
        <v>2.5000000000000001E-2</v>
      </c>
      <c r="Z789" s="116" t="b">
        <f>OR(COUNTIF(PROVEEDORES[[#This Row],[PROVEEDOR]],"*"&amp;'Palabra no opera'!$A$2&amp;"*"))</f>
        <v>0</v>
      </c>
    </row>
    <row r="790" spans="1:26" ht="22.35" customHeight="1" x14ac:dyDescent="0.3">
      <c r="A790" s="182" t="str">
        <f>+IF(PROVEEDORES[[#This Row],[FECHA DE PAGO]]=PROVEEDORES[[#This Row],[FECHA DE FACTURACIÓN]],"DE CONTADO","CRÉDITO")</f>
        <v>CRÉDITO</v>
      </c>
      <c r="B790" s="38" t="str">
        <f>+IF((PROVEEDORES[[#This Row],[FECHA DE PAGO]]-PROVEEDORES[[#This Row],[FECHA DE FACTURACIÓN]])&gt;PROVEEDORES[[#This Row],[PLAZO Días]],"PAGO VENCIDO")</f>
        <v>PAGO VENCIDO</v>
      </c>
      <c r="C790" s="20">
        <f>+VLOOKUP(PROVEEDORES[[#This Row],[PROVEEDOR]],TERCEROS_INFO[#All],2,FALSE)</f>
        <v>30</v>
      </c>
      <c r="D790" s="25">
        <f>+SUMIFS(PROVEEDORES[Total],PROVEEDORES[PROVEEDOR],PROVEEDORES[[#This Row],[PROVEEDOR]],PROVEEDORES[FECHA DE PAGO],"")</f>
        <v>0</v>
      </c>
      <c r="E790" s="25"/>
      <c r="F790" s="56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790" s="68">
        <v>44823</v>
      </c>
      <c r="H790" s="26" t="s">
        <v>65</v>
      </c>
      <c r="I790" s="68">
        <v>44789</v>
      </c>
      <c r="J790" s="35" t="s">
        <v>939</v>
      </c>
      <c r="K790" s="21">
        <v>709244</v>
      </c>
      <c r="L790" s="21"/>
      <c r="M790" s="22">
        <f>(PROVEEDORES[[#This Row],[SUBTOTAL]]-PROVEEDORES[[#This Row],[descuento sobre subtotal]])*VLOOKUP(PROVEEDORES[[#This Row],[PROVEEDOR]],TERCEROS_INFO[#All],3,FALSE)</f>
        <v>134756.36000000002</v>
      </c>
      <c r="N790" s="23"/>
      <c r="O790" s="22">
        <f>+PROVEEDORES[[#This Row],[Descuento sobre subtotal %]]*(PROVEEDORES[[#This Row],[SUBTOTAL]]-PROVEEDORES[[#This Row],[descuento sobre subtotal]])</f>
        <v>0</v>
      </c>
      <c r="P790" s="74">
        <f>+IF(PROVEEDORES[[#This Row],[SUBTOTAL]]&lt;PROVEEDORES[[#This Row],[base retencion]],0,PROVEEDORES[[#This Row],[retención aplicada]])</f>
        <v>0</v>
      </c>
      <c r="Q790" s="22">
        <f>+PROVEEDORES[[#This Row],[Rete Fuente %]]*(PROVEEDORES[[#This Row],[SUBTOTAL]]-PROVEEDORES[[#This Row],[descuento sobre subtotal]])</f>
        <v>0</v>
      </c>
      <c r="R790" s="21">
        <f>+PROVEEDORES[[#This Row],[SUBTOTAL]]+PROVEEDORES[[#This Row],[IVA 19%]]-PROVEEDORES[[#This Row],[descuento sobre subtotal]]-PROVEEDORES[[#This Row],[Descuento sobre subtotal $2]]-PROVEEDORES[[#This Row],[Rete Fuente $]]</f>
        <v>844000.36</v>
      </c>
      <c r="S79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63">
        <f ca="1">IF(PROVEEDORES[[#This Row],[FECHA DE PAGO]]=0,TODAY()-PROVEEDORES[[#This Row],[FECHA DE FACTURACIÓN]]-PROVEEDORES[[#This Row],[PLAZO Días]],0)</f>
        <v>0</v>
      </c>
      <c r="U790" s="104" t="str">
        <f>+VLOOKUP(PROVEEDORES[[#This Row],[PROVEEDOR]],Terceros!$A:$D,4,FALSE)</f>
        <v>2,5% con base</v>
      </c>
      <c r="V790" s="105">
        <f>+YEAR(PROVEEDORES[[#This Row],[FECHA DE FACTURACIÓN]])</f>
        <v>2022</v>
      </c>
      <c r="W790" s="105">
        <f>+MATCH(PROVEEDORES[[#This Row],[año facturado]],Retenciones!$1:$1,0)</f>
        <v>5</v>
      </c>
      <c r="X790" s="106">
        <f>+VLOOKUP(PROVEEDORES[[#This Row],[ID RETENCION]],Retenciones!$A$1:$O$25,PROVEEDORES[[#This Row],[indicador de columna]],FALSE)</f>
        <v>1026000</v>
      </c>
      <c r="Y790" s="107">
        <f>+VLOOKUP(PROVEEDORES[[#This Row],[ID RETENCION]],Retenciones!$A$1:$O$25,2,FALSE)</f>
        <v>2.5000000000000001E-2</v>
      </c>
      <c r="Z790" s="116" t="b">
        <f>OR(COUNTIF(PROVEEDORES[[#This Row],[PROVEEDOR]],"*"&amp;'Palabra no opera'!$A$2&amp;"*"))</f>
        <v>0</v>
      </c>
    </row>
    <row r="791" spans="1:26" ht="22.35" customHeight="1" x14ac:dyDescent="0.3">
      <c r="A791" s="163" t="str">
        <f>+IF(PROVEEDORES[[#This Row],[FECHA DE PAGO]]=PROVEEDORES[[#This Row],[FECHA DE FACTURACIÓN]],"DE CONTADO","CRÉDITO")</f>
        <v>CRÉDITO</v>
      </c>
      <c r="B791" s="38" t="str">
        <f>+IF((PROVEEDORES[[#This Row],[FECHA DE PAGO]]-PROVEEDORES[[#This Row],[FECHA DE FACTURACIÓN]])&gt;PROVEEDORES[[#This Row],[PLAZO Días]],"PAGO VENCIDO")</f>
        <v>PAGO VENCIDO</v>
      </c>
      <c r="C791" s="20">
        <f>+VLOOKUP(PROVEEDORES[[#This Row],[PROVEEDOR]],TERCEROS_INFO[#All],2,FALSE)</f>
        <v>30</v>
      </c>
      <c r="D791" s="25">
        <f>+SUMIFS(PROVEEDORES[Total],PROVEEDORES[PROVEEDOR],PROVEEDORES[[#This Row],[PROVEEDOR]],PROVEEDORES[FECHA DE PAGO],"")</f>
        <v>10321993.199999999</v>
      </c>
      <c r="E791" s="25"/>
      <c r="F79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91" s="68">
        <v>44823</v>
      </c>
      <c r="H791" s="26" t="s">
        <v>1068</v>
      </c>
      <c r="I791" s="68">
        <v>44755</v>
      </c>
      <c r="J791" s="35">
        <v>26564</v>
      </c>
      <c r="K791" s="21">
        <v>4039800</v>
      </c>
      <c r="L791" s="21">
        <v>383280</v>
      </c>
      <c r="M791" s="22">
        <f>(PROVEEDORES[[#This Row],[SUBTOTAL]]-PROVEEDORES[[#This Row],[descuento sobre subtotal]])*VLOOKUP(PROVEEDORES[[#This Row],[PROVEEDOR]],TERCEROS_INFO[#All],3,FALSE)</f>
        <v>694738.8</v>
      </c>
      <c r="N791" s="23"/>
      <c r="O791" s="22">
        <f>+PROVEEDORES[[#This Row],[Descuento sobre subtotal %]]*(PROVEEDORES[[#This Row],[SUBTOTAL]]-PROVEEDORES[[#This Row],[descuento sobre subtotal]])</f>
        <v>0</v>
      </c>
      <c r="P791" s="74">
        <f>+IF(PROVEEDORES[[#This Row],[SUBTOTAL]]&lt;PROVEEDORES[[#This Row],[base retencion]],0,PROVEEDORES[[#This Row],[retención aplicada]])</f>
        <v>2.5000000000000001E-2</v>
      </c>
      <c r="Q791" s="22">
        <f>+PROVEEDORES[[#This Row],[Rete Fuente %]]*(PROVEEDORES[[#This Row],[SUBTOTAL]]-PROVEEDORES[[#This Row],[descuento sobre subtotal]])</f>
        <v>91413</v>
      </c>
      <c r="R791" s="21">
        <f>+PROVEEDORES[[#This Row],[SUBTOTAL]]+PROVEEDORES[[#This Row],[IVA 19%]]-PROVEEDORES[[#This Row],[descuento sobre subtotal]]-PROVEEDORES[[#This Row],[Descuento sobre subtotal $2]]-PROVEEDORES[[#This Row],[Rete Fuente $]]</f>
        <v>4259845.8</v>
      </c>
      <c r="S791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63">
        <f ca="1">IF(PROVEEDORES[[#This Row],[FECHA DE PAGO]]=0,TODAY()-PROVEEDORES[[#This Row],[FECHA DE FACTURACIÓN]]-PROVEEDORES[[#This Row],[PLAZO Días]],0)</f>
        <v>0</v>
      </c>
      <c r="U791" s="104" t="str">
        <f>+VLOOKUP(PROVEEDORES[[#This Row],[PROVEEDOR]],Terceros!$A:$D,4,FALSE)</f>
        <v>2,5% con base</v>
      </c>
      <c r="V791" s="105">
        <f>+YEAR(PROVEEDORES[[#This Row],[FECHA DE FACTURACIÓN]])</f>
        <v>2022</v>
      </c>
      <c r="W791" s="105">
        <f>+MATCH(PROVEEDORES[[#This Row],[año facturado]],Retenciones!$1:$1,0)</f>
        <v>5</v>
      </c>
      <c r="X791" s="106">
        <f>+VLOOKUP(PROVEEDORES[[#This Row],[ID RETENCION]],Retenciones!$A$1:$O$25,PROVEEDORES[[#This Row],[indicador de columna]],FALSE)</f>
        <v>1026000</v>
      </c>
      <c r="Y791" s="107">
        <f>+VLOOKUP(PROVEEDORES[[#This Row],[ID RETENCION]],Retenciones!$A$1:$O$25,2,FALSE)</f>
        <v>2.5000000000000001E-2</v>
      </c>
      <c r="Z791" s="116" t="b">
        <f>OR(COUNTIF(PROVEEDORES[[#This Row],[PROVEEDOR]],"*"&amp;'Palabra no opera'!$A$2&amp;"*"))</f>
        <v>0</v>
      </c>
    </row>
    <row r="792" spans="1:26" ht="22.35" customHeight="1" x14ac:dyDescent="0.3">
      <c r="A792" s="182" t="str">
        <f>+IF(PROVEEDORES[[#This Row],[FECHA DE PAGO]]=PROVEEDORES[[#This Row],[FECHA DE FACTURACIÓN]],"DE CONTADO","CRÉDITO")</f>
        <v>CRÉDITO</v>
      </c>
      <c r="B792" s="38" t="str">
        <f>+IF((PROVEEDORES[[#This Row],[FECHA DE PAGO]]-PROVEEDORES[[#This Row],[FECHA DE FACTURACIÓN]])&gt;PROVEEDORES[[#This Row],[PLAZO Días]],"PAGO VENCIDO")</f>
        <v>PAGO VENCIDO</v>
      </c>
      <c r="C792" s="20">
        <f>+VLOOKUP(PROVEEDORES[[#This Row],[PROVEEDOR]],TERCEROS_INFO[#All],2,FALSE)</f>
        <v>30</v>
      </c>
      <c r="D792" s="25">
        <f>+SUMIFS(PROVEEDORES[Total],PROVEEDORES[PROVEEDOR],PROVEEDORES[[#This Row],[PROVEEDOR]],PROVEEDORES[FECHA DE PAGO],"")</f>
        <v>0</v>
      </c>
      <c r="E792" s="25"/>
      <c r="F79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792" s="68">
        <v>44823</v>
      </c>
      <c r="H792" s="26" t="s">
        <v>248</v>
      </c>
      <c r="I792" s="68">
        <v>44791</v>
      </c>
      <c r="J792" s="35" t="s">
        <v>934</v>
      </c>
      <c r="K792" s="21">
        <v>2818373.75</v>
      </c>
      <c r="L792" s="21"/>
      <c r="M792" s="22">
        <f>(PROVEEDORES[[#This Row],[SUBTOTAL]]-PROVEEDORES[[#This Row],[descuento sobre subtotal]])*VLOOKUP(PROVEEDORES[[#This Row],[PROVEEDOR]],TERCEROS_INFO[#All],3,FALSE)</f>
        <v>535491.01249999995</v>
      </c>
      <c r="N792" s="23"/>
      <c r="O792" s="22">
        <v>595000</v>
      </c>
      <c r="P792" s="74">
        <f>+IF(PROVEEDORES[[#This Row],[SUBTOTAL]]&lt;PROVEEDORES[[#This Row],[base retencion]],0,PROVEEDORES[[#This Row],[retención aplicada]])</f>
        <v>0</v>
      </c>
      <c r="Q792" s="22"/>
      <c r="R792" s="21">
        <f>+PROVEEDORES[[#This Row],[SUBTOTAL]]+PROVEEDORES[[#This Row],[IVA 19%]]-PROVEEDORES[[#This Row],[descuento sobre subtotal]]-PROVEEDORES[[#This Row],[Descuento sobre subtotal $2]]-PROVEEDORES[[#This Row],[Rete Fuente $]]</f>
        <v>2758864.7625000002</v>
      </c>
      <c r="S79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63">
        <f ca="1">IF(PROVEEDORES[[#This Row],[FECHA DE PAGO]]=0,TODAY()-PROVEEDORES[[#This Row],[FECHA DE FACTURACIÓN]]-PROVEEDORES[[#This Row],[PLAZO Días]],0)</f>
        <v>0</v>
      </c>
      <c r="U792" s="104">
        <f>+VLOOKUP(PROVEEDORES[[#This Row],[PROVEEDOR]],Terceros!$A:$D,4,FALSE)</f>
        <v>0</v>
      </c>
      <c r="V792" s="105">
        <f>+YEAR(PROVEEDORES[[#This Row],[FECHA DE FACTURACIÓN]])</f>
        <v>2022</v>
      </c>
      <c r="W792" s="105">
        <f>+MATCH(PROVEEDORES[[#This Row],[año facturado]],Retenciones!$1:$1,0)</f>
        <v>5</v>
      </c>
      <c r="X792" s="106">
        <f>+VLOOKUP(PROVEEDORES[[#This Row],[ID RETENCION]],Retenciones!$A$1:$O$25,PROVEEDORES[[#This Row],[indicador de columna]],FALSE)</f>
        <v>0</v>
      </c>
      <c r="Y792" s="107">
        <f>+VLOOKUP(PROVEEDORES[[#This Row],[ID RETENCION]],Retenciones!$A$1:$O$25,2,FALSE)</f>
        <v>0</v>
      </c>
      <c r="Z792" s="116" t="b">
        <f>OR(COUNTIF(PROVEEDORES[[#This Row],[PROVEEDOR]],"*"&amp;'Palabra no opera'!$A$2&amp;"*"))</f>
        <v>0</v>
      </c>
    </row>
    <row r="793" spans="1:26" ht="22.35" customHeight="1" x14ac:dyDescent="0.3">
      <c r="A793" s="196" t="str">
        <f>+IF(PROVEEDORES[[#This Row],[FECHA DE PAGO]]=PROVEEDORES[[#This Row],[FECHA DE FACTURACIÓN]],"DE CONTADO","CRÉDITO")</f>
        <v>DE CONTADO</v>
      </c>
      <c r="B793" s="38" t="b">
        <f>+IF((PROVEEDORES[[#This Row],[FECHA DE PAGO]]-PROVEEDORES[[#This Row],[FECHA DE FACTURACIÓN]])&gt;PROVEEDORES[[#This Row],[PLAZO Días]],"PAGO VENCIDO")</f>
        <v>0</v>
      </c>
      <c r="C793" s="20">
        <f>+VLOOKUP(PROVEEDORES[[#This Row],[PROVEEDOR]],TERCEROS_INFO[#All],2,FALSE)</f>
        <v>30</v>
      </c>
      <c r="D793" s="25">
        <f>+SUMIFS(PROVEEDORES[Total],PROVEEDORES[PROVEEDOR],PROVEEDORES[[#This Row],[PROVEEDOR]],PROVEEDORES[FECHA DE PAGO],"")</f>
        <v>0</v>
      </c>
      <c r="E793" s="25"/>
      <c r="F793" s="56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793" s="68">
        <v>44824</v>
      </c>
      <c r="H793" s="26" t="s">
        <v>620</v>
      </c>
      <c r="I793" s="68">
        <v>44824</v>
      </c>
      <c r="J793" s="35">
        <v>4281</v>
      </c>
      <c r="K793" s="21">
        <v>283612</v>
      </c>
      <c r="L793" s="21"/>
      <c r="M793" s="22">
        <f>(PROVEEDORES[[#This Row],[SUBTOTAL]]-PROVEEDORES[[#This Row],[descuento sobre subtotal]])*VLOOKUP(PROVEEDORES[[#This Row],[PROVEEDOR]],TERCEROS_INFO[#All],3,FALSE)</f>
        <v>0</v>
      </c>
      <c r="N793" s="23"/>
      <c r="O793" s="22">
        <f>+PROVEEDORES[[#This Row],[Descuento sobre subtotal %]]*(PROVEEDORES[[#This Row],[SUBTOTAL]]-PROVEEDORES[[#This Row],[descuento sobre subtotal]])</f>
        <v>0</v>
      </c>
      <c r="P793" s="74">
        <f>+IF(PROVEEDORES[[#This Row],[SUBTOTAL]]&lt;PROVEEDORES[[#This Row],[base retencion]],0,PROVEEDORES[[#This Row],[retención aplicada]])</f>
        <v>0</v>
      </c>
      <c r="Q793" s="22">
        <f>+PROVEEDORES[[#This Row],[Rete Fuente %]]*(PROVEEDORES[[#This Row],[SUBTOTAL]]-PROVEEDORES[[#This Row],[descuento sobre subtotal]])</f>
        <v>0</v>
      </c>
      <c r="R793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79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63">
        <f ca="1">IF(PROVEEDORES[[#This Row],[FECHA DE PAGO]]=0,TODAY()-PROVEEDORES[[#This Row],[FECHA DE FACTURACIÓN]]-PROVEEDORES[[#This Row],[PLAZO Días]],0)</f>
        <v>0</v>
      </c>
      <c r="U793" s="104">
        <f>+VLOOKUP(PROVEEDORES[[#This Row],[PROVEEDOR]],Terceros!$A:$D,4,FALSE)</f>
        <v>0</v>
      </c>
      <c r="V793" s="105">
        <f>+YEAR(PROVEEDORES[[#This Row],[FECHA DE FACTURACIÓN]])</f>
        <v>2022</v>
      </c>
      <c r="W793" s="105">
        <f>+MATCH(PROVEEDORES[[#This Row],[año facturado]],Retenciones!$1:$1,0)</f>
        <v>5</v>
      </c>
      <c r="X793" s="106">
        <f>+VLOOKUP(PROVEEDORES[[#This Row],[ID RETENCION]],Retenciones!$A$1:$O$25,PROVEEDORES[[#This Row],[indicador de columna]],FALSE)</f>
        <v>0</v>
      </c>
      <c r="Y793" s="107">
        <f>+VLOOKUP(PROVEEDORES[[#This Row],[ID RETENCION]],Retenciones!$A$1:$O$25,2,FALSE)</f>
        <v>0</v>
      </c>
      <c r="Z793" s="116" t="b">
        <f>OR(COUNTIF(PROVEEDORES[[#This Row],[PROVEEDOR]],"*"&amp;'Palabra no opera'!$A$2&amp;"*"))</f>
        <v>1</v>
      </c>
    </row>
    <row r="794" spans="1:26" ht="22.35" customHeight="1" x14ac:dyDescent="0.3">
      <c r="A794" s="67" t="str">
        <f>+IF(PROVEEDORES[[#This Row],[FECHA DE PAGO]]=PROVEEDORES[[#This Row],[FECHA DE FACTURACIÓN]],"DE CONTADO","CRÉDITO")</f>
        <v>CRÉDITO</v>
      </c>
      <c r="B794" s="38" t="b">
        <f>+IF((PROVEEDORES[[#This Row],[FECHA DE PAGO]]-PROVEEDORES[[#This Row],[FECHA DE FACTURACIÓN]])&gt;PROVEEDORES[[#This Row],[PLAZO Días]],"PAGO VENCIDO")</f>
        <v>0</v>
      </c>
      <c r="C794" s="20">
        <f>+VLOOKUP(PROVEEDORES[[#This Row],[PROVEEDOR]],TERCEROS_INFO[#All],2,FALSE)</f>
        <v>30</v>
      </c>
      <c r="D794" s="25">
        <f>+SUMIFS(PROVEEDORES[Total],PROVEEDORES[PROVEEDOR],PROVEEDORES[[#This Row],[PROVEEDOR]],PROVEEDORES[FECHA DE PAGO],"")</f>
        <v>0</v>
      </c>
      <c r="E794" s="25"/>
      <c r="F794" s="56" t="str">
        <f>+VLOOKUP(PROVEEDORES[[#This Row],[PROVEEDOR]],
                       Terceros!$A:$F,
                       5,
                       FALSE)</f>
        <v/>
      </c>
      <c r="G794" s="68">
        <v>44825</v>
      </c>
      <c r="H794" s="26" t="s">
        <v>362</v>
      </c>
      <c r="I794" s="68">
        <v>44824</v>
      </c>
      <c r="J794" s="35" t="s">
        <v>1130</v>
      </c>
      <c r="K794" s="21">
        <v>243096</v>
      </c>
      <c r="L794" s="21"/>
      <c r="M794" s="22">
        <f>(PROVEEDORES[[#This Row],[SUBTOTAL]]-PROVEEDORES[[#This Row],[descuento sobre subtotal]])*VLOOKUP(PROVEEDORES[[#This Row],[PROVEEDOR]],TERCEROS_INFO[#All],3,FALSE)</f>
        <v>0</v>
      </c>
      <c r="N794" s="23"/>
      <c r="O794" s="22">
        <f>+PROVEEDORES[[#This Row],[Descuento sobre subtotal %]]*(PROVEEDORES[[#This Row],[SUBTOTAL]]-PROVEEDORES[[#This Row],[descuento sobre subtotal]])</f>
        <v>0</v>
      </c>
      <c r="P794" s="74">
        <f>+IF(PROVEEDORES[[#This Row],[SUBTOTAL]]&lt;PROVEEDORES[[#This Row],[base retencion]],0,PROVEEDORES[[#This Row],[retención aplicada]])</f>
        <v>0</v>
      </c>
      <c r="Q794" s="22">
        <f>+PROVEEDORES[[#This Row],[Rete Fuente %]]*(PROVEEDORES[[#This Row],[SUBTOTAL]]-PROVEEDORES[[#This Row],[descuento sobre subtotal]])</f>
        <v>0</v>
      </c>
      <c r="R794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7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63">
        <f ca="1">IF(PROVEEDORES[[#This Row],[FECHA DE PAGO]]=0,TODAY()-PROVEEDORES[[#This Row],[FECHA DE FACTURACIÓN]]-PROVEEDORES[[#This Row],[PLAZO Días]],0)</f>
        <v>0</v>
      </c>
      <c r="U794" s="104">
        <f>+VLOOKUP(PROVEEDORES[[#This Row],[PROVEEDOR]],Terceros!$A:$D,4,FALSE)</f>
        <v>0</v>
      </c>
      <c r="V794" s="105">
        <f>+YEAR(PROVEEDORES[[#This Row],[FECHA DE FACTURACIÓN]])</f>
        <v>2022</v>
      </c>
      <c r="W794" s="105">
        <f>+MATCH(PROVEEDORES[[#This Row],[año facturado]],Retenciones!$1:$1,0)</f>
        <v>5</v>
      </c>
      <c r="X794" s="106">
        <f>+VLOOKUP(PROVEEDORES[[#This Row],[ID RETENCION]],Retenciones!$A$1:$O$25,PROVEEDORES[[#This Row],[indicador de columna]],FALSE)</f>
        <v>0</v>
      </c>
      <c r="Y794" s="107">
        <f>+VLOOKUP(PROVEEDORES[[#This Row],[ID RETENCION]],Retenciones!$A$1:$O$25,2,FALSE)</f>
        <v>0</v>
      </c>
      <c r="Z794" s="116" t="b">
        <f>OR(COUNTIF(PROVEEDORES[[#This Row],[PROVEEDOR]],"*"&amp;'Palabra no opera'!$A$2&amp;"*"))</f>
        <v>0</v>
      </c>
    </row>
    <row r="795" spans="1:26" ht="22.35" customHeight="1" x14ac:dyDescent="0.3">
      <c r="A795" s="148" t="str">
        <f>+IF(PROVEEDORES[[#This Row],[FECHA DE PAGO]]=PROVEEDORES[[#This Row],[FECHA DE FACTURACIÓN]],"DE CONTADO","CRÉDITO")</f>
        <v>CRÉDITO</v>
      </c>
      <c r="B795" s="38" t="str">
        <f>+IF((PROVEEDORES[[#This Row],[FECHA DE PAGO]]-PROVEEDORES[[#This Row],[FECHA DE FACTURACIÓN]])&gt;PROVEEDORES[[#This Row],[PLAZO Días]],"PAGO VENCIDO")</f>
        <v>PAGO VENCIDO</v>
      </c>
      <c r="C795" s="20">
        <f>+VLOOKUP(PROVEEDORES[[#This Row],[PROVEEDOR]],TERCEROS_INFO[#All],2,FALSE)</f>
        <v>30</v>
      </c>
      <c r="D795" s="25">
        <f>+SUMIFS(PROVEEDORES[Total],PROVEEDORES[PROVEEDOR],PROVEEDORES[[#This Row],[PROVEEDOR]],PROVEEDORES[FECHA DE PAGO],"")</f>
        <v>12030261.305</v>
      </c>
      <c r="E795" s="25"/>
      <c r="F795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95" s="68">
        <v>44827</v>
      </c>
      <c r="H795" s="26" t="s">
        <v>12</v>
      </c>
      <c r="I795" s="68">
        <v>44717</v>
      </c>
      <c r="J795" s="35" t="s">
        <v>752</v>
      </c>
      <c r="K795" s="21">
        <v>1956311</v>
      </c>
      <c r="L795" s="21"/>
      <c r="M795" s="22">
        <f>(PROVEEDORES[[#This Row],[SUBTOTAL]]-PROVEEDORES[[#This Row],[descuento sobre subtotal]])*VLOOKUP(PROVEEDORES[[#This Row],[PROVEEDOR]],TERCEROS_INFO[#All],3,FALSE)</f>
        <v>371699.09</v>
      </c>
      <c r="N795" s="23"/>
      <c r="O795" s="22">
        <f>+PROVEEDORES[[#This Row],[Descuento sobre subtotal %]]*(PROVEEDORES[[#This Row],[SUBTOTAL]]-PROVEEDORES[[#This Row],[descuento sobre subtotal]])</f>
        <v>0</v>
      </c>
      <c r="P795" s="74">
        <f>+IF(PROVEEDORES[[#This Row],[SUBTOTAL]]&lt;PROVEEDORES[[#This Row],[base retencion]],0,PROVEEDORES[[#This Row],[retención aplicada]])</f>
        <v>2.5000000000000001E-2</v>
      </c>
      <c r="Q795" s="22">
        <f>+PROVEEDORES[[#This Row],[Rete Fuente %]]*(PROVEEDORES[[#This Row],[SUBTOTAL]]-PROVEEDORES[[#This Row],[descuento sobre subtotal]])</f>
        <v>48907.775000000001</v>
      </c>
      <c r="R795" s="21">
        <f>+PROVEEDORES[[#This Row],[SUBTOTAL]]+PROVEEDORES[[#This Row],[IVA 19%]]-PROVEEDORES[[#This Row],[descuento sobre subtotal]]-PROVEEDORES[[#This Row],[Descuento sobre subtotal $2]]-PROVEEDORES[[#This Row],[Rete Fuente $]]</f>
        <v>2279102.3149999999</v>
      </c>
      <c r="S79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63">
        <f ca="1">IF(PROVEEDORES[[#This Row],[FECHA DE PAGO]]=0,TODAY()-PROVEEDORES[[#This Row],[FECHA DE FACTURACIÓN]]-PROVEEDORES[[#This Row],[PLAZO Días]],0)</f>
        <v>0</v>
      </c>
      <c r="U795" s="104" t="str">
        <f>+VLOOKUP(PROVEEDORES[[#This Row],[PROVEEDOR]],Terceros!$A:$D,4,FALSE)</f>
        <v>2,5% con base</v>
      </c>
      <c r="V795" s="105">
        <f>+YEAR(PROVEEDORES[[#This Row],[FECHA DE FACTURACIÓN]])</f>
        <v>2022</v>
      </c>
      <c r="W795" s="105">
        <f>+MATCH(PROVEEDORES[[#This Row],[año facturado]],Retenciones!$1:$1,0)</f>
        <v>5</v>
      </c>
      <c r="X795" s="106">
        <f>+VLOOKUP(PROVEEDORES[[#This Row],[ID RETENCION]],Retenciones!$A$1:$O$25,PROVEEDORES[[#This Row],[indicador de columna]],FALSE)</f>
        <v>1026000</v>
      </c>
      <c r="Y795" s="107">
        <f>+VLOOKUP(PROVEEDORES[[#This Row],[ID RETENCION]],Retenciones!$A$1:$O$25,2,FALSE)</f>
        <v>2.5000000000000001E-2</v>
      </c>
      <c r="Z795" s="116" t="b">
        <f>OR(COUNTIF(PROVEEDORES[[#This Row],[PROVEEDOR]],"*"&amp;'Palabra no opera'!$A$2&amp;"*"))</f>
        <v>0</v>
      </c>
    </row>
    <row r="796" spans="1:26" ht="22.35" customHeight="1" x14ac:dyDescent="0.3">
      <c r="A796" s="148" t="str">
        <f>+IF(PROVEEDORES[[#This Row],[FECHA DE PAGO]]=PROVEEDORES[[#This Row],[FECHA DE FACTURACIÓN]],"DE CONTADO","CRÉDITO")</f>
        <v>CRÉDITO</v>
      </c>
      <c r="B796" s="38" t="str">
        <f>+IF((PROVEEDORES[[#This Row],[FECHA DE PAGO]]-PROVEEDORES[[#This Row],[FECHA DE FACTURACIÓN]])&gt;PROVEEDORES[[#This Row],[PLAZO Días]],"PAGO VENCIDO")</f>
        <v>PAGO VENCIDO</v>
      </c>
      <c r="C796" s="20">
        <f>+VLOOKUP(PROVEEDORES[[#This Row],[PROVEEDOR]],TERCEROS_INFO[#All],2,FALSE)</f>
        <v>30</v>
      </c>
      <c r="D796" s="25">
        <f>+SUMIFS(PROVEEDORES[Total],PROVEEDORES[PROVEEDOR],PROVEEDORES[[#This Row],[PROVEEDOR]],PROVEEDORES[FECHA DE PAGO],"")</f>
        <v>12030261.305</v>
      </c>
      <c r="E796" s="25"/>
      <c r="F796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96" s="68">
        <v>44827</v>
      </c>
      <c r="H796" s="26" t="s">
        <v>12</v>
      </c>
      <c r="I796" s="68">
        <v>44717</v>
      </c>
      <c r="J796" s="35" t="s">
        <v>751</v>
      </c>
      <c r="K796" s="21">
        <v>4474791</v>
      </c>
      <c r="L796" s="21"/>
      <c r="M796" s="22">
        <f>(PROVEEDORES[[#This Row],[SUBTOTAL]]-PROVEEDORES[[#This Row],[descuento sobre subtotal]])*VLOOKUP(PROVEEDORES[[#This Row],[PROVEEDOR]],TERCEROS_INFO[#All],3,FALSE)</f>
        <v>850210.29</v>
      </c>
      <c r="N796" s="23"/>
      <c r="O796" s="22">
        <f>+PROVEEDORES[[#This Row],[Descuento sobre subtotal %]]*(PROVEEDORES[[#This Row],[SUBTOTAL]]-PROVEEDORES[[#This Row],[descuento sobre subtotal]])</f>
        <v>0</v>
      </c>
      <c r="P796" s="74">
        <f>+IF(PROVEEDORES[[#This Row],[SUBTOTAL]]&lt;PROVEEDORES[[#This Row],[base retencion]],0,PROVEEDORES[[#This Row],[retención aplicada]])</f>
        <v>2.5000000000000001E-2</v>
      </c>
      <c r="Q796" s="22">
        <f>+PROVEEDORES[[#This Row],[Rete Fuente %]]*(PROVEEDORES[[#This Row],[SUBTOTAL]]-PROVEEDORES[[#This Row],[descuento sobre subtotal]])</f>
        <v>111869.77500000001</v>
      </c>
      <c r="R796" s="21">
        <f>+PROVEEDORES[[#This Row],[SUBTOTAL]]+PROVEEDORES[[#This Row],[IVA 19%]]-PROVEEDORES[[#This Row],[descuento sobre subtotal]]-PROVEEDORES[[#This Row],[Descuento sobre subtotal $2]]-PROVEEDORES[[#This Row],[Rete Fuente $]]</f>
        <v>5213131.5149999997</v>
      </c>
      <c r="S796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63">
        <f ca="1">IF(PROVEEDORES[[#This Row],[FECHA DE PAGO]]=0,TODAY()-PROVEEDORES[[#This Row],[FECHA DE FACTURACIÓN]]-PROVEEDORES[[#This Row],[PLAZO Días]],0)</f>
        <v>0</v>
      </c>
      <c r="U796" s="104" t="str">
        <f>+VLOOKUP(PROVEEDORES[[#This Row],[PROVEEDOR]],Terceros!$A:$D,4,FALSE)</f>
        <v>2,5% con base</v>
      </c>
      <c r="V796" s="105">
        <f>+YEAR(PROVEEDORES[[#This Row],[FECHA DE FACTURACIÓN]])</f>
        <v>2022</v>
      </c>
      <c r="W796" s="105">
        <f>+MATCH(PROVEEDORES[[#This Row],[año facturado]],Retenciones!$1:$1,0)</f>
        <v>5</v>
      </c>
      <c r="X796" s="106">
        <f>+VLOOKUP(PROVEEDORES[[#This Row],[ID RETENCION]],Retenciones!$A$1:$O$25,PROVEEDORES[[#This Row],[indicador de columna]],FALSE)</f>
        <v>1026000</v>
      </c>
      <c r="Y796" s="107">
        <f>+VLOOKUP(PROVEEDORES[[#This Row],[ID RETENCION]],Retenciones!$A$1:$O$25,2,FALSE)</f>
        <v>2.5000000000000001E-2</v>
      </c>
      <c r="Z796" s="116" t="b">
        <f>OR(COUNTIF(PROVEEDORES[[#This Row],[PROVEEDOR]],"*"&amp;'Palabra no opera'!$A$2&amp;"*"))</f>
        <v>0</v>
      </c>
    </row>
    <row r="797" spans="1:26" ht="22.35" customHeight="1" x14ac:dyDescent="0.3">
      <c r="A797" s="196" t="str">
        <f>+IF(PROVEEDORES[[#This Row],[FECHA DE PAGO]]=PROVEEDORES[[#This Row],[FECHA DE FACTURACIÓN]],"DE CONTADO","CRÉDITO")</f>
        <v>CRÉDITO</v>
      </c>
      <c r="B797" s="38" t="b">
        <f>+IF((PROVEEDORES[[#This Row],[FECHA DE PAGO]]-PROVEEDORES[[#This Row],[FECHA DE FACTURACIÓN]])&gt;PROVEEDORES[[#This Row],[PLAZO Días]],"PAGO VENCIDO")</f>
        <v>0</v>
      </c>
      <c r="C797" s="20">
        <f>+VLOOKUP(PROVEEDORES[[#This Row],[PROVEEDOR]],TERCEROS_INFO[#All],2,FALSE)</f>
        <v>30</v>
      </c>
      <c r="D797" s="25">
        <f>+SUMIFS(PROVEEDORES[Total],PROVEEDORES[PROVEEDOR],PROVEEDORES[[#This Row],[PROVEEDOR]],PROVEEDORES[FECHA DE PAGO],"")</f>
        <v>0</v>
      </c>
      <c r="E797" s="25"/>
      <c r="F797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7" s="68">
        <v>44827</v>
      </c>
      <c r="H797" s="26" t="s">
        <v>967</v>
      </c>
      <c r="I797" s="68">
        <v>44825</v>
      </c>
      <c r="J797" s="35" t="s">
        <v>1108</v>
      </c>
      <c r="K797" s="21">
        <v>344386</v>
      </c>
      <c r="L797" s="21"/>
      <c r="M797" s="22">
        <f>(PROVEEDORES[[#This Row],[SUBTOTAL]]-PROVEEDORES[[#This Row],[descuento sobre subtotal]])*VLOOKUP(PROVEEDORES[[#This Row],[PROVEEDOR]],TERCEROS_INFO[#All],3,FALSE)</f>
        <v>0</v>
      </c>
      <c r="N797" s="23"/>
      <c r="O797" s="22">
        <f>+PROVEEDORES[[#This Row],[Descuento sobre subtotal %]]*(PROVEEDORES[[#This Row],[SUBTOTAL]]-PROVEEDORES[[#This Row],[descuento sobre subtotal]])</f>
        <v>0</v>
      </c>
      <c r="P797" s="74">
        <f>+IF(PROVEEDORES[[#This Row],[SUBTOTAL]]&lt;PROVEEDORES[[#This Row],[base retencion]],0,PROVEEDORES[[#This Row],[retención aplicada]])</f>
        <v>0.01</v>
      </c>
      <c r="Q797" s="22">
        <f>+PROVEEDORES[[#This Row],[Rete Fuente %]]*(PROVEEDORES[[#This Row],[SUBTOTAL]]-PROVEEDORES[[#This Row],[descuento sobre subtotal]])</f>
        <v>3443.86</v>
      </c>
      <c r="R797" s="21">
        <f>+PROVEEDORES[[#This Row],[SUBTOTAL]]+PROVEEDORES[[#This Row],[IVA 19%]]-PROVEEDORES[[#This Row],[descuento sobre subtotal]]-PROVEEDORES[[#This Row],[Descuento sobre subtotal $2]]-PROVEEDORES[[#This Row],[Rete Fuente $]]</f>
        <v>340942.14</v>
      </c>
      <c r="S797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63">
        <f ca="1">IF(PROVEEDORES[[#This Row],[FECHA DE PAGO]]=0,TODAY()-PROVEEDORES[[#This Row],[FECHA DE FACTURACIÓN]]-PROVEEDORES[[#This Row],[PLAZO Días]],0)</f>
        <v>0</v>
      </c>
      <c r="U797" s="104" t="str">
        <f>+VLOOKUP(PROVEEDORES[[#This Row],[PROVEEDOR]],Terceros!$A:$D,4,FALSE)</f>
        <v>1% con base</v>
      </c>
      <c r="V797" s="105">
        <f>+YEAR(PROVEEDORES[[#This Row],[FECHA DE FACTURACIÓN]])</f>
        <v>2022</v>
      </c>
      <c r="W797" s="105">
        <f>+MATCH(PROVEEDORES[[#This Row],[año facturado]],Retenciones!$1:$1,0)</f>
        <v>5</v>
      </c>
      <c r="X797" s="106">
        <f>+VLOOKUP(PROVEEDORES[[#This Row],[ID RETENCION]],Retenciones!$A$1:$O$25,PROVEEDORES[[#This Row],[indicador de columna]],FALSE)</f>
        <v>152000</v>
      </c>
      <c r="Y797" s="107">
        <f>+VLOOKUP(PROVEEDORES[[#This Row],[ID RETENCION]],Retenciones!$A$1:$O$25,2,FALSE)</f>
        <v>0.01</v>
      </c>
      <c r="Z797" s="116" t="b">
        <f>OR(COUNTIF(PROVEEDORES[[#This Row],[PROVEEDOR]],"*"&amp;'Palabra no opera'!$A$2&amp;"*"))</f>
        <v>0</v>
      </c>
    </row>
    <row r="798" spans="1:26" ht="22.35" customHeight="1" x14ac:dyDescent="0.3">
      <c r="A798" s="196" t="str">
        <f>+IF(PROVEEDORES[[#This Row],[FECHA DE PAGO]]=PROVEEDORES[[#This Row],[FECHA DE FACTURACIÓN]],"DE CONTADO","CRÉDITO")</f>
        <v>CRÉDITO</v>
      </c>
      <c r="B798" s="38" t="b">
        <f>+IF((PROVEEDORES[[#This Row],[FECHA DE PAGO]]-PROVEEDORES[[#This Row],[FECHA DE FACTURACIÓN]])&gt;PROVEEDORES[[#This Row],[PLAZO Días]],"PAGO VENCIDO")</f>
        <v>0</v>
      </c>
      <c r="C798" s="20">
        <f>+VLOOKUP(PROVEEDORES[[#This Row],[PROVEEDOR]],TERCEROS_INFO[#All],2,FALSE)</f>
        <v>30</v>
      </c>
      <c r="D798" s="25">
        <f>+SUMIFS(PROVEEDORES[Total],PROVEEDORES[PROVEEDOR],PROVEEDORES[[#This Row],[PROVEEDOR]],PROVEEDORES[FECHA DE PAGO],"")</f>
        <v>0</v>
      </c>
      <c r="E798" s="25"/>
      <c r="F798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798" s="68">
        <v>44827</v>
      </c>
      <c r="H798" s="26" t="s">
        <v>635</v>
      </c>
      <c r="I798" s="68">
        <v>44805</v>
      </c>
      <c r="J798" s="35" t="s">
        <v>1122</v>
      </c>
      <c r="K798" s="21">
        <v>3002200</v>
      </c>
      <c r="L798" s="21"/>
      <c r="M798" s="22">
        <f>(PROVEEDORES[[#This Row],[SUBTOTAL]]-PROVEEDORES[[#This Row],[descuento sobre subtotal]])*VLOOKUP(PROVEEDORES[[#This Row],[PROVEEDOR]],TERCEROS_INFO[#All],3,FALSE)</f>
        <v>0</v>
      </c>
      <c r="N798" s="23"/>
      <c r="O798" s="22">
        <f>+PROVEEDORES[[#This Row],[Descuento sobre subtotal %]]*(PROVEEDORES[[#This Row],[SUBTOTAL]]-PROVEEDORES[[#This Row],[descuento sobre subtotal]])</f>
        <v>0</v>
      </c>
      <c r="P798" s="74">
        <f>+IF(PROVEEDORES[[#This Row],[SUBTOTAL]]&lt;PROVEEDORES[[#This Row],[base retencion]],0,PROVEEDORES[[#This Row],[retención aplicada]])</f>
        <v>3.5000000000000003E-2</v>
      </c>
      <c r="Q798" s="22">
        <f>+PROVEEDORES[[#This Row],[Rete Fuente %]]*(PROVEEDORES[[#This Row],[SUBTOTAL]]-PROVEEDORES[[#This Row],[descuento sobre subtotal]])</f>
        <v>105077.00000000001</v>
      </c>
      <c r="R798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798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63">
        <f ca="1">IF(PROVEEDORES[[#This Row],[FECHA DE PAGO]]=0,TODAY()-PROVEEDORES[[#This Row],[FECHA DE FACTURACIÓN]]-PROVEEDORES[[#This Row],[PLAZO Días]],0)</f>
        <v>0</v>
      </c>
      <c r="U798" s="104" t="str">
        <f>+VLOOKUP(PROVEEDORES[[#This Row],[PROVEEDOR]],Terceros!$A:$D,4,FALSE)</f>
        <v>3,5% sin base</v>
      </c>
      <c r="V798" s="105">
        <f>+YEAR(PROVEEDORES[[#This Row],[FECHA DE FACTURACIÓN]])</f>
        <v>2022</v>
      </c>
      <c r="W798" s="105">
        <f>+MATCH(PROVEEDORES[[#This Row],[año facturado]],Retenciones!$1:$1,0)</f>
        <v>5</v>
      </c>
      <c r="X798" s="106">
        <f>+VLOOKUP(PROVEEDORES[[#This Row],[ID RETENCION]],Retenciones!$A$1:$O$25,PROVEEDORES[[#This Row],[indicador de columna]],FALSE)</f>
        <v>0</v>
      </c>
      <c r="Y798" s="107">
        <f>+VLOOKUP(PROVEEDORES[[#This Row],[ID RETENCION]],Retenciones!$A$1:$O$25,2,FALSE)</f>
        <v>3.5000000000000003E-2</v>
      </c>
      <c r="Z798" s="116" t="b">
        <f>OR(COUNTIF(PROVEEDORES[[#This Row],[PROVEEDOR]],"*"&amp;'Palabra no opera'!$A$2&amp;"*"))</f>
        <v>1</v>
      </c>
    </row>
    <row r="799" spans="1:26" ht="22.35" customHeight="1" x14ac:dyDescent="0.3">
      <c r="A799" s="190" t="str">
        <f>+IF(PROVEEDORES[[#This Row],[FECHA DE PAGO]]=PROVEEDORES[[#This Row],[FECHA DE FACTURACIÓN]],"DE CONTADO","CRÉDITO")</f>
        <v>CRÉDITO</v>
      </c>
      <c r="B799" s="38" t="b">
        <f>+IF((PROVEEDORES[[#This Row],[FECHA DE PAGO]]-PROVEEDORES[[#This Row],[FECHA DE FACTURACIÓN]])&gt;PROVEEDORES[[#This Row],[PLAZO Días]],"PAGO VENCIDO")</f>
        <v>0</v>
      </c>
      <c r="C799" s="20">
        <f>+VLOOKUP(PROVEEDORES[[#This Row],[PROVEEDOR]],TERCEROS_INFO[#All],2,FALSE)</f>
        <v>30</v>
      </c>
      <c r="D799" s="25">
        <f>+SUMIFS(PROVEEDORES[Total],PROVEEDORES[PROVEEDOR],PROVEEDORES[[#This Row],[PROVEEDOR]],PROVEEDORES[FECHA DE PAGO],"")</f>
        <v>0</v>
      </c>
      <c r="E799" s="25"/>
      <c r="F79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799" s="68">
        <v>44827</v>
      </c>
      <c r="H799" s="26" t="s">
        <v>637</v>
      </c>
      <c r="I799" s="68">
        <v>44805</v>
      </c>
      <c r="J799" s="35" t="s">
        <v>1118</v>
      </c>
      <c r="K799" s="21">
        <v>818875</v>
      </c>
      <c r="L799" s="21"/>
      <c r="M799" s="22">
        <f>(PROVEEDORES[[#This Row],[SUBTOTAL]]-PROVEEDORES[[#This Row],[descuento sobre subtotal]])*VLOOKUP(PROVEEDORES[[#This Row],[PROVEEDOR]],TERCEROS_INFO[#All],3,FALSE)</f>
        <v>0</v>
      </c>
      <c r="N799" s="23"/>
      <c r="O799" s="22">
        <f>+PROVEEDORES[[#This Row],[Descuento sobre subtotal %]]*(PROVEEDORES[[#This Row],[SUBTOTAL]]-PROVEEDORES[[#This Row],[descuento sobre subtotal]])</f>
        <v>0</v>
      </c>
      <c r="P799" s="74">
        <f>+IF(PROVEEDORES[[#This Row],[SUBTOTAL]]&lt;PROVEEDORES[[#This Row],[base retencion]],0,PROVEEDORES[[#This Row],[retención aplicada]])</f>
        <v>0</v>
      </c>
      <c r="Q799" s="22">
        <f>+PROVEEDORES[[#This Row],[Rete Fuente %]]*(PROVEEDORES[[#This Row],[SUBTOTAL]]-PROVEEDORES[[#This Row],[descuento sobre subtotal]])</f>
        <v>0</v>
      </c>
      <c r="R799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799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63">
        <f ca="1">IF(PROVEEDORES[[#This Row],[FECHA DE PAGO]]=0,TODAY()-PROVEEDORES[[#This Row],[FECHA DE FACTURACIÓN]]-PROVEEDORES[[#This Row],[PLAZO Días]],0)</f>
        <v>0</v>
      </c>
      <c r="U799" s="104">
        <f>+VLOOKUP(PROVEEDORES[[#This Row],[PROVEEDOR]],Terceros!$A:$D,4,FALSE)</f>
        <v>0</v>
      </c>
      <c r="V799" s="105">
        <f>+YEAR(PROVEEDORES[[#This Row],[FECHA DE FACTURACIÓN]])</f>
        <v>2022</v>
      </c>
      <c r="W799" s="105">
        <f>+MATCH(PROVEEDORES[[#This Row],[año facturado]],Retenciones!$1:$1,0)</f>
        <v>5</v>
      </c>
      <c r="X799" s="106">
        <f>+VLOOKUP(PROVEEDORES[[#This Row],[ID RETENCION]],Retenciones!$A$1:$O$25,PROVEEDORES[[#This Row],[indicador de columna]],FALSE)</f>
        <v>0</v>
      </c>
      <c r="Y799" s="107">
        <f>+VLOOKUP(PROVEEDORES[[#This Row],[ID RETENCION]],Retenciones!$A$1:$O$25,2,FALSE)</f>
        <v>0</v>
      </c>
      <c r="Z799" s="116" t="b">
        <f>OR(COUNTIF(PROVEEDORES[[#This Row],[PROVEEDOR]],"*"&amp;'Palabra no opera'!$A$2&amp;"*"))</f>
        <v>1</v>
      </c>
    </row>
    <row r="800" spans="1:26" ht="22.35" customHeight="1" x14ac:dyDescent="0.3">
      <c r="A800" s="190" t="str">
        <f>+IF(PROVEEDORES[[#This Row],[FECHA DE PAGO]]=PROVEEDORES[[#This Row],[FECHA DE FACTURACIÓN]],"DE CONTADO","CRÉDITO")</f>
        <v>CRÉDITO</v>
      </c>
      <c r="B800" s="38" t="b">
        <f>+IF((PROVEEDORES[[#This Row],[FECHA DE PAGO]]-PROVEEDORES[[#This Row],[FECHA DE FACTURACIÓN]])&gt;PROVEEDORES[[#This Row],[PLAZO Días]],"PAGO VENCIDO")</f>
        <v>0</v>
      </c>
      <c r="C800" s="20">
        <f>+VLOOKUP(PROVEEDORES[[#This Row],[PROVEEDOR]],TERCEROS_INFO[#All],2,FALSE)</f>
        <v>30</v>
      </c>
      <c r="D800" s="25">
        <f>+SUMIFS(PROVEEDORES[Total],PROVEEDORES[PROVEEDOR],PROVEEDORES[[#This Row],[PROVEEDOR]],PROVEEDORES[FECHA DE PAGO],"")</f>
        <v>0</v>
      </c>
      <c r="E800" s="25"/>
      <c r="F80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00" s="68">
        <v>44827</v>
      </c>
      <c r="H800" s="26" t="s">
        <v>637</v>
      </c>
      <c r="I800" s="68">
        <v>44805</v>
      </c>
      <c r="J800" s="35" t="s">
        <v>1119</v>
      </c>
      <c r="K800" s="21">
        <v>825349</v>
      </c>
      <c r="L800" s="21"/>
      <c r="M800" s="22">
        <f>(PROVEEDORES[[#This Row],[SUBTOTAL]]-PROVEEDORES[[#This Row],[descuento sobre subtotal]])*VLOOKUP(PROVEEDORES[[#This Row],[PROVEEDOR]],TERCEROS_INFO[#All],3,FALSE)</f>
        <v>0</v>
      </c>
      <c r="N800" s="23"/>
      <c r="O800" s="22">
        <f>+PROVEEDORES[[#This Row],[Descuento sobre subtotal %]]*(PROVEEDORES[[#This Row],[SUBTOTAL]]-PROVEEDORES[[#This Row],[descuento sobre subtotal]])</f>
        <v>0</v>
      </c>
      <c r="P800" s="74">
        <f>+IF(PROVEEDORES[[#This Row],[SUBTOTAL]]&lt;PROVEEDORES[[#This Row],[base retencion]],0,PROVEEDORES[[#This Row],[retención aplicada]])</f>
        <v>0</v>
      </c>
      <c r="Q800" s="22">
        <f>+PROVEEDORES[[#This Row],[Rete Fuente %]]*(PROVEEDORES[[#This Row],[SUBTOTAL]]-PROVEEDORES[[#This Row],[descuento sobre subtotal]])</f>
        <v>0</v>
      </c>
      <c r="R800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800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63">
        <f ca="1">IF(PROVEEDORES[[#This Row],[FECHA DE PAGO]]=0,TODAY()-PROVEEDORES[[#This Row],[FECHA DE FACTURACIÓN]]-PROVEEDORES[[#This Row],[PLAZO Días]],0)</f>
        <v>0</v>
      </c>
      <c r="U800" s="104">
        <f>+VLOOKUP(PROVEEDORES[[#This Row],[PROVEEDOR]],Terceros!$A:$D,4,FALSE)</f>
        <v>0</v>
      </c>
      <c r="V800" s="105">
        <f>+YEAR(PROVEEDORES[[#This Row],[FECHA DE FACTURACIÓN]])</f>
        <v>2022</v>
      </c>
      <c r="W800" s="105">
        <f>+MATCH(PROVEEDORES[[#This Row],[año facturado]],Retenciones!$1:$1,0)</f>
        <v>5</v>
      </c>
      <c r="X800" s="106">
        <f>+VLOOKUP(PROVEEDORES[[#This Row],[ID RETENCION]],Retenciones!$A$1:$O$25,PROVEEDORES[[#This Row],[indicador de columna]],FALSE)</f>
        <v>0</v>
      </c>
      <c r="Y800" s="107">
        <f>+VLOOKUP(PROVEEDORES[[#This Row],[ID RETENCION]],Retenciones!$A$1:$O$25,2,FALSE)</f>
        <v>0</v>
      </c>
      <c r="Z800" s="116" t="b">
        <f>OR(COUNTIF(PROVEEDORES[[#This Row],[PROVEEDOR]],"*"&amp;'Palabra no opera'!$A$2&amp;"*"))</f>
        <v>1</v>
      </c>
    </row>
    <row r="801" spans="1:26" ht="22.35" customHeight="1" x14ac:dyDescent="0.3">
      <c r="A801" s="196" t="str">
        <f>+IF(PROVEEDORES[[#This Row],[FECHA DE PAGO]]=PROVEEDORES[[#This Row],[FECHA DE FACTURACIÓN]],"DE CONTADO","CRÉDITO")</f>
        <v>CRÉDITO</v>
      </c>
      <c r="B801" s="38" t="b">
        <f>+IF((PROVEEDORES[[#This Row],[FECHA DE PAGO]]-PROVEEDORES[[#This Row],[FECHA DE FACTURACIÓN]])&gt;PROVEEDORES[[#This Row],[PLAZO Días]],"PAGO VENCIDO")</f>
        <v>0</v>
      </c>
      <c r="C801" s="20">
        <f>+VLOOKUP(PROVEEDORES[[#This Row],[PROVEEDOR]],TERCEROS_INFO[#All],2,FALSE)</f>
        <v>30</v>
      </c>
      <c r="D801" s="25">
        <f>+SUMIFS(PROVEEDORES[Total],PROVEEDORES[PROVEEDOR],PROVEEDORES[[#This Row],[PROVEEDOR]],PROVEEDORES[FECHA DE PAGO],"")</f>
        <v>0</v>
      </c>
      <c r="E801" s="25"/>
      <c r="F80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01" s="68">
        <v>44827</v>
      </c>
      <c r="H801" s="26" t="s">
        <v>637</v>
      </c>
      <c r="I801" s="68">
        <v>44809</v>
      </c>
      <c r="J801" s="35" t="s">
        <v>1120</v>
      </c>
      <c r="K801" s="21">
        <v>59583</v>
      </c>
      <c r="L801" s="21"/>
      <c r="M801" s="22">
        <f>(PROVEEDORES[[#This Row],[SUBTOTAL]]-PROVEEDORES[[#This Row],[descuento sobre subtotal]])*VLOOKUP(PROVEEDORES[[#This Row],[PROVEEDOR]],TERCEROS_INFO[#All],3,FALSE)</f>
        <v>0</v>
      </c>
      <c r="N801" s="23"/>
      <c r="O801" s="22">
        <f>+PROVEEDORES[[#This Row],[Descuento sobre subtotal %]]*(PROVEEDORES[[#This Row],[SUBTOTAL]]-PROVEEDORES[[#This Row],[descuento sobre subtotal]])</f>
        <v>0</v>
      </c>
      <c r="P801" s="74">
        <f>+IF(PROVEEDORES[[#This Row],[SUBTOTAL]]&lt;PROVEEDORES[[#This Row],[base retencion]],0,PROVEEDORES[[#This Row],[retención aplicada]])</f>
        <v>0</v>
      </c>
      <c r="Q801" s="22">
        <f>+PROVEEDORES[[#This Row],[Rete Fuente %]]*(PROVEEDORES[[#This Row],[SUBTOTAL]]-PROVEEDORES[[#This Row],[descuento sobre subtotal]])</f>
        <v>0</v>
      </c>
      <c r="R801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801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63">
        <f ca="1">IF(PROVEEDORES[[#This Row],[FECHA DE PAGO]]=0,TODAY()-PROVEEDORES[[#This Row],[FECHA DE FACTURACIÓN]]-PROVEEDORES[[#This Row],[PLAZO Días]],0)</f>
        <v>0</v>
      </c>
      <c r="U801" s="104">
        <f>+VLOOKUP(PROVEEDORES[[#This Row],[PROVEEDOR]],Terceros!$A:$D,4,FALSE)</f>
        <v>0</v>
      </c>
      <c r="V801" s="105">
        <f>+YEAR(PROVEEDORES[[#This Row],[FECHA DE FACTURACIÓN]])</f>
        <v>2022</v>
      </c>
      <c r="W801" s="105">
        <f>+MATCH(PROVEEDORES[[#This Row],[año facturado]],Retenciones!$1:$1,0)</f>
        <v>5</v>
      </c>
      <c r="X801" s="106">
        <f>+VLOOKUP(PROVEEDORES[[#This Row],[ID RETENCION]],Retenciones!$A$1:$O$25,PROVEEDORES[[#This Row],[indicador de columna]],FALSE)</f>
        <v>0</v>
      </c>
      <c r="Y801" s="107">
        <f>+VLOOKUP(PROVEEDORES[[#This Row],[ID RETENCION]],Retenciones!$A$1:$O$25,2,FALSE)</f>
        <v>0</v>
      </c>
      <c r="Z801" s="116" t="b">
        <f>OR(COUNTIF(PROVEEDORES[[#This Row],[PROVEEDOR]],"*"&amp;'Palabra no opera'!$A$2&amp;"*"))</f>
        <v>1</v>
      </c>
    </row>
    <row r="802" spans="1:26" ht="22.35" customHeight="1" x14ac:dyDescent="0.3">
      <c r="A802" s="196" t="str">
        <f>+IF(PROVEEDORES[[#This Row],[FECHA DE PAGO]]=PROVEEDORES[[#This Row],[FECHA DE FACTURACIÓN]],"DE CONTADO","CRÉDITO")</f>
        <v>CRÉDITO</v>
      </c>
      <c r="B802" s="38" t="b">
        <f>+IF((PROVEEDORES[[#This Row],[FECHA DE PAGO]]-PROVEEDORES[[#This Row],[FECHA DE FACTURACIÓN]])&gt;PROVEEDORES[[#This Row],[PLAZO Días]],"PAGO VENCIDO")</f>
        <v>0</v>
      </c>
      <c r="C802" s="20">
        <f>+VLOOKUP(PROVEEDORES[[#This Row],[PROVEEDOR]],TERCEROS_INFO[#All],2,FALSE)</f>
        <v>30</v>
      </c>
      <c r="D802" s="25">
        <f>+SUMIFS(PROVEEDORES[Total],PROVEEDORES[PROVEEDOR],PROVEEDORES[[#This Row],[PROVEEDOR]],PROVEEDORES[FECHA DE PAGO],"")</f>
        <v>0</v>
      </c>
      <c r="E802" s="25"/>
      <c r="F80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02" s="68">
        <v>44827</v>
      </c>
      <c r="H802" s="26" t="s">
        <v>637</v>
      </c>
      <c r="I802" s="68">
        <v>44809</v>
      </c>
      <c r="J802" s="35" t="s">
        <v>1117</v>
      </c>
      <c r="K802" s="21">
        <v>68166</v>
      </c>
      <c r="L802" s="21"/>
      <c r="M802" s="22">
        <f>(PROVEEDORES[[#This Row],[SUBTOTAL]]-PROVEEDORES[[#This Row],[descuento sobre subtotal]])*VLOOKUP(PROVEEDORES[[#This Row],[PROVEEDOR]],TERCEROS_INFO[#All],3,FALSE)</f>
        <v>0</v>
      </c>
      <c r="N802" s="23"/>
      <c r="O802" s="22">
        <f>+PROVEEDORES[[#This Row],[Descuento sobre subtotal %]]*(PROVEEDORES[[#This Row],[SUBTOTAL]]-PROVEEDORES[[#This Row],[descuento sobre subtotal]])</f>
        <v>0</v>
      </c>
      <c r="P802" s="74">
        <f>+IF(PROVEEDORES[[#This Row],[SUBTOTAL]]&lt;PROVEEDORES[[#This Row],[base retencion]],0,PROVEEDORES[[#This Row],[retención aplicada]])</f>
        <v>0</v>
      </c>
      <c r="Q802" s="22">
        <f>+PROVEEDORES[[#This Row],[Rete Fuente %]]*(PROVEEDORES[[#This Row],[SUBTOTAL]]-PROVEEDORES[[#This Row],[descuento sobre subtotal]])</f>
        <v>0</v>
      </c>
      <c r="R802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802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63">
        <f ca="1">IF(PROVEEDORES[[#This Row],[FECHA DE PAGO]]=0,TODAY()-PROVEEDORES[[#This Row],[FECHA DE FACTURACIÓN]]-PROVEEDORES[[#This Row],[PLAZO Días]],0)</f>
        <v>0</v>
      </c>
      <c r="U802" s="104">
        <f>+VLOOKUP(PROVEEDORES[[#This Row],[PROVEEDOR]],Terceros!$A:$D,4,FALSE)</f>
        <v>0</v>
      </c>
      <c r="V802" s="105">
        <f>+YEAR(PROVEEDORES[[#This Row],[FECHA DE FACTURACIÓN]])</f>
        <v>2022</v>
      </c>
      <c r="W802" s="105">
        <f>+MATCH(PROVEEDORES[[#This Row],[año facturado]],Retenciones!$1:$1,0)</f>
        <v>5</v>
      </c>
      <c r="X802" s="106">
        <f>+VLOOKUP(PROVEEDORES[[#This Row],[ID RETENCION]],Retenciones!$A$1:$O$25,PROVEEDORES[[#This Row],[indicador de columna]],FALSE)</f>
        <v>0</v>
      </c>
      <c r="Y802" s="107">
        <f>+VLOOKUP(PROVEEDORES[[#This Row],[ID RETENCION]],Retenciones!$A$1:$O$25,2,FALSE)</f>
        <v>0</v>
      </c>
      <c r="Z802" s="116" t="b">
        <f>OR(COUNTIF(PROVEEDORES[[#This Row],[PROVEEDOR]],"*"&amp;'Palabra no opera'!$A$2&amp;"*"))</f>
        <v>1</v>
      </c>
    </row>
    <row r="803" spans="1:26" ht="22.35" customHeight="1" x14ac:dyDescent="0.3">
      <c r="A803" s="67" t="str">
        <f>+IF(PROVEEDORES[[#This Row],[FECHA DE PAGO]]=PROVEEDORES[[#This Row],[FECHA DE FACTURACIÓN]],"DE CONTADO","CRÉDITO")</f>
        <v>CRÉDITO</v>
      </c>
      <c r="B803" s="38" t="b">
        <f>+IF((PROVEEDORES[[#This Row],[FECHA DE PAGO]]-PROVEEDORES[[#This Row],[FECHA DE FACTURACIÓN]])&gt;PROVEEDORES[[#This Row],[PLAZO Días]],"PAGO VENCIDO")</f>
        <v>0</v>
      </c>
      <c r="C803" s="20">
        <f>+VLOOKUP(PROVEEDORES[[#This Row],[PROVEEDOR]],TERCEROS_INFO[#All],2,FALSE)</f>
        <v>30</v>
      </c>
      <c r="D803" s="25">
        <f>+SUMIFS(PROVEEDORES[Total],PROVEEDORES[PROVEEDOR],PROVEEDORES[[#This Row],[PROVEEDOR]],PROVEEDORES[FECHA DE PAGO],"")</f>
        <v>0</v>
      </c>
      <c r="E803" s="25"/>
      <c r="F803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03" s="68">
        <v>44827</v>
      </c>
      <c r="H803" s="26" t="s">
        <v>638</v>
      </c>
      <c r="I803" s="68">
        <v>44805</v>
      </c>
      <c r="J803" s="35" t="s">
        <v>1080</v>
      </c>
      <c r="K803" s="21">
        <v>3961260</v>
      </c>
      <c r="L803" s="21"/>
      <c r="M803" s="22">
        <f>(PROVEEDORES[[#This Row],[SUBTOTAL]]-PROVEEDORES[[#This Row],[descuento sobre subtotal]])*VLOOKUP(PROVEEDORES[[#This Row],[PROVEEDOR]],TERCEROS_INFO[#All],3,FALSE)</f>
        <v>752639.4</v>
      </c>
      <c r="N803" s="23"/>
      <c r="O803" s="22">
        <f>+PROVEEDORES[[#This Row],[Descuento sobre subtotal %]]*(PROVEEDORES[[#This Row],[SUBTOTAL]]-PROVEEDORES[[#This Row],[descuento sobre subtotal]])</f>
        <v>0</v>
      </c>
      <c r="P803" s="74">
        <f>+IF(PROVEEDORES[[#This Row],[SUBTOTAL]]&lt;PROVEEDORES[[#This Row],[base retencion]],0,PROVEEDORES[[#This Row],[retención aplicada]])</f>
        <v>3.5000000000000003E-2</v>
      </c>
      <c r="Q803" s="22">
        <f>+PROVEEDORES[[#This Row],[Rete Fuente %]]*(PROVEEDORES[[#This Row],[SUBTOTAL]]-PROVEEDORES[[#This Row],[descuento sobre subtotal]])</f>
        <v>138644.1</v>
      </c>
      <c r="R803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8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63">
        <f ca="1">IF(PROVEEDORES[[#This Row],[FECHA DE PAGO]]=0,TODAY()-PROVEEDORES[[#This Row],[FECHA DE FACTURACIÓN]]-PROVEEDORES[[#This Row],[PLAZO Días]],0)</f>
        <v>0</v>
      </c>
      <c r="U803" s="104" t="str">
        <f>+VLOOKUP(PROVEEDORES[[#This Row],[PROVEEDOR]],Terceros!$A:$D,4,FALSE)</f>
        <v>3,5% sin base</v>
      </c>
      <c r="V803" s="105">
        <f>+YEAR(PROVEEDORES[[#This Row],[FECHA DE FACTURACIÓN]])</f>
        <v>2022</v>
      </c>
      <c r="W803" s="105">
        <f>+MATCH(PROVEEDORES[[#This Row],[año facturado]],Retenciones!$1:$1,0)</f>
        <v>5</v>
      </c>
      <c r="X803" s="106">
        <f>+VLOOKUP(PROVEEDORES[[#This Row],[ID RETENCION]],Retenciones!$A$1:$O$25,PROVEEDORES[[#This Row],[indicador de columna]],FALSE)</f>
        <v>0</v>
      </c>
      <c r="Y803" s="107">
        <f>+VLOOKUP(PROVEEDORES[[#This Row],[ID RETENCION]],Retenciones!$A$1:$O$25,2,FALSE)</f>
        <v>3.5000000000000003E-2</v>
      </c>
      <c r="Z803" s="116" t="b">
        <f>OR(COUNTIF(PROVEEDORES[[#This Row],[PROVEEDOR]],"*"&amp;'Palabra no opera'!$A$2&amp;"*"))</f>
        <v>1</v>
      </c>
    </row>
    <row r="804" spans="1:26" ht="22.35" customHeight="1" x14ac:dyDescent="0.3">
      <c r="A804" s="67" t="str">
        <f>+IF(PROVEEDORES[[#This Row],[FECHA DE PAGO]]=PROVEEDORES[[#This Row],[FECHA DE FACTURACIÓN]],"DE CONTADO","CRÉDITO")</f>
        <v>CRÉDITO</v>
      </c>
      <c r="B804" s="38" t="str">
        <f>+IF((PROVEEDORES[[#This Row],[FECHA DE PAGO]]-PROVEEDORES[[#This Row],[FECHA DE FACTURACIÓN]])&gt;PROVEEDORES[[#This Row],[PLAZO Días]],"PAGO VENCIDO")</f>
        <v>PAGO VENCIDO</v>
      </c>
      <c r="C804" s="20">
        <f>+VLOOKUP(PROVEEDORES[[#This Row],[PROVEEDOR]],TERCEROS_INFO[#All],2,FALSE)</f>
        <v>0</v>
      </c>
      <c r="D804" s="25">
        <f>+SUMIFS(PROVEEDORES[Total],PROVEEDORES[PROVEEDOR],PROVEEDORES[[#This Row],[PROVEEDOR]],PROVEEDORES[FECHA DE PAGO],"")</f>
        <v>0</v>
      </c>
      <c r="E804" s="25"/>
      <c r="F804" s="56" t="str">
        <f>+VLOOKUP(PROVEEDORES[[#This Row],[PROVEEDOR]],
                       Terceros!$A:$F,
                       5,
                       FALSE)</f>
        <v>santiago30m@hotmail.com;girlesa.ruiz@servipilas.com;joriescobar64@gmail.com</v>
      </c>
      <c r="G804" s="68">
        <v>44827</v>
      </c>
      <c r="H804" s="26" t="s">
        <v>1113</v>
      </c>
      <c r="I804" s="68">
        <v>44810</v>
      </c>
      <c r="J804" s="35" t="s">
        <v>1112</v>
      </c>
      <c r="K804" s="21">
        <v>1000000</v>
      </c>
      <c r="L804" s="21"/>
      <c r="M804" s="22">
        <f>(PROVEEDORES[[#This Row],[SUBTOTAL]]-PROVEEDORES[[#This Row],[descuento sobre subtotal]])*VLOOKUP(PROVEEDORES[[#This Row],[PROVEEDOR]],TERCEROS_INFO[#All],3,FALSE)</f>
        <v>0</v>
      </c>
      <c r="N804" s="23"/>
      <c r="O804" s="22">
        <f>+PROVEEDORES[[#This Row],[Descuento sobre subtotal %]]*(PROVEEDORES[[#This Row],[SUBTOTAL]]-PROVEEDORES[[#This Row],[descuento sobre subtotal]])</f>
        <v>0</v>
      </c>
      <c r="P804" s="74">
        <f>+IF(PROVEEDORES[[#This Row],[SUBTOTAL]]&lt;PROVEEDORES[[#This Row],[base retencion]],0,PROVEEDORES[[#This Row],[retención aplicada]])</f>
        <v>0</v>
      </c>
      <c r="Q804" s="22">
        <f>+PROVEEDORES[[#This Row],[Rete Fuente %]]*(PROVEEDORES[[#This Row],[SUBTOTAL]]-PROVEEDORES[[#This Row],[descuento sobre subtotal]])</f>
        <v>0</v>
      </c>
      <c r="R80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8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63">
        <f ca="1">IF(PROVEEDORES[[#This Row],[FECHA DE PAGO]]=0,TODAY()-PROVEEDORES[[#This Row],[FECHA DE FACTURACIÓN]]-PROVEEDORES[[#This Row],[PLAZO Días]],0)</f>
        <v>0</v>
      </c>
      <c r="U804" s="104">
        <f>+VLOOKUP(PROVEEDORES[[#This Row],[PROVEEDOR]],Terceros!$A:$D,4,FALSE)</f>
        <v>0</v>
      </c>
      <c r="V804" s="105">
        <f>+YEAR(PROVEEDORES[[#This Row],[FECHA DE FACTURACIÓN]])</f>
        <v>2022</v>
      </c>
      <c r="W804" s="105">
        <f>+MATCH(PROVEEDORES[[#This Row],[año facturado]],Retenciones!$1:$1,0)</f>
        <v>5</v>
      </c>
      <c r="X804" s="106">
        <f>+VLOOKUP(PROVEEDORES[[#This Row],[ID RETENCION]],Retenciones!$A$1:$O$25,PROVEEDORES[[#This Row],[indicador de columna]],FALSE)</f>
        <v>0</v>
      </c>
      <c r="Y804" s="107">
        <f>+VLOOKUP(PROVEEDORES[[#This Row],[ID RETENCION]],Retenciones!$A$1:$O$25,2,FALSE)</f>
        <v>0</v>
      </c>
      <c r="Z804" s="116" t="b">
        <f>OR(COUNTIF(PROVEEDORES[[#This Row],[PROVEEDOR]],"*"&amp;'Palabra no opera'!$A$2&amp;"*"))</f>
        <v>1</v>
      </c>
    </row>
    <row r="805" spans="1:26" ht="22.35" customHeight="1" x14ac:dyDescent="0.3">
      <c r="A805" s="67" t="str">
        <f>+IF(PROVEEDORES[[#This Row],[FECHA DE PAGO]]=PROVEEDORES[[#This Row],[FECHA DE FACTURACIÓN]],"DE CONTADO","CRÉDITO")</f>
        <v>CRÉDITO</v>
      </c>
      <c r="B805" s="38" t="b">
        <f>+IF((PROVEEDORES[[#This Row],[FECHA DE PAGO]]-PROVEEDORES[[#This Row],[FECHA DE FACTURACIÓN]])&gt;PROVEEDORES[[#This Row],[PLAZO Días]],"PAGO VENCIDO")</f>
        <v>0</v>
      </c>
      <c r="C805" s="20">
        <f>+VLOOKUP(PROVEEDORES[[#This Row],[PROVEEDOR]],TERCEROS_INFO[#All],2,FALSE)</f>
        <v>30</v>
      </c>
      <c r="D805" s="25">
        <f>+SUMIFS(PROVEEDORES[Total],PROVEEDORES[PROVEEDOR],PROVEEDORES[[#This Row],[PROVEEDOR]],PROVEEDORES[FECHA DE PAGO],"")</f>
        <v>0</v>
      </c>
      <c r="E805" s="25"/>
      <c r="F805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805" s="68">
        <v>44827</v>
      </c>
      <c r="H805" s="26" t="s">
        <v>651</v>
      </c>
      <c r="I805" s="68">
        <v>44805</v>
      </c>
      <c r="J805" s="35">
        <v>6052</v>
      </c>
      <c r="K805" s="21">
        <v>215356</v>
      </c>
      <c r="L805" s="21"/>
      <c r="M805" s="22">
        <f>(PROVEEDORES[[#This Row],[SUBTOTAL]]-PROVEEDORES[[#This Row],[descuento sobre subtotal]])*VLOOKUP(PROVEEDORES[[#This Row],[PROVEEDOR]],TERCEROS_INFO[#All],3,FALSE)</f>
        <v>40917.64</v>
      </c>
      <c r="N805" s="23"/>
      <c r="O805" s="22">
        <f>+PROVEEDORES[[#This Row],[Descuento sobre subtotal %]]*(PROVEEDORES[[#This Row],[SUBTOTAL]]-PROVEEDORES[[#This Row],[descuento sobre subtotal]])</f>
        <v>0</v>
      </c>
      <c r="P805" s="74">
        <f>+IF(PROVEEDORES[[#This Row],[SUBTOTAL]]&lt;PROVEEDORES[[#This Row],[base retencion]],0,PROVEEDORES[[#This Row],[retención aplicada]])</f>
        <v>3.5000000000000003E-2</v>
      </c>
      <c r="Q805" s="22">
        <f>+PROVEEDORES[[#This Row],[Rete Fuente %]]*(PROVEEDORES[[#This Row],[SUBTOTAL]]-PROVEEDORES[[#This Row],[descuento sobre subtotal]])</f>
        <v>7537.4600000000009</v>
      </c>
      <c r="R805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8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63">
        <f ca="1">IF(PROVEEDORES[[#This Row],[FECHA DE PAGO]]=0,TODAY()-PROVEEDORES[[#This Row],[FECHA DE FACTURACIÓN]]-PROVEEDORES[[#This Row],[PLAZO Días]],0)</f>
        <v>0</v>
      </c>
      <c r="U805" s="104" t="str">
        <f>+VLOOKUP(PROVEEDORES[[#This Row],[PROVEEDOR]],Terceros!$A:$D,4,FALSE)</f>
        <v>3,5% sin base</v>
      </c>
      <c r="V805" s="105">
        <f>+YEAR(PROVEEDORES[[#This Row],[FECHA DE FACTURACIÓN]])</f>
        <v>2022</v>
      </c>
      <c r="W805" s="105">
        <f>+MATCH(PROVEEDORES[[#This Row],[año facturado]],Retenciones!$1:$1,0)</f>
        <v>5</v>
      </c>
      <c r="X805" s="106">
        <f>+VLOOKUP(PROVEEDORES[[#This Row],[ID RETENCION]],Retenciones!$A$1:$O$25,PROVEEDORES[[#This Row],[indicador de columna]],FALSE)</f>
        <v>0</v>
      </c>
      <c r="Y805" s="107">
        <f>+VLOOKUP(PROVEEDORES[[#This Row],[ID RETENCION]],Retenciones!$A$1:$O$25,2,FALSE)</f>
        <v>3.5000000000000003E-2</v>
      </c>
      <c r="Z805" s="116" t="b">
        <f>OR(COUNTIF(PROVEEDORES[[#This Row],[PROVEEDOR]],"*"&amp;'Palabra no opera'!$A$2&amp;"*"))</f>
        <v>1</v>
      </c>
    </row>
    <row r="806" spans="1:26" ht="22.35" customHeight="1" x14ac:dyDescent="0.3">
      <c r="A806" s="196" t="str">
        <f>+IF(PROVEEDORES[[#This Row],[FECHA DE PAGO]]=PROVEEDORES[[#This Row],[FECHA DE FACTURACIÓN]],"DE CONTADO","CRÉDITO")</f>
        <v>CRÉDITO</v>
      </c>
      <c r="B806" s="38" t="str">
        <f>+IF((PROVEEDORES[[#This Row],[FECHA DE PAGO]]-PROVEEDORES[[#This Row],[FECHA DE FACTURACIÓN]])&gt;PROVEEDORES[[#This Row],[PLAZO Días]],"PAGO VENCIDO")</f>
        <v>PAGO VENCIDO</v>
      </c>
      <c r="C806" s="20">
        <f>+VLOOKUP(PROVEEDORES[[#This Row],[PROVEEDOR]],TERCEROS_INFO[#All],2,FALSE)</f>
        <v>20</v>
      </c>
      <c r="D806" s="25">
        <f>+SUMIFS(PROVEEDORES[Total],PROVEEDORES[PROVEEDOR],PROVEEDORES[[#This Row],[PROVEEDOR]],PROVEEDORES[FECHA DE PAGO],"")</f>
        <v>0</v>
      </c>
      <c r="E806" s="25"/>
      <c r="F806" s="56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806" s="68">
        <v>44827</v>
      </c>
      <c r="H806" s="26" t="s">
        <v>652</v>
      </c>
      <c r="I806" s="68">
        <v>44805</v>
      </c>
      <c r="J806" s="35" t="s">
        <v>1121</v>
      </c>
      <c r="K806" s="21">
        <v>4730000</v>
      </c>
      <c r="L806" s="21"/>
      <c r="M806" s="22">
        <f>(PROVEEDORES[[#This Row],[SUBTOTAL]]-PROVEEDORES[[#This Row],[descuento sobre subtotal]])*VLOOKUP(PROVEEDORES[[#This Row],[PROVEEDOR]],TERCEROS_INFO[#All],3,FALSE)</f>
        <v>898700</v>
      </c>
      <c r="N806" s="23"/>
      <c r="O806" s="22">
        <f>+PROVEEDORES[[#This Row],[Descuento sobre subtotal %]]*(PROVEEDORES[[#This Row],[SUBTOTAL]]-PROVEEDORES[[#This Row],[descuento sobre subtotal]])</f>
        <v>0</v>
      </c>
      <c r="P806" s="74">
        <f>+IF(PROVEEDORES[[#This Row],[SUBTOTAL]]&lt;PROVEEDORES[[#This Row],[base retencion]],0,PROVEEDORES[[#This Row],[retención aplicada]])</f>
        <v>3.5000000000000003E-2</v>
      </c>
      <c r="Q806" s="22">
        <f>+PROVEEDORES[[#This Row],[Rete Fuente %]]*(PROVEEDORES[[#This Row],[SUBTOTAL]]-PROVEEDORES[[#This Row],[descuento sobre subtotal]])</f>
        <v>165550.00000000003</v>
      </c>
      <c r="R806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80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63">
        <f ca="1">IF(PROVEEDORES[[#This Row],[FECHA DE PAGO]]=0,TODAY()-PROVEEDORES[[#This Row],[FECHA DE FACTURACIÓN]]-PROVEEDORES[[#This Row],[PLAZO Días]],0)</f>
        <v>0</v>
      </c>
      <c r="U806" s="104" t="str">
        <f>+VLOOKUP(PROVEEDORES[[#This Row],[PROVEEDOR]],Terceros!$A:$D,4,FALSE)</f>
        <v>3,5% sin base</v>
      </c>
      <c r="V806" s="105">
        <f>+YEAR(PROVEEDORES[[#This Row],[FECHA DE FACTURACIÓN]])</f>
        <v>2022</v>
      </c>
      <c r="W806" s="105">
        <f>+MATCH(PROVEEDORES[[#This Row],[año facturado]],Retenciones!$1:$1,0)</f>
        <v>5</v>
      </c>
      <c r="X806" s="106">
        <f>+VLOOKUP(PROVEEDORES[[#This Row],[ID RETENCION]],Retenciones!$A$1:$O$25,PROVEEDORES[[#This Row],[indicador de columna]],FALSE)</f>
        <v>0</v>
      </c>
      <c r="Y806" s="107">
        <f>+VLOOKUP(PROVEEDORES[[#This Row],[ID RETENCION]],Retenciones!$A$1:$O$25,2,FALSE)</f>
        <v>3.5000000000000003E-2</v>
      </c>
      <c r="Z806" s="116" t="b">
        <f>OR(COUNTIF(PROVEEDORES[[#This Row],[PROVEEDOR]],"*"&amp;'Palabra no opera'!$A$2&amp;"*"))</f>
        <v>1</v>
      </c>
    </row>
    <row r="807" spans="1:26" ht="22.35" customHeight="1" x14ac:dyDescent="0.3">
      <c r="A807" s="182" t="str">
        <f>+IF(PROVEEDORES[[#This Row],[FECHA DE PAGO]]=PROVEEDORES[[#This Row],[FECHA DE FACTURACIÓN]],"DE CONTADO","CRÉDITO")</f>
        <v>CRÉDITO</v>
      </c>
      <c r="B807" s="38" t="str">
        <f>+IF((PROVEEDORES[[#This Row],[FECHA DE PAGO]]-PROVEEDORES[[#This Row],[FECHA DE FACTURACIÓN]])&gt;PROVEEDORES[[#This Row],[PLAZO Días]],"PAGO VENCIDO")</f>
        <v>PAGO VENCIDO</v>
      </c>
      <c r="C807" s="20">
        <f>+VLOOKUP(PROVEEDORES[[#This Row],[PROVEEDOR]],TERCEROS_INFO[#All],2,FALSE)</f>
        <v>30</v>
      </c>
      <c r="D807" s="25">
        <f>+SUMIFS(PROVEEDORES[Total],PROVEEDORES[PROVEEDOR],PROVEEDORES[[#This Row],[PROVEEDOR]],PROVEEDORES[FECHA DE PAGO],"")</f>
        <v>0</v>
      </c>
      <c r="E807" s="25"/>
      <c r="F807" s="56" t="str">
        <f>+VLOOKUP(PROVEEDORES[[#This Row],[PROVEEDOR]],
                       Terceros!$A:$F,
                       5,
                       FALSE)</f>
        <v/>
      </c>
      <c r="G807" s="68">
        <v>44830</v>
      </c>
      <c r="H807" s="26" t="s">
        <v>401</v>
      </c>
      <c r="I807" s="68">
        <v>44790</v>
      </c>
      <c r="J807" s="35" t="s">
        <v>945</v>
      </c>
      <c r="K807" s="21">
        <v>294000</v>
      </c>
      <c r="L807" s="21"/>
      <c r="M807" s="22">
        <f>(PROVEEDORES[[#This Row],[SUBTOTAL]]-PROVEEDORES[[#This Row],[descuento sobre subtotal]])*VLOOKUP(PROVEEDORES[[#This Row],[PROVEEDOR]],TERCEROS_INFO[#All],3,FALSE)</f>
        <v>0</v>
      </c>
      <c r="N807" s="23"/>
      <c r="O807" s="22">
        <f>+PROVEEDORES[[#This Row],[Descuento sobre subtotal %]]*(PROVEEDORES[[#This Row],[SUBTOTAL]]-PROVEEDORES[[#This Row],[descuento sobre subtotal]])</f>
        <v>0</v>
      </c>
      <c r="P807" s="74">
        <f>+IF(PROVEEDORES[[#This Row],[SUBTOTAL]]&lt;PROVEEDORES[[#This Row],[base retencion]],0,PROVEEDORES[[#This Row],[retención aplicada]])</f>
        <v>0</v>
      </c>
      <c r="Q807" s="22">
        <f>+PROVEEDORES[[#This Row],[Rete Fuente %]]*(PROVEEDORES[[#This Row],[SUBTOTAL]]-PROVEEDORES[[#This Row],[descuento sobre subtotal]])</f>
        <v>0</v>
      </c>
      <c r="R807" s="21">
        <f>+PROVEEDORES[[#This Row],[SUBTOTAL]]+PROVEEDORES[[#This Row],[IVA 19%]]-PROVEEDORES[[#This Row],[descuento sobre subtotal]]-PROVEEDORES[[#This Row],[Descuento sobre subtotal $2]]-PROVEEDORES[[#This Row],[Rete Fuente $]]</f>
        <v>294000</v>
      </c>
      <c r="S80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63">
        <f ca="1">IF(PROVEEDORES[[#This Row],[FECHA DE PAGO]]=0,TODAY()-PROVEEDORES[[#This Row],[FECHA DE FACTURACIÓN]]-PROVEEDORES[[#This Row],[PLAZO Días]],0)</f>
        <v>0</v>
      </c>
      <c r="U807" s="104">
        <f>+VLOOKUP(PROVEEDORES[[#This Row],[PROVEEDOR]],Terceros!$A:$D,4,FALSE)</f>
        <v>0</v>
      </c>
      <c r="V807" s="105">
        <f>+YEAR(PROVEEDORES[[#This Row],[FECHA DE FACTURACIÓN]])</f>
        <v>2022</v>
      </c>
      <c r="W807" s="105">
        <f>+MATCH(PROVEEDORES[[#This Row],[año facturado]],Retenciones!$1:$1,0)</f>
        <v>5</v>
      </c>
      <c r="X807" s="106">
        <f>+VLOOKUP(PROVEEDORES[[#This Row],[ID RETENCION]],Retenciones!$A$1:$O$25,PROVEEDORES[[#This Row],[indicador de columna]],FALSE)</f>
        <v>0</v>
      </c>
      <c r="Y807" s="107">
        <f>+VLOOKUP(PROVEEDORES[[#This Row],[ID RETENCION]],Retenciones!$A$1:$O$25,2,FALSE)</f>
        <v>0</v>
      </c>
      <c r="Z807" s="116" t="b">
        <f>OR(COUNTIF(PROVEEDORES[[#This Row],[PROVEEDOR]],"*"&amp;'Palabra no opera'!$A$2&amp;"*"))</f>
        <v>0</v>
      </c>
    </row>
    <row r="808" spans="1:26" ht="22.35" customHeight="1" x14ac:dyDescent="0.3">
      <c r="A808" s="67" t="str">
        <f>+IF(PROVEEDORES[[#This Row],[FECHA DE PAGO]]=PROVEEDORES[[#This Row],[FECHA DE FACTURACIÓN]],"DE CONTADO","CRÉDITO")</f>
        <v>CRÉDITO</v>
      </c>
      <c r="B808" s="38" t="str">
        <f>+IF((PROVEEDORES[[#This Row],[FECHA DE PAGO]]-PROVEEDORES[[#This Row],[FECHA DE FACTURACIÓN]])&gt;PROVEEDORES[[#This Row],[PLAZO Días]],"PAGO VENCIDO")</f>
        <v>PAGO VENCIDO</v>
      </c>
      <c r="C808" s="20">
        <f>+VLOOKUP(PROVEEDORES[[#This Row],[PROVEEDOR]],TERCEROS_INFO[#All],2,FALSE)</f>
        <v>0</v>
      </c>
      <c r="D808" s="25">
        <f>+SUMIFS(PROVEEDORES[Total],PROVEEDORES[PROVEEDOR],PROVEEDORES[[#This Row],[PROVEEDOR]],PROVEEDORES[FECHA DE PAGO],"")</f>
        <v>0</v>
      </c>
      <c r="E808" s="25"/>
      <c r="F808" s="56" t="str">
        <f>+VLOOKUP(PROVEEDORES[[#This Row],[PROVEEDOR]],
                       Terceros!$A:$F,
                       5,
                       FALSE)</f>
        <v>liauribe@une.net.co;girlesa.ruiz@servipilas.com;joriescobar64@gmail.com</v>
      </c>
      <c r="G808" s="68">
        <v>44830</v>
      </c>
      <c r="H808" s="26" t="s">
        <v>1109</v>
      </c>
      <c r="I808" s="68">
        <v>44817</v>
      </c>
      <c r="J808" s="35" t="s">
        <v>1112</v>
      </c>
      <c r="K808" s="21">
        <v>2000000</v>
      </c>
      <c r="L808" s="21"/>
      <c r="M808" s="22">
        <f>(PROVEEDORES[[#This Row],[SUBTOTAL]]-PROVEEDORES[[#This Row],[descuento sobre subtotal]])*VLOOKUP(PROVEEDORES[[#This Row],[PROVEEDOR]],TERCEROS_INFO[#All],3,FALSE)</f>
        <v>0</v>
      </c>
      <c r="N808" s="23"/>
      <c r="O808" s="22">
        <f>+PROVEEDORES[[#This Row],[Descuento sobre subtotal %]]*(PROVEEDORES[[#This Row],[SUBTOTAL]]-PROVEEDORES[[#This Row],[descuento sobre subtotal]])</f>
        <v>0</v>
      </c>
      <c r="P808" s="74">
        <f>+IF(PROVEEDORES[[#This Row],[SUBTOTAL]]&lt;PROVEEDORES[[#This Row],[base retencion]],0,PROVEEDORES[[#This Row],[retención aplicada]])</f>
        <v>0</v>
      </c>
      <c r="Q808" s="22">
        <f>+PROVEEDORES[[#This Row],[Rete Fuente %]]*(PROVEEDORES[[#This Row],[SUBTOTAL]]-PROVEEDORES[[#This Row],[descuento sobre subtotal]])</f>
        <v>0</v>
      </c>
      <c r="R808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8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63">
        <f ca="1">IF(PROVEEDORES[[#This Row],[FECHA DE PAGO]]=0,TODAY()-PROVEEDORES[[#This Row],[FECHA DE FACTURACIÓN]]-PROVEEDORES[[#This Row],[PLAZO Días]],0)</f>
        <v>0</v>
      </c>
      <c r="U808" s="104">
        <f>+VLOOKUP(PROVEEDORES[[#This Row],[PROVEEDOR]],Terceros!$A:$D,4,FALSE)</f>
        <v>0</v>
      </c>
      <c r="V808" s="105">
        <f>+YEAR(PROVEEDORES[[#This Row],[FECHA DE FACTURACIÓN]])</f>
        <v>2022</v>
      </c>
      <c r="W808" s="105">
        <f>+MATCH(PROVEEDORES[[#This Row],[año facturado]],Retenciones!$1:$1,0)</f>
        <v>5</v>
      </c>
      <c r="X808" s="106">
        <f>+VLOOKUP(PROVEEDORES[[#This Row],[ID RETENCION]],Retenciones!$A$1:$O$25,PROVEEDORES[[#This Row],[indicador de columna]],FALSE)</f>
        <v>0</v>
      </c>
      <c r="Y808" s="107">
        <f>+VLOOKUP(PROVEEDORES[[#This Row],[ID RETENCION]],Retenciones!$A$1:$O$25,2,FALSE)</f>
        <v>0</v>
      </c>
      <c r="Z808" s="116" t="b">
        <f>OR(COUNTIF(PROVEEDORES[[#This Row],[PROVEEDOR]],"*"&amp;'Palabra no opera'!$A$2&amp;"*"))</f>
        <v>1</v>
      </c>
    </row>
    <row r="809" spans="1:26" ht="22.35" customHeight="1" x14ac:dyDescent="0.3">
      <c r="A809" s="222" t="str">
        <f>+IF(PROVEEDORES[[#This Row],[FECHA DE PAGO]]=PROVEEDORES[[#This Row],[FECHA DE FACTURACIÓN]],"DE CONTADO","CRÉDITO")</f>
        <v>CRÉDITO</v>
      </c>
      <c r="B809" s="38" t="b">
        <f>+IF((PROVEEDORES[[#This Row],[FECHA DE PAGO]]-PROVEEDORES[[#This Row],[FECHA DE FACTURACIÓN]])&gt;PROVEEDORES[[#This Row],[PLAZO Días]],"PAGO VENCIDO")</f>
        <v>0</v>
      </c>
      <c r="C809" s="20">
        <f>+VLOOKUP(PROVEEDORES[[#This Row],[PROVEEDOR]],TERCEROS_INFO[#All],2,FALSE)</f>
        <v>30</v>
      </c>
      <c r="D809" s="25">
        <f>+SUMIFS(PROVEEDORES[Total],PROVEEDORES[PROVEEDOR],PROVEEDORES[[#This Row],[PROVEEDOR]],PROVEEDORES[FECHA DE PAGO],"")</f>
        <v>0</v>
      </c>
      <c r="E809" s="25"/>
      <c r="F809" s="56" t="str">
        <f>+VLOOKUP(PROVEEDORES[[#This Row],[PROVEEDOR]],
                       Terceros!$A:$F,
                       5,
                       FALSE)</f>
        <v/>
      </c>
      <c r="G809" s="68">
        <v>44832</v>
      </c>
      <c r="H809" s="26" t="s">
        <v>356</v>
      </c>
      <c r="I809" s="68">
        <v>44831</v>
      </c>
      <c r="J809" s="35" t="s">
        <v>1158</v>
      </c>
      <c r="K809" s="21">
        <v>694000</v>
      </c>
      <c r="L809" s="21"/>
      <c r="M809" s="22">
        <f>(PROVEEDORES[[#This Row],[SUBTOTAL]]-PROVEEDORES[[#This Row],[descuento sobre subtotal]])*VLOOKUP(PROVEEDORES[[#This Row],[PROVEEDOR]],TERCEROS_INFO[#All],3,FALSE)</f>
        <v>0</v>
      </c>
      <c r="N809" s="23"/>
      <c r="O809" s="22">
        <f>+PROVEEDORES[[#This Row],[Descuento sobre subtotal %]]*(PROVEEDORES[[#This Row],[SUBTOTAL]]-PROVEEDORES[[#This Row],[descuento sobre subtotal]])</f>
        <v>0</v>
      </c>
      <c r="P809" s="74">
        <f>+IF(PROVEEDORES[[#This Row],[SUBTOTAL]]&lt;PROVEEDORES[[#This Row],[base retencion]],0,PROVEEDORES[[#This Row],[retención aplicada]])</f>
        <v>0</v>
      </c>
      <c r="Q809" s="22">
        <f>+PROVEEDORES[[#This Row],[Rete Fuente %]]*(PROVEEDORES[[#This Row],[SUBTOTAL]]-PROVEEDORES[[#This Row],[descuento sobre subtotal]])</f>
        <v>0</v>
      </c>
      <c r="R809" s="21">
        <f>+PROVEEDORES[[#This Row],[SUBTOTAL]]+PROVEEDORES[[#This Row],[IVA 19%]]-PROVEEDORES[[#This Row],[descuento sobre subtotal]]-PROVEEDORES[[#This Row],[Descuento sobre subtotal $2]]-PROVEEDORES[[#This Row],[Rete Fuente $]]</f>
        <v>694000</v>
      </c>
      <c r="S809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63">
        <f ca="1">IF(PROVEEDORES[[#This Row],[FECHA DE PAGO]]=0,TODAY()-PROVEEDORES[[#This Row],[FECHA DE FACTURACIÓN]]-PROVEEDORES[[#This Row],[PLAZO Días]],0)</f>
        <v>0</v>
      </c>
      <c r="U809" s="104">
        <f>+VLOOKUP(PROVEEDORES[[#This Row],[PROVEEDOR]],Terceros!$A:$D,4,FALSE)</f>
        <v>0</v>
      </c>
      <c r="V809" s="105">
        <f>+YEAR(PROVEEDORES[[#This Row],[FECHA DE FACTURACIÓN]])</f>
        <v>2022</v>
      </c>
      <c r="W809" s="105">
        <f>+MATCH(PROVEEDORES[[#This Row],[año facturado]],Retenciones!$1:$1,0)</f>
        <v>5</v>
      </c>
      <c r="X809" s="106">
        <f>+VLOOKUP(PROVEEDORES[[#This Row],[ID RETENCION]],Retenciones!$A$1:$O$25,PROVEEDORES[[#This Row],[indicador de columna]],FALSE)</f>
        <v>0</v>
      </c>
      <c r="Y809" s="107">
        <f>+VLOOKUP(PROVEEDORES[[#This Row],[ID RETENCION]],Retenciones!$A$1:$O$25,2,FALSE)</f>
        <v>0</v>
      </c>
      <c r="Z809" s="116" t="b">
        <f>OR(COUNTIF(PROVEEDORES[[#This Row],[PROVEEDOR]],"*"&amp;'Palabra no opera'!$A$2&amp;"*"))</f>
        <v>0</v>
      </c>
    </row>
    <row r="810" spans="1:26" ht="22.35" customHeight="1" x14ac:dyDescent="0.3">
      <c r="A810" s="222" t="str">
        <f>+IF(PROVEEDORES[[#This Row],[FECHA DE PAGO]]=PROVEEDORES[[#This Row],[FECHA DE FACTURACIÓN]],"DE CONTADO","CRÉDITO")</f>
        <v>DE CONTADO</v>
      </c>
      <c r="B810" s="38" t="b">
        <f>+IF((PROVEEDORES[[#This Row],[FECHA DE PAGO]]-PROVEEDORES[[#This Row],[FECHA DE FACTURACIÓN]])&gt;PROVEEDORES[[#This Row],[PLAZO Días]],"PAGO VENCIDO")</f>
        <v>0</v>
      </c>
      <c r="C810" s="20">
        <f>+VLOOKUP(PROVEEDORES[[#This Row],[PROVEEDOR]],TERCEROS_INFO[#All],2,FALSE)</f>
        <v>30</v>
      </c>
      <c r="D810" s="25">
        <f>+SUMIFS(PROVEEDORES[Total],PROVEEDORES[PROVEEDOR],PROVEEDORES[[#This Row],[PROVEEDOR]],PROVEEDORES[FECHA DE PAGO],"")</f>
        <v>2950000</v>
      </c>
      <c r="E810" s="25"/>
      <c r="F810" s="56">
        <f>+VLOOKUP(PROVEEDORES[[#This Row],[PROVEEDOR]],
                       Terceros!$A:$F,
                       5,
                       FALSE)</f>
        <v>0</v>
      </c>
      <c r="G810" s="68">
        <v>44833</v>
      </c>
      <c r="H810" s="26" t="s">
        <v>1152</v>
      </c>
      <c r="I810" s="68">
        <v>44833</v>
      </c>
      <c r="J810" s="35" t="s">
        <v>1157</v>
      </c>
      <c r="K810" s="21">
        <v>481000</v>
      </c>
      <c r="L810" s="21"/>
      <c r="M810" s="22">
        <f>(PROVEEDORES[[#This Row],[SUBTOTAL]]-PROVEEDORES[[#This Row],[descuento sobre subtotal]])*VLOOKUP(PROVEEDORES[[#This Row],[PROVEEDOR]],TERCEROS_INFO[#All],3,FALSE)</f>
        <v>0</v>
      </c>
      <c r="N810" s="23"/>
      <c r="O810" s="22">
        <f>+PROVEEDORES[[#This Row],[Descuento sobre subtotal %]]*(PROVEEDORES[[#This Row],[SUBTOTAL]]-PROVEEDORES[[#This Row],[descuento sobre subtotal]])</f>
        <v>0</v>
      </c>
      <c r="P810" s="74">
        <f>+IF(PROVEEDORES[[#This Row],[SUBTOTAL]]&lt;PROVEEDORES[[#This Row],[base retencion]],0,PROVEEDORES[[#This Row],[retención aplicada]])</f>
        <v>0</v>
      </c>
      <c r="Q810" s="22">
        <f>+PROVEEDORES[[#This Row],[Rete Fuente %]]*(PROVEEDORES[[#This Row],[SUBTOTAL]]-PROVEEDORES[[#This Row],[descuento sobre subtotal]])</f>
        <v>0</v>
      </c>
      <c r="R810" s="21">
        <f>+PROVEEDORES[[#This Row],[SUBTOTAL]]+PROVEEDORES[[#This Row],[IVA 19%]]-PROVEEDORES[[#This Row],[descuento sobre subtotal]]-PROVEEDORES[[#This Row],[Descuento sobre subtotal $2]]-PROVEEDORES[[#This Row],[Rete Fuente $]]</f>
        <v>481000</v>
      </c>
      <c r="S810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63">
        <f ca="1">IF(PROVEEDORES[[#This Row],[FECHA DE PAGO]]=0,TODAY()-PROVEEDORES[[#This Row],[FECHA DE FACTURACIÓN]]-PROVEEDORES[[#This Row],[PLAZO Días]],0)</f>
        <v>0</v>
      </c>
      <c r="U810" s="104">
        <f>+VLOOKUP(PROVEEDORES[[#This Row],[PROVEEDOR]],Terceros!$A:$D,4,FALSE)</f>
        <v>0</v>
      </c>
      <c r="V810" s="105">
        <f>+YEAR(PROVEEDORES[[#This Row],[FECHA DE FACTURACIÓN]])</f>
        <v>2022</v>
      </c>
      <c r="W810" s="105">
        <f>+MATCH(PROVEEDORES[[#This Row],[año facturado]],Retenciones!$1:$1,0)</f>
        <v>5</v>
      </c>
      <c r="X810" s="106">
        <f>+VLOOKUP(PROVEEDORES[[#This Row],[ID RETENCION]],Retenciones!$A$1:$O$25,PROVEEDORES[[#This Row],[indicador de columna]],FALSE)</f>
        <v>0</v>
      </c>
      <c r="Y810" s="107">
        <f>+VLOOKUP(PROVEEDORES[[#This Row],[ID RETENCION]],Retenciones!$A$1:$O$25,2,FALSE)</f>
        <v>0</v>
      </c>
      <c r="Z810" s="116" t="b">
        <f>OR(COUNTIF(PROVEEDORES[[#This Row],[PROVEEDOR]],"*"&amp;'Palabra no opera'!$A$2&amp;"*"))</f>
        <v>0</v>
      </c>
    </row>
    <row r="811" spans="1:26" ht="22.35" customHeight="1" x14ac:dyDescent="0.3">
      <c r="A811" s="171" t="str">
        <f>+IF(PROVEEDORES[[#This Row],[FECHA DE PAGO]]=PROVEEDORES[[#This Row],[FECHA DE FACTURACIÓN]],"DE CONTADO","CRÉDITO")</f>
        <v>CRÉDITO</v>
      </c>
      <c r="B811" s="38" t="str">
        <f>+IF((PROVEEDORES[[#This Row],[FECHA DE PAGO]]-PROVEEDORES[[#This Row],[FECHA DE FACTURACIÓN]])&gt;PROVEEDORES[[#This Row],[PLAZO Días]],"PAGO VENCIDO")</f>
        <v>PAGO VENCIDO</v>
      </c>
      <c r="C811" s="20">
        <f>+VLOOKUP(PROVEEDORES[[#This Row],[PROVEEDOR]],TERCEROS_INFO[#All],2,FALSE)</f>
        <v>30</v>
      </c>
      <c r="D811" s="25">
        <f>+SUMIFS(PROVEEDORES[Total],PROVEEDORES[PROVEEDOR],PROVEEDORES[[#This Row],[PROVEEDOR]],PROVEEDORES[FECHA DE PAGO],"")</f>
        <v>17870934.149999999</v>
      </c>
      <c r="E811" s="25"/>
      <c r="F81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11" s="68">
        <v>44833</v>
      </c>
      <c r="H811" s="26" t="s">
        <v>18</v>
      </c>
      <c r="I811" s="68">
        <v>44778</v>
      </c>
      <c r="J811" s="35">
        <v>1057445</v>
      </c>
      <c r="K811" s="21">
        <v>2426648</v>
      </c>
      <c r="L811" s="21"/>
      <c r="M811" s="22">
        <f>(PROVEEDORES[[#This Row],[SUBTOTAL]]-PROVEEDORES[[#This Row],[descuento sobre subtotal]])*VLOOKUP(PROVEEDORES[[#This Row],[PROVEEDOR]],TERCEROS_INFO[#All],3,FALSE)</f>
        <v>461063.12</v>
      </c>
      <c r="N811" s="23"/>
      <c r="O811" s="22">
        <f>+PROVEEDORES[[#This Row],[Descuento sobre subtotal %]]*(PROVEEDORES[[#This Row],[SUBTOTAL]]-PROVEEDORES[[#This Row],[descuento sobre subtotal]])</f>
        <v>0</v>
      </c>
      <c r="P811" s="74">
        <f>+IF(PROVEEDORES[[#This Row],[SUBTOTAL]]&lt;PROVEEDORES[[#This Row],[base retencion]],0,PROVEEDORES[[#This Row],[retención aplicada]])</f>
        <v>2.5000000000000001E-2</v>
      </c>
      <c r="Q811" s="22">
        <f>+PROVEEDORES[[#This Row],[Rete Fuente %]]*(PROVEEDORES[[#This Row],[SUBTOTAL]]-PROVEEDORES[[#This Row],[descuento sobre subtotal]])</f>
        <v>60666.200000000004</v>
      </c>
      <c r="R811" s="21">
        <f>+PROVEEDORES[[#This Row],[SUBTOTAL]]+PROVEEDORES[[#This Row],[IVA 19%]]-PROVEEDORES[[#This Row],[descuento sobre subtotal]]-PROVEEDORES[[#This Row],[Descuento sobre subtotal $2]]-PROVEEDORES[[#This Row],[Rete Fuente $]]</f>
        <v>2827044.92</v>
      </c>
      <c r="S811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63">
        <f ca="1">IF(PROVEEDORES[[#This Row],[FECHA DE PAGO]]=0,TODAY()-PROVEEDORES[[#This Row],[FECHA DE FACTURACIÓN]]-PROVEEDORES[[#This Row],[PLAZO Días]],0)</f>
        <v>0</v>
      </c>
      <c r="U811" s="104" t="str">
        <f>+VLOOKUP(PROVEEDORES[[#This Row],[PROVEEDOR]],Terceros!$A:$D,4,FALSE)</f>
        <v>2,5% con base</v>
      </c>
      <c r="V811" s="105">
        <f>+YEAR(PROVEEDORES[[#This Row],[FECHA DE FACTURACIÓN]])</f>
        <v>2022</v>
      </c>
      <c r="W811" s="105">
        <f>+MATCH(PROVEEDORES[[#This Row],[año facturado]],Retenciones!$1:$1,0)</f>
        <v>5</v>
      </c>
      <c r="X811" s="106">
        <f>+VLOOKUP(PROVEEDORES[[#This Row],[ID RETENCION]],Retenciones!$A$1:$O$25,PROVEEDORES[[#This Row],[indicador de columna]],FALSE)</f>
        <v>1026000</v>
      </c>
      <c r="Y811" s="107">
        <f>+VLOOKUP(PROVEEDORES[[#This Row],[ID RETENCION]],Retenciones!$A$1:$O$25,2,FALSE)</f>
        <v>2.5000000000000001E-2</v>
      </c>
      <c r="Z811" s="116" t="b">
        <f>OR(COUNTIF(PROVEEDORES[[#This Row],[PROVEEDOR]],"*"&amp;'Palabra no opera'!$A$2&amp;"*"))</f>
        <v>0</v>
      </c>
    </row>
    <row r="812" spans="1:26" ht="22.35" customHeight="1" x14ac:dyDescent="0.3">
      <c r="A812" s="175" t="str">
        <f>+IF(PROVEEDORES[[#This Row],[FECHA DE PAGO]]=PROVEEDORES[[#This Row],[FECHA DE FACTURACIÓN]],"DE CONTADO","CRÉDITO")</f>
        <v>CRÉDITO</v>
      </c>
      <c r="B812" s="38" t="str">
        <f>+IF((PROVEEDORES[[#This Row],[FECHA DE PAGO]]-PROVEEDORES[[#This Row],[FECHA DE FACTURACIÓN]])&gt;PROVEEDORES[[#This Row],[PLAZO Días]],"PAGO VENCIDO")</f>
        <v>PAGO VENCIDO</v>
      </c>
      <c r="C812" s="20">
        <f>+VLOOKUP(PROVEEDORES[[#This Row],[PROVEEDOR]],TERCEROS_INFO[#All],2,FALSE)</f>
        <v>30</v>
      </c>
      <c r="D812" s="25">
        <f>+SUMIFS(PROVEEDORES[Total],PROVEEDORES[PROVEEDOR],PROVEEDORES[[#This Row],[PROVEEDOR]],PROVEEDORES[FECHA DE PAGO],"")</f>
        <v>17870934.149999999</v>
      </c>
      <c r="E812" s="25"/>
      <c r="F81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12" s="68">
        <v>44833</v>
      </c>
      <c r="H812" s="26" t="s">
        <v>18</v>
      </c>
      <c r="I812" s="68">
        <v>44783</v>
      </c>
      <c r="J812" s="35">
        <v>1057583</v>
      </c>
      <c r="K812" s="21">
        <v>1453740.24</v>
      </c>
      <c r="L812" s="21"/>
      <c r="M812" s="22">
        <f>(PROVEEDORES[[#This Row],[SUBTOTAL]]-PROVEEDORES[[#This Row],[descuento sobre subtotal]])*VLOOKUP(PROVEEDORES[[#This Row],[PROVEEDOR]],TERCEROS_INFO[#All],3,FALSE)</f>
        <v>276210.64559999999</v>
      </c>
      <c r="N812" s="23"/>
      <c r="O812" s="22">
        <f>+PROVEEDORES[[#This Row],[Descuento sobre subtotal %]]*(PROVEEDORES[[#This Row],[SUBTOTAL]]-PROVEEDORES[[#This Row],[descuento sobre subtotal]])</f>
        <v>0</v>
      </c>
      <c r="P812" s="74">
        <f>+IF(PROVEEDORES[[#This Row],[SUBTOTAL]]&lt;PROVEEDORES[[#This Row],[base retencion]],0,PROVEEDORES[[#This Row],[retención aplicada]])</f>
        <v>2.5000000000000001E-2</v>
      </c>
      <c r="Q812" s="22">
        <f>+PROVEEDORES[[#This Row],[Rete Fuente %]]*(PROVEEDORES[[#This Row],[SUBTOTAL]]-PROVEEDORES[[#This Row],[descuento sobre subtotal]])</f>
        <v>36343.506000000001</v>
      </c>
      <c r="R812" s="21">
        <f>+PROVEEDORES[[#This Row],[SUBTOTAL]]+PROVEEDORES[[#This Row],[IVA 19%]]-PROVEEDORES[[#This Row],[descuento sobre subtotal]]-PROVEEDORES[[#This Row],[Descuento sobre subtotal $2]]-PROVEEDORES[[#This Row],[Rete Fuente $]]</f>
        <v>1693607.3795999999</v>
      </c>
      <c r="S812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63">
        <f ca="1">IF(PROVEEDORES[[#This Row],[FECHA DE PAGO]]=0,TODAY()-PROVEEDORES[[#This Row],[FECHA DE FACTURACIÓN]]-PROVEEDORES[[#This Row],[PLAZO Días]],0)</f>
        <v>0</v>
      </c>
      <c r="U812" s="104" t="str">
        <f>+VLOOKUP(PROVEEDORES[[#This Row],[PROVEEDOR]],Terceros!$A:$D,4,FALSE)</f>
        <v>2,5% con base</v>
      </c>
      <c r="V812" s="105">
        <f>+YEAR(PROVEEDORES[[#This Row],[FECHA DE FACTURACIÓN]])</f>
        <v>2022</v>
      </c>
      <c r="W812" s="105">
        <f>+MATCH(PROVEEDORES[[#This Row],[año facturado]],Retenciones!$1:$1,0)</f>
        <v>5</v>
      </c>
      <c r="X812" s="106">
        <f>+VLOOKUP(PROVEEDORES[[#This Row],[ID RETENCION]],Retenciones!$A$1:$O$25,PROVEEDORES[[#This Row],[indicador de columna]],FALSE)</f>
        <v>1026000</v>
      </c>
      <c r="Y812" s="107">
        <f>+VLOOKUP(PROVEEDORES[[#This Row],[ID RETENCION]],Retenciones!$A$1:$O$25,2,FALSE)</f>
        <v>2.5000000000000001E-2</v>
      </c>
      <c r="Z812" s="116" t="b">
        <f>OR(COUNTIF(PROVEEDORES[[#This Row],[PROVEEDOR]],"*"&amp;'Palabra no opera'!$A$2&amp;"*"))</f>
        <v>0</v>
      </c>
    </row>
    <row r="813" spans="1:26" ht="22.35" customHeight="1" x14ac:dyDescent="0.3">
      <c r="A813" s="182" t="str">
        <f>+IF(PROVEEDORES[[#This Row],[FECHA DE PAGO]]=PROVEEDORES[[#This Row],[FECHA DE FACTURACIÓN]],"DE CONTADO","CRÉDITO")</f>
        <v>CRÉDITO</v>
      </c>
      <c r="B813" s="38" t="str">
        <f>+IF((PROVEEDORES[[#This Row],[FECHA DE PAGO]]-PROVEEDORES[[#This Row],[FECHA DE FACTURACIÓN]])&gt;PROVEEDORES[[#This Row],[PLAZO Días]],"PAGO VENCIDO")</f>
        <v>PAGO VENCIDO</v>
      </c>
      <c r="C813" s="20">
        <f>+VLOOKUP(PROVEEDORES[[#This Row],[PROVEEDOR]],TERCEROS_INFO[#All],2,FALSE)</f>
        <v>30</v>
      </c>
      <c r="D813" s="25">
        <f>+SUMIFS(PROVEEDORES[Total],PROVEEDORES[PROVEEDOR],PROVEEDORES[[#This Row],[PROVEEDOR]],PROVEEDORES[FECHA DE PAGO],"")</f>
        <v>0</v>
      </c>
      <c r="E813" s="25"/>
      <c r="F813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13" s="68">
        <v>44833</v>
      </c>
      <c r="H813" s="26" t="s">
        <v>248</v>
      </c>
      <c r="I813" s="68">
        <v>44797</v>
      </c>
      <c r="J813" s="35" t="s">
        <v>1066</v>
      </c>
      <c r="K813" s="21">
        <v>2348644.75</v>
      </c>
      <c r="L813" s="21"/>
      <c r="M813" s="22">
        <f>(PROVEEDORES[[#This Row],[SUBTOTAL]]-PROVEEDORES[[#This Row],[descuento sobre subtotal]])*VLOOKUP(PROVEEDORES[[#This Row],[PROVEEDOR]],TERCEROS_INFO[#All],3,FALSE)</f>
        <v>446242.5025</v>
      </c>
      <c r="N813" s="23"/>
      <c r="O813" s="22">
        <f>+PROVEEDORES[[#This Row],[Descuento sobre subtotal %]]*(PROVEEDORES[[#This Row],[SUBTOTAL]]-PROVEEDORES[[#This Row],[descuento sobre subtotal]])</f>
        <v>0</v>
      </c>
      <c r="P813" s="74">
        <f>+IF(PROVEEDORES[[#This Row],[SUBTOTAL]]&lt;PROVEEDORES[[#This Row],[base retencion]],0,PROVEEDORES[[#This Row],[retención aplicada]])</f>
        <v>0</v>
      </c>
      <c r="Q813" s="22">
        <f>+PROVEEDORES[[#This Row],[Rete Fuente %]]*(PROVEEDORES[[#This Row],[SUBTOTAL]]-PROVEEDORES[[#This Row],[descuento sobre subtotal]])</f>
        <v>0</v>
      </c>
      <c r="R813" s="21">
        <f>+PROVEEDORES[[#This Row],[SUBTOTAL]]+PROVEEDORES[[#This Row],[IVA 19%]]-PROVEEDORES[[#This Row],[descuento sobre subtotal]]-PROVEEDORES[[#This Row],[Descuento sobre subtotal $2]]-PROVEEDORES[[#This Row],[Rete Fuente $]]</f>
        <v>2794887.2524999999</v>
      </c>
      <c r="S81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63">
        <f ca="1">IF(PROVEEDORES[[#This Row],[FECHA DE PAGO]]=0,TODAY()-PROVEEDORES[[#This Row],[FECHA DE FACTURACIÓN]]-PROVEEDORES[[#This Row],[PLAZO Días]],0)</f>
        <v>0</v>
      </c>
      <c r="U813" s="104">
        <f>+VLOOKUP(PROVEEDORES[[#This Row],[PROVEEDOR]],Terceros!$A:$D,4,FALSE)</f>
        <v>0</v>
      </c>
      <c r="V813" s="105">
        <f>+YEAR(PROVEEDORES[[#This Row],[FECHA DE FACTURACIÓN]])</f>
        <v>2022</v>
      </c>
      <c r="W813" s="105">
        <f>+MATCH(PROVEEDORES[[#This Row],[año facturado]],Retenciones!$1:$1,0)</f>
        <v>5</v>
      </c>
      <c r="X813" s="106">
        <f>+VLOOKUP(PROVEEDORES[[#This Row],[ID RETENCION]],Retenciones!$A$1:$O$25,PROVEEDORES[[#This Row],[indicador de columna]],FALSE)</f>
        <v>0</v>
      </c>
      <c r="Y813" s="107">
        <f>+VLOOKUP(PROVEEDORES[[#This Row],[ID RETENCION]],Retenciones!$A$1:$O$25,2,FALSE)</f>
        <v>0</v>
      </c>
      <c r="Z813" s="116" t="b">
        <f>OR(COUNTIF(PROVEEDORES[[#This Row],[PROVEEDOR]],"*"&amp;'Palabra no opera'!$A$2&amp;"*"))</f>
        <v>0</v>
      </c>
    </row>
    <row r="814" spans="1:26" ht="22.35" customHeight="1" x14ac:dyDescent="0.3">
      <c r="A814" s="222" t="str">
        <f>+IF(PROVEEDORES[[#This Row],[FECHA DE PAGO]]=PROVEEDORES[[#This Row],[FECHA DE FACTURACIÓN]],"DE CONTADO","CRÉDITO")</f>
        <v>DE CONTADO</v>
      </c>
      <c r="B814" s="38" t="b">
        <f>+IF((PROVEEDORES[[#This Row],[FECHA DE PAGO]]-PROVEEDORES[[#This Row],[FECHA DE FACTURACIÓN]])&gt;PROVEEDORES[[#This Row],[PLAZO Días]],"PAGO VENCIDO")</f>
        <v>0</v>
      </c>
      <c r="C814" s="20">
        <f>+VLOOKUP(PROVEEDORES[[#This Row],[PROVEEDOR]],TERCEROS_INFO[#All],2,FALSE)</f>
        <v>30</v>
      </c>
      <c r="D814" s="25">
        <f>+SUMIFS(PROVEEDORES[Total],PROVEEDORES[PROVEEDOR],PROVEEDORES[[#This Row],[PROVEEDOR]],PROVEEDORES[FECHA DE PAGO],"")</f>
        <v>0</v>
      </c>
      <c r="E814" s="25"/>
      <c r="F814" s="56" t="str">
        <f>+VLOOKUP(PROVEEDORES[[#This Row],[PROVEEDOR]],
                       Terceros!$A:$F,
                       5,
                       FALSE)</f>
        <v/>
      </c>
      <c r="G814" s="68">
        <v>44834</v>
      </c>
      <c r="H814" s="26" t="s">
        <v>362</v>
      </c>
      <c r="I814" s="68">
        <v>44834</v>
      </c>
      <c r="J814" s="35" t="s">
        <v>1178</v>
      </c>
      <c r="K814" s="21">
        <v>38000</v>
      </c>
      <c r="L814" s="21"/>
      <c r="M814" s="22">
        <f>(PROVEEDORES[[#This Row],[SUBTOTAL]]-PROVEEDORES[[#This Row],[descuento sobre subtotal]])*VLOOKUP(PROVEEDORES[[#This Row],[PROVEEDOR]],TERCEROS_INFO[#All],3,FALSE)</f>
        <v>0</v>
      </c>
      <c r="N814" s="23"/>
      <c r="O814" s="22">
        <f>+PROVEEDORES[[#This Row],[Descuento sobre subtotal %]]*(PROVEEDORES[[#This Row],[SUBTOTAL]]-PROVEEDORES[[#This Row],[descuento sobre subtotal]])</f>
        <v>0</v>
      </c>
      <c r="P814" s="74">
        <f>+IF(PROVEEDORES[[#This Row],[SUBTOTAL]]&lt;PROVEEDORES[[#This Row],[base retencion]],0,PROVEEDORES[[#This Row],[retención aplicada]])</f>
        <v>0</v>
      </c>
      <c r="Q814" s="22">
        <f>+PROVEEDORES[[#This Row],[Rete Fuente %]]*(PROVEEDORES[[#This Row],[SUBTOTAL]]-PROVEEDORES[[#This Row],[descuento sobre subtotal]])</f>
        <v>0</v>
      </c>
      <c r="R814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814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63">
        <f ca="1">IF(PROVEEDORES[[#This Row],[FECHA DE PAGO]]=0,TODAY()-PROVEEDORES[[#This Row],[FECHA DE FACTURACIÓN]]-PROVEEDORES[[#This Row],[PLAZO Días]],0)</f>
        <v>0</v>
      </c>
      <c r="U814" s="104">
        <f>+VLOOKUP(PROVEEDORES[[#This Row],[PROVEEDOR]],Terceros!$A:$D,4,FALSE)</f>
        <v>0</v>
      </c>
      <c r="V814" s="105">
        <f>+YEAR(PROVEEDORES[[#This Row],[FECHA DE FACTURACIÓN]])</f>
        <v>2022</v>
      </c>
      <c r="W814" s="105">
        <f>+MATCH(PROVEEDORES[[#This Row],[año facturado]],Retenciones!$1:$1,0)</f>
        <v>5</v>
      </c>
      <c r="X814" s="106">
        <f>+VLOOKUP(PROVEEDORES[[#This Row],[ID RETENCION]],Retenciones!$A$1:$O$25,PROVEEDORES[[#This Row],[indicador de columna]],FALSE)</f>
        <v>0</v>
      </c>
      <c r="Y814" s="107">
        <f>+VLOOKUP(PROVEEDORES[[#This Row],[ID RETENCION]],Retenciones!$A$1:$O$25,2,FALSE)</f>
        <v>0</v>
      </c>
      <c r="Z814" s="116" t="b">
        <f>OR(COUNTIF(PROVEEDORES[[#This Row],[PROVEEDOR]],"*"&amp;'Palabra no opera'!$A$2&amp;"*"))</f>
        <v>0</v>
      </c>
    </row>
    <row r="815" spans="1:26" ht="22.35" customHeight="1" x14ac:dyDescent="0.3">
      <c r="A815" s="222" t="str">
        <f>+IF(PROVEEDORES[[#This Row],[FECHA DE PAGO]]=PROVEEDORES[[#This Row],[FECHA DE FACTURACIÓN]],"DE CONTADO","CRÉDITO")</f>
        <v>DE CONTADO</v>
      </c>
      <c r="B815" s="38" t="b">
        <f>+IF((PROVEEDORES[[#This Row],[FECHA DE PAGO]]-PROVEEDORES[[#This Row],[FECHA DE FACTURACIÓN]])&gt;PROVEEDORES[[#This Row],[PLAZO Días]],"PAGO VENCIDO")</f>
        <v>0</v>
      </c>
      <c r="C815" s="20">
        <f>+VLOOKUP(PROVEEDORES[[#This Row],[PROVEEDOR]],TERCEROS_INFO[#All],2,FALSE)</f>
        <v>30</v>
      </c>
      <c r="D815" s="25">
        <f>+SUMIFS(PROVEEDORES[Total],PROVEEDORES[PROVEEDOR],PROVEEDORES[[#This Row],[PROVEEDOR]],PROVEEDORES[FECHA DE PAGO],"")</f>
        <v>0</v>
      </c>
      <c r="E815" s="25"/>
      <c r="F815" s="56" t="str">
        <f>+VLOOKUP(PROVEEDORES[[#This Row],[PROVEEDOR]],
                       Terceros!$A:$F,
                       5,
                       FALSE)</f>
        <v/>
      </c>
      <c r="G815" s="68">
        <v>44834</v>
      </c>
      <c r="H815" s="26" t="s">
        <v>362</v>
      </c>
      <c r="I815" s="68">
        <v>44834</v>
      </c>
      <c r="J815" s="35" t="s">
        <v>1179</v>
      </c>
      <c r="K815" s="21">
        <v>58000</v>
      </c>
      <c r="L815" s="21"/>
      <c r="M815" s="22">
        <f>(PROVEEDORES[[#This Row],[SUBTOTAL]]-PROVEEDORES[[#This Row],[descuento sobre subtotal]])*VLOOKUP(PROVEEDORES[[#This Row],[PROVEEDOR]],TERCEROS_INFO[#All],3,FALSE)</f>
        <v>0</v>
      </c>
      <c r="N815" s="23"/>
      <c r="O815" s="22">
        <f>+PROVEEDORES[[#This Row],[Descuento sobre subtotal %]]*(PROVEEDORES[[#This Row],[SUBTOTAL]]-PROVEEDORES[[#This Row],[descuento sobre subtotal]])</f>
        <v>0</v>
      </c>
      <c r="P815" s="74">
        <f>+IF(PROVEEDORES[[#This Row],[SUBTOTAL]]&lt;PROVEEDORES[[#This Row],[base retencion]],0,PROVEEDORES[[#This Row],[retención aplicada]])</f>
        <v>0</v>
      </c>
      <c r="Q815" s="22">
        <f>+PROVEEDORES[[#This Row],[Rete Fuente %]]*(PROVEEDORES[[#This Row],[SUBTOTAL]]-PROVEEDORES[[#This Row],[descuento sobre subtotal]])</f>
        <v>0</v>
      </c>
      <c r="R815" s="21">
        <f>+PROVEEDORES[[#This Row],[SUBTOTAL]]+PROVEEDORES[[#This Row],[IVA 19%]]-PROVEEDORES[[#This Row],[descuento sobre subtotal]]-PROVEEDORES[[#This Row],[Descuento sobre subtotal $2]]-PROVEEDORES[[#This Row],[Rete Fuente $]]</f>
        <v>58000</v>
      </c>
      <c r="S815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63">
        <f ca="1">IF(PROVEEDORES[[#This Row],[FECHA DE PAGO]]=0,TODAY()-PROVEEDORES[[#This Row],[FECHA DE FACTURACIÓN]]-PROVEEDORES[[#This Row],[PLAZO Días]],0)</f>
        <v>0</v>
      </c>
      <c r="U815" s="104">
        <f>+VLOOKUP(PROVEEDORES[[#This Row],[PROVEEDOR]],Terceros!$A:$D,4,FALSE)</f>
        <v>0</v>
      </c>
      <c r="V815" s="105">
        <f>+YEAR(PROVEEDORES[[#This Row],[FECHA DE FACTURACIÓN]])</f>
        <v>2022</v>
      </c>
      <c r="W815" s="105">
        <f>+MATCH(PROVEEDORES[[#This Row],[año facturado]],Retenciones!$1:$1,0)</f>
        <v>5</v>
      </c>
      <c r="X815" s="106">
        <f>+VLOOKUP(PROVEEDORES[[#This Row],[ID RETENCION]],Retenciones!$A$1:$O$25,PROVEEDORES[[#This Row],[indicador de columna]],FALSE)</f>
        <v>0</v>
      </c>
      <c r="Y815" s="107">
        <f>+VLOOKUP(PROVEEDORES[[#This Row],[ID RETENCION]],Retenciones!$A$1:$O$25,2,FALSE)</f>
        <v>0</v>
      </c>
      <c r="Z815" s="116" t="b">
        <f>OR(COUNTIF(PROVEEDORES[[#This Row],[PROVEEDOR]],"*"&amp;'Palabra no opera'!$A$2&amp;"*"))</f>
        <v>0</v>
      </c>
    </row>
    <row r="816" spans="1:26" ht="22.35" customHeight="1" x14ac:dyDescent="0.3">
      <c r="A816" s="222" t="str">
        <f>+IF(PROVEEDORES[[#This Row],[FECHA DE PAGO]]=PROVEEDORES[[#This Row],[FECHA DE FACTURACIÓN]],"DE CONTADO","CRÉDITO")</f>
        <v>DE CONTADO</v>
      </c>
      <c r="B816" s="38" t="b">
        <f>+IF((PROVEEDORES[[#This Row],[FECHA DE PAGO]]-PROVEEDORES[[#This Row],[FECHA DE FACTURACIÓN]])&gt;PROVEEDORES[[#This Row],[PLAZO Días]],"PAGO VENCIDO")</f>
        <v>0</v>
      </c>
      <c r="C816" s="20">
        <f>+VLOOKUP(PROVEEDORES[[#This Row],[PROVEEDOR]],TERCEROS_INFO[#All],2,FALSE)</f>
        <v>30</v>
      </c>
      <c r="D816" s="25">
        <f>+SUMIFS(PROVEEDORES[Total],PROVEEDORES[PROVEEDOR],PROVEEDORES[[#This Row],[PROVEEDOR]],PROVEEDORES[FECHA DE PAGO],"")</f>
        <v>0</v>
      </c>
      <c r="E816" s="25"/>
      <c r="F816" s="56" t="str">
        <f>+VLOOKUP(PROVEEDORES[[#This Row],[PROVEEDOR]],
                       Terceros!$A:$F,
                       5,
                       FALSE)</f>
        <v/>
      </c>
      <c r="G816" s="68">
        <v>44834</v>
      </c>
      <c r="H816" s="26" t="s">
        <v>1175</v>
      </c>
      <c r="I816" s="68">
        <v>44834</v>
      </c>
      <c r="J816" s="35" t="s">
        <v>1180</v>
      </c>
      <c r="K816" s="21">
        <v>154000</v>
      </c>
      <c r="L816" s="21"/>
      <c r="M816" s="22">
        <f>(PROVEEDORES[[#This Row],[SUBTOTAL]]-PROVEEDORES[[#This Row],[descuento sobre subtotal]])*VLOOKUP(PROVEEDORES[[#This Row],[PROVEEDOR]],TERCEROS_INFO[#All],3,FALSE)</f>
        <v>0</v>
      </c>
      <c r="N816" s="23"/>
      <c r="O816" s="22">
        <f>+PROVEEDORES[[#This Row],[Descuento sobre subtotal %]]*(PROVEEDORES[[#This Row],[SUBTOTAL]]-PROVEEDORES[[#This Row],[descuento sobre subtotal]])</f>
        <v>0</v>
      </c>
      <c r="P816" s="74">
        <f>+IF(PROVEEDORES[[#This Row],[SUBTOTAL]]&lt;PROVEEDORES[[#This Row],[base retencion]],0,PROVEEDORES[[#This Row],[retención aplicada]])</f>
        <v>0</v>
      </c>
      <c r="Q816" s="22">
        <f>+PROVEEDORES[[#This Row],[Rete Fuente %]]*(PROVEEDORES[[#This Row],[SUBTOTAL]]-PROVEEDORES[[#This Row],[descuento sobre subtotal]])</f>
        <v>0</v>
      </c>
      <c r="R816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816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63">
        <f ca="1">IF(PROVEEDORES[[#This Row],[FECHA DE PAGO]]=0,TODAY()-PROVEEDORES[[#This Row],[FECHA DE FACTURACIÓN]]-PROVEEDORES[[#This Row],[PLAZO Días]],0)</f>
        <v>0</v>
      </c>
      <c r="U816" s="104">
        <f>+VLOOKUP(PROVEEDORES[[#This Row],[PROVEEDOR]],Terceros!$A:$D,4,FALSE)</f>
        <v>0</v>
      </c>
      <c r="V816" s="105">
        <f>+YEAR(PROVEEDORES[[#This Row],[FECHA DE FACTURACIÓN]])</f>
        <v>2022</v>
      </c>
      <c r="W816" s="105">
        <f>+MATCH(PROVEEDORES[[#This Row],[año facturado]],Retenciones!$1:$1,0)</f>
        <v>5</v>
      </c>
      <c r="X816" s="106">
        <f>+VLOOKUP(PROVEEDORES[[#This Row],[ID RETENCION]],Retenciones!$A$1:$O$25,PROVEEDORES[[#This Row],[indicador de columna]],FALSE)</f>
        <v>0</v>
      </c>
      <c r="Y816" s="107">
        <f>+VLOOKUP(PROVEEDORES[[#This Row],[ID RETENCION]],Retenciones!$A$1:$O$25,2,FALSE)</f>
        <v>0</v>
      </c>
      <c r="Z816" s="116" t="b">
        <f>OR(COUNTIF(PROVEEDORES[[#This Row],[PROVEEDOR]],"*"&amp;'Palabra no opera'!$A$2&amp;"*"))</f>
        <v>0</v>
      </c>
    </row>
    <row r="817" spans="1:26" ht="22.35" customHeight="1" x14ac:dyDescent="0.3">
      <c r="A817" s="222" t="str">
        <f>+IF(PROVEEDORES[[#This Row],[FECHA DE PAGO]]=PROVEEDORES[[#This Row],[FECHA DE FACTURACIÓN]],"DE CONTADO","CRÉDITO")</f>
        <v>DE CONTADO</v>
      </c>
      <c r="B817" s="38" t="b">
        <f>+IF((PROVEEDORES[[#This Row],[FECHA DE PAGO]]-PROVEEDORES[[#This Row],[FECHA DE FACTURACIÓN]])&gt;PROVEEDORES[[#This Row],[PLAZO Días]],"PAGO VENCIDO")</f>
        <v>0</v>
      </c>
      <c r="C817" s="20">
        <f>+VLOOKUP(PROVEEDORES[[#This Row],[PROVEEDOR]],TERCEROS_INFO[#All],2,FALSE)</f>
        <v>30</v>
      </c>
      <c r="D817" s="25">
        <f>+SUMIFS(PROVEEDORES[Total],PROVEEDORES[PROVEEDOR],PROVEEDORES[[#This Row],[PROVEEDOR]],PROVEEDORES[FECHA DE PAGO],"")</f>
        <v>0</v>
      </c>
      <c r="E817" s="25"/>
      <c r="F817" s="56" t="str">
        <f>+VLOOKUP(PROVEEDORES[[#This Row],[PROVEEDOR]],
                       Terceros!$A:$F,
                       5,
                       FALSE)</f>
        <v/>
      </c>
      <c r="G817" s="68">
        <v>44834</v>
      </c>
      <c r="H817" s="26" t="s">
        <v>362</v>
      </c>
      <c r="I817" s="68">
        <v>44834</v>
      </c>
      <c r="J817" s="35" t="s">
        <v>1176</v>
      </c>
      <c r="K817" s="21">
        <v>776000</v>
      </c>
      <c r="L817" s="21"/>
      <c r="M817" s="22">
        <f>(PROVEEDORES[[#This Row],[SUBTOTAL]]-PROVEEDORES[[#This Row],[descuento sobre subtotal]])*VLOOKUP(PROVEEDORES[[#This Row],[PROVEEDOR]],TERCEROS_INFO[#All],3,FALSE)</f>
        <v>0</v>
      </c>
      <c r="N817" s="23"/>
      <c r="O817" s="22">
        <f>+PROVEEDORES[[#This Row],[Descuento sobre subtotal %]]*(PROVEEDORES[[#This Row],[SUBTOTAL]]-PROVEEDORES[[#This Row],[descuento sobre subtotal]])</f>
        <v>0</v>
      </c>
      <c r="P817" s="74">
        <f>+IF(PROVEEDORES[[#This Row],[SUBTOTAL]]&lt;PROVEEDORES[[#This Row],[base retencion]],0,PROVEEDORES[[#This Row],[retención aplicada]])</f>
        <v>0</v>
      </c>
      <c r="Q817" s="22">
        <f>+PROVEEDORES[[#This Row],[Rete Fuente %]]*(PROVEEDORES[[#This Row],[SUBTOTAL]]-PROVEEDORES[[#This Row],[descuento sobre subtotal]])</f>
        <v>0</v>
      </c>
      <c r="R817" s="21">
        <f>+PROVEEDORES[[#This Row],[SUBTOTAL]]+PROVEEDORES[[#This Row],[IVA 19%]]-PROVEEDORES[[#This Row],[descuento sobre subtotal]]-PROVEEDORES[[#This Row],[Descuento sobre subtotal $2]]-PROVEEDORES[[#This Row],[Rete Fuente $]]</f>
        <v>776000</v>
      </c>
      <c r="S817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63">
        <f ca="1">IF(PROVEEDORES[[#This Row],[FECHA DE PAGO]]=0,TODAY()-PROVEEDORES[[#This Row],[FECHA DE FACTURACIÓN]]-PROVEEDORES[[#This Row],[PLAZO Días]],0)</f>
        <v>0</v>
      </c>
      <c r="U817" s="104">
        <f>+VLOOKUP(PROVEEDORES[[#This Row],[PROVEEDOR]],Terceros!$A:$D,4,FALSE)</f>
        <v>0</v>
      </c>
      <c r="V817" s="105">
        <f>+YEAR(PROVEEDORES[[#This Row],[FECHA DE FACTURACIÓN]])</f>
        <v>2022</v>
      </c>
      <c r="W817" s="105">
        <f>+MATCH(PROVEEDORES[[#This Row],[año facturado]],Retenciones!$1:$1,0)</f>
        <v>5</v>
      </c>
      <c r="X817" s="106">
        <f>+VLOOKUP(PROVEEDORES[[#This Row],[ID RETENCION]],Retenciones!$A$1:$O$25,PROVEEDORES[[#This Row],[indicador de columna]],FALSE)</f>
        <v>0</v>
      </c>
      <c r="Y817" s="107">
        <f>+VLOOKUP(PROVEEDORES[[#This Row],[ID RETENCION]],Retenciones!$A$1:$O$25,2,FALSE)</f>
        <v>0</v>
      </c>
      <c r="Z817" s="116" t="b">
        <f>OR(COUNTIF(PROVEEDORES[[#This Row],[PROVEEDOR]],"*"&amp;'Palabra no opera'!$A$2&amp;"*"))</f>
        <v>0</v>
      </c>
    </row>
    <row r="818" spans="1:26" ht="22.35" customHeight="1" x14ac:dyDescent="0.3">
      <c r="A818" s="222" t="str">
        <f>+IF(PROVEEDORES[[#This Row],[FECHA DE PAGO]]=PROVEEDORES[[#This Row],[FECHA DE FACTURACIÓN]],"DE CONTADO","CRÉDITO")</f>
        <v>DE CONTADO</v>
      </c>
      <c r="B818" s="38" t="b">
        <f>+IF((PROVEEDORES[[#This Row],[FECHA DE PAGO]]-PROVEEDORES[[#This Row],[FECHA DE FACTURACIÓN]])&gt;PROVEEDORES[[#This Row],[PLAZO Días]],"PAGO VENCIDO")</f>
        <v>0</v>
      </c>
      <c r="C818" s="20">
        <f>+VLOOKUP(PROVEEDORES[[#This Row],[PROVEEDOR]],TERCEROS_INFO[#All],2,FALSE)</f>
        <v>30</v>
      </c>
      <c r="D818" s="25">
        <f>+SUMIFS(PROVEEDORES[Total],PROVEEDORES[PROVEEDOR],PROVEEDORES[[#This Row],[PROVEEDOR]],PROVEEDORES[FECHA DE PAGO],"")</f>
        <v>0</v>
      </c>
      <c r="E818" s="25"/>
      <c r="F818" s="56" t="str">
        <f>+VLOOKUP(PROVEEDORES[[#This Row],[PROVEEDOR]],
                       Terceros!$A:$F,
                       5,
                       FALSE)</f>
        <v/>
      </c>
      <c r="G818" s="68">
        <v>44834</v>
      </c>
      <c r="H818" s="26" t="s">
        <v>362</v>
      </c>
      <c r="I818" s="68">
        <v>44834</v>
      </c>
      <c r="J818" s="35" t="s">
        <v>1177</v>
      </c>
      <c r="K818" s="21">
        <v>1905000</v>
      </c>
      <c r="L818" s="21"/>
      <c r="M818" s="22">
        <f>(PROVEEDORES[[#This Row],[SUBTOTAL]]-PROVEEDORES[[#This Row],[descuento sobre subtotal]])*VLOOKUP(PROVEEDORES[[#This Row],[PROVEEDOR]],TERCEROS_INFO[#All],3,FALSE)</f>
        <v>0</v>
      </c>
      <c r="N818" s="23"/>
      <c r="O818" s="22">
        <f>+PROVEEDORES[[#This Row],[Descuento sobre subtotal %]]*(PROVEEDORES[[#This Row],[SUBTOTAL]]-PROVEEDORES[[#This Row],[descuento sobre subtotal]])</f>
        <v>0</v>
      </c>
      <c r="P818" s="74">
        <f>+IF(PROVEEDORES[[#This Row],[SUBTOTAL]]&lt;PROVEEDORES[[#This Row],[base retencion]],0,PROVEEDORES[[#This Row],[retención aplicada]])</f>
        <v>0</v>
      </c>
      <c r="Q818" s="22">
        <f>+PROVEEDORES[[#This Row],[Rete Fuente %]]*(PROVEEDORES[[#This Row],[SUBTOTAL]]-PROVEEDORES[[#This Row],[descuento sobre subtotal]])</f>
        <v>0</v>
      </c>
      <c r="R818" s="21">
        <f>+PROVEEDORES[[#This Row],[SUBTOTAL]]+PROVEEDORES[[#This Row],[IVA 19%]]-PROVEEDORES[[#This Row],[descuento sobre subtotal]]-PROVEEDORES[[#This Row],[Descuento sobre subtotal $2]]-PROVEEDORES[[#This Row],[Rete Fuente $]]</f>
        <v>1905000</v>
      </c>
      <c r="S818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63">
        <f ca="1">IF(PROVEEDORES[[#This Row],[FECHA DE PAGO]]=0,TODAY()-PROVEEDORES[[#This Row],[FECHA DE FACTURACIÓN]]-PROVEEDORES[[#This Row],[PLAZO Días]],0)</f>
        <v>0</v>
      </c>
      <c r="U818" s="104">
        <f>+VLOOKUP(PROVEEDORES[[#This Row],[PROVEEDOR]],Terceros!$A:$D,4,FALSE)</f>
        <v>0</v>
      </c>
      <c r="V818" s="105">
        <f>+YEAR(PROVEEDORES[[#This Row],[FECHA DE FACTURACIÓN]])</f>
        <v>2022</v>
      </c>
      <c r="W818" s="105">
        <f>+MATCH(PROVEEDORES[[#This Row],[año facturado]],Retenciones!$1:$1,0)</f>
        <v>5</v>
      </c>
      <c r="X818" s="106">
        <f>+VLOOKUP(PROVEEDORES[[#This Row],[ID RETENCION]],Retenciones!$A$1:$O$25,PROVEEDORES[[#This Row],[indicador de columna]],FALSE)</f>
        <v>0</v>
      </c>
      <c r="Y818" s="107">
        <f>+VLOOKUP(PROVEEDORES[[#This Row],[ID RETENCION]],Retenciones!$A$1:$O$25,2,FALSE)</f>
        <v>0</v>
      </c>
      <c r="Z818" s="116" t="b">
        <f>OR(COUNTIF(PROVEEDORES[[#This Row],[PROVEEDOR]],"*"&amp;'Palabra no opera'!$A$2&amp;"*"))</f>
        <v>0</v>
      </c>
    </row>
    <row r="819" spans="1:26" ht="22.35" customHeight="1" x14ac:dyDescent="0.3">
      <c r="A819" s="67" t="str">
        <f>+IF(PROVEEDORES[[#This Row],[FECHA DE PAGO]]=PROVEEDORES[[#This Row],[FECHA DE FACTURACIÓN]],"DE CONTADO","CRÉDITO")</f>
        <v>CRÉDITO</v>
      </c>
      <c r="B819" s="38" t="str">
        <f>+IF((PROVEEDORES[[#This Row],[FECHA DE PAGO]]-PROVEEDORES[[#This Row],[FECHA DE FACTURACIÓN]])&gt;PROVEEDORES[[#This Row],[PLAZO Días]],"PAGO VENCIDO")</f>
        <v>PAGO VENCIDO</v>
      </c>
      <c r="C819" s="20">
        <f>+VLOOKUP(PROVEEDORES[[#This Row],[PROVEEDOR]],TERCEROS_INFO[#All],2,FALSE)</f>
        <v>30</v>
      </c>
      <c r="D819" s="25">
        <f>+SUMIFS(PROVEEDORES[Total],PROVEEDORES[PROVEEDOR],PROVEEDORES[[#This Row],[PROVEEDOR]],PROVEEDORES[FECHA DE PAGO],"")</f>
        <v>380979.69</v>
      </c>
      <c r="E819" s="25"/>
      <c r="F819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19" s="68">
        <v>44834</v>
      </c>
      <c r="H819" s="26" t="s">
        <v>615</v>
      </c>
      <c r="I819" s="68">
        <v>44767</v>
      </c>
      <c r="J819" s="35" t="s">
        <v>854</v>
      </c>
      <c r="K819" s="21">
        <v>6170070</v>
      </c>
      <c r="L819" s="21"/>
      <c r="M819" s="22">
        <f>(PROVEEDORES[[#This Row],[SUBTOTAL]]-PROVEEDORES[[#This Row],[descuento sobre subtotal]])*VLOOKUP(PROVEEDORES[[#This Row],[PROVEEDOR]],TERCEROS_INFO[#All],3,FALSE)</f>
        <v>1172313.3</v>
      </c>
      <c r="N819" s="23"/>
      <c r="O819" s="22">
        <f>+PROVEEDORES[[#This Row],[Descuento sobre subtotal %]]*(PROVEEDORES[[#This Row],[SUBTOTAL]]-PROVEEDORES[[#This Row],[descuento sobre subtotal]])</f>
        <v>0</v>
      </c>
      <c r="P819" s="74">
        <f>+IF(PROVEEDORES[[#This Row],[SUBTOTAL]]&lt;PROVEEDORES[[#This Row],[base retencion]],0,PROVEEDORES[[#This Row],[retención aplicada]])</f>
        <v>0</v>
      </c>
      <c r="Q819" s="22">
        <f>+PROVEEDORES[[#This Row],[Rete Fuente %]]*(PROVEEDORES[[#This Row],[SUBTOTAL]]-PROVEEDORES[[#This Row],[descuento sobre subtotal]])</f>
        <v>0</v>
      </c>
      <c r="R819" s="21">
        <f>+PROVEEDORES[[#This Row],[SUBTOTAL]]+PROVEEDORES[[#This Row],[IVA 19%]]-PROVEEDORES[[#This Row],[descuento sobre subtotal]]-PROVEEDORES[[#This Row],[Descuento sobre subtotal $2]]-PROVEEDORES[[#This Row],[Rete Fuente $]]</f>
        <v>7342383.2999999998</v>
      </c>
      <c r="S81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63">
        <f ca="1">IF(PROVEEDORES[[#This Row],[FECHA DE PAGO]]=0,TODAY()-PROVEEDORES[[#This Row],[FECHA DE FACTURACIÓN]]-PROVEEDORES[[#This Row],[PLAZO Días]],0)</f>
        <v>0</v>
      </c>
      <c r="U819" s="104">
        <f>+VLOOKUP(PROVEEDORES[[#This Row],[PROVEEDOR]],Terceros!$A:$D,4,FALSE)</f>
        <v>0</v>
      </c>
      <c r="V819" s="105">
        <f>+YEAR(PROVEEDORES[[#This Row],[FECHA DE FACTURACIÓN]])</f>
        <v>2022</v>
      </c>
      <c r="W819" s="105">
        <f>+MATCH(PROVEEDORES[[#This Row],[año facturado]],Retenciones!$1:$1,0)</f>
        <v>5</v>
      </c>
      <c r="X819" s="106">
        <f>+VLOOKUP(PROVEEDORES[[#This Row],[ID RETENCION]],Retenciones!$A$1:$O$25,PROVEEDORES[[#This Row],[indicador de columna]],FALSE)</f>
        <v>0</v>
      </c>
      <c r="Y819" s="107">
        <f>+VLOOKUP(PROVEEDORES[[#This Row],[ID RETENCION]],Retenciones!$A$1:$O$25,2,FALSE)</f>
        <v>0</v>
      </c>
      <c r="Z819" s="116" t="b">
        <f>OR(COUNTIF(PROVEEDORES[[#This Row],[PROVEEDOR]],"*"&amp;'Palabra no opera'!$A$2&amp;"*"))</f>
        <v>1</v>
      </c>
    </row>
    <row r="820" spans="1:26" ht="22.35" customHeight="1" x14ac:dyDescent="0.3">
      <c r="A820" s="222" t="str">
        <f>+IF(PROVEEDORES[[#This Row],[FECHA DE PAGO]]=PROVEEDORES[[#This Row],[FECHA DE FACTURACIÓN]],"DE CONTADO","CRÉDITO")</f>
        <v>DE CONTADO</v>
      </c>
      <c r="B820" s="38" t="b">
        <f>+IF((PROVEEDORES[[#This Row],[FECHA DE PAGO]]-PROVEEDORES[[#This Row],[FECHA DE FACTURACIÓN]])&gt;PROVEEDORES[[#This Row],[PLAZO Días]],"PAGO VENCIDO")</f>
        <v>0</v>
      </c>
      <c r="C820" s="20">
        <f>+VLOOKUP(PROVEEDORES[[#This Row],[PROVEEDOR]],TERCEROS_INFO[#All],2,FALSE)</f>
        <v>30</v>
      </c>
      <c r="D820" s="25">
        <f>+SUMIFS(PROVEEDORES[Total],PROVEEDORES[PROVEEDOR],PROVEEDORES[[#This Row],[PROVEEDOR]],PROVEEDORES[FECHA DE PAGO],"")</f>
        <v>0</v>
      </c>
      <c r="E820" s="25"/>
      <c r="F820" s="56" t="str">
        <f>+VLOOKUP(PROVEEDORES[[#This Row],[PROVEEDOR]],
                       Terceros!$A:$F,
                       5,
                       FALSE)</f>
        <v/>
      </c>
      <c r="G820" s="68">
        <v>44835</v>
      </c>
      <c r="H820" s="26" t="s">
        <v>353</v>
      </c>
      <c r="I820" s="68">
        <v>44835</v>
      </c>
      <c r="J820" s="35" t="s">
        <v>1151</v>
      </c>
      <c r="K820" s="21">
        <v>455000</v>
      </c>
      <c r="L820" s="21"/>
      <c r="M820" s="22">
        <f>(PROVEEDORES[[#This Row],[SUBTOTAL]]-PROVEEDORES[[#This Row],[descuento sobre subtotal]])*VLOOKUP(PROVEEDORES[[#This Row],[PROVEEDOR]],TERCEROS_INFO[#All],3,FALSE)</f>
        <v>0</v>
      </c>
      <c r="N820" s="23"/>
      <c r="O820" s="22">
        <f>+PROVEEDORES[[#This Row],[Descuento sobre subtotal %]]*(PROVEEDORES[[#This Row],[SUBTOTAL]]-PROVEEDORES[[#This Row],[descuento sobre subtotal]])</f>
        <v>0</v>
      </c>
      <c r="P820" s="74">
        <f>+IF(PROVEEDORES[[#This Row],[SUBTOTAL]]&lt;PROVEEDORES[[#This Row],[base retencion]],0,PROVEEDORES[[#This Row],[retención aplicada]])</f>
        <v>0</v>
      </c>
      <c r="Q820" s="22">
        <f>+PROVEEDORES[[#This Row],[Rete Fuente %]]*(PROVEEDORES[[#This Row],[SUBTOTAL]]-PROVEEDORES[[#This Row],[descuento sobre subtotal]])</f>
        <v>0</v>
      </c>
      <c r="R820" s="21">
        <f>+PROVEEDORES[[#This Row],[SUBTOTAL]]+PROVEEDORES[[#This Row],[IVA 19%]]-PROVEEDORES[[#This Row],[descuento sobre subtotal]]-PROVEEDORES[[#This Row],[Descuento sobre subtotal $2]]-PROVEEDORES[[#This Row],[Rete Fuente $]]</f>
        <v>455000</v>
      </c>
      <c r="S820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63">
        <f ca="1">IF(PROVEEDORES[[#This Row],[FECHA DE PAGO]]=0,TODAY()-PROVEEDORES[[#This Row],[FECHA DE FACTURACIÓN]]-PROVEEDORES[[#This Row],[PLAZO Días]],0)</f>
        <v>0</v>
      </c>
      <c r="U820" s="104">
        <f>+VLOOKUP(PROVEEDORES[[#This Row],[PROVEEDOR]],Terceros!$A:$D,4,FALSE)</f>
        <v>0</v>
      </c>
      <c r="V820" s="105">
        <f>+YEAR(PROVEEDORES[[#This Row],[FECHA DE FACTURACIÓN]])</f>
        <v>2022</v>
      </c>
      <c r="W820" s="105">
        <f>+MATCH(PROVEEDORES[[#This Row],[año facturado]],Retenciones!$1:$1,0)</f>
        <v>5</v>
      </c>
      <c r="X820" s="106">
        <f>+VLOOKUP(PROVEEDORES[[#This Row],[ID RETENCION]],Retenciones!$A$1:$O$25,PROVEEDORES[[#This Row],[indicador de columna]],FALSE)</f>
        <v>0</v>
      </c>
      <c r="Y820" s="107">
        <f>+VLOOKUP(PROVEEDORES[[#This Row],[ID RETENCION]],Retenciones!$A$1:$O$25,2,FALSE)</f>
        <v>0</v>
      </c>
      <c r="Z820" s="116" t="b">
        <f>OR(COUNTIF(PROVEEDORES[[#This Row],[PROVEEDOR]],"*"&amp;'Palabra no opera'!$A$2&amp;"*"))</f>
        <v>0</v>
      </c>
    </row>
    <row r="821" spans="1:26" ht="22.35" customHeight="1" x14ac:dyDescent="0.3">
      <c r="A821" s="222" t="str">
        <f>+IF(PROVEEDORES[[#This Row],[FECHA DE PAGO]]=PROVEEDORES[[#This Row],[FECHA DE FACTURACIÓN]],"DE CONTADO","CRÉDITO")</f>
        <v>CRÉDITO</v>
      </c>
      <c r="B821" s="38" t="b">
        <f>+IF((PROVEEDORES[[#This Row],[FECHA DE PAGO]]-PROVEEDORES[[#This Row],[FECHA DE FACTURACIÓN]])&gt;PROVEEDORES[[#This Row],[PLAZO Días]],"PAGO VENCIDO")</f>
        <v>0</v>
      </c>
      <c r="C821" s="20">
        <f>+VLOOKUP(PROVEEDORES[[#This Row],[PROVEEDOR]],TERCEROS_INFO[#All],2,FALSE)</f>
        <v>30</v>
      </c>
      <c r="D821" s="25">
        <f>+SUMIFS(PROVEEDORES[Total],PROVEEDORES[PROVEEDOR],PROVEEDORES[[#This Row],[PROVEEDOR]],PROVEEDORES[FECHA DE PAGO],"")</f>
        <v>0</v>
      </c>
      <c r="E821" s="25"/>
      <c r="F821" s="56" t="str">
        <f>+VLOOKUP(PROVEEDORES[[#This Row],[PROVEEDOR]],
                       Terceros!$A:$F,
                       5,
                       FALSE)</f>
        <v/>
      </c>
      <c r="G821" s="68">
        <v>44838</v>
      </c>
      <c r="H821" s="26" t="s">
        <v>493</v>
      </c>
      <c r="I821" s="68">
        <v>44811</v>
      </c>
      <c r="J821" s="35" t="s">
        <v>1146</v>
      </c>
      <c r="K821" s="21">
        <v>900000</v>
      </c>
      <c r="L821" s="21"/>
      <c r="M821" s="22">
        <f>(PROVEEDORES[[#This Row],[SUBTOTAL]]-PROVEEDORES[[#This Row],[descuento sobre subtotal]])*VLOOKUP(PROVEEDORES[[#This Row],[PROVEEDOR]],TERCEROS_INFO[#All],3,FALSE)</f>
        <v>0</v>
      </c>
      <c r="N821" s="23"/>
      <c r="O821" s="22">
        <f>+PROVEEDORES[[#This Row],[Descuento sobre subtotal %]]*(PROVEEDORES[[#This Row],[SUBTOTAL]]-PROVEEDORES[[#This Row],[descuento sobre subtotal]])</f>
        <v>0</v>
      </c>
      <c r="P821" s="74">
        <f>+IF(PROVEEDORES[[#This Row],[SUBTOTAL]]&lt;PROVEEDORES[[#This Row],[base retencion]],0,PROVEEDORES[[#This Row],[retención aplicada]])</f>
        <v>0</v>
      </c>
      <c r="Q821" s="22">
        <f>+PROVEEDORES[[#This Row],[Rete Fuente %]]*(PROVEEDORES[[#This Row],[SUBTOTAL]]-PROVEEDORES[[#This Row],[descuento sobre subtotal]])</f>
        <v>0</v>
      </c>
      <c r="R821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821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63">
        <f ca="1">IF(PROVEEDORES[[#This Row],[FECHA DE PAGO]]=0,TODAY()-PROVEEDORES[[#This Row],[FECHA DE FACTURACIÓN]]-PROVEEDORES[[#This Row],[PLAZO Días]],0)</f>
        <v>0</v>
      </c>
      <c r="U821" s="104">
        <f>+VLOOKUP(PROVEEDORES[[#This Row],[PROVEEDOR]],Terceros!$A:$D,4,FALSE)</f>
        <v>0</v>
      </c>
      <c r="V821" s="105">
        <f>+YEAR(PROVEEDORES[[#This Row],[FECHA DE FACTURACIÓN]])</f>
        <v>2022</v>
      </c>
      <c r="W821" s="105">
        <f>+MATCH(PROVEEDORES[[#This Row],[año facturado]],Retenciones!$1:$1,0)</f>
        <v>5</v>
      </c>
      <c r="X821" s="106">
        <f>+VLOOKUP(PROVEEDORES[[#This Row],[ID RETENCION]],Retenciones!$A$1:$O$25,PROVEEDORES[[#This Row],[indicador de columna]],FALSE)</f>
        <v>0</v>
      </c>
      <c r="Y821" s="107">
        <f>+VLOOKUP(PROVEEDORES[[#This Row],[ID RETENCION]],Retenciones!$A$1:$O$25,2,FALSE)</f>
        <v>0</v>
      </c>
      <c r="Z821" s="116" t="b">
        <f>OR(COUNTIF(PROVEEDORES[[#This Row],[PROVEEDOR]],"*"&amp;'Palabra no opera'!$A$2&amp;"*"))</f>
        <v>0</v>
      </c>
    </row>
    <row r="822" spans="1:26" ht="22.35" customHeight="1" x14ac:dyDescent="0.3">
      <c r="A822" s="67" t="str">
        <f>+IF(PROVEEDORES[[#This Row],[FECHA DE PAGO]]=PROVEEDORES[[#This Row],[FECHA DE FACTURACIÓN]],"DE CONTADO","CRÉDITO")</f>
        <v>CRÉDITO</v>
      </c>
      <c r="B822" s="38" t="str">
        <f>+IF((PROVEEDORES[[#This Row],[FECHA DE PAGO]]-PROVEEDORES[[#This Row],[FECHA DE FACTURACIÓN]])&gt;PROVEEDORES[[#This Row],[PLAZO Días]],"PAGO VENCIDO")</f>
        <v>PAGO VENCIDO</v>
      </c>
      <c r="C822" s="20">
        <f>+VLOOKUP(PROVEEDORES[[#This Row],[PROVEEDOR]],TERCEROS_INFO[#All],2,FALSE)</f>
        <v>30</v>
      </c>
      <c r="D822" s="25">
        <f>+SUMIFS(PROVEEDORES[Total],PROVEEDORES[PROVEEDOR],PROVEEDORES[[#This Row],[PROVEEDOR]],PROVEEDORES[FECHA DE PAGO],"")</f>
        <v>0</v>
      </c>
      <c r="E822" s="25"/>
      <c r="F822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822" s="68">
        <v>44838</v>
      </c>
      <c r="H822" s="26" t="s">
        <v>343</v>
      </c>
      <c r="I822" s="68">
        <v>44760</v>
      </c>
      <c r="J822" s="35" t="s">
        <v>1050</v>
      </c>
      <c r="K822" s="21">
        <v>1802000</v>
      </c>
      <c r="L822" s="21"/>
      <c r="M822" s="22">
        <f>(PROVEEDORES[[#This Row],[SUBTOTAL]]-PROVEEDORES[[#This Row],[descuento sobre subtotal]])*VLOOKUP(PROVEEDORES[[#This Row],[PROVEEDOR]],TERCEROS_INFO[#All],3,FALSE)</f>
        <v>0</v>
      </c>
      <c r="N822" s="23"/>
      <c r="O822" s="22">
        <f>+PROVEEDORES[[#This Row],[Descuento sobre subtotal %]]*(PROVEEDORES[[#This Row],[SUBTOTAL]]-PROVEEDORES[[#This Row],[descuento sobre subtotal]])</f>
        <v>0</v>
      </c>
      <c r="P822" s="74">
        <f>+IF(PROVEEDORES[[#This Row],[SUBTOTAL]]&lt;PROVEEDORES[[#This Row],[base retencion]],0,PROVEEDORES[[#This Row],[retención aplicada]])</f>
        <v>0</v>
      </c>
      <c r="Q822" s="22">
        <f>+PROVEEDORES[[#This Row],[Rete Fuente %]]*(PROVEEDORES[[#This Row],[SUBTOTAL]]-PROVEEDORES[[#This Row],[descuento sobre subtotal]])</f>
        <v>0</v>
      </c>
      <c r="R822" s="21">
        <f>+PROVEEDORES[[#This Row],[SUBTOTAL]]+PROVEEDORES[[#This Row],[IVA 19%]]-PROVEEDORES[[#This Row],[descuento sobre subtotal]]-PROVEEDORES[[#This Row],[Descuento sobre subtotal $2]]-PROVEEDORES[[#This Row],[Rete Fuente $]]</f>
        <v>1802000</v>
      </c>
      <c r="S8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2" s="63">
        <f ca="1">IF(PROVEEDORES[[#This Row],[FECHA DE PAGO]]=0,TODAY()-PROVEEDORES[[#This Row],[FECHA DE FACTURACIÓN]]-PROVEEDORES[[#This Row],[PLAZO Días]],0)</f>
        <v>0</v>
      </c>
      <c r="U822" s="104">
        <f>+VLOOKUP(PROVEEDORES[[#This Row],[PROVEEDOR]],Terceros!$A:$D,4,FALSE)</f>
        <v>0</v>
      </c>
      <c r="V822" s="105">
        <f>+YEAR(PROVEEDORES[[#This Row],[FECHA DE FACTURACIÓN]])</f>
        <v>2022</v>
      </c>
      <c r="W822" s="105">
        <f>+MATCH(PROVEEDORES[[#This Row],[año facturado]],Retenciones!$1:$1,0)</f>
        <v>5</v>
      </c>
      <c r="X822" s="106">
        <f>+VLOOKUP(PROVEEDORES[[#This Row],[ID RETENCION]],Retenciones!$A$1:$O$25,PROVEEDORES[[#This Row],[indicador de columna]],FALSE)</f>
        <v>0</v>
      </c>
      <c r="Y822" s="107">
        <f>+VLOOKUP(PROVEEDORES[[#This Row],[ID RETENCION]],Retenciones!$A$1:$O$25,2,FALSE)</f>
        <v>0</v>
      </c>
      <c r="Z822" s="116" t="b">
        <f>OR(COUNTIF(PROVEEDORES[[#This Row],[PROVEEDOR]],"*"&amp;'Palabra no opera'!$A$2&amp;"*"))</f>
        <v>0</v>
      </c>
    </row>
    <row r="823" spans="1:26" ht="22.35" customHeight="1" x14ac:dyDescent="0.3">
      <c r="A823" s="222" t="str">
        <f>+IF(PROVEEDORES[[#This Row],[FECHA DE PAGO]]=PROVEEDORES[[#This Row],[FECHA DE FACTURACIÓN]],"DE CONTADO","CRÉDITO")</f>
        <v>CRÉDITO</v>
      </c>
      <c r="B823" s="38" t="b">
        <f>+IF((PROVEEDORES[[#This Row],[FECHA DE PAGO]]-PROVEEDORES[[#This Row],[FECHA DE FACTURACIÓN]])&gt;PROVEEDORES[[#This Row],[PLAZO Días]],"PAGO VENCIDO")</f>
        <v>0</v>
      </c>
      <c r="C823" s="20">
        <f>+VLOOKUP(PROVEEDORES[[#This Row],[PROVEEDOR]],TERCEROS_INFO[#All],2,FALSE)</f>
        <v>30</v>
      </c>
      <c r="D823" s="25">
        <f>+SUMIFS(PROVEEDORES[Total],PROVEEDORES[PROVEEDOR],PROVEEDORES[[#This Row],[PROVEEDOR]],PROVEEDORES[FECHA DE PAGO],"")</f>
        <v>429590</v>
      </c>
      <c r="E823" s="25"/>
      <c r="F823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23" s="68">
        <v>44838</v>
      </c>
      <c r="H823" s="26" t="s">
        <v>39</v>
      </c>
      <c r="I823" s="68">
        <v>44827</v>
      </c>
      <c r="J823" s="35" t="s">
        <v>1140</v>
      </c>
      <c r="K823" s="21">
        <v>338160</v>
      </c>
      <c r="L823" s="21"/>
      <c r="M823" s="22">
        <f>(PROVEEDORES[[#This Row],[SUBTOTAL]]-PROVEEDORES[[#This Row],[descuento sobre subtotal]])*VLOOKUP(PROVEEDORES[[#This Row],[PROVEEDOR]],TERCEROS_INFO[#All],3,FALSE)</f>
        <v>64250.400000000001</v>
      </c>
      <c r="N823" s="23"/>
      <c r="O823" s="22">
        <f>+PROVEEDORES[[#This Row],[Descuento sobre subtotal %]]*(PROVEEDORES[[#This Row],[SUBTOTAL]]-PROVEEDORES[[#This Row],[descuento sobre subtotal]])</f>
        <v>0</v>
      </c>
      <c r="P823" s="74">
        <f>+IF(PROVEEDORES[[#This Row],[SUBTOTAL]]&lt;PROVEEDORES[[#This Row],[base retencion]],0,PROVEEDORES[[#This Row],[retención aplicada]])</f>
        <v>0</v>
      </c>
      <c r="Q823" s="22">
        <f>+PROVEEDORES[[#This Row],[Rete Fuente %]]*(PROVEEDORES[[#This Row],[SUBTOTAL]]-PROVEEDORES[[#This Row],[descuento sobre subtotal]])</f>
        <v>0</v>
      </c>
      <c r="R823" s="21">
        <f>+PROVEEDORES[[#This Row],[SUBTOTAL]]+PROVEEDORES[[#This Row],[IVA 19%]]-PROVEEDORES[[#This Row],[descuento sobre subtotal]]-PROVEEDORES[[#This Row],[Descuento sobre subtotal $2]]-PROVEEDORES[[#This Row],[Rete Fuente $]]</f>
        <v>402410.4</v>
      </c>
      <c r="S823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63">
        <f ca="1">IF(PROVEEDORES[[#This Row],[FECHA DE PAGO]]=0,TODAY()-PROVEEDORES[[#This Row],[FECHA DE FACTURACIÓN]]-PROVEEDORES[[#This Row],[PLAZO Días]],0)</f>
        <v>0</v>
      </c>
      <c r="U823" s="104" t="str">
        <f>+VLOOKUP(PROVEEDORES[[#This Row],[PROVEEDOR]],Terceros!$A:$D,4,FALSE)</f>
        <v>2,5% con base</v>
      </c>
      <c r="V823" s="105">
        <f>+YEAR(PROVEEDORES[[#This Row],[FECHA DE FACTURACIÓN]])</f>
        <v>2022</v>
      </c>
      <c r="W823" s="105">
        <f>+MATCH(PROVEEDORES[[#This Row],[año facturado]],Retenciones!$1:$1,0)</f>
        <v>5</v>
      </c>
      <c r="X823" s="106">
        <f>+VLOOKUP(PROVEEDORES[[#This Row],[ID RETENCION]],Retenciones!$A$1:$O$25,PROVEEDORES[[#This Row],[indicador de columna]],FALSE)</f>
        <v>1026000</v>
      </c>
      <c r="Y823" s="107">
        <f>+VLOOKUP(PROVEEDORES[[#This Row],[ID RETENCION]],Retenciones!$A$1:$O$25,2,FALSE)</f>
        <v>2.5000000000000001E-2</v>
      </c>
      <c r="Z823" s="116" t="b">
        <f>OR(COUNTIF(PROVEEDORES[[#This Row],[PROVEEDOR]],"*"&amp;'Palabra no opera'!$A$2&amp;"*"))</f>
        <v>0</v>
      </c>
    </row>
    <row r="824" spans="1:26" ht="22.35" customHeight="1" x14ac:dyDescent="0.3">
      <c r="A824" s="67" t="str">
        <f>+IF(PROVEEDORES[[#This Row],[FECHA DE PAGO]]=PROVEEDORES[[#This Row],[FECHA DE FACTURACIÓN]],"DE CONTADO","CRÉDITO")</f>
        <v>CRÉDITO</v>
      </c>
      <c r="B824" s="38" t="b">
        <f>+IF((PROVEEDORES[[#This Row],[FECHA DE PAGO]]-PROVEEDORES[[#This Row],[FECHA DE FACTURACIÓN]])&gt;PROVEEDORES[[#This Row],[PLAZO Días]],"PAGO VENCIDO")</f>
        <v>0</v>
      </c>
      <c r="C824" s="20">
        <f>+VLOOKUP(PROVEEDORES[[#This Row],[PROVEEDOR]],TERCEROS_INFO[#All],2,FALSE)</f>
        <v>30</v>
      </c>
      <c r="D824" s="25">
        <f>+SUMIFS(PROVEEDORES[Total],PROVEEDORES[PROVEEDOR],PROVEEDORES[[#This Row],[PROVEEDOR]],PROVEEDORES[FECHA DE PAGO],"")</f>
        <v>0</v>
      </c>
      <c r="E824" s="25"/>
      <c r="F824" s="56" t="str">
        <f>+VLOOKUP(PROVEEDORES[[#This Row],[PROVEEDOR]],
                       Terceros!$A:$F,
                       5,
                       FALSE)</f>
        <v/>
      </c>
      <c r="G824" s="68">
        <v>44839</v>
      </c>
      <c r="H824" s="26" t="s">
        <v>1194</v>
      </c>
      <c r="I824" s="68">
        <v>44838</v>
      </c>
      <c r="J824" s="35" t="s">
        <v>1195</v>
      </c>
      <c r="K824" s="21">
        <v>972000</v>
      </c>
      <c r="L824" s="21"/>
      <c r="M824" s="22">
        <f>(PROVEEDORES[[#This Row],[SUBTOTAL]]-PROVEEDORES[[#This Row],[descuento sobre subtotal]])*VLOOKUP(PROVEEDORES[[#This Row],[PROVEEDOR]],TERCEROS_INFO[#All],3,FALSE)</f>
        <v>0</v>
      </c>
      <c r="N824" s="23"/>
      <c r="O824" s="22">
        <f>+PROVEEDORES[[#This Row],[Descuento sobre subtotal %]]*(PROVEEDORES[[#This Row],[SUBTOTAL]]-PROVEEDORES[[#This Row],[descuento sobre subtotal]])</f>
        <v>0</v>
      </c>
      <c r="P824" s="74">
        <f>+IF(PROVEEDORES[[#This Row],[SUBTOTAL]]&lt;PROVEEDORES[[#This Row],[base retencion]],0,PROVEEDORES[[#This Row],[retención aplicada]])</f>
        <v>0</v>
      </c>
      <c r="Q824" s="22">
        <f>+PROVEEDORES[[#This Row],[Rete Fuente %]]*(PROVEEDORES[[#This Row],[SUBTOTAL]]-PROVEEDORES[[#This Row],[descuento sobre subtotal]])</f>
        <v>0</v>
      </c>
      <c r="R824" s="21">
        <f>+PROVEEDORES[[#This Row],[SUBTOTAL]]+PROVEEDORES[[#This Row],[IVA 19%]]-PROVEEDORES[[#This Row],[descuento sobre subtotal]]-PROVEEDORES[[#This Row],[Descuento sobre subtotal $2]]-PROVEEDORES[[#This Row],[Rete Fuente $]]</f>
        <v>972000</v>
      </c>
      <c r="S8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63">
        <f ca="1">IF(PROVEEDORES[[#This Row],[FECHA DE PAGO]]=0,TODAY()-PROVEEDORES[[#This Row],[FECHA DE FACTURACIÓN]]-PROVEEDORES[[#This Row],[PLAZO Días]],0)</f>
        <v>0</v>
      </c>
      <c r="U824" s="104">
        <f>+VLOOKUP(PROVEEDORES[[#This Row],[PROVEEDOR]],Terceros!$A:$D,4,FALSE)</f>
        <v>0</v>
      </c>
      <c r="V824" s="105">
        <f>+YEAR(PROVEEDORES[[#This Row],[FECHA DE FACTURACIÓN]])</f>
        <v>2022</v>
      </c>
      <c r="W824" s="105">
        <f>+MATCH(PROVEEDORES[[#This Row],[año facturado]],Retenciones!$1:$1,0)</f>
        <v>5</v>
      </c>
      <c r="X824" s="106">
        <f>+VLOOKUP(PROVEEDORES[[#This Row],[ID RETENCION]],Retenciones!$A$1:$O$25,PROVEEDORES[[#This Row],[indicador de columna]],FALSE)</f>
        <v>0</v>
      </c>
      <c r="Y824" s="107">
        <f>+VLOOKUP(PROVEEDORES[[#This Row],[ID RETENCION]],Retenciones!$A$1:$O$25,2,FALSE)</f>
        <v>0</v>
      </c>
      <c r="Z824" s="116" t="b">
        <f>OR(COUNTIF(PROVEEDORES[[#This Row],[PROVEEDOR]],"*"&amp;'Palabra no opera'!$A$2&amp;"*"))</f>
        <v>0</v>
      </c>
    </row>
    <row r="825" spans="1:26" ht="22.35" customHeight="1" x14ac:dyDescent="0.3">
      <c r="A825" s="171" t="str">
        <f>+IF(PROVEEDORES[[#This Row],[FECHA DE PAGO]]=PROVEEDORES[[#This Row],[FECHA DE FACTURACIÓN]],"DE CONTADO","CRÉDITO")</f>
        <v>CRÉDITO</v>
      </c>
      <c r="B825" s="38" t="str">
        <f>+IF((PROVEEDORES[[#This Row],[FECHA DE PAGO]]-PROVEEDORES[[#This Row],[FECHA DE FACTURACIÓN]])&gt;PROVEEDORES[[#This Row],[PLAZO Días]],"PAGO VENCIDO")</f>
        <v>PAGO VENCIDO</v>
      </c>
      <c r="C825" s="20">
        <f>+VLOOKUP(PROVEEDORES[[#This Row],[PROVEEDOR]],TERCEROS_INFO[#All],2,FALSE)</f>
        <v>30</v>
      </c>
      <c r="D825" s="25">
        <f>+SUMIFS(PROVEEDORES[Total],PROVEEDORES[PROVEEDOR],PROVEEDORES[[#This Row],[PROVEEDOR]],PROVEEDORES[FECHA DE PAGO],"")</f>
        <v>3669750</v>
      </c>
      <c r="E825" s="25"/>
      <c r="F825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25" s="68">
        <v>44839</v>
      </c>
      <c r="H825" s="26" t="s">
        <v>24</v>
      </c>
      <c r="I825" s="68">
        <v>44775</v>
      </c>
      <c r="J825" s="35" t="s">
        <v>877</v>
      </c>
      <c r="K825" s="21">
        <v>1682976</v>
      </c>
      <c r="L825" s="21"/>
      <c r="M825" s="22">
        <f>(PROVEEDORES[[#This Row],[SUBTOTAL]]-PROVEEDORES[[#This Row],[descuento sobre subtotal]])*VLOOKUP(PROVEEDORES[[#This Row],[PROVEEDOR]],TERCEROS_INFO[#All],3,FALSE)</f>
        <v>319765.44</v>
      </c>
      <c r="N825" s="23"/>
      <c r="O825" s="22">
        <f>+PROVEEDORES[[#This Row],[Descuento sobre subtotal %]]*(PROVEEDORES[[#This Row],[SUBTOTAL]]-PROVEEDORES[[#This Row],[descuento sobre subtotal]])</f>
        <v>0</v>
      </c>
      <c r="P825" s="74">
        <f>+IF(PROVEEDORES[[#This Row],[SUBTOTAL]]&lt;PROVEEDORES[[#This Row],[base retencion]],0,PROVEEDORES[[#This Row],[retención aplicada]])</f>
        <v>2.5000000000000001E-2</v>
      </c>
      <c r="Q825" s="22">
        <f>+PROVEEDORES[[#This Row],[Rete Fuente %]]*(PROVEEDORES[[#This Row],[SUBTOTAL]]-PROVEEDORES[[#This Row],[descuento sobre subtotal]])</f>
        <v>42074.400000000001</v>
      </c>
      <c r="R825" s="21">
        <f>+PROVEEDORES[[#This Row],[SUBTOTAL]]+PROVEEDORES[[#This Row],[IVA 19%]]-PROVEEDORES[[#This Row],[descuento sobre subtotal]]-PROVEEDORES[[#This Row],[Descuento sobre subtotal $2]]-PROVEEDORES[[#This Row],[Rete Fuente $]]</f>
        <v>1960667.04</v>
      </c>
      <c r="S825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63">
        <f ca="1">IF(PROVEEDORES[[#This Row],[FECHA DE PAGO]]=0,TODAY()-PROVEEDORES[[#This Row],[FECHA DE FACTURACIÓN]]-PROVEEDORES[[#This Row],[PLAZO Días]],0)</f>
        <v>0</v>
      </c>
      <c r="U825" s="104" t="str">
        <f>+VLOOKUP(PROVEEDORES[[#This Row],[PROVEEDOR]],Terceros!$A:$D,4,FALSE)</f>
        <v>2,5% con base</v>
      </c>
      <c r="V825" s="105">
        <f>+YEAR(PROVEEDORES[[#This Row],[FECHA DE FACTURACIÓN]])</f>
        <v>2022</v>
      </c>
      <c r="W825" s="105">
        <f>+MATCH(PROVEEDORES[[#This Row],[año facturado]],Retenciones!$1:$1,0)</f>
        <v>5</v>
      </c>
      <c r="X825" s="106">
        <f>+VLOOKUP(PROVEEDORES[[#This Row],[ID RETENCION]],Retenciones!$A$1:$O$25,PROVEEDORES[[#This Row],[indicador de columna]],FALSE)</f>
        <v>1026000</v>
      </c>
      <c r="Y825" s="107">
        <f>+VLOOKUP(PROVEEDORES[[#This Row],[ID RETENCION]],Retenciones!$A$1:$O$25,2,FALSE)</f>
        <v>2.5000000000000001E-2</v>
      </c>
      <c r="Z825" s="116" t="b">
        <f>OR(COUNTIF(PROVEEDORES[[#This Row],[PROVEEDOR]],"*"&amp;'Palabra no opera'!$A$2&amp;"*"))</f>
        <v>0</v>
      </c>
    </row>
    <row r="826" spans="1:26" ht="22.35" customHeight="1" x14ac:dyDescent="0.3">
      <c r="A826" s="182" t="str">
        <f>+IF(PROVEEDORES[[#This Row],[FECHA DE PAGO]]=PROVEEDORES[[#This Row],[FECHA DE FACTURACIÓN]],"DE CONTADO","CRÉDITO")</f>
        <v>CRÉDITO</v>
      </c>
      <c r="B826" s="38" t="str">
        <f>+IF((PROVEEDORES[[#This Row],[FECHA DE PAGO]]-PROVEEDORES[[#This Row],[FECHA DE FACTURACIÓN]])&gt;PROVEEDORES[[#This Row],[PLAZO Días]],"PAGO VENCIDO")</f>
        <v>PAGO VENCIDO</v>
      </c>
      <c r="C826" s="20">
        <f>+VLOOKUP(PROVEEDORES[[#This Row],[PROVEEDOR]],TERCEROS_INFO[#All],2,FALSE)</f>
        <v>30</v>
      </c>
      <c r="D826" s="25">
        <f>+SUMIFS(PROVEEDORES[Total],PROVEEDORES[PROVEEDOR],PROVEEDORES[[#This Row],[PROVEEDOR]],PROVEEDORES[FECHA DE PAGO],"")</f>
        <v>0</v>
      </c>
      <c r="E826" s="25"/>
      <c r="F826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26" s="68">
        <v>44839</v>
      </c>
      <c r="H826" s="26" t="s">
        <v>47</v>
      </c>
      <c r="I826" s="68">
        <v>44784</v>
      </c>
      <c r="J826" s="35" t="s">
        <v>940</v>
      </c>
      <c r="K826" s="21">
        <v>486500</v>
      </c>
      <c r="L826" s="21"/>
      <c r="M826" s="22">
        <f>(PROVEEDORES[[#This Row],[SUBTOTAL]]-PROVEEDORES[[#This Row],[descuento sobre subtotal]])*VLOOKUP(PROVEEDORES[[#This Row],[PROVEEDOR]],TERCEROS_INFO[#All],3,FALSE)</f>
        <v>92435</v>
      </c>
      <c r="N826" s="23"/>
      <c r="O826" s="22">
        <f>+PROVEEDORES[[#This Row],[Descuento sobre subtotal %]]*(PROVEEDORES[[#This Row],[SUBTOTAL]]-PROVEEDORES[[#This Row],[descuento sobre subtotal]])</f>
        <v>0</v>
      </c>
      <c r="P826" s="74">
        <f>+IF(PROVEEDORES[[#This Row],[SUBTOTAL]]&lt;PROVEEDORES[[#This Row],[base retencion]],0,PROVEEDORES[[#This Row],[retención aplicada]])</f>
        <v>0</v>
      </c>
      <c r="Q826" s="22">
        <f>+PROVEEDORES[[#This Row],[Rete Fuente %]]*(PROVEEDORES[[#This Row],[SUBTOTAL]]-PROVEEDORES[[#This Row],[descuento sobre subtotal]])</f>
        <v>0</v>
      </c>
      <c r="R826" s="21">
        <f>+PROVEEDORES[[#This Row],[SUBTOTAL]]+PROVEEDORES[[#This Row],[IVA 19%]]-PROVEEDORES[[#This Row],[descuento sobre subtotal]]-PROVEEDORES[[#This Row],[Descuento sobre subtotal $2]]-PROVEEDORES[[#This Row],[Rete Fuente $]]</f>
        <v>578935</v>
      </c>
      <c r="S82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63">
        <f ca="1">IF(PROVEEDORES[[#This Row],[FECHA DE PAGO]]=0,TODAY()-PROVEEDORES[[#This Row],[FECHA DE FACTURACIÓN]]-PROVEEDORES[[#This Row],[PLAZO Días]],0)</f>
        <v>0</v>
      </c>
      <c r="U826" s="104" t="str">
        <f>+VLOOKUP(PROVEEDORES[[#This Row],[PROVEEDOR]],Terceros!$A:$D,4,FALSE)</f>
        <v>2,5% con base</v>
      </c>
      <c r="V826" s="105">
        <f>+YEAR(PROVEEDORES[[#This Row],[FECHA DE FACTURACIÓN]])</f>
        <v>2022</v>
      </c>
      <c r="W826" s="105">
        <f>+MATCH(PROVEEDORES[[#This Row],[año facturado]],Retenciones!$1:$1,0)</f>
        <v>5</v>
      </c>
      <c r="X826" s="106">
        <f>+VLOOKUP(PROVEEDORES[[#This Row],[ID RETENCION]],Retenciones!$A$1:$O$25,PROVEEDORES[[#This Row],[indicador de columna]],FALSE)</f>
        <v>1026000</v>
      </c>
      <c r="Y826" s="107">
        <f>+VLOOKUP(PROVEEDORES[[#This Row],[ID RETENCION]],Retenciones!$A$1:$O$25,2,FALSE)</f>
        <v>2.5000000000000001E-2</v>
      </c>
      <c r="Z826" s="116" t="b">
        <f>OR(COUNTIF(PROVEEDORES[[#This Row],[PROVEEDOR]],"*"&amp;'Palabra no opera'!$A$2&amp;"*"))</f>
        <v>0</v>
      </c>
    </row>
    <row r="827" spans="1:26" ht="22.35" customHeight="1" x14ac:dyDescent="0.3">
      <c r="A827" s="175" t="str">
        <f>+IF(PROVEEDORES[[#This Row],[FECHA DE PAGO]]=PROVEEDORES[[#This Row],[FECHA DE FACTURACIÓN]],"DE CONTADO","CRÉDITO")</f>
        <v>CRÉDITO</v>
      </c>
      <c r="B827" s="38" t="str">
        <f>+IF((PROVEEDORES[[#This Row],[FECHA DE PAGO]]-PROVEEDORES[[#This Row],[FECHA DE FACTURACIÓN]])&gt;PROVEEDORES[[#This Row],[PLAZO Días]],"PAGO VENCIDO")</f>
        <v>PAGO VENCIDO</v>
      </c>
      <c r="C827" s="20">
        <f>+VLOOKUP(PROVEEDORES[[#This Row],[PROVEEDOR]],TERCEROS_INFO[#All],2,FALSE)</f>
        <v>30</v>
      </c>
      <c r="D827" s="25">
        <f>+SUMIFS(PROVEEDORES[Total],PROVEEDORES[PROVEEDOR],PROVEEDORES[[#This Row],[PROVEEDOR]],PROVEEDORES[FECHA DE PAGO],"")</f>
        <v>0</v>
      </c>
      <c r="E827" s="25"/>
      <c r="F827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27" s="68">
        <v>44839</v>
      </c>
      <c r="H827" s="26" t="s">
        <v>47</v>
      </c>
      <c r="I827" s="68">
        <v>44786</v>
      </c>
      <c r="J827" s="35" t="s">
        <v>922</v>
      </c>
      <c r="K827" s="21">
        <v>359725</v>
      </c>
      <c r="L827" s="21"/>
      <c r="M827" s="22">
        <f>(PROVEEDORES[[#This Row],[SUBTOTAL]]-PROVEEDORES[[#This Row],[descuento sobre subtotal]])*VLOOKUP(PROVEEDORES[[#This Row],[PROVEEDOR]],TERCEROS_INFO[#All],3,FALSE)</f>
        <v>68347.75</v>
      </c>
      <c r="N827" s="23"/>
      <c r="O827" s="22">
        <f>+PROVEEDORES[[#This Row],[Descuento sobre subtotal %]]*(PROVEEDORES[[#This Row],[SUBTOTAL]]-PROVEEDORES[[#This Row],[descuento sobre subtotal]])</f>
        <v>0</v>
      </c>
      <c r="P827" s="74">
        <f>+IF(PROVEEDORES[[#This Row],[SUBTOTAL]]&lt;PROVEEDORES[[#This Row],[base retencion]],0,PROVEEDORES[[#This Row],[retención aplicada]])</f>
        <v>0</v>
      </c>
      <c r="Q827" s="22">
        <f>+PROVEEDORES[[#This Row],[Rete Fuente %]]*(PROVEEDORES[[#This Row],[SUBTOTAL]]-PROVEEDORES[[#This Row],[descuento sobre subtotal]])</f>
        <v>0</v>
      </c>
      <c r="R827" s="21">
        <f>+PROVEEDORES[[#This Row],[SUBTOTAL]]+PROVEEDORES[[#This Row],[IVA 19%]]-PROVEEDORES[[#This Row],[descuento sobre subtotal]]-PROVEEDORES[[#This Row],[Descuento sobre subtotal $2]]-PROVEEDORES[[#This Row],[Rete Fuente $]]</f>
        <v>428072.75</v>
      </c>
      <c r="S827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63">
        <f ca="1">IF(PROVEEDORES[[#This Row],[FECHA DE PAGO]]=0,TODAY()-PROVEEDORES[[#This Row],[FECHA DE FACTURACIÓN]]-PROVEEDORES[[#This Row],[PLAZO Días]],0)</f>
        <v>0</v>
      </c>
      <c r="U827" s="104" t="str">
        <f>+VLOOKUP(PROVEEDORES[[#This Row],[PROVEEDOR]],Terceros!$A:$D,4,FALSE)</f>
        <v>2,5% con base</v>
      </c>
      <c r="V827" s="105">
        <f>+YEAR(PROVEEDORES[[#This Row],[FECHA DE FACTURACIÓN]])</f>
        <v>2022</v>
      </c>
      <c r="W827" s="105">
        <f>+MATCH(PROVEEDORES[[#This Row],[año facturado]],Retenciones!$1:$1,0)</f>
        <v>5</v>
      </c>
      <c r="X827" s="106">
        <f>+VLOOKUP(PROVEEDORES[[#This Row],[ID RETENCION]],Retenciones!$A$1:$O$25,PROVEEDORES[[#This Row],[indicador de columna]],FALSE)</f>
        <v>1026000</v>
      </c>
      <c r="Y827" s="107">
        <f>+VLOOKUP(PROVEEDORES[[#This Row],[ID RETENCION]],Retenciones!$A$1:$O$25,2,FALSE)</f>
        <v>2.5000000000000001E-2</v>
      </c>
      <c r="Z827" s="116" t="b">
        <f>OR(COUNTIF(PROVEEDORES[[#This Row],[PROVEEDOR]],"*"&amp;'Palabra no opera'!$A$2&amp;"*"))</f>
        <v>0</v>
      </c>
    </row>
    <row r="828" spans="1:26" ht="22.35" customHeight="1" x14ac:dyDescent="0.3">
      <c r="A828" s="182" t="str">
        <f>+IF(PROVEEDORES[[#This Row],[FECHA DE PAGO]]=PROVEEDORES[[#This Row],[FECHA DE FACTURACIÓN]],"DE CONTADO","CRÉDITO")</f>
        <v>CRÉDITO</v>
      </c>
      <c r="B828" s="38" t="str">
        <f>+IF((PROVEEDORES[[#This Row],[FECHA DE PAGO]]-PROVEEDORES[[#This Row],[FECHA DE FACTURACIÓN]])&gt;PROVEEDORES[[#This Row],[PLAZO Días]],"PAGO VENCIDO")</f>
        <v>PAGO VENCIDO</v>
      </c>
      <c r="C828" s="20">
        <f>+VLOOKUP(PROVEEDORES[[#This Row],[PROVEEDOR]],TERCEROS_INFO[#All],2,FALSE)</f>
        <v>30</v>
      </c>
      <c r="D828" s="25">
        <f>+SUMIFS(PROVEEDORES[Total],PROVEEDORES[PROVEEDOR],PROVEEDORES[[#This Row],[PROVEEDOR]],PROVEEDORES[FECHA DE PAGO],"")</f>
        <v>0</v>
      </c>
      <c r="E828" s="25"/>
      <c r="F828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28" s="68">
        <v>44839</v>
      </c>
      <c r="H828" s="26" t="s">
        <v>47</v>
      </c>
      <c r="I828" s="68">
        <v>44792</v>
      </c>
      <c r="J828" s="35" t="s">
        <v>938</v>
      </c>
      <c r="K828" s="21">
        <v>211800</v>
      </c>
      <c r="L828" s="21"/>
      <c r="M828" s="22">
        <f>(PROVEEDORES[[#This Row],[SUBTOTAL]]-PROVEEDORES[[#This Row],[descuento sobre subtotal]])*VLOOKUP(PROVEEDORES[[#This Row],[PROVEEDOR]],TERCEROS_INFO[#All],3,FALSE)</f>
        <v>40242</v>
      </c>
      <c r="N828" s="23"/>
      <c r="O828" s="22">
        <f>+PROVEEDORES[[#This Row],[Descuento sobre subtotal %]]*(PROVEEDORES[[#This Row],[SUBTOTAL]]-PROVEEDORES[[#This Row],[descuento sobre subtotal]])</f>
        <v>0</v>
      </c>
      <c r="P828" s="74">
        <f>+IF(PROVEEDORES[[#This Row],[SUBTOTAL]]&lt;PROVEEDORES[[#This Row],[base retencion]],0,PROVEEDORES[[#This Row],[retención aplicada]])</f>
        <v>0</v>
      </c>
      <c r="Q828" s="22">
        <f>+PROVEEDORES[[#This Row],[Rete Fuente %]]*(PROVEEDORES[[#This Row],[SUBTOTAL]]-PROVEEDORES[[#This Row],[descuento sobre subtotal]])</f>
        <v>0</v>
      </c>
      <c r="R828" s="21">
        <f>+PROVEEDORES[[#This Row],[SUBTOTAL]]+PROVEEDORES[[#This Row],[IVA 19%]]-PROVEEDORES[[#This Row],[descuento sobre subtotal]]-PROVEEDORES[[#This Row],[Descuento sobre subtotal $2]]-PROVEEDORES[[#This Row],[Rete Fuente $]]</f>
        <v>252042</v>
      </c>
      <c r="S82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63">
        <f ca="1">IF(PROVEEDORES[[#This Row],[FECHA DE PAGO]]=0,TODAY()-PROVEEDORES[[#This Row],[FECHA DE FACTURACIÓN]]-PROVEEDORES[[#This Row],[PLAZO Días]],0)</f>
        <v>0</v>
      </c>
      <c r="U828" s="104" t="str">
        <f>+VLOOKUP(PROVEEDORES[[#This Row],[PROVEEDOR]],Terceros!$A:$D,4,FALSE)</f>
        <v>2,5% con base</v>
      </c>
      <c r="V828" s="105">
        <f>+YEAR(PROVEEDORES[[#This Row],[FECHA DE FACTURACIÓN]])</f>
        <v>2022</v>
      </c>
      <c r="W828" s="105">
        <f>+MATCH(PROVEEDORES[[#This Row],[año facturado]],Retenciones!$1:$1,0)</f>
        <v>5</v>
      </c>
      <c r="X828" s="106">
        <f>+VLOOKUP(PROVEEDORES[[#This Row],[ID RETENCION]],Retenciones!$A$1:$O$25,PROVEEDORES[[#This Row],[indicador de columna]],FALSE)</f>
        <v>1026000</v>
      </c>
      <c r="Y828" s="107">
        <f>+VLOOKUP(PROVEEDORES[[#This Row],[ID RETENCION]],Retenciones!$A$1:$O$25,2,FALSE)</f>
        <v>2.5000000000000001E-2</v>
      </c>
      <c r="Z828" s="116" t="b">
        <f>OR(COUNTIF(PROVEEDORES[[#This Row],[PROVEEDOR]],"*"&amp;'Palabra no opera'!$A$2&amp;"*"))</f>
        <v>0</v>
      </c>
    </row>
    <row r="829" spans="1:26" ht="22.35" customHeight="1" x14ac:dyDescent="0.3">
      <c r="A829" s="67" t="str">
        <f>+IF(PROVEEDORES[[#This Row],[FECHA DE PAGO]]=PROVEEDORES[[#This Row],[FECHA DE FACTURACIÓN]],"DE CONTADO","CRÉDITO")</f>
        <v>CRÉDITO</v>
      </c>
      <c r="B829" s="38" t="str">
        <f>+IF((PROVEEDORES[[#This Row],[FECHA DE PAGO]]-PROVEEDORES[[#This Row],[FECHA DE FACTURACIÓN]])&gt;PROVEEDORES[[#This Row],[PLAZO Días]],"PAGO VENCIDO")</f>
        <v>PAGO VENCIDO</v>
      </c>
      <c r="C829" s="20">
        <f>+VLOOKUP(PROVEEDORES[[#This Row],[PROVEEDOR]],TERCEROS_INFO[#All],2,FALSE)</f>
        <v>30</v>
      </c>
      <c r="D829" s="25">
        <f>+SUMIFS(PROVEEDORES[Total],PROVEEDORES[PROVEEDOR],PROVEEDORES[[#This Row],[PROVEEDOR]],PROVEEDORES[FECHA DE PAGO],"")</f>
        <v>121187115</v>
      </c>
      <c r="E829" s="25"/>
      <c r="F829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829" s="68">
        <v>44839</v>
      </c>
      <c r="H829" s="26" t="s">
        <v>31</v>
      </c>
      <c r="I829" s="68">
        <v>44761</v>
      </c>
      <c r="J829" s="35">
        <v>57126</v>
      </c>
      <c r="K829" s="21">
        <f>14678.73*4400</f>
        <v>64586412</v>
      </c>
      <c r="L829" s="21"/>
      <c r="M829" s="22">
        <f>(PROVEEDORES[[#This Row],[SUBTOTAL]]-PROVEEDORES[[#This Row],[descuento sobre subtotal]])*VLOOKUP(PROVEEDORES[[#This Row],[PROVEEDOR]],TERCEROS_INFO[#All],3,FALSE)</f>
        <v>0</v>
      </c>
      <c r="N829" s="23"/>
      <c r="O829" s="22">
        <f>+PROVEEDORES[[#This Row],[Descuento sobre subtotal %]]*(PROVEEDORES[[#This Row],[SUBTOTAL]]-PROVEEDORES[[#This Row],[descuento sobre subtotal]])</f>
        <v>0</v>
      </c>
      <c r="P829" s="74">
        <f>+IF(PROVEEDORES[[#This Row],[SUBTOTAL]]&lt;PROVEEDORES[[#This Row],[base retencion]],0,PROVEEDORES[[#This Row],[retención aplicada]])</f>
        <v>0</v>
      </c>
      <c r="Q829" s="22">
        <f>+PROVEEDORES[[#This Row],[Rete Fuente %]]*(PROVEEDORES[[#This Row],[SUBTOTAL]]-PROVEEDORES[[#This Row],[descuento sobre subtotal]])</f>
        <v>0</v>
      </c>
      <c r="R829" s="21">
        <f>+PROVEEDORES[[#This Row],[SUBTOTAL]]+PROVEEDORES[[#This Row],[IVA 19%]]-PROVEEDORES[[#This Row],[descuento sobre subtotal]]-PROVEEDORES[[#This Row],[Descuento sobre subtotal $2]]-PROVEEDORES[[#This Row],[Rete Fuente $]]</f>
        <v>64586412</v>
      </c>
      <c r="S8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63">
        <f ca="1">IF(PROVEEDORES[[#This Row],[FECHA DE PAGO]]=0,TODAY()-PROVEEDORES[[#This Row],[FECHA DE FACTURACIÓN]]-PROVEEDORES[[#This Row],[PLAZO Días]],0)</f>
        <v>0</v>
      </c>
      <c r="U829" s="104">
        <f>+VLOOKUP(PROVEEDORES[[#This Row],[PROVEEDOR]],Terceros!$A:$D,4,FALSE)</f>
        <v>0</v>
      </c>
      <c r="V829" s="105">
        <f>+YEAR(PROVEEDORES[[#This Row],[FECHA DE FACTURACIÓN]])</f>
        <v>2022</v>
      </c>
      <c r="W829" s="105">
        <f>+MATCH(PROVEEDORES[[#This Row],[año facturado]],Retenciones!$1:$1,0)</f>
        <v>5</v>
      </c>
      <c r="X829" s="106">
        <f>+VLOOKUP(PROVEEDORES[[#This Row],[ID RETENCION]],Retenciones!$A$1:$O$25,PROVEEDORES[[#This Row],[indicador de columna]],FALSE)</f>
        <v>0</v>
      </c>
      <c r="Y829" s="107">
        <f>+VLOOKUP(PROVEEDORES[[#This Row],[ID RETENCION]],Retenciones!$A$1:$O$25,2,FALSE)</f>
        <v>0</v>
      </c>
      <c r="Z829" s="116" t="b">
        <f>OR(COUNTIF(PROVEEDORES[[#This Row],[PROVEEDOR]],"*"&amp;'Palabra no opera'!$A$2&amp;"*"))</f>
        <v>0</v>
      </c>
    </row>
    <row r="830" spans="1:26" ht="22.35" customHeight="1" x14ac:dyDescent="0.3">
      <c r="A830" s="171" t="str">
        <f>+IF(PROVEEDORES[[#This Row],[FECHA DE PAGO]]=PROVEEDORES[[#This Row],[FECHA DE FACTURACIÓN]],"DE CONTADO","CRÉDITO")</f>
        <v>CRÉDITO</v>
      </c>
      <c r="B830" s="38" t="str">
        <f>+IF((PROVEEDORES[[#This Row],[FECHA DE PAGO]]-PROVEEDORES[[#This Row],[FECHA DE FACTURACIÓN]])&gt;PROVEEDORES[[#This Row],[PLAZO Días]],"PAGO VENCIDO")</f>
        <v>PAGO VENCIDO</v>
      </c>
      <c r="C830" s="20">
        <f>+VLOOKUP(PROVEEDORES[[#This Row],[PROVEEDOR]],TERCEROS_INFO[#All],2,FALSE)</f>
        <v>45</v>
      </c>
      <c r="D830" s="25">
        <f>+SUMIFS(PROVEEDORES[Total],PROVEEDORES[PROVEEDOR],PROVEEDORES[[#This Row],[PROVEEDOR]],PROVEEDORES[FECHA DE PAGO],"")</f>
        <v>8072960</v>
      </c>
      <c r="E830" s="25"/>
      <c r="F83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30" s="177">
        <v>44839</v>
      </c>
      <c r="H830" s="205" t="s">
        <v>10</v>
      </c>
      <c r="I830" s="68">
        <v>44776</v>
      </c>
      <c r="J830" s="35" t="s">
        <v>874</v>
      </c>
      <c r="K830" s="21">
        <v>3230000</v>
      </c>
      <c r="L830" s="21"/>
      <c r="M830" s="22">
        <f>(PROVEEDORES[[#This Row],[SUBTOTAL]]-PROVEEDORES[[#This Row],[descuento sobre subtotal]])*VLOOKUP(PROVEEDORES[[#This Row],[PROVEEDOR]],TERCEROS_INFO[#All],3,FALSE)</f>
        <v>613700</v>
      </c>
      <c r="N830" s="23"/>
      <c r="O830" s="22">
        <f>+PROVEEDORES[[#This Row],[Descuento sobre subtotal %]]*(PROVEEDORES[[#This Row],[SUBTOTAL]]-PROVEEDORES[[#This Row],[descuento sobre subtotal]])</f>
        <v>0</v>
      </c>
      <c r="P830" s="74">
        <f>+IF(PROVEEDORES[[#This Row],[SUBTOTAL]]&lt;PROVEEDORES[[#This Row],[base retencion]],0,PROVEEDORES[[#This Row],[retención aplicada]])</f>
        <v>0</v>
      </c>
      <c r="Q830" s="22">
        <f>+PROVEEDORES[[#This Row],[Rete Fuente %]]*(PROVEEDORES[[#This Row],[SUBTOTAL]]-PROVEEDORES[[#This Row],[descuento sobre subtotal]])</f>
        <v>0</v>
      </c>
      <c r="R830" s="21">
        <f>+PROVEEDORES[[#This Row],[SUBTOTAL]]+PROVEEDORES[[#This Row],[IVA 19%]]-PROVEEDORES[[#This Row],[descuento sobre subtotal]]-PROVEEDORES[[#This Row],[Descuento sobre subtotal $2]]-PROVEEDORES[[#This Row],[Rete Fuente $]]</f>
        <v>3843700</v>
      </c>
      <c r="S830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63">
        <f ca="1">IF(PROVEEDORES[[#This Row],[FECHA DE PAGO]]=0,TODAY()-PROVEEDORES[[#This Row],[FECHA DE FACTURACIÓN]]-PROVEEDORES[[#This Row],[PLAZO Días]],0)</f>
        <v>0</v>
      </c>
      <c r="U830" s="104">
        <f>+VLOOKUP(PROVEEDORES[[#This Row],[PROVEEDOR]],Terceros!$A:$D,4,FALSE)</f>
        <v>0</v>
      </c>
      <c r="V830" s="105">
        <f>+YEAR(PROVEEDORES[[#This Row],[FECHA DE FACTURACIÓN]])</f>
        <v>2022</v>
      </c>
      <c r="W830" s="105">
        <f>+MATCH(PROVEEDORES[[#This Row],[año facturado]],Retenciones!$1:$1,0)</f>
        <v>5</v>
      </c>
      <c r="X830" s="106">
        <f>+VLOOKUP(PROVEEDORES[[#This Row],[ID RETENCION]],Retenciones!$A$1:$O$25,PROVEEDORES[[#This Row],[indicador de columna]],FALSE)</f>
        <v>0</v>
      </c>
      <c r="Y830" s="107">
        <f>+VLOOKUP(PROVEEDORES[[#This Row],[ID RETENCION]],Retenciones!$A$1:$O$25,2,FALSE)</f>
        <v>0</v>
      </c>
      <c r="Z830" s="116" t="b">
        <f>OR(COUNTIF(PROVEEDORES[[#This Row],[PROVEEDOR]],"*"&amp;'Palabra no opera'!$A$2&amp;"*"))</f>
        <v>0</v>
      </c>
    </row>
    <row r="831" spans="1:26" ht="22.35" customHeight="1" x14ac:dyDescent="0.3">
      <c r="A831" s="171" t="str">
        <f>+IF(PROVEEDORES[[#This Row],[FECHA DE PAGO]]=PROVEEDORES[[#This Row],[FECHA DE FACTURACIÓN]],"DE CONTADO","CRÉDITO")</f>
        <v>CRÉDITO</v>
      </c>
      <c r="B831" s="38" t="str">
        <f>+IF((PROVEEDORES[[#This Row],[FECHA DE PAGO]]-PROVEEDORES[[#This Row],[FECHA DE FACTURACIÓN]])&gt;PROVEEDORES[[#This Row],[PLAZO Días]],"PAGO VENCIDO")</f>
        <v>PAGO VENCIDO</v>
      </c>
      <c r="C831" s="20">
        <f>+VLOOKUP(PROVEEDORES[[#This Row],[PROVEEDOR]],TERCEROS_INFO[#All],2,FALSE)</f>
        <v>45</v>
      </c>
      <c r="D831" s="25">
        <f>+SUMIFS(PROVEEDORES[Total],PROVEEDORES[PROVEEDOR],PROVEEDORES[[#This Row],[PROVEEDOR]],PROVEEDORES[FECHA DE PAGO],"")</f>
        <v>8072960</v>
      </c>
      <c r="E831" s="25"/>
      <c r="F83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31" s="68">
        <v>44839</v>
      </c>
      <c r="H831" s="26" t="s">
        <v>10</v>
      </c>
      <c r="I831" s="68">
        <v>44781</v>
      </c>
      <c r="J831" s="35" t="s">
        <v>875</v>
      </c>
      <c r="K831" s="21">
        <v>760000</v>
      </c>
      <c r="L831" s="21"/>
      <c r="M831" s="22">
        <f>(PROVEEDORES[[#This Row],[SUBTOTAL]]-PROVEEDORES[[#This Row],[descuento sobre subtotal]])*VLOOKUP(PROVEEDORES[[#This Row],[PROVEEDOR]],TERCEROS_INFO[#All],3,FALSE)</f>
        <v>144400</v>
      </c>
      <c r="N831" s="23"/>
      <c r="O831" s="22">
        <f>+PROVEEDORES[[#This Row],[Descuento sobre subtotal %]]*(PROVEEDORES[[#This Row],[SUBTOTAL]]-PROVEEDORES[[#This Row],[descuento sobre subtotal]])</f>
        <v>0</v>
      </c>
      <c r="P831" s="74">
        <f>+IF(PROVEEDORES[[#This Row],[SUBTOTAL]]&lt;PROVEEDORES[[#This Row],[base retencion]],0,PROVEEDORES[[#This Row],[retención aplicada]])</f>
        <v>0</v>
      </c>
      <c r="Q831" s="22">
        <f>+PROVEEDORES[[#This Row],[Rete Fuente %]]*(PROVEEDORES[[#This Row],[SUBTOTAL]]-PROVEEDORES[[#This Row],[descuento sobre subtotal]])</f>
        <v>0</v>
      </c>
      <c r="R831" s="21">
        <f>+PROVEEDORES[[#This Row],[SUBTOTAL]]+PROVEEDORES[[#This Row],[IVA 19%]]-PROVEEDORES[[#This Row],[descuento sobre subtotal]]-PROVEEDORES[[#This Row],[Descuento sobre subtotal $2]]-PROVEEDORES[[#This Row],[Rete Fuente $]]</f>
        <v>904400</v>
      </c>
      <c r="S831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63">
        <f ca="1">IF(PROVEEDORES[[#This Row],[FECHA DE PAGO]]=0,TODAY()-PROVEEDORES[[#This Row],[FECHA DE FACTURACIÓN]]-PROVEEDORES[[#This Row],[PLAZO Días]],0)</f>
        <v>0</v>
      </c>
      <c r="U831" s="104">
        <f>+VLOOKUP(PROVEEDORES[[#This Row],[PROVEEDOR]],Terceros!$A:$D,4,FALSE)</f>
        <v>0</v>
      </c>
      <c r="V831" s="105">
        <f>+YEAR(PROVEEDORES[[#This Row],[FECHA DE FACTURACIÓN]])</f>
        <v>2022</v>
      </c>
      <c r="W831" s="105">
        <f>+MATCH(PROVEEDORES[[#This Row],[año facturado]],Retenciones!$1:$1,0)</f>
        <v>5</v>
      </c>
      <c r="X831" s="106">
        <f>+VLOOKUP(PROVEEDORES[[#This Row],[ID RETENCION]],Retenciones!$A$1:$O$25,PROVEEDORES[[#This Row],[indicador de columna]],FALSE)</f>
        <v>0</v>
      </c>
      <c r="Y831" s="107">
        <f>+VLOOKUP(PROVEEDORES[[#This Row],[ID RETENCION]],Retenciones!$A$1:$O$25,2,FALSE)</f>
        <v>0</v>
      </c>
      <c r="Z831" s="116" t="b">
        <f>OR(COUNTIF(PROVEEDORES[[#This Row],[PROVEEDOR]],"*"&amp;'Palabra no opera'!$A$2&amp;"*"))</f>
        <v>0</v>
      </c>
    </row>
    <row r="832" spans="1:26" ht="22.35" customHeight="1" x14ac:dyDescent="0.3">
      <c r="A832" s="171" t="str">
        <f>+IF(PROVEEDORES[[#This Row],[FECHA DE PAGO]]=PROVEEDORES[[#This Row],[FECHA DE FACTURACIÓN]],"DE CONTADO","CRÉDITO")</f>
        <v>CRÉDITO</v>
      </c>
      <c r="B832" s="38" t="str">
        <f>+IF((PROVEEDORES[[#This Row],[FECHA DE PAGO]]-PROVEEDORES[[#This Row],[FECHA DE FACTURACIÓN]])&gt;PROVEEDORES[[#This Row],[PLAZO Días]],"PAGO VENCIDO")</f>
        <v>PAGO VENCIDO</v>
      </c>
      <c r="C832" s="20">
        <f>+VLOOKUP(PROVEEDORES[[#This Row],[PROVEEDOR]],TERCEROS_INFO[#All],2,FALSE)</f>
        <v>30</v>
      </c>
      <c r="D832" s="25">
        <f>+SUMIFS(PROVEEDORES[Total],PROVEEDORES[PROVEEDOR],PROVEEDORES[[#This Row],[PROVEEDOR]],PROVEEDORES[FECHA DE PAGO],"")</f>
        <v>18444236.894999996</v>
      </c>
      <c r="E832" s="25"/>
      <c r="F832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832" s="68">
        <v>44839</v>
      </c>
      <c r="H832" s="26" t="s">
        <v>11</v>
      </c>
      <c r="I832" s="68">
        <v>44778</v>
      </c>
      <c r="J832" s="35" t="s">
        <v>876</v>
      </c>
      <c r="K832" s="21">
        <v>252101</v>
      </c>
      <c r="L832" s="21"/>
      <c r="M832" s="22">
        <f>(PROVEEDORES[[#This Row],[SUBTOTAL]]-PROVEEDORES[[#This Row],[descuento sobre subtotal]])*VLOOKUP(PROVEEDORES[[#This Row],[PROVEEDOR]],TERCEROS_INFO[#All],3,FALSE)</f>
        <v>47899.19</v>
      </c>
      <c r="N832" s="23"/>
      <c r="O832" s="22">
        <f>+PROVEEDORES[[#This Row],[Descuento sobre subtotal %]]*(PROVEEDORES[[#This Row],[SUBTOTAL]]-PROVEEDORES[[#This Row],[descuento sobre subtotal]])</f>
        <v>0</v>
      </c>
      <c r="P832" s="74">
        <f>+IF(PROVEEDORES[[#This Row],[SUBTOTAL]]&lt;PROVEEDORES[[#This Row],[base retencion]],0,PROVEEDORES[[#This Row],[retención aplicada]])</f>
        <v>0</v>
      </c>
      <c r="Q832" s="22">
        <f>+PROVEEDORES[[#This Row],[Rete Fuente %]]*(PROVEEDORES[[#This Row],[SUBTOTAL]]-PROVEEDORES[[#This Row],[descuento sobre subtotal]])</f>
        <v>0</v>
      </c>
      <c r="R832" s="21">
        <f>+PROVEEDORES[[#This Row],[SUBTOTAL]]+PROVEEDORES[[#This Row],[IVA 19%]]-PROVEEDORES[[#This Row],[descuento sobre subtotal]]-PROVEEDORES[[#This Row],[Descuento sobre subtotal $2]]-PROVEEDORES[[#This Row],[Rete Fuente $]]</f>
        <v>300000.19</v>
      </c>
      <c r="S832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63">
        <f ca="1">IF(PROVEEDORES[[#This Row],[FECHA DE PAGO]]=0,TODAY()-PROVEEDORES[[#This Row],[FECHA DE FACTURACIÓN]]-PROVEEDORES[[#This Row],[PLAZO Días]],0)</f>
        <v>0</v>
      </c>
      <c r="U832" s="104" t="str">
        <f>+VLOOKUP(PROVEEDORES[[#This Row],[PROVEEDOR]],Terceros!$A:$D,4,FALSE)</f>
        <v>2,5% con base</v>
      </c>
      <c r="V832" s="105">
        <f>+YEAR(PROVEEDORES[[#This Row],[FECHA DE FACTURACIÓN]])</f>
        <v>2022</v>
      </c>
      <c r="W832" s="105">
        <f>+MATCH(PROVEEDORES[[#This Row],[año facturado]],Retenciones!$1:$1,0)</f>
        <v>5</v>
      </c>
      <c r="X832" s="106">
        <f>+VLOOKUP(PROVEEDORES[[#This Row],[ID RETENCION]],Retenciones!$A$1:$O$25,PROVEEDORES[[#This Row],[indicador de columna]],FALSE)</f>
        <v>1026000</v>
      </c>
      <c r="Y832" s="107">
        <f>+VLOOKUP(PROVEEDORES[[#This Row],[ID RETENCION]],Retenciones!$A$1:$O$25,2,FALSE)</f>
        <v>2.5000000000000001E-2</v>
      </c>
      <c r="Z832" s="116" t="b">
        <f>OR(COUNTIF(PROVEEDORES[[#This Row],[PROVEEDOR]],"*"&amp;'Palabra no opera'!$A$2&amp;"*"))</f>
        <v>0</v>
      </c>
    </row>
    <row r="833" spans="1:26" ht="22.35" customHeight="1" x14ac:dyDescent="0.3">
      <c r="A833" s="67" t="str">
        <f>+IF(PROVEEDORES[[#This Row],[FECHA DE PAGO]]=PROVEEDORES[[#This Row],[FECHA DE FACTURACIÓN]],"DE CONTADO","CRÉDITO")</f>
        <v>DE CONTADO</v>
      </c>
      <c r="B833" s="38" t="b">
        <f>+IF((PROVEEDORES[[#This Row],[FECHA DE PAGO]]-PROVEEDORES[[#This Row],[FECHA DE FACTURACIÓN]])&gt;PROVEEDORES[[#This Row],[PLAZO Días]],"PAGO VENCIDO")</f>
        <v>0</v>
      </c>
      <c r="C833" s="20">
        <f>+VLOOKUP(PROVEEDORES[[#This Row],[PROVEEDOR]],TERCEROS_INFO[#All],2,FALSE)</f>
        <v>30</v>
      </c>
      <c r="D833" s="25">
        <f>+SUMIFS(PROVEEDORES[Total],PROVEEDORES[PROVEEDOR],PROVEEDORES[[#This Row],[PROVEEDOR]],PROVEEDORES[FECHA DE PAGO],"")</f>
        <v>0</v>
      </c>
      <c r="E833" s="25"/>
      <c r="F833" s="56" t="str">
        <f>+VLOOKUP(PROVEEDORES[[#This Row],[PROVEEDOR]],
                       Terceros!$A:$F,
                       5,
                       FALSE)</f>
        <v/>
      </c>
      <c r="G833" s="68">
        <v>44841</v>
      </c>
      <c r="H833" s="26" t="s">
        <v>1197</v>
      </c>
      <c r="I833" s="68">
        <v>44841</v>
      </c>
      <c r="J833" s="35" t="s">
        <v>1198</v>
      </c>
      <c r="K833" s="21">
        <v>1060000</v>
      </c>
      <c r="L833" s="21"/>
      <c r="M833" s="22">
        <f>(PROVEEDORES[[#This Row],[SUBTOTAL]]-PROVEEDORES[[#This Row],[descuento sobre subtotal]])*VLOOKUP(PROVEEDORES[[#This Row],[PROVEEDOR]],TERCEROS_INFO[#All],3,FALSE)</f>
        <v>0</v>
      </c>
      <c r="N833" s="23"/>
      <c r="O833" s="22">
        <f>+PROVEEDORES[[#This Row],[Descuento sobre subtotal %]]*(PROVEEDORES[[#This Row],[SUBTOTAL]]-PROVEEDORES[[#This Row],[descuento sobre subtotal]])</f>
        <v>0</v>
      </c>
      <c r="P833" s="74">
        <f>+IF(PROVEEDORES[[#This Row],[SUBTOTAL]]&lt;PROVEEDORES[[#This Row],[base retencion]],0,PROVEEDORES[[#This Row],[retención aplicada]])</f>
        <v>0</v>
      </c>
      <c r="Q833" s="22">
        <f>+PROVEEDORES[[#This Row],[Rete Fuente %]]*(PROVEEDORES[[#This Row],[SUBTOTAL]]-PROVEEDORES[[#This Row],[descuento sobre subtotal]])</f>
        <v>0</v>
      </c>
      <c r="R833" s="21">
        <f>+PROVEEDORES[[#This Row],[SUBTOTAL]]+PROVEEDORES[[#This Row],[IVA 19%]]-PROVEEDORES[[#This Row],[descuento sobre subtotal]]-PROVEEDORES[[#This Row],[Descuento sobre subtotal $2]]-PROVEEDORES[[#This Row],[Rete Fuente $]]</f>
        <v>1060000</v>
      </c>
      <c r="S8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63">
        <f ca="1">IF(PROVEEDORES[[#This Row],[FECHA DE PAGO]]=0,TODAY()-PROVEEDORES[[#This Row],[FECHA DE FACTURACIÓN]]-PROVEEDORES[[#This Row],[PLAZO Días]],0)</f>
        <v>0</v>
      </c>
      <c r="U833" s="104">
        <f>+VLOOKUP(PROVEEDORES[[#This Row],[PROVEEDOR]],Terceros!$A:$D,4,FALSE)</f>
        <v>0</v>
      </c>
      <c r="V833" s="105">
        <f>+YEAR(PROVEEDORES[[#This Row],[FECHA DE FACTURACIÓN]])</f>
        <v>2022</v>
      </c>
      <c r="W833" s="105">
        <f>+MATCH(PROVEEDORES[[#This Row],[año facturado]],Retenciones!$1:$1,0)</f>
        <v>5</v>
      </c>
      <c r="X833" s="106">
        <f>+VLOOKUP(PROVEEDORES[[#This Row],[ID RETENCION]],Retenciones!$A$1:$O$25,PROVEEDORES[[#This Row],[indicador de columna]],FALSE)</f>
        <v>0</v>
      </c>
      <c r="Y833" s="107">
        <f>+VLOOKUP(PROVEEDORES[[#This Row],[ID RETENCION]],Retenciones!$A$1:$O$25,2,FALSE)</f>
        <v>0</v>
      </c>
      <c r="Z833" s="116" t="b">
        <f>OR(COUNTIF(PROVEEDORES[[#This Row],[PROVEEDOR]],"*"&amp;'Palabra no opera'!$A$2&amp;"*"))</f>
        <v>0</v>
      </c>
    </row>
    <row r="834" spans="1:26" ht="22.35" customHeight="1" x14ac:dyDescent="0.3">
      <c r="A834" s="196" t="str">
        <f>+IF(PROVEEDORES[[#This Row],[FECHA DE PAGO]]=PROVEEDORES[[#This Row],[FECHA DE FACTURACIÓN]],"DE CONTADO","CRÉDITO")</f>
        <v>CRÉDITO</v>
      </c>
      <c r="B834" s="38" t="str">
        <f>+IF((PROVEEDORES[[#This Row],[FECHA DE PAGO]]-PROVEEDORES[[#This Row],[FECHA DE FACTURACIÓN]])&gt;PROVEEDORES[[#This Row],[PLAZO Días]],"PAGO VENCIDO")</f>
        <v>PAGO VENCIDO</v>
      </c>
      <c r="C834" s="20">
        <f>+VLOOKUP(PROVEEDORES[[#This Row],[PROVEEDOR]],TERCEROS_INFO[#All],2,FALSE)</f>
        <v>30</v>
      </c>
      <c r="D834" s="25">
        <f>+SUMIFS(PROVEEDORES[Total],PROVEEDORES[PROVEEDOR],PROVEEDORES[[#This Row],[PROVEEDOR]],PROVEEDORES[FECHA DE PAGO],"")</f>
        <v>0</v>
      </c>
      <c r="E834" s="25"/>
      <c r="F834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834" s="68">
        <v>44841</v>
      </c>
      <c r="H834" s="26" t="s">
        <v>394</v>
      </c>
      <c r="I834" s="68">
        <v>44800</v>
      </c>
      <c r="J834" s="35" t="s">
        <v>1123</v>
      </c>
      <c r="K834" s="21">
        <v>2100000</v>
      </c>
      <c r="L834" s="21"/>
      <c r="M834" s="22">
        <f>(PROVEEDORES[[#This Row],[SUBTOTAL]]-PROVEEDORES[[#This Row],[descuento sobre subtotal]])*VLOOKUP(PROVEEDORES[[#This Row],[PROVEEDOR]],TERCEROS_INFO[#All],3,FALSE)</f>
        <v>0</v>
      </c>
      <c r="N834" s="23"/>
      <c r="O834" s="22">
        <f>+PROVEEDORES[[#This Row],[Descuento sobre subtotal %]]*(PROVEEDORES[[#This Row],[SUBTOTAL]]-PROVEEDORES[[#This Row],[descuento sobre subtotal]])</f>
        <v>0</v>
      </c>
      <c r="P834" s="74">
        <f>+IF(PROVEEDORES[[#This Row],[SUBTOTAL]]&lt;PROVEEDORES[[#This Row],[base retencion]],0,PROVEEDORES[[#This Row],[retención aplicada]])</f>
        <v>0</v>
      </c>
      <c r="Q834" s="22">
        <f>+PROVEEDORES[[#This Row],[Rete Fuente %]]*(PROVEEDORES[[#This Row],[SUBTOTAL]]-PROVEEDORES[[#This Row],[descuento sobre subtotal]])</f>
        <v>0</v>
      </c>
      <c r="R834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834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63">
        <f ca="1">IF(PROVEEDORES[[#This Row],[FECHA DE PAGO]]=0,TODAY()-PROVEEDORES[[#This Row],[FECHA DE FACTURACIÓN]]-PROVEEDORES[[#This Row],[PLAZO Días]],0)</f>
        <v>0</v>
      </c>
      <c r="U834" s="104">
        <f>+VLOOKUP(PROVEEDORES[[#This Row],[PROVEEDOR]],Terceros!$A:$D,4,FALSE)</f>
        <v>0</v>
      </c>
      <c r="V834" s="105">
        <f>+YEAR(PROVEEDORES[[#This Row],[FECHA DE FACTURACIÓN]])</f>
        <v>2022</v>
      </c>
      <c r="W834" s="105">
        <f>+MATCH(PROVEEDORES[[#This Row],[año facturado]],Retenciones!$1:$1,0)</f>
        <v>5</v>
      </c>
      <c r="X834" s="106">
        <f>+VLOOKUP(PROVEEDORES[[#This Row],[ID RETENCION]],Retenciones!$A$1:$O$25,PROVEEDORES[[#This Row],[indicador de columna]],FALSE)</f>
        <v>0</v>
      </c>
      <c r="Y834" s="107">
        <f>+VLOOKUP(PROVEEDORES[[#This Row],[ID RETENCION]],Retenciones!$A$1:$O$25,2,FALSE)</f>
        <v>0</v>
      </c>
      <c r="Z834" s="116" t="b">
        <f>OR(COUNTIF(PROVEEDORES[[#This Row],[PROVEEDOR]],"*"&amp;'Palabra no opera'!$A$2&amp;"*"))</f>
        <v>0</v>
      </c>
    </row>
    <row r="835" spans="1:26" ht="22.35" customHeight="1" x14ac:dyDescent="0.3">
      <c r="A835" s="163" t="str">
        <f>+IF(PROVEEDORES[[#This Row],[FECHA DE PAGO]]=PROVEEDORES[[#This Row],[FECHA DE FACTURACIÓN]],"DE CONTADO","CRÉDITO")</f>
        <v>CRÉDITO</v>
      </c>
      <c r="B835" s="38" t="str">
        <f>+IF((PROVEEDORES[[#This Row],[FECHA DE PAGO]]-PROVEEDORES[[#This Row],[FECHA DE FACTURACIÓN]])&gt;PROVEEDORES[[#This Row],[PLAZO Días]],"PAGO VENCIDO")</f>
        <v>PAGO VENCIDO</v>
      </c>
      <c r="C835" s="20">
        <f>+VLOOKUP(PROVEEDORES[[#This Row],[PROVEEDOR]],TERCEROS_INFO[#All],2,FALSE)</f>
        <v>30</v>
      </c>
      <c r="D835" s="25">
        <f>+SUMIFS(PROVEEDORES[Total],PROVEEDORES[PROVEEDOR],PROVEEDORES[[#This Row],[PROVEEDOR]],PROVEEDORES[FECHA DE PAGO],"")</f>
        <v>0</v>
      </c>
      <c r="E835" s="25"/>
      <c r="F835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835" s="68">
        <v>44842</v>
      </c>
      <c r="H835" s="26" t="s">
        <v>387</v>
      </c>
      <c r="I835" s="68">
        <v>44751</v>
      </c>
      <c r="J835" s="35" t="s">
        <v>1047</v>
      </c>
      <c r="K835" s="21">
        <v>9756105</v>
      </c>
      <c r="L835" s="21"/>
      <c r="M835" s="22">
        <f>(PROVEEDORES[[#This Row],[SUBTOTAL]]-PROVEEDORES[[#This Row],[descuento sobre subtotal]])*VLOOKUP(PROVEEDORES[[#This Row],[PROVEEDOR]],TERCEROS_INFO[#All],3,FALSE)</f>
        <v>0</v>
      </c>
      <c r="N835" s="23"/>
      <c r="O835" s="22">
        <f>+PROVEEDORES[[#This Row],[Descuento sobre subtotal %]]*(PROVEEDORES[[#This Row],[SUBTOTAL]]-PROVEEDORES[[#This Row],[descuento sobre subtotal]])</f>
        <v>0</v>
      </c>
      <c r="P835" s="74">
        <f>+IF(PROVEEDORES[[#This Row],[SUBTOTAL]]&lt;PROVEEDORES[[#This Row],[base retencion]],0,PROVEEDORES[[#This Row],[retención aplicada]])</f>
        <v>0</v>
      </c>
      <c r="Q835" s="22">
        <f>+PROVEEDORES[[#This Row],[Rete Fuente %]]*(PROVEEDORES[[#This Row],[SUBTOTAL]]-PROVEEDORES[[#This Row],[descuento sobre subtotal]])</f>
        <v>0</v>
      </c>
      <c r="R835" s="21">
        <f>+PROVEEDORES[[#This Row],[SUBTOTAL]]+PROVEEDORES[[#This Row],[IVA 19%]]-PROVEEDORES[[#This Row],[descuento sobre subtotal]]-PROVEEDORES[[#This Row],[Descuento sobre subtotal $2]]-PROVEEDORES[[#This Row],[Rete Fuente $]]</f>
        <v>9756105</v>
      </c>
      <c r="S835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63">
        <f ca="1">IF(PROVEEDORES[[#This Row],[FECHA DE PAGO]]=0,TODAY()-PROVEEDORES[[#This Row],[FECHA DE FACTURACIÓN]]-PROVEEDORES[[#This Row],[PLAZO Días]],0)</f>
        <v>0</v>
      </c>
      <c r="U835" s="104">
        <f>+VLOOKUP(PROVEEDORES[[#This Row],[PROVEEDOR]],Terceros!$A:$D,4,FALSE)</f>
        <v>0</v>
      </c>
      <c r="V835" s="105">
        <f>+YEAR(PROVEEDORES[[#This Row],[FECHA DE FACTURACIÓN]])</f>
        <v>2022</v>
      </c>
      <c r="W835" s="105">
        <f>+MATCH(PROVEEDORES[[#This Row],[año facturado]],Retenciones!$1:$1,0)</f>
        <v>5</v>
      </c>
      <c r="X835" s="106">
        <f>+VLOOKUP(PROVEEDORES[[#This Row],[ID RETENCION]],Retenciones!$A$1:$O$25,PROVEEDORES[[#This Row],[indicador de columna]],FALSE)</f>
        <v>0</v>
      </c>
      <c r="Y835" s="107">
        <f>+VLOOKUP(PROVEEDORES[[#This Row],[ID RETENCION]],Retenciones!$A$1:$O$25,2,FALSE)</f>
        <v>0</v>
      </c>
      <c r="Z835" s="116" t="b">
        <f>OR(COUNTIF(PROVEEDORES[[#This Row],[PROVEEDOR]],"*"&amp;'Palabra no opera'!$A$2&amp;"*"))</f>
        <v>0</v>
      </c>
    </row>
    <row r="836" spans="1:26" ht="22.35" customHeight="1" x14ac:dyDescent="0.3">
      <c r="A836" s="167" t="str">
        <f>+IF(PROVEEDORES[[#This Row],[FECHA DE PAGO]]=PROVEEDORES[[#This Row],[FECHA DE FACTURACIÓN]],"DE CONTADO","CRÉDITO")</f>
        <v>CRÉDITO</v>
      </c>
      <c r="B836" s="38" t="str">
        <f>+IF((PROVEEDORES[[#This Row],[FECHA DE PAGO]]-PROVEEDORES[[#This Row],[FECHA DE FACTURACIÓN]])&gt;PROVEEDORES[[#This Row],[PLAZO Días]],"PAGO VENCIDO")</f>
        <v>PAGO VENCIDO</v>
      </c>
      <c r="C836" s="20">
        <f>+VLOOKUP(PROVEEDORES[[#This Row],[PROVEEDOR]],TERCEROS_INFO[#All],2,FALSE)</f>
        <v>30</v>
      </c>
      <c r="D836" s="25">
        <f>+SUMIFS(PROVEEDORES[Total],PROVEEDORES[PROVEEDOR],PROVEEDORES[[#This Row],[PROVEEDOR]],PROVEEDORES[FECHA DE PAGO],"")</f>
        <v>1316890.8900000001</v>
      </c>
      <c r="E836" s="25" t="s">
        <v>842</v>
      </c>
      <c r="F83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36" s="68">
        <v>44844</v>
      </c>
      <c r="H836" s="26" t="s">
        <v>17</v>
      </c>
      <c r="I836" s="68">
        <v>44754</v>
      </c>
      <c r="J836" s="35" t="s">
        <v>112</v>
      </c>
      <c r="K836" s="21">
        <v>-78395</v>
      </c>
      <c r="L836" s="21"/>
      <c r="M836" s="22">
        <f>(PROVEEDORES[[#This Row],[SUBTOTAL]]-PROVEEDORES[[#This Row],[descuento sobre subtotal]])*VLOOKUP(PROVEEDORES[[#This Row],[PROVEEDOR]],TERCEROS_INFO[#All],3,FALSE)</f>
        <v>-14895.05</v>
      </c>
      <c r="N836" s="23"/>
      <c r="O836" s="22">
        <f>+PROVEEDORES[[#This Row],[Descuento sobre subtotal %]]*(PROVEEDORES[[#This Row],[SUBTOTAL]]-PROVEEDORES[[#This Row],[descuento sobre subtotal]])</f>
        <v>0</v>
      </c>
      <c r="P836" s="74">
        <f>+IF(PROVEEDORES[[#This Row],[SUBTOTAL]]&lt;PROVEEDORES[[#This Row],[base retencion]],0,PROVEEDORES[[#This Row],[retención aplicada]])</f>
        <v>0</v>
      </c>
      <c r="Q836" s="22">
        <f>+PROVEEDORES[[#This Row],[Rete Fuente %]]*(PROVEEDORES[[#This Row],[SUBTOTAL]]-PROVEEDORES[[#This Row],[descuento sobre subtotal]])</f>
        <v>0</v>
      </c>
      <c r="R836" s="21">
        <f>+PROVEEDORES[[#This Row],[SUBTOTAL]]+PROVEEDORES[[#This Row],[IVA 19%]]-PROVEEDORES[[#This Row],[descuento sobre subtotal]]-PROVEEDORES[[#This Row],[Descuento sobre subtotal $2]]-PROVEEDORES[[#This Row],[Rete Fuente $]]</f>
        <v>-93290.05</v>
      </c>
      <c r="S836" s="1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63">
        <f ca="1">IF(PROVEEDORES[[#This Row],[FECHA DE PAGO]]=0,TODAY()-PROVEEDORES[[#This Row],[FECHA DE FACTURACIÓN]]-PROVEEDORES[[#This Row],[PLAZO Días]],0)</f>
        <v>0</v>
      </c>
      <c r="U836" s="104">
        <f>+VLOOKUP(PROVEEDORES[[#This Row],[PROVEEDOR]],Terceros!$A:$D,4,FALSE)</f>
        <v>0</v>
      </c>
      <c r="V836" s="105">
        <f>+YEAR(PROVEEDORES[[#This Row],[FECHA DE FACTURACIÓN]])</f>
        <v>2022</v>
      </c>
      <c r="W836" s="105">
        <f>+MATCH(PROVEEDORES[[#This Row],[año facturado]],Retenciones!$1:$1,0)</f>
        <v>5</v>
      </c>
      <c r="X836" s="106">
        <f>+VLOOKUP(PROVEEDORES[[#This Row],[ID RETENCION]],Retenciones!$A$1:$O$25,PROVEEDORES[[#This Row],[indicador de columna]],FALSE)</f>
        <v>0</v>
      </c>
      <c r="Y836" s="107">
        <f>+VLOOKUP(PROVEEDORES[[#This Row],[ID RETENCION]],Retenciones!$A$1:$O$25,2,FALSE)</f>
        <v>0</v>
      </c>
      <c r="Z836" s="116" t="b">
        <f>OR(COUNTIF(PROVEEDORES[[#This Row],[PROVEEDOR]],"*"&amp;'Palabra no opera'!$A$2&amp;"*"))</f>
        <v>0</v>
      </c>
    </row>
    <row r="837" spans="1:26" ht="22.35" customHeight="1" x14ac:dyDescent="0.3">
      <c r="A837" s="222" t="str">
        <f>+IF(PROVEEDORES[[#This Row],[FECHA DE PAGO]]=PROVEEDORES[[#This Row],[FECHA DE FACTURACIÓN]],"DE CONTADO","CRÉDITO")</f>
        <v>CRÉDITO</v>
      </c>
      <c r="B837" s="38" t="b">
        <f>+IF((PROVEEDORES[[#This Row],[FECHA DE PAGO]]-PROVEEDORES[[#This Row],[FECHA DE FACTURACIÓN]])&gt;PROVEEDORES[[#This Row],[PLAZO Días]],"PAGO VENCIDO")</f>
        <v>0</v>
      </c>
      <c r="C837" s="20">
        <f>+VLOOKUP(PROVEEDORES[[#This Row],[PROVEEDOR]],TERCEROS_INFO[#All],2,FALSE)</f>
        <v>30</v>
      </c>
      <c r="D837" s="25">
        <f>+SUMIFS(PROVEEDORES[Total],PROVEEDORES[PROVEEDOR],PROVEEDORES[[#This Row],[PROVEEDOR]],PROVEEDORES[FECHA DE PAGO],"")</f>
        <v>0</v>
      </c>
      <c r="E837" s="25"/>
      <c r="F83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37" s="68">
        <v>44844</v>
      </c>
      <c r="H837" s="26" t="s">
        <v>623</v>
      </c>
      <c r="I837" s="68">
        <v>44835</v>
      </c>
      <c r="J837" s="35" t="s">
        <v>1184</v>
      </c>
      <c r="K837" s="21">
        <v>4750</v>
      </c>
      <c r="L837" s="21"/>
      <c r="M837" s="22">
        <f>(PROVEEDORES[[#This Row],[SUBTOTAL]]-PROVEEDORES[[#This Row],[descuento sobre subtotal]])*VLOOKUP(PROVEEDORES[[#This Row],[PROVEEDOR]],TERCEROS_INFO[#All],3,FALSE)</f>
        <v>902.5</v>
      </c>
      <c r="N837" s="23"/>
      <c r="O837" s="22">
        <f>+PROVEEDORES[[#This Row],[Descuento sobre subtotal %]]*(PROVEEDORES[[#This Row],[SUBTOTAL]]-PROVEEDORES[[#This Row],[descuento sobre subtotal]])</f>
        <v>0</v>
      </c>
      <c r="P837" s="74">
        <v>0</v>
      </c>
      <c r="Q837" s="22">
        <f>+PROVEEDORES[[#This Row],[Rete Fuente %]]*(PROVEEDORES[[#This Row],[SUBTOTAL]]-PROVEEDORES[[#This Row],[descuento sobre subtotal]])</f>
        <v>0</v>
      </c>
      <c r="R837" s="21">
        <f>+PROVEEDORES[[#This Row],[SUBTOTAL]]+PROVEEDORES[[#This Row],[IVA 19%]]-PROVEEDORES[[#This Row],[descuento sobre subtotal]]-PROVEEDORES[[#This Row],[Descuento sobre subtotal $2]]-PROVEEDORES[[#This Row],[Rete Fuente $]]</f>
        <v>5652.5</v>
      </c>
      <c r="S837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63">
        <f ca="1">IF(PROVEEDORES[[#This Row],[FECHA DE PAGO]]=0,TODAY()-PROVEEDORES[[#This Row],[FECHA DE FACTURACIÓN]]-PROVEEDORES[[#This Row],[PLAZO Días]],0)</f>
        <v>0</v>
      </c>
      <c r="U837" s="104" t="str">
        <f>+VLOOKUP(PROVEEDORES[[#This Row],[PROVEEDOR]],Terceros!$A:$D,4,FALSE)</f>
        <v>4% sin base</v>
      </c>
      <c r="V837" s="105">
        <f>+YEAR(PROVEEDORES[[#This Row],[FECHA DE FACTURACIÓN]])</f>
        <v>2022</v>
      </c>
      <c r="W837" s="105">
        <f>+MATCH(PROVEEDORES[[#This Row],[año facturado]],Retenciones!$1:$1,0)</f>
        <v>5</v>
      </c>
      <c r="X837" s="106">
        <f>+VLOOKUP(PROVEEDORES[[#This Row],[ID RETENCION]],Retenciones!$A$1:$O$25,PROVEEDORES[[#This Row],[indicador de columna]],FALSE)</f>
        <v>0</v>
      </c>
      <c r="Y837" s="107">
        <f>+VLOOKUP(PROVEEDORES[[#This Row],[ID RETENCION]],Retenciones!$A$1:$O$25,2,FALSE)</f>
        <v>0.04</v>
      </c>
      <c r="Z837" s="116" t="b">
        <f>OR(COUNTIF(PROVEEDORES[[#This Row],[PROVEEDOR]],"*"&amp;'Palabra no opera'!$A$2&amp;"*"))</f>
        <v>1</v>
      </c>
    </row>
    <row r="838" spans="1:26" ht="22.35" customHeight="1" x14ac:dyDescent="0.3">
      <c r="A838" s="222" t="str">
        <f>+IF(PROVEEDORES[[#This Row],[FECHA DE PAGO]]=PROVEEDORES[[#This Row],[FECHA DE FACTURACIÓN]],"DE CONTADO","CRÉDITO")</f>
        <v>CRÉDITO</v>
      </c>
      <c r="B838" s="38" t="b">
        <f>+IF((PROVEEDORES[[#This Row],[FECHA DE PAGO]]-PROVEEDORES[[#This Row],[FECHA DE FACTURACIÓN]])&gt;PROVEEDORES[[#This Row],[PLAZO Días]],"PAGO VENCIDO")</f>
        <v>0</v>
      </c>
      <c r="C838" s="20">
        <f>+VLOOKUP(PROVEEDORES[[#This Row],[PROVEEDOR]],TERCEROS_INFO[#All],2,FALSE)</f>
        <v>30</v>
      </c>
      <c r="D838" s="25">
        <f>+SUMIFS(PROVEEDORES[Total],PROVEEDORES[PROVEEDOR],PROVEEDORES[[#This Row],[PROVEEDOR]],PROVEEDORES[FECHA DE PAGO],"")</f>
        <v>0</v>
      </c>
      <c r="E838" s="25"/>
      <c r="F83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38" s="68">
        <v>44844</v>
      </c>
      <c r="H838" s="26" t="s">
        <v>623</v>
      </c>
      <c r="I838" s="68">
        <v>44835</v>
      </c>
      <c r="J838" s="35" t="s">
        <v>1181</v>
      </c>
      <c r="K838" s="21">
        <v>19766</v>
      </c>
      <c r="L838" s="21"/>
      <c r="M838" s="22">
        <f>(PROVEEDORES[[#This Row],[SUBTOTAL]]-PROVEEDORES[[#This Row],[descuento sobre subtotal]])*VLOOKUP(PROVEEDORES[[#This Row],[PROVEEDOR]],TERCEROS_INFO[#All],3,FALSE)</f>
        <v>3755.54</v>
      </c>
      <c r="N838" s="23"/>
      <c r="O838" s="22">
        <f>+PROVEEDORES[[#This Row],[Descuento sobre subtotal %]]*(PROVEEDORES[[#This Row],[SUBTOTAL]]-PROVEEDORES[[#This Row],[descuento sobre subtotal]])</f>
        <v>0</v>
      </c>
      <c r="P838" s="74">
        <v>0</v>
      </c>
      <c r="Q838" s="22">
        <f>+PROVEEDORES[[#This Row],[Rete Fuente %]]*(PROVEEDORES[[#This Row],[SUBTOTAL]]-PROVEEDORES[[#This Row],[descuento sobre subtotal]])</f>
        <v>0</v>
      </c>
      <c r="R838" s="21">
        <f>+PROVEEDORES[[#This Row],[SUBTOTAL]]+PROVEEDORES[[#This Row],[IVA 19%]]-PROVEEDORES[[#This Row],[descuento sobre subtotal]]-PROVEEDORES[[#This Row],[Descuento sobre subtotal $2]]-PROVEEDORES[[#This Row],[Rete Fuente $]]</f>
        <v>23521.54</v>
      </c>
      <c r="S838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63">
        <f ca="1">IF(PROVEEDORES[[#This Row],[FECHA DE PAGO]]=0,TODAY()-PROVEEDORES[[#This Row],[FECHA DE FACTURACIÓN]]-PROVEEDORES[[#This Row],[PLAZO Días]],0)</f>
        <v>0</v>
      </c>
      <c r="U838" s="104" t="str">
        <f>+VLOOKUP(PROVEEDORES[[#This Row],[PROVEEDOR]],Terceros!$A:$D,4,FALSE)</f>
        <v>4% sin base</v>
      </c>
      <c r="V838" s="105">
        <f>+YEAR(PROVEEDORES[[#This Row],[FECHA DE FACTURACIÓN]])</f>
        <v>2022</v>
      </c>
      <c r="W838" s="105">
        <f>+MATCH(PROVEEDORES[[#This Row],[año facturado]],Retenciones!$1:$1,0)</f>
        <v>5</v>
      </c>
      <c r="X838" s="106">
        <f>+VLOOKUP(PROVEEDORES[[#This Row],[ID RETENCION]],Retenciones!$A$1:$O$25,PROVEEDORES[[#This Row],[indicador de columna]],FALSE)</f>
        <v>0</v>
      </c>
      <c r="Y838" s="107">
        <f>+VLOOKUP(PROVEEDORES[[#This Row],[ID RETENCION]],Retenciones!$A$1:$O$25,2,FALSE)</f>
        <v>0.04</v>
      </c>
      <c r="Z838" s="116" t="b">
        <f>OR(COUNTIF(PROVEEDORES[[#This Row],[PROVEEDOR]],"*"&amp;'Palabra no opera'!$A$2&amp;"*"))</f>
        <v>1</v>
      </c>
    </row>
    <row r="839" spans="1:26" ht="22.35" customHeight="1" x14ac:dyDescent="0.3">
      <c r="A839" s="222" t="str">
        <f>+IF(PROVEEDORES[[#This Row],[FECHA DE PAGO]]=PROVEEDORES[[#This Row],[FECHA DE FACTURACIÓN]],"DE CONTADO","CRÉDITO")</f>
        <v>CRÉDITO</v>
      </c>
      <c r="B839" s="38" t="b">
        <f>+IF((PROVEEDORES[[#This Row],[FECHA DE PAGO]]-PROVEEDORES[[#This Row],[FECHA DE FACTURACIÓN]])&gt;PROVEEDORES[[#This Row],[PLAZO Días]],"PAGO VENCIDO")</f>
        <v>0</v>
      </c>
      <c r="C839" s="20">
        <f>+VLOOKUP(PROVEEDORES[[#This Row],[PROVEEDOR]],TERCEROS_INFO[#All],2,FALSE)</f>
        <v>30</v>
      </c>
      <c r="D839" s="25">
        <f>+SUMIFS(PROVEEDORES[Total],PROVEEDORES[PROVEEDOR],PROVEEDORES[[#This Row],[PROVEEDOR]],PROVEEDORES[FECHA DE PAGO],"")</f>
        <v>0</v>
      </c>
      <c r="E839" s="25"/>
      <c r="F83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39" s="68">
        <v>44844</v>
      </c>
      <c r="H839" s="26" t="s">
        <v>623</v>
      </c>
      <c r="I839" s="68">
        <v>44835</v>
      </c>
      <c r="J839" s="35" t="s">
        <v>1182</v>
      </c>
      <c r="K839" s="21">
        <v>791781</v>
      </c>
      <c r="L839" s="21"/>
      <c r="M839" s="22">
        <f>(PROVEEDORES[[#This Row],[SUBTOTAL]]-PROVEEDORES[[#This Row],[descuento sobre subtotal]])*VLOOKUP(PROVEEDORES[[#This Row],[PROVEEDOR]],TERCEROS_INFO[#All],3,FALSE)</f>
        <v>150438.39000000001</v>
      </c>
      <c r="N839" s="23"/>
      <c r="O839" s="22">
        <f>+PROVEEDORES[[#This Row],[Descuento sobre subtotal %]]*(PROVEEDORES[[#This Row],[SUBTOTAL]]-PROVEEDORES[[#This Row],[descuento sobre subtotal]])</f>
        <v>0</v>
      </c>
      <c r="P839" s="74">
        <v>0</v>
      </c>
      <c r="Q839" s="22">
        <f>+PROVEEDORES[[#This Row],[Rete Fuente %]]*(PROVEEDORES[[#This Row],[SUBTOTAL]]-PROVEEDORES[[#This Row],[descuento sobre subtotal]])</f>
        <v>0</v>
      </c>
      <c r="R839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839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63">
        <f ca="1">IF(PROVEEDORES[[#This Row],[FECHA DE PAGO]]=0,TODAY()-PROVEEDORES[[#This Row],[FECHA DE FACTURACIÓN]]-PROVEEDORES[[#This Row],[PLAZO Días]],0)</f>
        <v>0</v>
      </c>
      <c r="U839" s="104" t="str">
        <f>+VLOOKUP(PROVEEDORES[[#This Row],[PROVEEDOR]],Terceros!$A:$D,4,FALSE)</f>
        <v>4% sin base</v>
      </c>
      <c r="V839" s="105">
        <f>+YEAR(PROVEEDORES[[#This Row],[FECHA DE FACTURACIÓN]])</f>
        <v>2022</v>
      </c>
      <c r="W839" s="105">
        <f>+MATCH(PROVEEDORES[[#This Row],[año facturado]],Retenciones!$1:$1,0)</f>
        <v>5</v>
      </c>
      <c r="X839" s="106">
        <f>+VLOOKUP(PROVEEDORES[[#This Row],[ID RETENCION]],Retenciones!$A$1:$O$25,PROVEEDORES[[#This Row],[indicador de columna]],FALSE)</f>
        <v>0</v>
      </c>
      <c r="Y839" s="107">
        <f>+VLOOKUP(PROVEEDORES[[#This Row],[ID RETENCION]],Retenciones!$A$1:$O$25,2,FALSE)</f>
        <v>0.04</v>
      </c>
      <c r="Z839" s="116" t="b">
        <f>OR(COUNTIF(PROVEEDORES[[#This Row],[PROVEEDOR]],"*"&amp;'Palabra no opera'!$A$2&amp;"*"))</f>
        <v>1</v>
      </c>
    </row>
    <row r="840" spans="1:26" ht="22.35" customHeight="1" x14ac:dyDescent="0.3">
      <c r="A840" s="222" t="str">
        <f>+IF(PROVEEDORES[[#This Row],[FECHA DE PAGO]]=PROVEEDORES[[#This Row],[FECHA DE FACTURACIÓN]],"DE CONTADO","CRÉDITO")</f>
        <v>CRÉDITO</v>
      </c>
      <c r="B840" s="38" t="b">
        <f>+IF((PROVEEDORES[[#This Row],[FECHA DE PAGO]]-PROVEEDORES[[#This Row],[FECHA DE FACTURACIÓN]])&gt;PROVEEDORES[[#This Row],[PLAZO Días]],"PAGO VENCIDO")</f>
        <v>0</v>
      </c>
      <c r="C840" s="20">
        <f>+VLOOKUP(PROVEEDORES[[#This Row],[PROVEEDOR]],TERCEROS_INFO[#All],2,FALSE)</f>
        <v>30</v>
      </c>
      <c r="D840" s="25">
        <f>+SUMIFS(PROVEEDORES[Total],PROVEEDORES[PROVEEDOR],PROVEEDORES[[#This Row],[PROVEEDOR]],PROVEEDORES[FECHA DE PAGO],"")</f>
        <v>0</v>
      </c>
      <c r="E840" s="25"/>
      <c r="F84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40" s="68">
        <v>44844</v>
      </c>
      <c r="H840" s="26" t="s">
        <v>623</v>
      </c>
      <c r="I840" s="68">
        <v>44835</v>
      </c>
      <c r="J840" s="35" t="s">
        <v>1183</v>
      </c>
      <c r="K840" s="21">
        <v>3294426</v>
      </c>
      <c r="L840" s="21"/>
      <c r="M840" s="22">
        <f>(PROVEEDORES[[#This Row],[SUBTOTAL]]-PROVEEDORES[[#This Row],[descuento sobre subtotal]])*VLOOKUP(PROVEEDORES[[#This Row],[PROVEEDOR]],TERCEROS_INFO[#All],3,FALSE)</f>
        <v>625940.94000000006</v>
      </c>
      <c r="N840" s="23"/>
      <c r="O840" s="22">
        <f>+PROVEEDORES[[#This Row],[Descuento sobre subtotal %]]*(PROVEEDORES[[#This Row],[SUBTOTAL]]-PROVEEDORES[[#This Row],[descuento sobre subtotal]])</f>
        <v>0</v>
      </c>
      <c r="P840" s="74">
        <v>0</v>
      </c>
      <c r="Q840" s="22">
        <f>+PROVEEDORES[[#This Row],[Rete Fuente %]]*(PROVEEDORES[[#This Row],[SUBTOTAL]]-PROVEEDORES[[#This Row],[descuento sobre subtotal]])</f>
        <v>0</v>
      </c>
      <c r="R840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840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63">
        <f ca="1">IF(PROVEEDORES[[#This Row],[FECHA DE PAGO]]=0,TODAY()-PROVEEDORES[[#This Row],[FECHA DE FACTURACIÓN]]-PROVEEDORES[[#This Row],[PLAZO Días]],0)</f>
        <v>0</v>
      </c>
      <c r="U840" s="104" t="str">
        <f>+VLOOKUP(PROVEEDORES[[#This Row],[PROVEEDOR]],Terceros!$A:$D,4,FALSE)</f>
        <v>4% sin base</v>
      </c>
      <c r="V840" s="105">
        <f>+YEAR(PROVEEDORES[[#This Row],[FECHA DE FACTURACIÓN]])</f>
        <v>2022</v>
      </c>
      <c r="W840" s="105">
        <f>+MATCH(PROVEEDORES[[#This Row],[año facturado]],Retenciones!$1:$1,0)</f>
        <v>5</v>
      </c>
      <c r="X840" s="106">
        <f>+VLOOKUP(PROVEEDORES[[#This Row],[ID RETENCION]],Retenciones!$A$1:$O$25,PROVEEDORES[[#This Row],[indicador de columna]],FALSE)</f>
        <v>0</v>
      </c>
      <c r="Y840" s="107">
        <f>+VLOOKUP(PROVEEDORES[[#This Row],[ID RETENCION]],Retenciones!$A$1:$O$25,2,FALSE)</f>
        <v>0.04</v>
      </c>
      <c r="Z840" s="116" t="b">
        <f>OR(COUNTIF(PROVEEDORES[[#This Row],[PROVEEDOR]],"*"&amp;'Palabra no opera'!$A$2&amp;"*"))</f>
        <v>1</v>
      </c>
    </row>
    <row r="841" spans="1:26" ht="22.35" customHeight="1" x14ac:dyDescent="0.3">
      <c r="A841" s="196" t="str">
        <f>+IF(PROVEEDORES[[#This Row],[FECHA DE PAGO]]=PROVEEDORES[[#This Row],[FECHA DE FACTURACIÓN]],"DE CONTADO","CRÉDITO")</f>
        <v>CRÉDITO</v>
      </c>
      <c r="B841" s="38" t="str">
        <f>+IF((PROVEEDORES[[#This Row],[FECHA DE PAGO]]-PROVEEDORES[[#This Row],[FECHA DE FACTURACIÓN]])&gt;PROVEEDORES[[#This Row],[PLAZO Días]],"PAGO VENCIDO")</f>
        <v>PAGO VENCIDO</v>
      </c>
      <c r="C841" s="20">
        <f>+VLOOKUP(PROVEEDORES[[#This Row],[PROVEEDOR]],TERCEROS_INFO[#All],2,FALSE)</f>
        <v>30</v>
      </c>
      <c r="D841" s="25">
        <f>+SUMIFS(PROVEEDORES[Total],PROVEEDORES[PROVEEDOR],PROVEEDORES[[#This Row],[PROVEEDOR]],PROVEEDORES[FECHA DE PAGO],"")</f>
        <v>1316890.8900000001</v>
      </c>
      <c r="E841" s="25"/>
      <c r="F841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41" s="68">
        <v>44844</v>
      </c>
      <c r="H841" s="26" t="s">
        <v>17</v>
      </c>
      <c r="I841" s="68">
        <v>44812</v>
      </c>
      <c r="J841" s="35" t="s">
        <v>1105</v>
      </c>
      <c r="K841" s="21">
        <v>216200</v>
      </c>
      <c r="L841" s="21"/>
      <c r="M841" s="22">
        <f>(PROVEEDORES[[#This Row],[SUBTOTAL]]-PROVEEDORES[[#This Row],[descuento sobre subtotal]])*VLOOKUP(PROVEEDORES[[#This Row],[PROVEEDOR]],TERCEROS_INFO[#All],3,FALSE)</f>
        <v>41078</v>
      </c>
      <c r="N841" s="23"/>
      <c r="O841" s="22">
        <f>+PROVEEDORES[[#This Row],[Descuento sobre subtotal %]]*(PROVEEDORES[[#This Row],[SUBTOTAL]]-PROVEEDORES[[#This Row],[descuento sobre subtotal]])</f>
        <v>0</v>
      </c>
      <c r="P841" s="74">
        <f>+IF(PROVEEDORES[[#This Row],[SUBTOTAL]]&lt;PROVEEDORES[[#This Row],[base retencion]],0,PROVEEDORES[[#This Row],[retención aplicada]])</f>
        <v>0</v>
      </c>
      <c r="Q841" s="22">
        <f>+PROVEEDORES[[#This Row],[Rete Fuente %]]*(PROVEEDORES[[#This Row],[SUBTOTAL]]-PROVEEDORES[[#This Row],[descuento sobre subtotal]])</f>
        <v>0</v>
      </c>
      <c r="R841" s="21">
        <f>+PROVEEDORES[[#This Row],[SUBTOTAL]]+PROVEEDORES[[#This Row],[IVA 19%]]-PROVEEDORES[[#This Row],[descuento sobre subtotal]]-PROVEEDORES[[#This Row],[Descuento sobre subtotal $2]]-PROVEEDORES[[#This Row],[Rete Fuente $]]</f>
        <v>257278</v>
      </c>
      <c r="S841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63">
        <f ca="1">IF(PROVEEDORES[[#This Row],[FECHA DE PAGO]]=0,TODAY()-PROVEEDORES[[#This Row],[FECHA DE FACTURACIÓN]]-PROVEEDORES[[#This Row],[PLAZO Días]],0)</f>
        <v>0</v>
      </c>
      <c r="U841" s="104">
        <f>+VLOOKUP(PROVEEDORES[[#This Row],[PROVEEDOR]],Terceros!$A:$D,4,FALSE)</f>
        <v>0</v>
      </c>
      <c r="V841" s="105">
        <f>+YEAR(PROVEEDORES[[#This Row],[FECHA DE FACTURACIÓN]])</f>
        <v>2022</v>
      </c>
      <c r="W841" s="105">
        <f>+MATCH(PROVEEDORES[[#This Row],[año facturado]],Retenciones!$1:$1,0)</f>
        <v>5</v>
      </c>
      <c r="X841" s="106">
        <f>+VLOOKUP(PROVEEDORES[[#This Row],[ID RETENCION]],Retenciones!$A$1:$O$25,PROVEEDORES[[#This Row],[indicador de columna]],FALSE)</f>
        <v>0</v>
      </c>
      <c r="Y841" s="107">
        <f>+VLOOKUP(PROVEEDORES[[#This Row],[ID RETENCION]],Retenciones!$A$1:$O$25,2,FALSE)</f>
        <v>0</v>
      </c>
      <c r="Z841" s="116" t="b">
        <f>OR(COUNTIF(PROVEEDORES[[#This Row],[PROVEEDOR]],"*"&amp;'Palabra no opera'!$A$2&amp;"*"))</f>
        <v>0</v>
      </c>
    </row>
    <row r="842" spans="1:26" ht="22.35" customHeight="1" x14ac:dyDescent="0.3">
      <c r="A842" s="67" t="str">
        <f>+IF(PROVEEDORES[[#This Row],[FECHA DE PAGO]]=PROVEEDORES[[#This Row],[FECHA DE FACTURACIÓN]],"DE CONTADO","CRÉDITO")</f>
        <v>CRÉDITO</v>
      </c>
      <c r="B842" s="38" t="str">
        <f>+IF((PROVEEDORES[[#This Row],[FECHA DE PAGO]]-PROVEEDORES[[#This Row],[FECHA DE FACTURACIÓN]])&gt;PROVEEDORES[[#This Row],[PLAZO Días]],"PAGO VENCIDO")</f>
        <v>PAGO VENCIDO</v>
      </c>
      <c r="C842" s="20">
        <f>+VLOOKUP(PROVEEDORES[[#This Row],[PROVEEDOR]],TERCEROS_INFO[#All],2,FALSE)</f>
        <v>30</v>
      </c>
      <c r="D842" s="25">
        <f>+SUMIFS(PROVEEDORES[Total],PROVEEDORES[PROVEEDOR],PROVEEDORES[[#This Row],[PROVEEDOR]],PROVEEDORES[FECHA DE PAGO],"")</f>
        <v>3209330.35</v>
      </c>
      <c r="E842" s="25"/>
      <c r="F842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842" s="68">
        <v>44845</v>
      </c>
      <c r="H842" s="26" t="s">
        <v>282</v>
      </c>
      <c r="I842" s="68">
        <v>44765</v>
      </c>
      <c r="J842" s="35">
        <v>1082</v>
      </c>
      <c r="K842" s="21">
        <v>1072689.08</v>
      </c>
      <c r="L842" s="21"/>
      <c r="M842" s="22">
        <f>(PROVEEDORES[[#This Row],[SUBTOTAL]]-PROVEEDORES[[#This Row],[descuento sobre subtotal]])*VLOOKUP(PROVEEDORES[[#This Row],[PROVEEDOR]],TERCEROS_INFO[#All],3,FALSE)</f>
        <v>203810.92520000003</v>
      </c>
      <c r="N842" s="23"/>
      <c r="O842" s="22">
        <f>+PROVEEDORES[[#This Row],[Descuento sobre subtotal %]]*(PROVEEDORES[[#This Row],[SUBTOTAL]]-PROVEEDORES[[#This Row],[descuento sobre subtotal]])</f>
        <v>0</v>
      </c>
      <c r="P842" s="74">
        <f>+IF(PROVEEDORES[[#This Row],[SUBTOTAL]]&lt;PROVEEDORES[[#This Row],[base retencion]],0,PROVEEDORES[[#This Row],[retención aplicada]])</f>
        <v>2.5000000000000001E-2</v>
      </c>
      <c r="Q842" s="22">
        <f>+PROVEEDORES[[#This Row],[Rete Fuente %]]*(PROVEEDORES[[#This Row],[SUBTOTAL]]-PROVEEDORES[[#This Row],[descuento sobre subtotal]])</f>
        <v>26817.227000000003</v>
      </c>
      <c r="R842" s="21">
        <f>+PROVEEDORES[[#This Row],[SUBTOTAL]]+PROVEEDORES[[#This Row],[IVA 19%]]-PROVEEDORES[[#This Row],[descuento sobre subtotal]]-PROVEEDORES[[#This Row],[Descuento sobre subtotal $2]]-PROVEEDORES[[#This Row],[Rete Fuente $]]</f>
        <v>1249682.7782000001</v>
      </c>
      <c r="S8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63">
        <f ca="1">IF(PROVEEDORES[[#This Row],[FECHA DE PAGO]]=0,TODAY()-PROVEEDORES[[#This Row],[FECHA DE FACTURACIÓN]]-PROVEEDORES[[#This Row],[PLAZO Días]],0)</f>
        <v>0</v>
      </c>
      <c r="U842" s="104" t="str">
        <f>+VLOOKUP(PROVEEDORES[[#This Row],[PROVEEDOR]],Terceros!$A:$D,4,FALSE)</f>
        <v>2,5% con base</v>
      </c>
      <c r="V842" s="105">
        <f>+YEAR(PROVEEDORES[[#This Row],[FECHA DE FACTURACIÓN]])</f>
        <v>2022</v>
      </c>
      <c r="W842" s="105">
        <f>+MATCH(PROVEEDORES[[#This Row],[año facturado]],Retenciones!$1:$1,0)</f>
        <v>5</v>
      </c>
      <c r="X842" s="106">
        <f>+VLOOKUP(PROVEEDORES[[#This Row],[ID RETENCION]],Retenciones!$A$1:$O$25,PROVEEDORES[[#This Row],[indicador de columna]],FALSE)</f>
        <v>1026000</v>
      </c>
      <c r="Y842" s="107">
        <f>+VLOOKUP(PROVEEDORES[[#This Row],[ID RETENCION]],Retenciones!$A$1:$O$25,2,FALSE)</f>
        <v>2.5000000000000001E-2</v>
      </c>
      <c r="Z842" s="116" t="b">
        <f>OR(COUNTIF(PROVEEDORES[[#This Row],[PROVEEDOR]],"*"&amp;'Palabra no opera'!$A$2&amp;"*"))</f>
        <v>0</v>
      </c>
    </row>
    <row r="843" spans="1:26" ht="22.35" customHeight="1" x14ac:dyDescent="0.3">
      <c r="A843" s="182" t="str">
        <f>+IF(PROVEEDORES[[#This Row],[FECHA DE PAGO]]=PROVEEDORES[[#This Row],[FECHA DE FACTURACIÓN]],"DE CONTADO","CRÉDITO")</f>
        <v>CRÉDITO</v>
      </c>
      <c r="B843" s="38" t="str">
        <f>+IF((PROVEEDORES[[#This Row],[FECHA DE PAGO]]-PROVEEDORES[[#This Row],[FECHA DE FACTURACIÓN]])&gt;PROVEEDORES[[#This Row],[PLAZO Días]],"PAGO VENCIDO")</f>
        <v>PAGO VENCIDO</v>
      </c>
      <c r="C843" s="20">
        <f>+VLOOKUP(PROVEEDORES[[#This Row],[PROVEEDOR]],TERCEROS_INFO[#All],2,FALSE)</f>
        <v>30</v>
      </c>
      <c r="D843" s="25">
        <f>+SUMIFS(PROVEEDORES[Total],PROVEEDORES[PROVEEDOR],PROVEEDORES[[#This Row],[PROVEEDOR]],PROVEEDORES[FECHA DE PAGO],"")</f>
        <v>17870934.149999999</v>
      </c>
      <c r="E843" s="25"/>
      <c r="F84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43" s="68">
        <v>44845</v>
      </c>
      <c r="H843" s="26" t="s">
        <v>18</v>
      </c>
      <c r="I843" s="68">
        <v>44795</v>
      </c>
      <c r="J843" s="35">
        <v>1058054</v>
      </c>
      <c r="K843" s="21">
        <v>1949973.95</v>
      </c>
      <c r="L843" s="21"/>
      <c r="M843" s="22">
        <f>(PROVEEDORES[[#This Row],[SUBTOTAL]]-PROVEEDORES[[#This Row],[descuento sobre subtotal]])*VLOOKUP(PROVEEDORES[[#This Row],[PROVEEDOR]],TERCEROS_INFO[#All],3,FALSE)</f>
        <v>370495.05050000001</v>
      </c>
      <c r="N843" s="23"/>
      <c r="O843" s="22">
        <f>+PROVEEDORES[[#This Row],[Descuento sobre subtotal %]]*(PROVEEDORES[[#This Row],[SUBTOTAL]]-PROVEEDORES[[#This Row],[descuento sobre subtotal]])</f>
        <v>0</v>
      </c>
      <c r="P843" s="74">
        <f>+IF(PROVEEDORES[[#This Row],[SUBTOTAL]]&lt;PROVEEDORES[[#This Row],[base retencion]],0,PROVEEDORES[[#This Row],[retención aplicada]])</f>
        <v>2.5000000000000001E-2</v>
      </c>
      <c r="Q843" s="22">
        <f>+PROVEEDORES[[#This Row],[Rete Fuente %]]*(PROVEEDORES[[#This Row],[SUBTOTAL]]-PROVEEDORES[[#This Row],[descuento sobre subtotal]])</f>
        <v>48749.348750000005</v>
      </c>
      <c r="R843" s="21">
        <f>+PROVEEDORES[[#This Row],[SUBTOTAL]]+PROVEEDORES[[#This Row],[IVA 19%]]-PROVEEDORES[[#This Row],[descuento sobre subtotal]]-PROVEEDORES[[#This Row],[Descuento sobre subtotal $2]]-PROVEEDORES[[#This Row],[Rete Fuente $]]</f>
        <v>2271719.6517500002</v>
      </c>
      <c r="S84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63">
        <f ca="1">IF(PROVEEDORES[[#This Row],[FECHA DE PAGO]]=0,TODAY()-PROVEEDORES[[#This Row],[FECHA DE FACTURACIÓN]]-PROVEEDORES[[#This Row],[PLAZO Días]],0)</f>
        <v>0</v>
      </c>
      <c r="U843" s="104" t="str">
        <f>+VLOOKUP(PROVEEDORES[[#This Row],[PROVEEDOR]],Terceros!$A:$D,4,FALSE)</f>
        <v>2,5% con base</v>
      </c>
      <c r="V843" s="105">
        <f>+YEAR(PROVEEDORES[[#This Row],[FECHA DE FACTURACIÓN]])</f>
        <v>2022</v>
      </c>
      <c r="W843" s="105">
        <f>+MATCH(PROVEEDORES[[#This Row],[año facturado]],Retenciones!$1:$1,0)</f>
        <v>5</v>
      </c>
      <c r="X843" s="106">
        <f>+VLOOKUP(PROVEEDORES[[#This Row],[ID RETENCION]],Retenciones!$A$1:$O$25,PROVEEDORES[[#This Row],[indicador de columna]],FALSE)</f>
        <v>1026000</v>
      </c>
      <c r="Y843" s="107">
        <f>+VLOOKUP(PROVEEDORES[[#This Row],[ID RETENCION]],Retenciones!$A$1:$O$25,2,FALSE)</f>
        <v>2.5000000000000001E-2</v>
      </c>
      <c r="Z843" s="116" t="b">
        <f>OR(COUNTIF(PROVEEDORES[[#This Row],[PROVEEDOR]],"*"&amp;'Palabra no opera'!$A$2&amp;"*"))</f>
        <v>0</v>
      </c>
    </row>
    <row r="844" spans="1:26" ht="22.35" customHeight="1" x14ac:dyDescent="0.3">
      <c r="A844" s="67" t="str">
        <f>+IF(PROVEEDORES[[#This Row],[FECHA DE PAGO]]=PROVEEDORES[[#This Row],[FECHA DE FACTURACIÓN]],"DE CONTADO","CRÉDITO")</f>
        <v>CRÉDITO</v>
      </c>
      <c r="B844" s="38" t="str">
        <f>+IF((PROVEEDORES[[#This Row],[FECHA DE PAGO]]-PROVEEDORES[[#This Row],[FECHA DE FACTURACIÓN]])&gt;PROVEEDORES[[#This Row],[PLAZO Días]],"PAGO VENCIDO")</f>
        <v>PAGO VENCIDO</v>
      </c>
      <c r="C844" s="20">
        <f>+VLOOKUP(PROVEEDORES[[#This Row],[PROVEEDOR]],TERCEROS_INFO[#All],2,FALSE)</f>
        <v>30</v>
      </c>
      <c r="D844" s="25">
        <f>+SUMIFS(PROVEEDORES[Total],PROVEEDORES[PROVEEDOR],PROVEEDORES[[#This Row],[PROVEEDOR]],PROVEEDORES[FECHA DE PAGO],"")</f>
        <v>229206</v>
      </c>
      <c r="E844" s="25"/>
      <c r="F844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44" s="68">
        <v>44845</v>
      </c>
      <c r="H844" s="26" t="s">
        <v>95</v>
      </c>
      <c r="I844" s="68">
        <v>44778</v>
      </c>
      <c r="J844" s="35" t="s">
        <v>865</v>
      </c>
      <c r="K844" s="21">
        <v>27452.91</v>
      </c>
      <c r="L844" s="21"/>
      <c r="M844" s="22">
        <f>(PROVEEDORES[[#This Row],[SUBTOTAL]]-PROVEEDORES[[#This Row],[descuento sobre subtotal]])*VLOOKUP(PROVEEDORES[[#This Row],[PROVEEDOR]],TERCEROS_INFO[#All],3,FALSE)</f>
        <v>0</v>
      </c>
      <c r="N844" s="23"/>
      <c r="O844" s="22">
        <f>+PROVEEDORES[[#This Row],[Descuento sobre subtotal %]]*(PROVEEDORES[[#This Row],[SUBTOTAL]]-PROVEEDORES[[#This Row],[descuento sobre subtotal]])</f>
        <v>0</v>
      </c>
      <c r="P844" s="74">
        <f>+IF(PROVEEDORES[[#This Row],[SUBTOTAL]]&lt;PROVEEDORES[[#This Row],[base retencion]],0,PROVEEDORES[[#This Row],[retención aplicada]])</f>
        <v>0</v>
      </c>
      <c r="Q844" s="22">
        <f>+PROVEEDORES[[#This Row],[Rete Fuente %]]*(PROVEEDORES[[#This Row],[SUBTOTAL]]-PROVEEDORES[[#This Row],[descuento sobre subtotal]])</f>
        <v>0</v>
      </c>
      <c r="R844" s="21">
        <f>+PROVEEDORES[[#This Row],[SUBTOTAL]]+PROVEEDORES[[#This Row],[IVA 19%]]-PROVEEDORES[[#This Row],[descuento sobre subtotal]]-PROVEEDORES[[#This Row],[Descuento sobre subtotal $2]]-PROVEEDORES[[#This Row],[Rete Fuente $]]</f>
        <v>27452.91</v>
      </c>
      <c r="S8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63">
        <f ca="1">IF(PROVEEDORES[[#This Row],[FECHA DE PAGO]]=0,TODAY()-PROVEEDORES[[#This Row],[FECHA DE FACTURACIÓN]]-PROVEEDORES[[#This Row],[PLAZO Días]],0)</f>
        <v>0</v>
      </c>
      <c r="U844" s="104">
        <f>+VLOOKUP(PROVEEDORES[[#This Row],[PROVEEDOR]],Terceros!$A:$D,4,FALSE)</f>
        <v>0</v>
      </c>
      <c r="V844" s="105">
        <f>+YEAR(PROVEEDORES[[#This Row],[FECHA DE FACTURACIÓN]])</f>
        <v>2022</v>
      </c>
      <c r="W844" s="105">
        <f>+MATCH(PROVEEDORES[[#This Row],[año facturado]],Retenciones!$1:$1,0)</f>
        <v>5</v>
      </c>
      <c r="X844" s="106">
        <f>+VLOOKUP(PROVEEDORES[[#This Row],[ID RETENCION]],Retenciones!$A$1:$O$25,PROVEEDORES[[#This Row],[indicador de columna]],FALSE)</f>
        <v>0</v>
      </c>
      <c r="Y844" s="107">
        <f>+VLOOKUP(PROVEEDORES[[#This Row],[ID RETENCION]],Retenciones!$A$1:$O$25,2,FALSE)</f>
        <v>0</v>
      </c>
      <c r="Z844" s="116" t="b">
        <f>OR(COUNTIF(PROVEEDORES[[#This Row],[PROVEEDOR]],"*"&amp;'Palabra no opera'!$A$2&amp;"*"))</f>
        <v>0</v>
      </c>
    </row>
    <row r="845" spans="1:26" ht="22.35" customHeight="1" x14ac:dyDescent="0.3">
      <c r="A845" s="148" t="str">
        <f>+IF(PROVEEDORES[[#This Row],[FECHA DE PAGO]]=PROVEEDORES[[#This Row],[FECHA DE FACTURACIÓN]],"DE CONTADO","CRÉDITO")</f>
        <v>CRÉDITO</v>
      </c>
      <c r="B845" s="38" t="str">
        <f>+IF((PROVEEDORES[[#This Row],[FECHA DE PAGO]]-PROVEEDORES[[#This Row],[FECHA DE FACTURACIÓN]])&gt;PROVEEDORES[[#This Row],[PLAZO Días]],"PAGO VENCIDO")</f>
        <v>PAGO VENCIDO</v>
      </c>
      <c r="C845" s="20">
        <f>+VLOOKUP(PROVEEDORES[[#This Row],[PROVEEDOR]],TERCEROS_INFO[#All],2,FALSE)</f>
        <v>30</v>
      </c>
      <c r="D845" s="25">
        <f>+SUMIFS(PROVEEDORES[Total],PROVEEDORES[PROVEEDOR],PROVEEDORES[[#This Row],[PROVEEDOR]],PROVEEDORES[FECHA DE PAGO],"")</f>
        <v>0</v>
      </c>
      <c r="E845" s="25"/>
      <c r="F845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45" s="68">
        <v>44845</v>
      </c>
      <c r="H845" s="26" t="s">
        <v>227</v>
      </c>
      <c r="I845" s="68">
        <v>44749</v>
      </c>
      <c r="J845" s="35" t="s">
        <v>805</v>
      </c>
      <c r="K845" s="21">
        <v>0.88</v>
      </c>
      <c r="L845" s="21"/>
      <c r="M845" s="22">
        <f>(PROVEEDORES[[#This Row],[SUBTOTAL]]-PROVEEDORES[[#This Row],[descuento sobre subtotal]])*VLOOKUP(PROVEEDORES[[#This Row],[PROVEEDOR]],TERCEROS_INFO[#All],3,FALSE)</f>
        <v>0</v>
      </c>
      <c r="N845" s="23"/>
      <c r="O845" s="22">
        <f>+PROVEEDORES[[#This Row],[Descuento sobre subtotal %]]*(PROVEEDORES[[#This Row],[SUBTOTAL]]-PROVEEDORES[[#This Row],[descuento sobre subtotal]])</f>
        <v>0</v>
      </c>
      <c r="P845" s="74">
        <f>+IF(PROVEEDORES[[#This Row],[SUBTOTAL]]&lt;PROVEEDORES[[#This Row],[base retencion]],0,PROVEEDORES[[#This Row],[retención aplicada]])</f>
        <v>0</v>
      </c>
      <c r="Q845" s="22">
        <f>+PROVEEDORES[[#This Row],[Rete Fuente %]]*(PROVEEDORES[[#This Row],[SUBTOTAL]]-PROVEEDORES[[#This Row],[descuento sobre subtotal]])</f>
        <v>0</v>
      </c>
      <c r="R845" s="21">
        <f>+PROVEEDORES[[#This Row],[SUBTOTAL]]+PROVEEDORES[[#This Row],[IVA 19%]]-PROVEEDORES[[#This Row],[descuento sobre subtotal]]-PROVEEDORES[[#This Row],[Descuento sobre subtotal $2]]-PROVEEDORES[[#This Row],[Rete Fuente $]]</f>
        <v>0.88</v>
      </c>
      <c r="S84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63">
        <f ca="1">IF(PROVEEDORES[[#This Row],[FECHA DE PAGO]]=0,TODAY()-PROVEEDORES[[#This Row],[FECHA DE FACTURACIÓN]]-PROVEEDORES[[#This Row],[PLAZO Días]],0)</f>
        <v>0</v>
      </c>
      <c r="U845" s="104">
        <f>+VLOOKUP(PROVEEDORES[[#This Row],[PROVEEDOR]],Terceros!$A:$D,4,FALSE)</f>
        <v>0</v>
      </c>
      <c r="V845" s="105">
        <f>+YEAR(PROVEEDORES[[#This Row],[FECHA DE FACTURACIÓN]])</f>
        <v>2022</v>
      </c>
      <c r="W845" s="105">
        <f>+MATCH(PROVEEDORES[[#This Row],[año facturado]],Retenciones!$1:$1,0)</f>
        <v>5</v>
      </c>
      <c r="X845" s="106">
        <f>+VLOOKUP(PROVEEDORES[[#This Row],[ID RETENCION]],Retenciones!$A$1:$O$25,PROVEEDORES[[#This Row],[indicador de columna]],FALSE)</f>
        <v>0</v>
      </c>
      <c r="Y845" s="107">
        <f>+VLOOKUP(PROVEEDORES[[#This Row],[ID RETENCION]],Retenciones!$A$1:$O$25,2,FALSE)</f>
        <v>0</v>
      </c>
      <c r="Z845" s="116" t="b">
        <f>OR(COUNTIF(PROVEEDORES[[#This Row],[PROVEEDOR]],"*"&amp;'Palabra no opera'!$A$2&amp;"*"))</f>
        <v>0</v>
      </c>
    </row>
    <row r="846" spans="1:26" ht="22.35" customHeight="1" x14ac:dyDescent="0.3">
      <c r="A846" s="67" t="str">
        <f>+IF(PROVEEDORES[[#This Row],[FECHA DE PAGO]]=PROVEEDORES[[#This Row],[FECHA DE FACTURACIÓN]],"DE CONTADO","CRÉDITO")</f>
        <v>CRÉDITO</v>
      </c>
      <c r="B846" s="38" t="b">
        <f>+IF((PROVEEDORES[[#This Row],[FECHA DE PAGO]]-PROVEEDORES[[#This Row],[FECHA DE FACTURACIÓN]])&gt;PROVEEDORES[[#This Row],[PLAZO Días]],"PAGO VENCIDO")</f>
        <v>0</v>
      </c>
      <c r="C846" s="20">
        <f>+VLOOKUP(PROVEEDORES[[#This Row],[PROVEEDOR]],TERCEROS_INFO[#All],2,FALSE)</f>
        <v>30</v>
      </c>
      <c r="D846" s="25">
        <f>+SUMIFS(PROVEEDORES[Total],PROVEEDORES[PROVEEDOR],PROVEEDORES[[#This Row],[PROVEEDOR]],PROVEEDORES[FECHA DE PAGO],"")</f>
        <v>0</v>
      </c>
      <c r="E846" s="25"/>
      <c r="F846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46" s="68">
        <v>44845</v>
      </c>
      <c r="H846" s="26" t="s">
        <v>227</v>
      </c>
      <c r="I846" s="68">
        <v>44823</v>
      </c>
      <c r="J846" s="35" t="s">
        <v>1097</v>
      </c>
      <c r="K846" s="21">
        <v>1900</v>
      </c>
      <c r="L846" s="21"/>
      <c r="M846" s="22">
        <f>(PROVEEDORES[[#This Row],[SUBTOTAL]]-PROVEEDORES[[#This Row],[descuento sobre subtotal]])*VLOOKUP(PROVEEDORES[[#This Row],[PROVEEDOR]],TERCEROS_INFO[#All],3,FALSE)</f>
        <v>0</v>
      </c>
      <c r="N846" s="23"/>
      <c r="O846" s="22">
        <f>+PROVEEDORES[[#This Row],[Descuento sobre subtotal %]]*(PROVEEDORES[[#This Row],[SUBTOTAL]]-PROVEEDORES[[#This Row],[descuento sobre subtotal]])</f>
        <v>0</v>
      </c>
      <c r="P846" s="74">
        <f>+IF(PROVEEDORES[[#This Row],[SUBTOTAL]]&lt;PROVEEDORES[[#This Row],[base retencion]],0,PROVEEDORES[[#This Row],[retención aplicada]])</f>
        <v>0</v>
      </c>
      <c r="Q846" s="22">
        <f>+PROVEEDORES[[#This Row],[Rete Fuente %]]*(PROVEEDORES[[#This Row],[SUBTOTAL]]-PROVEEDORES[[#This Row],[descuento sobre subtotal]])</f>
        <v>0</v>
      </c>
      <c r="R846" s="21">
        <f>+PROVEEDORES[[#This Row],[SUBTOTAL]]+PROVEEDORES[[#This Row],[IVA 19%]]-PROVEEDORES[[#This Row],[descuento sobre subtotal]]-PROVEEDORES[[#This Row],[Descuento sobre subtotal $2]]-PROVEEDORES[[#This Row],[Rete Fuente $]]</f>
        <v>1900</v>
      </c>
      <c r="S8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63">
        <f ca="1">IF(PROVEEDORES[[#This Row],[FECHA DE PAGO]]=0,TODAY()-PROVEEDORES[[#This Row],[FECHA DE FACTURACIÓN]]-PROVEEDORES[[#This Row],[PLAZO Días]],0)</f>
        <v>0</v>
      </c>
      <c r="U846" s="104">
        <f>+VLOOKUP(PROVEEDORES[[#This Row],[PROVEEDOR]],Terceros!$A:$D,4,FALSE)</f>
        <v>0</v>
      </c>
      <c r="V846" s="105">
        <f>+YEAR(PROVEEDORES[[#This Row],[FECHA DE FACTURACIÓN]])</f>
        <v>2022</v>
      </c>
      <c r="W846" s="105">
        <f>+MATCH(PROVEEDORES[[#This Row],[año facturado]],Retenciones!$1:$1,0)</f>
        <v>5</v>
      </c>
      <c r="X846" s="106">
        <f>+VLOOKUP(PROVEEDORES[[#This Row],[ID RETENCION]],Retenciones!$A$1:$O$25,PROVEEDORES[[#This Row],[indicador de columna]],FALSE)</f>
        <v>0</v>
      </c>
      <c r="Y846" s="107">
        <f>+VLOOKUP(PROVEEDORES[[#This Row],[ID RETENCION]],Retenciones!$A$1:$O$25,2,FALSE)</f>
        <v>0</v>
      </c>
      <c r="Z846" s="116" t="b">
        <f>OR(COUNTIF(PROVEEDORES[[#This Row],[PROVEEDOR]],"*"&amp;'Palabra no opera'!$A$2&amp;"*"))</f>
        <v>0</v>
      </c>
    </row>
    <row r="847" spans="1:26" ht="22.35" customHeight="1" x14ac:dyDescent="0.3">
      <c r="A847" s="67" t="str">
        <f>+IF(PROVEEDORES[[#This Row],[FECHA DE PAGO]]=PROVEEDORES[[#This Row],[FECHA DE FACTURACIÓN]],"DE CONTADO","CRÉDITO")</f>
        <v>CRÉDITO</v>
      </c>
      <c r="B847" s="38" t="b">
        <f>+IF((PROVEEDORES[[#This Row],[FECHA DE PAGO]]-PROVEEDORES[[#This Row],[FECHA DE FACTURACIÓN]])&gt;PROVEEDORES[[#This Row],[PLAZO Días]],"PAGO VENCIDO")</f>
        <v>0</v>
      </c>
      <c r="C847" s="20">
        <f>+VLOOKUP(PROVEEDORES[[#This Row],[PROVEEDOR]],TERCEROS_INFO[#All],2,FALSE)</f>
        <v>30</v>
      </c>
      <c r="D847" s="25">
        <f>+SUMIFS(PROVEEDORES[Total],PROVEEDORES[PROVEEDOR],PROVEEDORES[[#This Row],[PROVEEDOR]],PROVEEDORES[FECHA DE PAGO],"")</f>
        <v>0</v>
      </c>
      <c r="E847" s="25"/>
      <c r="F847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47" s="68">
        <v>44845</v>
      </c>
      <c r="H847" s="26" t="s">
        <v>227</v>
      </c>
      <c r="I847" s="68">
        <v>44823</v>
      </c>
      <c r="J847" s="35" t="s">
        <v>1098</v>
      </c>
      <c r="K847" s="21">
        <v>324574</v>
      </c>
      <c r="L847" s="21"/>
      <c r="M847" s="22">
        <f>(PROVEEDORES[[#This Row],[SUBTOTAL]]-PROVEEDORES[[#This Row],[descuento sobre subtotal]])*VLOOKUP(PROVEEDORES[[#This Row],[PROVEEDOR]],TERCEROS_INFO[#All],3,FALSE)</f>
        <v>0</v>
      </c>
      <c r="N847" s="23"/>
      <c r="O847" s="22">
        <f>+PROVEEDORES[[#This Row],[Descuento sobre subtotal %]]*(PROVEEDORES[[#This Row],[SUBTOTAL]]-PROVEEDORES[[#This Row],[descuento sobre subtotal]])</f>
        <v>0</v>
      </c>
      <c r="P847" s="74">
        <f>+IF(PROVEEDORES[[#This Row],[SUBTOTAL]]&lt;PROVEEDORES[[#This Row],[base retencion]],0,PROVEEDORES[[#This Row],[retención aplicada]])</f>
        <v>0</v>
      </c>
      <c r="Q847" s="22">
        <f>+PROVEEDORES[[#This Row],[Rete Fuente %]]*(PROVEEDORES[[#This Row],[SUBTOTAL]]-PROVEEDORES[[#This Row],[descuento sobre subtotal]])</f>
        <v>0</v>
      </c>
      <c r="R847" s="21">
        <f>+PROVEEDORES[[#This Row],[SUBTOTAL]]+PROVEEDORES[[#This Row],[IVA 19%]]-PROVEEDORES[[#This Row],[descuento sobre subtotal]]-PROVEEDORES[[#This Row],[Descuento sobre subtotal $2]]-PROVEEDORES[[#This Row],[Rete Fuente $]]</f>
        <v>324574</v>
      </c>
      <c r="S8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63">
        <f ca="1">IF(PROVEEDORES[[#This Row],[FECHA DE PAGO]]=0,TODAY()-PROVEEDORES[[#This Row],[FECHA DE FACTURACIÓN]]-PROVEEDORES[[#This Row],[PLAZO Días]],0)</f>
        <v>0</v>
      </c>
      <c r="U847" s="104">
        <f>+VLOOKUP(PROVEEDORES[[#This Row],[PROVEEDOR]],Terceros!$A:$D,4,FALSE)</f>
        <v>0</v>
      </c>
      <c r="V847" s="105">
        <f>+YEAR(PROVEEDORES[[#This Row],[FECHA DE FACTURACIÓN]])</f>
        <v>2022</v>
      </c>
      <c r="W847" s="105">
        <f>+MATCH(PROVEEDORES[[#This Row],[año facturado]],Retenciones!$1:$1,0)</f>
        <v>5</v>
      </c>
      <c r="X847" s="106">
        <f>+VLOOKUP(PROVEEDORES[[#This Row],[ID RETENCION]],Retenciones!$A$1:$O$25,PROVEEDORES[[#This Row],[indicador de columna]],FALSE)</f>
        <v>0</v>
      </c>
      <c r="Y847" s="107">
        <f>+VLOOKUP(PROVEEDORES[[#This Row],[ID RETENCION]],Retenciones!$A$1:$O$25,2,FALSE)</f>
        <v>0</v>
      </c>
      <c r="Z847" s="116" t="b">
        <f>OR(COUNTIF(PROVEEDORES[[#This Row],[PROVEEDOR]],"*"&amp;'Palabra no opera'!$A$2&amp;"*"))</f>
        <v>0</v>
      </c>
    </row>
    <row r="848" spans="1:26" ht="22.35" customHeight="1" x14ac:dyDescent="0.3">
      <c r="A848" s="171" t="str">
        <f>+IF(PROVEEDORES[[#This Row],[FECHA DE PAGO]]=PROVEEDORES[[#This Row],[FECHA DE FACTURACIÓN]],"DE CONTADO","CRÉDITO")</f>
        <v>CRÉDITO</v>
      </c>
      <c r="B848" s="38" t="str">
        <f>+IF((PROVEEDORES[[#This Row],[FECHA DE PAGO]]-PROVEEDORES[[#This Row],[FECHA DE FACTURACIÓN]])&gt;PROVEEDORES[[#This Row],[PLAZO Días]],"PAGO VENCIDO")</f>
        <v>PAGO VENCIDO</v>
      </c>
      <c r="C848" s="20">
        <f>+VLOOKUP(PROVEEDORES[[#This Row],[PROVEEDOR]],TERCEROS_INFO[#All],2,FALSE)</f>
        <v>45</v>
      </c>
      <c r="D848" s="25">
        <f>+SUMIFS(PROVEEDORES[Total],PROVEEDORES[PROVEEDOR],PROVEEDORES[[#This Row],[PROVEEDOR]],PROVEEDORES[FECHA DE PAGO],"")</f>
        <v>15770594</v>
      </c>
      <c r="E848" s="25"/>
      <c r="F84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48" s="68">
        <v>44845</v>
      </c>
      <c r="H848" s="26" t="s">
        <v>19</v>
      </c>
      <c r="I848" s="68">
        <v>44781</v>
      </c>
      <c r="J848" s="35" t="s">
        <v>871</v>
      </c>
      <c r="K848" s="21">
        <v>3323520</v>
      </c>
      <c r="L848" s="21"/>
      <c r="M848" s="22">
        <f>(PROVEEDORES[[#This Row],[SUBTOTAL]]-PROVEEDORES[[#This Row],[descuento sobre subtotal]])*VLOOKUP(PROVEEDORES[[#This Row],[PROVEEDOR]],TERCEROS_INFO[#All],3,FALSE)</f>
        <v>631468.80000000005</v>
      </c>
      <c r="N848" s="23"/>
      <c r="O848" s="22">
        <f>+PROVEEDORES[[#This Row],[Descuento sobre subtotal %]]*(PROVEEDORES[[#This Row],[SUBTOTAL]]-PROVEEDORES[[#This Row],[descuento sobre subtotal]])</f>
        <v>0</v>
      </c>
      <c r="P848" s="74">
        <f>+IF(PROVEEDORES[[#This Row],[SUBTOTAL]]&lt;PROVEEDORES[[#This Row],[base retencion]],0,PROVEEDORES[[#This Row],[retención aplicada]])</f>
        <v>0</v>
      </c>
      <c r="Q848" s="22">
        <f>+PROVEEDORES[[#This Row],[Rete Fuente %]]*(PROVEEDORES[[#This Row],[SUBTOTAL]]-PROVEEDORES[[#This Row],[descuento sobre subtotal]])</f>
        <v>0</v>
      </c>
      <c r="R848" s="21">
        <f>+PROVEEDORES[[#This Row],[SUBTOTAL]]+PROVEEDORES[[#This Row],[IVA 19%]]-PROVEEDORES[[#This Row],[descuento sobre subtotal]]-PROVEEDORES[[#This Row],[Descuento sobre subtotal $2]]-PROVEEDORES[[#This Row],[Rete Fuente $]]</f>
        <v>3954988.8</v>
      </c>
      <c r="S848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63">
        <f ca="1">IF(PROVEEDORES[[#This Row],[FECHA DE PAGO]]=0,TODAY()-PROVEEDORES[[#This Row],[FECHA DE FACTURACIÓN]]-PROVEEDORES[[#This Row],[PLAZO Días]],0)</f>
        <v>0</v>
      </c>
      <c r="U848" s="104">
        <f>+VLOOKUP(PROVEEDORES[[#This Row],[PROVEEDOR]],Terceros!$A:$D,4,FALSE)</f>
        <v>0</v>
      </c>
      <c r="V848" s="105">
        <f>+YEAR(PROVEEDORES[[#This Row],[FECHA DE FACTURACIÓN]])</f>
        <v>2022</v>
      </c>
      <c r="W848" s="105">
        <f>+MATCH(PROVEEDORES[[#This Row],[año facturado]],Retenciones!$1:$1,0)</f>
        <v>5</v>
      </c>
      <c r="X848" s="106">
        <f>+VLOOKUP(PROVEEDORES[[#This Row],[ID RETENCION]],Retenciones!$A$1:$O$25,PROVEEDORES[[#This Row],[indicador de columna]],FALSE)</f>
        <v>0</v>
      </c>
      <c r="Y848" s="107">
        <f>+VLOOKUP(PROVEEDORES[[#This Row],[ID RETENCION]],Retenciones!$A$1:$O$25,2,FALSE)</f>
        <v>0</v>
      </c>
      <c r="Z848" s="116" t="b">
        <f>OR(COUNTIF(PROVEEDORES[[#This Row],[PROVEEDOR]],"*"&amp;'Palabra no opera'!$A$2&amp;"*"))</f>
        <v>0</v>
      </c>
    </row>
    <row r="849" spans="1:26" ht="22.35" customHeight="1" x14ac:dyDescent="0.3">
      <c r="A849" s="67" t="str">
        <f>+IF(PROVEEDORES[[#This Row],[FECHA DE PAGO]]=PROVEEDORES[[#This Row],[FECHA DE FACTURACIÓN]],"DE CONTADO","CRÉDITO")</f>
        <v>CRÉDITO</v>
      </c>
      <c r="B849" s="38" t="str">
        <f>+IF((PROVEEDORES[[#This Row],[FECHA DE PAGO]]-PROVEEDORES[[#This Row],[FECHA DE FACTURACIÓN]])&gt;PROVEEDORES[[#This Row],[PLAZO Días]],"PAGO VENCIDO")</f>
        <v>PAGO VENCIDO</v>
      </c>
      <c r="C849" s="20">
        <f>+VLOOKUP(PROVEEDORES[[#This Row],[PROVEEDOR]],TERCEROS_INFO[#All],2,FALSE)</f>
        <v>45</v>
      </c>
      <c r="D849" s="25">
        <f>+SUMIFS(PROVEEDORES[Total],PROVEEDORES[PROVEEDOR],PROVEEDORES[[#This Row],[PROVEEDOR]],PROVEEDORES[FECHA DE PAGO],"")</f>
        <v>8072960</v>
      </c>
      <c r="E849" s="25"/>
      <c r="F84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49" s="68">
        <v>44845</v>
      </c>
      <c r="H849" s="26" t="s">
        <v>10</v>
      </c>
      <c r="I849" s="68">
        <v>44774</v>
      </c>
      <c r="J849" s="35" t="s">
        <v>1169</v>
      </c>
      <c r="K849" s="21">
        <v>1185000</v>
      </c>
      <c r="L849" s="21"/>
      <c r="M849" s="22">
        <f>(PROVEEDORES[[#This Row],[SUBTOTAL]]-PROVEEDORES[[#This Row],[descuento sobre subtotal]])*VLOOKUP(PROVEEDORES[[#This Row],[PROVEEDOR]],TERCEROS_INFO[#All],3,FALSE)</f>
        <v>225150</v>
      </c>
      <c r="N849" s="23"/>
      <c r="O849" s="22">
        <f>+PROVEEDORES[[#This Row],[Descuento sobre subtotal %]]*(PROVEEDORES[[#This Row],[SUBTOTAL]]-PROVEEDORES[[#This Row],[descuento sobre subtotal]])</f>
        <v>0</v>
      </c>
      <c r="P849" s="74">
        <f>+IF(PROVEEDORES[[#This Row],[SUBTOTAL]]&lt;PROVEEDORES[[#This Row],[base retencion]],0,PROVEEDORES[[#This Row],[retención aplicada]])</f>
        <v>0</v>
      </c>
      <c r="Q849" s="22">
        <f>+PROVEEDORES[[#This Row],[Rete Fuente %]]*(PROVEEDORES[[#This Row],[SUBTOTAL]]-PROVEEDORES[[#This Row],[descuento sobre subtotal]])</f>
        <v>0</v>
      </c>
      <c r="R849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8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63">
        <f ca="1">IF(PROVEEDORES[[#This Row],[FECHA DE PAGO]]=0,TODAY()-PROVEEDORES[[#This Row],[FECHA DE FACTURACIÓN]]-PROVEEDORES[[#This Row],[PLAZO Días]],0)</f>
        <v>0</v>
      </c>
      <c r="U849" s="104">
        <f>+VLOOKUP(PROVEEDORES[[#This Row],[PROVEEDOR]],Terceros!$A:$D,4,FALSE)</f>
        <v>0</v>
      </c>
      <c r="V849" s="105">
        <f>+YEAR(PROVEEDORES[[#This Row],[FECHA DE FACTURACIÓN]])</f>
        <v>2022</v>
      </c>
      <c r="W849" s="105">
        <f>+MATCH(PROVEEDORES[[#This Row],[año facturado]],Retenciones!$1:$1,0)</f>
        <v>5</v>
      </c>
      <c r="X849" s="106">
        <f>+VLOOKUP(PROVEEDORES[[#This Row],[ID RETENCION]],Retenciones!$A$1:$O$25,PROVEEDORES[[#This Row],[indicador de columna]],FALSE)</f>
        <v>0</v>
      </c>
      <c r="Y849" s="107">
        <f>+VLOOKUP(PROVEEDORES[[#This Row],[ID RETENCION]],Retenciones!$A$1:$O$25,2,FALSE)</f>
        <v>0</v>
      </c>
      <c r="Z849" s="116" t="b">
        <f>OR(COUNTIF(PROVEEDORES[[#This Row],[PROVEEDOR]],"*"&amp;'Palabra no opera'!$A$2&amp;"*"))</f>
        <v>0</v>
      </c>
    </row>
    <row r="850" spans="1:26" ht="22.35" customHeight="1" x14ac:dyDescent="0.3">
      <c r="A850" s="171" t="str">
        <f>+IF(PROVEEDORES[[#This Row],[FECHA DE PAGO]]=PROVEEDORES[[#This Row],[FECHA DE FACTURACIÓN]],"DE CONTADO","CRÉDITO")</f>
        <v>CRÉDITO</v>
      </c>
      <c r="B850" s="38" t="str">
        <f>+IF((PROVEEDORES[[#This Row],[FECHA DE PAGO]]-PROVEEDORES[[#This Row],[FECHA DE FACTURACIÓN]])&gt;PROVEEDORES[[#This Row],[PLAZO Días]],"PAGO VENCIDO")</f>
        <v>PAGO VENCIDO</v>
      </c>
      <c r="C850" s="20">
        <f>+VLOOKUP(PROVEEDORES[[#This Row],[PROVEEDOR]],TERCEROS_INFO[#All],2,FALSE)</f>
        <v>45</v>
      </c>
      <c r="D850" s="25">
        <f>+SUMIFS(PROVEEDORES[Total],PROVEEDORES[PROVEEDOR],PROVEEDORES[[#This Row],[PROVEEDOR]],PROVEEDORES[FECHA DE PAGO],"")</f>
        <v>8072960</v>
      </c>
      <c r="E850" s="25"/>
      <c r="F850" s="25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50" s="68">
        <v>44845</v>
      </c>
      <c r="H850" s="26" t="s">
        <v>10</v>
      </c>
      <c r="I850" s="68">
        <v>44783</v>
      </c>
      <c r="J850" s="35" t="s">
        <v>1168</v>
      </c>
      <c r="K850" s="21">
        <v>2490000</v>
      </c>
      <c r="L850" s="21"/>
      <c r="M850" s="22">
        <f>(PROVEEDORES[[#This Row],[SUBTOTAL]]-PROVEEDORES[[#This Row],[descuento sobre subtotal]])*VLOOKUP(PROVEEDORES[[#This Row],[PROVEEDOR]],TERCEROS_INFO[#All],3,FALSE)</f>
        <v>473100</v>
      </c>
      <c r="N850" s="22"/>
      <c r="O850" s="22">
        <f>+PROVEEDORES[[#This Row],[Descuento sobre subtotal %]]*(PROVEEDORES[[#This Row],[SUBTOTAL]]-PROVEEDORES[[#This Row],[descuento sobre subtotal]])</f>
        <v>0</v>
      </c>
      <c r="P850" s="74">
        <f>+IF(PROVEEDORES[[#This Row],[SUBTOTAL]]&lt;PROVEEDORES[[#This Row],[base retencion]],0,PROVEEDORES[[#This Row],[retención aplicada]])</f>
        <v>0</v>
      </c>
      <c r="Q850" s="22">
        <f>+PROVEEDORES[[#This Row],[Rete Fuente %]]*(PROVEEDORES[[#This Row],[SUBTOTAL]]-PROVEEDORES[[#This Row],[descuento sobre subtotal]])</f>
        <v>0</v>
      </c>
      <c r="R850" s="21">
        <f>+PROVEEDORES[[#This Row],[SUBTOTAL]]+PROVEEDORES[[#This Row],[IVA 19%]]-PROVEEDORES[[#This Row],[descuento sobre subtotal]]-PROVEEDORES[[#This Row],[Descuento sobre subtotal $2]]-PROVEEDORES[[#This Row],[Rete Fuente $]]</f>
        <v>2963100</v>
      </c>
      <c r="S850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63">
        <f ca="1">IF(PROVEEDORES[[#This Row],[FECHA DE PAGO]]=0,TODAY()-PROVEEDORES[[#This Row],[FECHA DE FACTURACIÓN]]-PROVEEDORES[[#This Row],[PLAZO Días]],0)</f>
        <v>0</v>
      </c>
      <c r="U850" s="172">
        <f>+VLOOKUP(PROVEEDORES[[#This Row],[PROVEEDOR]],Terceros!$A:$D,4,FALSE)</f>
        <v>0</v>
      </c>
      <c r="V850" s="172">
        <f>+YEAR(PROVEEDORES[[#This Row],[FECHA DE FACTURACIÓN]])</f>
        <v>2022</v>
      </c>
      <c r="W850" s="172">
        <f>+MATCH(PROVEEDORES[[#This Row],[año facturado]],Retenciones!$1:$1,0)</f>
        <v>5</v>
      </c>
      <c r="X850" s="172">
        <f>+VLOOKUP(PROVEEDORES[[#This Row],[ID RETENCION]],Retenciones!$A$1:$O$25,PROVEEDORES[[#This Row],[indicador de columna]],FALSE)</f>
        <v>0</v>
      </c>
      <c r="Y850" s="107">
        <f>+VLOOKUP(PROVEEDORES[[#This Row],[ID RETENCION]],Retenciones!$A$1:$O$25,2,FALSE)</f>
        <v>0</v>
      </c>
      <c r="Z850" s="116" t="b">
        <f>OR(COUNTIF(PROVEEDORES[[#This Row],[PROVEEDOR]],"*"&amp;'Palabra no opera'!$A$2&amp;"*"))</f>
        <v>0</v>
      </c>
    </row>
    <row r="851" spans="1:26" ht="22.35" customHeight="1" x14ac:dyDescent="0.3">
      <c r="A851" s="67" t="str">
        <f>+IF(PROVEEDORES[[#This Row],[FECHA DE PAGO]]=PROVEEDORES[[#This Row],[FECHA DE FACTURACIÓN]],"DE CONTADO","CRÉDITO")</f>
        <v>CRÉDITO</v>
      </c>
      <c r="B851" s="38" t="b">
        <f>+IF((PROVEEDORES[[#This Row],[FECHA DE PAGO]]-PROVEEDORES[[#This Row],[FECHA DE FACTURACIÓN]])&gt;PROVEEDORES[[#This Row],[PLAZO Días]],"PAGO VENCIDO")</f>
        <v>0</v>
      </c>
      <c r="C851" s="20">
        <f>+VLOOKUP(PROVEEDORES[[#This Row],[PROVEEDOR]],TERCEROS_INFO[#All],2,FALSE)</f>
        <v>45</v>
      </c>
      <c r="D851" s="25">
        <f>+SUMIFS(PROVEEDORES[Total],PROVEEDORES[PROVEEDOR],PROVEEDORES[[#This Row],[PROVEEDOR]],PROVEEDORES[FECHA DE PAGO],"")</f>
        <v>8072960</v>
      </c>
      <c r="E851" s="25"/>
      <c r="F85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51" s="68">
        <v>44845</v>
      </c>
      <c r="H851" s="26" t="s">
        <v>10</v>
      </c>
      <c r="I851" s="68">
        <v>44825</v>
      </c>
      <c r="J851" s="35" t="s">
        <v>1167</v>
      </c>
      <c r="K851" s="21">
        <v>2025800</v>
      </c>
      <c r="L851" s="21"/>
      <c r="M851" s="22">
        <f>(PROVEEDORES[[#This Row],[SUBTOTAL]]-PROVEEDORES[[#This Row],[descuento sobre subtotal]])*VLOOKUP(PROVEEDORES[[#This Row],[PROVEEDOR]],TERCEROS_INFO[#All],3,FALSE)</f>
        <v>384902</v>
      </c>
      <c r="N851" s="23"/>
      <c r="O851" s="22">
        <f>+PROVEEDORES[[#This Row],[Descuento sobre subtotal %]]*(PROVEEDORES[[#This Row],[SUBTOTAL]]-PROVEEDORES[[#This Row],[descuento sobre subtotal]])</f>
        <v>0</v>
      </c>
      <c r="P851" s="74">
        <f>+IF(PROVEEDORES[[#This Row],[SUBTOTAL]]&lt;PROVEEDORES[[#This Row],[base retencion]],0,PROVEEDORES[[#This Row],[retención aplicada]])</f>
        <v>0</v>
      </c>
      <c r="Q851" s="22">
        <f>+PROVEEDORES[[#This Row],[Rete Fuente %]]*(PROVEEDORES[[#This Row],[SUBTOTAL]]-PROVEEDORES[[#This Row],[descuento sobre subtotal]])</f>
        <v>0</v>
      </c>
      <c r="R851" s="21">
        <f>+PROVEEDORES[[#This Row],[SUBTOTAL]]+PROVEEDORES[[#This Row],[IVA 19%]]-PROVEEDORES[[#This Row],[descuento sobre subtotal]]-PROVEEDORES[[#This Row],[Descuento sobre subtotal $2]]-PROVEEDORES[[#This Row],[Rete Fuente $]]</f>
        <v>2410702</v>
      </c>
      <c r="S8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63">
        <f ca="1">IF(PROVEEDORES[[#This Row],[FECHA DE PAGO]]=0,TODAY()-PROVEEDORES[[#This Row],[FECHA DE FACTURACIÓN]]-PROVEEDORES[[#This Row],[PLAZO Días]],0)</f>
        <v>0</v>
      </c>
      <c r="U851" s="104">
        <f>+VLOOKUP(PROVEEDORES[[#This Row],[PROVEEDOR]],Terceros!$A:$D,4,FALSE)</f>
        <v>0</v>
      </c>
      <c r="V851" s="105">
        <f>+YEAR(PROVEEDORES[[#This Row],[FECHA DE FACTURACIÓN]])</f>
        <v>2022</v>
      </c>
      <c r="W851" s="105">
        <f>+MATCH(PROVEEDORES[[#This Row],[año facturado]],Retenciones!$1:$1,0)</f>
        <v>5</v>
      </c>
      <c r="X851" s="106">
        <f>+VLOOKUP(PROVEEDORES[[#This Row],[ID RETENCION]],Retenciones!$A$1:$O$25,PROVEEDORES[[#This Row],[indicador de columna]],FALSE)</f>
        <v>0</v>
      </c>
      <c r="Y851" s="107">
        <f>+VLOOKUP(PROVEEDORES[[#This Row],[ID RETENCION]],Retenciones!$A$1:$O$25,2,FALSE)</f>
        <v>0</v>
      </c>
      <c r="Z851" s="116" t="b">
        <f>OR(COUNTIF(PROVEEDORES[[#This Row],[PROVEEDOR]],"*"&amp;'Palabra no opera'!$A$2&amp;"*"))</f>
        <v>0</v>
      </c>
    </row>
    <row r="852" spans="1:26" ht="22.35" customHeight="1" x14ac:dyDescent="0.3">
      <c r="A852" s="182" t="str">
        <f>+IF(PROVEEDORES[[#This Row],[FECHA DE PAGO]]=PROVEEDORES[[#This Row],[FECHA DE FACTURACIÓN]],"DE CONTADO","CRÉDITO")</f>
        <v>CRÉDITO</v>
      </c>
      <c r="B852" s="38" t="str">
        <f>+IF((PROVEEDORES[[#This Row],[FECHA DE PAGO]]-PROVEEDORES[[#This Row],[FECHA DE FACTURACIÓN]])&gt;PROVEEDORES[[#This Row],[PLAZO Días]],"PAGO VENCIDO")</f>
        <v>PAGO VENCIDO</v>
      </c>
      <c r="C852" s="20">
        <f>+VLOOKUP(PROVEEDORES[[#This Row],[PROVEEDOR]],TERCEROS_INFO[#All],2,FALSE)</f>
        <v>30</v>
      </c>
      <c r="D852" s="25">
        <f>+SUMIFS(PROVEEDORES[Total],PROVEEDORES[PROVEEDOR],PROVEEDORES[[#This Row],[PROVEEDOR]],PROVEEDORES[FECHA DE PAGO],"")</f>
        <v>0</v>
      </c>
      <c r="E852" s="25"/>
      <c r="F852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852" s="68">
        <v>44845</v>
      </c>
      <c r="H852" s="26" t="s">
        <v>1069</v>
      </c>
      <c r="I852" s="68">
        <v>44802</v>
      </c>
      <c r="J852" s="35" t="s">
        <v>1079</v>
      </c>
      <c r="K852" s="21">
        <v>1882354.8</v>
      </c>
      <c r="L852" s="21"/>
      <c r="M852" s="22">
        <f>(PROVEEDORES[[#This Row],[SUBTOTAL]]-PROVEEDORES[[#This Row],[descuento sobre subtotal]])*VLOOKUP(PROVEEDORES[[#This Row],[PROVEEDOR]],TERCEROS_INFO[#All],3,FALSE)</f>
        <v>357647.41200000001</v>
      </c>
      <c r="N852" s="23"/>
      <c r="O852" s="22">
        <f>+PROVEEDORES[[#This Row],[Descuento sobre subtotal %]]*(PROVEEDORES[[#This Row],[SUBTOTAL]]-PROVEEDORES[[#This Row],[descuento sobre subtotal]])</f>
        <v>0</v>
      </c>
      <c r="P852" s="74">
        <f>+IF(PROVEEDORES[[#This Row],[SUBTOTAL]]&lt;PROVEEDORES[[#This Row],[base retencion]],0,PROVEEDORES[[#This Row],[retención aplicada]])</f>
        <v>2.5000000000000001E-2</v>
      </c>
      <c r="Q852" s="22">
        <f>+PROVEEDORES[[#This Row],[Rete Fuente %]]*(PROVEEDORES[[#This Row],[SUBTOTAL]]-PROVEEDORES[[#This Row],[descuento sobre subtotal]])</f>
        <v>47058.87</v>
      </c>
      <c r="R852" s="21">
        <v>0</v>
      </c>
      <c r="S85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63">
        <f ca="1">IF(PROVEEDORES[[#This Row],[FECHA DE PAGO]]=0,TODAY()-PROVEEDORES[[#This Row],[FECHA DE FACTURACIÓN]]-PROVEEDORES[[#This Row],[PLAZO Días]],0)</f>
        <v>0</v>
      </c>
      <c r="U852" s="104" t="str">
        <f>+VLOOKUP(PROVEEDORES[[#This Row],[PROVEEDOR]],Terceros!$A:$D,4,FALSE)</f>
        <v>2,5% con base</v>
      </c>
      <c r="V852" s="105">
        <f>+YEAR(PROVEEDORES[[#This Row],[FECHA DE FACTURACIÓN]])</f>
        <v>2022</v>
      </c>
      <c r="W852" s="105">
        <f>+MATCH(PROVEEDORES[[#This Row],[año facturado]],Retenciones!$1:$1,0)</f>
        <v>5</v>
      </c>
      <c r="X852" s="106">
        <f>+VLOOKUP(PROVEEDORES[[#This Row],[ID RETENCION]],Retenciones!$A$1:$O$25,PROVEEDORES[[#This Row],[indicador de columna]],FALSE)</f>
        <v>1026000</v>
      </c>
      <c r="Y852" s="107">
        <f>+VLOOKUP(PROVEEDORES[[#This Row],[ID RETENCION]],Retenciones!$A$1:$O$25,2,FALSE)</f>
        <v>2.5000000000000001E-2</v>
      </c>
      <c r="Z852" s="116" t="b">
        <f>OR(COUNTIF(PROVEEDORES[[#This Row],[PROVEEDOR]],"*"&amp;'Palabra no opera'!$A$2&amp;"*"))</f>
        <v>0</v>
      </c>
    </row>
    <row r="853" spans="1:26" ht="22.35" customHeight="1" x14ac:dyDescent="0.3">
      <c r="A853" s="186" t="str">
        <f>+IF(PROVEEDORES[[#This Row],[FECHA DE PAGO]]=PROVEEDORES[[#This Row],[FECHA DE FACTURACIÓN]],"DE CONTADO","CRÉDITO")</f>
        <v>CRÉDITO</v>
      </c>
      <c r="B853" s="38" t="str">
        <f>+IF((PROVEEDORES[[#This Row],[FECHA DE PAGO]]-PROVEEDORES[[#This Row],[FECHA DE FACTURACIÓN]])&gt;PROVEEDORES[[#This Row],[PLAZO Días]],"PAGO VENCIDO")</f>
        <v>PAGO VENCIDO</v>
      </c>
      <c r="C853" s="20">
        <f>+VLOOKUP(PROVEEDORES[[#This Row],[PROVEEDOR]],TERCEROS_INFO[#All],2,FALSE)</f>
        <v>30</v>
      </c>
      <c r="D853" s="25">
        <f>+SUMIFS(PROVEEDORES[Total],PROVEEDORES[PROVEEDOR],PROVEEDORES[[#This Row],[PROVEEDOR]],PROVEEDORES[FECHA DE PAGO],"")</f>
        <v>0</v>
      </c>
      <c r="E853" s="25"/>
      <c r="F853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853" s="68">
        <v>44845</v>
      </c>
      <c r="H853" s="26" t="s">
        <v>1069</v>
      </c>
      <c r="I853" s="68">
        <v>44802</v>
      </c>
      <c r="J853" s="35" t="s">
        <v>1078</v>
      </c>
      <c r="K853" s="21">
        <v>1882355</v>
      </c>
      <c r="L853" s="21"/>
      <c r="M853" s="22">
        <f>(PROVEEDORES[[#This Row],[SUBTOTAL]]-PROVEEDORES[[#This Row],[descuento sobre subtotal]])*VLOOKUP(PROVEEDORES[[#This Row],[PROVEEDOR]],TERCEROS_INFO[#All],3,FALSE)</f>
        <v>357647.45</v>
      </c>
      <c r="N853" s="23"/>
      <c r="O853" s="22">
        <f>+PROVEEDORES[[#This Row],[Descuento sobre subtotal %]]*(PROVEEDORES[[#This Row],[SUBTOTAL]]-PROVEEDORES[[#This Row],[descuento sobre subtotal]])</f>
        <v>0</v>
      </c>
      <c r="P853" s="74">
        <f>+IF(PROVEEDORES[[#This Row],[SUBTOTAL]]&lt;PROVEEDORES[[#This Row],[base retencion]],0,PROVEEDORES[[#This Row],[retención aplicada]])</f>
        <v>2.5000000000000001E-2</v>
      </c>
      <c r="Q853" s="22">
        <f>+PROVEEDORES[[#This Row],[Rete Fuente %]]*(PROVEEDORES[[#This Row],[SUBTOTAL]]-PROVEEDORES[[#This Row],[descuento sobre subtotal]])</f>
        <v>47058.875</v>
      </c>
      <c r="R853" s="21">
        <f>+PROVEEDORES[[#This Row],[SUBTOTAL]]+PROVEEDORES[[#This Row],[IVA 19%]]-PROVEEDORES[[#This Row],[descuento sobre subtotal]]-PROVEEDORES[[#This Row],[Descuento sobre subtotal $2]]-PROVEEDORES[[#This Row],[Rete Fuente $]]</f>
        <v>2192943.5750000002</v>
      </c>
      <c r="S853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63">
        <f ca="1">IF(PROVEEDORES[[#This Row],[FECHA DE PAGO]]=0,TODAY()-PROVEEDORES[[#This Row],[FECHA DE FACTURACIÓN]]-PROVEEDORES[[#This Row],[PLAZO Días]],0)</f>
        <v>0</v>
      </c>
      <c r="U853" s="104" t="str">
        <f>+VLOOKUP(PROVEEDORES[[#This Row],[PROVEEDOR]],Terceros!$A:$D,4,FALSE)</f>
        <v>2,5% con base</v>
      </c>
      <c r="V853" s="105">
        <f>+YEAR(PROVEEDORES[[#This Row],[FECHA DE FACTURACIÓN]])</f>
        <v>2022</v>
      </c>
      <c r="W853" s="105">
        <f>+MATCH(PROVEEDORES[[#This Row],[año facturado]],Retenciones!$1:$1,0)</f>
        <v>5</v>
      </c>
      <c r="X853" s="106">
        <f>+VLOOKUP(PROVEEDORES[[#This Row],[ID RETENCION]],Retenciones!$A$1:$O$25,PROVEEDORES[[#This Row],[indicador de columna]],FALSE)</f>
        <v>1026000</v>
      </c>
      <c r="Y853" s="107">
        <f>+VLOOKUP(PROVEEDORES[[#This Row],[ID RETENCION]],Retenciones!$A$1:$O$25,2,FALSE)</f>
        <v>2.5000000000000001E-2</v>
      </c>
      <c r="Z853" s="116" t="b">
        <f>OR(COUNTIF(PROVEEDORES[[#This Row],[PROVEEDOR]],"*"&amp;'Palabra no opera'!$A$2&amp;"*"))</f>
        <v>0</v>
      </c>
    </row>
    <row r="854" spans="1:26" ht="22.35" customHeight="1" x14ac:dyDescent="0.3">
      <c r="A854" s="67" t="str">
        <f>+IF(PROVEEDORES[[#This Row],[FECHA DE PAGO]]=PROVEEDORES[[#This Row],[FECHA DE FACTURACIÓN]],"DE CONTADO","CRÉDITO")</f>
        <v>CRÉDITO</v>
      </c>
      <c r="B854" s="38" t="b">
        <f>+IF((PROVEEDORES[[#This Row],[FECHA DE PAGO]]-PROVEEDORES[[#This Row],[FECHA DE FACTURACIÓN]])&gt;PROVEEDORES[[#This Row],[PLAZO Días]],"PAGO VENCIDO")</f>
        <v>0</v>
      </c>
      <c r="C854" s="20">
        <f>+VLOOKUP(PROVEEDORES[[#This Row],[PROVEEDOR]],TERCEROS_INFO[#All],2,FALSE)</f>
        <v>30</v>
      </c>
      <c r="D854" s="25">
        <f>+SUMIFS(PROVEEDORES[Total],PROVEEDORES[PROVEEDOR],PROVEEDORES[[#This Row],[PROVEEDOR]],PROVEEDORES[FECHA DE PAGO],"")</f>
        <v>0</v>
      </c>
      <c r="E854" s="25"/>
      <c r="F854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54" s="68">
        <v>44847</v>
      </c>
      <c r="H854" s="26" t="s">
        <v>966</v>
      </c>
      <c r="I854" s="68">
        <v>44841</v>
      </c>
      <c r="J854" s="35">
        <v>362</v>
      </c>
      <c r="K854" s="21">
        <v>437000</v>
      </c>
      <c r="L854" s="21"/>
      <c r="M854" s="22">
        <f>(PROVEEDORES[[#This Row],[SUBTOTAL]]-PROVEEDORES[[#This Row],[descuento sobre subtotal]])*VLOOKUP(PROVEEDORES[[#This Row],[PROVEEDOR]],TERCEROS_INFO[#All],3,FALSE)</f>
        <v>0</v>
      </c>
      <c r="N854" s="23"/>
      <c r="O854" s="22">
        <f>+PROVEEDORES[[#This Row],[Descuento sobre subtotal %]]*(PROVEEDORES[[#This Row],[SUBTOTAL]]-PROVEEDORES[[#This Row],[descuento sobre subtotal]])</f>
        <v>0</v>
      </c>
      <c r="P854" s="74">
        <f>+IF(PROVEEDORES[[#This Row],[SUBTOTAL]]&lt;PROVEEDORES[[#This Row],[base retencion]],0,PROVEEDORES[[#This Row],[retención aplicada]])</f>
        <v>0</v>
      </c>
      <c r="Q854" s="22">
        <f>+PROVEEDORES[[#This Row],[Rete Fuente %]]*(PROVEEDORES[[#This Row],[SUBTOTAL]]-PROVEEDORES[[#This Row],[descuento sobre subtotal]])</f>
        <v>0</v>
      </c>
      <c r="R854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8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63">
        <f ca="1">IF(PROVEEDORES[[#This Row],[FECHA DE PAGO]]=0,TODAY()-PROVEEDORES[[#This Row],[FECHA DE FACTURACIÓN]]-PROVEEDORES[[#This Row],[PLAZO Días]],0)</f>
        <v>0</v>
      </c>
      <c r="U854" s="104">
        <f>+VLOOKUP(PROVEEDORES[[#This Row],[PROVEEDOR]],Terceros!$A:$D,4,FALSE)</f>
        <v>0</v>
      </c>
      <c r="V854" s="105">
        <f>+YEAR(PROVEEDORES[[#This Row],[FECHA DE FACTURACIÓN]])</f>
        <v>2022</v>
      </c>
      <c r="W854" s="105">
        <f>+MATCH(PROVEEDORES[[#This Row],[año facturado]],Retenciones!$1:$1,0)</f>
        <v>5</v>
      </c>
      <c r="X854" s="106">
        <f>+VLOOKUP(PROVEEDORES[[#This Row],[ID RETENCION]],Retenciones!$A$1:$O$25,PROVEEDORES[[#This Row],[indicador de columna]],FALSE)</f>
        <v>0</v>
      </c>
      <c r="Y854" s="107">
        <f>+VLOOKUP(PROVEEDORES[[#This Row],[ID RETENCION]],Retenciones!$A$1:$O$25,2,FALSE)</f>
        <v>0</v>
      </c>
      <c r="Z854" s="116" t="b">
        <f>OR(COUNTIF(PROVEEDORES[[#This Row],[PROVEEDOR]],"*"&amp;'Palabra no opera'!$A$2&amp;"*"))</f>
        <v>0</v>
      </c>
    </row>
    <row r="855" spans="1:26" ht="22.35" customHeight="1" x14ac:dyDescent="0.3">
      <c r="A855" s="182" t="str">
        <f>+IF(PROVEEDORES[[#This Row],[FECHA DE PAGO]]=PROVEEDORES[[#This Row],[FECHA DE FACTURACIÓN]],"DE CONTADO","CRÉDITO")</f>
        <v>CRÉDITO</v>
      </c>
      <c r="B855" s="38" t="b">
        <f>+IF((PROVEEDORES[[#This Row],[FECHA DE PAGO]]-PROVEEDORES[[#This Row],[FECHA DE FACTURACIÓN]])&gt;PROVEEDORES[[#This Row],[PLAZO Días]],"PAGO VENCIDO")</f>
        <v>0</v>
      </c>
      <c r="C855" s="20">
        <f>+VLOOKUP(PROVEEDORES[[#This Row],[PROVEEDOR]],TERCEROS_INFO[#All],2,FALSE)</f>
        <v>60</v>
      </c>
      <c r="D855" s="25">
        <f>+SUMIFS(PROVEEDORES[Total],PROVEEDORES[PROVEEDOR],PROVEEDORES[[#This Row],[PROVEEDOR]],PROVEEDORES[FECHA DE PAGO],"")</f>
        <v>0</v>
      </c>
      <c r="E855" s="25"/>
      <c r="F855" s="56">
        <f>+VLOOKUP(PROVEEDORES[[#This Row],[PROVEEDOR]],
                       Terceros!$A:$F,
                       5,
                       FALSE)</f>
        <v>0</v>
      </c>
      <c r="G855" s="68">
        <v>44848</v>
      </c>
      <c r="H855" s="26" t="s">
        <v>951</v>
      </c>
      <c r="I855" s="68">
        <v>44790</v>
      </c>
      <c r="J855" s="35" t="s">
        <v>941</v>
      </c>
      <c r="K855" s="21">
        <v>420000</v>
      </c>
      <c r="L855" s="21"/>
      <c r="M855" s="22">
        <f>(PROVEEDORES[[#This Row],[SUBTOTAL]]-PROVEEDORES[[#This Row],[descuento sobre subtotal]])*VLOOKUP(PROVEEDORES[[#This Row],[PROVEEDOR]],TERCEROS_INFO[#All],3,FALSE)</f>
        <v>79800</v>
      </c>
      <c r="N855" s="23"/>
      <c r="O855" s="22">
        <f>+PROVEEDORES[[#This Row],[Descuento sobre subtotal %]]*(PROVEEDORES[[#This Row],[SUBTOTAL]]-PROVEEDORES[[#This Row],[descuento sobre subtotal]])</f>
        <v>0</v>
      </c>
      <c r="P855" s="74">
        <f>+IF(PROVEEDORES[[#This Row],[SUBTOTAL]]&lt;PROVEEDORES[[#This Row],[base retencion]],0,PROVEEDORES[[#This Row],[retención aplicada]])</f>
        <v>0</v>
      </c>
      <c r="Q855" s="22">
        <f>+PROVEEDORES[[#This Row],[Rete Fuente %]]*(PROVEEDORES[[#This Row],[SUBTOTAL]]-PROVEEDORES[[#This Row],[descuento sobre subtotal]])</f>
        <v>0</v>
      </c>
      <c r="R855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85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63">
        <f ca="1">IF(PROVEEDORES[[#This Row],[FECHA DE PAGO]]=0,TODAY()-PROVEEDORES[[#This Row],[FECHA DE FACTURACIÓN]]-PROVEEDORES[[#This Row],[PLAZO Días]],0)</f>
        <v>0</v>
      </c>
      <c r="U855" s="104">
        <f>+VLOOKUP(PROVEEDORES[[#This Row],[PROVEEDOR]],Terceros!$A:$D,4,FALSE)</f>
        <v>0</v>
      </c>
      <c r="V855" s="105">
        <f>+YEAR(PROVEEDORES[[#This Row],[FECHA DE FACTURACIÓN]])</f>
        <v>2022</v>
      </c>
      <c r="W855" s="105">
        <f>+MATCH(PROVEEDORES[[#This Row],[año facturado]],Retenciones!$1:$1,0)</f>
        <v>5</v>
      </c>
      <c r="X855" s="106">
        <f>+VLOOKUP(PROVEEDORES[[#This Row],[ID RETENCION]],Retenciones!$A$1:$O$25,PROVEEDORES[[#This Row],[indicador de columna]],FALSE)</f>
        <v>0</v>
      </c>
      <c r="Y855" s="107">
        <f>+VLOOKUP(PROVEEDORES[[#This Row],[ID RETENCION]],Retenciones!$A$1:$O$25,2,FALSE)</f>
        <v>0</v>
      </c>
      <c r="Z855" s="116" t="b">
        <f>OR(COUNTIF(PROVEEDORES[[#This Row],[PROVEEDOR]],"*"&amp;'Palabra no opera'!$A$2&amp;"*"))</f>
        <v>1</v>
      </c>
    </row>
    <row r="856" spans="1:26" ht="22.35" customHeight="1" x14ac:dyDescent="0.3">
      <c r="A856" s="232" t="str">
        <f>+IF(PROVEEDORES[[#This Row],[FECHA DE PAGO]]=PROVEEDORES[[#This Row],[FECHA DE FACTURACIÓN]],"DE CONTADO","CRÉDITO")</f>
        <v>DE CONTADO</v>
      </c>
      <c r="B856" s="38" t="b">
        <f>+IF((PROVEEDORES[[#This Row],[FECHA DE PAGO]]-PROVEEDORES[[#This Row],[FECHA DE FACTURACIÓN]])&gt;PROVEEDORES[[#This Row],[PLAZO Días]],"PAGO VENCIDO")</f>
        <v>0</v>
      </c>
      <c r="C856" s="20">
        <f>+VLOOKUP(PROVEEDORES[[#This Row],[PROVEEDOR]],TERCEROS_INFO[#All],2,FALSE)</f>
        <v>30</v>
      </c>
      <c r="D856" s="25">
        <f>+SUMIFS(PROVEEDORES[Total],PROVEEDORES[PROVEEDOR],PROVEEDORES[[#This Row],[PROVEEDOR]],PROVEEDORES[FECHA DE PAGO],"")</f>
        <v>0</v>
      </c>
      <c r="E856" s="25"/>
      <c r="F856" s="56" t="str">
        <f>+VLOOKUP(PROVEEDORES[[#This Row],[PROVEEDOR]],
                       Terceros!$A:$F,
                       5,
                       FALSE)</f>
        <v/>
      </c>
      <c r="G856" s="68">
        <v>44852</v>
      </c>
      <c r="H856" s="26" t="s">
        <v>362</v>
      </c>
      <c r="I856" s="68">
        <v>44852</v>
      </c>
      <c r="J856" s="35" t="s">
        <v>1224</v>
      </c>
      <c r="K856" s="21">
        <v>35000</v>
      </c>
      <c r="L856" s="21"/>
      <c r="M856" s="22">
        <f>(PROVEEDORES[[#This Row],[SUBTOTAL]]-PROVEEDORES[[#This Row],[descuento sobre subtotal]])*VLOOKUP(PROVEEDORES[[#This Row],[PROVEEDOR]],TERCEROS_INFO[#All],3,FALSE)</f>
        <v>0</v>
      </c>
      <c r="N856" s="23"/>
      <c r="O856" s="22">
        <f>+PROVEEDORES[[#This Row],[Descuento sobre subtotal %]]*(PROVEEDORES[[#This Row],[SUBTOTAL]]-PROVEEDORES[[#This Row],[descuento sobre subtotal]])</f>
        <v>0</v>
      </c>
      <c r="P856" s="74">
        <f>+IF(PROVEEDORES[[#This Row],[SUBTOTAL]]&lt;PROVEEDORES[[#This Row],[base retencion]],0,PROVEEDORES[[#This Row],[retención aplicada]])</f>
        <v>0</v>
      </c>
      <c r="Q856" s="22">
        <f>+PROVEEDORES[[#This Row],[Rete Fuente %]]*(PROVEEDORES[[#This Row],[SUBTOTAL]]-PROVEEDORES[[#This Row],[descuento sobre subtotal]])</f>
        <v>0</v>
      </c>
      <c r="R856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856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63">
        <f ca="1">IF(PROVEEDORES[[#This Row],[FECHA DE PAGO]]=0,TODAY()-PROVEEDORES[[#This Row],[FECHA DE FACTURACIÓN]]-PROVEEDORES[[#This Row],[PLAZO Días]],0)</f>
        <v>0</v>
      </c>
      <c r="U856" s="104">
        <f>+VLOOKUP(PROVEEDORES[[#This Row],[PROVEEDOR]],Terceros!$A:$D,4,FALSE)</f>
        <v>0</v>
      </c>
      <c r="V856" s="105">
        <f>+YEAR(PROVEEDORES[[#This Row],[FECHA DE FACTURACIÓN]])</f>
        <v>2022</v>
      </c>
      <c r="W856" s="105">
        <f>+MATCH(PROVEEDORES[[#This Row],[año facturado]],Retenciones!$1:$1,0)</f>
        <v>5</v>
      </c>
      <c r="X856" s="106">
        <f>+VLOOKUP(PROVEEDORES[[#This Row],[ID RETENCION]],Retenciones!$A$1:$O$25,PROVEEDORES[[#This Row],[indicador de columna]],FALSE)</f>
        <v>0</v>
      </c>
      <c r="Y856" s="107">
        <f>+VLOOKUP(PROVEEDORES[[#This Row],[ID RETENCION]],Retenciones!$A$1:$O$25,2,FALSE)</f>
        <v>0</v>
      </c>
      <c r="Z856" s="116" t="b">
        <f>OR(COUNTIF(PROVEEDORES[[#This Row],[PROVEEDOR]],"*"&amp;'Palabra no opera'!$A$2&amp;"*"))</f>
        <v>0</v>
      </c>
    </row>
    <row r="857" spans="1:26" ht="22.35" customHeight="1" x14ac:dyDescent="0.3">
      <c r="A857" s="232" t="str">
        <f>+IF(PROVEEDORES[[#This Row],[FECHA DE PAGO]]=PROVEEDORES[[#This Row],[FECHA DE FACTURACIÓN]],"DE CONTADO","CRÉDITO")</f>
        <v>CRÉDITO</v>
      </c>
      <c r="B857" s="38" t="b">
        <f>+IF((PROVEEDORES[[#This Row],[FECHA DE PAGO]]-PROVEEDORES[[#This Row],[FECHA DE FACTURACIÓN]])&gt;PROVEEDORES[[#This Row],[PLAZO Días]],"PAGO VENCIDO")</f>
        <v>0</v>
      </c>
      <c r="C857" s="20">
        <f>+VLOOKUP(PROVEEDORES[[#This Row],[PROVEEDOR]],TERCEROS_INFO[#All],2,FALSE)</f>
        <v>30</v>
      </c>
      <c r="D857" s="25">
        <f>+SUMIFS(PROVEEDORES[Total],PROVEEDORES[PROVEEDOR],PROVEEDORES[[#This Row],[PROVEEDOR]],PROVEEDORES[FECHA DE PAGO],"")</f>
        <v>559000</v>
      </c>
      <c r="E857" s="25"/>
      <c r="F857" s="56" t="str">
        <f>+VLOOKUP(PROVEEDORES[[#This Row],[PROVEEDOR]],
                       Terceros!$A:$F,
                       5,
                       FALSE)</f>
        <v/>
      </c>
      <c r="G857" s="68">
        <v>44852</v>
      </c>
      <c r="H857" s="26" t="s">
        <v>1133</v>
      </c>
      <c r="I857" s="68">
        <v>44844</v>
      </c>
      <c r="J857" s="35">
        <v>327</v>
      </c>
      <c r="K857" s="21">
        <v>702000</v>
      </c>
      <c r="L857" s="21"/>
      <c r="M857" s="22">
        <f>(PROVEEDORES[[#This Row],[SUBTOTAL]]-PROVEEDORES[[#This Row],[descuento sobre subtotal]])*VLOOKUP(PROVEEDORES[[#This Row],[PROVEEDOR]],TERCEROS_INFO[#All],3,FALSE)</f>
        <v>0</v>
      </c>
      <c r="N857" s="23"/>
      <c r="O857" s="22">
        <f>+PROVEEDORES[[#This Row],[Descuento sobre subtotal %]]*(PROVEEDORES[[#This Row],[SUBTOTAL]]-PROVEEDORES[[#This Row],[descuento sobre subtotal]])</f>
        <v>0</v>
      </c>
      <c r="P857" s="74">
        <f>+IF(PROVEEDORES[[#This Row],[SUBTOTAL]]&lt;PROVEEDORES[[#This Row],[base retencion]],0,PROVEEDORES[[#This Row],[retención aplicada]])</f>
        <v>0</v>
      </c>
      <c r="Q857" s="22">
        <f>+PROVEEDORES[[#This Row],[Rete Fuente %]]*(PROVEEDORES[[#This Row],[SUBTOTAL]]-PROVEEDORES[[#This Row],[descuento sobre subtotal]])</f>
        <v>0</v>
      </c>
      <c r="R857" s="21">
        <f>+PROVEEDORES[[#This Row],[SUBTOTAL]]+PROVEEDORES[[#This Row],[IVA 19%]]-PROVEEDORES[[#This Row],[descuento sobre subtotal]]-PROVEEDORES[[#This Row],[Descuento sobre subtotal $2]]-PROVEEDORES[[#This Row],[Rete Fuente $]]</f>
        <v>702000</v>
      </c>
      <c r="S857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63">
        <f ca="1">IF(PROVEEDORES[[#This Row],[FECHA DE PAGO]]=0,TODAY()-PROVEEDORES[[#This Row],[FECHA DE FACTURACIÓN]]-PROVEEDORES[[#This Row],[PLAZO Días]],0)</f>
        <v>0</v>
      </c>
      <c r="U857" s="104">
        <f>+VLOOKUP(PROVEEDORES[[#This Row],[PROVEEDOR]],Terceros!$A:$D,4,FALSE)</f>
        <v>0</v>
      </c>
      <c r="V857" s="105">
        <f>+YEAR(PROVEEDORES[[#This Row],[FECHA DE FACTURACIÓN]])</f>
        <v>2022</v>
      </c>
      <c r="W857" s="105">
        <f>+MATCH(PROVEEDORES[[#This Row],[año facturado]],Retenciones!$1:$1,0)</f>
        <v>5</v>
      </c>
      <c r="X857" s="106">
        <f>+VLOOKUP(PROVEEDORES[[#This Row],[ID RETENCION]],Retenciones!$A$1:$O$25,PROVEEDORES[[#This Row],[indicador de columna]],FALSE)</f>
        <v>0</v>
      </c>
      <c r="Y857" s="107">
        <f>+VLOOKUP(PROVEEDORES[[#This Row],[ID RETENCION]],Retenciones!$A$1:$O$25,2,FALSE)</f>
        <v>0</v>
      </c>
      <c r="Z857" s="116" t="b">
        <f>OR(COUNTIF(PROVEEDORES[[#This Row],[PROVEEDOR]],"*"&amp;'Palabra no opera'!$A$2&amp;"*"))</f>
        <v>0</v>
      </c>
    </row>
    <row r="858" spans="1:26" ht="22.35" customHeight="1" x14ac:dyDescent="0.3">
      <c r="A858" s="222" t="str">
        <f>+IF(PROVEEDORES[[#This Row],[FECHA DE PAGO]]=PROVEEDORES[[#This Row],[FECHA DE FACTURACIÓN]],"DE CONTADO","CRÉDITO")</f>
        <v>DE CONTADO</v>
      </c>
      <c r="B858" s="38" t="b">
        <f>+IF((PROVEEDORES[[#This Row],[FECHA DE PAGO]]-PROVEEDORES[[#This Row],[FECHA DE FACTURACIÓN]])&gt;PROVEEDORES[[#This Row],[PLAZO Días]],"PAGO VENCIDO")</f>
        <v>0</v>
      </c>
      <c r="C858" s="20">
        <f>+VLOOKUP(PROVEEDORES[[#This Row],[PROVEEDOR]],TERCEROS_INFO[#All],2,FALSE)</f>
        <v>30</v>
      </c>
      <c r="D858" s="25">
        <f>+SUMIFS(PROVEEDORES[Total],PROVEEDORES[PROVEEDOR],PROVEEDORES[[#This Row],[PROVEEDOR]],PROVEEDORES[FECHA DE PAGO],"")</f>
        <v>0</v>
      </c>
      <c r="E858" s="25"/>
      <c r="F858" s="56" t="str">
        <f>+VLOOKUP(PROVEEDORES[[#This Row],[PROVEEDOR]],
                       Terceros!$A:$F,
                       5,
                       FALSE)</f>
        <v/>
      </c>
      <c r="G858" s="68">
        <v>44852</v>
      </c>
      <c r="H858" s="26" t="s">
        <v>37</v>
      </c>
      <c r="I858" s="68">
        <v>44852</v>
      </c>
      <c r="J858" s="35" t="s">
        <v>1205</v>
      </c>
      <c r="K858" s="21">
        <v>776600</v>
      </c>
      <c r="L858" s="21"/>
      <c r="M858" s="22">
        <f>(PROVEEDORES[[#This Row],[SUBTOTAL]]-PROVEEDORES[[#This Row],[descuento sobre subtotal]])*VLOOKUP(PROVEEDORES[[#This Row],[PROVEEDOR]],TERCEROS_INFO[#All],3,FALSE)</f>
        <v>147554</v>
      </c>
      <c r="N858" s="23"/>
      <c r="O858" s="22">
        <f>+PROVEEDORES[[#This Row],[Descuento sobre subtotal %]]*(PROVEEDORES[[#This Row],[SUBTOTAL]]-PROVEEDORES[[#This Row],[descuento sobre subtotal]])</f>
        <v>0</v>
      </c>
      <c r="P858" s="74">
        <f>+IF(PROVEEDORES[[#This Row],[SUBTOTAL]]&lt;PROVEEDORES[[#This Row],[base retencion]],0,PROVEEDORES[[#This Row],[retención aplicada]])</f>
        <v>0</v>
      </c>
      <c r="Q858" s="22">
        <f>+PROVEEDORES[[#This Row],[Rete Fuente %]]*(PROVEEDORES[[#This Row],[SUBTOTAL]]-PROVEEDORES[[#This Row],[descuento sobre subtotal]])</f>
        <v>0</v>
      </c>
      <c r="R858" s="21">
        <f>+PROVEEDORES[[#This Row],[SUBTOTAL]]+PROVEEDORES[[#This Row],[IVA 19%]]-PROVEEDORES[[#This Row],[descuento sobre subtotal]]-PROVEEDORES[[#This Row],[Descuento sobre subtotal $2]]-PROVEEDORES[[#This Row],[Rete Fuente $]]</f>
        <v>924154</v>
      </c>
      <c r="S858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63">
        <f ca="1">IF(PROVEEDORES[[#This Row],[FECHA DE PAGO]]=0,TODAY()-PROVEEDORES[[#This Row],[FECHA DE FACTURACIÓN]]-PROVEEDORES[[#This Row],[PLAZO Días]],0)</f>
        <v>0</v>
      </c>
      <c r="U858" s="104" t="str">
        <f>+VLOOKUP(PROVEEDORES[[#This Row],[PROVEEDOR]],Terceros!$A:$D,4,FALSE)</f>
        <v>2,5% con base</v>
      </c>
      <c r="V858" s="105">
        <f>+YEAR(PROVEEDORES[[#This Row],[FECHA DE FACTURACIÓN]])</f>
        <v>2022</v>
      </c>
      <c r="W858" s="105">
        <f>+MATCH(PROVEEDORES[[#This Row],[año facturado]],Retenciones!$1:$1,0)</f>
        <v>5</v>
      </c>
      <c r="X858" s="106">
        <f>+VLOOKUP(PROVEEDORES[[#This Row],[ID RETENCION]],Retenciones!$A$1:$O$25,PROVEEDORES[[#This Row],[indicador de columna]],FALSE)</f>
        <v>1026000</v>
      </c>
      <c r="Y858" s="107">
        <f>+VLOOKUP(PROVEEDORES[[#This Row],[ID RETENCION]],Retenciones!$A$1:$O$25,2,FALSE)</f>
        <v>2.5000000000000001E-2</v>
      </c>
      <c r="Z858" s="116" t="b">
        <f>OR(COUNTIF(PROVEEDORES[[#This Row],[PROVEEDOR]],"*"&amp;'Palabra no opera'!$A$2&amp;"*"))</f>
        <v>0</v>
      </c>
    </row>
    <row r="859" spans="1:26" ht="22.35" customHeight="1" x14ac:dyDescent="0.3">
      <c r="A859" s="182" t="str">
        <f>+IF(PROVEEDORES[[#This Row],[FECHA DE PAGO]]=PROVEEDORES[[#This Row],[FECHA DE FACTURACIÓN]],"DE CONTADO","CRÉDITO")</f>
        <v>CRÉDITO</v>
      </c>
      <c r="B859" s="38" t="str">
        <f>+IF((PROVEEDORES[[#This Row],[FECHA DE PAGO]]-PROVEEDORES[[#This Row],[FECHA DE FACTURACIÓN]])&gt;PROVEEDORES[[#This Row],[PLAZO Días]],"PAGO VENCIDO")</f>
        <v>PAGO VENCIDO</v>
      </c>
      <c r="C859" s="20">
        <f>+VLOOKUP(PROVEEDORES[[#This Row],[PROVEEDOR]],TERCEROS_INFO[#All],2,FALSE)</f>
        <v>30</v>
      </c>
      <c r="D859" s="25">
        <f>+SUMIFS(PROVEEDORES[Total],PROVEEDORES[PROVEEDOR],PROVEEDORES[[#This Row],[PROVEEDOR]],PROVEEDORES[FECHA DE PAGO],"")</f>
        <v>0</v>
      </c>
      <c r="E859" s="25"/>
      <c r="F859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859" s="68">
        <v>44852</v>
      </c>
      <c r="H859" s="26" t="s">
        <v>964</v>
      </c>
      <c r="I859" s="68">
        <v>44791</v>
      </c>
      <c r="J859" s="35" t="s">
        <v>937</v>
      </c>
      <c r="K859" s="21">
        <v>3840000</v>
      </c>
      <c r="L859" s="21"/>
      <c r="M859" s="22">
        <f>(PROVEEDORES[[#This Row],[SUBTOTAL]]-PROVEEDORES[[#This Row],[descuento sobre subtotal]])*VLOOKUP(PROVEEDORES[[#This Row],[PROVEEDOR]],TERCEROS_INFO[#All],3,FALSE)</f>
        <v>729600</v>
      </c>
      <c r="N859" s="23"/>
      <c r="O859" s="22">
        <f>+PROVEEDORES[[#This Row],[Descuento sobre subtotal %]]*(PROVEEDORES[[#This Row],[SUBTOTAL]]-PROVEEDORES[[#This Row],[descuento sobre subtotal]])</f>
        <v>0</v>
      </c>
      <c r="P859" s="74">
        <v>2.5000000000000001E-2</v>
      </c>
      <c r="Q859" s="22">
        <f>+PROVEEDORES[[#This Row],[Rete Fuente %]]*(PROVEEDORES[[#This Row],[SUBTOTAL]]-PROVEEDORES[[#This Row],[descuento sobre subtotal]])</f>
        <v>96000</v>
      </c>
      <c r="R859" s="21">
        <f>+PROVEEDORES[[#This Row],[SUBTOTAL]]+PROVEEDORES[[#This Row],[IVA 19%]]-PROVEEDORES[[#This Row],[descuento sobre subtotal]]-PROVEEDORES[[#This Row],[Descuento sobre subtotal $2]]-PROVEEDORES[[#This Row],[Rete Fuente $]]</f>
        <v>4473600</v>
      </c>
      <c r="S85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63">
        <f ca="1">IF(PROVEEDORES[[#This Row],[FECHA DE PAGO]]=0,TODAY()-PROVEEDORES[[#This Row],[FECHA DE FACTURACIÓN]]-PROVEEDORES[[#This Row],[PLAZO Días]],0)</f>
        <v>0</v>
      </c>
      <c r="U859" s="104">
        <f>+VLOOKUP(PROVEEDORES[[#This Row],[PROVEEDOR]],Terceros!$A:$D,4,FALSE)</f>
        <v>0</v>
      </c>
      <c r="V859" s="105">
        <f>+YEAR(PROVEEDORES[[#This Row],[FECHA DE FACTURACIÓN]])</f>
        <v>2022</v>
      </c>
      <c r="W859" s="105">
        <f>+MATCH(PROVEEDORES[[#This Row],[año facturado]],Retenciones!$1:$1,0)</f>
        <v>5</v>
      </c>
      <c r="X859" s="106">
        <f>+VLOOKUP(PROVEEDORES[[#This Row],[ID RETENCION]],Retenciones!$A$1:$O$25,PROVEEDORES[[#This Row],[indicador de columna]],FALSE)</f>
        <v>0</v>
      </c>
      <c r="Y859" s="107">
        <f>+VLOOKUP(PROVEEDORES[[#This Row],[ID RETENCION]],Retenciones!$A$1:$O$25,2,FALSE)</f>
        <v>0</v>
      </c>
      <c r="Z859" s="116" t="b">
        <f>OR(COUNTIF(PROVEEDORES[[#This Row],[PROVEEDOR]],"*"&amp;'Palabra no opera'!$A$2&amp;"*"))</f>
        <v>0</v>
      </c>
    </row>
    <row r="860" spans="1:26" ht="22.35" customHeight="1" x14ac:dyDescent="0.3">
      <c r="A860" s="182" t="str">
        <f>+IF(PROVEEDORES[[#This Row],[FECHA DE PAGO]]=PROVEEDORES[[#This Row],[FECHA DE FACTURACIÓN]],"DE CONTADO","CRÉDITO")</f>
        <v>CRÉDITO</v>
      </c>
      <c r="B860" s="38" t="str">
        <f>+IF((PROVEEDORES[[#This Row],[FECHA DE PAGO]]-PROVEEDORES[[#This Row],[FECHA DE FACTURACIÓN]])&gt;PROVEEDORES[[#This Row],[PLAZO Días]],"PAGO VENCIDO")</f>
        <v>PAGO VENCIDO</v>
      </c>
      <c r="C860" s="20">
        <f>+VLOOKUP(PROVEEDORES[[#This Row],[PROVEEDOR]],TERCEROS_INFO[#All],2,FALSE)</f>
        <v>30</v>
      </c>
      <c r="D860" s="25">
        <f>+SUMIFS(PROVEEDORES[Total],PROVEEDORES[PROVEEDOR],PROVEEDORES[[#This Row],[PROVEEDOR]],PROVEEDORES[FECHA DE PAGO],"")</f>
        <v>0</v>
      </c>
      <c r="E860" s="25"/>
      <c r="F860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860" s="68">
        <v>44852</v>
      </c>
      <c r="H860" s="26" t="s">
        <v>964</v>
      </c>
      <c r="I860" s="68">
        <v>44796</v>
      </c>
      <c r="J860" s="35" t="s">
        <v>965</v>
      </c>
      <c r="K860" s="21">
        <v>1532640</v>
      </c>
      <c r="L860" s="21"/>
      <c r="M860" s="22">
        <f>(PROVEEDORES[[#This Row],[SUBTOTAL]]-PROVEEDORES[[#This Row],[descuento sobre subtotal]])*VLOOKUP(PROVEEDORES[[#This Row],[PROVEEDOR]],TERCEROS_INFO[#All],3,FALSE)</f>
        <v>291201.59999999998</v>
      </c>
      <c r="N860" s="23"/>
      <c r="O860" s="22">
        <f>+PROVEEDORES[[#This Row],[Descuento sobre subtotal %]]*(PROVEEDORES[[#This Row],[SUBTOTAL]]-PROVEEDORES[[#This Row],[descuento sobre subtotal]])</f>
        <v>0</v>
      </c>
      <c r="P860" s="74">
        <v>2.5000000000000001E-2</v>
      </c>
      <c r="Q860" s="22">
        <f>+PROVEEDORES[[#This Row],[Rete Fuente %]]*(PROVEEDORES[[#This Row],[SUBTOTAL]]-PROVEEDORES[[#This Row],[descuento sobre subtotal]])</f>
        <v>38316</v>
      </c>
      <c r="R860" s="21">
        <f>+PROVEEDORES[[#This Row],[SUBTOTAL]]+PROVEEDORES[[#This Row],[IVA 19%]]-PROVEEDORES[[#This Row],[descuento sobre subtotal]]-PROVEEDORES[[#This Row],[Descuento sobre subtotal $2]]-PROVEEDORES[[#This Row],[Rete Fuente $]]</f>
        <v>1785525.6</v>
      </c>
      <c r="S86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63">
        <f ca="1">IF(PROVEEDORES[[#This Row],[FECHA DE PAGO]]=0,TODAY()-PROVEEDORES[[#This Row],[FECHA DE FACTURACIÓN]]-PROVEEDORES[[#This Row],[PLAZO Días]],0)</f>
        <v>0</v>
      </c>
      <c r="U860" s="104">
        <f>+VLOOKUP(PROVEEDORES[[#This Row],[PROVEEDOR]],Terceros!$A:$D,4,FALSE)</f>
        <v>0</v>
      </c>
      <c r="V860" s="105">
        <f>+YEAR(PROVEEDORES[[#This Row],[FECHA DE FACTURACIÓN]])</f>
        <v>2022</v>
      </c>
      <c r="W860" s="105">
        <f>+MATCH(PROVEEDORES[[#This Row],[año facturado]],Retenciones!$1:$1,0)</f>
        <v>5</v>
      </c>
      <c r="X860" s="106">
        <f>+VLOOKUP(PROVEEDORES[[#This Row],[ID RETENCION]],Retenciones!$A$1:$O$25,PROVEEDORES[[#This Row],[indicador de columna]],FALSE)</f>
        <v>0</v>
      </c>
      <c r="Y860" s="107">
        <f>+VLOOKUP(PROVEEDORES[[#This Row],[ID RETENCION]],Retenciones!$A$1:$O$25,2,FALSE)</f>
        <v>0</v>
      </c>
      <c r="Z860" s="116" t="b">
        <f>OR(COUNTIF(PROVEEDORES[[#This Row],[PROVEEDOR]],"*"&amp;'Palabra no opera'!$A$2&amp;"*"))</f>
        <v>0</v>
      </c>
    </row>
    <row r="861" spans="1:26" ht="22.35" customHeight="1" x14ac:dyDescent="0.3">
      <c r="A861" s="163" t="str">
        <f>+IF(PROVEEDORES[[#This Row],[FECHA DE PAGO]]=PROVEEDORES[[#This Row],[FECHA DE FACTURACIÓN]],"DE CONTADO","CRÉDITO")</f>
        <v>CRÉDITO</v>
      </c>
      <c r="B861" s="38" t="str">
        <f>+IF((PROVEEDORES[[#This Row],[FECHA DE PAGO]]-PROVEEDORES[[#This Row],[FECHA DE FACTURACIÓN]])&gt;PROVEEDORES[[#This Row],[PLAZO Días]],"PAGO VENCIDO")</f>
        <v>PAGO VENCIDO</v>
      </c>
      <c r="C861" s="20">
        <f>+VLOOKUP(PROVEEDORES[[#This Row],[PROVEEDOR]],TERCEROS_INFO[#All],2,FALSE)</f>
        <v>30</v>
      </c>
      <c r="D861" s="25">
        <f>+SUMIFS(PROVEEDORES[Total],PROVEEDORES[PROVEEDOR],PROVEEDORES[[#This Row],[PROVEEDOR]],PROVEEDORES[FECHA DE PAGO],"")</f>
        <v>22881826.27</v>
      </c>
      <c r="E861" s="25"/>
      <c r="F861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861" s="68">
        <v>44852</v>
      </c>
      <c r="H861" s="26" t="s">
        <v>9</v>
      </c>
      <c r="I861" s="68">
        <v>44754</v>
      </c>
      <c r="J861" s="35">
        <v>77683</v>
      </c>
      <c r="K861" s="21">
        <v>15524476</v>
      </c>
      <c r="L861" s="21"/>
      <c r="M861" s="22">
        <f>(PROVEEDORES[[#This Row],[SUBTOTAL]]-PROVEEDORES[[#This Row],[descuento sobre subtotal]])*VLOOKUP(PROVEEDORES[[#This Row],[PROVEEDOR]],TERCEROS_INFO[#All],3,FALSE)</f>
        <v>2949650.44</v>
      </c>
      <c r="N861" s="23"/>
      <c r="O861" s="22">
        <f>+PROVEEDORES[[#This Row],[Descuento sobre subtotal %]]*(PROVEEDORES[[#This Row],[SUBTOTAL]]-PROVEEDORES[[#This Row],[descuento sobre subtotal]])</f>
        <v>0</v>
      </c>
      <c r="P861" s="74">
        <f>+IF(PROVEEDORES[[#This Row],[SUBTOTAL]]&lt;PROVEEDORES[[#This Row],[base retencion]],0,PROVEEDORES[[#This Row],[retención aplicada]])</f>
        <v>2.5000000000000001E-2</v>
      </c>
      <c r="Q861" s="22">
        <f>+PROVEEDORES[[#This Row],[Rete Fuente %]]*(PROVEEDORES[[#This Row],[SUBTOTAL]]-PROVEEDORES[[#This Row],[descuento sobre subtotal]])</f>
        <v>388111.9</v>
      </c>
      <c r="R861" s="21">
        <f>+PROVEEDORES[[#This Row],[SUBTOTAL]]+PROVEEDORES[[#This Row],[IVA 19%]]-PROVEEDORES[[#This Row],[descuento sobre subtotal]]-PROVEEDORES[[#This Row],[Descuento sobre subtotal $2]]-PROVEEDORES[[#This Row],[Rete Fuente $]]</f>
        <v>18086014.540000003</v>
      </c>
      <c r="S861" s="1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63">
        <f ca="1">IF(PROVEEDORES[[#This Row],[FECHA DE PAGO]]=0,TODAY()-PROVEEDORES[[#This Row],[FECHA DE FACTURACIÓN]]-PROVEEDORES[[#This Row],[PLAZO Días]],0)</f>
        <v>0</v>
      </c>
      <c r="U861" s="104" t="str">
        <f>+VLOOKUP(PROVEEDORES[[#This Row],[PROVEEDOR]],Terceros!$A:$D,4,FALSE)</f>
        <v>2,5% con base</v>
      </c>
      <c r="V861" s="105">
        <f>+YEAR(PROVEEDORES[[#This Row],[FECHA DE FACTURACIÓN]])</f>
        <v>2022</v>
      </c>
      <c r="W861" s="105">
        <f>+MATCH(PROVEEDORES[[#This Row],[año facturado]],Retenciones!$1:$1,0)</f>
        <v>5</v>
      </c>
      <c r="X861" s="106">
        <f>+VLOOKUP(PROVEEDORES[[#This Row],[ID RETENCION]],Retenciones!$A$1:$O$25,PROVEEDORES[[#This Row],[indicador de columna]],FALSE)</f>
        <v>1026000</v>
      </c>
      <c r="Y861" s="107">
        <f>+VLOOKUP(PROVEEDORES[[#This Row],[ID RETENCION]],Retenciones!$A$1:$O$25,2,FALSE)</f>
        <v>2.5000000000000001E-2</v>
      </c>
      <c r="Z861" s="116" t="b">
        <f>OR(COUNTIF(PROVEEDORES[[#This Row],[PROVEEDOR]],"*"&amp;'Palabra no opera'!$A$2&amp;"*"))</f>
        <v>0</v>
      </c>
    </row>
    <row r="862" spans="1:26" ht="22.35" customHeight="1" x14ac:dyDescent="0.3">
      <c r="A862" s="232" t="str">
        <f>+IF(PROVEEDORES[[#This Row],[FECHA DE PAGO]]=PROVEEDORES[[#This Row],[FECHA DE FACTURACIÓN]],"DE CONTADO","CRÉDITO")</f>
        <v>DE CONTADO</v>
      </c>
      <c r="B862" s="38" t="b">
        <f>+IF((PROVEEDORES[[#This Row],[FECHA DE PAGO]]-PROVEEDORES[[#This Row],[FECHA DE FACTURACIÓN]])&gt;PROVEEDORES[[#This Row],[PLAZO Días]],"PAGO VENCIDO")</f>
        <v>0</v>
      </c>
      <c r="C862" s="20">
        <f>+VLOOKUP(PROVEEDORES[[#This Row],[PROVEEDOR]],TERCEROS_INFO[#All],2,FALSE)</f>
        <v>30</v>
      </c>
      <c r="D862" s="25">
        <f>+SUMIFS(PROVEEDORES[Total],PROVEEDORES[PROVEEDOR],PROVEEDORES[[#This Row],[PROVEEDOR]],PROVEEDORES[FECHA DE PAGO],"")</f>
        <v>2950000</v>
      </c>
      <c r="E862" s="25"/>
      <c r="F862" s="56">
        <f>+VLOOKUP(PROVEEDORES[[#This Row],[PROVEEDOR]],
                       Terceros!$A:$F,
                       5,
                       FALSE)</f>
        <v>0</v>
      </c>
      <c r="G862" s="68">
        <v>44853</v>
      </c>
      <c r="H862" s="26" t="s">
        <v>703</v>
      </c>
      <c r="I862" s="68">
        <v>44853</v>
      </c>
      <c r="J862" s="35">
        <v>5108</v>
      </c>
      <c r="K862" s="21">
        <v>218000</v>
      </c>
      <c r="L862" s="21"/>
      <c r="M862" s="22">
        <f>(PROVEEDORES[[#This Row],[SUBTOTAL]]-PROVEEDORES[[#This Row],[descuento sobre subtotal]])*VLOOKUP(PROVEEDORES[[#This Row],[PROVEEDOR]],TERCEROS_INFO[#All],3,FALSE)</f>
        <v>0</v>
      </c>
      <c r="N862" s="23"/>
      <c r="O862" s="22">
        <f>+PROVEEDORES[[#This Row],[Descuento sobre subtotal %]]*(PROVEEDORES[[#This Row],[SUBTOTAL]]-PROVEEDORES[[#This Row],[descuento sobre subtotal]])</f>
        <v>0</v>
      </c>
      <c r="P862" s="74">
        <f>+IF(PROVEEDORES[[#This Row],[SUBTOTAL]]&lt;PROVEEDORES[[#This Row],[base retencion]],0,PROVEEDORES[[#This Row],[retención aplicada]])</f>
        <v>0</v>
      </c>
      <c r="Q862" s="22">
        <f>+PROVEEDORES[[#This Row],[Rete Fuente %]]*(PROVEEDORES[[#This Row],[SUBTOTAL]]-PROVEEDORES[[#This Row],[descuento sobre subtotal]])</f>
        <v>0</v>
      </c>
      <c r="R862" s="21">
        <f>+PROVEEDORES[[#This Row],[SUBTOTAL]]+PROVEEDORES[[#This Row],[IVA 19%]]-PROVEEDORES[[#This Row],[descuento sobre subtotal]]-PROVEEDORES[[#This Row],[Descuento sobre subtotal $2]]-PROVEEDORES[[#This Row],[Rete Fuente $]]</f>
        <v>218000</v>
      </c>
      <c r="S86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63">
        <f ca="1">IF(PROVEEDORES[[#This Row],[FECHA DE PAGO]]=0,TODAY()-PROVEEDORES[[#This Row],[FECHA DE FACTURACIÓN]]-PROVEEDORES[[#This Row],[PLAZO Días]],0)</f>
        <v>0</v>
      </c>
      <c r="U862" s="104">
        <f>+VLOOKUP(PROVEEDORES[[#This Row],[PROVEEDOR]],Terceros!$A:$D,4,FALSE)</f>
        <v>0</v>
      </c>
      <c r="V862" s="105">
        <f>+YEAR(PROVEEDORES[[#This Row],[FECHA DE FACTURACIÓN]])</f>
        <v>2022</v>
      </c>
      <c r="W862" s="105">
        <f>+MATCH(PROVEEDORES[[#This Row],[año facturado]],Retenciones!$1:$1,0)</f>
        <v>5</v>
      </c>
      <c r="X862" s="106">
        <f>+VLOOKUP(PROVEEDORES[[#This Row],[ID RETENCION]],Retenciones!$A$1:$O$25,PROVEEDORES[[#This Row],[indicador de columna]],FALSE)</f>
        <v>0</v>
      </c>
      <c r="Y862" s="107">
        <f>+VLOOKUP(PROVEEDORES[[#This Row],[ID RETENCION]],Retenciones!$A$1:$O$25,2,FALSE)</f>
        <v>0</v>
      </c>
      <c r="Z862" s="116" t="b">
        <f>OR(COUNTIF(PROVEEDORES[[#This Row],[PROVEEDOR]],"*"&amp;'Palabra no opera'!$A$2&amp;"*"))</f>
        <v>0</v>
      </c>
    </row>
    <row r="863" spans="1:26" ht="22.35" customHeight="1" x14ac:dyDescent="0.3">
      <c r="A863" s="67" t="str">
        <f>+IF(PROVEEDORES[[#This Row],[FECHA DE PAGO]]=PROVEEDORES[[#This Row],[FECHA DE FACTURACIÓN]],"DE CONTADO","CRÉDITO")</f>
        <v>CRÉDITO</v>
      </c>
      <c r="B863" s="38" t="str">
        <f>+IF((PROVEEDORES[[#This Row],[FECHA DE PAGO]]-PROVEEDORES[[#This Row],[FECHA DE FACTURACIÓN]])&gt;PROVEEDORES[[#This Row],[PLAZO Días]],"PAGO VENCIDO")</f>
        <v>PAGO VENCIDO</v>
      </c>
      <c r="C863" s="20">
        <f>+VLOOKUP(PROVEEDORES[[#This Row],[PROVEEDOR]],TERCEROS_INFO[#All],2,FALSE)</f>
        <v>30</v>
      </c>
      <c r="D863" s="25">
        <f>+SUMIFS(PROVEEDORES[Total],PROVEEDORES[PROVEEDOR],PROVEEDORES[[#This Row],[PROVEEDOR]],PROVEEDORES[FECHA DE PAGO],"")</f>
        <v>680000</v>
      </c>
      <c r="E863" s="25"/>
      <c r="F86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63" s="68">
        <v>44853</v>
      </c>
      <c r="H863" s="230" t="s">
        <v>412</v>
      </c>
      <c r="I863" s="68">
        <v>44765</v>
      </c>
      <c r="J863" s="35" t="s">
        <v>1054</v>
      </c>
      <c r="K863" s="21">
        <v>190000</v>
      </c>
      <c r="L863" s="21"/>
      <c r="M863" s="22">
        <f>(PROVEEDORES[[#This Row],[SUBTOTAL]]-PROVEEDORES[[#This Row],[descuento sobre subtotal]])*VLOOKUP(PROVEEDORES[[#This Row],[PROVEEDOR]],TERCEROS_INFO[#All],3,FALSE)</f>
        <v>0</v>
      </c>
      <c r="N863" s="23"/>
      <c r="O863" s="22">
        <f>+PROVEEDORES[[#This Row],[Descuento sobre subtotal %]]*(PROVEEDORES[[#This Row],[SUBTOTAL]]-PROVEEDORES[[#This Row],[descuento sobre subtotal]])</f>
        <v>0</v>
      </c>
      <c r="P863" s="74">
        <f>+IF(PROVEEDORES[[#This Row],[SUBTOTAL]]&lt;PROVEEDORES[[#This Row],[base retencion]],0,PROVEEDORES[[#This Row],[retención aplicada]])</f>
        <v>0</v>
      </c>
      <c r="Q863" s="22">
        <f>+PROVEEDORES[[#This Row],[Rete Fuente %]]*(PROVEEDORES[[#This Row],[SUBTOTAL]]-PROVEEDORES[[#This Row],[descuento sobre subtotal]])</f>
        <v>0</v>
      </c>
      <c r="R863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86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63">
        <f ca="1">IF(PROVEEDORES[[#This Row],[FECHA DE PAGO]]=0,TODAY()-PROVEEDORES[[#This Row],[FECHA DE FACTURACIÓN]]-PROVEEDORES[[#This Row],[PLAZO Días]],0)</f>
        <v>0</v>
      </c>
      <c r="U863" s="104">
        <f>+VLOOKUP(PROVEEDORES[[#This Row],[PROVEEDOR]],Terceros!$A:$D,4,FALSE)</f>
        <v>0</v>
      </c>
      <c r="V863" s="105">
        <f>+YEAR(PROVEEDORES[[#This Row],[FECHA DE FACTURACIÓN]])</f>
        <v>2022</v>
      </c>
      <c r="W863" s="105">
        <f>+MATCH(PROVEEDORES[[#This Row],[año facturado]],Retenciones!$1:$1,0)</f>
        <v>5</v>
      </c>
      <c r="X863" s="106">
        <f>+VLOOKUP(PROVEEDORES[[#This Row],[ID RETENCION]],Retenciones!$A$1:$O$25,PROVEEDORES[[#This Row],[indicador de columna]],FALSE)</f>
        <v>0</v>
      </c>
      <c r="Y863" s="107">
        <f>+VLOOKUP(PROVEEDORES[[#This Row],[ID RETENCION]],Retenciones!$A$1:$O$25,2,FALSE)</f>
        <v>0</v>
      </c>
      <c r="Z863" s="116" t="b">
        <f>OR(COUNTIF(PROVEEDORES[[#This Row],[PROVEEDOR]],"*"&amp;'Palabra no opera'!$A$2&amp;"*"))</f>
        <v>0</v>
      </c>
    </row>
    <row r="864" spans="1:26" ht="22.35" customHeight="1" x14ac:dyDescent="0.3">
      <c r="A864" s="67" t="str">
        <f>+IF(PROVEEDORES[[#This Row],[FECHA DE PAGO]]=PROVEEDORES[[#This Row],[FECHA DE FACTURACIÓN]],"DE CONTADO","CRÉDITO")</f>
        <v>CRÉDITO</v>
      </c>
      <c r="B864" s="38" t="str">
        <f>+IF((PROVEEDORES[[#This Row],[FECHA DE PAGO]]-PROVEEDORES[[#This Row],[FECHA DE FACTURACIÓN]])&gt;PROVEEDORES[[#This Row],[PLAZO Días]],"PAGO VENCIDO")</f>
        <v>PAGO VENCIDO</v>
      </c>
      <c r="C864" s="20">
        <f>+VLOOKUP(PROVEEDORES[[#This Row],[PROVEEDOR]],TERCEROS_INFO[#All],2,FALSE)</f>
        <v>30</v>
      </c>
      <c r="D864" s="25">
        <f>+SUMIFS(PROVEEDORES[Total],PROVEEDORES[PROVEEDOR],PROVEEDORES[[#This Row],[PROVEEDOR]],PROVEEDORES[FECHA DE PAGO],"")</f>
        <v>680000</v>
      </c>
      <c r="E864" s="25"/>
      <c r="F86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64" s="68">
        <v>44853</v>
      </c>
      <c r="H864" s="230" t="s">
        <v>412</v>
      </c>
      <c r="I864" s="68">
        <v>44765</v>
      </c>
      <c r="J864" s="35" t="s">
        <v>1053</v>
      </c>
      <c r="K864" s="21">
        <v>780000</v>
      </c>
      <c r="L864" s="21"/>
      <c r="M864" s="22">
        <f>(PROVEEDORES[[#This Row],[SUBTOTAL]]-PROVEEDORES[[#This Row],[descuento sobre subtotal]])*VLOOKUP(PROVEEDORES[[#This Row],[PROVEEDOR]],TERCEROS_INFO[#All],3,FALSE)</f>
        <v>0</v>
      </c>
      <c r="N864" s="23"/>
      <c r="O864" s="22">
        <f>+PROVEEDORES[[#This Row],[Descuento sobre subtotal %]]*(PROVEEDORES[[#This Row],[SUBTOTAL]]-PROVEEDORES[[#This Row],[descuento sobre subtotal]])</f>
        <v>0</v>
      </c>
      <c r="P864" s="74">
        <f>+IF(PROVEEDORES[[#This Row],[SUBTOTAL]]&lt;PROVEEDORES[[#This Row],[base retencion]],0,PROVEEDORES[[#This Row],[retención aplicada]])</f>
        <v>0</v>
      </c>
      <c r="Q864" s="22">
        <f>+PROVEEDORES[[#This Row],[Rete Fuente %]]*(PROVEEDORES[[#This Row],[SUBTOTAL]]-PROVEEDORES[[#This Row],[descuento sobre subtotal]])</f>
        <v>0</v>
      </c>
      <c r="R864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86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63">
        <f ca="1">IF(PROVEEDORES[[#This Row],[FECHA DE PAGO]]=0,TODAY()-PROVEEDORES[[#This Row],[FECHA DE FACTURACIÓN]]-PROVEEDORES[[#This Row],[PLAZO Días]],0)</f>
        <v>0</v>
      </c>
      <c r="U864" s="104">
        <f>+VLOOKUP(PROVEEDORES[[#This Row],[PROVEEDOR]],Terceros!$A:$D,4,FALSE)</f>
        <v>0</v>
      </c>
      <c r="V864" s="105">
        <f>+YEAR(PROVEEDORES[[#This Row],[FECHA DE FACTURACIÓN]])</f>
        <v>2022</v>
      </c>
      <c r="W864" s="105">
        <f>+MATCH(PROVEEDORES[[#This Row],[año facturado]],Retenciones!$1:$1,0)</f>
        <v>5</v>
      </c>
      <c r="X864" s="106">
        <f>+VLOOKUP(PROVEEDORES[[#This Row],[ID RETENCION]],Retenciones!$A$1:$O$25,PROVEEDORES[[#This Row],[indicador de columna]],FALSE)</f>
        <v>0</v>
      </c>
      <c r="Y864" s="107">
        <f>+VLOOKUP(PROVEEDORES[[#This Row],[ID RETENCION]],Retenciones!$A$1:$O$25,2,FALSE)</f>
        <v>0</v>
      </c>
      <c r="Z864" s="116" t="b">
        <f>OR(COUNTIF(PROVEEDORES[[#This Row],[PROVEEDOR]],"*"&amp;'Palabra no opera'!$A$2&amp;"*"))</f>
        <v>0</v>
      </c>
    </row>
    <row r="865" spans="1:31" ht="22.35" customHeight="1" x14ac:dyDescent="0.3">
      <c r="A865" s="182" t="str">
        <f>+IF(PROVEEDORES[[#This Row],[FECHA DE PAGO]]=PROVEEDORES[[#This Row],[FECHA DE FACTURACIÓN]],"DE CONTADO","CRÉDITO")</f>
        <v>CRÉDITO</v>
      </c>
      <c r="B865" s="38" t="str">
        <f>+IF((PROVEEDORES[[#This Row],[FECHA DE PAGO]]-PROVEEDORES[[#This Row],[FECHA DE FACTURACIÓN]])&gt;PROVEEDORES[[#This Row],[PLAZO Días]],"PAGO VENCIDO")</f>
        <v>PAGO VENCIDO</v>
      </c>
      <c r="C865" s="20">
        <f>+VLOOKUP(PROVEEDORES[[#This Row],[PROVEEDOR]],TERCEROS_INFO[#All],2,FALSE)</f>
        <v>30</v>
      </c>
      <c r="D865" s="25">
        <f>+SUMIFS(PROVEEDORES[Total],PROVEEDORES[PROVEEDOR],PROVEEDORES[[#This Row],[PROVEEDOR]],PROVEEDORES[FECHA DE PAGO],"")</f>
        <v>17870934.149999999</v>
      </c>
      <c r="E865" s="25"/>
      <c r="F86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65" s="68">
        <v>44853</v>
      </c>
      <c r="H865" s="26" t="s">
        <v>18</v>
      </c>
      <c r="I865" s="68">
        <v>44799</v>
      </c>
      <c r="J865" s="35">
        <v>1058365</v>
      </c>
      <c r="K865" s="21">
        <v>10446232.35</v>
      </c>
      <c r="L865" s="21"/>
      <c r="M865" s="22">
        <f>(PROVEEDORES[[#This Row],[SUBTOTAL]]-PROVEEDORES[[#This Row],[descuento sobre subtotal]])*VLOOKUP(PROVEEDORES[[#This Row],[PROVEEDOR]],TERCEROS_INFO[#All],3,FALSE)</f>
        <v>1984784.1465</v>
      </c>
      <c r="N865" s="23"/>
      <c r="O865" s="22">
        <f>+PROVEEDORES[[#This Row],[Descuento sobre subtotal %]]*(PROVEEDORES[[#This Row],[SUBTOTAL]]-PROVEEDORES[[#This Row],[descuento sobre subtotal]])</f>
        <v>0</v>
      </c>
      <c r="P865" s="74">
        <f>+IF(PROVEEDORES[[#This Row],[SUBTOTAL]]&lt;PROVEEDORES[[#This Row],[base retencion]],0,PROVEEDORES[[#This Row],[retención aplicada]])</f>
        <v>2.5000000000000001E-2</v>
      </c>
      <c r="Q865" s="22">
        <f>+PROVEEDORES[[#This Row],[Rete Fuente %]]*(PROVEEDORES[[#This Row],[SUBTOTAL]]-PROVEEDORES[[#This Row],[descuento sobre subtotal]])</f>
        <v>261155.80875</v>
      </c>
      <c r="R865" s="21">
        <f>+PROVEEDORES[[#This Row],[SUBTOTAL]]+PROVEEDORES[[#This Row],[IVA 19%]]-PROVEEDORES[[#This Row],[descuento sobre subtotal]]-PROVEEDORES[[#This Row],[Descuento sobre subtotal $2]]-PROVEEDORES[[#This Row],[Rete Fuente $]]</f>
        <v>12169860.687750001</v>
      </c>
      <c r="S86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63">
        <f ca="1">IF(PROVEEDORES[[#This Row],[FECHA DE PAGO]]=0,TODAY()-PROVEEDORES[[#This Row],[FECHA DE FACTURACIÓN]]-PROVEEDORES[[#This Row],[PLAZO Días]],0)</f>
        <v>0</v>
      </c>
      <c r="U865" s="104" t="str">
        <f>+VLOOKUP(PROVEEDORES[[#This Row],[PROVEEDOR]],Terceros!$A:$D,4,FALSE)</f>
        <v>2,5% con base</v>
      </c>
      <c r="V865" s="105">
        <f>+YEAR(PROVEEDORES[[#This Row],[FECHA DE FACTURACIÓN]])</f>
        <v>2022</v>
      </c>
      <c r="W865" s="105">
        <f>+MATCH(PROVEEDORES[[#This Row],[año facturado]],Retenciones!$1:$1,0)</f>
        <v>5</v>
      </c>
      <c r="X865" s="106">
        <f>+VLOOKUP(PROVEEDORES[[#This Row],[ID RETENCION]],Retenciones!$A$1:$O$25,PROVEEDORES[[#This Row],[indicador de columna]],FALSE)</f>
        <v>1026000</v>
      </c>
      <c r="Y865" s="107">
        <f>+VLOOKUP(PROVEEDORES[[#This Row],[ID RETENCION]],Retenciones!$A$1:$O$25,2,FALSE)</f>
        <v>2.5000000000000001E-2</v>
      </c>
      <c r="Z865" s="116" t="b">
        <f>OR(COUNTIF(PROVEEDORES[[#This Row],[PROVEEDOR]],"*"&amp;'Palabra no opera'!$A$2&amp;"*"))</f>
        <v>0</v>
      </c>
    </row>
    <row r="866" spans="1:31" ht="22.35" customHeight="1" x14ac:dyDescent="0.3">
      <c r="A866" s="67" t="str">
        <f>+IF(PROVEEDORES[[#This Row],[FECHA DE PAGO]]=PROVEEDORES[[#This Row],[FECHA DE FACTURACIÓN]],"DE CONTADO","CRÉDITO")</f>
        <v>CRÉDITO</v>
      </c>
      <c r="B866" s="38" t="str">
        <f>+IF((PROVEEDORES[[#This Row],[FECHA DE PAGO]]-PROVEEDORES[[#This Row],[FECHA DE FACTURACIÓN]])&gt;PROVEEDORES[[#This Row],[PLAZO Días]],"PAGO VENCIDO")</f>
        <v>PAGO VENCIDO</v>
      </c>
      <c r="C866" s="20">
        <f>+VLOOKUP(PROVEEDORES[[#This Row],[PROVEEDOR]],TERCEROS_INFO[#All],2,FALSE)</f>
        <v>30</v>
      </c>
      <c r="D866" s="25">
        <f>+SUMIFS(PROVEEDORES[Total],PROVEEDORES[PROVEEDOR],PROVEEDORES[[#This Row],[PROVEEDOR]],PROVEEDORES[FECHA DE PAGO],"")</f>
        <v>10321993.199999999</v>
      </c>
      <c r="E866" s="25"/>
      <c r="F866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66" s="68">
        <v>44853</v>
      </c>
      <c r="H866" s="26" t="s">
        <v>1068</v>
      </c>
      <c r="I866" s="68">
        <v>44760</v>
      </c>
      <c r="J866" s="35">
        <v>26699</v>
      </c>
      <c r="K866" s="21">
        <v>2520000</v>
      </c>
      <c r="L866" s="21"/>
      <c r="M866" s="22">
        <f>(PROVEEDORES[[#This Row],[SUBTOTAL]]-PROVEEDORES[[#This Row],[descuento sobre subtotal]])*VLOOKUP(PROVEEDORES[[#This Row],[PROVEEDOR]],TERCEROS_INFO[#All],3,FALSE)</f>
        <v>478800</v>
      </c>
      <c r="N866" s="23"/>
      <c r="O866" s="22">
        <f>+PROVEEDORES[[#This Row],[Descuento sobre subtotal %]]*(PROVEEDORES[[#This Row],[SUBTOTAL]]-PROVEEDORES[[#This Row],[descuento sobre subtotal]])</f>
        <v>0</v>
      </c>
      <c r="P866" s="74">
        <f>+IF(PROVEEDORES[[#This Row],[SUBTOTAL]]&lt;PROVEEDORES[[#This Row],[base retencion]],0,PROVEEDORES[[#This Row],[retención aplicada]])</f>
        <v>2.5000000000000001E-2</v>
      </c>
      <c r="Q866" s="22">
        <f>+PROVEEDORES[[#This Row],[Rete Fuente %]]*(PROVEEDORES[[#This Row],[SUBTOTAL]]-PROVEEDORES[[#This Row],[descuento sobre subtotal]])</f>
        <v>63000</v>
      </c>
      <c r="R866" s="21">
        <f>+PROVEEDORES[[#This Row],[SUBTOTAL]]+PROVEEDORES[[#This Row],[IVA 19%]]-PROVEEDORES[[#This Row],[descuento sobre subtotal]]-PROVEEDORES[[#This Row],[Descuento sobre subtotal $2]]-PROVEEDORES[[#This Row],[Rete Fuente $]]</f>
        <v>2935800</v>
      </c>
      <c r="S8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63">
        <f ca="1">IF(PROVEEDORES[[#This Row],[FECHA DE PAGO]]=0,TODAY()-PROVEEDORES[[#This Row],[FECHA DE FACTURACIÓN]]-PROVEEDORES[[#This Row],[PLAZO Días]],0)</f>
        <v>0</v>
      </c>
      <c r="U866" s="104" t="str">
        <f>+VLOOKUP(PROVEEDORES[[#This Row],[PROVEEDOR]],Terceros!$A:$D,4,FALSE)</f>
        <v>2,5% con base</v>
      </c>
      <c r="V866" s="105">
        <f>+YEAR(PROVEEDORES[[#This Row],[FECHA DE FACTURACIÓN]])</f>
        <v>2022</v>
      </c>
      <c r="W866" s="105">
        <f>+MATCH(PROVEEDORES[[#This Row],[año facturado]],Retenciones!$1:$1,0)</f>
        <v>5</v>
      </c>
      <c r="X866" s="106">
        <f>+VLOOKUP(PROVEEDORES[[#This Row],[ID RETENCION]],Retenciones!$A$1:$O$25,PROVEEDORES[[#This Row],[indicador de columna]],FALSE)</f>
        <v>1026000</v>
      </c>
      <c r="Y866" s="107">
        <f>+VLOOKUP(PROVEEDORES[[#This Row],[ID RETENCION]],Retenciones!$A$1:$O$25,2,FALSE)</f>
        <v>2.5000000000000001E-2</v>
      </c>
      <c r="Z866" s="116" t="b">
        <f>OR(COUNTIF(PROVEEDORES[[#This Row],[PROVEEDOR]],"*"&amp;'Palabra no opera'!$A$2&amp;"*"))</f>
        <v>0</v>
      </c>
    </row>
    <row r="867" spans="1:31" ht="22.35" customHeight="1" x14ac:dyDescent="0.3">
      <c r="A867" s="67" t="str">
        <f>+IF(PROVEEDORES[[#This Row],[FECHA DE PAGO]]=PROVEEDORES[[#This Row],[FECHA DE FACTURACIÓN]],"DE CONTADO","CRÉDITO")</f>
        <v>CRÉDITO</v>
      </c>
      <c r="B867" s="38" t="str">
        <f>+IF((PROVEEDORES[[#This Row],[FECHA DE PAGO]]-PROVEEDORES[[#This Row],[FECHA DE FACTURACIÓN]])&gt;PROVEEDORES[[#This Row],[PLAZO Días]],"PAGO VENCIDO")</f>
        <v>PAGO VENCIDO</v>
      </c>
      <c r="C867" s="20">
        <f>+VLOOKUP(PROVEEDORES[[#This Row],[PROVEEDOR]],TERCEROS_INFO[#All],2,FALSE)</f>
        <v>30</v>
      </c>
      <c r="D867" s="25">
        <f>+SUMIFS(PROVEEDORES[Total],PROVEEDORES[PROVEEDOR],PROVEEDORES[[#This Row],[PROVEEDOR]],PROVEEDORES[FECHA DE PAGO],"")</f>
        <v>10321993.199999999</v>
      </c>
      <c r="E867" s="25"/>
      <c r="F86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67" s="68">
        <v>44853</v>
      </c>
      <c r="H867" s="26" t="s">
        <v>1068</v>
      </c>
      <c r="I867" s="68">
        <v>44763</v>
      </c>
      <c r="J867" s="35">
        <v>26711</v>
      </c>
      <c r="K867" s="21">
        <v>453600</v>
      </c>
      <c r="L867" s="21"/>
      <c r="M867" s="22">
        <f>(PROVEEDORES[[#This Row],[SUBTOTAL]]-PROVEEDORES[[#This Row],[descuento sobre subtotal]])*VLOOKUP(PROVEEDORES[[#This Row],[PROVEEDOR]],TERCEROS_INFO[#All],3,FALSE)</f>
        <v>86184</v>
      </c>
      <c r="N867" s="23"/>
      <c r="O867" s="22">
        <f>+PROVEEDORES[[#This Row],[Descuento sobre subtotal %]]*(PROVEEDORES[[#This Row],[SUBTOTAL]]-PROVEEDORES[[#This Row],[descuento sobre subtotal]])</f>
        <v>0</v>
      </c>
      <c r="P867" s="74">
        <f>+IF(PROVEEDORES[[#This Row],[SUBTOTAL]]&lt;PROVEEDORES[[#This Row],[base retencion]],0,PROVEEDORES[[#This Row],[retención aplicada]])</f>
        <v>0</v>
      </c>
      <c r="Q867" s="22">
        <f>+PROVEEDORES[[#This Row],[Rete Fuente %]]*(PROVEEDORES[[#This Row],[SUBTOTAL]]-PROVEEDORES[[#This Row],[descuento sobre subtotal]])</f>
        <v>0</v>
      </c>
      <c r="R867" s="21">
        <f>+PROVEEDORES[[#This Row],[SUBTOTAL]]+PROVEEDORES[[#This Row],[IVA 19%]]-PROVEEDORES[[#This Row],[descuento sobre subtotal]]-PROVEEDORES[[#This Row],[Descuento sobre subtotal $2]]-PROVEEDORES[[#This Row],[Rete Fuente $]]</f>
        <v>539784</v>
      </c>
      <c r="S8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63">
        <f ca="1">IF(PROVEEDORES[[#This Row],[FECHA DE PAGO]]=0,TODAY()-PROVEEDORES[[#This Row],[FECHA DE FACTURACIÓN]]-PROVEEDORES[[#This Row],[PLAZO Días]],0)</f>
        <v>0</v>
      </c>
      <c r="U867" s="104" t="str">
        <f>+VLOOKUP(PROVEEDORES[[#This Row],[PROVEEDOR]],Terceros!$A:$D,4,FALSE)</f>
        <v>2,5% con base</v>
      </c>
      <c r="V867" s="105">
        <f>+YEAR(PROVEEDORES[[#This Row],[FECHA DE FACTURACIÓN]])</f>
        <v>2022</v>
      </c>
      <c r="W867" s="105">
        <f>+MATCH(PROVEEDORES[[#This Row],[año facturado]],Retenciones!$1:$1,0)</f>
        <v>5</v>
      </c>
      <c r="X867" s="106">
        <f>+VLOOKUP(PROVEEDORES[[#This Row],[ID RETENCION]],Retenciones!$A$1:$O$25,PROVEEDORES[[#This Row],[indicador de columna]],FALSE)</f>
        <v>1026000</v>
      </c>
      <c r="Y867" s="107">
        <f>+VLOOKUP(PROVEEDORES[[#This Row],[ID RETENCION]],Retenciones!$A$1:$O$25,2,FALSE)</f>
        <v>2.5000000000000001E-2</v>
      </c>
      <c r="Z867" s="116" t="b">
        <f>OR(COUNTIF(PROVEEDORES[[#This Row],[PROVEEDOR]],"*"&amp;'Palabra no opera'!$A$2&amp;"*"))</f>
        <v>0</v>
      </c>
    </row>
    <row r="868" spans="1:31" ht="22.35" customHeight="1" x14ac:dyDescent="0.3">
      <c r="A868" s="67" t="str">
        <f>+IF(PROVEEDORES[[#This Row],[FECHA DE PAGO]]=PROVEEDORES[[#This Row],[FECHA DE FACTURACIÓN]],"DE CONTADO","CRÉDITO")</f>
        <v>CRÉDITO</v>
      </c>
      <c r="B868" s="38" t="str">
        <f>+IF((PROVEEDORES[[#This Row],[FECHA DE PAGO]]-PROVEEDORES[[#This Row],[FECHA DE FACTURACIÓN]])&gt;PROVEEDORES[[#This Row],[PLAZO Días]],"PAGO VENCIDO")</f>
        <v>PAGO VENCIDO</v>
      </c>
      <c r="C868" s="20">
        <f>+VLOOKUP(PROVEEDORES[[#This Row],[PROVEEDOR]],TERCEROS_INFO[#All],2,FALSE)</f>
        <v>30</v>
      </c>
      <c r="D868" s="25">
        <f>+SUMIFS(PROVEEDORES[Total],PROVEEDORES[PROVEEDOR],PROVEEDORES[[#This Row],[PROVEEDOR]],PROVEEDORES[FECHA DE PAGO],"")</f>
        <v>1034000.52</v>
      </c>
      <c r="E868" s="25"/>
      <c r="F868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68" s="68">
        <v>44853</v>
      </c>
      <c r="H868" s="26" t="s">
        <v>168</v>
      </c>
      <c r="I868" s="68">
        <v>44768</v>
      </c>
      <c r="J868" s="35">
        <v>651</v>
      </c>
      <c r="K868" s="21">
        <v>1657982</v>
      </c>
      <c r="L868" s="21"/>
      <c r="M868" s="22">
        <f>(PROVEEDORES[[#This Row],[SUBTOTAL]]-PROVEEDORES[[#This Row],[descuento sobre subtotal]])*VLOOKUP(PROVEEDORES[[#This Row],[PROVEEDOR]],TERCEROS_INFO[#All],3,FALSE)</f>
        <v>315016.58</v>
      </c>
      <c r="N868" s="23"/>
      <c r="O868" s="22">
        <f>+PROVEEDORES[[#This Row],[Descuento sobre subtotal %]]*(PROVEEDORES[[#This Row],[SUBTOTAL]]-PROVEEDORES[[#This Row],[descuento sobre subtotal]])</f>
        <v>0</v>
      </c>
      <c r="P868" s="74">
        <f>+IF(PROVEEDORES[[#This Row],[SUBTOTAL]]&lt;PROVEEDORES[[#This Row],[base retencion]],0,PROVEEDORES[[#This Row],[retención aplicada]])</f>
        <v>2.5000000000000001E-2</v>
      </c>
      <c r="Q868" s="22">
        <f>+PROVEEDORES[[#This Row],[Rete Fuente %]]*(PROVEEDORES[[#This Row],[SUBTOTAL]]-PROVEEDORES[[#This Row],[descuento sobre subtotal]])</f>
        <v>41449.550000000003</v>
      </c>
      <c r="R868" s="21">
        <f>+PROVEEDORES[[#This Row],[SUBTOTAL]]+PROVEEDORES[[#This Row],[IVA 19%]]-PROVEEDORES[[#This Row],[descuento sobre subtotal]]-PROVEEDORES[[#This Row],[Descuento sobre subtotal $2]]-PROVEEDORES[[#This Row],[Rete Fuente $]]</f>
        <v>1931549.03</v>
      </c>
      <c r="S8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63">
        <f ca="1">IF(PROVEEDORES[[#This Row],[FECHA DE PAGO]]=0,TODAY()-PROVEEDORES[[#This Row],[FECHA DE FACTURACIÓN]]-PROVEEDORES[[#This Row],[PLAZO Días]],0)</f>
        <v>0</v>
      </c>
      <c r="U868" s="104" t="str">
        <f>+VLOOKUP(PROVEEDORES[[#This Row],[PROVEEDOR]],Terceros!$A:$D,4,FALSE)</f>
        <v>2,5% con base</v>
      </c>
      <c r="V868" s="105">
        <f>+YEAR(PROVEEDORES[[#This Row],[FECHA DE FACTURACIÓN]])</f>
        <v>2022</v>
      </c>
      <c r="W868" s="105">
        <f>+MATCH(PROVEEDORES[[#This Row],[año facturado]],Retenciones!$1:$1,0)</f>
        <v>5</v>
      </c>
      <c r="X868" s="106">
        <f>+VLOOKUP(PROVEEDORES[[#This Row],[ID RETENCION]],Retenciones!$A$1:$O$25,PROVEEDORES[[#This Row],[indicador de columna]],FALSE)</f>
        <v>1026000</v>
      </c>
      <c r="Y868" s="107">
        <f>+VLOOKUP(PROVEEDORES[[#This Row],[ID RETENCION]],Retenciones!$A$1:$O$25,2,FALSE)</f>
        <v>2.5000000000000001E-2</v>
      </c>
      <c r="Z868" s="116" t="b">
        <f>OR(COUNTIF(PROVEEDORES[[#This Row],[PROVEEDOR]],"*"&amp;'Palabra no opera'!$A$2&amp;"*"))</f>
        <v>0</v>
      </c>
    </row>
    <row r="869" spans="1:31" ht="22.35" customHeight="1" x14ac:dyDescent="0.3">
      <c r="A869" s="182" t="str">
        <f>+IF(PROVEEDORES[[#This Row],[FECHA DE PAGO]]=PROVEEDORES[[#This Row],[FECHA DE FACTURACIÓN]],"DE CONTADO","CRÉDITO")</f>
        <v>CRÉDITO</v>
      </c>
      <c r="B869" s="38" t="str">
        <f>+IF((PROVEEDORES[[#This Row],[FECHA DE PAGO]]-PROVEEDORES[[#This Row],[FECHA DE FACTURACIÓN]])&gt;PROVEEDORES[[#This Row],[PLAZO Días]],"PAGO VENCIDO")</f>
        <v>PAGO VENCIDO</v>
      </c>
      <c r="C869" s="20">
        <f>+VLOOKUP(PROVEEDORES[[#This Row],[PROVEEDOR]],TERCEROS_INFO[#All],2,FALSE)</f>
        <v>30</v>
      </c>
      <c r="D869" s="25">
        <f>+SUMIFS(PROVEEDORES[Total],PROVEEDORES[PROVEEDOR],PROVEEDORES[[#This Row],[PROVEEDOR]],PROVEEDORES[FECHA DE PAGO],"")</f>
        <v>1034000.52</v>
      </c>
      <c r="E869" s="25"/>
      <c r="F869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69" s="68">
        <v>44853</v>
      </c>
      <c r="H869" s="26" t="s">
        <v>168</v>
      </c>
      <c r="I869" s="68">
        <v>44795</v>
      </c>
      <c r="J869" s="35" t="s">
        <v>935</v>
      </c>
      <c r="K869" s="21">
        <v>-218487</v>
      </c>
      <c r="L869" s="21"/>
      <c r="M869" s="22">
        <f>(PROVEEDORES[[#This Row],[SUBTOTAL]]-PROVEEDORES[[#This Row],[descuento sobre subtotal]])*VLOOKUP(PROVEEDORES[[#This Row],[PROVEEDOR]],TERCEROS_INFO[#All],3,FALSE)</f>
        <v>-41512.53</v>
      </c>
      <c r="N869" s="23"/>
      <c r="O869" s="22">
        <f>+PROVEEDORES[[#This Row],[Descuento sobre subtotal %]]*(PROVEEDORES[[#This Row],[SUBTOTAL]]-PROVEEDORES[[#This Row],[descuento sobre subtotal]])</f>
        <v>0</v>
      </c>
      <c r="P869" s="74">
        <v>2.5000000000000001E-2</v>
      </c>
      <c r="Q869" s="22">
        <f>+PROVEEDORES[[#This Row],[Rete Fuente %]]*(PROVEEDORES[[#This Row],[SUBTOTAL]]-PROVEEDORES[[#This Row],[descuento sobre subtotal]])</f>
        <v>-5462.1750000000002</v>
      </c>
      <c r="R869" s="21">
        <f>+PROVEEDORES[[#This Row],[SUBTOTAL]]+PROVEEDORES[[#This Row],[IVA 19%]]-PROVEEDORES[[#This Row],[descuento sobre subtotal]]-PROVEEDORES[[#This Row],[Descuento sobre subtotal $2]]-PROVEEDORES[[#This Row],[Rete Fuente $]]</f>
        <v>-254537.35500000001</v>
      </c>
      <c r="S86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63">
        <f ca="1">IF(PROVEEDORES[[#This Row],[FECHA DE PAGO]]=0,TODAY()-PROVEEDORES[[#This Row],[FECHA DE FACTURACIÓN]]-PROVEEDORES[[#This Row],[PLAZO Días]],0)</f>
        <v>0</v>
      </c>
      <c r="U869" s="104" t="str">
        <f>+VLOOKUP(PROVEEDORES[[#This Row],[PROVEEDOR]],Terceros!$A:$D,4,FALSE)</f>
        <v>2,5% con base</v>
      </c>
      <c r="V869" s="105">
        <f>+YEAR(PROVEEDORES[[#This Row],[FECHA DE FACTURACIÓN]])</f>
        <v>2022</v>
      </c>
      <c r="W869" s="105">
        <f>+MATCH(PROVEEDORES[[#This Row],[año facturado]],Retenciones!$1:$1,0)</f>
        <v>5</v>
      </c>
      <c r="X869" s="106">
        <f>+VLOOKUP(PROVEEDORES[[#This Row],[ID RETENCION]],Retenciones!$A$1:$O$25,PROVEEDORES[[#This Row],[indicador de columna]],FALSE)</f>
        <v>1026000</v>
      </c>
      <c r="Y869" s="107">
        <f>+VLOOKUP(PROVEEDORES[[#This Row],[ID RETENCION]],Retenciones!$A$1:$O$25,2,FALSE)</f>
        <v>2.5000000000000001E-2</v>
      </c>
      <c r="Z869" s="116" t="b">
        <f>OR(COUNTIF(PROVEEDORES[[#This Row],[PROVEEDOR]],"*"&amp;'Palabra no opera'!$A$2&amp;"*"))</f>
        <v>0</v>
      </c>
    </row>
    <row r="870" spans="1:31" ht="22.35" customHeight="1" x14ac:dyDescent="0.3">
      <c r="A870" s="67" t="str">
        <f>+IF(PROVEEDORES[[#This Row],[FECHA DE PAGO]]=PROVEEDORES[[#This Row],[FECHA DE FACTURACIÓN]],"DE CONTADO","CRÉDITO")</f>
        <v>CRÉDITO</v>
      </c>
      <c r="B870" s="38" t="b">
        <f>+IF((PROVEEDORES[[#This Row],[FECHA DE PAGO]]-PROVEEDORES[[#This Row],[FECHA DE FACTURACIÓN]])&gt;PROVEEDORES[[#This Row],[PLAZO Días]],"PAGO VENCIDO")</f>
        <v>0</v>
      </c>
      <c r="C870" s="20">
        <f>+VLOOKUP(PROVEEDORES[[#This Row],[PROVEEDOR]],TERCEROS_INFO[#All],2,FALSE)</f>
        <v>30</v>
      </c>
      <c r="D870" s="25">
        <f>+SUMIFS(PROVEEDORES[Total],PROVEEDORES[PROVEEDOR],PROVEEDORES[[#This Row],[PROVEEDOR]],PROVEEDORES[FECHA DE PAGO],"")</f>
        <v>0</v>
      </c>
      <c r="E870" s="25"/>
      <c r="F870" s="56">
        <f>+VLOOKUP(PROVEEDORES[[#This Row],[PROVEEDOR]],
                       Terceros!$A:$F,
                       5,
                       FALSE)</f>
        <v>0</v>
      </c>
      <c r="G870" s="68">
        <v>44855</v>
      </c>
      <c r="H870" s="26" t="s">
        <v>1242</v>
      </c>
      <c r="I870" s="68">
        <v>44853</v>
      </c>
      <c r="J870" s="35" t="s">
        <v>1243</v>
      </c>
      <c r="K870" s="21">
        <v>176120</v>
      </c>
      <c r="L870" s="21"/>
      <c r="M870" s="22">
        <f>(PROVEEDORES[[#This Row],[SUBTOTAL]]-PROVEEDORES[[#This Row],[descuento sobre subtotal]])*VLOOKUP(PROVEEDORES[[#This Row],[PROVEEDOR]],TERCEROS_INFO[#All],3,FALSE)</f>
        <v>0</v>
      </c>
      <c r="N870" s="23"/>
      <c r="O870" s="22">
        <f>+PROVEEDORES[[#This Row],[Descuento sobre subtotal %]]*(PROVEEDORES[[#This Row],[SUBTOTAL]]-PROVEEDORES[[#This Row],[descuento sobre subtotal]])</f>
        <v>0</v>
      </c>
      <c r="P870" s="74">
        <f>+IF(PROVEEDORES[[#This Row],[SUBTOTAL]]&lt;PROVEEDORES[[#This Row],[base retencion]],0,PROVEEDORES[[#This Row],[retención aplicada]])</f>
        <v>0</v>
      </c>
      <c r="Q870" s="22">
        <f>+PROVEEDORES[[#This Row],[Rete Fuente %]]*(PROVEEDORES[[#This Row],[SUBTOTAL]]-PROVEEDORES[[#This Row],[descuento sobre subtotal]])</f>
        <v>0</v>
      </c>
      <c r="R870" s="21">
        <f>+PROVEEDORES[[#This Row],[SUBTOTAL]]+PROVEEDORES[[#This Row],[IVA 19%]]-PROVEEDORES[[#This Row],[descuento sobre subtotal]]-PROVEEDORES[[#This Row],[Descuento sobre subtotal $2]]-PROVEEDORES[[#This Row],[Rete Fuente $]]</f>
        <v>176120</v>
      </c>
      <c r="S87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63">
        <f ca="1">IF(PROVEEDORES[[#This Row],[FECHA DE PAGO]]=0,TODAY()-PROVEEDORES[[#This Row],[FECHA DE FACTURACIÓN]]-PROVEEDORES[[#This Row],[PLAZO Días]],0)</f>
        <v>0</v>
      </c>
      <c r="U870" s="104">
        <f>+VLOOKUP(PROVEEDORES[[#This Row],[PROVEEDOR]],Terceros!$A:$D,4,FALSE)</f>
        <v>0</v>
      </c>
      <c r="V870" s="105">
        <f>+YEAR(PROVEEDORES[[#This Row],[FECHA DE FACTURACIÓN]])</f>
        <v>2022</v>
      </c>
      <c r="W870" s="105">
        <f>+MATCH(PROVEEDORES[[#This Row],[año facturado]],Retenciones!$1:$1,0)</f>
        <v>5</v>
      </c>
      <c r="X870" s="106">
        <f>+VLOOKUP(PROVEEDORES[[#This Row],[ID RETENCION]],Retenciones!$A$1:$O$25,PROVEEDORES[[#This Row],[indicador de columna]],FALSE)</f>
        <v>0</v>
      </c>
      <c r="Y870" s="107">
        <f>+VLOOKUP(PROVEEDORES[[#This Row],[ID RETENCION]],Retenciones!$A$1:$O$25,2,FALSE)</f>
        <v>0</v>
      </c>
      <c r="Z870" s="116" t="b">
        <f>OR(COUNTIF(PROVEEDORES[[#This Row],[PROVEEDOR]],"*"&amp;'Palabra no opera'!$A$2&amp;"*"))</f>
        <v>0</v>
      </c>
    </row>
    <row r="871" spans="1:31" ht="22.35" customHeight="1" x14ac:dyDescent="0.3">
      <c r="A871" s="182" t="str">
        <f>+IF(PROVEEDORES[[#This Row],[FECHA DE PAGO]]=PROVEEDORES[[#This Row],[FECHA DE FACTURACIÓN]],"DE CONTADO","CRÉDITO")</f>
        <v>CRÉDITO</v>
      </c>
      <c r="B871" s="38" t="str">
        <f>+IF((PROVEEDORES[[#This Row],[FECHA DE PAGO]]-PROVEEDORES[[#This Row],[FECHA DE FACTURACIÓN]])&gt;PROVEEDORES[[#This Row],[PLAZO Días]],"PAGO VENCIDO")</f>
        <v>PAGO VENCIDO</v>
      </c>
      <c r="C871" s="20">
        <f>+VLOOKUP(PROVEEDORES[[#This Row],[PROVEEDOR]],TERCEROS_INFO[#All],2,FALSE)</f>
        <v>30</v>
      </c>
      <c r="D871" s="25">
        <f>+SUMIFS(PROVEEDORES[Total],PROVEEDORES[PROVEEDOR],PROVEEDORES[[#This Row],[PROVEEDOR]],PROVEEDORES[FECHA DE PAGO],"")</f>
        <v>2773899.95</v>
      </c>
      <c r="E871" s="25"/>
      <c r="F871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71" s="68">
        <v>44855</v>
      </c>
      <c r="H871" s="26" t="s">
        <v>20</v>
      </c>
      <c r="I871" s="68">
        <v>44792</v>
      </c>
      <c r="J871" s="35">
        <v>7659</v>
      </c>
      <c r="K871" s="21">
        <v>1450000</v>
      </c>
      <c r="L871" s="21"/>
      <c r="M871" s="22">
        <f>(PROVEEDORES[[#This Row],[SUBTOTAL]]-PROVEEDORES[[#This Row],[descuento sobre subtotal]])*VLOOKUP(PROVEEDORES[[#This Row],[PROVEEDOR]],TERCEROS_INFO[#All],3,FALSE)</f>
        <v>275500</v>
      </c>
      <c r="N871" s="23"/>
      <c r="O871" s="22">
        <f>+PROVEEDORES[[#This Row],[Descuento sobre subtotal %]]*(PROVEEDORES[[#This Row],[SUBTOTAL]]-PROVEEDORES[[#This Row],[descuento sobre subtotal]])</f>
        <v>0</v>
      </c>
      <c r="P871" s="74">
        <f>+IF(PROVEEDORES[[#This Row],[SUBTOTAL]]&lt;PROVEEDORES[[#This Row],[base retencion]],0,PROVEEDORES[[#This Row],[retención aplicada]])</f>
        <v>2.5000000000000001E-2</v>
      </c>
      <c r="Q871" s="22">
        <f>+PROVEEDORES[[#This Row],[Rete Fuente %]]*(PROVEEDORES[[#This Row],[SUBTOTAL]]-PROVEEDORES[[#This Row],[descuento sobre subtotal]])</f>
        <v>36250</v>
      </c>
      <c r="R871" s="21">
        <f>+PROVEEDORES[[#This Row],[SUBTOTAL]]+PROVEEDORES[[#This Row],[IVA 19%]]-PROVEEDORES[[#This Row],[descuento sobre subtotal]]-PROVEEDORES[[#This Row],[Descuento sobre subtotal $2]]-PROVEEDORES[[#This Row],[Rete Fuente $]]</f>
        <v>1689250</v>
      </c>
      <c r="S87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63">
        <f ca="1">IF(PROVEEDORES[[#This Row],[FECHA DE PAGO]]=0,TODAY()-PROVEEDORES[[#This Row],[FECHA DE FACTURACIÓN]]-PROVEEDORES[[#This Row],[PLAZO Días]],0)</f>
        <v>0</v>
      </c>
      <c r="U871" s="104" t="str">
        <f>+VLOOKUP(PROVEEDORES[[#This Row],[PROVEEDOR]],Terceros!$A:$D,4,FALSE)</f>
        <v>2,5% con base</v>
      </c>
      <c r="V871" s="105">
        <f>+YEAR(PROVEEDORES[[#This Row],[FECHA DE FACTURACIÓN]])</f>
        <v>2022</v>
      </c>
      <c r="W871" s="105">
        <f>+MATCH(PROVEEDORES[[#This Row],[año facturado]],Retenciones!$1:$1,0)</f>
        <v>5</v>
      </c>
      <c r="X871" s="106">
        <f>+VLOOKUP(PROVEEDORES[[#This Row],[ID RETENCION]],Retenciones!$A$1:$O$25,PROVEEDORES[[#This Row],[indicador de columna]],FALSE)</f>
        <v>1026000</v>
      </c>
      <c r="Y871" s="107">
        <f>+VLOOKUP(PROVEEDORES[[#This Row],[ID RETENCION]],Retenciones!$A$1:$O$25,2,FALSE)</f>
        <v>2.5000000000000001E-2</v>
      </c>
      <c r="Z871" s="116" t="b">
        <f>OR(COUNTIF(PROVEEDORES[[#This Row],[PROVEEDOR]],"*"&amp;'Palabra no opera'!$A$2&amp;"*"))</f>
        <v>0</v>
      </c>
    </row>
    <row r="872" spans="1:31" s="221" customFormat="1" ht="22.35" customHeight="1" x14ac:dyDescent="0.3">
      <c r="A872" s="182" t="str">
        <f>+IF(PROVEEDORES[[#This Row],[FECHA DE PAGO]]=PROVEEDORES[[#This Row],[FECHA DE FACTURACIÓN]],"DE CONTADO","CRÉDITO")</f>
        <v>CRÉDITO</v>
      </c>
      <c r="B872" s="38" t="str">
        <f>+IF((PROVEEDORES[[#This Row],[FECHA DE PAGO]]-PROVEEDORES[[#This Row],[FECHA DE FACTURACIÓN]])&gt;PROVEEDORES[[#This Row],[PLAZO Días]],"PAGO VENCIDO")</f>
        <v>PAGO VENCIDO</v>
      </c>
      <c r="C872" s="20">
        <f>+VLOOKUP(PROVEEDORES[[#This Row],[PROVEEDOR]],TERCEROS_INFO[#All],2,FALSE)</f>
        <v>30</v>
      </c>
      <c r="D872" s="25">
        <f>+SUMIFS(PROVEEDORES[Total],PROVEEDORES[PROVEEDOR],PROVEEDORES[[#This Row],[PROVEEDOR]],PROVEEDORES[FECHA DE PAGO],"")</f>
        <v>2773899.95</v>
      </c>
      <c r="E872" s="25"/>
      <c r="F872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72" s="68">
        <v>44855</v>
      </c>
      <c r="H872" s="26" t="s">
        <v>20</v>
      </c>
      <c r="I872" s="68">
        <v>44797</v>
      </c>
      <c r="J872" s="35">
        <v>7689</v>
      </c>
      <c r="K872" s="21">
        <v>1026000</v>
      </c>
      <c r="L872" s="21"/>
      <c r="M872" s="22">
        <f>(PROVEEDORES[[#This Row],[SUBTOTAL]]-PROVEEDORES[[#This Row],[descuento sobre subtotal]])*VLOOKUP(PROVEEDORES[[#This Row],[PROVEEDOR]],TERCEROS_INFO[#All],3,FALSE)</f>
        <v>194940</v>
      </c>
      <c r="N872" s="23"/>
      <c r="O872" s="22">
        <f>+PROVEEDORES[[#This Row],[Descuento sobre subtotal %]]*(PROVEEDORES[[#This Row],[SUBTOTAL]]-PROVEEDORES[[#This Row],[descuento sobre subtotal]])</f>
        <v>0</v>
      </c>
      <c r="P872" s="74">
        <f>+IF(PROVEEDORES[[#This Row],[SUBTOTAL]]&lt;PROVEEDORES[[#This Row],[base retencion]],0,PROVEEDORES[[#This Row],[retención aplicada]])</f>
        <v>2.5000000000000001E-2</v>
      </c>
      <c r="Q872" s="22">
        <f>+PROVEEDORES[[#This Row],[Rete Fuente %]]*(PROVEEDORES[[#This Row],[SUBTOTAL]]-PROVEEDORES[[#This Row],[descuento sobre subtotal]])</f>
        <v>25650</v>
      </c>
      <c r="R872" s="21">
        <f>+PROVEEDORES[[#This Row],[SUBTOTAL]]+PROVEEDORES[[#This Row],[IVA 19%]]-PROVEEDORES[[#This Row],[descuento sobre subtotal]]-PROVEEDORES[[#This Row],[Descuento sobre subtotal $2]]-PROVEEDORES[[#This Row],[Rete Fuente $]]</f>
        <v>1195290</v>
      </c>
      <c r="S87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63">
        <f ca="1">IF(PROVEEDORES[[#This Row],[FECHA DE PAGO]]=0,TODAY()-PROVEEDORES[[#This Row],[FECHA DE FACTURACIÓN]]-PROVEEDORES[[#This Row],[PLAZO Días]],0)</f>
        <v>0</v>
      </c>
      <c r="U872" s="104" t="str">
        <f>+VLOOKUP(PROVEEDORES[[#This Row],[PROVEEDOR]],Terceros!$A:$D,4,FALSE)</f>
        <v>2,5% con base</v>
      </c>
      <c r="V872" s="105">
        <f>+YEAR(PROVEEDORES[[#This Row],[FECHA DE FACTURACIÓN]])</f>
        <v>2022</v>
      </c>
      <c r="W872" s="105">
        <f>+MATCH(PROVEEDORES[[#This Row],[año facturado]],Retenciones!$1:$1,0)</f>
        <v>5</v>
      </c>
      <c r="X872" s="106">
        <f>+VLOOKUP(PROVEEDORES[[#This Row],[ID RETENCION]],Retenciones!$A$1:$O$25,PROVEEDORES[[#This Row],[indicador de columna]],FALSE)</f>
        <v>1026000</v>
      </c>
      <c r="Y872" s="107">
        <f>+VLOOKUP(PROVEEDORES[[#This Row],[ID RETENCION]],Retenciones!$A$1:$O$25,2,FALSE)</f>
        <v>2.5000000000000001E-2</v>
      </c>
      <c r="Z872" s="116" t="b">
        <f>OR(COUNTIF(PROVEEDORES[[#This Row],[PROVEEDOR]],"*"&amp;'Palabra no opera'!$A$2&amp;"*"))</f>
        <v>0</v>
      </c>
      <c r="AA872" s="218"/>
      <c r="AB872" s="219"/>
      <c r="AC872" s="219"/>
      <c r="AD872" s="220"/>
      <c r="AE872" s="209"/>
    </row>
    <row r="873" spans="1:31" ht="22.35" customHeight="1" x14ac:dyDescent="0.3">
      <c r="A873" s="182" t="str">
        <f>+IF(PROVEEDORES[[#This Row],[FECHA DE PAGO]]=PROVEEDORES[[#This Row],[FECHA DE FACTURACIÓN]],"DE CONTADO","CRÉDITO")</f>
        <v>CRÉDITO</v>
      </c>
      <c r="B873" s="38" t="str">
        <f>+IF((PROVEEDORES[[#This Row],[FECHA DE PAGO]]-PROVEEDORES[[#This Row],[FECHA DE FACTURACIÓN]])&gt;PROVEEDORES[[#This Row],[PLAZO Días]],"PAGO VENCIDO")</f>
        <v>PAGO VENCIDO</v>
      </c>
      <c r="C873" s="20">
        <f>+VLOOKUP(PROVEEDORES[[#This Row],[PROVEEDOR]],TERCEROS_INFO[#All],2,FALSE)</f>
        <v>30</v>
      </c>
      <c r="D873" s="25">
        <f>+SUMIFS(PROVEEDORES[Total],PROVEEDORES[PROVEEDOR],PROVEEDORES[[#This Row],[PROVEEDOR]],PROVEEDORES[FECHA DE PAGO],"")</f>
        <v>2773899.95</v>
      </c>
      <c r="E873" s="25"/>
      <c r="F873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73" s="68">
        <v>44855</v>
      </c>
      <c r="H873" s="26" t="s">
        <v>20</v>
      </c>
      <c r="I873" s="68">
        <v>44802</v>
      </c>
      <c r="J873" s="35">
        <v>7709</v>
      </c>
      <c r="K873" s="21">
        <v>1521328</v>
      </c>
      <c r="L873" s="21"/>
      <c r="M873" s="22">
        <f>(PROVEEDORES[[#This Row],[SUBTOTAL]]-PROVEEDORES[[#This Row],[descuento sobre subtotal]])*VLOOKUP(PROVEEDORES[[#This Row],[PROVEEDOR]],TERCEROS_INFO[#All],3,FALSE)</f>
        <v>289052.32</v>
      </c>
      <c r="N873" s="23"/>
      <c r="O873" s="22">
        <f>+PROVEEDORES[[#This Row],[Descuento sobre subtotal %]]*(PROVEEDORES[[#This Row],[SUBTOTAL]]-PROVEEDORES[[#This Row],[descuento sobre subtotal]])</f>
        <v>0</v>
      </c>
      <c r="P873" s="74">
        <f>+IF(PROVEEDORES[[#This Row],[SUBTOTAL]]&lt;PROVEEDORES[[#This Row],[base retencion]],0,PROVEEDORES[[#This Row],[retención aplicada]])</f>
        <v>2.5000000000000001E-2</v>
      </c>
      <c r="Q873" s="22">
        <f>+PROVEEDORES[[#This Row],[Rete Fuente %]]*(PROVEEDORES[[#This Row],[SUBTOTAL]]-PROVEEDORES[[#This Row],[descuento sobre subtotal]])</f>
        <v>38033.200000000004</v>
      </c>
      <c r="R873" s="21">
        <f>+PROVEEDORES[[#This Row],[SUBTOTAL]]+PROVEEDORES[[#This Row],[IVA 19%]]-PROVEEDORES[[#This Row],[descuento sobre subtotal]]-PROVEEDORES[[#This Row],[Descuento sobre subtotal $2]]-PROVEEDORES[[#This Row],[Rete Fuente $]]</f>
        <v>1772347.12</v>
      </c>
      <c r="S87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63">
        <f ca="1">IF(PROVEEDORES[[#This Row],[FECHA DE PAGO]]=0,TODAY()-PROVEEDORES[[#This Row],[FECHA DE FACTURACIÓN]]-PROVEEDORES[[#This Row],[PLAZO Días]],0)</f>
        <v>0</v>
      </c>
      <c r="U873" s="104" t="str">
        <f>+VLOOKUP(PROVEEDORES[[#This Row],[PROVEEDOR]],Terceros!$A:$D,4,FALSE)</f>
        <v>2,5% con base</v>
      </c>
      <c r="V873" s="105">
        <f>+YEAR(PROVEEDORES[[#This Row],[FECHA DE FACTURACIÓN]])</f>
        <v>2022</v>
      </c>
      <c r="W873" s="105">
        <f>+MATCH(PROVEEDORES[[#This Row],[año facturado]],Retenciones!$1:$1,0)</f>
        <v>5</v>
      </c>
      <c r="X873" s="106">
        <f>+VLOOKUP(PROVEEDORES[[#This Row],[ID RETENCION]],Retenciones!$A$1:$O$25,PROVEEDORES[[#This Row],[indicador de columna]],FALSE)</f>
        <v>1026000</v>
      </c>
      <c r="Y873" s="107">
        <f>+VLOOKUP(PROVEEDORES[[#This Row],[ID RETENCION]],Retenciones!$A$1:$O$25,2,FALSE)</f>
        <v>2.5000000000000001E-2</v>
      </c>
      <c r="Z873" s="116" t="b">
        <f>OR(COUNTIF(PROVEEDORES[[#This Row],[PROVEEDOR]],"*"&amp;'Palabra no opera'!$A$2&amp;"*"))</f>
        <v>0</v>
      </c>
    </row>
    <row r="874" spans="1:31" ht="22.35" customHeight="1" x14ac:dyDescent="0.3">
      <c r="A874" s="67" t="str">
        <f>+IF(PROVEEDORES[[#This Row],[FECHA DE PAGO]]=PROVEEDORES[[#This Row],[FECHA DE FACTURACIÓN]],"DE CONTADO","CRÉDITO")</f>
        <v>CRÉDITO</v>
      </c>
      <c r="B874" s="38" t="str">
        <f>+IF((PROVEEDORES[[#This Row],[FECHA DE PAGO]]-PROVEEDORES[[#This Row],[FECHA DE FACTURACIÓN]])&gt;PROVEEDORES[[#This Row],[PLAZO Días]],"PAGO VENCIDO")</f>
        <v>PAGO VENCIDO</v>
      </c>
      <c r="C874" s="20">
        <f>+VLOOKUP(PROVEEDORES[[#This Row],[PROVEEDOR]],TERCEROS_INFO[#All],2,FALSE)</f>
        <v>30</v>
      </c>
      <c r="D874" s="25">
        <f>+SUMIFS(PROVEEDORES[Total],PROVEEDORES[PROVEEDOR],PROVEEDORES[[#This Row],[PROVEEDOR]],PROVEEDORES[FECHA DE PAGO],"")</f>
        <v>0</v>
      </c>
      <c r="E874" s="25"/>
      <c r="F874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874" s="68">
        <v>44855</v>
      </c>
      <c r="H874" s="26" t="s">
        <v>169</v>
      </c>
      <c r="I874" s="68">
        <v>44767</v>
      </c>
      <c r="J874" s="35">
        <v>73</v>
      </c>
      <c r="K874" s="21">
        <v>4178265</v>
      </c>
      <c r="L874" s="21"/>
      <c r="M874" s="22">
        <f>(PROVEEDORES[[#This Row],[SUBTOTAL]]-PROVEEDORES[[#This Row],[descuento sobre subtotal]])*VLOOKUP(PROVEEDORES[[#This Row],[PROVEEDOR]],TERCEROS_INFO[#All],3,FALSE)</f>
        <v>793870.35</v>
      </c>
      <c r="N874" s="23"/>
      <c r="O874" s="22">
        <f>+PROVEEDORES[[#This Row],[Descuento sobre subtotal %]]*(PROVEEDORES[[#This Row],[SUBTOTAL]]-PROVEEDORES[[#This Row],[descuento sobre subtotal]])</f>
        <v>0</v>
      </c>
      <c r="P874" s="74">
        <f>+IF(PROVEEDORES[[#This Row],[SUBTOTAL]]&lt;PROVEEDORES[[#This Row],[base retencion]],0,PROVEEDORES[[#This Row],[retención aplicada]])</f>
        <v>2.5000000000000001E-2</v>
      </c>
      <c r="Q874" s="22">
        <f>+PROVEEDORES[[#This Row],[Rete Fuente %]]*(PROVEEDORES[[#This Row],[SUBTOTAL]]-PROVEEDORES[[#This Row],[descuento sobre subtotal]])</f>
        <v>104456.625</v>
      </c>
      <c r="R874" s="21">
        <f>+PROVEEDORES[[#This Row],[SUBTOTAL]]+PROVEEDORES[[#This Row],[IVA 19%]]-PROVEEDORES[[#This Row],[descuento sobre subtotal]]-PROVEEDORES[[#This Row],[Descuento sobre subtotal $2]]-PROVEEDORES[[#This Row],[Rete Fuente $]]</f>
        <v>4867678.7249999996</v>
      </c>
      <c r="S8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63">
        <f ca="1">IF(PROVEEDORES[[#This Row],[FECHA DE PAGO]]=0,TODAY()-PROVEEDORES[[#This Row],[FECHA DE FACTURACIÓN]]-PROVEEDORES[[#This Row],[PLAZO Días]],0)</f>
        <v>0</v>
      </c>
      <c r="U874" s="104" t="str">
        <f>+VLOOKUP(PROVEEDORES[[#This Row],[PROVEEDOR]],Terceros!$A:$D,4,FALSE)</f>
        <v>2,5% con base</v>
      </c>
      <c r="V874" s="105">
        <f>+YEAR(PROVEEDORES[[#This Row],[FECHA DE FACTURACIÓN]])</f>
        <v>2022</v>
      </c>
      <c r="W874" s="105">
        <f>+MATCH(PROVEEDORES[[#This Row],[año facturado]],Retenciones!$1:$1,0)</f>
        <v>5</v>
      </c>
      <c r="X874" s="106">
        <f>+VLOOKUP(PROVEEDORES[[#This Row],[ID RETENCION]],Retenciones!$A$1:$O$25,PROVEEDORES[[#This Row],[indicador de columna]],FALSE)</f>
        <v>1026000</v>
      </c>
      <c r="Y874" s="107">
        <f>+VLOOKUP(PROVEEDORES[[#This Row],[ID RETENCION]],Retenciones!$A$1:$O$25,2,FALSE)</f>
        <v>2.5000000000000001E-2</v>
      </c>
      <c r="Z874" s="116" t="b">
        <f>OR(COUNTIF(PROVEEDORES[[#This Row],[PROVEEDOR]],"*"&amp;'Palabra no opera'!$A$2&amp;"*"))</f>
        <v>0</v>
      </c>
    </row>
    <row r="875" spans="1:31" ht="22.35" customHeight="1" x14ac:dyDescent="0.3">
      <c r="A875" s="148" t="str">
        <f>+IF(PROVEEDORES[[#This Row],[FECHA DE PAGO]]=PROVEEDORES[[#This Row],[FECHA DE FACTURACIÓN]],"DE CONTADO","CRÉDITO")</f>
        <v>CRÉDITO</v>
      </c>
      <c r="B875" s="38" t="str">
        <f>+IF((PROVEEDORES[[#This Row],[FECHA DE PAGO]]-PROVEEDORES[[#This Row],[FECHA DE FACTURACIÓN]])&gt;PROVEEDORES[[#This Row],[PLAZO Días]],"PAGO VENCIDO")</f>
        <v>PAGO VENCIDO</v>
      </c>
      <c r="C875" s="20">
        <f>+VLOOKUP(PROVEEDORES[[#This Row],[PROVEEDOR]],TERCEROS_INFO[#All],2,FALSE)</f>
        <v>30</v>
      </c>
      <c r="D875" s="25">
        <f>+SUMIFS(PROVEEDORES[Total],PROVEEDORES[PROVEEDOR],PROVEEDORES[[#This Row],[PROVEEDOR]],PROVEEDORES[FECHA DE PAGO],"")</f>
        <v>0</v>
      </c>
      <c r="E875" s="25"/>
      <c r="F875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875" s="68">
        <v>44855</v>
      </c>
      <c r="H875" s="26" t="s">
        <v>247</v>
      </c>
      <c r="I875" s="68">
        <v>44720</v>
      </c>
      <c r="J875" s="35">
        <v>150</v>
      </c>
      <c r="K875" s="21">
        <v>965300</v>
      </c>
      <c r="L875" s="21"/>
      <c r="M875" s="22">
        <f>(PROVEEDORES[[#This Row],[SUBTOTAL]]-PROVEEDORES[[#This Row],[descuento sobre subtotal]])*VLOOKUP(PROVEEDORES[[#This Row],[PROVEEDOR]],TERCEROS_INFO[#All],3,FALSE)</f>
        <v>183407</v>
      </c>
      <c r="N875" s="23"/>
      <c r="O875" s="22">
        <f>+PROVEEDORES[[#This Row],[Descuento sobre subtotal %]]*(PROVEEDORES[[#This Row],[SUBTOTAL]]-PROVEEDORES[[#This Row],[descuento sobre subtotal]])</f>
        <v>0</v>
      </c>
      <c r="P875" s="74">
        <f>+IF(PROVEEDORES[[#This Row],[SUBTOTAL]]&lt;PROVEEDORES[[#This Row],[base retencion]],0,PROVEEDORES[[#This Row],[retención aplicada]])</f>
        <v>0</v>
      </c>
      <c r="Q875" s="22">
        <f>+PROVEEDORES[[#This Row],[Rete Fuente %]]*(PROVEEDORES[[#This Row],[SUBTOTAL]]-PROVEEDORES[[#This Row],[descuento sobre subtotal]])</f>
        <v>0</v>
      </c>
      <c r="R875" s="21">
        <f>+PROVEEDORES[[#This Row],[SUBTOTAL]]+PROVEEDORES[[#This Row],[IVA 19%]]-PROVEEDORES[[#This Row],[descuento sobre subtotal]]-PROVEEDORES[[#This Row],[Descuento sobre subtotal $2]]-PROVEEDORES[[#This Row],[Rete Fuente $]]</f>
        <v>1148707</v>
      </c>
      <c r="S875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63">
        <f ca="1">IF(PROVEEDORES[[#This Row],[FECHA DE PAGO]]=0,TODAY()-PROVEEDORES[[#This Row],[FECHA DE FACTURACIÓN]]-PROVEEDORES[[#This Row],[PLAZO Días]],0)</f>
        <v>0</v>
      </c>
      <c r="U875" s="104" t="str">
        <f>+VLOOKUP(PROVEEDORES[[#This Row],[PROVEEDOR]],Terceros!$A:$D,4,FALSE)</f>
        <v>2,5% con base</v>
      </c>
      <c r="V875" s="105">
        <f>+YEAR(PROVEEDORES[[#This Row],[FECHA DE FACTURACIÓN]])</f>
        <v>2022</v>
      </c>
      <c r="W875" s="105">
        <f>+MATCH(PROVEEDORES[[#This Row],[año facturado]],Retenciones!$1:$1,0)</f>
        <v>5</v>
      </c>
      <c r="X875" s="106">
        <f>+VLOOKUP(PROVEEDORES[[#This Row],[ID RETENCION]],Retenciones!$A$1:$O$25,PROVEEDORES[[#This Row],[indicador de columna]],FALSE)</f>
        <v>1026000</v>
      </c>
      <c r="Y875" s="107">
        <f>+VLOOKUP(PROVEEDORES[[#This Row],[ID RETENCION]],Retenciones!$A$1:$O$25,2,FALSE)</f>
        <v>2.5000000000000001E-2</v>
      </c>
      <c r="Z875" s="116" t="b">
        <f>OR(COUNTIF(PROVEEDORES[[#This Row],[PROVEEDOR]],"*"&amp;'Palabra no opera'!$A$2&amp;"*"))</f>
        <v>0</v>
      </c>
    </row>
    <row r="876" spans="1:31" ht="22.35" customHeight="1" x14ac:dyDescent="0.3">
      <c r="A876" s="67" t="str">
        <f>+IF(PROVEEDORES[[#This Row],[FECHA DE PAGO]]=PROVEEDORES[[#This Row],[FECHA DE FACTURACIÓN]],"DE CONTADO","CRÉDITO")</f>
        <v>CRÉDITO</v>
      </c>
      <c r="B876" s="38" t="str">
        <f>+IF((PROVEEDORES[[#This Row],[FECHA DE PAGO]]-PROVEEDORES[[#This Row],[FECHA DE FACTURACIÓN]])&gt;PROVEEDORES[[#This Row],[PLAZO Días]],"PAGO VENCIDO")</f>
        <v>PAGO VENCIDO</v>
      </c>
      <c r="C876" s="20">
        <f>+VLOOKUP(PROVEEDORES[[#This Row],[PROVEEDOR]],TERCEROS_INFO[#All],2,FALSE)</f>
        <v>30</v>
      </c>
      <c r="D876" s="25">
        <f>+SUMIFS(PROVEEDORES[Total],PROVEEDORES[PROVEEDOR],PROVEEDORES[[#This Row],[PROVEEDOR]],PROVEEDORES[FECHA DE PAGO],"")</f>
        <v>0</v>
      </c>
      <c r="E876" s="25"/>
      <c r="F876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876" s="68">
        <v>44855</v>
      </c>
      <c r="H876" s="26" t="s">
        <v>247</v>
      </c>
      <c r="I876" s="68">
        <v>44767</v>
      </c>
      <c r="J876" s="35">
        <v>158</v>
      </c>
      <c r="K876" s="21">
        <v>2062515</v>
      </c>
      <c r="L876" s="21"/>
      <c r="M876" s="22">
        <f>(PROVEEDORES[[#This Row],[SUBTOTAL]]-PROVEEDORES[[#This Row],[descuento sobre subtotal]])*VLOOKUP(PROVEEDORES[[#This Row],[PROVEEDOR]],TERCEROS_INFO[#All],3,FALSE)</f>
        <v>391877.85</v>
      </c>
      <c r="N876" s="23"/>
      <c r="O876" s="22">
        <f>+PROVEEDORES[[#This Row],[Descuento sobre subtotal %]]*(PROVEEDORES[[#This Row],[SUBTOTAL]]-PROVEEDORES[[#This Row],[descuento sobre subtotal]])</f>
        <v>0</v>
      </c>
      <c r="P876" s="74">
        <f>+IF(PROVEEDORES[[#This Row],[SUBTOTAL]]&lt;PROVEEDORES[[#This Row],[base retencion]],0,PROVEEDORES[[#This Row],[retención aplicada]])</f>
        <v>2.5000000000000001E-2</v>
      </c>
      <c r="Q876" s="22">
        <f>+PROVEEDORES[[#This Row],[Rete Fuente %]]*(PROVEEDORES[[#This Row],[SUBTOTAL]]-PROVEEDORES[[#This Row],[descuento sobre subtotal]])</f>
        <v>51562.875</v>
      </c>
      <c r="R876" s="21">
        <f>+PROVEEDORES[[#This Row],[SUBTOTAL]]+PROVEEDORES[[#This Row],[IVA 19%]]-PROVEEDORES[[#This Row],[descuento sobre subtotal]]-PROVEEDORES[[#This Row],[Descuento sobre subtotal $2]]-PROVEEDORES[[#This Row],[Rete Fuente $]]</f>
        <v>2402829.9750000001</v>
      </c>
      <c r="S8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63">
        <f ca="1">IF(PROVEEDORES[[#This Row],[FECHA DE PAGO]]=0,TODAY()-PROVEEDORES[[#This Row],[FECHA DE FACTURACIÓN]]-PROVEEDORES[[#This Row],[PLAZO Días]],0)</f>
        <v>0</v>
      </c>
      <c r="U876" s="104" t="str">
        <f>+VLOOKUP(PROVEEDORES[[#This Row],[PROVEEDOR]],Terceros!$A:$D,4,FALSE)</f>
        <v>2,5% con base</v>
      </c>
      <c r="V876" s="105">
        <f>+YEAR(PROVEEDORES[[#This Row],[FECHA DE FACTURACIÓN]])</f>
        <v>2022</v>
      </c>
      <c r="W876" s="105">
        <f>+MATCH(PROVEEDORES[[#This Row],[año facturado]],Retenciones!$1:$1,0)</f>
        <v>5</v>
      </c>
      <c r="X876" s="106">
        <f>+VLOOKUP(PROVEEDORES[[#This Row],[ID RETENCION]],Retenciones!$A$1:$O$25,PROVEEDORES[[#This Row],[indicador de columna]],FALSE)</f>
        <v>1026000</v>
      </c>
      <c r="Y876" s="107">
        <f>+VLOOKUP(PROVEEDORES[[#This Row],[ID RETENCION]],Retenciones!$A$1:$O$25,2,FALSE)</f>
        <v>2.5000000000000001E-2</v>
      </c>
      <c r="Z876" s="116" t="b">
        <f>OR(COUNTIF(PROVEEDORES[[#This Row],[PROVEEDOR]],"*"&amp;'Palabra no opera'!$A$2&amp;"*"))</f>
        <v>0</v>
      </c>
    </row>
    <row r="877" spans="1:31" ht="22.35" customHeight="1" x14ac:dyDescent="0.3">
      <c r="A877" s="175" t="str">
        <f>+IF(PROVEEDORES[[#This Row],[FECHA DE PAGO]]=PROVEEDORES[[#This Row],[FECHA DE FACTURACIÓN]],"DE CONTADO","CRÉDITO")</f>
        <v>CRÉDITO</v>
      </c>
      <c r="B877" s="38" t="str">
        <f>+IF((PROVEEDORES[[#This Row],[FECHA DE PAGO]]-PROVEEDORES[[#This Row],[FECHA DE FACTURACIÓN]])&gt;PROVEEDORES[[#This Row],[PLAZO Días]],"PAGO VENCIDO")</f>
        <v>PAGO VENCIDO</v>
      </c>
      <c r="C877" s="20">
        <f>+VLOOKUP(PROVEEDORES[[#This Row],[PROVEEDOR]],TERCEROS_INFO[#All],2,FALSE)</f>
        <v>45</v>
      </c>
      <c r="D877" s="25">
        <f>+SUMIFS(PROVEEDORES[Total],PROVEEDORES[PROVEEDOR],PROVEEDORES[[#This Row],[PROVEEDOR]],PROVEEDORES[FECHA DE PAGO],"")</f>
        <v>15770594</v>
      </c>
      <c r="E877" s="25"/>
      <c r="F87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77" s="68">
        <v>44855</v>
      </c>
      <c r="H877" s="26" t="s">
        <v>19</v>
      </c>
      <c r="I877" s="68">
        <v>44785</v>
      </c>
      <c r="J877" s="35" t="s">
        <v>920</v>
      </c>
      <c r="K877" s="21">
        <v>5111248</v>
      </c>
      <c r="L877" s="21"/>
      <c r="M877" s="22">
        <f>(PROVEEDORES[[#This Row],[SUBTOTAL]]-PROVEEDORES[[#This Row],[descuento sobre subtotal]])*VLOOKUP(PROVEEDORES[[#This Row],[PROVEEDOR]],TERCEROS_INFO[#All],3,FALSE)</f>
        <v>971137.12</v>
      </c>
      <c r="N877" s="23"/>
      <c r="O877" s="22">
        <f>+PROVEEDORES[[#This Row],[Descuento sobre subtotal %]]*(PROVEEDORES[[#This Row],[SUBTOTAL]]-PROVEEDORES[[#This Row],[descuento sobre subtotal]])</f>
        <v>0</v>
      </c>
      <c r="P877" s="74">
        <f>+IF(PROVEEDORES[[#This Row],[SUBTOTAL]]&lt;PROVEEDORES[[#This Row],[base retencion]],0,PROVEEDORES[[#This Row],[retención aplicada]])</f>
        <v>0</v>
      </c>
      <c r="Q877" s="22">
        <f>+PROVEEDORES[[#This Row],[Rete Fuente %]]*(PROVEEDORES[[#This Row],[SUBTOTAL]]-PROVEEDORES[[#This Row],[descuento sobre subtotal]])</f>
        <v>0</v>
      </c>
      <c r="R877" s="21">
        <f>+PROVEEDORES[[#This Row],[SUBTOTAL]]+PROVEEDORES[[#This Row],[IVA 19%]]-PROVEEDORES[[#This Row],[descuento sobre subtotal]]-PROVEEDORES[[#This Row],[Descuento sobre subtotal $2]]-PROVEEDORES[[#This Row],[Rete Fuente $]]</f>
        <v>6082385.1200000001</v>
      </c>
      <c r="S877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63">
        <f ca="1">IF(PROVEEDORES[[#This Row],[FECHA DE PAGO]]=0,TODAY()-PROVEEDORES[[#This Row],[FECHA DE FACTURACIÓN]]-PROVEEDORES[[#This Row],[PLAZO Días]],0)</f>
        <v>0</v>
      </c>
      <c r="U877" s="104">
        <f>+VLOOKUP(PROVEEDORES[[#This Row],[PROVEEDOR]],Terceros!$A:$D,4,FALSE)</f>
        <v>0</v>
      </c>
      <c r="V877" s="105">
        <f>+YEAR(PROVEEDORES[[#This Row],[FECHA DE FACTURACIÓN]])</f>
        <v>2022</v>
      </c>
      <c r="W877" s="105">
        <f>+MATCH(PROVEEDORES[[#This Row],[año facturado]],Retenciones!$1:$1,0)</f>
        <v>5</v>
      </c>
      <c r="X877" s="106">
        <f>+VLOOKUP(PROVEEDORES[[#This Row],[ID RETENCION]],Retenciones!$A$1:$O$25,PROVEEDORES[[#This Row],[indicador de columna]],FALSE)</f>
        <v>0</v>
      </c>
      <c r="Y877" s="107">
        <f>+VLOOKUP(PROVEEDORES[[#This Row],[ID RETENCION]],Retenciones!$A$1:$O$25,2,FALSE)</f>
        <v>0</v>
      </c>
      <c r="Z877" s="116" t="b">
        <f>OR(COUNTIF(PROVEEDORES[[#This Row],[PROVEEDOR]],"*"&amp;'Palabra no opera'!$A$2&amp;"*"))</f>
        <v>0</v>
      </c>
    </row>
    <row r="878" spans="1:31" ht="22.35" customHeight="1" x14ac:dyDescent="0.3">
      <c r="A878" s="182" t="str">
        <f>+IF(PROVEEDORES[[#This Row],[FECHA DE PAGO]]=PROVEEDORES[[#This Row],[FECHA DE FACTURACIÓN]],"DE CONTADO","CRÉDITO")</f>
        <v>CRÉDITO</v>
      </c>
      <c r="B878" s="38" t="str">
        <f>+IF((PROVEEDORES[[#This Row],[FECHA DE PAGO]]-PROVEEDORES[[#This Row],[FECHA DE FACTURACIÓN]])&gt;PROVEEDORES[[#This Row],[PLAZO Días]],"PAGO VENCIDO")</f>
        <v>PAGO VENCIDO</v>
      </c>
      <c r="C878" s="20">
        <f>+VLOOKUP(PROVEEDORES[[#This Row],[PROVEEDOR]],TERCEROS_INFO[#All],2,FALSE)</f>
        <v>45</v>
      </c>
      <c r="D878" s="25">
        <f>+SUMIFS(PROVEEDORES[Total],PROVEEDORES[PROVEEDOR],PROVEEDORES[[#This Row],[PROVEEDOR]],PROVEEDORES[FECHA DE PAGO],"")</f>
        <v>15770594</v>
      </c>
      <c r="E878" s="25"/>
      <c r="F87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78" s="68">
        <v>44855</v>
      </c>
      <c r="H878" s="26" t="s">
        <v>19</v>
      </c>
      <c r="I878" s="68">
        <v>44797</v>
      </c>
      <c r="J878" s="35" t="s">
        <v>1070</v>
      </c>
      <c r="K878" s="21">
        <v>2271411</v>
      </c>
      <c r="L878" s="21"/>
      <c r="M878" s="22">
        <f>(PROVEEDORES[[#This Row],[SUBTOTAL]]-PROVEEDORES[[#This Row],[descuento sobre subtotal]])*VLOOKUP(PROVEEDORES[[#This Row],[PROVEEDOR]],TERCEROS_INFO[#All],3,FALSE)</f>
        <v>431568.09</v>
      </c>
      <c r="N878" s="23"/>
      <c r="O878" s="22">
        <f>+PROVEEDORES[[#This Row],[Descuento sobre subtotal %]]*(PROVEEDORES[[#This Row],[SUBTOTAL]]-PROVEEDORES[[#This Row],[descuento sobre subtotal]])</f>
        <v>0</v>
      </c>
      <c r="P878" s="74">
        <f>+IF(PROVEEDORES[[#This Row],[SUBTOTAL]]&lt;PROVEEDORES[[#This Row],[base retencion]],0,PROVEEDORES[[#This Row],[retención aplicada]])</f>
        <v>0</v>
      </c>
      <c r="Q878" s="22">
        <f>+PROVEEDORES[[#This Row],[Rete Fuente %]]*(PROVEEDORES[[#This Row],[SUBTOTAL]]-PROVEEDORES[[#This Row],[descuento sobre subtotal]])</f>
        <v>0</v>
      </c>
      <c r="R878" s="21">
        <f>+PROVEEDORES[[#This Row],[SUBTOTAL]]+PROVEEDORES[[#This Row],[IVA 19%]]-PROVEEDORES[[#This Row],[descuento sobre subtotal]]-PROVEEDORES[[#This Row],[Descuento sobre subtotal $2]]-PROVEEDORES[[#This Row],[Rete Fuente $]]</f>
        <v>2702979.09</v>
      </c>
      <c r="S87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63">
        <f ca="1">IF(PROVEEDORES[[#This Row],[FECHA DE PAGO]]=0,TODAY()-PROVEEDORES[[#This Row],[FECHA DE FACTURACIÓN]]-PROVEEDORES[[#This Row],[PLAZO Días]],0)</f>
        <v>0</v>
      </c>
      <c r="U878" s="104">
        <f>+VLOOKUP(PROVEEDORES[[#This Row],[PROVEEDOR]],Terceros!$A:$D,4,FALSE)</f>
        <v>0</v>
      </c>
      <c r="V878" s="105">
        <f>+YEAR(PROVEEDORES[[#This Row],[FECHA DE FACTURACIÓN]])</f>
        <v>2022</v>
      </c>
      <c r="W878" s="105">
        <f>+MATCH(PROVEEDORES[[#This Row],[año facturado]],Retenciones!$1:$1,0)</f>
        <v>5</v>
      </c>
      <c r="X878" s="106">
        <f>+VLOOKUP(PROVEEDORES[[#This Row],[ID RETENCION]],Retenciones!$A$1:$O$25,PROVEEDORES[[#This Row],[indicador de columna]],FALSE)</f>
        <v>0</v>
      </c>
      <c r="Y878" s="107">
        <f>+VLOOKUP(PROVEEDORES[[#This Row],[ID RETENCION]],Retenciones!$A$1:$O$25,2,FALSE)</f>
        <v>0</v>
      </c>
      <c r="Z878" s="116" t="b">
        <f>OR(COUNTIF(PROVEEDORES[[#This Row],[PROVEEDOR]],"*"&amp;'Palabra no opera'!$A$2&amp;"*"))</f>
        <v>0</v>
      </c>
    </row>
    <row r="879" spans="1:31" ht="22.35" customHeight="1" x14ac:dyDescent="0.3">
      <c r="A879" s="67" t="str">
        <f>+IF(PROVEEDORES[[#This Row],[FECHA DE PAGO]]=PROVEEDORES[[#This Row],[FECHA DE FACTURACIÓN]],"DE CONTADO","CRÉDITO")</f>
        <v>CRÉDITO</v>
      </c>
      <c r="B879" s="38" t="b">
        <f>+IF((PROVEEDORES[[#This Row],[FECHA DE PAGO]]-PROVEEDORES[[#This Row],[FECHA DE FACTURACIÓN]])&gt;PROVEEDORES[[#This Row],[PLAZO Días]],"PAGO VENCIDO")</f>
        <v>0</v>
      </c>
      <c r="C879" s="20">
        <f>+VLOOKUP(PROVEEDORES[[#This Row],[PROVEEDOR]],TERCEROS_INFO[#All],2,FALSE)</f>
        <v>30</v>
      </c>
      <c r="D879" s="25">
        <f>+SUMIFS(PROVEEDORES[Total],PROVEEDORES[PROVEEDOR],PROVEEDORES[[#This Row],[PROVEEDOR]],PROVEEDORES[FECHA DE PAGO],"")</f>
        <v>0</v>
      </c>
      <c r="E879" s="25"/>
      <c r="F879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879" s="68">
        <v>44855</v>
      </c>
      <c r="H879" s="26" t="s">
        <v>651</v>
      </c>
      <c r="I879" s="68">
        <v>44837</v>
      </c>
      <c r="J879" s="35" t="s">
        <v>1208</v>
      </c>
      <c r="K879" s="21">
        <v>215356</v>
      </c>
      <c r="L879" s="21"/>
      <c r="M879" s="22">
        <f>(PROVEEDORES[[#This Row],[SUBTOTAL]]-PROVEEDORES[[#This Row],[descuento sobre subtotal]])*VLOOKUP(PROVEEDORES[[#This Row],[PROVEEDOR]],TERCEROS_INFO[#All],3,FALSE)</f>
        <v>40917.64</v>
      </c>
      <c r="N879" s="23"/>
      <c r="O879" s="22">
        <f>+PROVEEDORES[[#This Row],[Descuento sobre subtotal %]]*(PROVEEDORES[[#This Row],[SUBTOTAL]]-PROVEEDORES[[#This Row],[descuento sobre subtotal]])</f>
        <v>0</v>
      </c>
      <c r="P879" s="74">
        <f>+IF(PROVEEDORES[[#This Row],[SUBTOTAL]]&lt;PROVEEDORES[[#This Row],[base retencion]],0,PROVEEDORES[[#This Row],[retención aplicada]])</f>
        <v>3.5000000000000003E-2</v>
      </c>
      <c r="Q879" s="22">
        <f>+PROVEEDORES[[#This Row],[Rete Fuente %]]*(PROVEEDORES[[#This Row],[SUBTOTAL]]-PROVEEDORES[[#This Row],[descuento sobre subtotal]])</f>
        <v>7537.4600000000009</v>
      </c>
      <c r="R879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8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63">
        <f ca="1">IF(PROVEEDORES[[#This Row],[FECHA DE PAGO]]=0,TODAY()-PROVEEDORES[[#This Row],[FECHA DE FACTURACIÓN]]-PROVEEDORES[[#This Row],[PLAZO Días]],0)</f>
        <v>0</v>
      </c>
      <c r="U879" s="104" t="str">
        <f>+VLOOKUP(PROVEEDORES[[#This Row],[PROVEEDOR]],Terceros!$A:$D,4,FALSE)</f>
        <v>3,5% sin base</v>
      </c>
      <c r="V879" s="105">
        <f>+YEAR(PROVEEDORES[[#This Row],[FECHA DE FACTURACIÓN]])</f>
        <v>2022</v>
      </c>
      <c r="W879" s="105">
        <f>+MATCH(PROVEEDORES[[#This Row],[año facturado]],Retenciones!$1:$1,0)</f>
        <v>5</v>
      </c>
      <c r="X879" s="106">
        <f>+VLOOKUP(PROVEEDORES[[#This Row],[ID RETENCION]],Retenciones!$A$1:$O$25,PROVEEDORES[[#This Row],[indicador de columna]],FALSE)</f>
        <v>0</v>
      </c>
      <c r="Y879" s="107">
        <f>+VLOOKUP(PROVEEDORES[[#This Row],[ID RETENCION]],Retenciones!$A$1:$O$25,2,FALSE)</f>
        <v>3.5000000000000003E-2</v>
      </c>
      <c r="Z879" s="116" t="b">
        <f>OR(COUNTIF(PROVEEDORES[[#This Row],[PROVEEDOR]],"*"&amp;'Palabra no opera'!$A$2&amp;"*"))</f>
        <v>1</v>
      </c>
    </row>
    <row r="880" spans="1:31" ht="22.35" customHeight="1" x14ac:dyDescent="0.3">
      <c r="A880" s="67" t="str">
        <f>+IF(PROVEEDORES[[#This Row],[FECHA DE PAGO]]=PROVEEDORES[[#This Row],[FECHA DE FACTURACIÓN]],"DE CONTADO","CRÉDITO")</f>
        <v>CRÉDITO</v>
      </c>
      <c r="B880" s="38" t="str">
        <f>+IF((PROVEEDORES[[#This Row],[FECHA DE PAGO]]-PROVEEDORES[[#This Row],[FECHA DE FACTURACIÓN]])&gt;PROVEEDORES[[#This Row],[PLAZO Días]],"PAGO VENCIDO")</f>
        <v>PAGO VENCIDO</v>
      </c>
      <c r="C880" s="20">
        <f>+VLOOKUP(PROVEEDORES[[#This Row],[PROVEEDOR]],TERCEROS_INFO[#All],2,FALSE)</f>
        <v>30</v>
      </c>
      <c r="D880" s="25">
        <f>+SUMIFS(PROVEEDORES[Total],PROVEEDORES[PROVEEDOR],PROVEEDORES[[#This Row],[PROVEEDOR]],PROVEEDORES[FECHA DE PAGO],"")</f>
        <v>18444236.894999996</v>
      </c>
      <c r="E880" s="25"/>
      <c r="F880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880" s="68">
        <v>44855</v>
      </c>
      <c r="H880" s="26" t="s">
        <v>11</v>
      </c>
      <c r="I880" s="68">
        <v>44776</v>
      </c>
      <c r="J880" s="35" t="s">
        <v>1196</v>
      </c>
      <c r="K880" s="21">
        <v>394958</v>
      </c>
      <c r="L880" s="21"/>
      <c r="M880" s="22">
        <f>(PROVEEDORES[[#This Row],[SUBTOTAL]]-PROVEEDORES[[#This Row],[descuento sobre subtotal]])*VLOOKUP(PROVEEDORES[[#This Row],[PROVEEDOR]],TERCEROS_INFO[#All],3,FALSE)</f>
        <v>75042.02</v>
      </c>
      <c r="N880" s="23"/>
      <c r="O880" s="22">
        <f>+PROVEEDORES[[#This Row],[Descuento sobre subtotal %]]*(PROVEEDORES[[#This Row],[SUBTOTAL]]-PROVEEDORES[[#This Row],[descuento sobre subtotal]])</f>
        <v>0</v>
      </c>
      <c r="P880" s="74">
        <f>+IF(PROVEEDORES[[#This Row],[SUBTOTAL]]&lt;PROVEEDORES[[#This Row],[base retencion]],0,PROVEEDORES[[#This Row],[retención aplicada]])</f>
        <v>0</v>
      </c>
      <c r="Q880" s="22">
        <f>+PROVEEDORES[[#This Row],[Rete Fuente %]]*(PROVEEDORES[[#This Row],[SUBTOTAL]]-PROVEEDORES[[#This Row],[descuento sobre subtotal]])</f>
        <v>0</v>
      </c>
      <c r="R880" s="21">
        <f>+PROVEEDORES[[#This Row],[SUBTOTAL]]+PROVEEDORES[[#This Row],[IVA 19%]]-PROVEEDORES[[#This Row],[descuento sobre subtotal]]-PROVEEDORES[[#This Row],[Descuento sobre subtotal $2]]-PROVEEDORES[[#This Row],[Rete Fuente $]]</f>
        <v>470000.02</v>
      </c>
      <c r="S8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63">
        <f ca="1">IF(PROVEEDORES[[#This Row],[FECHA DE PAGO]]=0,TODAY()-PROVEEDORES[[#This Row],[FECHA DE FACTURACIÓN]]-PROVEEDORES[[#This Row],[PLAZO Días]],0)</f>
        <v>0</v>
      </c>
      <c r="U880" s="104" t="str">
        <f>+VLOOKUP(PROVEEDORES[[#This Row],[PROVEEDOR]],Terceros!$A:$D,4,FALSE)</f>
        <v>2,5% con base</v>
      </c>
      <c r="V880" s="105">
        <f>+YEAR(PROVEEDORES[[#This Row],[FECHA DE FACTURACIÓN]])</f>
        <v>2022</v>
      </c>
      <c r="W880" s="105">
        <f>+MATCH(PROVEEDORES[[#This Row],[año facturado]],Retenciones!$1:$1,0)</f>
        <v>5</v>
      </c>
      <c r="X880" s="106">
        <f>+VLOOKUP(PROVEEDORES[[#This Row],[ID RETENCION]],Retenciones!$A$1:$O$25,PROVEEDORES[[#This Row],[indicador de columna]],FALSE)</f>
        <v>1026000</v>
      </c>
      <c r="Y880" s="107">
        <f>+VLOOKUP(PROVEEDORES[[#This Row],[ID RETENCION]],Retenciones!$A$1:$O$25,2,FALSE)</f>
        <v>2.5000000000000001E-2</v>
      </c>
      <c r="Z880" s="116" t="b">
        <f>OR(COUNTIF(PROVEEDORES[[#This Row],[PROVEEDOR]],"*"&amp;'Palabra no opera'!$A$2&amp;"*"))</f>
        <v>0</v>
      </c>
    </row>
    <row r="881" spans="1:26" ht="22.35" customHeight="1" x14ac:dyDescent="0.3">
      <c r="A881" s="232" t="str">
        <f>+IF(PROVEEDORES[[#This Row],[FECHA DE PAGO]]=PROVEEDORES[[#This Row],[FECHA DE FACTURACIÓN]],"DE CONTADO","CRÉDITO")</f>
        <v>CRÉDITO</v>
      </c>
      <c r="B881" s="38" t="b">
        <f>+IF((PROVEEDORES[[#This Row],[FECHA DE PAGO]]-PROVEEDORES[[#This Row],[FECHA DE FACTURACIÓN]])&gt;PROVEEDORES[[#This Row],[PLAZO Días]],"PAGO VENCIDO")</f>
        <v>0</v>
      </c>
      <c r="C881" s="20">
        <f>+VLOOKUP(PROVEEDORES[[#This Row],[PROVEEDOR]],TERCEROS_INFO[#All],2,FALSE)</f>
        <v>30</v>
      </c>
      <c r="D881" s="25">
        <f>+SUMIFS(PROVEEDORES[Total],PROVEEDORES[PROVEEDOR],PROVEEDORES[[#This Row],[PROVEEDOR]],PROVEEDORES[FECHA DE PAGO],"")</f>
        <v>559000</v>
      </c>
      <c r="E881" s="25"/>
      <c r="F881" s="56" t="str">
        <f>+VLOOKUP(PROVEEDORES[[#This Row],[PROVEEDOR]],
                       Terceros!$A:$F,
                       5,
                       FALSE)</f>
        <v/>
      </c>
      <c r="G881" s="68">
        <v>44857</v>
      </c>
      <c r="H881" s="26" t="s">
        <v>399</v>
      </c>
      <c r="I881" s="68">
        <v>44856</v>
      </c>
      <c r="J881" s="35" t="s">
        <v>1221</v>
      </c>
      <c r="K881" s="21">
        <v>684000</v>
      </c>
      <c r="L881" s="21"/>
      <c r="M881" s="22">
        <f>(PROVEEDORES[[#This Row],[SUBTOTAL]]-PROVEEDORES[[#This Row],[descuento sobre subtotal]])*VLOOKUP(PROVEEDORES[[#This Row],[PROVEEDOR]],TERCEROS_INFO[#All],3,FALSE)</f>
        <v>0</v>
      </c>
      <c r="N881" s="23"/>
      <c r="O881" s="22">
        <f>+PROVEEDORES[[#This Row],[Descuento sobre subtotal %]]*(PROVEEDORES[[#This Row],[SUBTOTAL]]-PROVEEDORES[[#This Row],[descuento sobre subtotal]])</f>
        <v>0</v>
      </c>
      <c r="P881" s="74">
        <f>+IF(PROVEEDORES[[#This Row],[SUBTOTAL]]&lt;PROVEEDORES[[#This Row],[base retencion]],0,PROVEEDORES[[#This Row],[retención aplicada]])</f>
        <v>0</v>
      </c>
      <c r="Q881" s="22">
        <f>+PROVEEDORES[[#This Row],[Rete Fuente %]]*(PROVEEDORES[[#This Row],[SUBTOTAL]]-PROVEEDORES[[#This Row],[descuento sobre subtotal]])</f>
        <v>0</v>
      </c>
      <c r="R881" s="21">
        <f>+PROVEEDORES[[#This Row],[SUBTOTAL]]+PROVEEDORES[[#This Row],[IVA 19%]]-PROVEEDORES[[#This Row],[descuento sobre subtotal]]-PROVEEDORES[[#This Row],[Descuento sobre subtotal $2]]-PROVEEDORES[[#This Row],[Rete Fuente $]]</f>
        <v>684000</v>
      </c>
      <c r="S88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63">
        <f ca="1">IF(PROVEEDORES[[#This Row],[FECHA DE PAGO]]=0,TODAY()-PROVEEDORES[[#This Row],[FECHA DE FACTURACIÓN]]-PROVEEDORES[[#This Row],[PLAZO Días]],0)</f>
        <v>0</v>
      </c>
      <c r="U881" s="104">
        <f>+VLOOKUP(PROVEEDORES[[#This Row],[PROVEEDOR]],Terceros!$A:$D,4,FALSE)</f>
        <v>0</v>
      </c>
      <c r="V881" s="105">
        <f>+YEAR(PROVEEDORES[[#This Row],[FECHA DE FACTURACIÓN]])</f>
        <v>2022</v>
      </c>
      <c r="W881" s="105">
        <f>+MATCH(PROVEEDORES[[#This Row],[año facturado]],Retenciones!$1:$1,0)</f>
        <v>5</v>
      </c>
      <c r="X881" s="106">
        <f>+VLOOKUP(PROVEEDORES[[#This Row],[ID RETENCION]],Retenciones!$A$1:$O$25,PROVEEDORES[[#This Row],[indicador de columna]],FALSE)</f>
        <v>0</v>
      </c>
      <c r="Y881" s="107">
        <f>+VLOOKUP(PROVEEDORES[[#This Row],[ID RETENCION]],Retenciones!$A$1:$O$25,2,FALSE)</f>
        <v>0</v>
      </c>
      <c r="Z881" s="116" t="b">
        <f>OR(COUNTIF(PROVEEDORES[[#This Row],[PROVEEDOR]],"*"&amp;'Palabra no opera'!$A$2&amp;"*"))</f>
        <v>0</v>
      </c>
    </row>
    <row r="882" spans="1:26" ht="22.35" customHeight="1" x14ac:dyDescent="0.3">
      <c r="A882" s="232" t="str">
        <f>+IF(PROVEEDORES[[#This Row],[FECHA DE PAGO]]=PROVEEDORES[[#This Row],[FECHA DE FACTURACIÓN]],"DE CONTADO","CRÉDITO")</f>
        <v>DE CONTADO</v>
      </c>
      <c r="B882" s="38" t="b">
        <f>+IF((PROVEEDORES[[#This Row],[FECHA DE PAGO]]-PROVEEDORES[[#This Row],[FECHA DE FACTURACIÓN]])&gt;PROVEEDORES[[#This Row],[PLAZO Días]],"PAGO VENCIDO")</f>
        <v>0</v>
      </c>
      <c r="C882" s="20">
        <f>+VLOOKUP(PROVEEDORES[[#This Row],[PROVEEDOR]],TERCEROS_INFO[#All],2,FALSE)</f>
        <v>30</v>
      </c>
      <c r="D882" s="25">
        <f>+SUMIFS(PROVEEDORES[Total],PROVEEDORES[PROVEEDOR],PROVEEDORES[[#This Row],[PROVEEDOR]],PROVEEDORES[FECHA DE PAGO],"")</f>
        <v>0</v>
      </c>
      <c r="E882" s="25"/>
      <c r="F882" s="56">
        <f>+VLOOKUP(PROVEEDORES[[#This Row],[PROVEEDOR]],
                       Terceros!$A:$F,
                       5,
                       FALSE)</f>
        <v>0</v>
      </c>
      <c r="G882" s="68">
        <v>44858</v>
      </c>
      <c r="H882" s="26" t="s">
        <v>366</v>
      </c>
      <c r="I882" s="68">
        <v>44858</v>
      </c>
      <c r="J882" s="35" t="s">
        <v>1225</v>
      </c>
      <c r="K882" s="21">
        <v>105000</v>
      </c>
      <c r="L882" s="21"/>
      <c r="M882" s="22">
        <f>(PROVEEDORES[[#This Row],[SUBTOTAL]]-PROVEEDORES[[#This Row],[descuento sobre subtotal]])*VLOOKUP(PROVEEDORES[[#This Row],[PROVEEDOR]],TERCEROS_INFO[#All],3,FALSE)</f>
        <v>0</v>
      </c>
      <c r="N882" s="23"/>
      <c r="O882" s="22">
        <f>+PROVEEDORES[[#This Row],[Descuento sobre subtotal %]]*(PROVEEDORES[[#This Row],[SUBTOTAL]]-PROVEEDORES[[#This Row],[descuento sobre subtotal]])</f>
        <v>0</v>
      </c>
      <c r="P882" s="74">
        <f>+IF(PROVEEDORES[[#This Row],[SUBTOTAL]]&lt;PROVEEDORES[[#This Row],[base retencion]],0,PROVEEDORES[[#This Row],[retención aplicada]])</f>
        <v>0</v>
      </c>
      <c r="Q882" s="22">
        <f>+PROVEEDORES[[#This Row],[Rete Fuente %]]*(PROVEEDORES[[#This Row],[SUBTOTAL]]-PROVEEDORES[[#This Row],[descuento sobre subtotal]])</f>
        <v>0</v>
      </c>
      <c r="R882" s="21">
        <f>+PROVEEDORES[[#This Row],[SUBTOTAL]]+PROVEEDORES[[#This Row],[IVA 19%]]-PROVEEDORES[[#This Row],[descuento sobre subtotal]]-PROVEEDORES[[#This Row],[Descuento sobre subtotal $2]]-PROVEEDORES[[#This Row],[Rete Fuente $]]</f>
        <v>105000</v>
      </c>
      <c r="S88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63">
        <f ca="1">IF(PROVEEDORES[[#This Row],[FECHA DE PAGO]]=0,TODAY()-PROVEEDORES[[#This Row],[FECHA DE FACTURACIÓN]]-PROVEEDORES[[#This Row],[PLAZO Días]],0)</f>
        <v>0</v>
      </c>
      <c r="U882" s="104">
        <f>+VLOOKUP(PROVEEDORES[[#This Row],[PROVEEDOR]],Terceros!$A:$D,4,FALSE)</f>
        <v>0</v>
      </c>
      <c r="V882" s="105">
        <f>+YEAR(PROVEEDORES[[#This Row],[FECHA DE FACTURACIÓN]])</f>
        <v>2022</v>
      </c>
      <c r="W882" s="105">
        <f>+MATCH(PROVEEDORES[[#This Row],[año facturado]],Retenciones!$1:$1,0)</f>
        <v>5</v>
      </c>
      <c r="X882" s="106">
        <f>+VLOOKUP(PROVEEDORES[[#This Row],[ID RETENCION]],Retenciones!$A$1:$O$25,PROVEEDORES[[#This Row],[indicador de columna]],FALSE)</f>
        <v>0</v>
      </c>
      <c r="Y882" s="107">
        <f>+VLOOKUP(PROVEEDORES[[#This Row],[ID RETENCION]],Retenciones!$A$1:$O$25,2,FALSE)</f>
        <v>0</v>
      </c>
      <c r="Z882" s="116" t="b">
        <f>OR(COUNTIF(PROVEEDORES[[#This Row],[PROVEEDOR]],"*"&amp;'Palabra no opera'!$A$2&amp;"*"))</f>
        <v>0</v>
      </c>
    </row>
    <row r="883" spans="1:26" ht="22.35" customHeight="1" x14ac:dyDescent="0.3">
      <c r="A883" s="196" t="str">
        <f>+IF(PROVEEDORES[[#This Row],[FECHA DE PAGO]]=PROVEEDORES[[#This Row],[FECHA DE FACTURACIÓN]],"DE CONTADO","CRÉDITO")</f>
        <v>CRÉDITO</v>
      </c>
      <c r="B883" s="38" t="str">
        <f>+IF((PROVEEDORES[[#This Row],[FECHA DE PAGO]]-PROVEEDORES[[#This Row],[FECHA DE FACTURACIÓN]])&gt;PROVEEDORES[[#This Row],[PLAZO Días]],"PAGO VENCIDO")</f>
        <v>PAGO VENCIDO</v>
      </c>
      <c r="C883" s="20">
        <f>+VLOOKUP(PROVEEDORES[[#This Row],[PROVEEDOR]],TERCEROS_INFO[#All],2,FALSE)</f>
        <v>30</v>
      </c>
      <c r="D883" s="25">
        <f>+SUMIFS(PROVEEDORES[Total],PROVEEDORES[PROVEEDOR],PROVEEDORES[[#This Row],[PROVEEDOR]],PROVEEDORES[FECHA DE PAGO],"")</f>
        <v>0</v>
      </c>
      <c r="E883" s="25"/>
      <c r="F883" s="56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83" s="68">
        <v>44858</v>
      </c>
      <c r="H883" s="26" t="s">
        <v>49</v>
      </c>
      <c r="I883" s="68">
        <v>44819</v>
      </c>
      <c r="J883" s="35" t="s">
        <v>1102</v>
      </c>
      <c r="K883" s="21">
        <v>630252</v>
      </c>
      <c r="L883" s="21"/>
      <c r="M883" s="22">
        <f>(PROVEEDORES[[#This Row],[SUBTOTAL]]-PROVEEDORES[[#This Row],[descuento sobre subtotal]])*VLOOKUP(PROVEEDORES[[#This Row],[PROVEEDOR]],TERCEROS_INFO[#All],3,FALSE)</f>
        <v>119747.88</v>
      </c>
      <c r="N883" s="23"/>
      <c r="O883" s="22">
        <f>+PROVEEDORES[[#This Row],[Descuento sobre subtotal %]]*(PROVEEDORES[[#This Row],[SUBTOTAL]]-PROVEEDORES[[#This Row],[descuento sobre subtotal]])</f>
        <v>0</v>
      </c>
      <c r="P883" s="74">
        <f>+IF(PROVEEDORES[[#This Row],[SUBTOTAL]]&lt;PROVEEDORES[[#This Row],[base retencion]],0,PROVEEDORES[[#This Row],[retención aplicada]])</f>
        <v>0</v>
      </c>
      <c r="Q883" s="22">
        <f>+PROVEEDORES[[#This Row],[Rete Fuente %]]*(PROVEEDORES[[#This Row],[SUBTOTAL]]-PROVEEDORES[[#This Row],[descuento sobre subtotal]])</f>
        <v>0</v>
      </c>
      <c r="R883" s="21">
        <f>+PROVEEDORES[[#This Row],[SUBTOTAL]]+PROVEEDORES[[#This Row],[IVA 19%]]-PROVEEDORES[[#This Row],[descuento sobre subtotal]]-PROVEEDORES[[#This Row],[Descuento sobre subtotal $2]]-PROVEEDORES[[#This Row],[Rete Fuente $]]</f>
        <v>749999.88</v>
      </c>
      <c r="S88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63">
        <f ca="1">IF(PROVEEDORES[[#This Row],[FECHA DE PAGO]]=0,TODAY()-PROVEEDORES[[#This Row],[FECHA DE FACTURACIÓN]]-PROVEEDORES[[#This Row],[PLAZO Días]],0)</f>
        <v>0</v>
      </c>
      <c r="U883" s="104" t="str">
        <f>+VLOOKUP(PROVEEDORES[[#This Row],[PROVEEDOR]],Terceros!$A:$D,4,FALSE)</f>
        <v>2,5% con base</v>
      </c>
      <c r="V883" s="105">
        <f>+YEAR(PROVEEDORES[[#This Row],[FECHA DE FACTURACIÓN]])</f>
        <v>2022</v>
      </c>
      <c r="W883" s="105">
        <f>+MATCH(PROVEEDORES[[#This Row],[año facturado]],Retenciones!$1:$1,0)</f>
        <v>5</v>
      </c>
      <c r="X883" s="106">
        <f>+VLOOKUP(PROVEEDORES[[#This Row],[ID RETENCION]],Retenciones!$A$1:$O$25,PROVEEDORES[[#This Row],[indicador de columna]],FALSE)</f>
        <v>1026000</v>
      </c>
      <c r="Y883" s="107">
        <f>+VLOOKUP(PROVEEDORES[[#This Row],[ID RETENCION]],Retenciones!$A$1:$O$25,2,FALSE)</f>
        <v>2.5000000000000001E-2</v>
      </c>
      <c r="Z883" s="116" t="b">
        <f>OR(COUNTIF(PROVEEDORES[[#This Row],[PROVEEDOR]],"*"&amp;'Palabra no opera'!$A$2&amp;"*"))</f>
        <v>0</v>
      </c>
    </row>
    <row r="884" spans="1:26" ht="22.35" customHeight="1" x14ac:dyDescent="0.3">
      <c r="A884" s="67" t="str">
        <f>+IF(PROVEEDORES[[#This Row],[FECHA DE PAGO]]=PROVEEDORES[[#This Row],[FECHA DE FACTURACIÓN]],"DE CONTADO","CRÉDITO")</f>
        <v>CRÉDITO</v>
      </c>
      <c r="B884" s="38" t="b">
        <f>+IF((PROVEEDORES[[#This Row],[FECHA DE PAGO]]-PROVEEDORES[[#This Row],[FECHA DE FACTURACIÓN]])&gt;PROVEEDORES[[#This Row],[PLAZO Días]],"PAGO VENCIDO")</f>
        <v>0</v>
      </c>
      <c r="C884" s="20">
        <f>+VLOOKUP(PROVEEDORES[[#This Row],[PROVEEDOR]],TERCEROS_INFO[#All],2,FALSE)</f>
        <v>30</v>
      </c>
      <c r="D884" s="25">
        <f>+SUMIFS(PROVEEDORES[Total],PROVEEDORES[PROVEEDOR],PROVEEDORES[[#This Row],[PROVEEDOR]],PROVEEDORES[FECHA DE PAGO],"")</f>
        <v>0</v>
      </c>
      <c r="E884" s="25"/>
      <c r="F884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884" s="68">
        <v>44858</v>
      </c>
      <c r="H884" s="26" t="s">
        <v>628</v>
      </c>
      <c r="I884" s="68">
        <v>44835</v>
      </c>
      <c r="J884" s="35">
        <v>11586</v>
      </c>
      <c r="K884" s="21">
        <v>1649859</v>
      </c>
      <c r="L884" s="21"/>
      <c r="M884" s="22">
        <f>(PROVEEDORES[[#This Row],[SUBTOTAL]]-PROVEEDORES[[#This Row],[descuento sobre subtotal]])*VLOOKUP(PROVEEDORES[[#This Row],[PROVEEDOR]],TERCEROS_INFO[#All],3,FALSE)</f>
        <v>0</v>
      </c>
      <c r="N884" s="23"/>
      <c r="O884" s="22">
        <f>+PROVEEDORES[[#This Row],[Descuento sobre subtotal %]]*(PROVEEDORES[[#This Row],[SUBTOTAL]]-PROVEEDORES[[#This Row],[descuento sobre subtotal]])</f>
        <v>0</v>
      </c>
      <c r="P884" s="74">
        <f>+IF(PROVEEDORES[[#This Row],[SUBTOTAL]]&lt;PROVEEDORES[[#This Row],[base retencion]],0,PROVEEDORES[[#This Row],[retención aplicada]])</f>
        <v>0</v>
      </c>
      <c r="Q884" s="22">
        <f>+PROVEEDORES[[#This Row],[Rete Fuente %]]*(PROVEEDORES[[#This Row],[SUBTOTAL]]-PROVEEDORES[[#This Row],[descuento sobre subtotal]])</f>
        <v>0</v>
      </c>
      <c r="R884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8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63">
        <f ca="1">IF(PROVEEDORES[[#This Row],[FECHA DE PAGO]]=0,TODAY()-PROVEEDORES[[#This Row],[FECHA DE FACTURACIÓN]]-PROVEEDORES[[#This Row],[PLAZO Días]],0)</f>
        <v>0</v>
      </c>
      <c r="U884" s="104">
        <f>+VLOOKUP(PROVEEDORES[[#This Row],[PROVEEDOR]],Terceros!$A:$D,4,FALSE)</f>
        <v>0</v>
      </c>
      <c r="V884" s="105">
        <f>+YEAR(PROVEEDORES[[#This Row],[FECHA DE FACTURACIÓN]])</f>
        <v>2022</v>
      </c>
      <c r="W884" s="105">
        <f>+MATCH(PROVEEDORES[[#This Row],[año facturado]],Retenciones!$1:$1,0)</f>
        <v>5</v>
      </c>
      <c r="X884" s="106">
        <f>+VLOOKUP(PROVEEDORES[[#This Row],[ID RETENCION]],Retenciones!$A$1:$O$25,PROVEEDORES[[#This Row],[indicador de columna]],FALSE)</f>
        <v>0</v>
      </c>
      <c r="Y884" s="107">
        <f>+VLOOKUP(PROVEEDORES[[#This Row],[ID RETENCION]],Retenciones!$A$1:$O$25,2,FALSE)</f>
        <v>0</v>
      </c>
      <c r="Z884" s="116" t="b">
        <f>OR(COUNTIF(PROVEEDORES[[#This Row],[PROVEEDOR]],"*"&amp;'Palabra no opera'!$A$2&amp;"*"))</f>
        <v>1</v>
      </c>
    </row>
    <row r="885" spans="1:26" ht="22.35" customHeight="1" x14ac:dyDescent="0.3">
      <c r="A885" s="232" t="str">
        <f>+IF(PROVEEDORES[[#This Row],[FECHA DE PAGO]]=PROVEEDORES[[#This Row],[FECHA DE FACTURACIÓN]],"DE CONTADO","CRÉDITO")</f>
        <v>CRÉDITO</v>
      </c>
      <c r="B885" s="38" t="b">
        <f>+IF((PROVEEDORES[[#This Row],[FECHA DE PAGO]]-PROVEEDORES[[#This Row],[FECHA DE FACTURACIÓN]])&gt;PROVEEDORES[[#This Row],[PLAZO Días]],"PAGO VENCIDO")</f>
        <v>0</v>
      </c>
      <c r="C885" s="20">
        <f>+VLOOKUP(PROVEEDORES[[#This Row],[PROVEEDOR]],TERCEROS_INFO[#All],2,FALSE)</f>
        <v>30</v>
      </c>
      <c r="D885" s="25">
        <f>+SUMIFS(PROVEEDORES[Total],PROVEEDORES[PROVEEDOR],PROVEEDORES[[#This Row],[PROVEEDOR]],PROVEEDORES[FECHA DE PAGO],"")</f>
        <v>352505.48</v>
      </c>
      <c r="E885" s="25"/>
      <c r="F885" s="56" t="str">
        <f>+VLOOKUP(PROVEEDORES[[#This Row],[PROVEEDOR]],
                       Terceros!$A:$F,
                       5,
                       FALSE)</f>
        <v>facturacion@losmolinos.com.co</v>
      </c>
      <c r="G885" s="68">
        <v>44858</v>
      </c>
      <c r="H885" s="26" t="s">
        <v>650</v>
      </c>
      <c r="I885" s="68">
        <v>44837</v>
      </c>
      <c r="J885" s="35" t="s">
        <v>1212</v>
      </c>
      <c r="K885" s="21">
        <v>284467</v>
      </c>
      <c r="L885" s="21"/>
      <c r="M885" s="22">
        <f>(PROVEEDORES[[#This Row],[SUBTOTAL]]-PROVEEDORES[[#This Row],[descuento sobre subtotal]])*VLOOKUP(PROVEEDORES[[#This Row],[PROVEEDOR]],TERCEROS_INFO[#All],3,FALSE)</f>
        <v>0</v>
      </c>
      <c r="N885" s="23"/>
      <c r="O885" s="22">
        <f>+PROVEEDORES[[#This Row],[Descuento sobre subtotal %]]*(PROVEEDORES[[#This Row],[SUBTOTAL]]-PROVEEDORES[[#This Row],[descuento sobre subtotal]])</f>
        <v>0</v>
      </c>
      <c r="P885" s="74">
        <f>+IF(PROVEEDORES[[#This Row],[SUBTOTAL]]&lt;PROVEEDORES[[#This Row],[base retencion]],0,PROVEEDORES[[#This Row],[retención aplicada]])</f>
        <v>0</v>
      </c>
      <c r="Q885" s="22">
        <f>+PROVEEDORES[[#This Row],[Rete Fuente %]]*(PROVEEDORES[[#This Row],[SUBTOTAL]]-PROVEEDORES[[#This Row],[descuento sobre subtotal]])</f>
        <v>0</v>
      </c>
      <c r="R885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885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63">
        <f ca="1">IF(PROVEEDORES[[#This Row],[FECHA DE PAGO]]=0,TODAY()-PROVEEDORES[[#This Row],[FECHA DE FACTURACIÓN]]-PROVEEDORES[[#This Row],[PLAZO Días]],0)</f>
        <v>0</v>
      </c>
      <c r="U885" s="104">
        <f>+VLOOKUP(PROVEEDORES[[#This Row],[PROVEEDOR]],Terceros!$A:$D,4,FALSE)</f>
        <v>0</v>
      </c>
      <c r="V885" s="105">
        <f>+YEAR(PROVEEDORES[[#This Row],[FECHA DE FACTURACIÓN]])</f>
        <v>2022</v>
      </c>
      <c r="W885" s="105">
        <f>+MATCH(PROVEEDORES[[#This Row],[año facturado]],Retenciones!$1:$1,0)</f>
        <v>5</v>
      </c>
      <c r="X885" s="106">
        <f>+VLOOKUP(PROVEEDORES[[#This Row],[ID RETENCION]],Retenciones!$A$1:$O$25,PROVEEDORES[[#This Row],[indicador de columna]],FALSE)</f>
        <v>0</v>
      </c>
      <c r="Y885" s="107">
        <f>+VLOOKUP(PROVEEDORES[[#This Row],[ID RETENCION]],Retenciones!$A$1:$O$25,2,FALSE)</f>
        <v>0</v>
      </c>
      <c r="Z885" s="116" t="b">
        <f>OR(COUNTIF(PROVEEDORES[[#This Row],[PROVEEDOR]],"*"&amp;'Palabra no opera'!$A$2&amp;"*"))</f>
        <v>1</v>
      </c>
    </row>
    <row r="886" spans="1:26" ht="22.35" customHeight="1" x14ac:dyDescent="0.3">
      <c r="A886" s="232" t="str">
        <f>+IF(PROVEEDORES[[#This Row],[FECHA DE PAGO]]=PROVEEDORES[[#This Row],[FECHA DE FACTURACIÓN]],"DE CONTADO","CRÉDITO")</f>
        <v>CRÉDITO</v>
      </c>
      <c r="B886" s="38" t="b">
        <f>+IF((PROVEEDORES[[#This Row],[FECHA DE PAGO]]-PROVEEDORES[[#This Row],[FECHA DE FACTURACIÓN]])&gt;PROVEEDORES[[#This Row],[PLAZO Días]],"PAGO VENCIDO")</f>
        <v>0</v>
      </c>
      <c r="C886" s="20">
        <f>+VLOOKUP(PROVEEDORES[[#This Row],[PROVEEDOR]],TERCEROS_INFO[#All],2,FALSE)</f>
        <v>30</v>
      </c>
      <c r="D886" s="25">
        <f>+SUMIFS(PROVEEDORES[Total],PROVEEDORES[PROVEEDOR],PROVEEDORES[[#This Row],[PROVEEDOR]],PROVEEDORES[FECHA DE PAGO],"")</f>
        <v>352505.48</v>
      </c>
      <c r="E886" s="25"/>
      <c r="F886" s="56" t="str">
        <f>+VLOOKUP(PROVEEDORES[[#This Row],[PROVEEDOR]],
                       Terceros!$A:$F,
                       5,
                       FALSE)</f>
        <v>facturacion@losmolinos.com.co</v>
      </c>
      <c r="G886" s="68">
        <v>44858</v>
      </c>
      <c r="H886" s="26" t="s">
        <v>650</v>
      </c>
      <c r="I886" s="68">
        <v>44844</v>
      </c>
      <c r="J886" s="35" t="s">
        <v>1215</v>
      </c>
      <c r="K886" s="21">
        <v>161083</v>
      </c>
      <c r="L886" s="21"/>
      <c r="M886" s="22">
        <f>(PROVEEDORES[[#This Row],[SUBTOTAL]]-PROVEEDORES[[#This Row],[descuento sobre subtotal]])*VLOOKUP(PROVEEDORES[[#This Row],[PROVEEDOR]],TERCEROS_INFO[#All],3,FALSE)</f>
        <v>0</v>
      </c>
      <c r="N886" s="23"/>
      <c r="O886" s="22">
        <f>+PROVEEDORES[[#This Row],[Descuento sobre subtotal %]]*(PROVEEDORES[[#This Row],[SUBTOTAL]]-PROVEEDORES[[#This Row],[descuento sobre subtotal]])</f>
        <v>0</v>
      </c>
      <c r="P886" s="74">
        <f>+IF(PROVEEDORES[[#This Row],[SUBTOTAL]]&lt;PROVEEDORES[[#This Row],[base retencion]],0,PROVEEDORES[[#This Row],[retención aplicada]])</f>
        <v>0</v>
      </c>
      <c r="Q886" s="22">
        <f>+PROVEEDORES[[#This Row],[Rete Fuente %]]*(PROVEEDORES[[#This Row],[SUBTOTAL]]-PROVEEDORES[[#This Row],[descuento sobre subtotal]])</f>
        <v>0</v>
      </c>
      <c r="R886" s="21">
        <f>+PROVEEDORES[[#This Row],[SUBTOTAL]]+PROVEEDORES[[#This Row],[IVA 19%]]-PROVEEDORES[[#This Row],[descuento sobre subtotal]]-PROVEEDORES[[#This Row],[Descuento sobre subtotal $2]]-PROVEEDORES[[#This Row],[Rete Fuente $]]</f>
        <v>161083</v>
      </c>
      <c r="S886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63">
        <f ca="1">IF(PROVEEDORES[[#This Row],[FECHA DE PAGO]]=0,TODAY()-PROVEEDORES[[#This Row],[FECHA DE FACTURACIÓN]]-PROVEEDORES[[#This Row],[PLAZO Días]],0)</f>
        <v>0</v>
      </c>
      <c r="U886" s="104">
        <f>+VLOOKUP(PROVEEDORES[[#This Row],[PROVEEDOR]],Terceros!$A:$D,4,FALSE)</f>
        <v>0</v>
      </c>
      <c r="V886" s="105">
        <f>+YEAR(PROVEEDORES[[#This Row],[FECHA DE FACTURACIÓN]])</f>
        <v>2022</v>
      </c>
      <c r="W886" s="105">
        <f>+MATCH(PROVEEDORES[[#This Row],[año facturado]],Retenciones!$1:$1,0)</f>
        <v>5</v>
      </c>
      <c r="X886" s="106">
        <f>+VLOOKUP(PROVEEDORES[[#This Row],[ID RETENCION]],Retenciones!$A$1:$O$25,PROVEEDORES[[#This Row],[indicador de columna]],FALSE)</f>
        <v>0</v>
      </c>
      <c r="Y886" s="107">
        <f>+VLOOKUP(PROVEEDORES[[#This Row],[ID RETENCION]],Retenciones!$A$1:$O$25,2,FALSE)</f>
        <v>0</v>
      </c>
      <c r="Z886" s="116" t="b">
        <f>OR(COUNTIF(PROVEEDORES[[#This Row],[PROVEEDOR]],"*"&amp;'Palabra no opera'!$A$2&amp;"*"))</f>
        <v>1</v>
      </c>
    </row>
    <row r="887" spans="1:26" ht="22.35" customHeight="1" x14ac:dyDescent="0.3">
      <c r="A887" s="67" t="str">
        <f>+IF(PROVEEDORES[[#This Row],[FECHA DE PAGO]]=PROVEEDORES[[#This Row],[FECHA DE FACTURACIÓN]],"DE CONTADO","CRÉDITO")</f>
        <v>CRÉDITO</v>
      </c>
      <c r="B887" s="38" t="b">
        <f>+IF((PROVEEDORES[[#This Row],[FECHA DE PAGO]]-PROVEEDORES[[#This Row],[FECHA DE FACTURACIÓN]])&gt;PROVEEDORES[[#This Row],[PLAZO Días]],"PAGO VENCIDO")</f>
        <v>0</v>
      </c>
      <c r="C887" s="20">
        <f>+VLOOKUP(PROVEEDORES[[#This Row],[PROVEEDOR]],TERCEROS_INFO[#All],2,FALSE)</f>
        <v>30</v>
      </c>
      <c r="D887" s="25">
        <f>+SUMIFS(PROVEEDORES[Total],PROVEEDORES[PROVEEDOR],PROVEEDORES[[#This Row],[PROVEEDOR]],PROVEEDORES[FECHA DE PAGO],"")</f>
        <v>0</v>
      </c>
      <c r="E887" s="25"/>
      <c r="F887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887" s="68">
        <v>44858</v>
      </c>
      <c r="H887" s="26" t="s">
        <v>635</v>
      </c>
      <c r="I887" s="68">
        <v>44854</v>
      </c>
      <c r="J887" s="35">
        <v>4681</v>
      </c>
      <c r="K887" s="21">
        <v>3002200</v>
      </c>
      <c r="L887" s="21"/>
      <c r="M887" s="22">
        <f>(PROVEEDORES[[#This Row],[SUBTOTAL]]-PROVEEDORES[[#This Row],[descuento sobre subtotal]])*VLOOKUP(PROVEEDORES[[#This Row],[PROVEEDOR]],TERCEROS_INFO[#All],3,FALSE)</f>
        <v>0</v>
      </c>
      <c r="N887" s="23"/>
      <c r="O887" s="22">
        <f>+PROVEEDORES[[#This Row],[Descuento sobre subtotal %]]*(PROVEEDORES[[#This Row],[SUBTOTAL]]-PROVEEDORES[[#This Row],[descuento sobre subtotal]])</f>
        <v>0</v>
      </c>
      <c r="P887" s="74">
        <f>+IF(PROVEEDORES[[#This Row],[SUBTOTAL]]&lt;PROVEEDORES[[#This Row],[base retencion]],0,PROVEEDORES[[#This Row],[retención aplicada]])</f>
        <v>3.5000000000000003E-2</v>
      </c>
      <c r="Q887" s="22">
        <f>+PROVEEDORES[[#This Row],[Rete Fuente %]]*(PROVEEDORES[[#This Row],[SUBTOTAL]]-PROVEEDORES[[#This Row],[descuento sobre subtotal]])</f>
        <v>105077.00000000001</v>
      </c>
      <c r="R887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8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63">
        <f ca="1">IF(PROVEEDORES[[#This Row],[FECHA DE PAGO]]=0,TODAY()-PROVEEDORES[[#This Row],[FECHA DE FACTURACIÓN]]-PROVEEDORES[[#This Row],[PLAZO Días]],0)</f>
        <v>0</v>
      </c>
      <c r="U887" s="104" t="str">
        <f>+VLOOKUP(PROVEEDORES[[#This Row],[PROVEEDOR]],Terceros!$A:$D,4,FALSE)</f>
        <v>3,5% sin base</v>
      </c>
      <c r="V887" s="105">
        <f>+YEAR(PROVEEDORES[[#This Row],[FECHA DE FACTURACIÓN]])</f>
        <v>2022</v>
      </c>
      <c r="W887" s="105">
        <f>+MATCH(PROVEEDORES[[#This Row],[año facturado]],Retenciones!$1:$1,0)</f>
        <v>5</v>
      </c>
      <c r="X887" s="106">
        <f>+VLOOKUP(PROVEEDORES[[#This Row],[ID RETENCION]],Retenciones!$A$1:$O$25,PROVEEDORES[[#This Row],[indicador de columna]],FALSE)</f>
        <v>0</v>
      </c>
      <c r="Y887" s="107">
        <f>+VLOOKUP(PROVEEDORES[[#This Row],[ID RETENCION]],Retenciones!$A$1:$O$25,2,FALSE)</f>
        <v>3.5000000000000003E-2</v>
      </c>
      <c r="Z887" s="116" t="b">
        <f>OR(COUNTIF(PROVEEDORES[[#This Row],[PROVEEDOR]],"*"&amp;'Palabra no opera'!$A$2&amp;"*"))</f>
        <v>1</v>
      </c>
    </row>
    <row r="888" spans="1:26" ht="22.35" customHeight="1" x14ac:dyDescent="0.3">
      <c r="A888" s="232" t="str">
        <f>+IF(PROVEEDORES[[#This Row],[FECHA DE PAGO]]=PROVEEDORES[[#This Row],[FECHA DE FACTURACIÓN]],"DE CONTADO","CRÉDITO")</f>
        <v>CRÉDITO</v>
      </c>
      <c r="B888" s="38" t="b">
        <f>+IF((PROVEEDORES[[#This Row],[FECHA DE PAGO]]-PROVEEDORES[[#This Row],[FECHA DE FACTURACIÓN]])&gt;PROVEEDORES[[#This Row],[PLAZO Días]],"PAGO VENCIDO")</f>
        <v>0</v>
      </c>
      <c r="C888" s="20">
        <f>+VLOOKUP(PROVEEDORES[[#This Row],[PROVEEDOR]],TERCEROS_INFO[#All],2,FALSE)</f>
        <v>30</v>
      </c>
      <c r="D888" s="25">
        <f>+SUMIFS(PROVEEDORES[Total],PROVEEDORES[PROVEEDOR],PROVEEDORES[[#This Row],[PROVEEDOR]],PROVEEDORES[FECHA DE PAGO],"")</f>
        <v>0</v>
      </c>
      <c r="E888" s="25"/>
      <c r="F888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8" s="68">
        <v>44858</v>
      </c>
      <c r="H888" s="26" t="s">
        <v>637</v>
      </c>
      <c r="I888" s="68">
        <v>44837</v>
      </c>
      <c r="J888" s="35" t="s">
        <v>1213</v>
      </c>
      <c r="K888" s="21">
        <v>818875</v>
      </c>
      <c r="L888" s="21"/>
      <c r="M888" s="22">
        <f>(PROVEEDORES[[#This Row],[SUBTOTAL]]-PROVEEDORES[[#This Row],[descuento sobre subtotal]])*VLOOKUP(PROVEEDORES[[#This Row],[PROVEEDOR]],TERCEROS_INFO[#All],3,FALSE)</f>
        <v>0</v>
      </c>
      <c r="N888" s="23"/>
      <c r="O888" s="22">
        <f>+PROVEEDORES[[#This Row],[Descuento sobre subtotal %]]*(PROVEEDORES[[#This Row],[SUBTOTAL]]-PROVEEDORES[[#This Row],[descuento sobre subtotal]])</f>
        <v>0</v>
      </c>
      <c r="P888" s="74">
        <f>+IF(PROVEEDORES[[#This Row],[SUBTOTAL]]&lt;PROVEEDORES[[#This Row],[base retencion]],0,PROVEEDORES[[#This Row],[retención aplicada]])</f>
        <v>0</v>
      </c>
      <c r="Q888" s="22">
        <f>+PROVEEDORES[[#This Row],[Rete Fuente %]]*(PROVEEDORES[[#This Row],[SUBTOTAL]]-PROVEEDORES[[#This Row],[descuento sobre subtotal]])</f>
        <v>0</v>
      </c>
      <c r="R888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888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63">
        <f ca="1">IF(PROVEEDORES[[#This Row],[FECHA DE PAGO]]=0,TODAY()-PROVEEDORES[[#This Row],[FECHA DE FACTURACIÓN]]-PROVEEDORES[[#This Row],[PLAZO Días]],0)</f>
        <v>0</v>
      </c>
      <c r="U888" s="104">
        <f>+VLOOKUP(PROVEEDORES[[#This Row],[PROVEEDOR]],Terceros!$A:$D,4,FALSE)</f>
        <v>0</v>
      </c>
      <c r="V888" s="105">
        <f>+YEAR(PROVEEDORES[[#This Row],[FECHA DE FACTURACIÓN]])</f>
        <v>2022</v>
      </c>
      <c r="W888" s="105">
        <f>+MATCH(PROVEEDORES[[#This Row],[año facturado]],Retenciones!$1:$1,0)</f>
        <v>5</v>
      </c>
      <c r="X888" s="106">
        <f>+VLOOKUP(PROVEEDORES[[#This Row],[ID RETENCION]],Retenciones!$A$1:$O$25,PROVEEDORES[[#This Row],[indicador de columna]],FALSE)</f>
        <v>0</v>
      </c>
      <c r="Y888" s="107">
        <f>+VLOOKUP(PROVEEDORES[[#This Row],[ID RETENCION]],Retenciones!$A$1:$O$25,2,FALSE)</f>
        <v>0</v>
      </c>
      <c r="Z888" s="116" t="b">
        <f>OR(COUNTIF(PROVEEDORES[[#This Row],[PROVEEDOR]],"*"&amp;'Palabra no opera'!$A$2&amp;"*"))</f>
        <v>1</v>
      </c>
    </row>
    <row r="889" spans="1:26" ht="22.35" customHeight="1" x14ac:dyDescent="0.3">
      <c r="A889" s="67" t="str">
        <f>+IF(PROVEEDORES[[#This Row],[FECHA DE PAGO]]=PROVEEDORES[[#This Row],[FECHA DE FACTURACIÓN]],"DE CONTADO","CRÉDITO")</f>
        <v>CRÉDITO</v>
      </c>
      <c r="B889" s="38" t="b">
        <f>+IF((PROVEEDORES[[#This Row],[FECHA DE PAGO]]-PROVEEDORES[[#This Row],[FECHA DE FACTURACIÓN]])&gt;PROVEEDORES[[#This Row],[PLAZO Días]],"PAGO VENCIDO")</f>
        <v>0</v>
      </c>
      <c r="C889" s="20">
        <f>+VLOOKUP(PROVEEDORES[[#This Row],[PROVEEDOR]],TERCEROS_INFO[#All],2,FALSE)</f>
        <v>30</v>
      </c>
      <c r="D889" s="25">
        <f>+SUMIFS(PROVEEDORES[Total],PROVEEDORES[PROVEEDOR],PROVEEDORES[[#This Row],[PROVEEDOR]],PROVEEDORES[FECHA DE PAGO],"")</f>
        <v>0</v>
      </c>
      <c r="E889" s="25"/>
      <c r="F88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9" s="68">
        <v>44858</v>
      </c>
      <c r="H889" s="26" t="s">
        <v>637</v>
      </c>
      <c r="I889" s="68">
        <v>44837</v>
      </c>
      <c r="J889" s="35" t="s">
        <v>1214</v>
      </c>
      <c r="K889" s="21">
        <v>825349</v>
      </c>
      <c r="L889" s="21"/>
      <c r="M889" s="22">
        <f>(PROVEEDORES[[#This Row],[SUBTOTAL]]-PROVEEDORES[[#This Row],[descuento sobre subtotal]])*VLOOKUP(PROVEEDORES[[#This Row],[PROVEEDOR]],TERCEROS_INFO[#All],3,FALSE)</f>
        <v>0</v>
      </c>
      <c r="N889" s="23"/>
      <c r="O889" s="22">
        <f>+PROVEEDORES[[#This Row],[Descuento sobre subtotal %]]*(PROVEEDORES[[#This Row],[SUBTOTAL]]-PROVEEDORES[[#This Row],[descuento sobre subtotal]])</f>
        <v>0</v>
      </c>
      <c r="P889" s="74">
        <f>+IF(PROVEEDORES[[#This Row],[SUBTOTAL]]&lt;PROVEEDORES[[#This Row],[base retencion]],0,PROVEEDORES[[#This Row],[retención aplicada]])</f>
        <v>0</v>
      </c>
      <c r="Q889" s="22">
        <f>+PROVEEDORES[[#This Row],[Rete Fuente %]]*(PROVEEDORES[[#This Row],[SUBTOTAL]]-PROVEEDORES[[#This Row],[descuento sobre subtotal]])</f>
        <v>0</v>
      </c>
      <c r="R889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8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63">
        <f ca="1">IF(PROVEEDORES[[#This Row],[FECHA DE PAGO]]=0,TODAY()-PROVEEDORES[[#This Row],[FECHA DE FACTURACIÓN]]-PROVEEDORES[[#This Row],[PLAZO Días]],0)</f>
        <v>0</v>
      </c>
      <c r="U889" s="104">
        <f>+VLOOKUP(PROVEEDORES[[#This Row],[PROVEEDOR]],Terceros!$A:$D,4,FALSE)</f>
        <v>0</v>
      </c>
      <c r="V889" s="105">
        <f>+YEAR(PROVEEDORES[[#This Row],[FECHA DE FACTURACIÓN]])</f>
        <v>2022</v>
      </c>
      <c r="W889" s="105">
        <f>+MATCH(PROVEEDORES[[#This Row],[año facturado]],Retenciones!$1:$1,0)</f>
        <v>5</v>
      </c>
      <c r="X889" s="106">
        <f>+VLOOKUP(PROVEEDORES[[#This Row],[ID RETENCION]],Retenciones!$A$1:$O$25,PROVEEDORES[[#This Row],[indicador de columna]],FALSE)</f>
        <v>0</v>
      </c>
      <c r="Y889" s="107">
        <f>+VLOOKUP(PROVEEDORES[[#This Row],[ID RETENCION]],Retenciones!$A$1:$O$25,2,FALSE)</f>
        <v>0</v>
      </c>
      <c r="Z889" s="116" t="b">
        <f>OR(COUNTIF(PROVEEDORES[[#This Row],[PROVEEDOR]],"*"&amp;'Palabra no opera'!$A$2&amp;"*"))</f>
        <v>1</v>
      </c>
    </row>
    <row r="890" spans="1:26" ht="22.35" customHeight="1" x14ac:dyDescent="0.3">
      <c r="A890" s="232" t="str">
        <f>+IF(PROVEEDORES[[#This Row],[FECHA DE PAGO]]=PROVEEDORES[[#This Row],[FECHA DE FACTURACIÓN]],"DE CONTADO","CRÉDITO")</f>
        <v>CRÉDITO</v>
      </c>
      <c r="B890" s="38" t="b">
        <f>+IF((PROVEEDORES[[#This Row],[FECHA DE PAGO]]-PROVEEDORES[[#This Row],[FECHA DE FACTURACIÓN]])&gt;PROVEEDORES[[#This Row],[PLAZO Días]],"PAGO VENCIDO")</f>
        <v>0</v>
      </c>
      <c r="C890" s="20">
        <f>+VLOOKUP(PROVEEDORES[[#This Row],[PROVEEDOR]],TERCEROS_INFO[#All],2,FALSE)</f>
        <v>30</v>
      </c>
      <c r="D890" s="25">
        <f>+SUMIFS(PROVEEDORES[Total],PROVEEDORES[PROVEEDOR],PROVEEDORES[[#This Row],[PROVEEDOR]],PROVEEDORES[FECHA DE PAGO],"")</f>
        <v>0</v>
      </c>
      <c r="E890" s="25"/>
      <c r="F89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90" s="68">
        <v>44858</v>
      </c>
      <c r="H890" s="26" t="s">
        <v>637</v>
      </c>
      <c r="I890" s="68">
        <v>44838</v>
      </c>
      <c r="J890" s="35" t="s">
        <v>1210</v>
      </c>
      <c r="K890" s="21">
        <v>59583</v>
      </c>
      <c r="L890" s="21"/>
      <c r="M890" s="22">
        <f>(PROVEEDORES[[#This Row],[SUBTOTAL]]-PROVEEDORES[[#This Row],[descuento sobre subtotal]])*VLOOKUP(PROVEEDORES[[#This Row],[PROVEEDOR]],TERCEROS_INFO[#All],3,FALSE)</f>
        <v>0</v>
      </c>
      <c r="N890" s="23"/>
      <c r="O890" s="22">
        <f>+PROVEEDORES[[#This Row],[Descuento sobre subtotal %]]*(PROVEEDORES[[#This Row],[SUBTOTAL]]-PROVEEDORES[[#This Row],[descuento sobre subtotal]])</f>
        <v>0</v>
      </c>
      <c r="P890" s="74">
        <f>+IF(PROVEEDORES[[#This Row],[SUBTOTAL]]&lt;PROVEEDORES[[#This Row],[base retencion]],0,PROVEEDORES[[#This Row],[retención aplicada]])</f>
        <v>0</v>
      </c>
      <c r="Q890" s="22">
        <f>+PROVEEDORES[[#This Row],[Rete Fuente %]]*(PROVEEDORES[[#This Row],[SUBTOTAL]]-PROVEEDORES[[#This Row],[descuento sobre subtotal]])</f>
        <v>0</v>
      </c>
      <c r="R890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89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63">
        <f ca="1">IF(PROVEEDORES[[#This Row],[FECHA DE PAGO]]=0,TODAY()-PROVEEDORES[[#This Row],[FECHA DE FACTURACIÓN]]-PROVEEDORES[[#This Row],[PLAZO Días]],0)</f>
        <v>0</v>
      </c>
      <c r="U890" s="104">
        <f>+VLOOKUP(PROVEEDORES[[#This Row],[PROVEEDOR]],Terceros!$A:$D,4,FALSE)</f>
        <v>0</v>
      </c>
      <c r="V890" s="105">
        <f>+YEAR(PROVEEDORES[[#This Row],[FECHA DE FACTURACIÓN]])</f>
        <v>2022</v>
      </c>
      <c r="W890" s="105">
        <f>+MATCH(PROVEEDORES[[#This Row],[año facturado]],Retenciones!$1:$1,0)</f>
        <v>5</v>
      </c>
      <c r="X890" s="106">
        <f>+VLOOKUP(PROVEEDORES[[#This Row],[ID RETENCION]],Retenciones!$A$1:$O$25,PROVEEDORES[[#This Row],[indicador de columna]],FALSE)</f>
        <v>0</v>
      </c>
      <c r="Y890" s="107">
        <f>+VLOOKUP(PROVEEDORES[[#This Row],[ID RETENCION]],Retenciones!$A$1:$O$25,2,FALSE)</f>
        <v>0</v>
      </c>
      <c r="Z890" s="116" t="b">
        <f>OR(COUNTIF(PROVEEDORES[[#This Row],[PROVEEDOR]],"*"&amp;'Palabra no opera'!$A$2&amp;"*"))</f>
        <v>1</v>
      </c>
    </row>
    <row r="891" spans="1:26" ht="22.35" customHeight="1" x14ac:dyDescent="0.3">
      <c r="A891" s="232" t="str">
        <f>+IF(PROVEEDORES[[#This Row],[FECHA DE PAGO]]=PROVEEDORES[[#This Row],[FECHA DE FACTURACIÓN]],"DE CONTADO","CRÉDITO")</f>
        <v>CRÉDITO</v>
      </c>
      <c r="B891" s="38" t="b">
        <f>+IF((PROVEEDORES[[#This Row],[FECHA DE PAGO]]-PROVEEDORES[[#This Row],[FECHA DE FACTURACIÓN]])&gt;PROVEEDORES[[#This Row],[PLAZO Días]],"PAGO VENCIDO")</f>
        <v>0</v>
      </c>
      <c r="C891" s="20">
        <f>+VLOOKUP(PROVEEDORES[[#This Row],[PROVEEDOR]],TERCEROS_INFO[#All],2,FALSE)</f>
        <v>30</v>
      </c>
      <c r="D891" s="25">
        <f>+SUMIFS(PROVEEDORES[Total],PROVEEDORES[PROVEEDOR],PROVEEDORES[[#This Row],[PROVEEDOR]],PROVEEDORES[FECHA DE PAGO],"")</f>
        <v>0</v>
      </c>
      <c r="E891" s="25"/>
      <c r="F89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91" s="68">
        <v>44858</v>
      </c>
      <c r="H891" s="26" t="s">
        <v>637</v>
      </c>
      <c r="I891" s="68">
        <v>44838</v>
      </c>
      <c r="J891" s="35" t="s">
        <v>1211</v>
      </c>
      <c r="K891" s="21">
        <v>68166</v>
      </c>
      <c r="L891" s="21"/>
      <c r="M891" s="22">
        <f>(PROVEEDORES[[#This Row],[SUBTOTAL]]-PROVEEDORES[[#This Row],[descuento sobre subtotal]])*VLOOKUP(PROVEEDORES[[#This Row],[PROVEEDOR]],TERCEROS_INFO[#All],3,FALSE)</f>
        <v>0</v>
      </c>
      <c r="N891" s="23"/>
      <c r="O891" s="22">
        <f>+PROVEEDORES[[#This Row],[Descuento sobre subtotal %]]*(PROVEEDORES[[#This Row],[SUBTOTAL]]-PROVEEDORES[[#This Row],[descuento sobre subtotal]])</f>
        <v>0</v>
      </c>
      <c r="P891" s="74">
        <f>+IF(PROVEEDORES[[#This Row],[SUBTOTAL]]&lt;PROVEEDORES[[#This Row],[base retencion]],0,PROVEEDORES[[#This Row],[retención aplicada]])</f>
        <v>0</v>
      </c>
      <c r="Q891" s="22">
        <f>+PROVEEDORES[[#This Row],[Rete Fuente %]]*(PROVEEDORES[[#This Row],[SUBTOTAL]]-PROVEEDORES[[#This Row],[descuento sobre subtotal]])</f>
        <v>0</v>
      </c>
      <c r="R891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89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63">
        <f ca="1">IF(PROVEEDORES[[#This Row],[FECHA DE PAGO]]=0,TODAY()-PROVEEDORES[[#This Row],[FECHA DE FACTURACIÓN]]-PROVEEDORES[[#This Row],[PLAZO Días]],0)</f>
        <v>0</v>
      </c>
      <c r="U891" s="104">
        <f>+VLOOKUP(PROVEEDORES[[#This Row],[PROVEEDOR]],Terceros!$A:$D,4,FALSE)</f>
        <v>0</v>
      </c>
      <c r="V891" s="105">
        <f>+YEAR(PROVEEDORES[[#This Row],[FECHA DE FACTURACIÓN]])</f>
        <v>2022</v>
      </c>
      <c r="W891" s="105">
        <f>+MATCH(PROVEEDORES[[#This Row],[año facturado]],Retenciones!$1:$1,0)</f>
        <v>5</v>
      </c>
      <c r="X891" s="106">
        <f>+VLOOKUP(PROVEEDORES[[#This Row],[ID RETENCION]],Retenciones!$A$1:$O$25,PROVEEDORES[[#This Row],[indicador de columna]],FALSE)</f>
        <v>0</v>
      </c>
      <c r="Y891" s="107">
        <f>+VLOOKUP(PROVEEDORES[[#This Row],[ID RETENCION]],Retenciones!$A$1:$O$25,2,FALSE)</f>
        <v>0</v>
      </c>
      <c r="Z891" s="116" t="b">
        <f>OR(COUNTIF(PROVEEDORES[[#This Row],[PROVEEDOR]],"*"&amp;'Palabra no opera'!$A$2&amp;"*"))</f>
        <v>1</v>
      </c>
    </row>
    <row r="892" spans="1:26" ht="22.35" customHeight="1" x14ac:dyDescent="0.3">
      <c r="A892" s="182" t="str">
        <f>+IF(PROVEEDORES[[#This Row],[FECHA DE PAGO]]=PROVEEDORES[[#This Row],[FECHA DE FACTURACIÓN]],"DE CONTADO","CRÉDITO")</f>
        <v>CRÉDITO</v>
      </c>
      <c r="B892" s="38" t="str">
        <f>+IF((PROVEEDORES[[#This Row],[FECHA DE PAGO]]-PROVEEDORES[[#This Row],[FECHA DE FACTURACIÓN]])&gt;PROVEEDORES[[#This Row],[PLAZO Días]],"PAGO VENCIDO")</f>
        <v>PAGO VENCIDO</v>
      </c>
      <c r="C892" s="20">
        <f>+VLOOKUP(PROVEEDORES[[#This Row],[PROVEEDOR]],TERCEROS_INFO[#All],2,FALSE)</f>
        <v>45</v>
      </c>
      <c r="D892" s="25">
        <f>+SUMIFS(PROVEEDORES[Total],PROVEEDORES[PROVEEDOR],PROVEEDORES[[#This Row],[PROVEEDOR]],PROVEEDORES[FECHA DE PAGO],"")</f>
        <v>8072960</v>
      </c>
      <c r="E892" s="25"/>
      <c r="F89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92" s="68">
        <v>44858</v>
      </c>
      <c r="H892" s="26" t="s">
        <v>10</v>
      </c>
      <c r="I892" s="68">
        <v>44791</v>
      </c>
      <c r="J892" s="35" t="s">
        <v>932</v>
      </c>
      <c r="K892" s="21">
        <v>456000</v>
      </c>
      <c r="L892" s="21"/>
      <c r="M892" s="22">
        <f>(PROVEEDORES[[#This Row],[SUBTOTAL]]-PROVEEDORES[[#This Row],[descuento sobre subtotal]])*VLOOKUP(PROVEEDORES[[#This Row],[PROVEEDOR]],TERCEROS_INFO[#All],3,FALSE)</f>
        <v>86640</v>
      </c>
      <c r="N892" s="23"/>
      <c r="O892" s="22">
        <f>+PROVEEDORES[[#This Row],[Descuento sobre subtotal %]]*(PROVEEDORES[[#This Row],[SUBTOTAL]]-PROVEEDORES[[#This Row],[descuento sobre subtotal]])</f>
        <v>0</v>
      </c>
      <c r="P892" s="74">
        <f>+IF(PROVEEDORES[[#This Row],[SUBTOTAL]]&lt;PROVEEDORES[[#This Row],[base retencion]],0,PROVEEDORES[[#This Row],[retención aplicada]])</f>
        <v>0</v>
      </c>
      <c r="Q892" s="22">
        <f>+PROVEEDORES[[#This Row],[Rete Fuente %]]*(PROVEEDORES[[#This Row],[SUBTOTAL]]-PROVEEDORES[[#This Row],[descuento sobre subtotal]])</f>
        <v>0</v>
      </c>
      <c r="R892" s="21">
        <f>+PROVEEDORES[[#This Row],[SUBTOTAL]]+PROVEEDORES[[#This Row],[IVA 19%]]-PROVEEDORES[[#This Row],[descuento sobre subtotal]]-PROVEEDORES[[#This Row],[Descuento sobre subtotal $2]]-PROVEEDORES[[#This Row],[Rete Fuente $]]</f>
        <v>542640</v>
      </c>
      <c r="S89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63">
        <f ca="1">IF(PROVEEDORES[[#This Row],[FECHA DE PAGO]]=0,TODAY()-PROVEEDORES[[#This Row],[FECHA DE FACTURACIÓN]]-PROVEEDORES[[#This Row],[PLAZO Días]],0)</f>
        <v>0</v>
      </c>
      <c r="U892" s="104">
        <f>+VLOOKUP(PROVEEDORES[[#This Row],[PROVEEDOR]],Terceros!$A:$D,4,FALSE)</f>
        <v>0</v>
      </c>
      <c r="V892" s="105">
        <f>+YEAR(PROVEEDORES[[#This Row],[FECHA DE FACTURACIÓN]])</f>
        <v>2022</v>
      </c>
      <c r="W892" s="105">
        <f>+MATCH(PROVEEDORES[[#This Row],[año facturado]],Retenciones!$1:$1,0)</f>
        <v>5</v>
      </c>
      <c r="X892" s="106">
        <f>+VLOOKUP(PROVEEDORES[[#This Row],[ID RETENCION]],Retenciones!$A$1:$O$25,PROVEEDORES[[#This Row],[indicador de columna]],FALSE)</f>
        <v>0</v>
      </c>
      <c r="Y892" s="107">
        <f>+VLOOKUP(PROVEEDORES[[#This Row],[ID RETENCION]],Retenciones!$A$1:$O$25,2,FALSE)</f>
        <v>0</v>
      </c>
      <c r="Z892" s="116" t="b">
        <f>OR(COUNTIF(PROVEEDORES[[#This Row],[PROVEEDOR]],"*"&amp;'Palabra no opera'!$A$2&amp;"*"))</f>
        <v>0</v>
      </c>
    </row>
    <row r="893" spans="1:26" ht="22.35" customHeight="1" x14ac:dyDescent="0.3">
      <c r="A893" s="182" t="str">
        <f>+IF(PROVEEDORES[[#This Row],[FECHA DE PAGO]]=PROVEEDORES[[#This Row],[FECHA DE FACTURACIÓN]],"DE CONTADO","CRÉDITO")</f>
        <v>CRÉDITO</v>
      </c>
      <c r="B893" s="38" t="str">
        <f>+IF((PROVEEDORES[[#This Row],[FECHA DE PAGO]]-PROVEEDORES[[#This Row],[FECHA DE FACTURACIÓN]])&gt;PROVEEDORES[[#This Row],[PLAZO Días]],"PAGO VENCIDO")</f>
        <v>PAGO VENCIDO</v>
      </c>
      <c r="C893" s="20">
        <f>+VLOOKUP(PROVEEDORES[[#This Row],[PROVEEDOR]],TERCEROS_INFO[#All],2,FALSE)</f>
        <v>45</v>
      </c>
      <c r="D893" s="25">
        <f>+SUMIFS(PROVEEDORES[Total],PROVEEDORES[PROVEEDOR],PROVEEDORES[[#This Row],[PROVEEDOR]],PROVEEDORES[FECHA DE PAGO],"")</f>
        <v>8072960</v>
      </c>
      <c r="E893" s="25"/>
      <c r="F89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93" s="68">
        <v>44858</v>
      </c>
      <c r="H893" s="26" t="s">
        <v>10</v>
      </c>
      <c r="I893" s="68">
        <v>44792</v>
      </c>
      <c r="J893" s="35" t="s">
        <v>931</v>
      </c>
      <c r="K893" s="21">
        <v>750000</v>
      </c>
      <c r="L893" s="21"/>
      <c r="M893" s="22">
        <f>(PROVEEDORES[[#This Row],[SUBTOTAL]]-PROVEEDORES[[#This Row],[descuento sobre subtotal]])*VLOOKUP(PROVEEDORES[[#This Row],[PROVEEDOR]],TERCEROS_INFO[#All],3,FALSE)</f>
        <v>142500</v>
      </c>
      <c r="N893" s="23"/>
      <c r="O893" s="22">
        <f>+PROVEEDORES[[#This Row],[Descuento sobre subtotal %]]*(PROVEEDORES[[#This Row],[SUBTOTAL]]-PROVEEDORES[[#This Row],[descuento sobre subtotal]])</f>
        <v>0</v>
      </c>
      <c r="P893" s="74">
        <f>+IF(PROVEEDORES[[#This Row],[SUBTOTAL]]&lt;PROVEEDORES[[#This Row],[base retencion]],0,PROVEEDORES[[#This Row],[retención aplicada]])</f>
        <v>0</v>
      </c>
      <c r="Q893" s="22">
        <f>+PROVEEDORES[[#This Row],[Rete Fuente %]]*(PROVEEDORES[[#This Row],[SUBTOTAL]]-PROVEEDORES[[#This Row],[descuento sobre subtotal]])</f>
        <v>0</v>
      </c>
      <c r="R893" s="21">
        <f>+PROVEEDORES[[#This Row],[SUBTOTAL]]+PROVEEDORES[[#This Row],[IVA 19%]]-PROVEEDORES[[#This Row],[descuento sobre subtotal]]-PROVEEDORES[[#This Row],[Descuento sobre subtotal $2]]-PROVEEDORES[[#This Row],[Rete Fuente $]]</f>
        <v>892500</v>
      </c>
      <c r="S89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63">
        <f ca="1">IF(PROVEEDORES[[#This Row],[FECHA DE PAGO]]=0,TODAY()-PROVEEDORES[[#This Row],[FECHA DE FACTURACIÓN]]-PROVEEDORES[[#This Row],[PLAZO Días]],0)</f>
        <v>0</v>
      </c>
      <c r="U893" s="104">
        <f>+VLOOKUP(PROVEEDORES[[#This Row],[PROVEEDOR]],Terceros!$A:$D,4,FALSE)</f>
        <v>0</v>
      </c>
      <c r="V893" s="105">
        <f>+YEAR(PROVEEDORES[[#This Row],[FECHA DE FACTURACIÓN]])</f>
        <v>2022</v>
      </c>
      <c r="W893" s="105">
        <f>+MATCH(PROVEEDORES[[#This Row],[año facturado]],Retenciones!$1:$1,0)</f>
        <v>5</v>
      </c>
      <c r="X893" s="106">
        <f>+VLOOKUP(PROVEEDORES[[#This Row],[ID RETENCION]],Retenciones!$A$1:$O$25,PROVEEDORES[[#This Row],[indicador de columna]],FALSE)</f>
        <v>0</v>
      </c>
      <c r="Y893" s="107">
        <f>+VLOOKUP(PROVEEDORES[[#This Row],[ID RETENCION]],Retenciones!$A$1:$O$25,2,FALSE)</f>
        <v>0</v>
      </c>
      <c r="Z893" s="116" t="b">
        <f>OR(COUNTIF(PROVEEDORES[[#This Row],[PROVEEDOR]],"*"&amp;'Palabra no opera'!$A$2&amp;"*"))</f>
        <v>0</v>
      </c>
    </row>
    <row r="894" spans="1:26" ht="22.35" customHeight="1" x14ac:dyDescent="0.3">
      <c r="A894" s="182" t="str">
        <f>+IF(PROVEEDORES[[#This Row],[FECHA DE PAGO]]=PROVEEDORES[[#This Row],[FECHA DE FACTURACIÓN]],"DE CONTADO","CRÉDITO")</f>
        <v>CRÉDITO</v>
      </c>
      <c r="B894" s="38" t="str">
        <f>+IF((PROVEEDORES[[#This Row],[FECHA DE PAGO]]-PROVEEDORES[[#This Row],[FECHA DE FACTURACIÓN]])&gt;PROVEEDORES[[#This Row],[PLAZO Días]],"PAGO VENCIDO")</f>
        <v>PAGO VENCIDO</v>
      </c>
      <c r="C894" s="20">
        <f>+VLOOKUP(PROVEEDORES[[#This Row],[PROVEEDOR]],TERCEROS_INFO[#All],2,FALSE)</f>
        <v>45</v>
      </c>
      <c r="D894" s="25">
        <f>+SUMIFS(PROVEEDORES[Total],PROVEEDORES[PROVEEDOR],PROVEEDORES[[#This Row],[PROVEEDOR]],PROVEEDORES[FECHA DE PAGO],"")</f>
        <v>8072960</v>
      </c>
      <c r="E894" s="25"/>
      <c r="F89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94" s="68">
        <v>44858</v>
      </c>
      <c r="H894" s="26" t="s">
        <v>10</v>
      </c>
      <c r="I894" s="68">
        <v>44802</v>
      </c>
      <c r="J894" s="35" t="s">
        <v>1071</v>
      </c>
      <c r="K894" s="21">
        <v>1720000</v>
      </c>
      <c r="L894" s="21"/>
      <c r="M894" s="22">
        <f>(PROVEEDORES[[#This Row],[SUBTOTAL]]-PROVEEDORES[[#This Row],[descuento sobre subtotal]])*VLOOKUP(PROVEEDORES[[#This Row],[PROVEEDOR]],TERCEROS_INFO[#All],3,FALSE)</f>
        <v>326800</v>
      </c>
      <c r="N894" s="23"/>
      <c r="O894" s="22">
        <f>+PROVEEDORES[[#This Row],[Descuento sobre subtotal %]]*(PROVEEDORES[[#This Row],[SUBTOTAL]]-PROVEEDORES[[#This Row],[descuento sobre subtotal]])</f>
        <v>0</v>
      </c>
      <c r="P894" s="74">
        <f>+IF(PROVEEDORES[[#This Row],[SUBTOTAL]]&lt;PROVEEDORES[[#This Row],[base retencion]],0,PROVEEDORES[[#This Row],[retención aplicada]])</f>
        <v>0</v>
      </c>
      <c r="Q894" s="22">
        <f>+PROVEEDORES[[#This Row],[Rete Fuente %]]*(PROVEEDORES[[#This Row],[SUBTOTAL]]-PROVEEDORES[[#This Row],[descuento sobre subtotal]])</f>
        <v>0</v>
      </c>
      <c r="R894" s="21">
        <f>+PROVEEDORES[[#This Row],[SUBTOTAL]]+PROVEEDORES[[#This Row],[IVA 19%]]-PROVEEDORES[[#This Row],[descuento sobre subtotal]]-PROVEEDORES[[#This Row],[Descuento sobre subtotal $2]]-PROVEEDORES[[#This Row],[Rete Fuente $]]</f>
        <v>2046800</v>
      </c>
      <c r="S89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63">
        <f ca="1">IF(PROVEEDORES[[#This Row],[FECHA DE PAGO]]=0,TODAY()-PROVEEDORES[[#This Row],[FECHA DE FACTURACIÓN]]-PROVEEDORES[[#This Row],[PLAZO Días]],0)</f>
        <v>0</v>
      </c>
      <c r="U894" s="104">
        <f>+VLOOKUP(PROVEEDORES[[#This Row],[PROVEEDOR]],Terceros!$A:$D,4,FALSE)</f>
        <v>0</v>
      </c>
      <c r="V894" s="105">
        <f>+YEAR(PROVEEDORES[[#This Row],[FECHA DE FACTURACIÓN]])</f>
        <v>2022</v>
      </c>
      <c r="W894" s="105">
        <f>+MATCH(PROVEEDORES[[#This Row],[año facturado]],Retenciones!$1:$1,0)</f>
        <v>5</v>
      </c>
      <c r="X894" s="106">
        <f>+VLOOKUP(PROVEEDORES[[#This Row],[ID RETENCION]],Retenciones!$A$1:$O$25,PROVEEDORES[[#This Row],[indicador de columna]],FALSE)</f>
        <v>0</v>
      </c>
      <c r="Y894" s="107">
        <f>+VLOOKUP(PROVEEDORES[[#This Row],[ID RETENCION]],Retenciones!$A$1:$O$25,2,FALSE)</f>
        <v>0</v>
      </c>
      <c r="Z894" s="116" t="b">
        <f>OR(COUNTIF(PROVEEDORES[[#This Row],[PROVEEDOR]],"*"&amp;'Palabra no opera'!$A$2&amp;"*"))</f>
        <v>0</v>
      </c>
    </row>
    <row r="895" spans="1:26" ht="22.35" customHeight="1" x14ac:dyDescent="0.3">
      <c r="A895" s="232" t="str">
        <f>+IF(PROVEEDORES[[#This Row],[FECHA DE PAGO]]=PROVEEDORES[[#This Row],[FECHA DE FACTURACIÓN]],"DE CONTADO","CRÉDITO")</f>
        <v>CRÉDITO</v>
      </c>
      <c r="B895" s="38" t="str">
        <f>+IF((PROVEEDORES[[#This Row],[FECHA DE PAGO]]-PROVEEDORES[[#This Row],[FECHA DE FACTURACIÓN]])&gt;PROVEEDORES[[#This Row],[PLAZO Días]],"PAGO VENCIDO")</f>
        <v>PAGO VENCIDO</v>
      </c>
      <c r="C895" s="20">
        <f>+VLOOKUP(PROVEEDORES[[#This Row],[PROVEEDOR]],TERCEROS_INFO[#All],2,FALSE)</f>
        <v>10</v>
      </c>
      <c r="D895" s="25">
        <f>+SUMIFS(PROVEEDORES[Total],PROVEEDORES[PROVEEDOR],PROVEEDORES[[#This Row],[PROVEEDOR]],PROVEEDORES[FECHA DE PAGO],"")</f>
        <v>0</v>
      </c>
      <c r="E895" s="25"/>
      <c r="F895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895" s="68">
        <v>44858</v>
      </c>
      <c r="H895" s="26" t="s">
        <v>1202</v>
      </c>
      <c r="I895" s="68">
        <v>44837</v>
      </c>
      <c r="J895" s="35">
        <v>20</v>
      </c>
      <c r="K895" s="21">
        <v>5628700</v>
      </c>
      <c r="L895" s="21"/>
      <c r="M895" s="22">
        <f>(PROVEEDORES[[#This Row],[SUBTOTAL]]-PROVEEDORES[[#This Row],[descuento sobre subtotal]])*VLOOKUP(PROVEEDORES[[#This Row],[PROVEEDOR]],TERCEROS_INFO[#All],3,FALSE)</f>
        <v>0</v>
      </c>
      <c r="N895" s="23"/>
      <c r="O895" s="22">
        <f>+PROVEEDORES[[#This Row],[Descuento sobre subtotal %]]*(PROVEEDORES[[#This Row],[SUBTOTAL]]-PROVEEDORES[[#This Row],[descuento sobre subtotal]])</f>
        <v>0</v>
      </c>
      <c r="P895" s="74">
        <f>+IF(PROVEEDORES[[#This Row],[SUBTOTAL]]&lt;PROVEEDORES[[#This Row],[base retencion]],0,PROVEEDORES[[#This Row],[retención aplicada]])</f>
        <v>0</v>
      </c>
      <c r="Q895" s="22">
        <f>+PROVEEDORES[[#This Row],[Rete Fuente %]]*(PROVEEDORES[[#This Row],[SUBTOTAL]]-PROVEEDORES[[#This Row],[descuento sobre subtotal]])</f>
        <v>0</v>
      </c>
      <c r="R895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895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63">
        <f ca="1">IF(PROVEEDORES[[#This Row],[FECHA DE PAGO]]=0,TODAY()-PROVEEDORES[[#This Row],[FECHA DE FACTURACIÓN]]-PROVEEDORES[[#This Row],[PLAZO Días]],0)</f>
        <v>0</v>
      </c>
      <c r="U895" s="104">
        <f>+VLOOKUP(PROVEEDORES[[#This Row],[PROVEEDOR]],Terceros!$A:$D,4,FALSE)</f>
        <v>0</v>
      </c>
      <c r="V895" s="105">
        <f>+YEAR(PROVEEDORES[[#This Row],[FECHA DE FACTURACIÓN]])</f>
        <v>2022</v>
      </c>
      <c r="W895" s="105">
        <f>+MATCH(PROVEEDORES[[#This Row],[año facturado]],Retenciones!$1:$1,0)</f>
        <v>5</v>
      </c>
      <c r="X895" s="106">
        <f>+VLOOKUP(PROVEEDORES[[#This Row],[ID RETENCION]],Retenciones!$A$1:$O$25,PROVEEDORES[[#This Row],[indicador de columna]],FALSE)</f>
        <v>0</v>
      </c>
      <c r="Y895" s="107">
        <f>+VLOOKUP(PROVEEDORES[[#This Row],[ID RETENCION]],Retenciones!$A$1:$O$25,2,FALSE)</f>
        <v>0</v>
      </c>
      <c r="Z895" s="116" t="b">
        <f>OR(COUNTIF(PROVEEDORES[[#This Row],[PROVEEDOR]],"*"&amp;'Palabra no opera'!$A$2&amp;"*"))</f>
        <v>1</v>
      </c>
    </row>
    <row r="896" spans="1:26" ht="22.35" customHeight="1" x14ac:dyDescent="0.3">
      <c r="A896" s="232" t="str">
        <f>+IF(PROVEEDORES[[#This Row],[FECHA DE PAGO]]=PROVEEDORES[[#This Row],[FECHA DE FACTURACIÓN]],"DE CONTADO","CRÉDITO")</f>
        <v>CRÉDITO</v>
      </c>
      <c r="B896" s="38" t="b">
        <f>+IF((PROVEEDORES[[#This Row],[FECHA DE PAGO]]-PROVEEDORES[[#This Row],[FECHA DE FACTURACIÓN]])&gt;PROVEEDORES[[#This Row],[PLAZO Días]],"PAGO VENCIDO")</f>
        <v>0</v>
      </c>
      <c r="C896" s="20">
        <f>+VLOOKUP(PROVEEDORES[[#This Row],[PROVEEDOR]],TERCEROS_INFO[#All],2,FALSE)</f>
        <v>30</v>
      </c>
      <c r="D896" s="25">
        <f>+SUMIFS(PROVEEDORES[Total],PROVEEDORES[PROVEEDOR],PROVEEDORES[[#This Row],[PROVEEDOR]],PROVEEDORES[FECHA DE PAGO],"")</f>
        <v>0</v>
      </c>
      <c r="E896" s="25"/>
      <c r="F896" s="56" t="str">
        <f>+VLOOKUP(PROVEEDORES[[#This Row],[PROVEEDOR]],
                       Terceros!$A:$F,
                       5,
                       FALSE)</f>
        <v/>
      </c>
      <c r="G896" s="68">
        <v>44859</v>
      </c>
      <c r="H896" s="26" t="s">
        <v>1194</v>
      </c>
      <c r="I896" s="68">
        <v>44858</v>
      </c>
      <c r="J896" s="35" t="s">
        <v>1223</v>
      </c>
      <c r="K896" s="21">
        <v>13934000</v>
      </c>
      <c r="L896" s="21"/>
      <c r="M896" s="22">
        <f>(PROVEEDORES[[#This Row],[SUBTOTAL]]-PROVEEDORES[[#This Row],[descuento sobre subtotal]])*VLOOKUP(PROVEEDORES[[#This Row],[PROVEEDOR]],TERCEROS_INFO[#All],3,FALSE)</f>
        <v>0</v>
      </c>
      <c r="N896" s="23"/>
      <c r="O896" s="22">
        <f>+PROVEEDORES[[#This Row],[Descuento sobre subtotal %]]*(PROVEEDORES[[#This Row],[SUBTOTAL]]-PROVEEDORES[[#This Row],[descuento sobre subtotal]])</f>
        <v>0</v>
      </c>
      <c r="P896" s="74">
        <f>+IF(PROVEEDORES[[#This Row],[SUBTOTAL]]&lt;PROVEEDORES[[#This Row],[base retencion]],0,PROVEEDORES[[#This Row],[retención aplicada]])</f>
        <v>0</v>
      </c>
      <c r="Q896" s="22">
        <f>+PROVEEDORES[[#This Row],[Rete Fuente %]]*(PROVEEDORES[[#This Row],[SUBTOTAL]]-PROVEEDORES[[#This Row],[descuento sobre subtotal]])</f>
        <v>0</v>
      </c>
      <c r="R896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896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63">
        <f ca="1">IF(PROVEEDORES[[#This Row],[FECHA DE PAGO]]=0,TODAY()-PROVEEDORES[[#This Row],[FECHA DE FACTURACIÓN]]-PROVEEDORES[[#This Row],[PLAZO Días]],0)</f>
        <v>0</v>
      </c>
      <c r="U896" s="104">
        <f>+VLOOKUP(PROVEEDORES[[#This Row],[PROVEEDOR]],Terceros!$A:$D,4,FALSE)</f>
        <v>0</v>
      </c>
      <c r="V896" s="105">
        <f>+YEAR(PROVEEDORES[[#This Row],[FECHA DE FACTURACIÓN]])</f>
        <v>2022</v>
      </c>
      <c r="W896" s="105">
        <f>+MATCH(PROVEEDORES[[#This Row],[año facturado]],Retenciones!$1:$1,0)</f>
        <v>5</v>
      </c>
      <c r="X896" s="106">
        <f>+VLOOKUP(PROVEEDORES[[#This Row],[ID RETENCION]],Retenciones!$A$1:$O$25,PROVEEDORES[[#This Row],[indicador de columna]],FALSE)</f>
        <v>0</v>
      </c>
      <c r="Y896" s="107">
        <f>+VLOOKUP(PROVEEDORES[[#This Row],[ID RETENCION]],Retenciones!$A$1:$O$25,2,FALSE)</f>
        <v>0</v>
      </c>
      <c r="Z896" s="116" t="b">
        <f>OR(COUNTIF(PROVEEDORES[[#This Row],[PROVEEDOR]],"*"&amp;'Palabra no opera'!$A$2&amp;"*"))</f>
        <v>0</v>
      </c>
    </row>
    <row r="897" spans="1:26" ht="22.35" customHeight="1" x14ac:dyDescent="0.3">
      <c r="A897" s="67" t="str">
        <f>+IF(PROVEEDORES[[#This Row],[FECHA DE PAGO]]=PROVEEDORES[[#This Row],[FECHA DE FACTURACIÓN]],"DE CONTADO","CRÉDITO")</f>
        <v>CRÉDITO</v>
      </c>
      <c r="B897" s="38" t="b">
        <f>+IF((PROVEEDORES[[#This Row],[FECHA DE PAGO]]-PROVEEDORES[[#This Row],[FECHA DE FACTURACIÓN]])&gt;PROVEEDORES[[#This Row],[PLAZO Días]],"PAGO VENCIDO")</f>
        <v>0</v>
      </c>
      <c r="C897" s="20">
        <f>+VLOOKUP(PROVEEDORES[[#This Row],[PROVEEDOR]],TERCEROS_INFO[#All],2,FALSE)</f>
        <v>30</v>
      </c>
      <c r="D897" s="25">
        <f>+SUMIFS(PROVEEDORES[Total],PROVEEDORES[PROVEEDOR],PROVEEDORES[[#This Row],[PROVEEDOR]],PROVEEDORES[FECHA DE PAGO],"")</f>
        <v>0</v>
      </c>
      <c r="E897" s="25"/>
      <c r="F897" s="56" t="str">
        <f>+VLOOKUP(PROVEEDORES[[#This Row],[PROVEEDOR]],
                       Terceros!$A:$F,
                       5,
                       FALSE)</f>
        <v/>
      </c>
      <c r="G897" s="68">
        <v>44859</v>
      </c>
      <c r="H897" s="26" t="s">
        <v>356</v>
      </c>
      <c r="I897" s="68">
        <v>44858</v>
      </c>
      <c r="J897" s="35" t="s">
        <v>1223</v>
      </c>
      <c r="K897" s="21">
        <v>13934000</v>
      </c>
      <c r="L897" s="21"/>
      <c r="M897" s="22">
        <f>(PROVEEDORES[[#This Row],[SUBTOTAL]]-PROVEEDORES[[#This Row],[descuento sobre subtotal]])*VLOOKUP(PROVEEDORES[[#This Row],[PROVEEDOR]],TERCEROS_INFO[#All],3,FALSE)</f>
        <v>0</v>
      </c>
      <c r="N897" s="23"/>
      <c r="O897" s="22">
        <f>+PROVEEDORES[[#This Row],[Descuento sobre subtotal %]]*(PROVEEDORES[[#This Row],[SUBTOTAL]]-PROVEEDORES[[#This Row],[descuento sobre subtotal]])</f>
        <v>0</v>
      </c>
      <c r="P897" s="74">
        <f>+IF(PROVEEDORES[[#This Row],[SUBTOTAL]]&lt;PROVEEDORES[[#This Row],[base retencion]],0,PROVEEDORES[[#This Row],[retención aplicada]])</f>
        <v>0</v>
      </c>
      <c r="Q897" s="22">
        <f>+PROVEEDORES[[#This Row],[Rete Fuente %]]*(PROVEEDORES[[#This Row],[SUBTOTAL]]-PROVEEDORES[[#This Row],[descuento sobre subtotal]])</f>
        <v>0</v>
      </c>
      <c r="R897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89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63">
        <f ca="1">IF(PROVEEDORES[[#This Row],[FECHA DE PAGO]]=0,TODAY()-PROVEEDORES[[#This Row],[FECHA DE FACTURACIÓN]]-PROVEEDORES[[#This Row],[PLAZO Días]],0)</f>
        <v>0</v>
      </c>
      <c r="U897" s="104">
        <f>+VLOOKUP(PROVEEDORES[[#This Row],[PROVEEDOR]],Terceros!$A:$D,4,FALSE)</f>
        <v>0</v>
      </c>
      <c r="V897" s="105">
        <f>+YEAR(PROVEEDORES[[#This Row],[FECHA DE FACTURACIÓN]])</f>
        <v>2022</v>
      </c>
      <c r="W897" s="105">
        <f>+MATCH(PROVEEDORES[[#This Row],[año facturado]],Retenciones!$1:$1,0)</f>
        <v>5</v>
      </c>
      <c r="X897" s="106">
        <f>+VLOOKUP(PROVEEDORES[[#This Row],[ID RETENCION]],Retenciones!$A$1:$O$25,PROVEEDORES[[#This Row],[indicador de columna]],FALSE)</f>
        <v>0</v>
      </c>
      <c r="Y897" s="107">
        <f>+VLOOKUP(PROVEEDORES[[#This Row],[ID RETENCION]],Retenciones!$A$1:$O$25,2,FALSE)</f>
        <v>0</v>
      </c>
      <c r="Z897" s="116" t="b">
        <f>OR(COUNTIF(PROVEEDORES[[#This Row],[PROVEEDOR]],"*"&amp;'Palabra no opera'!$A$2&amp;"*"))</f>
        <v>0</v>
      </c>
    </row>
    <row r="898" spans="1:26" ht="22.35" customHeight="1" x14ac:dyDescent="0.3">
      <c r="A898" s="232" t="str">
        <f>+IF(PROVEEDORES[[#This Row],[FECHA DE PAGO]]=PROVEEDORES[[#This Row],[FECHA DE FACTURACIÓN]],"DE CONTADO","CRÉDITO")</f>
        <v>DE CONTADO</v>
      </c>
      <c r="B898" s="38" t="b">
        <f>+IF((PROVEEDORES[[#This Row],[FECHA DE PAGO]]-PROVEEDORES[[#This Row],[FECHA DE FACTURACIÓN]])&gt;PROVEEDORES[[#This Row],[PLAZO Días]],"PAGO VENCIDO")</f>
        <v>0</v>
      </c>
      <c r="C898" s="20">
        <f>+VLOOKUP(PROVEEDORES[[#This Row],[PROVEEDOR]],TERCEROS_INFO[#All],2,FALSE)</f>
        <v>30</v>
      </c>
      <c r="D898" s="25">
        <f>+SUMIFS(PROVEEDORES[Total],PROVEEDORES[PROVEEDOR],PROVEEDORES[[#This Row],[PROVEEDOR]],PROVEEDORES[FECHA DE PAGO],"")</f>
        <v>559000</v>
      </c>
      <c r="E898" s="25"/>
      <c r="F898" s="56" t="str">
        <f>+VLOOKUP(PROVEEDORES[[#This Row],[PROVEEDOR]],
                       Terceros!$A:$F,
                       5,
                       FALSE)</f>
        <v/>
      </c>
      <c r="G898" s="68">
        <v>44859</v>
      </c>
      <c r="H898" s="26" t="s">
        <v>399</v>
      </c>
      <c r="I898" s="68">
        <v>44859</v>
      </c>
      <c r="J898" s="35" t="s">
        <v>1227</v>
      </c>
      <c r="K898" s="21">
        <v>732000</v>
      </c>
      <c r="L898" s="21"/>
      <c r="M898" s="22">
        <f>(PROVEEDORES[[#This Row],[SUBTOTAL]]-PROVEEDORES[[#This Row],[descuento sobre subtotal]])*VLOOKUP(PROVEEDORES[[#This Row],[PROVEEDOR]],TERCEROS_INFO[#All],3,FALSE)</f>
        <v>0</v>
      </c>
      <c r="N898" s="23"/>
      <c r="O898" s="22">
        <f>+PROVEEDORES[[#This Row],[Descuento sobre subtotal %]]*(PROVEEDORES[[#This Row],[SUBTOTAL]]-PROVEEDORES[[#This Row],[descuento sobre subtotal]])</f>
        <v>0</v>
      </c>
      <c r="P898" s="74">
        <f>+IF(PROVEEDORES[[#This Row],[SUBTOTAL]]&lt;PROVEEDORES[[#This Row],[base retencion]],0,PROVEEDORES[[#This Row],[retención aplicada]])</f>
        <v>0</v>
      </c>
      <c r="Q898" s="22">
        <f>+PROVEEDORES[[#This Row],[Rete Fuente %]]*(PROVEEDORES[[#This Row],[SUBTOTAL]]-PROVEEDORES[[#This Row],[descuento sobre subtotal]])</f>
        <v>0</v>
      </c>
      <c r="R898" s="21">
        <f>+PROVEEDORES[[#This Row],[SUBTOTAL]]+PROVEEDORES[[#This Row],[IVA 19%]]-PROVEEDORES[[#This Row],[descuento sobre subtotal]]-PROVEEDORES[[#This Row],[Descuento sobre subtotal $2]]-PROVEEDORES[[#This Row],[Rete Fuente $]]</f>
        <v>732000</v>
      </c>
      <c r="S898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63">
        <f ca="1">IF(PROVEEDORES[[#This Row],[FECHA DE PAGO]]=0,TODAY()-PROVEEDORES[[#This Row],[FECHA DE FACTURACIÓN]]-PROVEEDORES[[#This Row],[PLAZO Días]],0)</f>
        <v>0</v>
      </c>
      <c r="U898" s="104">
        <f>+VLOOKUP(PROVEEDORES[[#This Row],[PROVEEDOR]],Terceros!$A:$D,4,FALSE)</f>
        <v>0</v>
      </c>
      <c r="V898" s="105">
        <f>+YEAR(PROVEEDORES[[#This Row],[FECHA DE FACTURACIÓN]])</f>
        <v>2022</v>
      </c>
      <c r="W898" s="105">
        <f>+MATCH(PROVEEDORES[[#This Row],[año facturado]],Retenciones!$1:$1,0)</f>
        <v>5</v>
      </c>
      <c r="X898" s="106">
        <f>+VLOOKUP(PROVEEDORES[[#This Row],[ID RETENCION]],Retenciones!$A$1:$O$25,PROVEEDORES[[#This Row],[indicador de columna]],FALSE)</f>
        <v>0</v>
      </c>
      <c r="Y898" s="107">
        <f>+VLOOKUP(PROVEEDORES[[#This Row],[ID RETENCION]],Retenciones!$A$1:$O$25,2,FALSE)</f>
        <v>0</v>
      </c>
      <c r="Z898" s="116" t="b">
        <f>OR(COUNTIF(PROVEEDORES[[#This Row],[PROVEEDOR]],"*"&amp;'Palabra no opera'!$A$2&amp;"*"))</f>
        <v>0</v>
      </c>
    </row>
    <row r="899" spans="1:26" ht="22.35" customHeight="1" x14ac:dyDescent="0.3">
      <c r="A899" s="232" t="str">
        <f>+IF(PROVEEDORES[[#This Row],[FECHA DE PAGO]]=PROVEEDORES[[#This Row],[FECHA DE FACTURACIÓN]],"DE CONTADO","CRÉDITO")</f>
        <v>CRÉDITO</v>
      </c>
      <c r="B899" s="38" t="b">
        <f>+IF((PROVEEDORES[[#This Row],[FECHA DE PAGO]]-PROVEEDORES[[#This Row],[FECHA DE FACTURACIÓN]])&gt;PROVEEDORES[[#This Row],[PLAZO Días]],"PAGO VENCIDO")</f>
        <v>0</v>
      </c>
      <c r="C899" s="20">
        <f>+VLOOKUP(PROVEEDORES[[#This Row],[PROVEEDOR]],TERCEROS_INFO[#All],2,FALSE)</f>
        <v>30</v>
      </c>
      <c r="D899" s="25">
        <f>+SUMIFS(PROVEEDORES[Total],PROVEEDORES[PROVEEDOR],PROVEEDORES[[#This Row],[PROVEEDOR]],PROVEEDORES[FECHA DE PAGO],"")</f>
        <v>0</v>
      </c>
      <c r="E899" s="25"/>
      <c r="F89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99" s="68">
        <v>44859</v>
      </c>
      <c r="H899" s="26" t="s">
        <v>227</v>
      </c>
      <c r="I899" s="68">
        <v>44858</v>
      </c>
      <c r="J899" s="35" t="s">
        <v>1343</v>
      </c>
      <c r="K899" s="21">
        <v>1965000</v>
      </c>
      <c r="L899" s="21"/>
      <c r="M899" s="22">
        <f>(PROVEEDORES[[#This Row],[SUBTOTAL]]-PROVEEDORES[[#This Row],[descuento sobre subtotal]])*VLOOKUP(PROVEEDORES[[#This Row],[PROVEEDOR]],TERCEROS_INFO[#All],3,FALSE)</f>
        <v>0</v>
      </c>
      <c r="N899" s="23"/>
      <c r="O899" s="22">
        <f>+PROVEEDORES[[#This Row],[Descuento sobre subtotal %]]*(PROVEEDORES[[#This Row],[SUBTOTAL]]-PROVEEDORES[[#This Row],[descuento sobre subtotal]])</f>
        <v>0</v>
      </c>
      <c r="P899" s="74">
        <f>+IF(PROVEEDORES[[#This Row],[SUBTOTAL]]&lt;PROVEEDORES[[#This Row],[base retencion]],0,PROVEEDORES[[#This Row],[retención aplicada]])</f>
        <v>0</v>
      </c>
      <c r="Q899" s="22">
        <f>+PROVEEDORES[[#This Row],[Rete Fuente %]]*(PROVEEDORES[[#This Row],[SUBTOTAL]]-PROVEEDORES[[#This Row],[descuento sobre subtotal]])</f>
        <v>0</v>
      </c>
      <c r="R899" s="21">
        <f>+PROVEEDORES[[#This Row],[SUBTOTAL]]+PROVEEDORES[[#This Row],[IVA 19%]]-PROVEEDORES[[#This Row],[descuento sobre subtotal]]-PROVEEDORES[[#This Row],[Descuento sobre subtotal $2]]-PROVEEDORES[[#This Row],[Rete Fuente $]]</f>
        <v>1965000</v>
      </c>
      <c r="S899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63">
        <f ca="1">IF(PROVEEDORES[[#This Row],[FECHA DE PAGO]]=0,TODAY()-PROVEEDORES[[#This Row],[FECHA DE FACTURACIÓN]]-PROVEEDORES[[#This Row],[PLAZO Días]],0)</f>
        <v>0</v>
      </c>
      <c r="U899" s="104">
        <f>+VLOOKUP(PROVEEDORES[[#This Row],[PROVEEDOR]],Terceros!$A:$D,4,FALSE)</f>
        <v>0</v>
      </c>
      <c r="V899" s="105">
        <f>+YEAR(PROVEEDORES[[#This Row],[FECHA DE FACTURACIÓN]])</f>
        <v>2022</v>
      </c>
      <c r="W899" s="105">
        <f>+MATCH(PROVEEDORES[[#This Row],[año facturado]],Retenciones!$1:$1,0)</f>
        <v>5</v>
      </c>
      <c r="X899" s="106">
        <f>+VLOOKUP(PROVEEDORES[[#This Row],[ID RETENCION]],Retenciones!$A$1:$O$25,PROVEEDORES[[#This Row],[indicador de columna]],FALSE)</f>
        <v>0</v>
      </c>
      <c r="Y899" s="107">
        <f>+VLOOKUP(PROVEEDORES[[#This Row],[ID RETENCION]],Retenciones!$A$1:$O$25,2,FALSE)</f>
        <v>0</v>
      </c>
      <c r="Z899" s="116" t="b">
        <f>OR(COUNTIF(PROVEEDORES[[#This Row],[PROVEEDOR]],"*"&amp;'Palabra no opera'!$A$2&amp;"*"))</f>
        <v>0</v>
      </c>
    </row>
    <row r="900" spans="1:26" ht="22.35" customHeight="1" x14ac:dyDescent="0.3">
      <c r="A900" s="67" t="str">
        <f>+IF(PROVEEDORES[[#This Row],[FECHA DE PAGO]]=PROVEEDORES[[#This Row],[FECHA DE FACTURACIÓN]],"DE CONTADO","CRÉDITO")</f>
        <v>CRÉDITO</v>
      </c>
      <c r="B900" s="38" t="str">
        <f>+IF((PROVEEDORES[[#This Row],[FECHA DE PAGO]]-PROVEEDORES[[#This Row],[FECHA DE FACTURACIÓN]])&gt;PROVEEDORES[[#This Row],[PLAZO Días]],"PAGO VENCIDO")</f>
        <v>PAGO VENCIDO</v>
      </c>
      <c r="C900" s="20">
        <f>+VLOOKUP(PROVEEDORES[[#This Row],[PROVEEDOR]],TERCEROS_INFO[#All],2,FALSE)</f>
        <v>30</v>
      </c>
      <c r="D900" s="25">
        <f>+SUMIFS(PROVEEDORES[Total],PROVEEDORES[PROVEEDOR],PROVEEDORES[[#This Row],[PROVEEDOR]],PROVEEDORES[FECHA DE PAGO],"")</f>
        <v>0</v>
      </c>
      <c r="E900" s="25"/>
      <c r="F900" s="56" t="str">
        <f>+VLOOKUP(PROVEEDORES[[#This Row],[PROVEEDOR]],
                       Terceros!$A:$F,
                       5,
                       FALSE)</f>
        <v/>
      </c>
      <c r="G900" s="68">
        <v>44862</v>
      </c>
      <c r="H900" s="230" t="s">
        <v>388</v>
      </c>
      <c r="I900" s="68">
        <v>44761</v>
      </c>
      <c r="J900" s="35" t="s">
        <v>914</v>
      </c>
      <c r="K900" s="21">
        <v>3921000</v>
      </c>
      <c r="L900" s="21"/>
      <c r="M900" s="22">
        <f>(PROVEEDORES[[#This Row],[SUBTOTAL]]-PROVEEDORES[[#This Row],[descuento sobre subtotal]])*VLOOKUP(PROVEEDORES[[#This Row],[PROVEEDOR]],TERCEROS_INFO[#All],3,FALSE)</f>
        <v>0</v>
      </c>
      <c r="N900" s="23"/>
      <c r="O900" s="22">
        <f>+PROVEEDORES[[#This Row],[Descuento sobre subtotal %]]*(PROVEEDORES[[#This Row],[SUBTOTAL]]-PROVEEDORES[[#This Row],[descuento sobre subtotal]])</f>
        <v>0</v>
      </c>
      <c r="P900" s="74">
        <f>+IF(PROVEEDORES[[#This Row],[SUBTOTAL]]&lt;PROVEEDORES[[#This Row],[base retencion]],0,PROVEEDORES[[#This Row],[retención aplicada]])</f>
        <v>0</v>
      </c>
      <c r="Q900" s="22">
        <f>+PROVEEDORES[[#This Row],[Rete Fuente %]]*(PROVEEDORES[[#This Row],[SUBTOTAL]]-PROVEEDORES[[#This Row],[descuento sobre subtotal]])</f>
        <v>0</v>
      </c>
      <c r="R900" s="21">
        <f>+PROVEEDORES[[#This Row],[SUBTOTAL]]+PROVEEDORES[[#This Row],[IVA 19%]]-PROVEEDORES[[#This Row],[descuento sobre subtotal]]-PROVEEDORES[[#This Row],[Descuento sobre subtotal $2]]-PROVEEDORES[[#This Row],[Rete Fuente $]]</f>
        <v>3921000</v>
      </c>
      <c r="S9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63">
        <f ca="1">IF(PROVEEDORES[[#This Row],[FECHA DE PAGO]]=0,TODAY()-PROVEEDORES[[#This Row],[FECHA DE FACTURACIÓN]]-PROVEEDORES[[#This Row],[PLAZO Días]],0)</f>
        <v>0</v>
      </c>
      <c r="U900" s="104">
        <f>+VLOOKUP(PROVEEDORES[[#This Row],[PROVEEDOR]],Terceros!$A:$D,4,FALSE)</f>
        <v>0</v>
      </c>
      <c r="V900" s="105">
        <f>+YEAR(PROVEEDORES[[#This Row],[FECHA DE FACTURACIÓN]])</f>
        <v>2022</v>
      </c>
      <c r="W900" s="105">
        <f>+MATCH(PROVEEDORES[[#This Row],[año facturado]],Retenciones!$1:$1,0)</f>
        <v>5</v>
      </c>
      <c r="X900" s="106">
        <f>+VLOOKUP(PROVEEDORES[[#This Row],[ID RETENCION]],Retenciones!$A$1:$O$25,PROVEEDORES[[#This Row],[indicador de columna]],FALSE)</f>
        <v>0</v>
      </c>
      <c r="Y900" s="107">
        <f>+VLOOKUP(PROVEEDORES[[#This Row],[ID RETENCION]],Retenciones!$A$1:$O$25,2,FALSE)</f>
        <v>0</v>
      </c>
      <c r="Z900" s="116" t="b">
        <f>OR(COUNTIF(PROVEEDORES[[#This Row],[PROVEEDOR]],"*"&amp;'Palabra no opera'!$A$2&amp;"*"))</f>
        <v>0</v>
      </c>
    </row>
    <row r="901" spans="1:26" ht="22.35" customHeight="1" x14ac:dyDescent="0.3">
      <c r="A901" s="67" t="str">
        <f>+IF(PROVEEDORES[[#This Row],[FECHA DE PAGO]]=PROVEEDORES[[#This Row],[FECHA DE FACTURACIÓN]],"DE CONTADO","CRÉDITO")</f>
        <v>CRÉDITO</v>
      </c>
      <c r="B901" s="38" t="b">
        <f>+IF((PROVEEDORES[[#This Row],[FECHA DE PAGO]]-PROVEEDORES[[#This Row],[FECHA DE FACTURACIÓN]])&gt;PROVEEDORES[[#This Row],[PLAZO Días]],"PAGO VENCIDO")</f>
        <v>0</v>
      </c>
      <c r="C901" s="20">
        <f>+VLOOKUP(PROVEEDORES[[#This Row],[PROVEEDOR]],TERCEROS_INFO[#All],2,FALSE)</f>
        <v>30</v>
      </c>
      <c r="D901" s="25">
        <f>+SUMIFS(PROVEEDORES[Total],PROVEEDORES[PROVEEDOR],PROVEEDORES[[#This Row],[PROVEEDOR]],PROVEEDORES[FECHA DE PAGO],"")</f>
        <v>0</v>
      </c>
      <c r="E901" s="25"/>
      <c r="F901" s="56">
        <f>+VLOOKUP(PROVEEDORES[[#This Row],[PROVEEDOR]],
                       Terceros!$A:$F,
                       5,
                       FALSE)</f>
        <v>0</v>
      </c>
      <c r="G901" s="68">
        <v>44862</v>
      </c>
      <c r="H901" s="26" t="s">
        <v>1242</v>
      </c>
      <c r="I901" s="68">
        <v>44860</v>
      </c>
      <c r="J901" s="35" t="s">
        <v>1244</v>
      </c>
      <c r="K901" s="21">
        <v>142800</v>
      </c>
      <c r="L901" s="21"/>
      <c r="M901" s="22">
        <f>(PROVEEDORES[[#This Row],[SUBTOTAL]]-PROVEEDORES[[#This Row],[descuento sobre subtotal]])*VLOOKUP(PROVEEDORES[[#This Row],[PROVEEDOR]],TERCEROS_INFO[#All],3,FALSE)</f>
        <v>0</v>
      </c>
      <c r="N901" s="23"/>
      <c r="O901" s="22">
        <f>+PROVEEDORES[[#This Row],[Descuento sobre subtotal %]]*(PROVEEDORES[[#This Row],[SUBTOTAL]]-PROVEEDORES[[#This Row],[descuento sobre subtotal]])</f>
        <v>0</v>
      </c>
      <c r="P901" s="74">
        <f>+IF(PROVEEDORES[[#This Row],[SUBTOTAL]]&lt;PROVEEDORES[[#This Row],[base retencion]],0,PROVEEDORES[[#This Row],[retención aplicada]])</f>
        <v>0</v>
      </c>
      <c r="Q901" s="22">
        <f>+PROVEEDORES[[#This Row],[Rete Fuente %]]*(PROVEEDORES[[#This Row],[SUBTOTAL]]-PROVEEDORES[[#This Row],[descuento sobre subtotal]])</f>
        <v>0</v>
      </c>
      <c r="R901" s="21">
        <f>+PROVEEDORES[[#This Row],[SUBTOTAL]]+PROVEEDORES[[#This Row],[IVA 19%]]-PROVEEDORES[[#This Row],[descuento sobre subtotal]]-PROVEEDORES[[#This Row],[Descuento sobre subtotal $2]]-PROVEEDORES[[#This Row],[Rete Fuente $]]</f>
        <v>142800</v>
      </c>
      <c r="S9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63">
        <f ca="1">IF(PROVEEDORES[[#This Row],[FECHA DE PAGO]]=0,TODAY()-PROVEEDORES[[#This Row],[FECHA DE FACTURACIÓN]]-PROVEEDORES[[#This Row],[PLAZO Días]],0)</f>
        <v>0</v>
      </c>
      <c r="U901" s="104">
        <f>+VLOOKUP(PROVEEDORES[[#This Row],[PROVEEDOR]],Terceros!$A:$D,4,FALSE)</f>
        <v>0</v>
      </c>
      <c r="V901" s="105">
        <f>+YEAR(PROVEEDORES[[#This Row],[FECHA DE FACTURACIÓN]])</f>
        <v>2022</v>
      </c>
      <c r="W901" s="105">
        <f>+MATCH(PROVEEDORES[[#This Row],[año facturado]],Retenciones!$1:$1,0)</f>
        <v>5</v>
      </c>
      <c r="X901" s="106">
        <f>+VLOOKUP(PROVEEDORES[[#This Row],[ID RETENCION]],Retenciones!$A$1:$O$25,PROVEEDORES[[#This Row],[indicador de columna]],FALSE)</f>
        <v>0</v>
      </c>
      <c r="Y901" s="107">
        <f>+VLOOKUP(PROVEEDORES[[#This Row],[ID RETENCION]],Retenciones!$A$1:$O$25,2,FALSE)</f>
        <v>0</v>
      </c>
      <c r="Z901" s="116" t="b">
        <f>OR(COUNTIF(PROVEEDORES[[#This Row],[PROVEEDOR]],"*"&amp;'Palabra no opera'!$A$2&amp;"*"))</f>
        <v>0</v>
      </c>
    </row>
    <row r="902" spans="1:26" ht="22.35" customHeight="1" x14ac:dyDescent="0.3">
      <c r="A902" s="232" t="str">
        <f>+IF(PROVEEDORES[[#This Row],[FECHA DE PAGO]]=PROVEEDORES[[#This Row],[FECHA DE FACTURACIÓN]],"DE CONTADO","CRÉDITO")</f>
        <v>CRÉDITO</v>
      </c>
      <c r="B902" s="38" t="b">
        <f>+IF((PROVEEDORES[[#This Row],[FECHA DE PAGO]]-PROVEEDORES[[#This Row],[FECHA DE FACTURACIÓN]])&gt;PROVEEDORES[[#This Row],[PLAZO Días]],"PAGO VENCIDO")</f>
        <v>0</v>
      </c>
      <c r="C902" s="20">
        <f>+VLOOKUP(PROVEEDORES[[#This Row],[PROVEEDOR]],TERCEROS_INFO[#All],2,FALSE)</f>
        <v>30</v>
      </c>
      <c r="D902" s="25">
        <f>+SUMIFS(PROVEEDORES[Total],PROVEEDORES[PROVEEDOR],PROVEEDORES[[#This Row],[PROVEEDOR]],PROVEEDORES[FECHA DE PAGO],"")</f>
        <v>0</v>
      </c>
      <c r="E902" s="25"/>
      <c r="F902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902" s="68">
        <v>44862</v>
      </c>
      <c r="H902" s="26" t="s">
        <v>638</v>
      </c>
      <c r="I902" s="68">
        <v>44837</v>
      </c>
      <c r="J902" s="35" t="s">
        <v>1209</v>
      </c>
      <c r="K902" s="21">
        <v>3961260</v>
      </c>
      <c r="L902" s="21"/>
      <c r="M902" s="22">
        <f>(PROVEEDORES[[#This Row],[SUBTOTAL]]-PROVEEDORES[[#This Row],[descuento sobre subtotal]])*VLOOKUP(PROVEEDORES[[#This Row],[PROVEEDOR]],TERCEROS_INFO[#All],3,FALSE)</f>
        <v>752639.4</v>
      </c>
      <c r="N902" s="23"/>
      <c r="O902" s="22">
        <f>+PROVEEDORES[[#This Row],[Descuento sobre subtotal %]]*(PROVEEDORES[[#This Row],[SUBTOTAL]]-PROVEEDORES[[#This Row],[descuento sobre subtotal]])</f>
        <v>0</v>
      </c>
      <c r="P902" s="74">
        <f>+IF(PROVEEDORES[[#This Row],[SUBTOTAL]]&lt;PROVEEDORES[[#This Row],[base retencion]],0,PROVEEDORES[[#This Row],[retención aplicada]])</f>
        <v>3.5000000000000003E-2</v>
      </c>
      <c r="Q902" s="22">
        <f>+PROVEEDORES[[#This Row],[Rete Fuente %]]*(PROVEEDORES[[#This Row],[SUBTOTAL]]-PROVEEDORES[[#This Row],[descuento sobre subtotal]])</f>
        <v>138644.1</v>
      </c>
      <c r="R902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90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2" s="63">
        <f ca="1">IF(PROVEEDORES[[#This Row],[FECHA DE PAGO]]=0,TODAY()-PROVEEDORES[[#This Row],[FECHA DE FACTURACIÓN]]-PROVEEDORES[[#This Row],[PLAZO Días]],0)</f>
        <v>0</v>
      </c>
      <c r="U902" s="104" t="str">
        <f>+VLOOKUP(PROVEEDORES[[#This Row],[PROVEEDOR]],Terceros!$A:$D,4,FALSE)</f>
        <v>3,5% sin base</v>
      </c>
      <c r="V902" s="105">
        <f>+YEAR(PROVEEDORES[[#This Row],[FECHA DE FACTURACIÓN]])</f>
        <v>2022</v>
      </c>
      <c r="W902" s="105">
        <f>+MATCH(PROVEEDORES[[#This Row],[año facturado]],Retenciones!$1:$1,0)</f>
        <v>5</v>
      </c>
      <c r="X902" s="106">
        <f>+VLOOKUP(PROVEEDORES[[#This Row],[ID RETENCION]],Retenciones!$A$1:$O$25,PROVEEDORES[[#This Row],[indicador de columna]],FALSE)</f>
        <v>0</v>
      </c>
      <c r="Y902" s="107">
        <f>+VLOOKUP(PROVEEDORES[[#This Row],[ID RETENCION]],Retenciones!$A$1:$O$25,2,FALSE)</f>
        <v>3.5000000000000003E-2</v>
      </c>
      <c r="Z902" s="116" t="b">
        <f>OR(COUNTIF(PROVEEDORES[[#This Row],[PROVEEDOR]],"*"&amp;'Palabra no opera'!$A$2&amp;"*"))</f>
        <v>1</v>
      </c>
    </row>
    <row r="903" spans="1:26" ht="22.35" customHeight="1" x14ac:dyDescent="0.3">
      <c r="A903" s="175" t="str">
        <f>+IF(PROVEEDORES[[#This Row],[FECHA DE PAGO]]=PROVEEDORES[[#This Row],[FECHA DE FACTURACIÓN]],"DE CONTADO","CRÉDITO")</f>
        <v>CRÉDITO</v>
      </c>
      <c r="B903" s="38" t="str">
        <f>+IF((PROVEEDORES[[#This Row],[FECHA DE PAGO]]-PROVEEDORES[[#This Row],[FECHA DE FACTURACIÓN]])&gt;PROVEEDORES[[#This Row],[PLAZO Días]],"PAGO VENCIDO")</f>
        <v>PAGO VENCIDO</v>
      </c>
      <c r="C903" s="20">
        <f>+VLOOKUP(PROVEEDORES[[#This Row],[PROVEEDOR]],TERCEROS_INFO[#All],2,FALSE)</f>
        <v>30</v>
      </c>
      <c r="D903" s="25">
        <f>+SUMIFS(PROVEEDORES[Total],PROVEEDORES[PROVEEDOR],PROVEEDORES[[#This Row],[PROVEEDOR]],PROVEEDORES[FECHA DE PAGO],"")</f>
        <v>0</v>
      </c>
      <c r="E903" s="25"/>
      <c r="F903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903" s="68">
        <v>44863</v>
      </c>
      <c r="H903" s="26" t="s">
        <v>33</v>
      </c>
      <c r="I903" s="68">
        <v>44785</v>
      </c>
      <c r="J903" s="35">
        <v>3002</v>
      </c>
      <c r="K903" s="21">
        <v>7753500</v>
      </c>
      <c r="L903" s="21"/>
      <c r="M903" s="22">
        <f>(PROVEEDORES[[#This Row],[SUBTOTAL]]-PROVEEDORES[[#This Row],[descuento sobre subtotal]])*VLOOKUP(PROVEEDORES[[#This Row],[PROVEEDOR]],TERCEROS_INFO[#All],3,FALSE)</f>
        <v>1473165</v>
      </c>
      <c r="N903" s="23"/>
      <c r="O903" s="22">
        <f>+PROVEEDORES[[#This Row],[Descuento sobre subtotal %]]*(PROVEEDORES[[#This Row],[SUBTOTAL]]-PROVEEDORES[[#This Row],[descuento sobre subtotal]])</f>
        <v>0</v>
      </c>
      <c r="P903" s="74">
        <f>+IF(PROVEEDORES[[#This Row],[SUBTOTAL]]&lt;PROVEEDORES[[#This Row],[base retencion]],0,PROVEEDORES[[#This Row],[retención aplicada]])</f>
        <v>2.5000000000000001E-2</v>
      </c>
      <c r="Q903" s="22">
        <f>+PROVEEDORES[[#This Row],[Rete Fuente %]]*(PROVEEDORES[[#This Row],[SUBTOTAL]]-PROVEEDORES[[#This Row],[descuento sobre subtotal]])</f>
        <v>193837.5</v>
      </c>
      <c r="R903" s="21">
        <f>+PROVEEDORES[[#This Row],[SUBTOTAL]]+PROVEEDORES[[#This Row],[IVA 19%]]-PROVEEDORES[[#This Row],[descuento sobre subtotal]]-PROVEEDORES[[#This Row],[Descuento sobre subtotal $2]]-PROVEEDORES[[#This Row],[Rete Fuente $]]</f>
        <v>9032827.5</v>
      </c>
      <c r="S903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63">
        <f ca="1">IF(PROVEEDORES[[#This Row],[FECHA DE PAGO]]=0,TODAY()-PROVEEDORES[[#This Row],[FECHA DE FACTURACIÓN]]-PROVEEDORES[[#This Row],[PLAZO Días]],0)</f>
        <v>0</v>
      </c>
      <c r="U903" s="104" t="str">
        <f>+VLOOKUP(PROVEEDORES[[#This Row],[PROVEEDOR]],Terceros!$A:$D,4,FALSE)</f>
        <v>2,5% con base</v>
      </c>
      <c r="V903" s="105">
        <f>+YEAR(PROVEEDORES[[#This Row],[FECHA DE FACTURACIÓN]])</f>
        <v>2022</v>
      </c>
      <c r="W903" s="105">
        <f>+MATCH(PROVEEDORES[[#This Row],[año facturado]],Retenciones!$1:$1,0)</f>
        <v>5</v>
      </c>
      <c r="X903" s="106">
        <f>+VLOOKUP(PROVEEDORES[[#This Row],[ID RETENCION]],Retenciones!$A$1:$O$25,PROVEEDORES[[#This Row],[indicador de columna]],FALSE)</f>
        <v>1026000</v>
      </c>
      <c r="Y903" s="107">
        <f>+VLOOKUP(PROVEEDORES[[#This Row],[ID RETENCION]],Retenciones!$A$1:$O$25,2,FALSE)</f>
        <v>2.5000000000000001E-2</v>
      </c>
      <c r="Z903" s="116" t="b">
        <f>OR(COUNTIF(PROVEEDORES[[#This Row],[PROVEEDOR]],"*"&amp;'Palabra no opera'!$A$2&amp;"*"))</f>
        <v>0</v>
      </c>
    </row>
    <row r="904" spans="1:26" ht="22.35" customHeight="1" x14ac:dyDescent="0.3">
      <c r="A904" s="175" t="str">
        <f>+IF(PROVEEDORES[[#This Row],[FECHA DE PAGO]]=PROVEEDORES[[#This Row],[FECHA DE FACTURACIÓN]],"DE CONTADO","CRÉDITO")</f>
        <v>CRÉDITO</v>
      </c>
      <c r="B904" s="38" t="str">
        <f>+IF((PROVEEDORES[[#This Row],[FECHA DE PAGO]]-PROVEEDORES[[#This Row],[FECHA DE FACTURACIÓN]])&gt;PROVEEDORES[[#This Row],[PLAZO Días]],"PAGO VENCIDO")</f>
        <v>PAGO VENCIDO</v>
      </c>
      <c r="C904" s="20">
        <f>+VLOOKUP(PROVEEDORES[[#This Row],[PROVEEDOR]],TERCEROS_INFO[#All],2,FALSE)</f>
        <v>30</v>
      </c>
      <c r="D904" s="25">
        <f>+SUMIFS(PROVEEDORES[Total],PROVEEDORES[PROVEEDOR],PROVEEDORES[[#This Row],[PROVEEDOR]],PROVEEDORES[FECHA DE PAGO],"")</f>
        <v>0</v>
      </c>
      <c r="E904" s="25"/>
      <c r="F904" s="56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904" s="68">
        <v>44863</v>
      </c>
      <c r="H904" s="26" t="s">
        <v>16</v>
      </c>
      <c r="I904" s="68">
        <v>44782</v>
      </c>
      <c r="J904" s="35">
        <v>5121</v>
      </c>
      <c r="K904" s="21">
        <v>1298739.5</v>
      </c>
      <c r="L904" s="21"/>
      <c r="M904" s="22">
        <f>(PROVEEDORES[[#This Row],[SUBTOTAL]]-PROVEEDORES[[#This Row],[descuento sobre subtotal]])*VLOOKUP(PROVEEDORES[[#This Row],[PROVEEDOR]],TERCEROS_INFO[#All],3,FALSE)</f>
        <v>246760.505</v>
      </c>
      <c r="N904" s="23"/>
      <c r="O904" s="22">
        <f>+PROVEEDORES[[#This Row],[Descuento sobre subtotal %]]*(PROVEEDORES[[#This Row],[SUBTOTAL]]-PROVEEDORES[[#This Row],[descuento sobre subtotal]])</f>
        <v>0</v>
      </c>
      <c r="P904" s="74">
        <f>+IF(PROVEEDORES[[#This Row],[SUBTOTAL]]&lt;PROVEEDORES[[#This Row],[base retencion]],0,PROVEEDORES[[#This Row],[retención aplicada]])</f>
        <v>2.5000000000000001E-2</v>
      </c>
      <c r="Q904" s="22">
        <f>+PROVEEDORES[[#This Row],[Rete Fuente %]]*(PROVEEDORES[[#This Row],[SUBTOTAL]]-PROVEEDORES[[#This Row],[descuento sobre subtotal]])</f>
        <v>32468.487500000003</v>
      </c>
      <c r="R904" s="21">
        <f>+PROVEEDORES[[#This Row],[SUBTOTAL]]+PROVEEDORES[[#This Row],[IVA 19%]]-PROVEEDORES[[#This Row],[descuento sobre subtotal]]-PROVEEDORES[[#This Row],[Descuento sobre subtotal $2]]-PROVEEDORES[[#This Row],[Rete Fuente $]]</f>
        <v>1513031.5174999998</v>
      </c>
      <c r="S904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4" s="63">
        <f ca="1">IF(PROVEEDORES[[#This Row],[FECHA DE PAGO]]=0,TODAY()-PROVEEDORES[[#This Row],[FECHA DE FACTURACIÓN]]-PROVEEDORES[[#This Row],[PLAZO Días]],0)</f>
        <v>0</v>
      </c>
      <c r="U904" s="104" t="str">
        <f>+VLOOKUP(PROVEEDORES[[#This Row],[PROVEEDOR]],Terceros!$A:$D,4,FALSE)</f>
        <v>2,5% con base</v>
      </c>
      <c r="V904" s="105">
        <f>+YEAR(PROVEEDORES[[#This Row],[FECHA DE FACTURACIÓN]])</f>
        <v>2022</v>
      </c>
      <c r="W904" s="105">
        <f>+MATCH(PROVEEDORES[[#This Row],[año facturado]],Retenciones!$1:$1,0)</f>
        <v>5</v>
      </c>
      <c r="X904" s="106">
        <f>+VLOOKUP(PROVEEDORES[[#This Row],[ID RETENCION]],Retenciones!$A$1:$O$25,PROVEEDORES[[#This Row],[indicador de columna]],FALSE)</f>
        <v>1026000</v>
      </c>
      <c r="Y904" s="107">
        <f>+VLOOKUP(PROVEEDORES[[#This Row],[ID RETENCION]],Retenciones!$A$1:$O$25,2,FALSE)</f>
        <v>2.5000000000000001E-2</v>
      </c>
      <c r="Z904" s="116" t="b">
        <f>OR(COUNTIF(PROVEEDORES[[#This Row],[PROVEEDOR]],"*"&amp;'Palabra no opera'!$A$2&amp;"*"))</f>
        <v>0</v>
      </c>
    </row>
    <row r="905" spans="1:26" ht="22.35" customHeight="1" x14ac:dyDescent="0.3">
      <c r="A905" s="182" t="str">
        <f>+IF(PROVEEDORES[[#This Row],[FECHA DE PAGO]]=PROVEEDORES[[#This Row],[FECHA DE FACTURACIÓN]],"DE CONTADO","CRÉDITO")</f>
        <v>CRÉDITO</v>
      </c>
      <c r="B905" s="38" t="str">
        <f>+IF((PROVEEDORES[[#This Row],[FECHA DE PAGO]]-PROVEEDORES[[#This Row],[FECHA DE FACTURACIÓN]])&gt;PROVEEDORES[[#This Row],[PLAZO Días]],"PAGO VENCIDO")</f>
        <v>PAGO VENCIDO</v>
      </c>
      <c r="C905" s="20">
        <f>+VLOOKUP(PROVEEDORES[[#This Row],[PROVEEDOR]],TERCEROS_INFO[#All],2,FALSE)</f>
        <v>30</v>
      </c>
      <c r="D905" s="25">
        <f>+SUMIFS(PROVEEDORES[Total],PROVEEDORES[PROVEEDOR],PROVEEDORES[[#This Row],[PROVEEDOR]],PROVEEDORES[FECHA DE PAGO],"")</f>
        <v>18444236.894999996</v>
      </c>
      <c r="E905" s="25"/>
      <c r="F905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905" s="68">
        <v>44863</v>
      </c>
      <c r="H905" s="26" t="s">
        <v>11</v>
      </c>
      <c r="I905" s="68">
        <v>44797</v>
      </c>
      <c r="J905" s="35" t="s">
        <v>952</v>
      </c>
      <c r="K905" s="21">
        <v>7260000</v>
      </c>
      <c r="L905" s="21"/>
      <c r="M905" s="22">
        <f>(PROVEEDORES[[#This Row],[SUBTOTAL]]-PROVEEDORES[[#This Row],[descuento sobre subtotal]])*VLOOKUP(PROVEEDORES[[#This Row],[PROVEEDOR]],TERCEROS_INFO[#All],3,FALSE)</f>
        <v>1379400</v>
      </c>
      <c r="N905" s="23"/>
      <c r="O905" s="22">
        <f>+PROVEEDORES[[#This Row],[Descuento sobre subtotal %]]*(PROVEEDORES[[#This Row],[SUBTOTAL]]-PROVEEDORES[[#This Row],[descuento sobre subtotal]])</f>
        <v>0</v>
      </c>
      <c r="P905" s="74">
        <f>+IF(PROVEEDORES[[#This Row],[SUBTOTAL]]&lt;PROVEEDORES[[#This Row],[base retencion]],0,PROVEEDORES[[#This Row],[retención aplicada]])</f>
        <v>2.5000000000000001E-2</v>
      </c>
      <c r="Q905" s="22">
        <f>+PROVEEDORES[[#This Row],[Rete Fuente %]]*(PROVEEDORES[[#This Row],[SUBTOTAL]]-PROVEEDORES[[#This Row],[descuento sobre subtotal]])</f>
        <v>181500</v>
      </c>
      <c r="R905" s="21">
        <f>+PROVEEDORES[[#This Row],[SUBTOTAL]]+PROVEEDORES[[#This Row],[IVA 19%]]-PROVEEDORES[[#This Row],[descuento sobre subtotal]]-PROVEEDORES[[#This Row],[Descuento sobre subtotal $2]]-PROVEEDORES[[#This Row],[Rete Fuente $]]</f>
        <v>8457900</v>
      </c>
      <c r="S90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63">
        <f ca="1">IF(PROVEEDORES[[#This Row],[FECHA DE PAGO]]=0,TODAY()-PROVEEDORES[[#This Row],[FECHA DE FACTURACIÓN]]-PROVEEDORES[[#This Row],[PLAZO Días]],0)</f>
        <v>0</v>
      </c>
      <c r="U905" s="104" t="str">
        <f>+VLOOKUP(PROVEEDORES[[#This Row],[PROVEEDOR]],Terceros!$A:$D,4,FALSE)</f>
        <v>2,5% con base</v>
      </c>
      <c r="V905" s="105">
        <f>+YEAR(PROVEEDORES[[#This Row],[FECHA DE FACTURACIÓN]])</f>
        <v>2022</v>
      </c>
      <c r="W905" s="105">
        <f>+MATCH(PROVEEDORES[[#This Row],[año facturado]],Retenciones!$1:$1,0)</f>
        <v>5</v>
      </c>
      <c r="X905" s="106">
        <f>+VLOOKUP(PROVEEDORES[[#This Row],[ID RETENCION]],Retenciones!$A$1:$O$25,PROVEEDORES[[#This Row],[indicador de columna]],FALSE)</f>
        <v>1026000</v>
      </c>
      <c r="Y905" s="107">
        <f>+VLOOKUP(PROVEEDORES[[#This Row],[ID RETENCION]],Retenciones!$A$1:$O$25,2,FALSE)</f>
        <v>2.5000000000000001E-2</v>
      </c>
      <c r="Z905" s="116" t="b">
        <f>OR(COUNTIF(PROVEEDORES[[#This Row],[PROVEEDOR]],"*"&amp;'Palabra no opera'!$A$2&amp;"*"))</f>
        <v>0</v>
      </c>
    </row>
    <row r="906" spans="1:26" ht="22.35" customHeight="1" x14ac:dyDescent="0.3">
      <c r="A906" s="67" t="str">
        <f>+IF(PROVEEDORES[[#This Row],[FECHA DE PAGO]]=PROVEEDORES[[#This Row],[FECHA DE FACTURACIÓN]],"DE CONTADO","CRÉDITO")</f>
        <v>DE CONTADO</v>
      </c>
      <c r="B906" s="38" t="b">
        <f>+IF((PROVEEDORES[[#This Row],[FECHA DE PAGO]]-PROVEEDORES[[#This Row],[FECHA DE FACTURACIÓN]])&gt;PROVEEDORES[[#This Row],[PLAZO Días]],"PAGO VENCIDO")</f>
        <v>0</v>
      </c>
      <c r="C906" s="20">
        <f>+VLOOKUP(PROVEEDORES[[#This Row],[PROVEEDOR]],TERCEROS_INFO[#All],2,FALSE)</f>
        <v>30</v>
      </c>
      <c r="D906" s="25">
        <f>+SUMIFS(PROVEEDORES[Total],PROVEEDORES[PROVEEDOR],PROVEEDORES[[#This Row],[PROVEEDOR]],PROVEEDORES[FECHA DE PAGO],"")</f>
        <v>0</v>
      </c>
      <c r="E906" s="25"/>
      <c r="F906" s="56" t="str">
        <f>+VLOOKUP(PROVEEDORES[[#This Row],[PROVEEDOR]],
                       Terceros!$A:$F,
                       5,
                       FALSE)</f>
        <v/>
      </c>
      <c r="G906" s="68">
        <v>44865</v>
      </c>
      <c r="H906" s="26" t="s">
        <v>356</v>
      </c>
      <c r="I906" s="68">
        <v>44865</v>
      </c>
      <c r="J906" s="35" t="s">
        <v>1240</v>
      </c>
      <c r="K906" s="21">
        <v>4889000</v>
      </c>
      <c r="L906" s="21"/>
      <c r="M906" s="22">
        <f>(PROVEEDORES[[#This Row],[SUBTOTAL]]-PROVEEDORES[[#This Row],[descuento sobre subtotal]])*VLOOKUP(PROVEEDORES[[#This Row],[PROVEEDOR]],TERCEROS_INFO[#All],3,FALSE)</f>
        <v>0</v>
      </c>
      <c r="N906" s="23"/>
      <c r="O906" s="22">
        <f>+PROVEEDORES[[#This Row],[Descuento sobre subtotal %]]*(PROVEEDORES[[#This Row],[SUBTOTAL]]-PROVEEDORES[[#This Row],[descuento sobre subtotal]])</f>
        <v>0</v>
      </c>
      <c r="P906" s="74">
        <f>+IF(PROVEEDORES[[#This Row],[SUBTOTAL]]&lt;PROVEEDORES[[#This Row],[base retencion]],0,PROVEEDORES[[#This Row],[retención aplicada]])</f>
        <v>0</v>
      </c>
      <c r="Q906" s="22">
        <f>+PROVEEDORES[[#This Row],[Rete Fuente %]]*(PROVEEDORES[[#This Row],[SUBTOTAL]]-PROVEEDORES[[#This Row],[descuento sobre subtotal]])</f>
        <v>0</v>
      </c>
      <c r="R906" s="21">
        <f>+PROVEEDORES[[#This Row],[SUBTOTAL]]+PROVEEDORES[[#This Row],[IVA 19%]]-PROVEEDORES[[#This Row],[descuento sobre subtotal]]-PROVEEDORES[[#This Row],[Descuento sobre subtotal $2]]-PROVEEDORES[[#This Row],[Rete Fuente $]]</f>
        <v>4889000</v>
      </c>
      <c r="S9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63">
        <f ca="1">IF(PROVEEDORES[[#This Row],[FECHA DE PAGO]]=0,TODAY()-PROVEEDORES[[#This Row],[FECHA DE FACTURACIÓN]]-PROVEEDORES[[#This Row],[PLAZO Días]],0)</f>
        <v>0</v>
      </c>
      <c r="U906" s="104">
        <f>+VLOOKUP(PROVEEDORES[[#This Row],[PROVEEDOR]],Terceros!$A:$D,4,FALSE)</f>
        <v>0</v>
      </c>
      <c r="V906" s="105">
        <f>+YEAR(PROVEEDORES[[#This Row],[FECHA DE FACTURACIÓN]])</f>
        <v>2022</v>
      </c>
      <c r="W906" s="105">
        <f>+MATCH(PROVEEDORES[[#This Row],[año facturado]],Retenciones!$1:$1,0)</f>
        <v>5</v>
      </c>
      <c r="X906" s="106">
        <f>+VLOOKUP(PROVEEDORES[[#This Row],[ID RETENCION]],Retenciones!$A$1:$O$25,PROVEEDORES[[#This Row],[indicador de columna]],FALSE)</f>
        <v>0</v>
      </c>
      <c r="Y906" s="107">
        <f>+VLOOKUP(PROVEEDORES[[#This Row],[ID RETENCION]],Retenciones!$A$1:$O$25,2,FALSE)</f>
        <v>0</v>
      </c>
      <c r="Z906" s="116" t="b">
        <f>OR(COUNTIF(PROVEEDORES[[#This Row],[PROVEEDOR]],"*"&amp;'Palabra no opera'!$A$2&amp;"*"))</f>
        <v>0</v>
      </c>
    </row>
    <row r="907" spans="1:26" ht="22.35" customHeight="1" x14ac:dyDescent="0.3">
      <c r="A907" s="232" t="str">
        <f>+IF(PROVEEDORES[[#This Row],[FECHA DE PAGO]]=PROVEEDORES[[#This Row],[FECHA DE FACTURACIÓN]],"DE CONTADO","CRÉDITO")</f>
        <v>DE CONTADO</v>
      </c>
      <c r="B907" s="38" t="b">
        <f>+IF((PROVEEDORES[[#This Row],[FECHA DE PAGO]]-PROVEEDORES[[#This Row],[FECHA DE FACTURACIÓN]])&gt;PROVEEDORES[[#This Row],[PLAZO Días]],"PAGO VENCIDO")</f>
        <v>0</v>
      </c>
      <c r="C907" s="20">
        <f>+VLOOKUP(PROVEEDORES[[#This Row],[PROVEEDOR]],TERCEROS_INFO[#All],2,FALSE)</f>
        <v>30</v>
      </c>
      <c r="D907" s="25">
        <f>+SUMIFS(PROVEEDORES[Total],PROVEEDORES[PROVEEDOR],PROVEEDORES[[#This Row],[PROVEEDOR]],PROVEEDORES[FECHA DE PAGO],"")</f>
        <v>0</v>
      </c>
      <c r="E907" s="25"/>
      <c r="F907" s="56" t="str">
        <f>+VLOOKUP(PROVEEDORES[[#This Row],[PROVEEDOR]],
                       Terceros!$A:$F,
                       5,
                       FALSE)</f>
        <v/>
      </c>
      <c r="G907" s="68">
        <v>44865</v>
      </c>
      <c r="H907" s="26" t="s">
        <v>362</v>
      </c>
      <c r="I907" s="68">
        <v>44865</v>
      </c>
      <c r="J907" s="35" t="s">
        <v>1179</v>
      </c>
      <c r="K907" s="21">
        <v>85000</v>
      </c>
      <c r="L907" s="21"/>
      <c r="M907" s="22">
        <f>(PROVEEDORES[[#This Row],[SUBTOTAL]]-PROVEEDORES[[#This Row],[descuento sobre subtotal]])*VLOOKUP(PROVEEDORES[[#This Row],[PROVEEDOR]],TERCEROS_INFO[#All],3,FALSE)</f>
        <v>0</v>
      </c>
      <c r="N907" s="23"/>
      <c r="O907" s="22">
        <f>+PROVEEDORES[[#This Row],[Descuento sobre subtotal %]]*(PROVEEDORES[[#This Row],[SUBTOTAL]]-PROVEEDORES[[#This Row],[descuento sobre subtotal]])</f>
        <v>0</v>
      </c>
      <c r="P907" s="74">
        <f>+IF(PROVEEDORES[[#This Row],[SUBTOTAL]]&lt;PROVEEDORES[[#This Row],[base retencion]],0,PROVEEDORES[[#This Row],[retención aplicada]])</f>
        <v>0</v>
      </c>
      <c r="Q907" s="22">
        <f>+PROVEEDORES[[#This Row],[Rete Fuente %]]*(PROVEEDORES[[#This Row],[SUBTOTAL]]-PROVEEDORES[[#This Row],[descuento sobre subtotal]])</f>
        <v>0</v>
      </c>
      <c r="R907" s="21">
        <f>+PROVEEDORES[[#This Row],[SUBTOTAL]]+PROVEEDORES[[#This Row],[IVA 19%]]-PROVEEDORES[[#This Row],[descuento sobre subtotal]]-PROVEEDORES[[#This Row],[Descuento sobre subtotal $2]]-PROVEEDORES[[#This Row],[Rete Fuente $]]</f>
        <v>85000</v>
      </c>
      <c r="S907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63">
        <f ca="1">IF(PROVEEDORES[[#This Row],[FECHA DE PAGO]]=0,TODAY()-PROVEEDORES[[#This Row],[FECHA DE FACTURACIÓN]]-PROVEEDORES[[#This Row],[PLAZO Días]],0)</f>
        <v>0</v>
      </c>
      <c r="U907" s="104">
        <f>+VLOOKUP(PROVEEDORES[[#This Row],[PROVEEDOR]],Terceros!$A:$D,4,FALSE)</f>
        <v>0</v>
      </c>
      <c r="V907" s="105">
        <f>+YEAR(PROVEEDORES[[#This Row],[FECHA DE FACTURACIÓN]])</f>
        <v>2022</v>
      </c>
      <c r="W907" s="105">
        <f>+MATCH(PROVEEDORES[[#This Row],[año facturado]],Retenciones!$1:$1,0)</f>
        <v>5</v>
      </c>
      <c r="X907" s="106">
        <f>+VLOOKUP(PROVEEDORES[[#This Row],[ID RETENCION]],Retenciones!$A$1:$O$25,PROVEEDORES[[#This Row],[indicador de columna]],FALSE)</f>
        <v>0</v>
      </c>
      <c r="Y907" s="107">
        <f>+VLOOKUP(PROVEEDORES[[#This Row],[ID RETENCION]],Retenciones!$A$1:$O$25,2,FALSE)</f>
        <v>0</v>
      </c>
      <c r="Z907" s="116" t="b">
        <f>OR(COUNTIF(PROVEEDORES[[#This Row],[PROVEEDOR]],"*"&amp;'Palabra no opera'!$A$2&amp;"*"))</f>
        <v>0</v>
      </c>
    </row>
    <row r="908" spans="1:26" ht="22.35" customHeight="1" x14ac:dyDescent="0.3">
      <c r="A908" s="232" t="str">
        <f>+IF(PROVEEDORES[[#This Row],[FECHA DE PAGO]]=PROVEEDORES[[#This Row],[FECHA DE FACTURACIÓN]],"DE CONTADO","CRÉDITO")</f>
        <v>DE CONTADO</v>
      </c>
      <c r="B908" s="38" t="b">
        <f>+IF((PROVEEDORES[[#This Row],[FECHA DE PAGO]]-PROVEEDORES[[#This Row],[FECHA DE FACTURACIÓN]])&gt;PROVEEDORES[[#This Row],[PLAZO Días]],"PAGO VENCIDO")</f>
        <v>0</v>
      </c>
      <c r="C908" s="20">
        <f>+VLOOKUP(PROVEEDORES[[#This Row],[PROVEEDOR]],TERCEROS_INFO[#All],2,FALSE)</f>
        <v>30</v>
      </c>
      <c r="D908" s="25">
        <f>+SUMIFS(PROVEEDORES[Total],PROVEEDORES[PROVEEDOR],PROVEEDORES[[#This Row],[PROVEEDOR]],PROVEEDORES[FECHA DE PAGO],"")</f>
        <v>0</v>
      </c>
      <c r="E908" s="25"/>
      <c r="F908" s="56" t="str">
        <f>+VLOOKUP(PROVEEDORES[[#This Row],[PROVEEDOR]],
                       Terceros!$A:$F,
                       5,
                       FALSE)</f>
        <v/>
      </c>
      <c r="G908" s="68">
        <v>44865</v>
      </c>
      <c r="H908" s="26" t="s">
        <v>362</v>
      </c>
      <c r="I908" s="68">
        <v>44865</v>
      </c>
      <c r="J908" s="35" t="s">
        <v>1178</v>
      </c>
      <c r="K908" s="21">
        <v>176000</v>
      </c>
      <c r="L908" s="21"/>
      <c r="M908" s="22">
        <f>(PROVEEDORES[[#This Row],[SUBTOTAL]]-PROVEEDORES[[#This Row],[descuento sobre subtotal]])*VLOOKUP(PROVEEDORES[[#This Row],[PROVEEDOR]],TERCEROS_INFO[#All],3,FALSE)</f>
        <v>0</v>
      </c>
      <c r="N908" s="23"/>
      <c r="O908" s="22">
        <f>+PROVEEDORES[[#This Row],[Descuento sobre subtotal %]]*(PROVEEDORES[[#This Row],[SUBTOTAL]]-PROVEEDORES[[#This Row],[descuento sobre subtotal]])</f>
        <v>0</v>
      </c>
      <c r="P908" s="74">
        <f>+IF(PROVEEDORES[[#This Row],[SUBTOTAL]]&lt;PROVEEDORES[[#This Row],[base retencion]],0,PROVEEDORES[[#This Row],[retención aplicada]])</f>
        <v>0</v>
      </c>
      <c r="Q908" s="22">
        <f>+PROVEEDORES[[#This Row],[Rete Fuente %]]*(PROVEEDORES[[#This Row],[SUBTOTAL]]-PROVEEDORES[[#This Row],[descuento sobre subtotal]])</f>
        <v>0</v>
      </c>
      <c r="R908" s="21">
        <f>+PROVEEDORES[[#This Row],[SUBTOTAL]]+PROVEEDORES[[#This Row],[IVA 19%]]-PROVEEDORES[[#This Row],[descuento sobre subtotal]]-PROVEEDORES[[#This Row],[Descuento sobre subtotal $2]]-PROVEEDORES[[#This Row],[Rete Fuente $]]</f>
        <v>176000</v>
      </c>
      <c r="S908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63">
        <f ca="1">IF(PROVEEDORES[[#This Row],[FECHA DE PAGO]]=0,TODAY()-PROVEEDORES[[#This Row],[FECHA DE FACTURACIÓN]]-PROVEEDORES[[#This Row],[PLAZO Días]],0)</f>
        <v>0</v>
      </c>
      <c r="U908" s="104">
        <f>+VLOOKUP(PROVEEDORES[[#This Row],[PROVEEDOR]],Terceros!$A:$D,4,FALSE)</f>
        <v>0</v>
      </c>
      <c r="V908" s="105">
        <f>+YEAR(PROVEEDORES[[#This Row],[FECHA DE FACTURACIÓN]])</f>
        <v>2022</v>
      </c>
      <c r="W908" s="105">
        <f>+MATCH(PROVEEDORES[[#This Row],[año facturado]],Retenciones!$1:$1,0)</f>
        <v>5</v>
      </c>
      <c r="X908" s="106">
        <f>+VLOOKUP(PROVEEDORES[[#This Row],[ID RETENCION]],Retenciones!$A$1:$O$25,PROVEEDORES[[#This Row],[indicador de columna]],FALSE)</f>
        <v>0</v>
      </c>
      <c r="Y908" s="107">
        <f>+VLOOKUP(PROVEEDORES[[#This Row],[ID RETENCION]],Retenciones!$A$1:$O$25,2,FALSE)</f>
        <v>0</v>
      </c>
      <c r="Z908" s="116" t="b">
        <f>OR(COUNTIF(PROVEEDORES[[#This Row],[PROVEEDOR]],"*"&amp;'Palabra no opera'!$A$2&amp;"*"))</f>
        <v>0</v>
      </c>
    </row>
    <row r="909" spans="1:26" ht="22.35" customHeight="1" x14ac:dyDescent="0.3">
      <c r="A909" s="232" t="str">
        <f>+IF(PROVEEDORES[[#This Row],[FECHA DE PAGO]]=PROVEEDORES[[#This Row],[FECHA DE FACTURACIÓN]],"DE CONTADO","CRÉDITO")</f>
        <v>DE CONTADO</v>
      </c>
      <c r="B909" s="38" t="b">
        <f>+IF((PROVEEDORES[[#This Row],[FECHA DE PAGO]]-PROVEEDORES[[#This Row],[FECHA DE FACTURACIÓN]])&gt;PROVEEDORES[[#This Row],[PLAZO Días]],"PAGO VENCIDO")</f>
        <v>0</v>
      </c>
      <c r="C909" s="20">
        <f>+VLOOKUP(PROVEEDORES[[#This Row],[PROVEEDOR]],TERCEROS_INFO[#All],2,FALSE)</f>
        <v>30</v>
      </c>
      <c r="D909" s="25">
        <f>+SUMIFS(PROVEEDORES[Total],PROVEEDORES[PROVEEDOR],PROVEEDORES[[#This Row],[PROVEEDOR]],PROVEEDORES[FECHA DE PAGO],"")</f>
        <v>0</v>
      </c>
      <c r="E909" s="25"/>
      <c r="F909" s="56" t="str">
        <f>+VLOOKUP(PROVEEDORES[[#This Row],[PROVEEDOR]],
                       Terceros!$A:$F,
                       5,
                       FALSE)</f>
        <v/>
      </c>
      <c r="G909" s="68">
        <v>44865</v>
      </c>
      <c r="H909" s="26" t="s">
        <v>362</v>
      </c>
      <c r="I909" s="68">
        <v>44865</v>
      </c>
      <c r="J909" s="35" t="s">
        <v>1176</v>
      </c>
      <c r="K909" s="21">
        <v>385000</v>
      </c>
      <c r="L909" s="21"/>
      <c r="M909" s="22">
        <f>(PROVEEDORES[[#This Row],[SUBTOTAL]]-PROVEEDORES[[#This Row],[descuento sobre subtotal]])*VLOOKUP(PROVEEDORES[[#This Row],[PROVEEDOR]],TERCEROS_INFO[#All],3,FALSE)</f>
        <v>0</v>
      </c>
      <c r="N909" s="23"/>
      <c r="O909" s="22">
        <f>+PROVEEDORES[[#This Row],[Descuento sobre subtotal %]]*(PROVEEDORES[[#This Row],[SUBTOTAL]]-PROVEEDORES[[#This Row],[descuento sobre subtotal]])</f>
        <v>0</v>
      </c>
      <c r="P909" s="74">
        <f>+IF(PROVEEDORES[[#This Row],[SUBTOTAL]]&lt;PROVEEDORES[[#This Row],[base retencion]],0,PROVEEDORES[[#This Row],[retención aplicada]])</f>
        <v>0</v>
      </c>
      <c r="Q909" s="22">
        <f>+PROVEEDORES[[#This Row],[Rete Fuente %]]*(PROVEEDORES[[#This Row],[SUBTOTAL]]-PROVEEDORES[[#This Row],[descuento sobre subtotal]])</f>
        <v>0</v>
      </c>
      <c r="R909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909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63">
        <f ca="1">IF(PROVEEDORES[[#This Row],[FECHA DE PAGO]]=0,TODAY()-PROVEEDORES[[#This Row],[FECHA DE FACTURACIÓN]]-PROVEEDORES[[#This Row],[PLAZO Días]],0)</f>
        <v>0</v>
      </c>
      <c r="U909" s="104">
        <f>+VLOOKUP(PROVEEDORES[[#This Row],[PROVEEDOR]],Terceros!$A:$D,4,FALSE)</f>
        <v>0</v>
      </c>
      <c r="V909" s="105">
        <f>+YEAR(PROVEEDORES[[#This Row],[FECHA DE FACTURACIÓN]])</f>
        <v>2022</v>
      </c>
      <c r="W909" s="105">
        <f>+MATCH(PROVEEDORES[[#This Row],[año facturado]],Retenciones!$1:$1,0)</f>
        <v>5</v>
      </c>
      <c r="X909" s="106">
        <f>+VLOOKUP(PROVEEDORES[[#This Row],[ID RETENCION]],Retenciones!$A$1:$O$25,PROVEEDORES[[#This Row],[indicador de columna]],FALSE)</f>
        <v>0</v>
      </c>
      <c r="Y909" s="107">
        <f>+VLOOKUP(PROVEEDORES[[#This Row],[ID RETENCION]],Retenciones!$A$1:$O$25,2,FALSE)</f>
        <v>0</v>
      </c>
      <c r="Z909" s="116" t="b">
        <f>OR(COUNTIF(PROVEEDORES[[#This Row],[PROVEEDOR]],"*"&amp;'Palabra no opera'!$A$2&amp;"*"))</f>
        <v>0</v>
      </c>
    </row>
    <row r="910" spans="1:26" ht="22.35" customHeight="1" x14ac:dyDescent="0.3">
      <c r="A910" s="232" t="str">
        <f>+IF(PROVEEDORES[[#This Row],[FECHA DE PAGO]]=PROVEEDORES[[#This Row],[FECHA DE FACTURACIÓN]],"DE CONTADO","CRÉDITO")</f>
        <v>DE CONTADO</v>
      </c>
      <c r="B910" s="38" t="b">
        <f>+IF((PROVEEDORES[[#This Row],[FECHA DE PAGO]]-PROVEEDORES[[#This Row],[FECHA DE FACTURACIÓN]])&gt;PROVEEDORES[[#This Row],[PLAZO Días]],"PAGO VENCIDO")</f>
        <v>0</v>
      </c>
      <c r="C910" s="20">
        <f>+VLOOKUP(PROVEEDORES[[#This Row],[PROVEEDOR]],TERCEROS_INFO[#All],2,FALSE)</f>
        <v>30</v>
      </c>
      <c r="D910" s="25">
        <f>+SUMIFS(PROVEEDORES[Total],PROVEEDORES[PROVEEDOR],PROVEEDORES[[#This Row],[PROVEEDOR]],PROVEEDORES[FECHA DE PAGO],"")</f>
        <v>0</v>
      </c>
      <c r="E910" s="25"/>
      <c r="F910" s="56" t="str">
        <f>+VLOOKUP(PROVEEDORES[[#This Row],[PROVEEDOR]],
                       Terceros!$A:$F,
                       5,
                       FALSE)</f>
        <v/>
      </c>
      <c r="G910" s="68">
        <v>44865</v>
      </c>
      <c r="H910" s="26" t="s">
        <v>362</v>
      </c>
      <c r="I910" s="68">
        <v>44865</v>
      </c>
      <c r="J910" s="35" t="s">
        <v>1255</v>
      </c>
      <c r="K910" s="21">
        <v>426000</v>
      </c>
      <c r="L910" s="21"/>
      <c r="M910" s="22">
        <f>(PROVEEDORES[[#This Row],[SUBTOTAL]]-PROVEEDORES[[#This Row],[descuento sobre subtotal]])*VLOOKUP(PROVEEDORES[[#This Row],[PROVEEDOR]],TERCEROS_INFO[#All],3,FALSE)</f>
        <v>0</v>
      </c>
      <c r="N910" s="23"/>
      <c r="O910" s="22">
        <f>+PROVEEDORES[[#This Row],[Descuento sobre subtotal %]]*(PROVEEDORES[[#This Row],[SUBTOTAL]]-PROVEEDORES[[#This Row],[descuento sobre subtotal]])</f>
        <v>0</v>
      </c>
      <c r="P910" s="74">
        <f>+IF(PROVEEDORES[[#This Row],[SUBTOTAL]]&lt;PROVEEDORES[[#This Row],[base retencion]],0,PROVEEDORES[[#This Row],[retención aplicada]])</f>
        <v>0</v>
      </c>
      <c r="Q910" s="22">
        <f>+PROVEEDORES[[#This Row],[Rete Fuente %]]*(PROVEEDORES[[#This Row],[SUBTOTAL]]-PROVEEDORES[[#This Row],[descuento sobre subtotal]])</f>
        <v>0</v>
      </c>
      <c r="R910" s="21">
        <f>+PROVEEDORES[[#This Row],[SUBTOTAL]]+PROVEEDORES[[#This Row],[IVA 19%]]-PROVEEDORES[[#This Row],[descuento sobre subtotal]]-PROVEEDORES[[#This Row],[Descuento sobre subtotal $2]]-PROVEEDORES[[#This Row],[Rete Fuente $]]</f>
        <v>426000</v>
      </c>
      <c r="S91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0" s="63">
        <f ca="1">IF(PROVEEDORES[[#This Row],[FECHA DE PAGO]]=0,TODAY()-PROVEEDORES[[#This Row],[FECHA DE FACTURACIÓN]]-PROVEEDORES[[#This Row],[PLAZO Días]],0)</f>
        <v>0</v>
      </c>
      <c r="U910" s="104">
        <f>+VLOOKUP(PROVEEDORES[[#This Row],[PROVEEDOR]],Terceros!$A:$D,4,FALSE)</f>
        <v>0</v>
      </c>
      <c r="V910" s="105">
        <f>+YEAR(PROVEEDORES[[#This Row],[FECHA DE FACTURACIÓN]])</f>
        <v>2022</v>
      </c>
      <c r="W910" s="105">
        <f>+MATCH(PROVEEDORES[[#This Row],[año facturado]],Retenciones!$1:$1,0)</f>
        <v>5</v>
      </c>
      <c r="X910" s="106">
        <f>+VLOOKUP(PROVEEDORES[[#This Row],[ID RETENCION]],Retenciones!$A$1:$O$25,PROVEEDORES[[#This Row],[indicador de columna]],FALSE)</f>
        <v>0</v>
      </c>
      <c r="Y910" s="107">
        <f>+VLOOKUP(PROVEEDORES[[#This Row],[ID RETENCION]],Retenciones!$A$1:$O$25,2,FALSE)</f>
        <v>0</v>
      </c>
      <c r="Z910" s="116" t="b">
        <f>OR(COUNTIF(PROVEEDORES[[#This Row],[PROVEEDOR]],"*"&amp;'Palabra no opera'!$A$2&amp;"*"))</f>
        <v>0</v>
      </c>
    </row>
    <row r="911" spans="1:26" ht="22.35" customHeight="1" x14ac:dyDescent="0.3">
      <c r="A911" s="232" t="str">
        <f>+IF(PROVEEDORES[[#This Row],[FECHA DE PAGO]]=PROVEEDORES[[#This Row],[FECHA DE FACTURACIÓN]],"DE CONTADO","CRÉDITO")</f>
        <v>DE CONTADO</v>
      </c>
      <c r="B911" s="38" t="b">
        <f>+IF((PROVEEDORES[[#This Row],[FECHA DE PAGO]]-PROVEEDORES[[#This Row],[FECHA DE FACTURACIÓN]])&gt;PROVEEDORES[[#This Row],[PLAZO Días]],"PAGO VENCIDO")</f>
        <v>0</v>
      </c>
      <c r="C911" s="20">
        <f>+VLOOKUP(PROVEEDORES[[#This Row],[PROVEEDOR]],TERCEROS_INFO[#All],2,FALSE)</f>
        <v>30</v>
      </c>
      <c r="D911" s="25">
        <f>+SUMIFS(PROVEEDORES[Total],PROVEEDORES[PROVEEDOR],PROVEEDORES[[#This Row],[PROVEEDOR]],PROVEEDORES[FECHA DE PAGO],"")</f>
        <v>0</v>
      </c>
      <c r="E911" s="25"/>
      <c r="F911" s="56" t="str">
        <f>+VLOOKUP(PROVEEDORES[[#This Row],[PROVEEDOR]],
                       Terceros!$A:$F,
                       5,
                       FALSE)</f>
        <v/>
      </c>
      <c r="G911" s="68">
        <v>44865</v>
      </c>
      <c r="H911" s="26" t="s">
        <v>362</v>
      </c>
      <c r="I911" s="68">
        <v>44865</v>
      </c>
      <c r="J911" s="35" t="s">
        <v>1177</v>
      </c>
      <c r="K911" s="21">
        <v>1185800</v>
      </c>
      <c r="L911" s="21"/>
      <c r="M911" s="22">
        <f>(PROVEEDORES[[#This Row],[SUBTOTAL]]-PROVEEDORES[[#This Row],[descuento sobre subtotal]])*VLOOKUP(PROVEEDORES[[#This Row],[PROVEEDOR]],TERCEROS_INFO[#All],3,FALSE)</f>
        <v>0</v>
      </c>
      <c r="N911" s="23"/>
      <c r="O911" s="22">
        <f>+PROVEEDORES[[#This Row],[Descuento sobre subtotal %]]*(PROVEEDORES[[#This Row],[SUBTOTAL]]-PROVEEDORES[[#This Row],[descuento sobre subtotal]])</f>
        <v>0</v>
      </c>
      <c r="P911" s="74">
        <f>+IF(PROVEEDORES[[#This Row],[SUBTOTAL]]&lt;PROVEEDORES[[#This Row],[base retencion]],0,PROVEEDORES[[#This Row],[retención aplicada]])</f>
        <v>0</v>
      </c>
      <c r="Q911" s="22">
        <f>+PROVEEDORES[[#This Row],[Rete Fuente %]]*(PROVEEDORES[[#This Row],[SUBTOTAL]]-PROVEEDORES[[#This Row],[descuento sobre subtotal]])</f>
        <v>0</v>
      </c>
      <c r="R911" s="21">
        <f>+PROVEEDORES[[#This Row],[SUBTOTAL]]+PROVEEDORES[[#This Row],[IVA 19%]]-PROVEEDORES[[#This Row],[descuento sobre subtotal]]-PROVEEDORES[[#This Row],[Descuento sobre subtotal $2]]-PROVEEDORES[[#This Row],[Rete Fuente $]]</f>
        <v>1185800</v>
      </c>
      <c r="S91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63">
        <f ca="1">IF(PROVEEDORES[[#This Row],[FECHA DE PAGO]]=0,TODAY()-PROVEEDORES[[#This Row],[FECHA DE FACTURACIÓN]]-PROVEEDORES[[#This Row],[PLAZO Días]],0)</f>
        <v>0</v>
      </c>
      <c r="U911" s="104">
        <f>+VLOOKUP(PROVEEDORES[[#This Row],[PROVEEDOR]],Terceros!$A:$D,4,FALSE)</f>
        <v>0</v>
      </c>
      <c r="V911" s="105">
        <f>+YEAR(PROVEEDORES[[#This Row],[FECHA DE FACTURACIÓN]])</f>
        <v>2022</v>
      </c>
      <c r="W911" s="105">
        <f>+MATCH(PROVEEDORES[[#This Row],[año facturado]],Retenciones!$1:$1,0)</f>
        <v>5</v>
      </c>
      <c r="X911" s="106">
        <f>+VLOOKUP(PROVEEDORES[[#This Row],[ID RETENCION]],Retenciones!$A$1:$O$25,PROVEEDORES[[#This Row],[indicador de columna]],FALSE)</f>
        <v>0</v>
      </c>
      <c r="Y911" s="107">
        <f>+VLOOKUP(PROVEEDORES[[#This Row],[ID RETENCION]],Retenciones!$A$1:$O$25,2,FALSE)</f>
        <v>0</v>
      </c>
      <c r="Z911" s="116" t="b">
        <f>OR(COUNTIF(PROVEEDORES[[#This Row],[PROVEEDOR]],"*"&amp;'Palabra no opera'!$A$2&amp;"*"))</f>
        <v>0</v>
      </c>
    </row>
    <row r="912" spans="1:26" ht="22.35" customHeight="1" x14ac:dyDescent="0.3">
      <c r="A912" s="232" t="str">
        <f>+IF(PROVEEDORES[[#This Row],[FECHA DE PAGO]]=PROVEEDORES[[#This Row],[FECHA DE FACTURACIÓN]],"DE CONTADO","CRÉDITO")</f>
        <v>DE CONTADO</v>
      </c>
      <c r="B912" s="38" t="b">
        <f>+IF((PROVEEDORES[[#This Row],[FECHA DE PAGO]]-PROVEEDORES[[#This Row],[FECHA DE FACTURACIÓN]])&gt;PROVEEDORES[[#This Row],[PLAZO Días]],"PAGO VENCIDO")</f>
        <v>0</v>
      </c>
      <c r="C912" s="20">
        <f>+VLOOKUP(PROVEEDORES[[#This Row],[PROVEEDOR]],TERCEROS_INFO[#All],2,FALSE)</f>
        <v>30</v>
      </c>
      <c r="D912" s="25">
        <f>+SUMIFS(PROVEEDORES[Total],PROVEEDORES[PROVEEDOR],PROVEEDORES[[#This Row],[PROVEEDOR]],PROVEEDORES[FECHA DE PAGO],"")</f>
        <v>0</v>
      </c>
      <c r="E912" s="25"/>
      <c r="F912" s="56" t="str">
        <f>+VLOOKUP(PROVEEDORES[[#This Row],[PROVEEDOR]],
                       Terceros!$A:$F,
                       5,
                       FALSE)</f>
        <v/>
      </c>
      <c r="G912" s="68">
        <v>44865</v>
      </c>
      <c r="H912" s="26" t="s">
        <v>362</v>
      </c>
      <c r="I912" s="68">
        <v>44865</v>
      </c>
      <c r="J912" s="35" t="s">
        <v>1180</v>
      </c>
      <c r="K912" s="21">
        <v>1377000</v>
      </c>
      <c r="L912" s="21"/>
      <c r="M912" s="22">
        <f>(PROVEEDORES[[#This Row],[SUBTOTAL]]-PROVEEDORES[[#This Row],[descuento sobre subtotal]])*VLOOKUP(PROVEEDORES[[#This Row],[PROVEEDOR]],TERCEROS_INFO[#All],3,FALSE)</f>
        <v>0</v>
      </c>
      <c r="N912" s="23"/>
      <c r="O912" s="22">
        <f>+PROVEEDORES[[#This Row],[Descuento sobre subtotal %]]*(PROVEEDORES[[#This Row],[SUBTOTAL]]-PROVEEDORES[[#This Row],[descuento sobre subtotal]])</f>
        <v>0</v>
      </c>
      <c r="P912" s="74">
        <f>+IF(PROVEEDORES[[#This Row],[SUBTOTAL]]&lt;PROVEEDORES[[#This Row],[base retencion]],0,PROVEEDORES[[#This Row],[retención aplicada]])</f>
        <v>0</v>
      </c>
      <c r="Q912" s="22">
        <f>+PROVEEDORES[[#This Row],[Rete Fuente %]]*(PROVEEDORES[[#This Row],[SUBTOTAL]]-PROVEEDORES[[#This Row],[descuento sobre subtotal]])</f>
        <v>0</v>
      </c>
      <c r="R912" s="21">
        <f>+PROVEEDORES[[#This Row],[SUBTOTAL]]+PROVEEDORES[[#This Row],[IVA 19%]]-PROVEEDORES[[#This Row],[descuento sobre subtotal]]-PROVEEDORES[[#This Row],[Descuento sobre subtotal $2]]-PROVEEDORES[[#This Row],[Rete Fuente $]]</f>
        <v>1377000</v>
      </c>
      <c r="S91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63">
        <f ca="1">IF(PROVEEDORES[[#This Row],[FECHA DE PAGO]]=0,TODAY()-PROVEEDORES[[#This Row],[FECHA DE FACTURACIÓN]]-PROVEEDORES[[#This Row],[PLAZO Días]],0)</f>
        <v>0</v>
      </c>
      <c r="U912" s="104">
        <f>+VLOOKUP(PROVEEDORES[[#This Row],[PROVEEDOR]],Terceros!$A:$D,4,FALSE)</f>
        <v>0</v>
      </c>
      <c r="V912" s="105">
        <f>+YEAR(PROVEEDORES[[#This Row],[FECHA DE FACTURACIÓN]])</f>
        <v>2022</v>
      </c>
      <c r="W912" s="105">
        <f>+MATCH(PROVEEDORES[[#This Row],[año facturado]],Retenciones!$1:$1,0)</f>
        <v>5</v>
      </c>
      <c r="X912" s="106">
        <f>+VLOOKUP(PROVEEDORES[[#This Row],[ID RETENCION]],Retenciones!$A$1:$O$25,PROVEEDORES[[#This Row],[indicador de columna]],FALSE)</f>
        <v>0</v>
      </c>
      <c r="Y912" s="107">
        <f>+VLOOKUP(PROVEEDORES[[#This Row],[ID RETENCION]],Retenciones!$A$1:$O$25,2,FALSE)</f>
        <v>0</v>
      </c>
      <c r="Z912" s="116" t="b">
        <f>OR(COUNTIF(PROVEEDORES[[#This Row],[PROVEEDOR]],"*"&amp;'Palabra no opera'!$A$2&amp;"*"))</f>
        <v>0</v>
      </c>
    </row>
    <row r="913" spans="1:26" ht="22.35" customHeight="1" x14ac:dyDescent="0.3">
      <c r="A913" s="232" t="str">
        <f>+IF(PROVEEDORES[[#This Row],[FECHA DE PAGO]]=PROVEEDORES[[#This Row],[FECHA DE FACTURACIÓN]],"DE CONTADO","CRÉDITO")</f>
        <v>CRÉDITO</v>
      </c>
      <c r="B913" s="38" t="b">
        <f>+IF((PROVEEDORES[[#This Row],[FECHA DE PAGO]]-PROVEEDORES[[#This Row],[FECHA DE FACTURACIÓN]])&gt;PROVEEDORES[[#This Row],[PLAZO Días]],"PAGO VENCIDO")</f>
        <v>0</v>
      </c>
      <c r="C913" s="20">
        <f>+VLOOKUP(PROVEEDORES[[#This Row],[PROVEEDOR]],TERCEROS_INFO[#All],2,FALSE)</f>
        <v>30</v>
      </c>
      <c r="D913" s="25">
        <f>+SUMIFS(PROVEEDORES[Total],PROVEEDORES[PROVEEDOR],PROVEEDORES[[#This Row],[PROVEEDOR]],PROVEEDORES[FECHA DE PAGO],"")</f>
        <v>0</v>
      </c>
      <c r="E913" s="25"/>
      <c r="F913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13" s="68">
        <v>44865</v>
      </c>
      <c r="H913" s="26" t="s">
        <v>966</v>
      </c>
      <c r="I913" s="68">
        <v>44845</v>
      </c>
      <c r="J913" s="35">
        <v>371</v>
      </c>
      <c r="K913" s="21">
        <v>492000</v>
      </c>
      <c r="L913" s="21"/>
      <c r="M913" s="22">
        <f>(PROVEEDORES[[#This Row],[SUBTOTAL]]-PROVEEDORES[[#This Row],[descuento sobre subtotal]])*VLOOKUP(PROVEEDORES[[#This Row],[PROVEEDOR]],TERCEROS_INFO[#All],3,FALSE)</f>
        <v>0</v>
      </c>
      <c r="N913" s="23"/>
      <c r="O913" s="22">
        <f>+PROVEEDORES[[#This Row],[Descuento sobre subtotal %]]*(PROVEEDORES[[#This Row],[SUBTOTAL]]-PROVEEDORES[[#This Row],[descuento sobre subtotal]])</f>
        <v>0</v>
      </c>
      <c r="P913" s="74">
        <f>+IF(PROVEEDORES[[#This Row],[SUBTOTAL]]&lt;PROVEEDORES[[#This Row],[base retencion]],0,PROVEEDORES[[#This Row],[retención aplicada]])</f>
        <v>0</v>
      </c>
      <c r="Q913" s="22">
        <f>+PROVEEDORES[[#This Row],[Rete Fuente %]]*(PROVEEDORES[[#This Row],[SUBTOTAL]]-PROVEEDORES[[#This Row],[descuento sobre subtotal]])</f>
        <v>0</v>
      </c>
      <c r="R913" s="21">
        <f>+PROVEEDORES[[#This Row],[SUBTOTAL]]+PROVEEDORES[[#This Row],[IVA 19%]]-PROVEEDORES[[#This Row],[descuento sobre subtotal]]-PROVEEDORES[[#This Row],[Descuento sobre subtotal $2]]-PROVEEDORES[[#This Row],[Rete Fuente $]]</f>
        <v>492000</v>
      </c>
      <c r="S913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63">
        <f ca="1">IF(PROVEEDORES[[#This Row],[FECHA DE PAGO]]=0,TODAY()-PROVEEDORES[[#This Row],[FECHA DE FACTURACIÓN]]-PROVEEDORES[[#This Row],[PLAZO Días]],0)</f>
        <v>0</v>
      </c>
      <c r="U913" s="104">
        <f>+VLOOKUP(PROVEEDORES[[#This Row],[PROVEEDOR]],Terceros!$A:$D,4,FALSE)</f>
        <v>0</v>
      </c>
      <c r="V913" s="105">
        <f>+YEAR(PROVEEDORES[[#This Row],[FECHA DE FACTURACIÓN]])</f>
        <v>2022</v>
      </c>
      <c r="W913" s="105">
        <f>+MATCH(PROVEEDORES[[#This Row],[año facturado]],Retenciones!$1:$1,0)</f>
        <v>5</v>
      </c>
      <c r="X913" s="106">
        <f>+VLOOKUP(PROVEEDORES[[#This Row],[ID RETENCION]],Retenciones!$A$1:$O$25,PROVEEDORES[[#This Row],[indicador de columna]],FALSE)</f>
        <v>0</v>
      </c>
      <c r="Y913" s="107">
        <f>+VLOOKUP(PROVEEDORES[[#This Row],[ID RETENCION]],Retenciones!$A$1:$O$25,2,FALSE)</f>
        <v>0</v>
      </c>
      <c r="Z913" s="116" t="b">
        <f>OR(COUNTIF(PROVEEDORES[[#This Row],[PROVEEDOR]],"*"&amp;'Palabra no opera'!$A$2&amp;"*"))</f>
        <v>0</v>
      </c>
    </row>
    <row r="914" spans="1:26" ht="22.35" customHeight="1" x14ac:dyDescent="0.3">
      <c r="A914" s="222" t="str">
        <f>+IF(PROVEEDORES[[#This Row],[FECHA DE PAGO]]=PROVEEDORES[[#This Row],[FECHA DE FACTURACIÓN]],"DE CONTADO","CRÉDITO")</f>
        <v>CRÉDITO</v>
      </c>
      <c r="B914" s="38" t="str">
        <f>+IF((PROVEEDORES[[#This Row],[FECHA DE PAGO]]-PROVEEDORES[[#This Row],[FECHA DE FACTURACIÓN]])&gt;PROVEEDORES[[#This Row],[PLAZO Días]],"PAGO VENCIDO")</f>
        <v>PAGO VENCIDO</v>
      </c>
      <c r="C914" s="20">
        <f>+VLOOKUP(PROVEEDORES[[#This Row],[PROVEEDOR]],TERCEROS_INFO[#All],2,FALSE)</f>
        <v>30</v>
      </c>
      <c r="D914" s="25">
        <f>+SUMIFS(PROVEEDORES[Total],PROVEEDORES[PROVEEDOR],PROVEEDORES[[#This Row],[PROVEEDOR]],PROVEEDORES[FECHA DE PAGO],"")</f>
        <v>0</v>
      </c>
      <c r="E914" s="25"/>
      <c r="F914" s="56">
        <f>+VLOOKUP(PROVEEDORES[[#This Row],[PROVEEDOR]],
                       Terceros!$A:$F,
                       5,
                       FALSE)</f>
        <v>0</v>
      </c>
      <c r="G914" s="68">
        <v>44865</v>
      </c>
      <c r="H914" s="231" t="s">
        <v>1165</v>
      </c>
      <c r="I914" s="68">
        <v>44833</v>
      </c>
      <c r="J914" s="35" t="s">
        <v>1166</v>
      </c>
      <c r="K914" s="21">
        <v>864400</v>
      </c>
      <c r="L914" s="21"/>
      <c r="M914" s="22">
        <f>(PROVEEDORES[[#This Row],[SUBTOTAL]]-PROVEEDORES[[#This Row],[descuento sobre subtotal]])*VLOOKUP(PROVEEDORES[[#This Row],[PROVEEDOR]],TERCEROS_INFO[#All],3,FALSE)</f>
        <v>0</v>
      </c>
      <c r="N914" s="23">
        <v>0.1</v>
      </c>
      <c r="O914" s="22">
        <f>+PROVEEDORES[[#This Row],[Descuento sobre subtotal %]]*(PROVEEDORES[[#This Row],[SUBTOTAL]]-PROVEEDORES[[#This Row],[descuento sobre subtotal]])</f>
        <v>86440</v>
      </c>
      <c r="P914" s="74">
        <f>+IF(PROVEEDORES[[#This Row],[SUBTOTAL]]&lt;PROVEEDORES[[#This Row],[base retencion]],0,PROVEEDORES[[#This Row],[retención aplicada]])</f>
        <v>0</v>
      </c>
      <c r="Q914" s="22">
        <f>+PROVEEDORES[[#This Row],[Rete Fuente %]]*(PROVEEDORES[[#This Row],[SUBTOTAL]]-PROVEEDORES[[#This Row],[descuento sobre subtotal]])</f>
        <v>0</v>
      </c>
      <c r="R914" s="21">
        <f>+PROVEEDORES[[#This Row],[SUBTOTAL]]+PROVEEDORES[[#This Row],[IVA 19%]]-PROVEEDORES[[#This Row],[descuento sobre subtotal]]-PROVEEDORES[[#This Row],[Descuento sobre subtotal $2]]-PROVEEDORES[[#This Row],[Rete Fuente $]]</f>
        <v>777960</v>
      </c>
      <c r="S914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63">
        <f ca="1">IF(PROVEEDORES[[#This Row],[FECHA DE PAGO]]=0,TODAY()-PROVEEDORES[[#This Row],[FECHA DE FACTURACIÓN]]-PROVEEDORES[[#This Row],[PLAZO Días]],0)</f>
        <v>0</v>
      </c>
      <c r="U914" s="104">
        <f>+VLOOKUP(PROVEEDORES[[#This Row],[PROVEEDOR]],Terceros!$A:$D,4,FALSE)</f>
        <v>0</v>
      </c>
      <c r="V914" s="105">
        <f>+YEAR(PROVEEDORES[[#This Row],[FECHA DE FACTURACIÓN]])</f>
        <v>2022</v>
      </c>
      <c r="W914" s="105">
        <f>+MATCH(PROVEEDORES[[#This Row],[año facturado]],Retenciones!$1:$1,0)</f>
        <v>5</v>
      </c>
      <c r="X914" s="106">
        <f>+VLOOKUP(PROVEEDORES[[#This Row],[ID RETENCION]],Retenciones!$A$1:$O$25,PROVEEDORES[[#This Row],[indicador de columna]],FALSE)</f>
        <v>0</v>
      </c>
      <c r="Y914" s="107">
        <f>+VLOOKUP(PROVEEDORES[[#This Row],[ID RETENCION]],Retenciones!$A$1:$O$25,2,FALSE)</f>
        <v>0</v>
      </c>
      <c r="Z914" s="116" t="b">
        <f>OR(COUNTIF(PROVEEDORES[[#This Row],[PROVEEDOR]],"*"&amp;'Palabra no opera'!$A$2&amp;"*"))</f>
        <v>0</v>
      </c>
    </row>
    <row r="915" spans="1:26" ht="22.35" customHeight="1" x14ac:dyDescent="0.3">
      <c r="A915" s="232" t="str">
        <f>+IF(PROVEEDORES[[#This Row],[FECHA DE PAGO]]=PROVEEDORES[[#This Row],[FECHA DE FACTURACIÓN]],"DE CONTADO","CRÉDITO")</f>
        <v>CRÉDITO</v>
      </c>
      <c r="B915" s="38" t="b">
        <f>+IF((PROVEEDORES[[#This Row],[FECHA DE PAGO]]-PROVEEDORES[[#This Row],[FECHA DE FACTURACIÓN]])&gt;PROVEEDORES[[#This Row],[PLAZO Días]],"PAGO VENCIDO")</f>
        <v>0</v>
      </c>
      <c r="C915" s="20">
        <f>+VLOOKUP(PROVEEDORES[[#This Row],[PROVEEDOR]],TERCEROS_INFO[#All],2,FALSE)</f>
        <v>30</v>
      </c>
      <c r="D915" s="25">
        <f>+SUMIFS(PROVEEDORES[Total],PROVEEDORES[PROVEEDOR],PROVEEDORES[[#This Row],[PROVEEDOR]],PROVEEDORES[FECHA DE PAGO],"")</f>
        <v>0</v>
      </c>
      <c r="E915" s="25"/>
      <c r="F91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15" s="68">
        <v>44865</v>
      </c>
      <c r="H915" s="26" t="s">
        <v>967</v>
      </c>
      <c r="I915" s="68">
        <v>44845</v>
      </c>
      <c r="J915" s="35">
        <v>275</v>
      </c>
      <c r="K915" s="21">
        <v>492000</v>
      </c>
      <c r="L915" s="21"/>
      <c r="M915" s="22">
        <f>(PROVEEDORES[[#This Row],[SUBTOTAL]]-PROVEEDORES[[#This Row],[descuento sobre subtotal]])*VLOOKUP(PROVEEDORES[[#This Row],[PROVEEDOR]],TERCEROS_INFO[#All],3,FALSE)</f>
        <v>0</v>
      </c>
      <c r="N915" s="23"/>
      <c r="O915" s="22">
        <f>+PROVEEDORES[[#This Row],[Descuento sobre subtotal %]]*(PROVEEDORES[[#This Row],[SUBTOTAL]]-PROVEEDORES[[#This Row],[descuento sobre subtotal]])</f>
        <v>0</v>
      </c>
      <c r="P915" s="74">
        <v>0.01</v>
      </c>
      <c r="Q915" s="22">
        <f>+PROVEEDORES[[#This Row],[Rete Fuente %]]*(PROVEEDORES[[#This Row],[SUBTOTAL]]-PROVEEDORES[[#This Row],[descuento sobre subtotal]])</f>
        <v>4920</v>
      </c>
      <c r="R915" s="21">
        <f>+PROVEEDORES[[#This Row],[SUBTOTAL]]+PROVEEDORES[[#This Row],[IVA 19%]]-PROVEEDORES[[#This Row],[descuento sobre subtotal]]-PROVEEDORES[[#This Row],[Descuento sobre subtotal $2]]-PROVEEDORES[[#This Row],[Rete Fuente $]]</f>
        <v>487080</v>
      </c>
      <c r="S915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63">
        <f ca="1">IF(PROVEEDORES[[#This Row],[FECHA DE PAGO]]=0,TODAY()-PROVEEDORES[[#This Row],[FECHA DE FACTURACIÓN]]-PROVEEDORES[[#This Row],[PLAZO Días]],0)</f>
        <v>0</v>
      </c>
      <c r="U915" s="104" t="str">
        <f>+VLOOKUP(PROVEEDORES[[#This Row],[PROVEEDOR]],Terceros!$A:$D,4,FALSE)</f>
        <v>1% con base</v>
      </c>
      <c r="V915" s="105">
        <f>+YEAR(PROVEEDORES[[#This Row],[FECHA DE FACTURACIÓN]])</f>
        <v>2022</v>
      </c>
      <c r="W915" s="105">
        <f>+MATCH(PROVEEDORES[[#This Row],[año facturado]],Retenciones!$1:$1,0)</f>
        <v>5</v>
      </c>
      <c r="X915" s="106">
        <f>+VLOOKUP(PROVEEDORES[[#This Row],[ID RETENCION]],Retenciones!$A$1:$O$25,PROVEEDORES[[#This Row],[indicador de columna]],FALSE)</f>
        <v>152000</v>
      </c>
      <c r="Y915" s="107">
        <f>+VLOOKUP(PROVEEDORES[[#This Row],[ID RETENCION]],Retenciones!$A$1:$O$25,2,FALSE)</f>
        <v>0.01</v>
      </c>
      <c r="Z915" s="116" t="b">
        <f>OR(COUNTIF(PROVEEDORES[[#This Row],[PROVEEDOR]],"*"&amp;'Palabra no opera'!$A$2&amp;"*"))</f>
        <v>0</v>
      </c>
    </row>
    <row r="916" spans="1:26" ht="22.35" customHeight="1" x14ac:dyDescent="0.3">
      <c r="A916" s="182" t="str">
        <f>+IF(PROVEEDORES[[#This Row],[FECHA DE PAGO]]=PROVEEDORES[[#This Row],[FECHA DE FACTURACIÓN]],"DE CONTADO","CRÉDITO")</f>
        <v>CRÉDITO</v>
      </c>
      <c r="B916" s="38" t="str">
        <f>+IF((PROVEEDORES[[#This Row],[FECHA DE PAGO]]-PROVEEDORES[[#This Row],[FECHA DE FACTURACIÓN]])&gt;PROVEEDORES[[#This Row],[PLAZO Días]],"PAGO VENCIDO")</f>
        <v>PAGO VENCIDO</v>
      </c>
      <c r="C916" s="20">
        <f>+VLOOKUP(PROVEEDORES[[#This Row],[PROVEEDOR]],TERCEROS_INFO[#All],2,FALSE)</f>
        <v>30</v>
      </c>
      <c r="D916" s="25">
        <f>+SUMIFS(PROVEEDORES[Total],PROVEEDORES[PROVEEDOR],PROVEEDORES[[#This Row],[PROVEEDOR]],PROVEEDORES[FECHA DE PAGO],"")</f>
        <v>5537221.7000000002</v>
      </c>
      <c r="E916" s="25"/>
      <c r="F916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916" s="68">
        <v>44866</v>
      </c>
      <c r="H916" s="26" t="s">
        <v>293</v>
      </c>
      <c r="I916" s="68">
        <v>44792</v>
      </c>
      <c r="J916" s="35" t="s">
        <v>933</v>
      </c>
      <c r="K916" s="21">
        <v>3639876</v>
      </c>
      <c r="L916" s="21"/>
      <c r="M916" s="22">
        <f>(PROVEEDORES[[#This Row],[SUBTOTAL]]-PROVEEDORES[[#This Row],[descuento sobre subtotal]])*VLOOKUP(PROVEEDORES[[#This Row],[PROVEEDOR]],TERCEROS_INFO[#All],3,FALSE)</f>
        <v>691576.44000000006</v>
      </c>
      <c r="N916" s="23">
        <v>0.1</v>
      </c>
      <c r="O916" s="22">
        <f>+PROVEEDORES[[#This Row],[Descuento sobre subtotal %]]*(PROVEEDORES[[#This Row],[SUBTOTAL]]-PROVEEDORES[[#This Row],[descuento sobre subtotal]])</f>
        <v>363987.60000000003</v>
      </c>
      <c r="P916" s="74">
        <f>+IF(PROVEEDORES[[#This Row],[SUBTOTAL]]&lt;PROVEEDORES[[#This Row],[base retencion]],0,PROVEEDORES[[#This Row],[retención aplicada]])</f>
        <v>2.5000000000000001E-2</v>
      </c>
      <c r="Q916" s="22">
        <f>+PROVEEDORES[[#This Row],[Rete Fuente %]]*(PROVEEDORES[[#This Row],[SUBTOTAL]]-PROVEEDORES[[#This Row],[descuento sobre subtotal]])</f>
        <v>90996.900000000009</v>
      </c>
      <c r="R916" s="21">
        <f>+PROVEEDORES[[#This Row],[SUBTOTAL]]+PROVEEDORES[[#This Row],[IVA 19%]]-PROVEEDORES[[#This Row],[descuento sobre subtotal]]-PROVEEDORES[[#This Row],[Descuento sobre subtotal $2]]-PROVEEDORES[[#This Row],[Rete Fuente $]]</f>
        <v>3876467.9400000004</v>
      </c>
      <c r="S91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63">
        <f ca="1">IF(PROVEEDORES[[#This Row],[FECHA DE PAGO]]=0,TODAY()-PROVEEDORES[[#This Row],[FECHA DE FACTURACIÓN]]-PROVEEDORES[[#This Row],[PLAZO Días]],0)</f>
        <v>0</v>
      </c>
      <c r="U916" s="104" t="str">
        <f>+VLOOKUP(PROVEEDORES[[#This Row],[PROVEEDOR]],Terceros!$A:$D,4,FALSE)</f>
        <v>2,5% con base</v>
      </c>
      <c r="V916" s="105">
        <f>+YEAR(PROVEEDORES[[#This Row],[FECHA DE FACTURACIÓN]])</f>
        <v>2022</v>
      </c>
      <c r="W916" s="105">
        <f>+MATCH(PROVEEDORES[[#This Row],[año facturado]],Retenciones!$1:$1,0)</f>
        <v>5</v>
      </c>
      <c r="X916" s="106">
        <f>+VLOOKUP(PROVEEDORES[[#This Row],[ID RETENCION]],Retenciones!$A$1:$O$25,PROVEEDORES[[#This Row],[indicador de columna]],FALSE)</f>
        <v>1026000</v>
      </c>
      <c r="Y916" s="107">
        <f>+VLOOKUP(PROVEEDORES[[#This Row],[ID RETENCION]],Retenciones!$A$1:$O$25,2,FALSE)</f>
        <v>2.5000000000000001E-2</v>
      </c>
      <c r="Z916" s="116" t="b">
        <f>OR(COUNTIF(PROVEEDORES[[#This Row],[PROVEEDOR]],"*"&amp;'Palabra no opera'!$A$2&amp;"*"))</f>
        <v>0</v>
      </c>
    </row>
    <row r="917" spans="1:26" ht="22.35" customHeight="1" x14ac:dyDescent="0.3">
      <c r="A917" s="222" t="str">
        <f>+IF(PROVEEDORES[[#This Row],[FECHA DE PAGO]]=PROVEEDORES[[#This Row],[FECHA DE FACTURACIÓN]],"DE CONTADO","CRÉDITO")</f>
        <v>CRÉDITO</v>
      </c>
      <c r="B917" s="38" t="str">
        <f>+IF((PROVEEDORES[[#This Row],[FECHA DE PAGO]]-PROVEEDORES[[#This Row],[FECHA DE FACTURACIÓN]])&gt;PROVEEDORES[[#This Row],[PLAZO Días]],"PAGO VENCIDO")</f>
        <v>PAGO VENCIDO</v>
      </c>
      <c r="C917" s="20">
        <f>+VLOOKUP(PROVEEDORES[[#This Row],[PROVEEDOR]],TERCEROS_INFO[#All],2,FALSE)</f>
        <v>30</v>
      </c>
      <c r="D917" s="25">
        <f>+SUMIFS(PROVEEDORES[Total],PROVEEDORES[PROVEEDOR],PROVEEDORES[[#This Row],[PROVEEDOR]],PROVEEDORES[FECHA DE PAGO],"")</f>
        <v>342000</v>
      </c>
      <c r="E917" s="25"/>
      <c r="F917" s="56" t="str">
        <f>+VLOOKUP(PROVEEDORES[[#This Row],[PROVEEDOR]],
                       Terceros!$A:$F,
                       5,
                       FALSE)</f>
        <v/>
      </c>
      <c r="G917" s="68">
        <v>44867</v>
      </c>
      <c r="H917" s="231" t="s">
        <v>1159</v>
      </c>
      <c r="I917" s="68">
        <v>44833</v>
      </c>
      <c r="J917" s="35" t="s">
        <v>1160</v>
      </c>
      <c r="K917" s="21">
        <v>527800</v>
      </c>
      <c r="L917" s="21"/>
      <c r="M917" s="22">
        <f>(PROVEEDORES[[#This Row],[SUBTOTAL]]-PROVEEDORES[[#This Row],[descuento sobre subtotal]])*VLOOKUP(PROVEEDORES[[#This Row],[PROVEEDOR]],TERCEROS_INFO[#All],3,FALSE)</f>
        <v>0</v>
      </c>
      <c r="N917" s="23"/>
      <c r="O917" s="22">
        <f>+PROVEEDORES[[#This Row],[Descuento sobre subtotal %]]*(PROVEEDORES[[#This Row],[SUBTOTAL]]-PROVEEDORES[[#This Row],[descuento sobre subtotal]])</f>
        <v>0</v>
      </c>
      <c r="P917" s="74">
        <f>+IF(PROVEEDORES[[#This Row],[SUBTOTAL]]&lt;PROVEEDORES[[#This Row],[base retencion]],0,PROVEEDORES[[#This Row],[retención aplicada]])</f>
        <v>0</v>
      </c>
      <c r="Q917" s="22">
        <f>+PROVEEDORES[[#This Row],[Rete Fuente %]]*(PROVEEDORES[[#This Row],[SUBTOTAL]]-PROVEEDORES[[#This Row],[descuento sobre subtotal]])</f>
        <v>0</v>
      </c>
      <c r="R917" s="21">
        <f>+PROVEEDORES[[#This Row],[SUBTOTAL]]+PROVEEDORES[[#This Row],[IVA 19%]]-PROVEEDORES[[#This Row],[descuento sobre subtotal]]-PROVEEDORES[[#This Row],[Descuento sobre subtotal $2]]-PROVEEDORES[[#This Row],[Rete Fuente $]]</f>
        <v>527800</v>
      </c>
      <c r="S917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63">
        <f ca="1">IF(PROVEEDORES[[#This Row],[FECHA DE PAGO]]=0,TODAY()-PROVEEDORES[[#This Row],[FECHA DE FACTURACIÓN]]-PROVEEDORES[[#This Row],[PLAZO Días]],0)</f>
        <v>0</v>
      </c>
      <c r="U917" s="104">
        <f>+VLOOKUP(PROVEEDORES[[#This Row],[PROVEEDOR]],Terceros!$A:$D,4,FALSE)</f>
        <v>0</v>
      </c>
      <c r="V917" s="105">
        <f>+YEAR(PROVEEDORES[[#This Row],[FECHA DE FACTURACIÓN]])</f>
        <v>2022</v>
      </c>
      <c r="W917" s="105">
        <f>+MATCH(PROVEEDORES[[#This Row],[año facturado]],Retenciones!$1:$1,0)</f>
        <v>5</v>
      </c>
      <c r="X917" s="106">
        <f>+VLOOKUP(PROVEEDORES[[#This Row],[ID RETENCION]],Retenciones!$A$1:$O$25,PROVEEDORES[[#This Row],[indicador de columna]],FALSE)</f>
        <v>0</v>
      </c>
      <c r="Y917" s="107">
        <f>+VLOOKUP(PROVEEDORES[[#This Row],[ID RETENCION]],Retenciones!$A$1:$O$25,2,FALSE)</f>
        <v>0</v>
      </c>
      <c r="Z917" s="116" t="b">
        <f>OR(COUNTIF(PROVEEDORES[[#This Row],[PROVEEDOR]],"*"&amp;'Palabra no opera'!$A$2&amp;"*"))</f>
        <v>0</v>
      </c>
    </row>
    <row r="918" spans="1:26" ht="22.35" customHeight="1" x14ac:dyDescent="0.3">
      <c r="A918" s="67" t="str">
        <f>+IF(PROVEEDORES[[#This Row],[FECHA DE PAGO]]=PROVEEDORES[[#This Row],[FECHA DE FACTURACIÓN]],"DE CONTADO","CRÉDITO")</f>
        <v>CRÉDITO</v>
      </c>
      <c r="B918" s="38" t="str">
        <f>+IF((PROVEEDORES[[#This Row],[FECHA DE PAGO]]-PROVEEDORES[[#This Row],[FECHA DE FACTURACIÓN]])&gt;PROVEEDORES[[#This Row],[PLAZO Días]],"PAGO VENCIDO")</f>
        <v>PAGO VENCIDO</v>
      </c>
      <c r="C918" s="20">
        <f>+VLOOKUP(PROVEEDORES[[#This Row],[PROVEEDOR]],TERCEROS_INFO[#All],2,FALSE)</f>
        <v>30</v>
      </c>
      <c r="D918" s="25">
        <f>+SUMIFS(PROVEEDORES[Total],PROVEEDORES[PROVEEDOR],PROVEEDORES[[#This Row],[PROVEEDOR]],PROVEEDORES[FECHA DE PAGO],"")</f>
        <v>2100000</v>
      </c>
      <c r="E918" s="25"/>
      <c r="F918" s="56" t="str">
        <f>+VLOOKUP(PROVEEDORES[[#This Row],[PROVEEDOR]],
                       Terceros!$A:$F,
                       5,
                       FALSE)</f>
        <v/>
      </c>
      <c r="G918" s="68">
        <v>44867</v>
      </c>
      <c r="H918" s="231" t="s">
        <v>349</v>
      </c>
      <c r="I918" s="68">
        <v>44824</v>
      </c>
      <c r="J918" s="35" t="s">
        <v>1132</v>
      </c>
      <c r="K918" s="21">
        <v>303870</v>
      </c>
      <c r="L918" s="21"/>
      <c r="M918" s="22">
        <f>(PROVEEDORES[[#This Row],[SUBTOTAL]]-PROVEEDORES[[#This Row],[descuento sobre subtotal]])*VLOOKUP(PROVEEDORES[[#This Row],[PROVEEDOR]],TERCEROS_INFO[#All],3,FALSE)</f>
        <v>0</v>
      </c>
      <c r="N918" s="23"/>
      <c r="O918" s="22">
        <f>+PROVEEDORES[[#This Row],[Descuento sobre subtotal %]]*(PROVEEDORES[[#This Row],[SUBTOTAL]]-PROVEEDORES[[#This Row],[descuento sobre subtotal]])</f>
        <v>0</v>
      </c>
      <c r="P918" s="74">
        <f>+IF(PROVEEDORES[[#This Row],[SUBTOTAL]]&lt;PROVEEDORES[[#This Row],[base retencion]],0,PROVEEDORES[[#This Row],[retención aplicada]])</f>
        <v>0</v>
      </c>
      <c r="Q918" s="22">
        <f>+PROVEEDORES[[#This Row],[Rete Fuente %]]*(PROVEEDORES[[#This Row],[SUBTOTAL]]-PROVEEDORES[[#This Row],[descuento sobre subtotal]])</f>
        <v>0</v>
      </c>
      <c r="R918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9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63">
        <f ca="1">IF(PROVEEDORES[[#This Row],[FECHA DE PAGO]]=0,TODAY()-PROVEEDORES[[#This Row],[FECHA DE FACTURACIÓN]]-PROVEEDORES[[#This Row],[PLAZO Días]],0)</f>
        <v>0</v>
      </c>
      <c r="U918" s="104">
        <f>+VLOOKUP(PROVEEDORES[[#This Row],[PROVEEDOR]],Terceros!$A:$D,4,FALSE)</f>
        <v>0</v>
      </c>
      <c r="V918" s="105">
        <f>+YEAR(PROVEEDORES[[#This Row],[FECHA DE FACTURACIÓN]])</f>
        <v>2022</v>
      </c>
      <c r="W918" s="105">
        <f>+MATCH(PROVEEDORES[[#This Row],[año facturado]],Retenciones!$1:$1,0)</f>
        <v>5</v>
      </c>
      <c r="X918" s="106">
        <f>+VLOOKUP(PROVEEDORES[[#This Row],[ID RETENCION]],Retenciones!$A$1:$O$25,PROVEEDORES[[#This Row],[indicador de columna]],FALSE)</f>
        <v>0</v>
      </c>
      <c r="Y918" s="107">
        <f>+VLOOKUP(PROVEEDORES[[#This Row],[ID RETENCION]],Retenciones!$A$1:$O$25,2,FALSE)</f>
        <v>0</v>
      </c>
      <c r="Z918" s="116" t="b">
        <f>OR(COUNTIF(PROVEEDORES[[#This Row],[PROVEEDOR]],"*"&amp;'Palabra no opera'!$A$2&amp;"*"))</f>
        <v>0</v>
      </c>
    </row>
    <row r="919" spans="1:26" ht="22.35" customHeight="1" x14ac:dyDescent="0.3">
      <c r="A919" s="67" t="str">
        <f>+IF(PROVEEDORES[[#This Row],[FECHA DE PAGO]]=PROVEEDORES[[#This Row],[FECHA DE FACTURACIÓN]],"DE CONTADO","CRÉDITO")</f>
        <v>CRÉDITO</v>
      </c>
      <c r="B919" s="38" t="str">
        <f>+IF((PROVEEDORES[[#This Row],[FECHA DE PAGO]]-PROVEEDORES[[#This Row],[FECHA DE FACTURACIÓN]])&gt;PROVEEDORES[[#This Row],[PLAZO Días]],"PAGO VENCIDO")</f>
        <v>PAGO VENCIDO</v>
      </c>
      <c r="C919" s="20">
        <f>+VLOOKUP(PROVEEDORES[[#This Row],[PROVEEDOR]],TERCEROS_INFO[#All],2,FALSE)</f>
        <v>30</v>
      </c>
      <c r="D919" s="25">
        <f>+SUMIFS(PROVEEDORES[Total],PROVEEDORES[PROVEEDOR],PROVEEDORES[[#This Row],[PROVEEDOR]],PROVEEDORES[FECHA DE PAGO],"")</f>
        <v>2100000</v>
      </c>
      <c r="E919" s="25"/>
      <c r="F919" s="56" t="str">
        <f>+VLOOKUP(PROVEEDORES[[#This Row],[PROVEEDOR]],
                       Terceros!$A:$F,
                       5,
                       FALSE)</f>
        <v/>
      </c>
      <c r="G919" s="68">
        <v>44867</v>
      </c>
      <c r="H919" s="231" t="s">
        <v>349</v>
      </c>
      <c r="I919" s="68">
        <v>44826</v>
      </c>
      <c r="J919" s="35" t="s">
        <v>1131</v>
      </c>
      <c r="K919" s="21">
        <v>324128</v>
      </c>
      <c r="L919" s="21"/>
      <c r="M919" s="22">
        <f>(PROVEEDORES[[#This Row],[SUBTOTAL]]-PROVEEDORES[[#This Row],[descuento sobre subtotal]])*VLOOKUP(PROVEEDORES[[#This Row],[PROVEEDOR]],TERCEROS_INFO[#All],3,FALSE)</f>
        <v>0</v>
      </c>
      <c r="N919" s="23"/>
      <c r="O919" s="22">
        <f>+PROVEEDORES[[#This Row],[Descuento sobre subtotal %]]*(PROVEEDORES[[#This Row],[SUBTOTAL]]-PROVEEDORES[[#This Row],[descuento sobre subtotal]])</f>
        <v>0</v>
      </c>
      <c r="P919" s="74">
        <f>+IF(PROVEEDORES[[#This Row],[SUBTOTAL]]&lt;PROVEEDORES[[#This Row],[base retencion]],0,PROVEEDORES[[#This Row],[retención aplicada]])</f>
        <v>0</v>
      </c>
      <c r="Q919" s="22">
        <f>+PROVEEDORES[[#This Row],[Rete Fuente %]]*(PROVEEDORES[[#This Row],[SUBTOTAL]]-PROVEEDORES[[#This Row],[descuento sobre subtotal]])</f>
        <v>0</v>
      </c>
      <c r="R919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91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63">
        <f ca="1">IF(PROVEEDORES[[#This Row],[FECHA DE PAGO]]=0,TODAY()-PROVEEDORES[[#This Row],[FECHA DE FACTURACIÓN]]-PROVEEDORES[[#This Row],[PLAZO Días]],0)</f>
        <v>0</v>
      </c>
      <c r="U919" s="104">
        <f>+VLOOKUP(PROVEEDORES[[#This Row],[PROVEEDOR]],Terceros!$A:$D,4,FALSE)</f>
        <v>0</v>
      </c>
      <c r="V919" s="105">
        <f>+YEAR(PROVEEDORES[[#This Row],[FECHA DE FACTURACIÓN]])</f>
        <v>2022</v>
      </c>
      <c r="W919" s="105">
        <f>+MATCH(PROVEEDORES[[#This Row],[año facturado]],Retenciones!$1:$1,0)</f>
        <v>5</v>
      </c>
      <c r="X919" s="106">
        <f>+VLOOKUP(PROVEEDORES[[#This Row],[ID RETENCION]],Retenciones!$A$1:$O$25,PROVEEDORES[[#This Row],[indicador de columna]],FALSE)</f>
        <v>0</v>
      </c>
      <c r="Y919" s="107">
        <f>+VLOOKUP(PROVEEDORES[[#This Row],[ID RETENCION]],Retenciones!$A$1:$O$25,2,FALSE)</f>
        <v>0</v>
      </c>
      <c r="Z919" s="116" t="b">
        <f>OR(COUNTIF(PROVEEDORES[[#This Row],[PROVEEDOR]],"*"&amp;'Palabra no opera'!$A$2&amp;"*"))</f>
        <v>0</v>
      </c>
    </row>
    <row r="920" spans="1:26" ht="22.35" customHeight="1" x14ac:dyDescent="0.3">
      <c r="A920" s="196" t="str">
        <f>+IF(PROVEEDORES[[#This Row],[FECHA DE PAGO]]=PROVEEDORES[[#This Row],[FECHA DE FACTURACIÓN]],"DE CONTADO","CRÉDITO")</f>
        <v>CRÉDITO</v>
      </c>
      <c r="B920" s="38" t="str">
        <f>+IF((PROVEEDORES[[#This Row],[FECHA DE PAGO]]-PROVEEDORES[[#This Row],[FECHA DE FACTURACIÓN]])&gt;PROVEEDORES[[#This Row],[PLAZO Días]],"PAGO VENCIDO")</f>
        <v>PAGO VENCIDO</v>
      </c>
      <c r="C920" s="20">
        <f>+VLOOKUP(PROVEEDORES[[#This Row],[PROVEEDOR]],TERCEROS_INFO[#All],2,FALSE)</f>
        <v>30</v>
      </c>
      <c r="D920" s="25">
        <f>+SUMIFS(PROVEEDORES[Total],PROVEEDORES[PROVEEDOR],PROVEEDORES[[#This Row],[PROVEEDOR]],PROVEEDORES[FECHA DE PAGO],"")</f>
        <v>2100000</v>
      </c>
      <c r="E920" s="25"/>
      <c r="F920" s="56" t="str">
        <f>+VLOOKUP(PROVEEDORES[[#This Row],[PROVEEDOR]],
                       Terceros!$A:$F,
                       5,
                       FALSE)</f>
        <v/>
      </c>
      <c r="G920" s="68">
        <v>44867</v>
      </c>
      <c r="H920" s="231" t="s">
        <v>349</v>
      </c>
      <c r="I920" s="68">
        <v>44826</v>
      </c>
      <c r="J920" s="35">
        <v>2209</v>
      </c>
      <c r="K920" s="21">
        <v>364644</v>
      </c>
      <c r="L920" s="21"/>
      <c r="M920" s="22">
        <f>(PROVEEDORES[[#This Row],[SUBTOTAL]]-PROVEEDORES[[#This Row],[descuento sobre subtotal]])*VLOOKUP(PROVEEDORES[[#This Row],[PROVEEDOR]],TERCEROS_INFO[#All],3,FALSE)</f>
        <v>0</v>
      </c>
      <c r="N920" s="23"/>
      <c r="O920" s="22">
        <f>+PROVEEDORES[[#This Row],[Descuento sobre subtotal %]]*(PROVEEDORES[[#This Row],[SUBTOTAL]]-PROVEEDORES[[#This Row],[descuento sobre subtotal]])</f>
        <v>0</v>
      </c>
      <c r="P920" s="74">
        <f>+IF(PROVEEDORES[[#This Row],[SUBTOTAL]]&lt;PROVEEDORES[[#This Row],[base retencion]],0,PROVEEDORES[[#This Row],[retención aplicada]])</f>
        <v>0</v>
      </c>
      <c r="Q920" s="22">
        <f>+PROVEEDORES[[#This Row],[Rete Fuente %]]*(PROVEEDORES[[#This Row],[SUBTOTAL]]-PROVEEDORES[[#This Row],[descuento sobre subtotal]])</f>
        <v>0</v>
      </c>
      <c r="R920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92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63">
        <f ca="1">IF(PROVEEDORES[[#This Row],[FECHA DE PAGO]]=0,TODAY()-PROVEEDORES[[#This Row],[FECHA DE FACTURACIÓN]]-PROVEEDORES[[#This Row],[PLAZO Días]],0)</f>
        <v>0</v>
      </c>
      <c r="U920" s="104">
        <f>+VLOOKUP(PROVEEDORES[[#This Row],[PROVEEDOR]],Terceros!$A:$D,4,FALSE)</f>
        <v>0</v>
      </c>
      <c r="V920" s="105">
        <f>+YEAR(PROVEEDORES[[#This Row],[FECHA DE FACTURACIÓN]])</f>
        <v>2022</v>
      </c>
      <c r="W920" s="105">
        <f>+MATCH(PROVEEDORES[[#This Row],[año facturado]],Retenciones!$1:$1,0)</f>
        <v>5</v>
      </c>
      <c r="X920" s="106">
        <f>+VLOOKUP(PROVEEDORES[[#This Row],[ID RETENCION]],Retenciones!$A$1:$O$25,PROVEEDORES[[#This Row],[indicador de columna]],FALSE)</f>
        <v>0</v>
      </c>
      <c r="Y920" s="107">
        <f>+VLOOKUP(PROVEEDORES[[#This Row],[ID RETENCION]],Retenciones!$A$1:$O$25,2,FALSE)</f>
        <v>0</v>
      </c>
      <c r="Z920" s="116" t="b">
        <f>OR(COUNTIF(PROVEEDORES[[#This Row],[PROVEEDOR]],"*"&amp;'Palabra no opera'!$A$2&amp;"*"))</f>
        <v>0</v>
      </c>
    </row>
    <row r="921" spans="1:26" ht="22.35" customHeight="1" x14ac:dyDescent="0.3">
      <c r="A921" s="67" t="str">
        <f>+IF(PROVEEDORES[[#This Row],[FECHA DE PAGO]]=PROVEEDORES[[#This Row],[FECHA DE FACTURACIÓN]],"DE CONTADO","CRÉDITO")</f>
        <v>CRÉDITO</v>
      </c>
      <c r="B921" s="38" t="str">
        <f>+IF((PROVEEDORES[[#This Row],[FECHA DE PAGO]]-PROVEEDORES[[#This Row],[FECHA DE FACTURACIÓN]])&gt;PROVEEDORES[[#This Row],[PLAZO Días]],"PAGO VENCIDO")</f>
        <v>PAGO VENCIDO</v>
      </c>
      <c r="C921" s="20">
        <f>+VLOOKUP(PROVEEDORES[[#This Row],[PROVEEDOR]],TERCEROS_INFO[#All],2,FALSE)</f>
        <v>30</v>
      </c>
      <c r="D921" s="25">
        <f>+SUMIFS(PROVEEDORES[Total],PROVEEDORES[PROVEEDOR],PROVEEDORES[[#This Row],[PROVEEDOR]],PROVEEDORES[FECHA DE PAGO],"")</f>
        <v>559000</v>
      </c>
      <c r="E921" s="25"/>
      <c r="F921" s="56" t="str">
        <f>+VLOOKUP(PROVEEDORES[[#This Row],[PROVEEDOR]],
                       Terceros!$A:$F,
                       5,
                       FALSE)</f>
        <v/>
      </c>
      <c r="G921" s="68">
        <v>44867</v>
      </c>
      <c r="H921" s="231" t="s">
        <v>1133</v>
      </c>
      <c r="I921" s="68">
        <v>44820</v>
      </c>
      <c r="J921" s="35" t="s">
        <v>1134</v>
      </c>
      <c r="K921" s="21">
        <v>1942500</v>
      </c>
      <c r="L921" s="21"/>
      <c r="M921" s="22">
        <f>(PROVEEDORES[[#This Row],[SUBTOTAL]]-PROVEEDORES[[#This Row],[descuento sobre subtotal]])*VLOOKUP(PROVEEDORES[[#This Row],[PROVEEDOR]],TERCEROS_INFO[#All],3,FALSE)</f>
        <v>0</v>
      </c>
      <c r="N921" s="23">
        <v>0.34</v>
      </c>
      <c r="O921" s="22">
        <f>+PROVEEDORES[[#This Row],[Descuento sobre subtotal %]]*(PROVEEDORES[[#This Row],[SUBTOTAL]]-PROVEEDORES[[#This Row],[descuento sobre subtotal]])</f>
        <v>660450</v>
      </c>
      <c r="P921" s="74">
        <f>+IF(PROVEEDORES[[#This Row],[SUBTOTAL]]&lt;PROVEEDORES[[#This Row],[base retencion]],0,PROVEEDORES[[#This Row],[retención aplicada]])</f>
        <v>0</v>
      </c>
      <c r="Q921" s="22">
        <f>+PROVEEDORES[[#This Row],[Rete Fuente %]]*(PROVEEDORES[[#This Row],[SUBTOTAL]]-PROVEEDORES[[#This Row],[descuento sobre subtotal]])</f>
        <v>0</v>
      </c>
      <c r="R921" s="21">
        <f>+PROVEEDORES[[#This Row],[SUBTOTAL]]+PROVEEDORES[[#This Row],[IVA 19%]]-PROVEEDORES[[#This Row],[descuento sobre subtotal]]-PROVEEDORES[[#This Row],[Descuento sobre subtotal $2]]-PROVEEDORES[[#This Row],[Rete Fuente $]]</f>
        <v>1282050</v>
      </c>
      <c r="S9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63">
        <f ca="1">IF(PROVEEDORES[[#This Row],[FECHA DE PAGO]]=0,TODAY()-PROVEEDORES[[#This Row],[FECHA DE FACTURACIÓN]]-PROVEEDORES[[#This Row],[PLAZO Días]],0)</f>
        <v>0</v>
      </c>
      <c r="U921" s="104">
        <f>+VLOOKUP(PROVEEDORES[[#This Row],[PROVEEDOR]],Terceros!$A:$D,4,FALSE)</f>
        <v>0</v>
      </c>
      <c r="V921" s="105">
        <f>+YEAR(PROVEEDORES[[#This Row],[FECHA DE FACTURACIÓN]])</f>
        <v>2022</v>
      </c>
      <c r="W921" s="105">
        <f>+MATCH(PROVEEDORES[[#This Row],[año facturado]],Retenciones!$1:$1,0)</f>
        <v>5</v>
      </c>
      <c r="X921" s="106">
        <f>+VLOOKUP(PROVEEDORES[[#This Row],[ID RETENCION]],Retenciones!$A$1:$O$25,PROVEEDORES[[#This Row],[indicador de columna]],FALSE)</f>
        <v>0</v>
      </c>
      <c r="Y921" s="107">
        <f>+VLOOKUP(PROVEEDORES[[#This Row],[ID RETENCION]],Retenciones!$A$1:$O$25,2,FALSE)</f>
        <v>0</v>
      </c>
      <c r="Z921" s="116" t="b">
        <f>OR(COUNTIF(PROVEEDORES[[#This Row],[PROVEEDOR]],"*"&amp;'Palabra no opera'!$A$2&amp;"*"))</f>
        <v>0</v>
      </c>
    </row>
    <row r="922" spans="1:26" ht="22.35" customHeight="1" x14ac:dyDescent="0.3">
      <c r="A922" s="232" t="str">
        <f>+IF(PROVEEDORES[[#This Row],[FECHA DE PAGO]]=PROVEEDORES[[#This Row],[FECHA DE FACTURACIÓN]],"DE CONTADO","CRÉDITO")</f>
        <v>DE CONTADO</v>
      </c>
      <c r="B922" s="38" t="b">
        <f>+IF((PROVEEDORES[[#This Row],[FECHA DE PAGO]]-PROVEEDORES[[#This Row],[FECHA DE FACTURACIÓN]])&gt;PROVEEDORES[[#This Row],[PLAZO Días]],"PAGO VENCIDO")</f>
        <v>0</v>
      </c>
      <c r="C922" s="20">
        <f>+VLOOKUP(PROVEEDORES[[#This Row],[PROVEEDOR]],TERCEROS_INFO[#All],2,FALSE)</f>
        <v>30</v>
      </c>
      <c r="D922" s="25">
        <f>+SUMIFS(PROVEEDORES[Total],PROVEEDORES[PROVEEDOR],PROVEEDORES[[#This Row],[PROVEEDOR]],PROVEEDORES[FECHA DE PAGO],"")</f>
        <v>559000</v>
      </c>
      <c r="E922" s="25"/>
      <c r="F922" s="56" t="str">
        <f>+VLOOKUP(PROVEEDORES[[#This Row],[PROVEEDOR]],
                       Terceros!$A:$F,
                       5,
                       FALSE)</f>
        <v/>
      </c>
      <c r="G922" s="68">
        <v>44867</v>
      </c>
      <c r="H922" s="26" t="s">
        <v>1133</v>
      </c>
      <c r="I922" s="68">
        <v>44867</v>
      </c>
      <c r="J922" s="35" t="s">
        <v>1266</v>
      </c>
      <c r="K922" s="21">
        <v>240000</v>
      </c>
      <c r="L922" s="21"/>
      <c r="M922" s="22">
        <f>(PROVEEDORES[[#This Row],[SUBTOTAL]]-PROVEEDORES[[#This Row],[descuento sobre subtotal]])*VLOOKUP(PROVEEDORES[[#This Row],[PROVEEDOR]],TERCEROS_INFO[#All],3,FALSE)</f>
        <v>0</v>
      </c>
      <c r="N922" s="23"/>
      <c r="O922" s="22">
        <f>+PROVEEDORES[[#This Row],[Descuento sobre subtotal %]]*(PROVEEDORES[[#This Row],[SUBTOTAL]]-PROVEEDORES[[#This Row],[descuento sobre subtotal]])</f>
        <v>0</v>
      </c>
      <c r="P922" s="74">
        <f>+IF(PROVEEDORES[[#This Row],[SUBTOTAL]]&lt;PROVEEDORES[[#This Row],[base retencion]],0,PROVEEDORES[[#This Row],[retención aplicada]])</f>
        <v>0</v>
      </c>
      <c r="Q922" s="22">
        <f>+PROVEEDORES[[#This Row],[Rete Fuente %]]*(PROVEEDORES[[#This Row],[SUBTOTAL]]-PROVEEDORES[[#This Row],[descuento sobre subtotal]])</f>
        <v>0</v>
      </c>
      <c r="R922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92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63">
        <f ca="1">IF(PROVEEDORES[[#This Row],[FECHA DE PAGO]]=0,TODAY()-PROVEEDORES[[#This Row],[FECHA DE FACTURACIÓN]]-PROVEEDORES[[#This Row],[PLAZO Días]],0)</f>
        <v>0</v>
      </c>
      <c r="U922" s="104">
        <f>+VLOOKUP(PROVEEDORES[[#This Row],[PROVEEDOR]],Terceros!$A:$D,4,FALSE)</f>
        <v>0</v>
      </c>
      <c r="V922" s="105">
        <f>+YEAR(PROVEEDORES[[#This Row],[FECHA DE FACTURACIÓN]])</f>
        <v>2022</v>
      </c>
      <c r="W922" s="105">
        <f>+MATCH(PROVEEDORES[[#This Row],[año facturado]],Retenciones!$1:$1,0)</f>
        <v>5</v>
      </c>
      <c r="X922" s="106">
        <f>+VLOOKUP(PROVEEDORES[[#This Row],[ID RETENCION]],Retenciones!$A$1:$O$25,PROVEEDORES[[#This Row],[indicador de columna]],FALSE)</f>
        <v>0</v>
      </c>
      <c r="Y922" s="107">
        <f>+VLOOKUP(PROVEEDORES[[#This Row],[ID RETENCION]],Retenciones!$A$1:$O$25,2,FALSE)</f>
        <v>0</v>
      </c>
      <c r="Z922" s="116" t="b">
        <f>OR(COUNTIF(PROVEEDORES[[#This Row],[PROVEEDOR]],"*"&amp;'Palabra no opera'!$A$2&amp;"*"))</f>
        <v>0</v>
      </c>
    </row>
    <row r="923" spans="1:26" ht="22.35" customHeight="1" x14ac:dyDescent="0.3">
      <c r="A923" s="232" t="str">
        <f>+IF(PROVEEDORES[[#This Row],[FECHA DE PAGO]]=PROVEEDORES[[#This Row],[FECHA DE FACTURACIÓN]],"DE CONTADO","CRÉDITO")</f>
        <v>DE CONTADO</v>
      </c>
      <c r="B923" s="38" t="b">
        <f>+IF((PROVEEDORES[[#This Row],[FECHA DE PAGO]]-PROVEEDORES[[#This Row],[FECHA DE FACTURACIÓN]])&gt;PROVEEDORES[[#This Row],[PLAZO Días]],"PAGO VENCIDO")</f>
        <v>0</v>
      </c>
      <c r="C923" s="20">
        <f>+VLOOKUP(PROVEEDORES[[#This Row],[PROVEEDOR]],TERCEROS_INFO[#All],2,FALSE)</f>
        <v>30</v>
      </c>
      <c r="D923" s="25">
        <f>+SUMIFS(PROVEEDORES[Total],PROVEEDORES[PROVEEDOR],PROVEEDORES[[#This Row],[PROVEEDOR]],PROVEEDORES[FECHA DE PAGO],"")</f>
        <v>559000</v>
      </c>
      <c r="E923" s="25"/>
      <c r="F923" s="56" t="str">
        <f>+VLOOKUP(PROVEEDORES[[#This Row],[PROVEEDOR]],
                       Terceros!$A:$F,
                       5,
                       FALSE)</f>
        <v/>
      </c>
      <c r="G923" s="68">
        <v>44867</v>
      </c>
      <c r="H923" s="26" t="s">
        <v>1133</v>
      </c>
      <c r="I923" s="68">
        <v>44867</v>
      </c>
      <c r="J923" s="35" t="s">
        <v>1268</v>
      </c>
      <c r="K923" s="21">
        <v>630000</v>
      </c>
      <c r="L923" s="21"/>
      <c r="M923" s="22">
        <f>(PROVEEDORES[[#This Row],[SUBTOTAL]]-PROVEEDORES[[#This Row],[descuento sobre subtotal]])*VLOOKUP(PROVEEDORES[[#This Row],[PROVEEDOR]],TERCEROS_INFO[#All],3,FALSE)</f>
        <v>0</v>
      </c>
      <c r="N923" s="23"/>
      <c r="O923" s="22">
        <f>+PROVEEDORES[[#This Row],[Descuento sobre subtotal %]]*(PROVEEDORES[[#This Row],[SUBTOTAL]]-PROVEEDORES[[#This Row],[descuento sobre subtotal]])</f>
        <v>0</v>
      </c>
      <c r="P923" s="74">
        <f>+IF(PROVEEDORES[[#This Row],[SUBTOTAL]]&lt;PROVEEDORES[[#This Row],[base retencion]],0,PROVEEDORES[[#This Row],[retención aplicada]])</f>
        <v>0</v>
      </c>
      <c r="Q923" s="22">
        <f>+PROVEEDORES[[#This Row],[Rete Fuente %]]*(PROVEEDORES[[#This Row],[SUBTOTAL]]-PROVEEDORES[[#This Row],[descuento sobre subtotal]])</f>
        <v>0</v>
      </c>
      <c r="R923" s="21">
        <f>+PROVEEDORES[[#This Row],[SUBTOTAL]]+PROVEEDORES[[#This Row],[IVA 19%]]-PROVEEDORES[[#This Row],[descuento sobre subtotal]]-PROVEEDORES[[#This Row],[Descuento sobre subtotal $2]]-PROVEEDORES[[#This Row],[Rete Fuente $]]</f>
        <v>630000</v>
      </c>
      <c r="S923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63">
        <f ca="1">IF(PROVEEDORES[[#This Row],[FECHA DE PAGO]]=0,TODAY()-PROVEEDORES[[#This Row],[FECHA DE FACTURACIÓN]]-PROVEEDORES[[#This Row],[PLAZO Días]],0)</f>
        <v>0</v>
      </c>
      <c r="U923" s="104">
        <f>+VLOOKUP(PROVEEDORES[[#This Row],[PROVEEDOR]],Terceros!$A:$D,4,FALSE)</f>
        <v>0</v>
      </c>
      <c r="V923" s="105">
        <f>+YEAR(PROVEEDORES[[#This Row],[FECHA DE FACTURACIÓN]])</f>
        <v>2022</v>
      </c>
      <c r="W923" s="105">
        <f>+MATCH(PROVEEDORES[[#This Row],[año facturado]],Retenciones!$1:$1,0)</f>
        <v>5</v>
      </c>
      <c r="X923" s="106">
        <f>+VLOOKUP(PROVEEDORES[[#This Row],[ID RETENCION]],Retenciones!$A$1:$O$25,PROVEEDORES[[#This Row],[indicador de columna]],FALSE)</f>
        <v>0</v>
      </c>
      <c r="Y923" s="107">
        <f>+VLOOKUP(PROVEEDORES[[#This Row],[ID RETENCION]],Retenciones!$A$1:$O$25,2,FALSE)</f>
        <v>0</v>
      </c>
      <c r="Z923" s="116" t="b">
        <f>OR(COUNTIF(PROVEEDORES[[#This Row],[PROVEEDOR]],"*"&amp;'Palabra no opera'!$A$2&amp;"*"))</f>
        <v>0</v>
      </c>
    </row>
    <row r="924" spans="1:26" ht="22.35" customHeight="1" x14ac:dyDescent="0.3">
      <c r="A924" s="67" t="str">
        <f>+IF(PROVEEDORES[[#This Row],[FECHA DE PAGO]]=PROVEEDORES[[#This Row],[FECHA DE FACTURACIÓN]],"DE CONTADO","CRÉDITO")</f>
        <v>CRÉDITO</v>
      </c>
      <c r="B924" s="38" t="str">
        <f>+IF((PROVEEDORES[[#This Row],[FECHA DE PAGO]]-PROVEEDORES[[#This Row],[FECHA DE FACTURACIÓN]])&gt;PROVEEDORES[[#This Row],[PLAZO Días]],"PAGO VENCIDO")</f>
        <v>PAGO VENCIDO</v>
      </c>
      <c r="C924" s="20">
        <f>+VLOOKUP(PROVEEDORES[[#This Row],[PROVEEDOR]],TERCEROS_INFO[#All],2,FALSE)</f>
        <v>30</v>
      </c>
      <c r="D924" s="25">
        <f>+SUMIFS(PROVEEDORES[Total],PROVEEDORES[PROVEEDOR],PROVEEDORES[[#This Row],[PROVEEDOR]],PROVEEDORES[FECHA DE PAGO],"")</f>
        <v>0</v>
      </c>
      <c r="E924" s="25"/>
      <c r="F924" s="56" t="str">
        <f>+VLOOKUP(PROVEEDORES[[#This Row],[PROVEEDOR]],
                       Terceros!$A:$F,
                       5,
                       FALSE)</f>
        <v/>
      </c>
      <c r="G924" s="68">
        <v>44867</v>
      </c>
      <c r="H924" s="231" t="s">
        <v>401</v>
      </c>
      <c r="I924" s="68">
        <v>44828</v>
      </c>
      <c r="J924" s="35" t="s">
        <v>1127</v>
      </c>
      <c r="K924" s="21">
        <v>1580500</v>
      </c>
      <c r="L924" s="21"/>
      <c r="M924" s="22">
        <f>(PROVEEDORES[[#This Row],[SUBTOTAL]]-PROVEEDORES[[#This Row],[descuento sobre subtotal]])*VLOOKUP(PROVEEDORES[[#This Row],[PROVEEDOR]],TERCEROS_INFO[#All],3,FALSE)</f>
        <v>0</v>
      </c>
      <c r="N924" s="23"/>
      <c r="O924" s="22">
        <f>+PROVEEDORES[[#This Row],[Descuento sobre subtotal %]]*(PROVEEDORES[[#This Row],[SUBTOTAL]]-PROVEEDORES[[#This Row],[descuento sobre subtotal]])</f>
        <v>0</v>
      </c>
      <c r="P924" s="74">
        <f>+IF(PROVEEDORES[[#This Row],[SUBTOTAL]]&lt;PROVEEDORES[[#This Row],[base retencion]],0,PROVEEDORES[[#This Row],[retención aplicada]])</f>
        <v>0</v>
      </c>
      <c r="Q924" s="22">
        <f>+PROVEEDORES[[#This Row],[Rete Fuente %]]*(PROVEEDORES[[#This Row],[SUBTOTAL]]-PROVEEDORES[[#This Row],[descuento sobre subtotal]])</f>
        <v>0</v>
      </c>
      <c r="R924" s="21">
        <f>+PROVEEDORES[[#This Row],[SUBTOTAL]]+PROVEEDORES[[#This Row],[IVA 19%]]-PROVEEDORES[[#This Row],[descuento sobre subtotal]]-PROVEEDORES[[#This Row],[Descuento sobre subtotal $2]]-PROVEEDORES[[#This Row],[Rete Fuente $]]</f>
        <v>1580500</v>
      </c>
      <c r="S9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63">
        <f ca="1">IF(PROVEEDORES[[#This Row],[FECHA DE PAGO]]=0,TODAY()-PROVEEDORES[[#This Row],[FECHA DE FACTURACIÓN]]-PROVEEDORES[[#This Row],[PLAZO Días]],0)</f>
        <v>0</v>
      </c>
      <c r="U924" s="104">
        <f>+VLOOKUP(PROVEEDORES[[#This Row],[PROVEEDOR]],Terceros!$A:$D,4,FALSE)</f>
        <v>0</v>
      </c>
      <c r="V924" s="105">
        <f>+YEAR(PROVEEDORES[[#This Row],[FECHA DE FACTURACIÓN]])</f>
        <v>2022</v>
      </c>
      <c r="W924" s="105">
        <f>+MATCH(PROVEEDORES[[#This Row],[año facturado]],Retenciones!$1:$1,0)</f>
        <v>5</v>
      </c>
      <c r="X924" s="106">
        <f>+VLOOKUP(PROVEEDORES[[#This Row],[ID RETENCION]],Retenciones!$A$1:$O$25,PROVEEDORES[[#This Row],[indicador de columna]],FALSE)</f>
        <v>0</v>
      </c>
      <c r="Y924" s="107">
        <f>+VLOOKUP(PROVEEDORES[[#This Row],[ID RETENCION]],Retenciones!$A$1:$O$25,2,FALSE)</f>
        <v>0</v>
      </c>
      <c r="Z924" s="116" t="b">
        <f>OR(COUNTIF(PROVEEDORES[[#This Row],[PROVEEDOR]],"*"&amp;'Palabra no opera'!$A$2&amp;"*"))</f>
        <v>0</v>
      </c>
    </row>
    <row r="925" spans="1:26" ht="22.35" customHeight="1" x14ac:dyDescent="0.3">
      <c r="A925" s="182" t="str">
        <f>+IF(PROVEEDORES[[#This Row],[FECHA DE PAGO]]=PROVEEDORES[[#This Row],[FECHA DE FACTURACIÓN]],"DE CONTADO","CRÉDITO")</f>
        <v>CRÉDITO</v>
      </c>
      <c r="B925" s="38" t="str">
        <f>+IF((PROVEEDORES[[#This Row],[FECHA DE PAGO]]-PROVEEDORES[[#This Row],[FECHA DE FACTURACIÓN]])&gt;PROVEEDORES[[#This Row],[PLAZO Días]],"PAGO VENCIDO")</f>
        <v>PAGO VENCIDO</v>
      </c>
      <c r="C925" s="20">
        <f>+VLOOKUP(PROVEEDORES[[#This Row],[PROVEEDOR]],TERCEROS_INFO[#All],2,FALSE)</f>
        <v>30</v>
      </c>
      <c r="D925" s="25">
        <f>+SUMIFS(PROVEEDORES[Total],PROVEEDORES[PROVEEDOR],PROVEEDORES[[#This Row],[PROVEEDOR]],PROVEEDORES[FECHA DE PAGO],"")</f>
        <v>4282200</v>
      </c>
      <c r="E925" s="25"/>
      <c r="F925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25" s="68">
        <v>44867</v>
      </c>
      <c r="H925" s="231" t="s">
        <v>406</v>
      </c>
      <c r="I925" s="68">
        <v>44781</v>
      </c>
      <c r="J925" s="35" t="s">
        <v>953</v>
      </c>
      <c r="K925" s="21">
        <v>49400</v>
      </c>
      <c r="L925" s="21"/>
      <c r="M925" s="22">
        <f>(PROVEEDORES[[#This Row],[SUBTOTAL]]-PROVEEDORES[[#This Row],[descuento sobre subtotal]])*VLOOKUP(PROVEEDORES[[#This Row],[PROVEEDOR]],TERCEROS_INFO[#All],3,FALSE)</f>
        <v>0</v>
      </c>
      <c r="N925" s="23"/>
      <c r="O925" s="22">
        <f>+PROVEEDORES[[#This Row],[Descuento sobre subtotal %]]*(PROVEEDORES[[#This Row],[SUBTOTAL]]-PROVEEDORES[[#This Row],[descuento sobre subtotal]])</f>
        <v>0</v>
      </c>
      <c r="P925" s="74">
        <f>+IF(PROVEEDORES[[#This Row],[SUBTOTAL]]&lt;PROVEEDORES[[#This Row],[base retencion]],0,PROVEEDORES[[#This Row],[retención aplicada]])</f>
        <v>0</v>
      </c>
      <c r="Q925" s="22">
        <f>+PROVEEDORES[[#This Row],[Rete Fuente %]]*(PROVEEDORES[[#This Row],[SUBTOTAL]]-PROVEEDORES[[#This Row],[descuento sobre subtotal]])</f>
        <v>0</v>
      </c>
      <c r="R925" s="21">
        <f>+PROVEEDORES[[#This Row],[SUBTOTAL]]+PROVEEDORES[[#This Row],[IVA 19%]]-PROVEEDORES[[#This Row],[descuento sobre subtotal]]-PROVEEDORES[[#This Row],[Descuento sobre subtotal $2]]-PROVEEDORES[[#This Row],[Rete Fuente $]]</f>
        <v>49400</v>
      </c>
      <c r="S92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63">
        <f ca="1">IF(PROVEEDORES[[#This Row],[FECHA DE PAGO]]=0,TODAY()-PROVEEDORES[[#This Row],[FECHA DE FACTURACIÓN]]-PROVEEDORES[[#This Row],[PLAZO Días]],0)</f>
        <v>0</v>
      </c>
      <c r="U925" s="104">
        <f>+VLOOKUP(PROVEEDORES[[#This Row],[PROVEEDOR]],Terceros!$A:$D,4,FALSE)</f>
        <v>0</v>
      </c>
      <c r="V925" s="105">
        <f>+YEAR(PROVEEDORES[[#This Row],[FECHA DE FACTURACIÓN]])</f>
        <v>2022</v>
      </c>
      <c r="W925" s="105">
        <f>+MATCH(PROVEEDORES[[#This Row],[año facturado]],Retenciones!$1:$1,0)</f>
        <v>5</v>
      </c>
      <c r="X925" s="106">
        <f>+VLOOKUP(PROVEEDORES[[#This Row],[ID RETENCION]],Retenciones!$A$1:$O$25,PROVEEDORES[[#This Row],[indicador de columna]],FALSE)</f>
        <v>0</v>
      </c>
      <c r="Y925" s="107">
        <f>+VLOOKUP(PROVEEDORES[[#This Row],[ID RETENCION]],Retenciones!$A$1:$O$25,2,FALSE)</f>
        <v>0</v>
      </c>
      <c r="Z925" s="116" t="b">
        <f>OR(COUNTIF(PROVEEDORES[[#This Row],[PROVEEDOR]],"*"&amp;'Palabra no opera'!$A$2&amp;"*"))</f>
        <v>0</v>
      </c>
    </row>
    <row r="926" spans="1:26" ht="22.35" customHeight="1" x14ac:dyDescent="0.3">
      <c r="A926" s="182" t="str">
        <f>+IF(PROVEEDORES[[#This Row],[FECHA DE PAGO]]=PROVEEDORES[[#This Row],[FECHA DE FACTURACIÓN]],"DE CONTADO","CRÉDITO")</f>
        <v>CRÉDITO</v>
      </c>
      <c r="B926" s="38" t="str">
        <f>+IF((PROVEEDORES[[#This Row],[FECHA DE PAGO]]-PROVEEDORES[[#This Row],[FECHA DE FACTURACIÓN]])&gt;PROVEEDORES[[#This Row],[PLAZO Días]],"PAGO VENCIDO")</f>
        <v>PAGO VENCIDO</v>
      </c>
      <c r="C926" s="20">
        <f>+VLOOKUP(PROVEEDORES[[#This Row],[PROVEEDOR]],TERCEROS_INFO[#All],2,FALSE)</f>
        <v>30</v>
      </c>
      <c r="D926" s="25">
        <f>+SUMIFS(PROVEEDORES[Total],PROVEEDORES[PROVEEDOR],PROVEEDORES[[#This Row],[PROVEEDOR]],PROVEEDORES[FECHA DE PAGO],"")</f>
        <v>4282200</v>
      </c>
      <c r="E926" s="25"/>
      <c r="F926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26" s="68">
        <v>44867</v>
      </c>
      <c r="H926" s="231" t="s">
        <v>406</v>
      </c>
      <c r="I926" s="68">
        <v>44781</v>
      </c>
      <c r="J926" s="35" t="s">
        <v>961</v>
      </c>
      <c r="K926" s="21">
        <v>353500</v>
      </c>
      <c r="L926" s="21"/>
      <c r="M926" s="22">
        <f>(PROVEEDORES[[#This Row],[SUBTOTAL]]-PROVEEDORES[[#This Row],[descuento sobre subtotal]])*VLOOKUP(PROVEEDORES[[#This Row],[PROVEEDOR]],TERCEROS_INFO[#All],3,FALSE)</f>
        <v>0</v>
      </c>
      <c r="N926" s="23"/>
      <c r="O926" s="22">
        <f>+PROVEEDORES[[#This Row],[Descuento sobre subtotal %]]*(PROVEEDORES[[#This Row],[SUBTOTAL]]-PROVEEDORES[[#This Row],[descuento sobre subtotal]])</f>
        <v>0</v>
      </c>
      <c r="P926" s="74">
        <f>+IF(PROVEEDORES[[#This Row],[SUBTOTAL]]&lt;PROVEEDORES[[#This Row],[base retencion]],0,PROVEEDORES[[#This Row],[retención aplicada]])</f>
        <v>0</v>
      </c>
      <c r="Q926" s="22">
        <f>+PROVEEDORES[[#This Row],[Rete Fuente %]]*(PROVEEDORES[[#This Row],[SUBTOTAL]]-PROVEEDORES[[#This Row],[descuento sobre subtotal]])</f>
        <v>0</v>
      </c>
      <c r="R926" s="21">
        <f>+PROVEEDORES[[#This Row],[SUBTOTAL]]+PROVEEDORES[[#This Row],[IVA 19%]]-PROVEEDORES[[#This Row],[descuento sobre subtotal]]-PROVEEDORES[[#This Row],[Descuento sobre subtotal $2]]-PROVEEDORES[[#This Row],[Rete Fuente $]]</f>
        <v>353500</v>
      </c>
      <c r="S92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63">
        <f ca="1">IF(PROVEEDORES[[#This Row],[FECHA DE PAGO]]=0,TODAY()-PROVEEDORES[[#This Row],[FECHA DE FACTURACIÓN]]-PROVEEDORES[[#This Row],[PLAZO Días]],0)</f>
        <v>0</v>
      </c>
      <c r="U926" s="104">
        <f>+VLOOKUP(PROVEEDORES[[#This Row],[PROVEEDOR]],Terceros!$A:$D,4,FALSE)</f>
        <v>0</v>
      </c>
      <c r="V926" s="105">
        <f>+YEAR(PROVEEDORES[[#This Row],[FECHA DE FACTURACIÓN]])</f>
        <v>2022</v>
      </c>
      <c r="W926" s="105">
        <f>+MATCH(PROVEEDORES[[#This Row],[año facturado]],Retenciones!$1:$1,0)</f>
        <v>5</v>
      </c>
      <c r="X926" s="106">
        <f>+VLOOKUP(PROVEEDORES[[#This Row],[ID RETENCION]],Retenciones!$A$1:$O$25,PROVEEDORES[[#This Row],[indicador de columna]],FALSE)</f>
        <v>0</v>
      </c>
      <c r="Y926" s="107">
        <f>+VLOOKUP(PROVEEDORES[[#This Row],[ID RETENCION]],Retenciones!$A$1:$O$25,2,FALSE)</f>
        <v>0</v>
      </c>
      <c r="Z926" s="116" t="b">
        <f>OR(COUNTIF(PROVEEDORES[[#This Row],[PROVEEDOR]],"*"&amp;'Palabra no opera'!$A$2&amp;"*"))</f>
        <v>0</v>
      </c>
    </row>
    <row r="927" spans="1:26" ht="22.35" customHeight="1" x14ac:dyDescent="0.3">
      <c r="A927" s="182" t="str">
        <f>+IF(PROVEEDORES[[#This Row],[FECHA DE PAGO]]=PROVEEDORES[[#This Row],[FECHA DE FACTURACIÓN]],"DE CONTADO","CRÉDITO")</f>
        <v>CRÉDITO</v>
      </c>
      <c r="B927" s="38" t="str">
        <f>+IF((PROVEEDORES[[#This Row],[FECHA DE PAGO]]-PROVEEDORES[[#This Row],[FECHA DE FACTURACIÓN]])&gt;PROVEEDORES[[#This Row],[PLAZO Días]],"PAGO VENCIDO")</f>
        <v>PAGO VENCIDO</v>
      </c>
      <c r="C927" s="20">
        <f>+VLOOKUP(PROVEEDORES[[#This Row],[PROVEEDOR]],TERCEROS_INFO[#All],2,FALSE)</f>
        <v>30</v>
      </c>
      <c r="D927" s="25">
        <f>+SUMIFS(PROVEEDORES[Total],PROVEEDORES[PROVEEDOR],PROVEEDORES[[#This Row],[PROVEEDOR]],PROVEEDORES[FECHA DE PAGO],"")</f>
        <v>4282200</v>
      </c>
      <c r="E927" s="25"/>
      <c r="F927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27" s="68">
        <v>44867</v>
      </c>
      <c r="H927" s="231" t="s">
        <v>406</v>
      </c>
      <c r="I927" s="68">
        <v>44781</v>
      </c>
      <c r="J927" s="35" t="s">
        <v>960</v>
      </c>
      <c r="K927" s="21">
        <v>3047250</v>
      </c>
      <c r="L927" s="21"/>
      <c r="M927" s="22">
        <f>(PROVEEDORES[[#This Row],[SUBTOTAL]]-PROVEEDORES[[#This Row],[descuento sobre subtotal]])*VLOOKUP(PROVEEDORES[[#This Row],[PROVEEDOR]],TERCEROS_INFO[#All],3,FALSE)</f>
        <v>0</v>
      </c>
      <c r="N927" s="23"/>
      <c r="O927" s="22">
        <f>+PROVEEDORES[[#This Row],[Descuento sobre subtotal %]]*(PROVEEDORES[[#This Row],[SUBTOTAL]]-PROVEEDORES[[#This Row],[descuento sobre subtotal]])</f>
        <v>0</v>
      </c>
      <c r="P927" s="74">
        <f>+IF(PROVEEDORES[[#This Row],[SUBTOTAL]]&lt;PROVEEDORES[[#This Row],[base retencion]],0,PROVEEDORES[[#This Row],[retención aplicada]])</f>
        <v>0</v>
      </c>
      <c r="Q927" s="22">
        <f>+PROVEEDORES[[#This Row],[Rete Fuente %]]*(PROVEEDORES[[#This Row],[SUBTOTAL]]-PROVEEDORES[[#This Row],[descuento sobre subtotal]])</f>
        <v>0</v>
      </c>
      <c r="R927" s="21">
        <f>+PROVEEDORES[[#This Row],[SUBTOTAL]]+PROVEEDORES[[#This Row],[IVA 19%]]-PROVEEDORES[[#This Row],[descuento sobre subtotal]]-PROVEEDORES[[#This Row],[Descuento sobre subtotal $2]]-PROVEEDORES[[#This Row],[Rete Fuente $]]</f>
        <v>3047250</v>
      </c>
      <c r="S92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63">
        <f ca="1">IF(PROVEEDORES[[#This Row],[FECHA DE PAGO]]=0,TODAY()-PROVEEDORES[[#This Row],[FECHA DE FACTURACIÓN]]-PROVEEDORES[[#This Row],[PLAZO Días]],0)</f>
        <v>0</v>
      </c>
      <c r="U927" s="104">
        <f>+VLOOKUP(PROVEEDORES[[#This Row],[PROVEEDOR]],Terceros!$A:$D,4,FALSE)</f>
        <v>0</v>
      </c>
      <c r="V927" s="105">
        <f>+YEAR(PROVEEDORES[[#This Row],[FECHA DE FACTURACIÓN]])</f>
        <v>2022</v>
      </c>
      <c r="W927" s="105">
        <f>+MATCH(PROVEEDORES[[#This Row],[año facturado]],Retenciones!$1:$1,0)</f>
        <v>5</v>
      </c>
      <c r="X927" s="106">
        <f>+VLOOKUP(PROVEEDORES[[#This Row],[ID RETENCION]],Retenciones!$A$1:$O$25,PROVEEDORES[[#This Row],[indicador de columna]],FALSE)</f>
        <v>0</v>
      </c>
      <c r="Y927" s="107">
        <f>+VLOOKUP(PROVEEDORES[[#This Row],[ID RETENCION]],Retenciones!$A$1:$O$25,2,FALSE)</f>
        <v>0</v>
      </c>
      <c r="Z927" s="116" t="b">
        <f>OR(COUNTIF(PROVEEDORES[[#This Row],[PROVEEDOR]],"*"&amp;'Palabra no opera'!$A$2&amp;"*"))</f>
        <v>0</v>
      </c>
    </row>
    <row r="928" spans="1:26" ht="22.35" customHeight="1" x14ac:dyDescent="0.3">
      <c r="A928" s="222" t="str">
        <f>+IF(PROVEEDORES[[#This Row],[FECHA DE PAGO]]=PROVEEDORES[[#This Row],[FECHA DE FACTURACIÓN]],"DE CONTADO","CRÉDITO")</f>
        <v>CRÉDITO</v>
      </c>
      <c r="B928" s="38" t="str">
        <f>+IF((PROVEEDORES[[#This Row],[FECHA DE PAGO]]-PROVEEDORES[[#This Row],[FECHA DE FACTURACIÓN]])&gt;PROVEEDORES[[#This Row],[PLAZO Días]],"PAGO VENCIDO")</f>
        <v>PAGO VENCIDO</v>
      </c>
      <c r="C928" s="20">
        <f>+VLOOKUP(PROVEEDORES[[#This Row],[PROVEEDOR]],TERCEROS_INFO[#All],2,FALSE)</f>
        <v>30</v>
      </c>
      <c r="D928" s="25">
        <f>+SUMIFS(PROVEEDORES[Total],PROVEEDORES[PROVEEDOR],PROVEEDORES[[#This Row],[PROVEEDOR]],PROVEEDORES[FECHA DE PAGO],"")</f>
        <v>17870934.149999999</v>
      </c>
      <c r="E928" s="25"/>
      <c r="F92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28" s="68">
        <v>44867</v>
      </c>
      <c r="H928" s="26" t="s">
        <v>18</v>
      </c>
      <c r="I928" s="68">
        <v>44825</v>
      </c>
      <c r="J928" s="35">
        <v>1059417</v>
      </c>
      <c r="K928" s="21">
        <v>708017.10000000009</v>
      </c>
      <c r="L928" s="21"/>
      <c r="M928" s="22">
        <f>(PROVEEDORES[[#This Row],[SUBTOTAL]]-PROVEEDORES[[#This Row],[descuento sobre subtotal]])*VLOOKUP(PROVEEDORES[[#This Row],[PROVEEDOR]],TERCEROS_INFO[#All],3,FALSE)</f>
        <v>134523.24900000001</v>
      </c>
      <c r="N928" s="23"/>
      <c r="O928" s="22">
        <f>+PROVEEDORES[[#This Row],[Descuento sobre subtotal %]]*(PROVEEDORES[[#This Row],[SUBTOTAL]]-PROVEEDORES[[#This Row],[descuento sobre subtotal]])</f>
        <v>0</v>
      </c>
      <c r="P928" s="74">
        <f>+IF(PROVEEDORES[[#This Row],[SUBTOTAL]]&lt;PROVEEDORES[[#This Row],[base retencion]],0,PROVEEDORES[[#This Row],[retención aplicada]])</f>
        <v>0</v>
      </c>
      <c r="Q928" s="22">
        <f>+PROVEEDORES[[#This Row],[Rete Fuente %]]*(PROVEEDORES[[#This Row],[SUBTOTAL]]-PROVEEDORES[[#This Row],[descuento sobre subtotal]])</f>
        <v>0</v>
      </c>
      <c r="R928" s="21">
        <f>+PROVEEDORES[[#This Row],[SUBTOTAL]]+PROVEEDORES[[#This Row],[IVA 19%]]-PROVEEDORES[[#This Row],[descuento sobre subtotal]]-PROVEEDORES[[#This Row],[Descuento sobre subtotal $2]]-PROVEEDORES[[#This Row],[Rete Fuente $]]</f>
        <v>842540.34900000016</v>
      </c>
      <c r="S928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63">
        <f ca="1">IF(PROVEEDORES[[#This Row],[FECHA DE PAGO]]=0,TODAY()-PROVEEDORES[[#This Row],[FECHA DE FACTURACIÓN]]-PROVEEDORES[[#This Row],[PLAZO Días]],0)</f>
        <v>0</v>
      </c>
      <c r="U928" s="104" t="str">
        <f>+VLOOKUP(PROVEEDORES[[#This Row],[PROVEEDOR]],Terceros!$A:$D,4,FALSE)</f>
        <v>2,5% con base</v>
      </c>
      <c r="V928" s="105">
        <f>+YEAR(PROVEEDORES[[#This Row],[FECHA DE FACTURACIÓN]])</f>
        <v>2022</v>
      </c>
      <c r="W928" s="105">
        <f>+MATCH(PROVEEDORES[[#This Row],[año facturado]],Retenciones!$1:$1,0)</f>
        <v>5</v>
      </c>
      <c r="X928" s="106">
        <f>+VLOOKUP(PROVEEDORES[[#This Row],[ID RETENCION]],Retenciones!$A$1:$O$25,PROVEEDORES[[#This Row],[indicador de columna]],FALSE)</f>
        <v>1026000</v>
      </c>
      <c r="Y928" s="107">
        <f>+VLOOKUP(PROVEEDORES[[#This Row],[ID RETENCION]],Retenciones!$A$1:$O$25,2,FALSE)</f>
        <v>2.5000000000000001E-2</v>
      </c>
      <c r="Z928" s="116" t="b">
        <f>OR(COUNTIF(PROVEEDORES[[#This Row],[PROVEEDOR]],"*"&amp;'Palabra no opera'!$A$2&amp;"*"))</f>
        <v>0</v>
      </c>
    </row>
    <row r="929" spans="1:26" ht="22.35" customHeight="1" x14ac:dyDescent="0.3">
      <c r="A929" s="222" t="str">
        <f>+IF(PROVEEDORES[[#This Row],[FECHA DE PAGO]]=PROVEEDORES[[#This Row],[FECHA DE FACTURACIÓN]],"DE CONTADO","CRÉDITO")</f>
        <v>CRÉDITO</v>
      </c>
      <c r="B929" s="38" t="str">
        <f>+IF((PROVEEDORES[[#This Row],[FECHA DE PAGO]]-PROVEEDORES[[#This Row],[FECHA DE FACTURACIÓN]])&gt;PROVEEDORES[[#This Row],[PLAZO Días]],"PAGO VENCIDO")</f>
        <v>PAGO VENCIDO</v>
      </c>
      <c r="C929" s="20">
        <f>+VLOOKUP(PROVEEDORES[[#This Row],[PROVEEDOR]],TERCEROS_INFO[#All],2,FALSE)</f>
        <v>30</v>
      </c>
      <c r="D929" s="25">
        <f>+SUMIFS(PROVEEDORES[Total],PROVEEDORES[PROVEEDOR],PROVEEDORES[[#This Row],[PROVEEDOR]],PROVEEDORES[FECHA DE PAGO],"")</f>
        <v>17870934.149999999</v>
      </c>
      <c r="E929" s="25"/>
      <c r="F92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29" s="68">
        <v>44867</v>
      </c>
      <c r="H929" s="26" t="s">
        <v>18</v>
      </c>
      <c r="I929" s="68">
        <v>44826</v>
      </c>
      <c r="J929" s="35">
        <v>1059481</v>
      </c>
      <c r="K929" s="21">
        <v>324128</v>
      </c>
      <c r="L929" s="21"/>
      <c r="M929" s="22">
        <f>(PROVEEDORES[[#This Row],[SUBTOTAL]]-PROVEEDORES[[#This Row],[descuento sobre subtotal]])*VLOOKUP(PROVEEDORES[[#This Row],[PROVEEDOR]],TERCEROS_INFO[#All],3,FALSE)</f>
        <v>61584.32</v>
      </c>
      <c r="N929" s="23"/>
      <c r="O929" s="22">
        <f>+PROVEEDORES[[#This Row],[Descuento sobre subtotal %]]*(PROVEEDORES[[#This Row],[SUBTOTAL]]-PROVEEDORES[[#This Row],[descuento sobre subtotal]])</f>
        <v>0</v>
      </c>
      <c r="P929" s="74">
        <f>+IF(PROVEEDORES[[#This Row],[SUBTOTAL]]&lt;PROVEEDORES[[#This Row],[base retencion]],0,PROVEEDORES[[#This Row],[retención aplicada]])</f>
        <v>0</v>
      </c>
      <c r="Q929" s="22">
        <f>+PROVEEDORES[[#This Row],[Rete Fuente %]]*(PROVEEDORES[[#This Row],[SUBTOTAL]]-PROVEEDORES[[#This Row],[descuento sobre subtotal]])</f>
        <v>0</v>
      </c>
      <c r="R929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929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63">
        <f ca="1">IF(PROVEEDORES[[#This Row],[FECHA DE PAGO]]=0,TODAY()-PROVEEDORES[[#This Row],[FECHA DE FACTURACIÓN]]-PROVEEDORES[[#This Row],[PLAZO Días]],0)</f>
        <v>0</v>
      </c>
      <c r="U929" s="104" t="str">
        <f>+VLOOKUP(PROVEEDORES[[#This Row],[PROVEEDOR]],Terceros!$A:$D,4,FALSE)</f>
        <v>2,5% con base</v>
      </c>
      <c r="V929" s="105">
        <f>+YEAR(PROVEEDORES[[#This Row],[FECHA DE FACTURACIÓN]])</f>
        <v>2022</v>
      </c>
      <c r="W929" s="105">
        <f>+MATCH(PROVEEDORES[[#This Row],[año facturado]],Retenciones!$1:$1,0)</f>
        <v>5</v>
      </c>
      <c r="X929" s="106">
        <f>+VLOOKUP(PROVEEDORES[[#This Row],[ID RETENCION]],Retenciones!$A$1:$O$25,PROVEEDORES[[#This Row],[indicador de columna]],FALSE)</f>
        <v>1026000</v>
      </c>
      <c r="Y929" s="107">
        <f>+VLOOKUP(PROVEEDORES[[#This Row],[ID RETENCION]],Retenciones!$A$1:$O$25,2,FALSE)</f>
        <v>2.5000000000000001E-2</v>
      </c>
      <c r="Z929" s="116" t="b">
        <f>OR(COUNTIF(PROVEEDORES[[#This Row],[PROVEEDOR]],"*"&amp;'Palabra no opera'!$A$2&amp;"*"))</f>
        <v>0</v>
      </c>
    </row>
    <row r="930" spans="1:26" ht="22.35" customHeight="1" x14ac:dyDescent="0.3">
      <c r="A930" s="67" t="str">
        <f>+IF(PROVEEDORES[[#This Row],[FECHA DE PAGO]]=PROVEEDORES[[#This Row],[FECHA DE FACTURACIÓN]],"DE CONTADO","CRÉDITO")</f>
        <v>CRÉDITO</v>
      </c>
      <c r="B930" s="38" t="str">
        <f>+IF((PROVEEDORES[[#This Row],[FECHA DE PAGO]]-PROVEEDORES[[#This Row],[FECHA DE FACTURACIÓN]])&gt;PROVEEDORES[[#This Row],[PLAZO Días]],"PAGO VENCIDO")</f>
        <v>PAGO VENCIDO</v>
      </c>
      <c r="C930" s="20">
        <f>+VLOOKUP(PROVEEDORES[[#This Row],[PROVEEDOR]],TERCEROS_INFO[#All],2,FALSE)</f>
        <v>30</v>
      </c>
      <c r="D930" s="25">
        <f>+SUMIFS(PROVEEDORES[Total],PROVEEDORES[PROVEEDOR],PROVEEDORES[[#This Row],[PROVEEDOR]],PROVEEDORES[FECHA DE PAGO],"")</f>
        <v>17870934.149999999</v>
      </c>
      <c r="E930" s="25"/>
      <c r="F93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30" s="68">
        <v>44867</v>
      </c>
      <c r="H930" s="26" t="s">
        <v>18</v>
      </c>
      <c r="I930" s="68">
        <v>44834</v>
      </c>
      <c r="J930" s="35" t="s">
        <v>1188</v>
      </c>
      <c r="K930" s="21">
        <v>2262854</v>
      </c>
      <c r="L930" s="21"/>
      <c r="M930" s="22">
        <f>(PROVEEDORES[[#This Row],[SUBTOTAL]]-PROVEEDORES[[#This Row],[descuento sobre subtotal]])*VLOOKUP(PROVEEDORES[[#This Row],[PROVEEDOR]],TERCEROS_INFO[#All],3,FALSE)</f>
        <v>429942.26</v>
      </c>
      <c r="N930" s="23"/>
      <c r="O930" s="22">
        <f>+PROVEEDORES[[#This Row],[Descuento sobre subtotal %]]*(PROVEEDORES[[#This Row],[SUBTOTAL]]-PROVEEDORES[[#This Row],[descuento sobre subtotal]])</f>
        <v>0</v>
      </c>
      <c r="P930" s="74">
        <f>+IF(PROVEEDORES[[#This Row],[SUBTOTAL]]&lt;PROVEEDORES[[#This Row],[base retencion]],0,PROVEEDORES[[#This Row],[retención aplicada]])</f>
        <v>2.5000000000000001E-2</v>
      </c>
      <c r="Q930" s="22">
        <f>+PROVEEDORES[[#This Row],[Rete Fuente %]]*(PROVEEDORES[[#This Row],[SUBTOTAL]]-PROVEEDORES[[#This Row],[descuento sobre subtotal]])</f>
        <v>56571.350000000006</v>
      </c>
      <c r="R930" s="21">
        <f>+PROVEEDORES[[#This Row],[SUBTOTAL]]+PROVEEDORES[[#This Row],[IVA 19%]]-PROVEEDORES[[#This Row],[descuento sobre subtotal]]-PROVEEDORES[[#This Row],[Descuento sobre subtotal $2]]-PROVEEDORES[[#This Row],[Rete Fuente $]]</f>
        <v>2636224.9099999997</v>
      </c>
      <c r="S9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63">
        <f ca="1">IF(PROVEEDORES[[#This Row],[FECHA DE PAGO]]=0,TODAY()-PROVEEDORES[[#This Row],[FECHA DE FACTURACIÓN]]-PROVEEDORES[[#This Row],[PLAZO Días]],0)</f>
        <v>0</v>
      </c>
      <c r="U930" s="104" t="str">
        <f>+VLOOKUP(PROVEEDORES[[#This Row],[PROVEEDOR]],Terceros!$A:$D,4,FALSE)</f>
        <v>2,5% con base</v>
      </c>
      <c r="V930" s="105">
        <f>+YEAR(PROVEEDORES[[#This Row],[FECHA DE FACTURACIÓN]])</f>
        <v>2022</v>
      </c>
      <c r="W930" s="105">
        <f>+MATCH(PROVEEDORES[[#This Row],[año facturado]],Retenciones!$1:$1,0)</f>
        <v>5</v>
      </c>
      <c r="X930" s="106">
        <f>+VLOOKUP(PROVEEDORES[[#This Row],[ID RETENCION]],Retenciones!$A$1:$O$25,PROVEEDORES[[#This Row],[indicador de columna]],FALSE)</f>
        <v>1026000</v>
      </c>
      <c r="Y930" s="107">
        <f>+VLOOKUP(PROVEEDORES[[#This Row],[ID RETENCION]],Retenciones!$A$1:$O$25,2,FALSE)</f>
        <v>2.5000000000000001E-2</v>
      </c>
      <c r="Z930" s="116" t="b">
        <f>OR(COUNTIF(PROVEEDORES[[#This Row],[PROVEEDOR]],"*"&amp;'Palabra no opera'!$A$2&amp;"*"))</f>
        <v>0</v>
      </c>
    </row>
    <row r="931" spans="1:26" ht="22.35" customHeight="1" x14ac:dyDescent="0.3">
      <c r="A931" s="67" t="str">
        <f>+IF(PROVEEDORES[[#This Row],[FECHA DE PAGO]]=PROVEEDORES[[#This Row],[FECHA DE FACTURACIÓN]],"DE CONTADO","CRÉDITO")</f>
        <v>CRÉDITO</v>
      </c>
      <c r="B931" s="38" t="str">
        <f>+IF((PROVEEDORES[[#This Row],[FECHA DE PAGO]]-PROVEEDORES[[#This Row],[FECHA DE FACTURACIÓN]])&gt;PROVEEDORES[[#This Row],[PLAZO Días]],"PAGO VENCIDO")</f>
        <v>PAGO VENCIDO</v>
      </c>
      <c r="C931" s="20">
        <f>+VLOOKUP(PROVEEDORES[[#This Row],[PROVEEDOR]],TERCEROS_INFO[#All],2,FALSE)</f>
        <v>30</v>
      </c>
      <c r="D931" s="25">
        <f>+SUMIFS(PROVEEDORES[Total],PROVEEDORES[PROVEEDOR],PROVEEDORES[[#This Row],[PROVEEDOR]],PROVEEDORES[FECHA DE PAGO],"")</f>
        <v>0</v>
      </c>
      <c r="E931" s="25"/>
      <c r="F931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931" s="68">
        <v>44867</v>
      </c>
      <c r="H931" s="26" t="s">
        <v>169</v>
      </c>
      <c r="I931" s="68">
        <v>44767</v>
      </c>
      <c r="J931" s="35">
        <v>74</v>
      </c>
      <c r="K931" s="21">
        <v>3790390</v>
      </c>
      <c r="L931" s="21"/>
      <c r="M931" s="22">
        <f>(PROVEEDORES[[#This Row],[SUBTOTAL]]-PROVEEDORES[[#This Row],[descuento sobre subtotal]])*VLOOKUP(PROVEEDORES[[#This Row],[PROVEEDOR]],TERCEROS_INFO[#All],3,FALSE)</f>
        <v>720174.1</v>
      </c>
      <c r="N931" s="23"/>
      <c r="O931" s="22">
        <f>+PROVEEDORES[[#This Row],[Descuento sobre subtotal %]]*(PROVEEDORES[[#This Row],[SUBTOTAL]]-PROVEEDORES[[#This Row],[descuento sobre subtotal]])</f>
        <v>0</v>
      </c>
      <c r="P931" s="74">
        <f>+IF(PROVEEDORES[[#This Row],[SUBTOTAL]]&lt;PROVEEDORES[[#This Row],[base retencion]],0,PROVEEDORES[[#This Row],[retención aplicada]])</f>
        <v>2.5000000000000001E-2</v>
      </c>
      <c r="Q931" s="22">
        <f>+PROVEEDORES[[#This Row],[Rete Fuente %]]*(PROVEEDORES[[#This Row],[SUBTOTAL]]-PROVEEDORES[[#This Row],[descuento sobre subtotal]])</f>
        <v>94759.75</v>
      </c>
      <c r="R931" s="21">
        <f>+PROVEEDORES[[#This Row],[SUBTOTAL]]+PROVEEDORES[[#This Row],[IVA 19%]]-PROVEEDORES[[#This Row],[descuento sobre subtotal]]-PROVEEDORES[[#This Row],[Descuento sobre subtotal $2]]-PROVEEDORES[[#This Row],[Rete Fuente $]]</f>
        <v>4415804.3499999996</v>
      </c>
      <c r="S9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63">
        <f ca="1">IF(PROVEEDORES[[#This Row],[FECHA DE PAGO]]=0,TODAY()-PROVEEDORES[[#This Row],[FECHA DE FACTURACIÓN]]-PROVEEDORES[[#This Row],[PLAZO Días]],0)</f>
        <v>0</v>
      </c>
      <c r="U931" s="104" t="str">
        <f>+VLOOKUP(PROVEEDORES[[#This Row],[PROVEEDOR]],Terceros!$A:$D,4,FALSE)</f>
        <v>2,5% con base</v>
      </c>
      <c r="V931" s="105">
        <f>+YEAR(PROVEEDORES[[#This Row],[FECHA DE FACTURACIÓN]])</f>
        <v>2022</v>
      </c>
      <c r="W931" s="105">
        <f>+MATCH(PROVEEDORES[[#This Row],[año facturado]],Retenciones!$1:$1,0)</f>
        <v>5</v>
      </c>
      <c r="X931" s="106">
        <f>+VLOOKUP(PROVEEDORES[[#This Row],[ID RETENCION]],Retenciones!$A$1:$O$25,PROVEEDORES[[#This Row],[indicador de columna]],FALSE)</f>
        <v>1026000</v>
      </c>
      <c r="Y931" s="107">
        <f>+VLOOKUP(PROVEEDORES[[#This Row],[ID RETENCION]],Retenciones!$A$1:$O$25,2,FALSE)</f>
        <v>2.5000000000000001E-2</v>
      </c>
      <c r="Z931" s="116" t="b">
        <f>OR(COUNTIF(PROVEEDORES[[#This Row],[PROVEEDOR]],"*"&amp;'Palabra no opera'!$A$2&amp;"*"))</f>
        <v>0</v>
      </c>
    </row>
    <row r="932" spans="1:26" ht="22.35" customHeight="1" x14ac:dyDescent="0.3">
      <c r="A932" s="67" t="str">
        <f>+IF(PROVEEDORES[[#This Row],[FECHA DE PAGO]]=PROVEEDORES[[#This Row],[FECHA DE FACTURACIÓN]],"DE CONTADO","CRÉDITO")</f>
        <v>CRÉDITO</v>
      </c>
      <c r="B932" s="38" t="str">
        <f>+IF((PROVEEDORES[[#This Row],[FECHA DE PAGO]]-PROVEEDORES[[#This Row],[FECHA DE FACTURACIÓN]])&gt;PROVEEDORES[[#This Row],[PLAZO Días]],"PAGO VENCIDO")</f>
        <v>PAGO VENCIDO</v>
      </c>
      <c r="C932" s="20">
        <f>+VLOOKUP(PROVEEDORES[[#This Row],[PROVEEDOR]],TERCEROS_INFO[#All],2,FALSE)</f>
        <v>30</v>
      </c>
      <c r="D932" s="25">
        <f>+SUMIFS(PROVEEDORES[Total],PROVEEDORES[PROVEEDOR],PROVEEDORES[[#This Row],[PROVEEDOR]],PROVEEDORES[FECHA DE PAGO],"")</f>
        <v>0</v>
      </c>
      <c r="E932" s="25"/>
      <c r="F932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932" s="68">
        <v>44867</v>
      </c>
      <c r="H932" s="26" t="s">
        <v>247</v>
      </c>
      <c r="I932" s="68">
        <v>44767</v>
      </c>
      <c r="J932" s="35">
        <v>157</v>
      </c>
      <c r="K932" s="21">
        <v>4849845</v>
      </c>
      <c r="L932" s="21"/>
      <c r="M932" s="22">
        <f>(PROVEEDORES[[#This Row],[SUBTOTAL]]-PROVEEDORES[[#This Row],[descuento sobre subtotal]])*VLOOKUP(PROVEEDORES[[#This Row],[PROVEEDOR]],TERCEROS_INFO[#All],3,FALSE)</f>
        <v>921470.55</v>
      </c>
      <c r="N932" s="23"/>
      <c r="O932" s="22">
        <f>+PROVEEDORES[[#This Row],[Descuento sobre subtotal %]]*(PROVEEDORES[[#This Row],[SUBTOTAL]]-PROVEEDORES[[#This Row],[descuento sobre subtotal]])</f>
        <v>0</v>
      </c>
      <c r="P932" s="74">
        <f>+IF(PROVEEDORES[[#This Row],[SUBTOTAL]]&lt;PROVEEDORES[[#This Row],[base retencion]],0,PROVEEDORES[[#This Row],[retención aplicada]])</f>
        <v>2.5000000000000001E-2</v>
      </c>
      <c r="Q932" s="22">
        <f>+PROVEEDORES[[#This Row],[Rete Fuente %]]*(PROVEEDORES[[#This Row],[SUBTOTAL]]-PROVEEDORES[[#This Row],[descuento sobre subtotal]])</f>
        <v>121246.125</v>
      </c>
      <c r="R932" s="21">
        <f>+PROVEEDORES[[#This Row],[SUBTOTAL]]+PROVEEDORES[[#This Row],[IVA 19%]]-PROVEEDORES[[#This Row],[descuento sobre subtotal]]-PROVEEDORES[[#This Row],[Descuento sobre subtotal $2]]-PROVEEDORES[[#This Row],[Rete Fuente $]]</f>
        <v>5650069.4249999998</v>
      </c>
      <c r="S9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63">
        <f ca="1">IF(PROVEEDORES[[#This Row],[FECHA DE PAGO]]=0,TODAY()-PROVEEDORES[[#This Row],[FECHA DE FACTURACIÓN]]-PROVEEDORES[[#This Row],[PLAZO Días]],0)</f>
        <v>0</v>
      </c>
      <c r="U932" s="104" t="str">
        <f>+VLOOKUP(PROVEEDORES[[#This Row],[PROVEEDOR]],Terceros!$A:$D,4,FALSE)</f>
        <v>2,5% con base</v>
      </c>
      <c r="V932" s="105">
        <f>+YEAR(PROVEEDORES[[#This Row],[FECHA DE FACTURACIÓN]])</f>
        <v>2022</v>
      </c>
      <c r="W932" s="105">
        <f>+MATCH(PROVEEDORES[[#This Row],[año facturado]],Retenciones!$1:$1,0)</f>
        <v>5</v>
      </c>
      <c r="X932" s="106">
        <f>+VLOOKUP(PROVEEDORES[[#This Row],[ID RETENCION]],Retenciones!$A$1:$O$25,PROVEEDORES[[#This Row],[indicador de columna]],FALSE)</f>
        <v>1026000</v>
      </c>
      <c r="Y932" s="107">
        <f>+VLOOKUP(PROVEEDORES[[#This Row],[ID RETENCION]],Retenciones!$A$1:$O$25,2,FALSE)</f>
        <v>2.5000000000000001E-2</v>
      </c>
      <c r="Z932" s="116" t="b">
        <f>OR(COUNTIF(PROVEEDORES[[#This Row],[PROVEEDOR]],"*"&amp;'Palabra no opera'!$A$2&amp;"*"))</f>
        <v>0</v>
      </c>
    </row>
    <row r="933" spans="1:26" ht="22.35" customHeight="1" x14ac:dyDescent="0.3">
      <c r="A933" s="67" t="str">
        <f>+IF(PROVEEDORES[[#This Row],[FECHA DE PAGO]]=PROVEEDORES[[#This Row],[FECHA DE FACTURACIÓN]],"DE CONTADO","CRÉDITO")</f>
        <v>CRÉDITO</v>
      </c>
      <c r="B933" s="38" t="str">
        <f>+IF((PROVEEDORES[[#This Row],[FECHA DE PAGO]]-PROVEEDORES[[#This Row],[FECHA DE FACTURACIÓN]])&gt;PROVEEDORES[[#This Row],[PLAZO Días]],"PAGO VENCIDO")</f>
        <v>PAGO VENCIDO</v>
      </c>
      <c r="C933" s="20">
        <f>+VLOOKUP(PROVEEDORES[[#This Row],[PROVEEDOR]],TERCEROS_INFO[#All],2,FALSE)</f>
        <v>30</v>
      </c>
      <c r="D933" s="25">
        <f>+SUMIFS(PROVEEDORES[Total],PROVEEDORES[PROVEEDOR],PROVEEDORES[[#This Row],[PROVEEDOR]],PROVEEDORES[FECHA DE PAGO],"")</f>
        <v>1125118.8199999998</v>
      </c>
      <c r="E933" s="25"/>
      <c r="F933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933" s="68">
        <v>44867</v>
      </c>
      <c r="H933" s="26" t="s">
        <v>279</v>
      </c>
      <c r="I933" s="68">
        <v>44824</v>
      </c>
      <c r="J933" s="35" t="s">
        <v>1126</v>
      </c>
      <c r="K933" s="21">
        <v>324128</v>
      </c>
      <c r="L933" s="21"/>
      <c r="M933" s="22">
        <f>(PROVEEDORES[[#This Row],[SUBTOTAL]]-PROVEEDORES[[#This Row],[descuento sobre subtotal]])*VLOOKUP(PROVEEDORES[[#This Row],[PROVEEDOR]],TERCEROS_INFO[#All],3,FALSE)</f>
        <v>61584.32</v>
      </c>
      <c r="N933" s="23"/>
      <c r="O933" s="22">
        <f>+PROVEEDORES[[#This Row],[Descuento sobre subtotal %]]*(PROVEEDORES[[#This Row],[SUBTOTAL]]-PROVEEDORES[[#This Row],[descuento sobre subtotal]])</f>
        <v>0</v>
      </c>
      <c r="P933" s="74">
        <f>+IF(PROVEEDORES[[#This Row],[SUBTOTAL]]&lt;PROVEEDORES[[#This Row],[base retencion]],0,PROVEEDORES[[#This Row],[retención aplicada]])</f>
        <v>0</v>
      </c>
      <c r="Q933" s="22">
        <f>+PROVEEDORES[[#This Row],[Rete Fuente %]]*(PROVEEDORES[[#This Row],[SUBTOTAL]]-PROVEEDORES[[#This Row],[descuento sobre subtotal]])</f>
        <v>0</v>
      </c>
      <c r="R933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9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63">
        <f ca="1">IF(PROVEEDORES[[#This Row],[FECHA DE PAGO]]=0,TODAY()-PROVEEDORES[[#This Row],[FECHA DE FACTURACIÓN]]-PROVEEDORES[[#This Row],[PLAZO Días]],0)</f>
        <v>0</v>
      </c>
      <c r="U933" s="104" t="str">
        <f>+VLOOKUP(PROVEEDORES[[#This Row],[PROVEEDOR]],Terceros!$A:$D,4,FALSE)</f>
        <v>2,5% con base</v>
      </c>
      <c r="V933" s="105">
        <f>+YEAR(PROVEEDORES[[#This Row],[FECHA DE FACTURACIÓN]])</f>
        <v>2022</v>
      </c>
      <c r="W933" s="105">
        <f>+MATCH(PROVEEDORES[[#This Row],[año facturado]],Retenciones!$1:$1,0)</f>
        <v>5</v>
      </c>
      <c r="X933" s="106">
        <f>+VLOOKUP(PROVEEDORES[[#This Row],[ID RETENCION]],Retenciones!$A$1:$O$25,PROVEEDORES[[#This Row],[indicador de columna]],FALSE)</f>
        <v>1026000</v>
      </c>
      <c r="Y933" s="107">
        <f>+VLOOKUP(PROVEEDORES[[#This Row],[ID RETENCION]],Retenciones!$A$1:$O$25,2,FALSE)</f>
        <v>2.5000000000000001E-2</v>
      </c>
      <c r="Z933" s="116" t="b">
        <f>OR(COUNTIF(PROVEEDORES[[#This Row],[PROVEEDOR]],"*"&amp;'Palabra no opera'!$A$2&amp;"*"))</f>
        <v>0</v>
      </c>
    </row>
    <row r="934" spans="1:26" ht="22.35" customHeight="1" x14ac:dyDescent="0.3">
      <c r="A934" s="175" t="str">
        <f>+IF(PROVEEDORES[[#This Row],[FECHA DE PAGO]]=PROVEEDORES[[#This Row],[FECHA DE FACTURACIÓN]],"DE CONTADO","CRÉDITO")</f>
        <v>CRÉDITO</v>
      </c>
      <c r="B934" s="38" t="str">
        <f>+IF((PROVEEDORES[[#This Row],[FECHA DE PAGO]]-PROVEEDORES[[#This Row],[FECHA DE FACTURACIÓN]])&gt;PROVEEDORES[[#This Row],[PLAZO Días]],"PAGO VENCIDO")</f>
        <v>PAGO VENCIDO</v>
      </c>
      <c r="C934" s="20">
        <f>+VLOOKUP(PROVEEDORES[[#This Row],[PROVEEDOR]],TERCEROS_INFO[#All],2,FALSE)</f>
        <v>30</v>
      </c>
      <c r="D934" s="25">
        <f>+SUMIFS(PROVEEDORES[Total],PROVEEDORES[PROVEEDOR],PROVEEDORES[[#This Row],[PROVEEDOR]],PROVEEDORES[FECHA DE PAGO],"")</f>
        <v>10321993.199999999</v>
      </c>
      <c r="E934" s="25"/>
      <c r="F934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34" s="68">
        <v>44867</v>
      </c>
      <c r="H934" s="26" t="s">
        <v>1068</v>
      </c>
      <c r="I934" s="68">
        <v>44783</v>
      </c>
      <c r="J934" s="35">
        <v>26977</v>
      </c>
      <c r="K934" s="21">
        <v>2580000</v>
      </c>
      <c r="L934" s="21"/>
      <c r="M934" s="22">
        <f>(PROVEEDORES[[#This Row],[SUBTOTAL]]-PROVEEDORES[[#This Row],[descuento sobre subtotal]])*VLOOKUP(PROVEEDORES[[#This Row],[PROVEEDOR]],TERCEROS_INFO[#All],3,FALSE)</f>
        <v>490200</v>
      </c>
      <c r="N934" s="23"/>
      <c r="O934" s="22">
        <f>+PROVEEDORES[[#This Row],[Descuento sobre subtotal %]]*(PROVEEDORES[[#This Row],[SUBTOTAL]]-PROVEEDORES[[#This Row],[descuento sobre subtotal]])</f>
        <v>0</v>
      </c>
      <c r="P934" s="74">
        <f>+IF(PROVEEDORES[[#This Row],[SUBTOTAL]]&lt;PROVEEDORES[[#This Row],[base retencion]],0,PROVEEDORES[[#This Row],[retención aplicada]])</f>
        <v>2.5000000000000001E-2</v>
      </c>
      <c r="Q934" s="22">
        <f>+PROVEEDORES[[#This Row],[Rete Fuente %]]*(PROVEEDORES[[#This Row],[SUBTOTAL]]-PROVEEDORES[[#This Row],[descuento sobre subtotal]])</f>
        <v>64500</v>
      </c>
      <c r="R934" s="21">
        <f>+PROVEEDORES[[#This Row],[SUBTOTAL]]+PROVEEDORES[[#This Row],[IVA 19%]]-PROVEEDORES[[#This Row],[descuento sobre subtotal]]-PROVEEDORES[[#This Row],[Descuento sobre subtotal $2]]-PROVEEDORES[[#This Row],[Rete Fuente $]]</f>
        <v>3005700</v>
      </c>
      <c r="S934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63">
        <f ca="1">IF(PROVEEDORES[[#This Row],[FECHA DE PAGO]]=0,TODAY()-PROVEEDORES[[#This Row],[FECHA DE FACTURACIÓN]]-PROVEEDORES[[#This Row],[PLAZO Días]],0)</f>
        <v>0</v>
      </c>
      <c r="U934" s="104" t="str">
        <f>+VLOOKUP(PROVEEDORES[[#This Row],[PROVEEDOR]],Terceros!$A:$D,4,FALSE)</f>
        <v>2,5% con base</v>
      </c>
      <c r="V934" s="105">
        <f>+YEAR(PROVEEDORES[[#This Row],[FECHA DE FACTURACIÓN]])</f>
        <v>2022</v>
      </c>
      <c r="W934" s="105">
        <f>+MATCH(PROVEEDORES[[#This Row],[año facturado]],Retenciones!$1:$1,0)</f>
        <v>5</v>
      </c>
      <c r="X934" s="106">
        <f>+VLOOKUP(PROVEEDORES[[#This Row],[ID RETENCION]],Retenciones!$A$1:$O$25,PROVEEDORES[[#This Row],[indicador de columna]],FALSE)</f>
        <v>1026000</v>
      </c>
      <c r="Y934" s="107">
        <f>+VLOOKUP(PROVEEDORES[[#This Row],[ID RETENCION]],Retenciones!$A$1:$O$25,2,FALSE)</f>
        <v>2.5000000000000001E-2</v>
      </c>
      <c r="Z934" s="116" t="b">
        <f>OR(COUNTIF(PROVEEDORES[[#This Row],[PROVEEDOR]],"*"&amp;'Palabra no opera'!$A$2&amp;"*"))</f>
        <v>0</v>
      </c>
    </row>
    <row r="935" spans="1:26" ht="22.35" customHeight="1" x14ac:dyDescent="0.3">
      <c r="A935" s="182" t="str">
        <f>+IF(PROVEEDORES[[#This Row],[FECHA DE PAGO]]=PROVEEDORES[[#This Row],[FECHA DE FACTURACIÓN]],"DE CONTADO","CRÉDITO")</f>
        <v>CRÉDITO</v>
      </c>
      <c r="B935" s="38" t="str">
        <f>+IF((PROVEEDORES[[#This Row],[FECHA DE PAGO]]-PROVEEDORES[[#This Row],[FECHA DE FACTURACIÓN]])&gt;PROVEEDORES[[#This Row],[PLAZO Días]],"PAGO VENCIDO")</f>
        <v>PAGO VENCIDO</v>
      </c>
      <c r="C935" s="20">
        <f>+VLOOKUP(PROVEEDORES[[#This Row],[PROVEEDOR]],TERCEROS_INFO[#All],2,FALSE)</f>
        <v>30</v>
      </c>
      <c r="D935" s="25">
        <f>+SUMIFS(PROVEEDORES[Total],PROVEEDORES[PROVEEDOR],PROVEEDORES[[#This Row],[PROVEEDOR]],PROVEEDORES[FECHA DE PAGO],"")</f>
        <v>10321993.199999999</v>
      </c>
      <c r="E935" s="25"/>
      <c r="F935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35" s="68">
        <v>44867</v>
      </c>
      <c r="H935" s="26" t="s">
        <v>1068</v>
      </c>
      <c r="I935" s="68">
        <v>44800</v>
      </c>
      <c r="J935" s="35">
        <v>27150</v>
      </c>
      <c r="K935" s="21">
        <v>414000</v>
      </c>
      <c r="L935" s="21"/>
      <c r="M935" s="22">
        <f>(PROVEEDORES[[#This Row],[SUBTOTAL]]-PROVEEDORES[[#This Row],[descuento sobre subtotal]])*VLOOKUP(PROVEEDORES[[#This Row],[PROVEEDOR]],TERCEROS_INFO[#All],3,FALSE)</f>
        <v>78660</v>
      </c>
      <c r="N935" s="23"/>
      <c r="O935" s="22">
        <f>+PROVEEDORES[[#This Row],[Descuento sobre subtotal %]]*(PROVEEDORES[[#This Row],[SUBTOTAL]]-PROVEEDORES[[#This Row],[descuento sobre subtotal]])</f>
        <v>0</v>
      </c>
      <c r="P935" s="74">
        <f>+IF(PROVEEDORES[[#This Row],[SUBTOTAL]]&lt;PROVEEDORES[[#This Row],[base retencion]],0,PROVEEDORES[[#This Row],[retención aplicada]])</f>
        <v>0</v>
      </c>
      <c r="Q935" s="22">
        <f>+PROVEEDORES[[#This Row],[Rete Fuente %]]*(PROVEEDORES[[#This Row],[SUBTOTAL]]-PROVEEDORES[[#This Row],[descuento sobre subtotal]])</f>
        <v>0</v>
      </c>
      <c r="R935" s="21">
        <f>+PROVEEDORES[[#This Row],[SUBTOTAL]]+PROVEEDORES[[#This Row],[IVA 19%]]-PROVEEDORES[[#This Row],[descuento sobre subtotal]]-PROVEEDORES[[#This Row],[Descuento sobre subtotal $2]]-PROVEEDORES[[#This Row],[Rete Fuente $]]</f>
        <v>492660</v>
      </c>
      <c r="S93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63">
        <f ca="1">IF(PROVEEDORES[[#This Row],[FECHA DE PAGO]]=0,TODAY()-PROVEEDORES[[#This Row],[FECHA DE FACTURACIÓN]]-PROVEEDORES[[#This Row],[PLAZO Días]],0)</f>
        <v>0</v>
      </c>
      <c r="U935" s="104" t="str">
        <f>+VLOOKUP(PROVEEDORES[[#This Row],[PROVEEDOR]],Terceros!$A:$D,4,FALSE)</f>
        <v>2,5% con base</v>
      </c>
      <c r="V935" s="105">
        <f>+YEAR(PROVEEDORES[[#This Row],[FECHA DE FACTURACIÓN]])</f>
        <v>2022</v>
      </c>
      <c r="W935" s="105">
        <f>+MATCH(PROVEEDORES[[#This Row],[año facturado]],Retenciones!$1:$1,0)</f>
        <v>5</v>
      </c>
      <c r="X935" s="106">
        <f>+VLOOKUP(PROVEEDORES[[#This Row],[ID RETENCION]],Retenciones!$A$1:$O$25,PROVEEDORES[[#This Row],[indicador de columna]],FALSE)</f>
        <v>1026000</v>
      </c>
      <c r="Y935" s="107">
        <f>+VLOOKUP(PROVEEDORES[[#This Row],[ID RETENCION]],Retenciones!$A$1:$O$25,2,FALSE)</f>
        <v>2.5000000000000001E-2</v>
      </c>
      <c r="Z935" s="116" t="b">
        <f>OR(COUNTIF(PROVEEDORES[[#This Row],[PROVEEDOR]],"*"&amp;'Palabra no opera'!$A$2&amp;"*"))</f>
        <v>0</v>
      </c>
    </row>
    <row r="936" spans="1:26" ht="22.35" customHeight="1" x14ac:dyDescent="0.3">
      <c r="A936" s="67" t="str">
        <f>+IF(PROVEEDORES[[#This Row],[FECHA DE PAGO]]=PROVEEDORES[[#This Row],[FECHA DE FACTURACIÓN]],"DE CONTADO","CRÉDITO")</f>
        <v>CRÉDITO</v>
      </c>
      <c r="B936" s="38" t="str">
        <f>+IF((PROVEEDORES[[#This Row],[FECHA DE PAGO]]-PROVEEDORES[[#This Row],[FECHA DE FACTURACIÓN]])&gt;PROVEEDORES[[#This Row],[PLAZO Días]],"PAGO VENCIDO")</f>
        <v>PAGO VENCIDO</v>
      </c>
      <c r="C936" s="20">
        <f>+VLOOKUP(PROVEEDORES[[#This Row],[PROVEEDOR]],TERCEROS_INFO[#All],2,FALSE)</f>
        <v>30</v>
      </c>
      <c r="D936" s="25">
        <f>+SUMIFS(PROVEEDORES[Total],PROVEEDORES[PROVEEDOR],PROVEEDORES[[#This Row],[PROVEEDOR]],PROVEEDORES[FECHA DE PAGO],"")</f>
        <v>10321993.199999999</v>
      </c>
      <c r="E936" s="25"/>
      <c r="F936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36" s="68">
        <v>44867</v>
      </c>
      <c r="H936" s="26" t="s">
        <v>1068</v>
      </c>
      <c r="I936" s="68">
        <v>44831</v>
      </c>
      <c r="J936" s="35">
        <v>27542</v>
      </c>
      <c r="K936" s="21">
        <v>1044000</v>
      </c>
      <c r="L936" s="21"/>
      <c r="M936" s="22">
        <f>(PROVEEDORES[[#This Row],[SUBTOTAL]]-PROVEEDORES[[#This Row],[descuento sobre subtotal]])*VLOOKUP(PROVEEDORES[[#This Row],[PROVEEDOR]],TERCEROS_INFO[#All],3,FALSE)</f>
        <v>198360</v>
      </c>
      <c r="N936" s="23"/>
      <c r="O936" s="22">
        <f>+PROVEEDORES[[#This Row],[Descuento sobre subtotal %]]*(PROVEEDORES[[#This Row],[SUBTOTAL]]-PROVEEDORES[[#This Row],[descuento sobre subtotal]])</f>
        <v>0</v>
      </c>
      <c r="P936" s="74">
        <f>+IF(PROVEEDORES[[#This Row],[SUBTOTAL]]&lt;PROVEEDORES[[#This Row],[base retencion]],0,PROVEEDORES[[#This Row],[retención aplicada]])</f>
        <v>2.5000000000000001E-2</v>
      </c>
      <c r="Q936" s="22">
        <f>+PROVEEDORES[[#This Row],[Rete Fuente %]]*(PROVEEDORES[[#This Row],[SUBTOTAL]]-PROVEEDORES[[#This Row],[descuento sobre subtotal]])</f>
        <v>26100</v>
      </c>
      <c r="R936" s="21">
        <f>+PROVEEDORES[[#This Row],[SUBTOTAL]]+PROVEEDORES[[#This Row],[IVA 19%]]-PROVEEDORES[[#This Row],[descuento sobre subtotal]]-PROVEEDORES[[#This Row],[Descuento sobre subtotal $2]]-PROVEEDORES[[#This Row],[Rete Fuente $]]</f>
        <v>1216260</v>
      </c>
      <c r="S93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63">
        <f ca="1">IF(PROVEEDORES[[#This Row],[FECHA DE PAGO]]=0,TODAY()-PROVEEDORES[[#This Row],[FECHA DE FACTURACIÓN]]-PROVEEDORES[[#This Row],[PLAZO Días]],0)</f>
        <v>0</v>
      </c>
      <c r="U936" s="104" t="str">
        <f>+VLOOKUP(PROVEEDORES[[#This Row],[PROVEEDOR]],Terceros!$A:$D,4,FALSE)</f>
        <v>2,5% con base</v>
      </c>
      <c r="V936" s="105">
        <f>+YEAR(PROVEEDORES[[#This Row],[FECHA DE FACTURACIÓN]])</f>
        <v>2022</v>
      </c>
      <c r="W936" s="105">
        <f>+MATCH(PROVEEDORES[[#This Row],[año facturado]],Retenciones!$1:$1,0)</f>
        <v>5</v>
      </c>
      <c r="X936" s="106">
        <f>+VLOOKUP(PROVEEDORES[[#This Row],[ID RETENCION]],Retenciones!$A$1:$O$25,PROVEEDORES[[#This Row],[indicador de columna]],FALSE)</f>
        <v>1026000</v>
      </c>
      <c r="Y936" s="107">
        <f>+VLOOKUP(PROVEEDORES[[#This Row],[ID RETENCION]],Retenciones!$A$1:$O$25,2,FALSE)</f>
        <v>2.5000000000000001E-2</v>
      </c>
      <c r="Z936" s="116" t="b">
        <f>OR(COUNTIF(PROVEEDORES[[#This Row],[PROVEEDOR]],"*"&amp;'Palabra no opera'!$A$2&amp;"*"))</f>
        <v>0</v>
      </c>
    </row>
    <row r="937" spans="1:26" ht="22.35" customHeight="1" x14ac:dyDescent="0.3">
      <c r="A937" s="222" t="str">
        <f>+IF(PROVEEDORES[[#This Row],[FECHA DE PAGO]]=PROVEEDORES[[#This Row],[FECHA DE FACTURACIÓN]],"DE CONTADO","CRÉDITO")</f>
        <v>CRÉDITO</v>
      </c>
      <c r="B937" s="38" t="str">
        <f>+IF((PROVEEDORES[[#This Row],[FECHA DE PAGO]]-PROVEEDORES[[#This Row],[FECHA DE FACTURACIÓN]])&gt;PROVEEDORES[[#This Row],[PLAZO Días]],"PAGO VENCIDO")</f>
        <v>PAGO VENCIDO</v>
      </c>
      <c r="C937" s="20">
        <f>+VLOOKUP(PROVEEDORES[[#This Row],[PROVEEDOR]],TERCEROS_INFO[#All],2,FALSE)</f>
        <v>45</v>
      </c>
      <c r="D937" s="25">
        <f>+SUMIFS(PROVEEDORES[Total],PROVEEDORES[PROVEEDOR],PROVEEDORES[[#This Row],[PROVEEDOR]],PROVEEDORES[FECHA DE PAGO],"")</f>
        <v>8072960</v>
      </c>
      <c r="E937" s="25"/>
      <c r="F937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37" s="68">
        <v>44867</v>
      </c>
      <c r="H937" s="26" t="s">
        <v>10</v>
      </c>
      <c r="I937" s="68">
        <v>44811</v>
      </c>
      <c r="J937" s="35" t="s">
        <v>1170</v>
      </c>
      <c r="K937" s="21">
        <v>1185000</v>
      </c>
      <c r="L937" s="21"/>
      <c r="M937" s="22">
        <f>(PROVEEDORES[[#This Row],[SUBTOTAL]]-PROVEEDORES[[#This Row],[descuento sobre subtotal]])*VLOOKUP(PROVEEDORES[[#This Row],[PROVEEDOR]],TERCEROS_INFO[#All],3,FALSE)</f>
        <v>225150</v>
      </c>
      <c r="N937" s="23"/>
      <c r="O937" s="22">
        <f>+PROVEEDORES[[#This Row],[Descuento sobre subtotal %]]*(PROVEEDORES[[#This Row],[SUBTOTAL]]-PROVEEDORES[[#This Row],[descuento sobre subtotal]])</f>
        <v>0</v>
      </c>
      <c r="P937" s="74">
        <f>+IF(PROVEEDORES[[#This Row],[SUBTOTAL]]&lt;PROVEEDORES[[#This Row],[base retencion]],0,PROVEEDORES[[#This Row],[retención aplicada]])</f>
        <v>0</v>
      </c>
      <c r="Q937" s="22">
        <f>+PROVEEDORES[[#This Row],[Rete Fuente %]]*(PROVEEDORES[[#This Row],[SUBTOTAL]]-PROVEEDORES[[#This Row],[descuento sobre subtotal]])</f>
        <v>0</v>
      </c>
      <c r="R937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937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63">
        <f ca="1">IF(PROVEEDORES[[#This Row],[FECHA DE PAGO]]=0,TODAY()-PROVEEDORES[[#This Row],[FECHA DE FACTURACIÓN]]-PROVEEDORES[[#This Row],[PLAZO Días]],0)</f>
        <v>0</v>
      </c>
      <c r="U937" s="104">
        <f>+VLOOKUP(PROVEEDORES[[#This Row],[PROVEEDOR]],Terceros!$A:$D,4,FALSE)</f>
        <v>0</v>
      </c>
      <c r="V937" s="105">
        <f>+YEAR(PROVEEDORES[[#This Row],[FECHA DE FACTURACIÓN]])</f>
        <v>2022</v>
      </c>
      <c r="W937" s="105">
        <f>+MATCH(PROVEEDORES[[#This Row],[año facturado]],Retenciones!$1:$1,0)</f>
        <v>5</v>
      </c>
      <c r="X937" s="106">
        <f>+VLOOKUP(PROVEEDORES[[#This Row],[ID RETENCION]],Retenciones!$A$1:$O$25,PROVEEDORES[[#This Row],[indicador de columna]],FALSE)</f>
        <v>0</v>
      </c>
      <c r="Y937" s="107">
        <f>+VLOOKUP(PROVEEDORES[[#This Row],[ID RETENCION]],Retenciones!$A$1:$O$25,2,FALSE)</f>
        <v>0</v>
      </c>
      <c r="Z937" s="116" t="b">
        <f>OR(COUNTIF(PROVEEDORES[[#This Row],[PROVEEDOR]],"*"&amp;'Palabra no opera'!$A$2&amp;"*"))</f>
        <v>0</v>
      </c>
    </row>
    <row r="938" spans="1:26" ht="22.35" customHeight="1" x14ac:dyDescent="0.3">
      <c r="A938" s="232" t="str">
        <f>+IF(PROVEEDORES[[#This Row],[FECHA DE PAGO]]=PROVEEDORES[[#This Row],[FECHA DE FACTURACIÓN]],"DE CONTADO","CRÉDITO")</f>
        <v>CRÉDITO</v>
      </c>
      <c r="B938" s="38" t="b">
        <f>+IF((PROVEEDORES[[#This Row],[FECHA DE PAGO]]-PROVEEDORES[[#This Row],[FECHA DE FACTURACIÓN]])&gt;PROVEEDORES[[#This Row],[PLAZO Días]],"PAGO VENCIDO")</f>
        <v>0</v>
      </c>
      <c r="C938" s="20">
        <f>+VLOOKUP(PROVEEDORES[[#This Row],[PROVEEDOR]],TERCEROS_INFO[#All],2,FALSE)</f>
        <v>30</v>
      </c>
      <c r="D938" s="25">
        <f>+SUMIFS(PROVEEDORES[Total],PROVEEDORES[PROVEEDOR],PROVEEDORES[[#This Row],[PROVEEDOR]],PROVEEDORES[FECHA DE PAGO],"")</f>
        <v>0</v>
      </c>
      <c r="E938" s="25"/>
      <c r="F938" s="56"/>
      <c r="G938" s="68">
        <v>44869</v>
      </c>
      <c r="H938" s="26" t="s">
        <v>1194</v>
      </c>
      <c r="I938" s="68">
        <v>44868</v>
      </c>
      <c r="J938" s="35" t="s">
        <v>1252</v>
      </c>
      <c r="K938" s="21">
        <v>840000</v>
      </c>
      <c r="L938" s="21"/>
      <c r="M938" s="22">
        <f>(PROVEEDORES[[#This Row],[SUBTOTAL]]-PROVEEDORES[[#This Row],[descuento sobre subtotal]])*VLOOKUP(PROVEEDORES[[#This Row],[PROVEEDOR]],TERCEROS_INFO[#All],3,FALSE)</f>
        <v>0</v>
      </c>
      <c r="N938" s="23"/>
      <c r="O938" s="22">
        <f>+PROVEEDORES[[#This Row],[Descuento sobre subtotal %]]*(PROVEEDORES[[#This Row],[SUBTOTAL]]-PROVEEDORES[[#This Row],[descuento sobre subtotal]])</f>
        <v>0</v>
      </c>
      <c r="P938" s="74">
        <f>+IF(PROVEEDORES[[#This Row],[SUBTOTAL]]&lt;PROVEEDORES[[#This Row],[base retencion]],0,PROVEEDORES[[#This Row],[retención aplicada]])</f>
        <v>0</v>
      </c>
      <c r="Q938" s="22">
        <f>+PROVEEDORES[[#This Row],[Rete Fuente %]]*(PROVEEDORES[[#This Row],[SUBTOTAL]]-PROVEEDORES[[#This Row],[descuento sobre subtotal]])</f>
        <v>0</v>
      </c>
      <c r="R938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938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63">
        <f ca="1">IF(PROVEEDORES[[#This Row],[FECHA DE PAGO]]=0,TODAY()-PROVEEDORES[[#This Row],[FECHA DE FACTURACIÓN]]-PROVEEDORES[[#This Row],[PLAZO Días]],0)</f>
        <v>0</v>
      </c>
      <c r="U938" s="104">
        <f>+VLOOKUP(PROVEEDORES[[#This Row],[PROVEEDOR]],Terceros!$A:$D,4,FALSE)</f>
        <v>0</v>
      </c>
      <c r="V938" s="105">
        <f>+YEAR(PROVEEDORES[[#This Row],[FECHA DE FACTURACIÓN]])</f>
        <v>2022</v>
      </c>
      <c r="W938" s="105">
        <f>+MATCH(PROVEEDORES[[#This Row],[año facturado]],Retenciones!$1:$1,0)</f>
        <v>5</v>
      </c>
      <c r="X938" s="106">
        <f>+VLOOKUP(PROVEEDORES[[#This Row],[ID RETENCION]],Retenciones!$A$1:$O$25,PROVEEDORES[[#This Row],[indicador de columna]],FALSE)</f>
        <v>0</v>
      </c>
      <c r="Y938" s="107">
        <f>+VLOOKUP(PROVEEDORES[[#This Row],[ID RETENCION]],Retenciones!$A$1:$O$25,2,FALSE)</f>
        <v>0</v>
      </c>
      <c r="Z938" s="116" t="b">
        <f>OR(COUNTIF(PROVEEDORES[[#This Row],[PROVEEDOR]],"*"&amp;'Palabra no opera'!$A$2&amp;"*"))</f>
        <v>0</v>
      </c>
    </row>
    <row r="939" spans="1:26" ht="22.35" customHeight="1" x14ac:dyDescent="0.3">
      <c r="A939" s="232" t="str">
        <f>+IF(PROVEEDORES[[#This Row],[FECHA DE PAGO]]=PROVEEDORES[[#This Row],[FECHA DE FACTURACIÓN]],"DE CONTADO","CRÉDITO")</f>
        <v>CRÉDITO</v>
      </c>
      <c r="B939" s="38" t="b">
        <f>+IF((PROVEEDORES[[#This Row],[FECHA DE PAGO]]-PROVEEDORES[[#This Row],[FECHA DE FACTURACIÓN]])&gt;PROVEEDORES[[#This Row],[PLAZO Días]],"PAGO VENCIDO")</f>
        <v>0</v>
      </c>
      <c r="C939" s="20">
        <f>+VLOOKUP(PROVEEDORES[[#This Row],[PROVEEDOR]],TERCEROS_INFO[#All],2,FALSE)</f>
        <v>30</v>
      </c>
      <c r="D939" s="25">
        <f>+SUMIFS(PROVEEDORES[Total],PROVEEDORES[PROVEEDOR],PROVEEDORES[[#This Row],[PROVEEDOR]],PROVEEDORES[FECHA DE PAGO],"")</f>
        <v>0</v>
      </c>
      <c r="E939" s="25"/>
      <c r="F939" s="56" t="str">
        <f>+VLOOKUP(PROVEEDORES[[#This Row],[PROVEEDOR]],
                       Terceros!$A:$F,
                       5,
                       FALSE)</f>
        <v/>
      </c>
      <c r="G939" s="68">
        <v>44869</v>
      </c>
      <c r="H939" s="26" t="s">
        <v>404</v>
      </c>
      <c r="I939" s="68">
        <v>44868</v>
      </c>
      <c r="J939" s="35" t="s">
        <v>1253</v>
      </c>
      <c r="K939" s="21">
        <v>6460000</v>
      </c>
      <c r="L939" s="21"/>
      <c r="M939" s="22">
        <f>(PROVEEDORES[[#This Row],[SUBTOTAL]]-PROVEEDORES[[#This Row],[descuento sobre subtotal]])*VLOOKUP(PROVEEDORES[[#This Row],[PROVEEDOR]],TERCEROS_INFO[#All],3,FALSE)</f>
        <v>0</v>
      </c>
      <c r="N939" s="23"/>
      <c r="O939" s="22">
        <f>+PROVEEDORES[[#This Row],[Descuento sobre subtotal %]]*(PROVEEDORES[[#This Row],[SUBTOTAL]]-PROVEEDORES[[#This Row],[descuento sobre subtotal]])</f>
        <v>0</v>
      </c>
      <c r="P939" s="74">
        <f>+IF(PROVEEDORES[[#This Row],[SUBTOTAL]]&lt;PROVEEDORES[[#This Row],[base retencion]],0,PROVEEDORES[[#This Row],[retención aplicada]])</f>
        <v>0</v>
      </c>
      <c r="Q939" s="22">
        <f>+PROVEEDORES[[#This Row],[Rete Fuente %]]*(PROVEEDORES[[#This Row],[SUBTOTAL]]-PROVEEDORES[[#This Row],[descuento sobre subtotal]])</f>
        <v>0</v>
      </c>
      <c r="R939" s="21">
        <f>+PROVEEDORES[[#This Row],[SUBTOTAL]]+PROVEEDORES[[#This Row],[IVA 19%]]-PROVEEDORES[[#This Row],[descuento sobre subtotal]]-PROVEEDORES[[#This Row],[Descuento sobre subtotal $2]]-PROVEEDORES[[#This Row],[Rete Fuente $]]</f>
        <v>6460000</v>
      </c>
      <c r="S939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63">
        <f ca="1">IF(PROVEEDORES[[#This Row],[FECHA DE PAGO]]=0,TODAY()-PROVEEDORES[[#This Row],[FECHA DE FACTURACIÓN]]-PROVEEDORES[[#This Row],[PLAZO Días]],0)</f>
        <v>0</v>
      </c>
      <c r="U939" s="104">
        <f>+VLOOKUP(PROVEEDORES[[#This Row],[PROVEEDOR]],Terceros!$A:$D,4,FALSE)</f>
        <v>0</v>
      </c>
      <c r="V939" s="105">
        <f>+YEAR(PROVEEDORES[[#This Row],[FECHA DE FACTURACIÓN]])</f>
        <v>2022</v>
      </c>
      <c r="W939" s="105">
        <f>+MATCH(PROVEEDORES[[#This Row],[año facturado]],Retenciones!$1:$1,0)</f>
        <v>5</v>
      </c>
      <c r="X939" s="106">
        <f>+VLOOKUP(PROVEEDORES[[#This Row],[ID RETENCION]],Retenciones!$A$1:$O$25,PROVEEDORES[[#This Row],[indicador de columna]],FALSE)</f>
        <v>0</v>
      </c>
      <c r="Y939" s="107">
        <f>+VLOOKUP(PROVEEDORES[[#This Row],[ID RETENCION]],Retenciones!$A$1:$O$25,2,FALSE)</f>
        <v>0</v>
      </c>
      <c r="Z939" s="116" t="b">
        <f>OR(COUNTIF(PROVEEDORES[[#This Row],[PROVEEDOR]],"*"&amp;'Palabra no opera'!$A$2&amp;"*"))</f>
        <v>0</v>
      </c>
    </row>
    <row r="940" spans="1:26" ht="22.35" customHeight="1" x14ac:dyDescent="0.3">
      <c r="A940" s="232" t="str">
        <f>+IF(PROVEEDORES[[#This Row],[FECHA DE PAGO]]=PROVEEDORES[[#This Row],[FECHA DE FACTURACIÓN]],"DE CONTADO","CRÉDITO")</f>
        <v>CRÉDITO</v>
      </c>
      <c r="B940" s="38" t="b">
        <f>+IF((PROVEEDORES[[#This Row],[FECHA DE PAGO]]-PROVEEDORES[[#This Row],[FECHA DE FACTURACIÓN]])&gt;PROVEEDORES[[#This Row],[PLAZO Días]],"PAGO VENCIDO")</f>
        <v>0</v>
      </c>
      <c r="C940" s="20">
        <f>+VLOOKUP(PROVEEDORES[[#This Row],[PROVEEDOR]],TERCEROS_INFO[#All],2,FALSE)</f>
        <v>30</v>
      </c>
      <c r="D940" s="25">
        <f>+SUMIFS(PROVEEDORES[Total],PROVEEDORES[PROVEEDOR],PROVEEDORES[[#This Row],[PROVEEDOR]],PROVEEDORES[FECHA DE PAGO],"")</f>
        <v>0</v>
      </c>
      <c r="E940" s="25"/>
      <c r="F940" s="56" t="str">
        <f>+VLOOKUP(PROVEEDORES[[#This Row],[PROVEEDOR]],
                       Terceros!$A:$F,
                       5,
                       FALSE)</f>
        <v>cartera@aerosan.com;girlesa.ruiz@servipilas.com;joriescobar64@gmail.com</v>
      </c>
      <c r="G940" s="68">
        <v>44869</v>
      </c>
      <c r="H940" s="26" t="s">
        <v>56</v>
      </c>
      <c r="I940" s="68">
        <v>44868</v>
      </c>
      <c r="J940" s="35" t="s">
        <v>1246</v>
      </c>
      <c r="K940" s="21">
        <v>548708</v>
      </c>
      <c r="L940" s="21"/>
      <c r="M940" s="22"/>
      <c r="N940" s="23"/>
      <c r="O940" s="22">
        <f>+PROVEEDORES[[#This Row],[Descuento sobre subtotal %]]*(PROVEEDORES[[#This Row],[SUBTOTAL]]-PROVEEDORES[[#This Row],[descuento sobre subtotal]])</f>
        <v>0</v>
      </c>
      <c r="P940" s="74">
        <f>+IF(PROVEEDORES[[#This Row],[SUBTOTAL]]&lt;PROVEEDORES[[#This Row],[base retencion]],0,PROVEEDORES[[#This Row],[retención aplicada]])</f>
        <v>0</v>
      </c>
      <c r="Q940" s="22">
        <f>+PROVEEDORES[[#This Row],[Rete Fuente %]]*(PROVEEDORES[[#This Row],[SUBTOTAL]]-PROVEEDORES[[#This Row],[descuento sobre subtotal]])</f>
        <v>0</v>
      </c>
      <c r="R940" s="21">
        <f>+PROVEEDORES[[#This Row],[SUBTOTAL]]+PROVEEDORES[[#This Row],[IVA 19%]]-PROVEEDORES[[#This Row],[descuento sobre subtotal]]-PROVEEDORES[[#This Row],[Descuento sobre subtotal $2]]-PROVEEDORES[[#This Row],[Rete Fuente $]]</f>
        <v>548708</v>
      </c>
      <c r="S94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63">
        <f ca="1">IF(PROVEEDORES[[#This Row],[FECHA DE PAGO]]=0,TODAY()-PROVEEDORES[[#This Row],[FECHA DE FACTURACIÓN]]-PROVEEDORES[[#This Row],[PLAZO Días]],0)</f>
        <v>0</v>
      </c>
      <c r="U940" s="104">
        <f>+VLOOKUP(PROVEEDORES[[#This Row],[PROVEEDOR]],Terceros!$A:$D,4,FALSE)</f>
        <v>0</v>
      </c>
      <c r="V940" s="105">
        <f>+YEAR(PROVEEDORES[[#This Row],[FECHA DE FACTURACIÓN]])</f>
        <v>2022</v>
      </c>
      <c r="W940" s="105">
        <f>+MATCH(PROVEEDORES[[#This Row],[año facturado]],Retenciones!$1:$1,0)</f>
        <v>5</v>
      </c>
      <c r="X940" s="106">
        <f>+VLOOKUP(PROVEEDORES[[#This Row],[ID RETENCION]],Retenciones!$A$1:$O$25,PROVEEDORES[[#This Row],[indicador de columna]],FALSE)</f>
        <v>0</v>
      </c>
      <c r="Y940" s="107">
        <f>+VLOOKUP(PROVEEDORES[[#This Row],[ID RETENCION]],Retenciones!$A$1:$O$25,2,FALSE)</f>
        <v>0</v>
      </c>
      <c r="Z940" s="116" t="b">
        <f>OR(COUNTIF(PROVEEDORES[[#This Row],[PROVEEDOR]],"*"&amp;'Palabra no opera'!$A$2&amp;"*"))</f>
        <v>0</v>
      </c>
    </row>
    <row r="941" spans="1:26" ht="22.35" customHeight="1" x14ac:dyDescent="0.3">
      <c r="A941" s="232" t="str">
        <f>+IF(PROVEEDORES[[#This Row],[FECHA DE PAGO]]=PROVEEDORES[[#This Row],[FECHA DE FACTURACIÓN]],"DE CONTADO","CRÉDITO")</f>
        <v>CRÉDITO</v>
      </c>
      <c r="B941" s="38" t="str">
        <f>+IF((PROVEEDORES[[#This Row],[FECHA DE PAGO]]-PROVEEDORES[[#This Row],[FECHA DE FACTURACIÓN]])&gt;PROVEEDORES[[#This Row],[PLAZO Días]],"PAGO VENCIDO")</f>
        <v>PAGO VENCIDO</v>
      </c>
      <c r="C941" s="20">
        <f>+VLOOKUP(PROVEEDORES[[#This Row],[PROVEEDOR]],TERCEROS_INFO[#All],2,FALSE)</f>
        <v>30</v>
      </c>
      <c r="D941" s="25">
        <f>+SUMIFS(PROVEEDORES[Total],PROVEEDORES[PROVEEDOR],PROVEEDORES[[#This Row],[PROVEEDOR]],PROVEEDORES[FECHA DE PAGO],"")</f>
        <v>0</v>
      </c>
      <c r="E941" s="25"/>
      <c r="F941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941" s="68">
        <v>44869</v>
      </c>
      <c r="H941" s="26" t="s">
        <v>809</v>
      </c>
      <c r="I941" s="68">
        <v>44819</v>
      </c>
      <c r="J941" s="35" t="s">
        <v>1226</v>
      </c>
      <c r="K941" s="21">
        <v>782000</v>
      </c>
      <c r="L941" s="21"/>
      <c r="M941" s="22">
        <f>(PROVEEDORES[[#This Row],[SUBTOTAL]]-PROVEEDORES[[#This Row],[descuento sobre subtotal]])*VLOOKUP(PROVEEDORES[[#This Row],[PROVEEDOR]],TERCEROS_INFO[#All],3,FALSE)</f>
        <v>148580</v>
      </c>
      <c r="N941" s="23"/>
      <c r="O941" s="22">
        <f>+PROVEEDORES[[#This Row],[Descuento sobre subtotal %]]*(PROVEEDORES[[#This Row],[SUBTOTAL]]-PROVEEDORES[[#This Row],[descuento sobre subtotal]])</f>
        <v>0</v>
      </c>
      <c r="P941" s="74">
        <f>+IF(PROVEEDORES[[#This Row],[SUBTOTAL]]&lt;PROVEEDORES[[#This Row],[base retencion]],0,PROVEEDORES[[#This Row],[retención aplicada]])</f>
        <v>0</v>
      </c>
      <c r="Q941" s="22">
        <f>+PROVEEDORES[[#This Row],[Rete Fuente %]]*(PROVEEDORES[[#This Row],[SUBTOTAL]]-PROVEEDORES[[#This Row],[descuento sobre subtotal]])</f>
        <v>0</v>
      </c>
      <c r="R941" s="21">
        <f>+PROVEEDORES[[#This Row],[SUBTOTAL]]+PROVEEDORES[[#This Row],[IVA 19%]]-PROVEEDORES[[#This Row],[descuento sobre subtotal]]-PROVEEDORES[[#This Row],[Descuento sobre subtotal $2]]-PROVEEDORES[[#This Row],[Rete Fuente $]]</f>
        <v>930580</v>
      </c>
      <c r="S94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63">
        <f ca="1">IF(PROVEEDORES[[#This Row],[FECHA DE PAGO]]=0,TODAY()-PROVEEDORES[[#This Row],[FECHA DE FACTURACIÓN]]-PROVEEDORES[[#This Row],[PLAZO Días]],0)</f>
        <v>0</v>
      </c>
      <c r="U941" s="104" t="str">
        <f>+VLOOKUP(PROVEEDORES[[#This Row],[PROVEEDOR]],Terceros!$A:$D,4,FALSE)</f>
        <v>2,5% con base</v>
      </c>
      <c r="V941" s="105">
        <f>+YEAR(PROVEEDORES[[#This Row],[FECHA DE FACTURACIÓN]])</f>
        <v>2022</v>
      </c>
      <c r="W941" s="105">
        <f>+MATCH(PROVEEDORES[[#This Row],[año facturado]],Retenciones!$1:$1,0)</f>
        <v>5</v>
      </c>
      <c r="X941" s="106">
        <f>+VLOOKUP(PROVEEDORES[[#This Row],[ID RETENCION]],Retenciones!$A$1:$O$25,PROVEEDORES[[#This Row],[indicador de columna]],FALSE)</f>
        <v>1026000</v>
      </c>
      <c r="Y941" s="107">
        <f>+VLOOKUP(PROVEEDORES[[#This Row],[ID RETENCION]],Retenciones!$A$1:$O$25,2,FALSE)</f>
        <v>2.5000000000000001E-2</v>
      </c>
      <c r="Z941" s="116" t="b">
        <f>OR(COUNTIF(PROVEEDORES[[#This Row],[PROVEEDOR]],"*"&amp;'Palabra no opera'!$A$2&amp;"*"))</f>
        <v>0</v>
      </c>
    </row>
    <row r="942" spans="1:26" ht="22.35" customHeight="1" x14ac:dyDescent="0.3">
      <c r="A942" s="171" t="str">
        <f>+IF(PROVEEDORES[[#This Row],[FECHA DE PAGO]]=PROVEEDORES[[#This Row],[FECHA DE FACTURACIÓN]],"DE CONTADO","CRÉDITO")</f>
        <v>CRÉDITO</v>
      </c>
      <c r="B942" s="38" t="str">
        <f>+IF((PROVEEDORES[[#This Row],[FECHA DE PAGO]]-PROVEEDORES[[#This Row],[FECHA DE FACTURACIÓN]])&gt;PROVEEDORES[[#This Row],[PLAZO Días]],"PAGO VENCIDO")</f>
        <v>PAGO VENCIDO</v>
      </c>
      <c r="C942" s="20">
        <f>+VLOOKUP(PROVEEDORES[[#This Row],[PROVEEDOR]],TERCEROS_INFO[#All],2,FALSE)</f>
        <v>30</v>
      </c>
      <c r="D942" s="25">
        <f>+SUMIFS(PROVEEDORES[Total],PROVEEDORES[PROVEEDOR],PROVEEDORES[[#This Row],[PROVEEDOR]],PROVEEDORES[FECHA DE PAGO],"")</f>
        <v>0</v>
      </c>
      <c r="E942" s="25"/>
      <c r="F942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942" s="68">
        <v>44869</v>
      </c>
      <c r="H942" s="26" t="s">
        <v>857</v>
      </c>
      <c r="I942" s="68">
        <v>44781</v>
      </c>
      <c r="J942" s="35" t="s">
        <v>878</v>
      </c>
      <c r="K942" s="21">
        <v>554622</v>
      </c>
      <c r="L942" s="21"/>
      <c r="M942" s="22">
        <f>(PROVEEDORES[[#This Row],[SUBTOTAL]]-PROVEEDORES[[#This Row],[descuento sobre subtotal]])*VLOOKUP(PROVEEDORES[[#This Row],[PROVEEDOR]],TERCEROS_INFO[#All],3,FALSE)</f>
        <v>105378.18000000001</v>
      </c>
      <c r="N942" s="23"/>
      <c r="O942" s="22">
        <f>+PROVEEDORES[[#This Row],[Descuento sobre subtotal %]]*(PROVEEDORES[[#This Row],[SUBTOTAL]]-PROVEEDORES[[#This Row],[descuento sobre subtotal]])</f>
        <v>0</v>
      </c>
      <c r="P942" s="74">
        <f>+IF(PROVEEDORES[[#This Row],[SUBTOTAL]]&lt;PROVEEDORES[[#This Row],[base retencion]],0,PROVEEDORES[[#This Row],[retención aplicada]])</f>
        <v>0</v>
      </c>
      <c r="Q942" s="22">
        <f>+PROVEEDORES[[#This Row],[Rete Fuente %]]*(PROVEEDORES[[#This Row],[SUBTOTAL]]-PROVEEDORES[[#This Row],[descuento sobre subtotal]])</f>
        <v>0</v>
      </c>
      <c r="R942" s="21">
        <f>+PROVEEDORES[[#This Row],[SUBTOTAL]]+PROVEEDORES[[#This Row],[IVA 19%]]-PROVEEDORES[[#This Row],[descuento sobre subtotal]]-PROVEEDORES[[#This Row],[Descuento sobre subtotal $2]]-PROVEEDORES[[#This Row],[Rete Fuente $]]</f>
        <v>660000.18000000005</v>
      </c>
      <c r="S942" s="1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63">
        <f ca="1">IF(PROVEEDORES[[#This Row],[FECHA DE PAGO]]=0,TODAY()-PROVEEDORES[[#This Row],[FECHA DE FACTURACIÓN]]-PROVEEDORES[[#This Row],[PLAZO Días]],0)</f>
        <v>0</v>
      </c>
      <c r="U942" s="104" t="str">
        <f>+VLOOKUP(PROVEEDORES[[#This Row],[PROVEEDOR]],Terceros!$A:$D,4,FALSE)</f>
        <v>2,5% con base</v>
      </c>
      <c r="V942" s="105">
        <f>+YEAR(PROVEEDORES[[#This Row],[FECHA DE FACTURACIÓN]])</f>
        <v>2022</v>
      </c>
      <c r="W942" s="105">
        <f>+MATCH(PROVEEDORES[[#This Row],[año facturado]],Retenciones!$1:$1,0)</f>
        <v>5</v>
      </c>
      <c r="X942" s="106">
        <f>+VLOOKUP(PROVEEDORES[[#This Row],[ID RETENCION]],Retenciones!$A$1:$O$25,PROVEEDORES[[#This Row],[indicador de columna]],FALSE)</f>
        <v>1026000</v>
      </c>
      <c r="Y942" s="107">
        <f>+VLOOKUP(PROVEEDORES[[#This Row],[ID RETENCION]],Retenciones!$A$1:$O$25,2,FALSE)</f>
        <v>2.5000000000000001E-2</v>
      </c>
      <c r="Z942" s="116" t="b">
        <f>OR(COUNTIF(PROVEEDORES[[#This Row],[PROVEEDOR]],"*"&amp;'Palabra no opera'!$A$2&amp;"*"))</f>
        <v>0</v>
      </c>
    </row>
    <row r="943" spans="1:26" ht="22.35" customHeight="1" x14ac:dyDescent="0.3">
      <c r="A943" s="196" t="str">
        <f>+IF(PROVEEDORES[[#This Row],[FECHA DE PAGO]]=PROVEEDORES[[#This Row],[FECHA DE FACTURACIÓN]],"DE CONTADO","CRÉDITO")</f>
        <v>CRÉDITO</v>
      </c>
      <c r="B943" s="38" t="str">
        <f>+IF((PROVEEDORES[[#This Row],[FECHA DE PAGO]]-PROVEEDORES[[#This Row],[FECHA DE FACTURACIÓN]])&gt;PROVEEDORES[[#This Row],[PLAZO Días]],"PAGO VENCIDO")</f>
        <v>PAGO VENCIDO</v>
      </c>
      <c r="C943" s="20">
        <f>+VLOOKUP(PROVEEDORES[[#This Row],[PROVEEDOR]],TERCEROS_INFO[#All],2,FALSE)</f>
        <v>30</v>
      </c>
      <c r="D943" s="25">
        <f>+SUMIFS(PROVEEDORES[Total],PROVEEDORES[PROVEEDOR],PROVEEDORES[[#This Row],[PROVEEDOR]],PROVEEDORES[FECHA DE PAGO],"")</f>
        <v>1034000.52</v>
      </c>
      <c r="E943" s="25"/>
      <c r="F94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43" s="68">
        <v>44869</v>
      </c>
      <c r="H943" s="26" t="s">
        <v>168</v>
      </c>
      <c r="I943" s="68">
        <v>44819</v>
      </c>
      <c r="J943" s="35" t="s">
        <v>1104</v>
      </c>
      <c r="K943" s="21">
        <v>364706</v>
      </c>
      <c r="L943" s="21"/>
      <c r="M943" s="22">
        <f>(PROVEEDORES[[#This Row],[SUBTOTAL]]-PROVEEDORES[[#This Row],[descuento sobre subtotal]])*VLOOKUP(PROVEEDORES[[#This Row],[PROVEEDOR]],TERCEROS_INFO[#All],3,FALSE)</f>
        <v>69294.14</v>
      </c>
      <c r="N943" s="23"/>
      <c r="O943" s="22">
        <f>+PROVEEDORES[[#This Row],[Descuento sobre subtotal %]]*(PROVEEDORES[[#This Row],[SUBTOTAL]]-PROVEEDORES[[#This Row],[descuento sobre subtotal]])</f>
        <v>0</v>
      </c>
      <c r="P943" s="74">
        <f>+IF(PROVEEDORES[[#This Row],[SUBTOTAL]]&lt;PROVEEDORES[[#This Row],[base retencion]],0,PROVEEDORES[[#This Row],[retención aplicada]])</f>
        <v>0</v>
      </c>
      <c r="Q943" s="22">
        <f>+PROVEEDORES[[#This Row],[Rete Fuente %]]*(PROVEEDORES[[#This Row],[SUBTOTAL]]-PROVEEDORES[[#This Row],[descuento sobre subtotal]])</f>
        <v>0</v>
      </c>
      <c r="R943" s="21">
        <f>+PROVEEDORES[[#This Row],[SUBTOTAL]]+PROVEEDORES[[#This Row],[IVA 19%]]-PROVEEDORES[[#This Row],[descuento sobre subtotal]]-PROVEEDORES[[#This Row],[Descuento sobre subtotal $2]]-PROVEEDORES[[#This Row],[Rete Fuente $]]</f>
        <v>434000.14</v>
      </c>
      <c r="S94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63">
        <f ca="1">IF(PROVEEDORES[[#This Row],[FECHA DE PAGO]]=0,TODAY()-PROVEEDORES[[#This Row],[FECHA DE FACTURACIÓN]]-PROVEEDORES[[#This Row],[PLAZO Días]],0)</f>
        <v>0</v>
      </c>
      <c r="U943" s="104" t="str">
        <f>+VLOOKUP(PROVEEDORES[[#This Row],[PROVEEDOR]],Terceros!$A:$D,4,FALSE)</f>
        <v>2,5% con base</v>
      </c>
      <c r="V943" s="105">
        <f>+YEAR(PROVEEDORES[[#This Row],[FECHA DE FACTURACIÓN]])</f>
        <v>2022</v>
      </c>
      <c r="W943" s="105">
        <f>+MATCH(PROVEEDORES[[#This Row],[año facturado]],Retenciones!$1:$1,0)</f>
        <v>5</v>
      </c>
      <c r="X943" s="106">
        <f>+VLOOKUP(PROVEEDORES[[#This Row],[ID RETENCION]],Retenciones!$A$1:$O$25,PROVEEDORES[[#This Row],[indicador de columna]],FALSE)</f>
        <v>1026000</v>
      </c>
      <c r="Y943" s="107">
        <f>+VLOOKUP(PROVEEDORES[[#This Row],[ID RETENCION]],Retenciones!$A$1:$O$25,2,FALSE)</f>
        <v>2.5000000000000001E-2</v>
      </c>
      <c r="Z943" s="116" t="b">
        <f>OR(COUNTIF(PROVEEDORES[[#This Row],[PROVEEDOR]],"*"&amp;'Palabra no opera'!$A$2&amp;"*"))</f>
        <v>0</v>
      </c>
    </row>
    <row r="944" spans="1:26" ht="22.35" customHeight="1" x14ac:dyDescent="0.3">
      <c r="A944" s="232" t="str">
        <f>+IF(PROVEEDORES[[#This Row],[FECHA DE PAGO]]=PROVEEDORES[[#This Row],[FECHA DE FACTURACIÓN]],"DE CONTADO","CRÉDITO")</f>
        <v>CRÉDITO</v>
      </c>
      <c r="B944" s="38" t="b">
        <f>+IF((PROVEEDORES[[#This Row],[FECHA DE PAGO]]-PROVEEDORES[[#This Row],[FECHA DE FACTURACIÓN]])&gt;PROVEEDORES[[#This Row],[PLAZO Días]],"PAGO VENCIDO")</f>
        <v>0</v>
      </c>
      <c r="C944" s="20">
        <f>+VLOOKUP(PROVEEDORES[[#This Row],[PROVEEDOR]],TERCEROS_INFO[#All],2,FALSE)</f>
        <v>30</v>
      </c>
      <c r="D944" s="25">
        <f>+SUMIFS(PROVEEDORES[Total],PROVEEDORES[PROVEEDOR],PROVEEDORES[[#This Row],[PROVEEDOR]],PROVEEDORES[FECHA DE PAGO],"")</f>
        <v>0</v>
      </c>
      <c r="E944" s="25"/>
      <c r="F944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944" s="68">
        <v>44870</v>
      </c>
      <c r="H944" s="26" t="s">
        <v>394</v>
      </c>
      <c r="I944" s="68">
        <v>44866</v>
      </c>
      <c r="J944" s="35" t="s">
        <v>1248</v>
      </c>
      <c r="K944" s="21">
        <v>1150000</v>
      </c>
      <c r="L944" s="21"/>
      <c r="M944" s="22">
        <f>(PROVEEDORES[[#This Row],[SUBTOTAL]]-PROVEEDORES[[#This Row],[descuento sobre subtotal]])*VLOOKUP(PROVEEDORES[[#This Row],[PROVEEDOR]],TERCEROS_INFO[#All],3,FALSE)</f>
        <v>0</v>
      </c>
      <c r="N944" s="23"/>
      <c r="O944" s="22">
        <f>+PROVEEDORES[[#This Row],[Descuento sobre subtotal %]]*(PROVEEDORES[[#This Row],[SUBTOTAL]]-PROVEEDORES[[#This Row],[descuento sobre subtotal]])</f>
        <v>0</v>
      </c>
      <c r="P944" s="74">
        <f>+IF(PROVEEDORES[[#This Row],[SUBTOTAL]]&lt;PROVEEDORES[[#This Row],[base retencion]],0,PROVEEDORES[[#This Row],[retención aplicada]])</f>
        <v>0</v>
      </c>
      <c r="Q944" s="22">
        <f>+PROVEEDORES[[#This Row],[Rete Fuente %]]*(PROVEEDORES[[#This Row],[SUBTOTAL]]-PROVEEDORES[[#This Row],[descuento sobre subtotal]])</f>
        <v>0</v>
      </c>
      <c r="R944" s="21">
        <f>+PROVEEDORES[[#This Row],[SUBTOTAL]]+PROVEEDORES[[#This Row],[IVA 19%]]-PROVEEDORES[[#This Row],[descuento sobre subtotal]]-PROVEEDORES[[#This Row],[Descuento sobre subtotal $2]]-PROVEEDORES[[#This Row],[Rete Fuente $]]</f>
        <v>1150000</v>
      </c>
      <c r="S944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63">
        <f ca="1">IF(PROVEEDORES[[#This Row],[FECHA DE PAGO]]=0,TODAY()-PROVEEDORES[[#This Row],[FECHA DE FACTURACIÓN]]-PROVEEDORES[[#This Row],[PLAZO Días]],0)</f>
        <v>0</v>
      </c>
      <c r="U944" s="104">
        <f>+VLOOKUP(PROVEEDORES[[#This Row],[PROVEEDOR]],Terceros!$A:$D,4,FALSE)</f>
        <v>0</v>
      </c>
      <c r="V944" s="105">
        <f>+YEAR(PROVEEDORES[[#This Row],[FECHA DE FACTURACIÓN]])</f>
        <v>2022</v>
      </c>
      <c r="W944" s="105">
        <f>+MATCH(PROVEEDORES[[#This Row],[año facturado]],Retenciones!$1:$1,0)</f>
        <v>5</v>
      </c>
      <c r="X944" s="106">
        <f>+VLOOKUP(PROVEEDORES[[#This Row],[ID RETENCION]],Retenciones!$A$1:$O$25,PROVEEDORES[[#This Row],[indicador de columna]],FALSE)</f>
        <v>0</v>
      </c>
      <c r="Y944" s="107">
        <f>+VLOOKUP(PROVEEDORES[[#This Row],[ID RETENCION]],Retenciones!$A$1:$O$25,2,FALSE)</f>
        <v>0</v>
      </c>
      <c r="Z944" s="116" t="b">
        <f>OR(COUNTIF(PROVEEDORES[[#This Row],[PROVEEDOR]],"*"&amp;'Palabra no opera'!$A$2&amp;"*"))</f>
        <v>0</v>
      </c>
    </row>
    <row r="945" spans="1:26" ht="22.35" customHeight="1" x14ac:dyDescent="0.3">
      <c r="A945" s="232" t="str">
        <f>+IF(PROVEEDORES[[#This Row],[FECHA DE PAGO]]=PROVEEDORES[[#This Row],[FECHA DE FACTURACIÓN]],"DE CONTADO","CRÉDITO")</f>
        <v>DE CONTADO</v>
      </c>
      <c r="B945" s="38" t="b">
        <f>+IF((PROVEEDORES[[#This Row],[FECHA DE PAGO]]-PROVEEDORES[[#This Row],[FECHA DE FACTURACIÓN]])&gt;PROVEEDORES[[#This Row],[PLAZO Días]],"PAGO VENCIDO")</f>
        <v>0</v>
      </c>
      <c r="C945" s="20">
        <f>+VLOOKUP(PROVEEDORES[[#This Row],[PROVEEDOR]],TERCEROS_INFO[#All],2,FALSE)</f>
        <v>30</v>
      </c>
      <c r="D945" s="25">
        <f>+SUMIFS(PROVEEDORES[Total],PROVEEDORES[PROVEEDOR],PROVEEDORES[[#This Row],[PROVEEDOR]],PROVEEDORES[FECHA DE PAGO],"")</f>
        <v>559000</v>
      </c>
      <c r="E945" s="25"/>
      <c r="F945" s="56" t="str">
        <f>+VLOOKUP(PROVEEDORES[[#This Row],[PROVEEDOR]],
                       Terceros!$A:$F,
                       5,
                       FALSE)</f>
        <v/>
      </c>
      <c r="G945" s="68">
        <v>44870</v>
      </c>
      <c r="H945" s="26" t="s">
        <v>1133</v>
      </c>
      <c r="I945" s="68">
        <v>44870</v>
      </c>
      <c r="J945" s="35" t="s">
        <v>1269</v>
      </c>
      <c r="K945" s="21">
        <v>432000</v>
      </c>
      <c r="L945" s="21"/>
      <c r="M945" s="22">
        <f>(PROVEEDORES[[#This Row],[SUBTOTAL]]-PROVEEDORES[[#This Row],[descuento sobre subtotal]])*VLOOKUP(PROVEEDORES[[#This Row],[PROVEEDOR]],TERCEROS_INFO[#All],3,FALSE)</f>
        <v>0</v>
      </c>
      <c r="N945" s="23"/>
      <c r="O945" s="22">
        <f>+PROVEEDORES[[#This Row],[Descuento sobre subtotal %]]*(PROVEEDORES[[#This Row],[SUBTOTAL]]-PROVEEDORES[[#This Row],[descuento sobre subtotal]])</f>
        <v>0</v>
      </c>
      <c r="P945" s="74">
        <f>+IF(PROVEEDORES[[#This Row],[SUBTOTAL]]&lt;PROVEEDORES[[#This Row],[base retencion]],0,PROVEEDORES[[#This Row],[retención aplicada]])</f>
        <v>0</v>
      </c>
      <c r="Q945" s="22">
        <f>+PROVEEDORES[[#This Row],[Rete Fuente %]]*(PROVEEDORES[[#This Row],[SUBTOTAL]]-PROVEEDORES[[#This Row],[descuento sobre subtotal]])</f>
        <v>0</v>
      </c>
      <c r="R945" s="21">
        <f>+PROVEEDORES[[#This Row],[SUBTOTAL]]+PROVEEDORES[[#This Row],[IVA 19%]]-PROVEEDORES[[#This Row],[descuento sobre subtotal]]-PROVEEDORES[[#This Row],[Descuento sobre subtotal $2]]-PROVEEDORES[[#This Row],[Rete Fuente $]]</f>
        <v>432000</v>
      </c>
      <c r="S945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63">
        <f ca="1">IF(PROVEEDORES[[#This Row],[FECHA DE PAGO]]=0,TODAY()-PROVEEDORES[[#This Row],[FECHA DE FACTURACIÓN]]-PROVEEDORES[[#This Row],[PLAZO Días]],0)</f>
        <v>0</v>
      </c>
      <c r="U945" s="104">
        <f>+VLOOKUP(PROVEEDORES[[#This Row],[PROVEEDOR]],Terceros!$A:$D,4,FALSE)</f>
        <v>0</v>
      </c>
      <c r="V945" s="105">
        <f>+YEAR(PROVEEDORES[[#This Row],[FECHA DE FACTURACIÓN]])</f>
        <v>2022</v>
      </c>
      <c r="W945" s="105">
        <f>+MATCH(PROVEEDORES[[#This Row],[año facturado]],Retenciones!$1:$1,0)</f>
        <v>5</v>
      </c>
      <c r="X945" s="106">
        <f>+VLOOKUP(PROVEEDORES[[#This Row],[ID RETENCION]],Retenciones!$A$1:$O$25,PROVEEDORES[[#This Row],[indicador de columna]],FALSE)</f>
        <v>0</v>
      </c>
      <c r="Y945" s="107">
        <f>+VLOOKUP(PROVEEDORES[[#This Row],[ID RETENCION]],Retenciones!$A$1:$O$25,2,FALSE)</f>
        <v>0</v>
      </c>
      <c r="Z945" s="116" t="b">
        <f>OR(COUNTIF(PROVEEDORES[[#This Row],[PROVEEDOR]],"*"&amp;'Palabra no opera'!$A$2&amp;"*"))</f>
        <v>0</v>
      </c>
    </row>
    <row r="946" spans="1:26" ht="22.35" customHeight="1" x14ac:dyDescent="0.3">
      <c r="A946" s="67" t="str">
        <f>+IF(PROVEEDORES[[#This Row],[FECHA DE PAGO]]=PROVEEDORES[[#This Row],[FECHA DE FACTURACIÓN]],"DE CONTADO","CRÉDITO")</f>
        <v>CRÉDITO</v>
      </c>
      <c r="B946" s="38" t="b">
        <f>+IF((PROVEEDORES[[#This Row],[FECHA DE PAGO]]-PROVEEDORES[[#This Row],[FECHA DE FACTURACIÓN]])&gt;PROVEEDORES[[#This Row],[PLAZO Días]],"PAGO VENCIDO")</f>
        <v>0</v>
      </c>
      <c r="C946" s="20">
        <f>+VLOOKUP(PROVEEDORES[[#This Row],[PROVEEDOR]],TERCEROS_INFO[#All],2,FALSE)</f>
        <v>60</v>
      </c>
      <c r="D946" s="25">
        <f>+SUMIFS(PROVEEDORES[Total],PROVEEDORES[PROVEEDOR],PROVEEDORES[[#This Row],[PROVEEDOR]],PROVEEDORES[FECHA DE PAGO],"")</f>
        <v>395600</v>
      </c>
      <c r="E946" s="25"/>
      <c r="F94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46" s="68">
        <v>44870</v>
      </c>
      <c r="H946" s="26" t="s">
        <v>287</v>
      </c>
      <c r="I946" s="69">
        <v>44824</v>
      </c>
      <c r="J946" s="35">
        <v>1483</v>
      </c>
      <c r="K946" s="21">
        <v>263354</v>
      </c>
      <c r="L946" s="21"/>
      <c r="M946" s="22">
        <f>(PROVEEDORES[[#This Row],[SUBTOTAL]]-PROVEEDORES[[#This Row],[descuento sobre subtotal]])*VLOOKUP(PROVEEDORES[[#This Row],[PROVEEDOR]],TERCEROS_INFO[#All],3,FALSE)</f>
        <v>0</v>
      </c>
      <c r="N946" s="23"/>
      <c r="O946" s="22">
        <f>+PROVEEDORES[[#This Row],[Descuento sobre subtotal %]]*(PROVEEDORES[[#This Row],[SUBTOTAL]]-PROVEEDORES[[#This Row],[descuento sobre subtotal]])</f>
        <v>0</v>
      </c>
      <c r="P946" s="74">
        <f>+IF(PROVEEDORES[[#This Row],[SUBTOTAL]]&lt;PROVEEDORES[[#This Row],[base retencion]],0,PROVEEDORES[[#This Row],[retención aplicada]])</f>
        <v>0</v>
      </c>
      <c r="Q946" s="22">
        <f>+PROVEEDORES[[#This Row],[Rete Fuente %]]*(PROVEEDORES[[#This Row],[SUBTOTAL]]-PROVEEDORES[[#This Row],[descuento sobre subtotal]])</f>
        <v>0</v>
      </c>
      <c r="R946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9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63">
        <f ca="1">IF(PROVEEDORES[[#This Row],[FECHA DE PAGO]]=0,TODAY()-PROVEEDORES[[#This Row],[FECHA DE FACTURACIÓN]]-PROVEEDORES[[#This Row],[PLAZO Días]],0)</f>
        <v>0</v>
      </c>
      <c r="U946" s="104">
        <f>+VLOOKUP(PROVEEDORES[[#This Row],[PROVEEDOR]],Terceros!$A:$D,4,FALSE)</f>
        <v>0</v>
      </c>
      <c r="V946" s="105">
        <f>+YEAR(PROVEEDORES[[#This Row],[FECHA DE FACTURACIÓN]])</f>
        <v>2022</v>
      </c>
      <c r="W946" s="105">
        <f>+MATCH(PROVEEDORES[[#This Row],[año facturado]],Retenciones!$1:$1,0)</f>
        <v>5</v>
      </c>
      <c r="X946" s="106">
        <f>+VLOOKUP(PROVEEDORES[[#This Row],[ID RETENCION]],Retenciones!$A$1:$O$25,PROVEEDORES[[#This Row],[indicador de columna]],FALSE)</f>
        <v>0</v>
      </c>
      <c r="Y946" s="107">
        <f>+VLOOKUP(PROVEEDORES[[#This Row],[ID RETENCION]],Retenciones!$A$1:$O$25,2,FALSE)</f>
        <v>0</v>
      </c>
      <c r="Z946" s="116" t="b">
        <f>OR(COUNTIF(PROVEEDORES[[#This Row],[PROVEEDOR]],"*"&amp;'Palabra no opera'!$A$2&amp;"*"))</f>
        <v>0</v>
      </c>
    </row>
    <row r="947" spans="1:26" ht="22.35" customHeight="1" x14ac:dyDescent="0.3">
      <c r="A947" s="67" t="str">
        <f>+IF(PROVEEDORES[[#This Row],[FECHA DE PAGO]]=PROVEEDORES[[#This Row],[FECHA DE FACTURACIÓN]],"DE CONTADO","CRÉDITO")</f>
        <v>CRÉDITO</v>
      </c>
      <c r="B947" s="38" t="b">
        <f>+IF((PROVEEDORES[[#This Row],[FECHA DE PAGO]]-PROVEEDORES[[#This Row],[FECHA DE FACTURACIÓN]])&gt;PROVEEDORES[[#This Row],[PLAZO Días]],"PAGO VENCIDO")</f>
        <v>0</v>
      </c>
      <c r="C947" s="20">
        <f>+VLOOKUP(PROVEEDORES[[#This Row],[PROVEEDOR]],TERCEROS_INFO[#All],2,FALSE)</f>
        <v>60</v>
      </c>
      <c r="D947" s="25">
        <f>+SUMIFS(PROVEEDORES[Total],PROVEEDORES[PROVEEDOR],PROVEEDORES[[#This Row],[PROVEEDOR]],PROVEEDORES[FECHA DE PAGO],"")</f>
        <v>395600</v>
      </c>
      <c r="E947" s="25"/>
      <c r="F94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47" s="68">
        <v>44870</v>
      </c>
      <c r="H947" s="26" t="s">
        <v>287</v>
      </c>
      <c r="I947" s="69">
        <v>44824</v>
      </c>
      <c r="J947" s="35">
        <v>1487</v>
      </c>
      <c r="K947" s="21">
        <v>465934</v>
      </c>
      <c r="L947" s="21"/>
      <c r="M947" s="22">
        <f>(PROVEEDORES[[#This Row],[SUBTOTAL]]-PROVEEDORES[[#This Row],[descuento sobre subtotal]])*VLOOKUP(PROVEEDORES[[#This Row],[PROVEEDOR]],TERCEROS_INFO[#All],3,FALSE)</f>
        <v>0</v>
      </c>
      <c r="N947" s="23"/>
      <c r="O947" s="22">
        <f>+PROVEEDORES[[#This Row],[Descuento sobre subtotal %]]*(PROVEEDORES[[#This Row],[SUBTOTAL]]-PROVEEDORES[[#This Row],[descuento sobre subtotal]])</f>
        <v>0</v>
      </c>
      <c r="P947" s="74">
        <f>+IF(PROVEEDORES[[#This Row],[SUBTOTAL]]&lt;PROVEEDORES[[#This Row],[base retencion]],0,PROVEEDORES[[#This Row],[retención aplicada]])</f>
        <v>0</v>
      </c>
      <c r="Q947" s="22">
        <f>+PROVEEDORES[[#This Row],[Rete Fuente %]]*(PROVEEDORES[[#This Row],[SUBTOTAL]]-PROVEEDORES[[#This Row],[descuento sobre subtotal]])</f>
        <v>0</v>
      </c>
      <c r="R947" s="21">
        <f>+PROVEEDORES[[#This Row],[SUBTOTAL]]+PROVEEDORES[[#This Row],[IVA 19%]]-PROVEEDORES[[#This Row],[descuento sobre subtotal]]-PROVEEDORES[[#This Row],[Descuento sobre subtotal $2]]-PROVEEDORES[[#This Row],[Rete Fuente $]]</f>
        <v>465934</v>
      </c>
      <c r="S9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63">
        <f ca="1">IF(PROVEEDORES[[#This Row],[FECHA DE PAGO]]=0,TODAY()-PROVEEDORES[[#This Row],[FECHA DE FACTURACIÓN]]-PROVEEDORES[[#This Row],[PLAZO Días]],0)</f>
        <v>0</v>
      </c>
      <c r="U947" s="104">
        <f>+VLOOKUP(PROVEEDORES[[#This Row],[PROVEEDOR]],Terceros!$A:$D,4,FALSE)</f>
        <v>0</v>
      </c>
      <c r="V947" s="105">
        <f>+YEAR(PROVEEDORES[[#This Row],[FECHA DE FACTURACIÓN]])</f>
        <v>2022</v>
      </c>
      <c r="W947" s="105">
        <f>+MATCH(PROVEEDORES[[#This Row],[año facturado]],Retenciones!$1:$1,0)</f>
        <v>5</v>
      </c>
      <c r="X947" s="106">
        <f>+VLOOKUP(PROVEEDORES[[#This Row],[ID RETENCION]],Retenciones!$A$1:$O$25,PROVEEDORES[[#This Row],[indicador de columna]],FALSE)</f>
        <v>0</v>
      </c>
      <c r="Y947" s="107">
        <f>+VLOOKUP(PROVEEDORES[[#This Row],[ID RETENCION]],Retenciones!$A$1:$O$25,2,FALSE)</f>
        <v>0</v>
      </c>
      <c r="Z947" s="116" t="b">
        <f>OR(COUNTIF(PROVEEDORES[[#This Row],[PROVEEDOR]],"*"&amp;'Palabra no opera'!$A$2&amp;"*"))</f>
        <v>0</v>
      </c>
    </row>
    <row r="948" spans="1:26" ht="22.35" customHeight="1" x14ac:dyDescent="0.3">
      <c r="A948" s="67" t="str">
        <f>+IF(PROVEEDORES[[#This Row],[FECHA DE PAGO]]=PROVEEDORES[[#This Row],[FECHA DE FACTURACIÓN]],"DE CONTADO","CRÉDITO")</f>
        <v>CRÉDITO</v>
      </c>
      <c r="B948" s="38" t="b">
        <f>+IF((PROVEEDORES[[#This Row],[FECHA DE PAGO]]-PROVEEDORES[[#This Row],[FECHA DE FACTURACIÓN]])&gt;PROVEEDORES[[#This Row],[PLAZO Días]],"PAGO VENCIDO")</f>
        <v>0</v>
      </c>
      <c r="C948" s="20">
        <f>+VLOOKUP(PROVEEDORES[[#This Row],[PROVEEDOR]],TERCEROS_INFO[#All],2,FALSE)</f>
        <v>60</v>
      </c>
      <c r="D948" s="25">
        <f>+SUMIFS(PROVEEDORES[Total],PROVEEDORES[PROVEEDOR],PROVEEDORES[[#This Row],[PROVEEDOR]],PROVEEDORES[FECHA DE PAGO],"")</f>
        <v>395600</v>
      </c>
      <c r="E948" s="25"/>
      <c r="F94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48" s="68">
        <v>44870</v>
      </c>
      <c r="H948" s="26" t="s">
        <v>287</v>
      </c>
      <c r="I948" s="69">
        <v>44832</v>
      </c>
      <c r="J948" s="35">
        <v>1492</v>
      </c>
      <c r="K948" s="21">
        <v>243096</v>
      </c>
      <c r="L948" s="21"/>
      <c r="M948" s="22">
        <f>(PROVEEDORES[[#This Row],[SUBTOTAL]]-PROVEEDORES[[#This Row],[descuento sobre subtotal]])*VLOOKUP(PROVEEDORES[[#This Row],[PROVEEDOR]],TERCEROS_INFO[#All],3,FALSE)</f>
        <v>0</v>
      </c>
      <c r="N948" s="23"/>
      <c r="O948" s="22">
        <f>+PROVEEDORES[[#This Row],[Descuento sobre subtotal %]]*(PROVEEDORES[[#This Row],[SUBTOTAL]]-PROVEEDORES[[#This Row],[descuento sobre subtotal]])</f>
        <v>0</v>
      </c>
      <c r="P948" s="74">
        <f>+IF(PROVEEDORES[[#This Row],[SUBTOTAL]]&lt;PROVEEDORES[[#This Row],[base retencion]],0,PROVEEDORES[[#This Row],[retención aplicada]])</f>
        <v>0</v>
      </c>
      <c r="Q948" s="22">
        <f>+PROVEEDORES[[#This Row],[Rete Fuente %]]*(PROVEEDORES[[#This Row],[SUBTOTAL]]-PROVEEDORES[[#This Row],[descuento sobre subtotal]])</f>
        <v>0</v>
      </c>
      <c r="R948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94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63">
        <f ca="1">IF(PROVEEDORES[[#This Row],[FECHA DE PAGO]]=0,TODAY()-PROVEEDORES[[#This Row],[FECHA DE FACTURACIÓN]]-PROVEEDORES[[#This Row],[PLAZO Días]],0)</f>
        <v>0</v>
      </c>
      <c r="U948" s="104">
        <f>+VLOOKUP(PROVEEDORES[[#This Row],[PROVEEDOR]],Terceros!$A:$D,4,FALSE)</f>
        <v>0</v>
      </c>
      <c r="V948" s="105">
        <f>+YEAR(PROVEEDORES[[#This Row],[FECHA DE FACTURACIÓN]])</f>
        <v>2022</v>
      </c>
      <c r="W948" s="105">
        <f>+MATCH(PROVEEDORES[[#This Row],[año facturado]],Retenciones!$1:$1,0)</f>
        <v>5</v>
      </c>
      <c r="X948" s="106">
        <f>+VLOOKUP(PROVEEDORES[[#This Row],[ID RETENCION]],Retenciones!$A$1:$O$25,PROVEEDORES[[#This Row],[indicador de columna]],FALSE)</f>
        <v>0</v>
      </c>
      <c r="Y948" s="107">
        <f>+VLOOKUP(PROVEEDORES[[#This Row],[ID RETENCION]],Retenciones!$A$1:$O$25,2,FALSE)</f>
        <v>0</v>
      </c>
      <c r="Z948" s="116" t="b">
        <f>OR(COUNTIF(PROVEEDORES[[#This Row],[PROVEEDOR]],"*"&amp;'Palabra no opera'!$A$2&amp;"*"))</f>
        <v>0</v>
      </c>
    </row>
    <row r="949" spans="1:26" ht="22.35" customHeight="1" x14ac:dyDescent="0.3">
      <c r="A949" s="67" t="str">
        <f>+IF(PROVEEDORES[[#This Row],[FECHA DE PAGO]]=PROVEEDORES[[#This Row],[FECHA DE FACTURACIÓN]],"DE CONTADO","CRÉDITO")</f>
        <v>CRÉDITO</v>
      </c>
      <c r="B949" s="38" t="b">
        <f>+IF((PROVEEDORES[[#This Row],[FECHA DE PAGO]]-PROVEEDORES[[#This Row],[FECHA DE FACTURACIÓN]])&gt;PROVEEDORES[[#This Row],[PLAZO Días]],"PAGO VENCIDO")</f>
        <v>0</v>
      </c>
      <c r="C949" s="20">
        <f>+VLOOKUP(PROVEEDORES[[#This Row],[PROVEEDOR]],TERCEROS_INFO[#All],2,FALSE)</f>
        <v>60</v>
      </c>
      <c r="D949" s="25">
        <f>+SUMIFS(PROVEEDORES[Total],PROVEEDORES[PROVEEDOR],PROVEEDORES[[#This Row],[PROVEEDOR]],PROVEEDORES[FECHA DE PAGO],"")</f>
        <v>395600</v>
      </c>
      <c r="E949" s="25"/>
      <c r="F94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49" s="68">
        <v>44870</v>
      </c>
      <c r="H949" s="26" t="s">
        <v>287</v>
      </c>
      <c r="I949" s="69">
        <v>44832</v>
      </c>
      <c r="J949" s="35">
        <v>1491</v>
      </c>
      <c r="K949" s="21">
        <v>283612</v>
      </c>
      <c r="L949" s="21"/>
      <c r="M949" s="22">
        <f>(PROVEEDORES[[#This Row],[SUBTOTAL]]-PROVEEDORES[[#This Row],[descuento sobre subtotal]])*VLOOKUP(PROVEEDORES[[#This Row],[PROVEEDOR]],TERCEROS_INFO[#All],3,FALSE)</f>
        <v>0</v>
      </c>
      <c r="N949" s="23"/>
      <c r="O949" s="22">
        <f>+PROVEEDORES[[#This Row],[Descuento sobre subtotal %]]*(PROVEEDORES[[#This Row],[SUBTOTAL]]-PROVEEDORES[[#This Row],[descuento sobre subtotal]])</f>
        <v>0</v>
      </c>
      <c r="P949" s="74">
        <f>+IF(PROVEEDORES[[#This Row],[SUBTOTAL]]&lt;PROVEEDORES[[#This Row],[base retencion]],0,PROVEEDORES[[#This Row],[retención aplicada]])</f>
        <v>0</v>
      </c>
      <c r="Q949" s="22">
        <f>+PROVEEDORES[[#This Row],[Rete Fuente %]]*(PROVEEDORES[[#This Row],[SUBTOTAL]]-PROVEEDORES[[#This Row],[descuento sobre subtotal]])</f>
        <v>0</v>
      </c>
      <c r="R949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9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63">
        <f ca="1">IF(PROVEEDORES[[#This Row],[FECHA DE PAGO]]=0,TODAY()-PROVEEDORES[[#This Row],[FECHA DE FACTURACIÓN]]-PROVEEDORES[[#This Row],[PLAZO Días]],0)</f>
        <v>0</v>
      </c>
      <c r="U949" s="104">
        <f>+VLOOKUP(PROVEEDORES[[#This Row],[PROVEEDOR]],Terceros!$A:$D,4,FALSE)</f>
        <v>0</v>
      </c>
      <c r="V949" s="105">
        <f>+YEAR(PROVEEDORES[[#This Row],[FECHA DE FACTURACIÓN]])</f>
        <v>2022</v>
      </c>
      <c r="W949" s="105">
        <f>+MATCH(PROVEEDORES[[#This Row],[año facturado]],Retenciones!$1:$1,0)</f>
        <v>5</v>
      </c>
      <c r="X949" s="106">
        <f>+VLOOKUP(PROVEEDORES[[#This Row],[ID RETENCION]],Retenciones!$A$1:$O$25,PROVEEDORES[[#This Row],[indicador de columna]],FALSE)</f>
        <v>0</v>
      </c>
      <c r="Y949" s="107">
        <f>+VLOOKUP(PROVEEDORES[[#This Row],[ID RETENCION]],Retenciones!$A$1:$O$25,2,FALSE)</f>
        <v>0</v>
      </c>
      <c r="Z949" s="116" t="b">
        <f>OR(COUNTIF(PROVEEDORES[[#This Row],[PROVEEDOR]],"*"&amp;'Palabra no opera'!$A$2&amp;"*"))</f>
        <v>0</v>
      </c>
    </row>
    <row r="950" spans="1:26" ht="22.35" customHeight="1" x14ac:dyDescent="0.3">
      <c r="A950" s="67" t="str">
        <f>+IF(PROVEEDORES[[#This Row],[FECHA DE PAGO]]=PROVEEDORES[[#This Row],[FECHA DE FACTURACIÓN]],"DE CONTADO","CRÉDITO")</f>
        <v>CRÉDITO</v>
      </c>
      <c r="B950" s="38" t="b">
        <f>+IF((PROVEEDORES[[#This Row],[FECHA DE PAGO]]-PROVEEDORES[[#This Row],[FECHA DE FACTURACIÓN]])&gt;PROVEEDORES[[#This Row],[PLAZO Días]],"PAGO VENCIDO")</f>
        <v>0</v>
      </c>
      <c r="C950" s="20">
        <f>+VLOOKUP(PROVEEDORES[[#This Row],[PROVEEDOR]],TERCEROS_INFO[#All],2,FALSE)</f>
        <v>60</v>
      </c>
      <c r="D950" s="25">
        <f>+SUMIFS(PROVEEDORES[Total],PROVEEDORES[PROVEEDOR],PROVEEDORES[[#This Row],[PROVEEDOR]],PROVEEDORES[FECHA DE PAGO],"")</f>
        <v>395600</v>
      </c>
      <c r="E950" s="25"/>
      <c r="F95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0" s="68">
        <v>44870</v>
      </c>
      <c r="H950" s="26" t="s">
        <v>287</v>
      </c>
      <c r="I950" s="69">
        <v>44841</v>
      </c>
      <c r="J950" s="35">
        <v>1498</v>
      </c>
      <c r="K950" s="21">
        <v>303870</v>
      </c>
      <c r="L950" s="21"/>
      <c r="M950" s="22">
        <f>(PROVEEDORES[[#This Row],[SUBTOTAL]]-PROVEEDORES[[#This Row],[descuento sobre subtotal]])*VLOOKUP(PROVEEDORES[[#This Row],[PROVEEDOR]],TERCEROS_INFO[#All],3,FALSE)</f>
        <v>0</v>
      </c>
      <c r="N950" s="23"/>
      <c r="O950" s="22">
        <f>+PROVEEDORES[[#This Row],[Descuento sobre subtotal %]]*(PROVEEDORES[[#This Row],[SUBTOTAL]]-PROVEEDORES[[#This Row],[descuento sobre subtotal]])</f>
        <v>0</v>
      </c>
      <c r="P950" s="74">
        <f>+IF(PROVEEDORES[[#This Row],[SUBTOTAL]]&lt;PROVEEDORES[[#This Row],[base retencion]],0,PROVEEDORES[[#This Row],[retención aplicada]])</f>
        <v>0</v>
      </c>
      <c r="Q950" s="22">
        <f>+PROVEEDORES[[#This Row],[Rete Fuente %]]*(PROVEEDORES[[#This Row],[SUBTOTAL]]-PROVEEDORES[[#This Row],[descuento sobre subtotal]])</f>
        <v>0</v>
      </c>
      <c r="R950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9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63">
        <f ca="1">IF(PROVEEDORES[[#This Row],[FECHA DE PAGO]]=0,TODAY()-PROVEEDORES[[#This Row],[FECHA DE FACTURACIÓN]]-PROVEEDORES[[#This Row],[PLAZO Días]],0)</f>
        <v>0</v>
      </c>
      <c r="U950" s="104">
        <f>+VLOOKUP(PROVEEDORES[[#This Row],[PROVEEDOR]],Terceros!$A:$D,4,FALSE)</f>
        <v>0</v>
      </c>
      <c r="V950" s="105">
        <f>+YEAR(PROVEEDORES[[#This Row],[FECHA DE FACTURACIÓN]])</f>
        <v>2022</v>
      </c>
      <c r="W950" s="105">
        <f>+MATCH(PROVEEDORES[[#This Row],[año facturado]],Retenciones!$1:$1,0)</f>
        <v>5</v>
      </c>
      <c r="X950" s="106">
        <f>+VLOOKUP(PROVEEDORES[[#This Row],[ID RETENCION]],Retenciones!$A$1:$O$25,PROVEEDORES[[#This Row],[indicador de columna]],FALSE)</f>
        <v>0</v>
      </c>
      <c r="Y950" s="107">
        <f>+VLOOKUP(PROVEEDORES[[#This Row],[ID RETENCION]],Retenciones!$A$1:$O$25,2,FALSE)</f>
        <v>0</v>
      </c>
      <c r="Z950" s="116" t="b">
        <f>OR(COUNTIF(PROVEEDORES[[#This Row],[PROVEEDOR]],"*"&amp;'Palabra no opera'!$A$2&amp;"*"))</f>
        <v>0</v>
      </c>
    </row>
    <row r="951" spans="1:26" ht="22.35" customHeight="1" x14ac:dyDescent="0.3">
      <c r="A951" s="67" t="str">
        <f>+IF(PROVEEDORES[[#This Row],[FECHA DE PAGO]]=PROVEEDORES[[#This Row],[FECHA DE FACTURACIÓN]],"DE CONTADO","CRÉDITO")</f>
        <v>CRÉDITO</v>
      </c>
      <c r="B951" s="38" t="b">
        <f>+IF((PROVEEDORES[[#This Row],[FECHA DE PAGO]]-PROVEEDORES[[#This Row],[FECHA DE FACTURACIÓN]])&gt;PROVEEDORES[[#This Row],[PLAZO Días]],"PAGO VENCIDO")</f>
        <v>0</v>
      </c>
      <c r="C951" s="20">
        <f>+VLOOKUP(PROVEEDORES[[#This Row],[PROVEEDOR]],TERCEROS_INFO[#All],2,FALSE)</f>
        <v>60</v>
      </c>
      <c r="D951" s="25">
        <f>+SUMIFS(PROVEEDORES[Total],PROVEEDORES[PROVEEDOR],PROVEEDORES[[#This Row],[PROVEEDOR]],PROVEEDORES[FECHA DE PAGO],"")</f>
        <v>395600</v>
      </c>
      <c r="E951" s="25"/>
      <c r="F95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1" s="68">
        <v>44870</v>
      </c>
      <c r="H951" s="26" t="s">
        <v>287</v>
      </c>
      <c r="I951" s="69">
        <v>44841</v>
      </c>
      <c r="J951" s="35" t="s">
        <v>1207</v>
      </c>
      <c r="K951" s="21">
        <v>634582</v>
      </c>
      <c r="L951" s="21"/>
      <c r="M951" s="22">
        <f>(PROVEEDORES[[#This Row],[SUBTOTAL]]-PROVEEDORES[[#This Row],[descuento sobre subtotal]])*VLOOKUP(PROVEEDORES[[#This Row],[PROVEEDOR]],TERCEROS_INFO[#All],3,FALSE)</f>
        <v>0</v>
      </c>
      <c r="N951" s="23"/>
      <c r="O951" s="22">
        <f>+PROVEEDORES[[#This Row],[Descuento sobre subtotal %]]*(PROVEEDORES[[#This Row],[SUBTOTAL]]-PROVEEDORES[[#This Row],[descuento sobre subtotal]])</f>
        <v>0</v>
      </c>
      <c r="P951" s="74">
        <f>+IF(PROVEEDORES[[#This Row],[SUBTOTAL]]&lt;PROVEEDORES[[#This Row],[base retencion]],0,PROVEEDORES[[#This Row],[retención aplicada]])</f>
        <v>0</v>
      </c>
      <c r="Q951" s="22">
        <f>+PROVEEDORES[[#This Row],[Rete Fuente %]]*(PROVEEDORES[[#This Row],[SUBTOTAL]]-PROVEEDORES[[#This Row],[descuento sobre subtotal]])</f>
        <v>0</v>
      </c>
      <c r="R951" s="21">
        <f>+PROVEEDORES[[#This Row],[SUBTOTAL]]+PROVEEDORES[[#This Row],[IVA 19%]]-PROVEEDORES[[#This Row],[descuento sobre subtotal]]-PROVEEDORES[[#This Row],[Descuento sobre subtotal $2]]-PROVEEDORES[[#This Row],[Rete Fuente $]]</f>
        <v>634582</v>
      </c>
      <c r="S9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63">
        <f ca="1">IF(PROVEEDORES[[#This Row],[FECHA DE PAGO]]=0,TODAY()-PROVEEDORES[[#This Row],[FECHA DE FACTURACIÓN]]-PROVEEDORES[[#This Row],[PLAZO Días]],0)</f>
        <v>0</v>
      </c>
      <c r="U951" s="104">
        <f>+VLOOKUP(PROVEEDORES[[#This Row],[PROVEEDOR]],Terceros!$A:$D,4,FALSE)</f>
        <v>0</v>
      </c>
      <c r="V951" s="105">
        <f>+YEAR(PROVEEDORES[[#This Row],[FECHA DE FACTURACIÓN]])</f>
        <v>2022</v>
      </c>
      <c r="W951" s="105">
        <f>+MATCH(PROVEEDORES[[#This Row],[año facturado]],Retenciones!$1:$1,0)</f>
        <v>5</v>
      </c>
      <c r="X951" s="106">
        <f>+VLOOKUP(PROVEEDORES[[#This Row],[ID RETENCION]],Retenciones!$A$1:$O$25,PROVEEDORES[[#This Row],[indicador de columna]],FALSE)</f>
        <v>0</v>
      </c>
      <c r="Y951" s="107">
        <f>+VLOOKUP(PROVEEDORES[[#This Row],[ID RETENCION]],Retenciones!$A$1:$O$25,2,FALSE)</f>
        <v>0</v>
      </c>
      <c r="Z951" s="116" t="b">
        <f>OR(COUNTIF(PROVEEDORES[[#This Row],[PROVEEDOR]],"*"&amp;'Palabra no opera'!$A$2&amp;"*"))</f>
        <v>0</v>
      </c>
    </row>
    <row r="952" spans="1:26" ht="22.35" customHeight="1" x14ac:dyDescent="0.3">
      <c r="A952" s="232" t="str">
        <f>+IF(PROVEEDORES[[#This Row],[FECHA DE PAGO]]=PROVEEDORES[[#This Row],[FECHA DE FACTURACIÓN]],"DE CONTADO","CRÉDITO")</f>
        <v>CRÉDITO</v>
      </c>
      <c r="B952" s="38" t="b">
        <f>+IF((PROVEEDORES[[#This Row],[FECHA DE PAGO]]-PROVEEDORES[[#This Row],[FECHA DE FACTURACIÓN]])&gt;PROVEEDORES[[#This Row],[PLAZO Días]],"PAGO VENCIDO")</f>
        <v>0</v>
      </c>
      <c r="C952" s="20">
        <f>+VLOOKUP(PROVEEDORES[[#This Row],[PROVEEDOR]],TERCEROS_INFO[#All],2,FALSE)</f>
        <v>60</v>
      </c>
      <c r="D952" s="25">
        <f>+SUMIFS(PROVEEDORES[Total],PROVEEDORES[PROVEEDOR],PROVEEDORES[[#This Row],[PROVEEDOR]],PROVEEDORES[FECHA DE PAGO],"")</f>
        <v>395600</v>
      </c>
      <c r="E952" s="25"/>
      <c r="F95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2" s="68">
        <v>44870</v>
      </c>
      <c r="H952" s="26" t="s">
        <v>287</v>
      </c>
      <c r="I952" s="68">
        <v>44859</v>
      </c>
      <c r="J952" s="35">
        <v>1509</v>
      </c>
      <c r="K952" s="21">
        <v>263354</v>
      </c>
      <c r="L952" s="21"/>
      <c r="M952" s="22">
        <f>(PROVEEDORES[[#This Row],[SUBTOTAL]]-PROVEEDORES[[#This Row],[descuento sobre subtotal]])*VLOOKUP(PROVEEDORES[[#This Row],[PROVEEDOR]],TERCEROS_INFO[#All],3,FALSE)</f>
        <v>0</v>
      </c>
      <c r="N952" s="23"/>
      <c r="O952" s="22">
        <f>+PROVEEDORES[[#This Row],[Descuento sobre subtotal %]]*(PROVEEDORES[[#This Row],[SUBTOTAL]]-PROVEEDORES[[#This Row],[descuento sobre subtotal]])</f>
        <v>0</v>
      </c>
      <c r="P952" s="74">
        <f>+IF(PROVEEDORES[[#This Row],[SUBTOTAL]]&lt;PROVEEDORES[[#This Row],[base retencion]],0,PROVEEDORES[[#This Row],[retención aplicada]])</f>
        <v>0</v>
      </c>
      <c r="Q952" s="22">
        <f>+PROVEEDORES[[#This Row],[Rete Fuente %]]*(PROVEEDORES[[#This Row],[SUBTOTAL]]-PROVEEDORES[[#This Row],[descuento sobre subtotal]])</f>
        <v>0</v>
      </c>
      <c r="R952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95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63">
        <f ca="1">IF(PROVEEDORES[[#This Row],[FECHA DE PAGO]]=0,TODAY()-PROVEEDORES[[#This Row],[FECHA DE FACTURACIÓN]]-PROVEEDORES[[#This Row],[PLAZO Días]],0)</f>
        <v>0</v>
      </c>
      <c r="U952" s="104">
        <f>+VLOOKUP(PROVEEDORES[[#This Row],[PROVEEDOR]],Terceros!$A:$D,4,FALSE)</f>
        <v>0</v>
      </c>
      <c r="V952" s="105">
        <f>+YEAR(PROVEEDORES[[#This Row],[FECHA DE FACTURACIÓN]])</f>
        <v>2022</v>
      </c>
      <c r="W952" s="105">
        <f>+MATCH(PROVEEDORES[[#This Row],[año facturado]],Retenciones!$1:$1,0)</f>
        <v>5</v>
      </c>
      <c r="X952" s="106">
        <f>+VLOOKUP(PROVEEDORES[[#This Row],[ID RETENCION]],Retenciones!$A$1:$O$25,PROVEEDORES[[#This Row],[indicador de columna]],FALSE)</f>
        <v>0</v>
      </c>
      <c r="Y952" s="107">
        <f>+VLOOKUP(PROVEEDORES[[#This Row],[ID RETENCION]],Retenciones!$A$1:$O$25,2,FALSE)</f>
        <v>0</v>
      </c>
      <c r="Z952" s="116" t="b">
        <f>OR(COUNTIF(PROVEEDORES[[#This Row],[PROVEEDOR]],"*"&amp;'Palabra no opera'!$A$2&amp;"*"))</f>
        <v>0</v>
      </c>
    </row>
    <row r="953" spans="1:26" ht="22.35" customHeight="1" x14ac:dyDescent="0.3">
      <c r="A953" s="232" t="str">
        <f>+IF(PROVEEDORES[[#This Row],[FECHA DE PAGO]]=PROVEEDORES[[#This Row],[FECHA DE FACTURACIÓN]],"DE CONTADO","CRÉDITO")</f>
        <v>CRÉDITO</v>
      </c>
      <c r="B953" s="38" t="b">
        <f>+IF((PROVEEDORES[[#This Row],[FECHA DE PAGO]]-PROVEEDORES[[#This Row],[FECHA DE FACTURACIÓN]])&gt;PROVEEDORES[[#This Row],[PLAZO Días]],"PAGO VENCIDO")</f>
        <v>0</v>
      </c>
      <c r="C953" s="20">
        <f>+VLOOKUP(PROVEEDORES[[#This Row],[PROVEEDOR]],TERCEROS_INFO[#All],2,FALSE)</f>
        <v>60</v>
      </c>
      <c r="D953" s="25">
        <f>+SUMIFS(PROVEEDORES[Total],PROVEEDORES[PROVEEDOR],PROVEEDORES[[#This Row],[PROVEEDOR]],PROVEEDORES[FECHA DE PAGO],"")</f>
        <v>395600</v>
      </c>
      <c r="E953" s="25"/>
      <c r="F95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3" s="68">
        <v>44870</v>
      </c>
      <c r="H953" s="26" t="s">
        <v>287</v>
      </c>
      <c r="I953" s="68">
        <v>44859</v>
      </c>
      <c r="J953" s="35">
        <v>1510</v>
      </c>
      <c r="K953" s="21">
        <v>324128</v>
      </c>
      <c r="L953" s="21"/>
      <c r="M953" s="22">
        <f>(PROVEEDORES[[#This Row],[SUBTOTAL]]-PROVEEDORES[[#This Row],[descuento sobre subtotal]])*VLOOKUP(PROVEEDORES[[#This Row],[PROVEEDOR]],TERCEROS_INFO[#All],3,FALSE)</f>
        <v>0</v>
      </c>
      <c r="N953" s="23"/>
      <c r="O953" s="22">
        <f>+PROVEEDORES[[#This Row],[Descuento sobre subtotal %]]*(PROVEEDORES[[#This Row],[SUBTOTAL]]-PROVEEDORES[[#This Row],[descuento sobre subtotal]])</f>
        <v>0</v>
      </c>
      <c r="P953" s="74">
        <f>+IF(PROVEEDORES[[#This Row],[SUBTOTAL]]&lt;PROVEEDORES[[#This Row],[base retencion]],0,PROVEEDORES[[#This Row],[retención aplicada]])</f>
        <v>0</v>
      </c>
      <c r="Q953" s="22">
        <f>+PROVEEDORES[[#This Row],[Rete Fuente %]]*(PROVEEDORES[[#This Row],[SUBTOTAL]]-PROVEEDORES[[#This Row],[descuento sobre subtotal]])</f>
        <v>0</v>
      </c>
      <c r="R953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953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63">
        <f ca="1">IF(PROVEEDORES[[#This Row],[FECHA DE PAGO]]=0,TODAY()-PROVEEDORES[[#This Row],[FECHA DE FACTURACIÓN]]-PROVEEDORES[[#This Row],[PLAZO Días]],0)</f>
        <v>0</v>
      </c>
      <c r="U953" s="104">
        <f>+VLOOKUP(PROVEEDORES[[#This Row],[PROVEEDOR]],Terceros!$A:$D,4,FALSE)</f>
        <v>0</v>
      </c>
      <c r="V953" s="105">
        <f>+YEAR(PROVEEDORES[[#This Row],[FECHA DE FACTURACIÓN]])</f>
        <v>2022</v>
      </c>
      <c r="W953" s="105">
        <f>+MATCH(PROVEEDORES[[#This Row],[año facturado]],Retenciones!$1:$1,0)</f>
        <v>5</v>
      </c>
      <c r="X953" s="106">
        <f>+VLOOKUP(PROVEEDORES[[#This Row],[ID RETENCION]],Retenciones!$A$1:$O$25,PROVEEDORES[[#This Row],[indicador de columna]],FALSE)</f>
        <v>0</v>
      </c>
      <c r="Y953" s="107">
        <f>+VLOOKUP(PROVEEDORES[[#This Row],[ID RETENCION]],Retenciones!$A$1:$O$25,2,FALSE)</f>
        <v>0</v>
      </c>
      <c r="Z953" s="116" t="b">
        <f>OR(COUNTIF(PROVEEDORES[[#This Row],[PROVEEDOR]],"*"&amp;'Palabra no opera'!$A$2&amp;"*"))</f>
        <v>0</v>
      </c>
    </row>
    <row r="954" spans="1:26" ht="22.35" customHeight="1" x14ac:dyDescent="0.3">
      <c r="A954" s="232" t="str">
        <f>+IF(PROVEEDORES[[#This Row],[FECHA DE PAGO]]=PROVEEDORES[[#This Row],[FECHA DE FACTURACIÓN]],"DE CONTADO","CRÉDITO")</f>
        <v>CRÉDITO</v>
      </c>
      <c r="B954" s="38" t="b">
        <f>+IF((PROVEEDORES[[#This Row],[FECHA DE PAGO]]-PROVEEDORES[[#This Row],[FECHA DE FACTURACIÓN]])&gt;PROVEEDORES[[#This Row],[PLAZO Días]],"PAGO VENCIDO")</f>
        <v>0</v>
      </c>
      <c r="C954" s="20">
        <f>+VLOOKUP(PROVEEDORES[[#This Row],[PROVEEDOR]],TERCEROS_INFO[#All],2,FALSE)</f>
        <v>60</v>
      </c>
      <c r="D954" s="25">
        <f>+SUMIFS(PROVEEDORES[Total],PROVEEDORES[PROVEEDOR],PROVEEDORES[[#This Row],[PROVEEDOR]],PROVEEDORES[FECHA DE PAGO],"")</f>
        <v>395600</v>
      </c>
      <c r="E954" s="25"/>
      <c r="F95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4" s="68">
        <v>44870</v>
      </c>
      <c r="H954" s="26" t="s">
        <v>287</v>
      </c>
      <c r="I954" s="68">
        <v>44859</v>
      </c>
      <c r="J954" s="35">
        <v>1511</v>
      </c>
      <c r="K954" s="21">
        <v>344386</v>
      </c>
      <c r="L954" s="21"/>
      <c r="M954" s="22">
        <f>(PROVEEDORES[[#This Row],[SUBTOTAL]]-PROVEEDORES[[#This Row],[descuento sobre subtotal]])*VLOOKUP(PROVEEDORES[[#This Row],[PROVEEDOR]],TERCEROS_INFO[#All],3,FALSE)</f>
        <v>0</v>
      </c>
      <c r="N954" s="23"/>
      <c r="O954" s="22">
        <f>+PROVEEDORES[[#This Row],[Descuento sobre subtotal %]]*(PROVEEDORES[[#This Row],[SUBTOTAL]]-PROVEEDORES[[#This Row],[descuento sobre subtotal]])</f>
        <v>0</v>
      </c>
      <c r="P954" s="74">
        <f>+IF(PROVEEDORES[[#This Row],[SUBTOTAL]]&lt;PROVEEDORES[[#This Row],[base retencion]],0,PROVEEDORES[[#This Row],[retención aplicada]])</f>
        <v>0</v>
      </c>
      <c r="Q954" s="22">
        <f>+PROVEEDORES[[#This Row],[Rete Fuente %]]*(PROVEEDORES[[#This Row],[SUBTOTAL]]-PROVEEDORES[[#This Row],[descuento sobre subtotal]])</f>
        <v>0</v>
      </c>
      <c r="R954" s="21">
        <f>+PROVEEDORES[[#This Row],[SUBTOTAL]]+PROVEEDORES[[#This Row],[IVA 19%]]-PROVEEDORES[[#This Row],[descuento sobre subtotal]]-PROVEEDORES[[#This Row],[Descuento sobre subtotal $2]]-PROVEEDORES[[#This Row],[Rete Fuente $]]</f>
        <v>344386</v>
      </c>
      <c r="S954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63">
        <f ca="1">IF(PROVEEDORES[[#This Row],[FECHA DE PAGO]]=0,TODAY()-PROVEEDORES[[#This Row],[FECHA DE FACTURACIÓN]]-PROVEEDORES[[#This Row],[PLAZO Días]],0)</f>
        <v>0</v>
      </c>
      <c r="U954" s="104">
        <f>+VLOOKUP(PROVEEDORES[[#This Row],[PROVEEDOR]],Terceros!$A:$D,4,FALSE)</f>
        <v>0</v>
      </c>
      <c r="V954" s="105">
        <f>+YEAR(PROVEEDORES[[#This Row],[FECHA DE FACTURACIÓN]])</f>
        <v>2022</v>
      </c>
      <c r="W954" s="105">
        <f>+MATCH(PROVEEDORES[[#This Row],[año facturado]],Retenciones!$1:$1,0)</f>
        <v>5</v>
      </c>
      <c r="X954" s="106">
        <f>+VLOOKUP(PROVEEDORES[[#This Row],[ID RETENCION]],Retenciones!$A$1:$O$25,PROVEEDORES[[#This Row],[indicador de columna]],FALSE)</f>
        <v>0</v>
      </c>
      <c r="Y954" s="107">
        <f>+VLOOKUP(PROVEEDORES[[#This Row],[ID RETENCION]],Retenciones!$A$1:$O$25,2,FALSE)</f>
        <v>0</v>
      </c>
      <c r="Z954" s="116" t="b">
        <f>OR(COUNTIF(PROVEEDORES[[#This Row],[PROVEEDOR]],"*"&amp;'Palabra no opera'!$A$2&amp;"*"))</f>
        <v>0</v>
      </c>
    </row>
    <row r="955" spans="1:26" ht="22.35" customHeight="1" x14ac:dyDescent="0.3">
      <c r="A955" s="232" t="str">
        <f>+IF(PROVEEDORES[[#This Row],[FECHA DE PAGO]]=PROVEEDORES[[#This Row],[FECHA DE FACTURACIÓN]],"DE CONTADO","CRÉDITO")</f>
        <v>CRÉDITO</v>
      </c>
      <c r="B955" s="38" t="b">
        <f>+IF((PROVEEDORES[[#This Row],[FECHA DE PAGO]]-PROVEEDORES[[#This Row],[FECHA DE FACTURACIÓN]])&gt;PROVEEDORES[[#This Row],[PLAZO Días]],"PAGO VENCIDO")</f>
        <v>0</v>
      </c>
      <c r="C955" s="20">
        <f>+VLOOKUP(PROVEEDORES[[#This Row],[PROVEEDOR]],TERCEROS_INFO[#All],2,FALSE)</f>
        <v>60</v>
      </c>
      <c r="D955" s="25">
        <f>+SUMIFS(PROVEEDORES[Total],PROVEEDORES[PROVEEDOR],PROVEEDORES[[#This Row],[PROVEEDOR]],PROVEEDORES[FECHA DE PAGO],"")</f>
        <v>395600</v>
      </c>
      <c r="E955" s="25"/>
      <c r="F95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5" s="68">
        <v>44870</v>
      </c>
      <c r="H955" s="26" t="s">
        <v>287</v>
      </c>
      <c r="I955" s="68">
        <v>44859</v>
      </c>
      <c r="J955" s="35">
        <v>1512</v>
      </c>
      <c r="K955" s="21">
        <v>708017</v>
      </c>
      <c r="L955" s="21"/>
      <c r="M955" s="22">
        <f>(PROVEEDORES[[#This Row],[SUBTOTAL]]-PROVEEDORES[[#This Row],[descuento sobre subtotal]])*VLOOKUP(PROVEEDORES[[#This Row],[PROVEEDOR]],TERCEROS_INFO[#All],3,FALSE)</f>
        <v>0</v>
      </c>
      <c r="N955" s="23"/>
      <c r="O955" s="22">
        <f>+PROVEEDORES[[#This Row],[Descuento sobre subtotal %]]*(PROVEEDORES[[#This Row],[SUBTOTAL]]-PROVEEDORES[[#This Row],[descuento sobre subtotal]])</f>
        <v>0</v>
      </c>
      <c r="P955" s="74">
        <f>+IF(PROVEEDORES[[#This Row],[SUBTOTAL]]&lt;PROVEEDORES[[#This Row],[base retencion]],0,PROVEEDORES[[#This Row],[retención aplicada]])</f>
        <v>0</v>
      </c>
      <c r="Q955" s="22">
        <f>+PROVEEDORES[[#This Row],[Rete Fuente %]]*(PROVEEDORES[[#This Row],[SUBTOTAL]]-PROVEEDORES[[#This Row],[descuento sobre subtotal]])</f>
        <v>0</v>
      </c>
      <c r="R955" s="21">
        <f>+PROVEEDORES[[#This Row],[SUBTOTAL]]+PROVEEDORES[[#This Row],[IVA 19%]]-PROVEEDORES[[#This Row],[descuento sobre subtotal]]-PROVEEDORES[[#This Row],[Descuento sobre subtotal $2]]-PROVEEDORES[[#This Row],[Rete Fuente $]]</f>
        <v>708017</v>
      </c>
      <c r="S955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63">
        <f ca="1">IF(PROVEEDORES[[#This Row],[FECHA DE PAGO]]=0,TODAY()-PROVEEDORES[[#This Row],[FECHA DE FACTURACIÓN]]-PROVEEDORES[[#This Row],[PLAZO Días]],0)</f>
        <v>0</v>
      </c>
      <c r="U955" s="104">
        <f>+VLOOKUP(PROVEEDORES[[#This Row],[PROVEEDOR]],Terceros!$A:$D,4,FALSE)</f>
        <v>0</v>
      </c>
      <c r="V955" s="105">
        <f>+YEAR(PROVEEDORES[[#This Row],[FECHA DE FACTURACIÓN]])</f>
        <v>2022</v>
      </c>
      <c r="W955" s="105">
        <f>+MATCH(PROVEEDORES[[#This Row],[año facturado]],Retenciones!$1:$1,0)</f>
        <v>5</v>
      </c>
      <c r="X955" s="106">
        <f>+VLOOKUP(PROVEEDORES[[#This Row],[ID RETENCION]],Retenciones!$A$1:$O$25,PROVEEDORES[[#This Row],[indicador de columna]],FALSE)</f>
        <v>0</v>
      </c>
      <c r="Y955" s="107">
        <f>+VLOOKUP(PROVEEDORES[[#This Row],[ID RETENCION]],Retenciones!$A$1:$O$25,2,FALSE)</f>
        <v>0</v>
      </c>
      <c r="Z955" s="116" t="b">
        <f>OR(COUNTIF(PROVEEDORES[[#This Row],[PROVEEDOR]],"*"&amp;'Palabra no opera'!$A$2&amp;"*"))</f>
        <v>0</v>
      </c>
    </row>
    <row r="956" spans="1:26" ht="22.35" customHeight="1" x14ac:dyDescent="0.3">
      <c r="A956" s="67" t="str">
        <f>+IF(PROVEEDORES[[#This Row],[FECHA DE PAGO]]=PROVEEDORES[[#This Row],[FECHA DE FACTURACIÓN]],"DE CONTADO","CRÉDITO")</f>
        <v>CRÉDITO</v>
      </c>
      <c r="B956" s="38" t="b">
        <f>+IF((PROVEEDORES[[#This Row],[FECHA DE PAGO]]-PROVEEDORES[[#This Row],[FECHA DE FACTURACIÓN]])&gt;PROVEEDORES[[#This Row],[PLAZO Días]],"PAGO VENCIDO")</f>
        <v>0</v>
      </c>
      <c r="C956" s="20">
        <f>+VLOOKUP(PROVEEDORES[[#This Row],[PROVEEDOR]],TERCEROS_INFO[#All],2,FALSE)</f>
        <v>60</v>
      </c>
      <c r="D956" s="25">
        <f>+SUMIFS(PROVEEDORES[Total],PROVEEDORES[PROVEEDOR],PROVEEDORES[[#This Row],[PROVEEDOR]],PROVEEDORES[FECHA DE PAGO],"")</f>
        <v>395600</v>
      </c>
      <c r="E956" s="25"/>
      <c r="F95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6" s="68">
        <v>44870</v>
      </c>
      <c r="H956" s="26" t="s">
        <v>287</v>
      </c>
      <c r="I956" s="68">
        <v>44865</v>
      </c>
      <c r="J956" s="35">
        <v>1521</v>
      </c>
      <c r="K956" s="21">
        <v>324128</v>
      </c>
      <c r="L956" s="21"/>
      <c r="M956" s="22">
        <f>(PROVEEDORES[[#This Row],[SUBTOTAL]]-PROVEEDORES[[#This Row],[descuento sobre subtotal]])*VLOOKUP(PROVEEDORES[[#This Row],[PROVEEDOR]],TERCEROS_INFO[#All],3,FALSE)</f>
        <v>0</v>
      </c>
      <c r="N956" s="23"/>
      <c r="O956" s="22">
        <f>+PROVEEDORES[[#This Row],[Descuento sobre subtotal %]]*(PROVEEDORES[[#This Row],[SUBTOTAL]]-PROVEEDORES[[#This Row],[descuento sobre subtotal]])</f>
        <v>0</v>
      </c>
      <c r="P956" s="74">
        <f>+IF(PROVEEDORES[[#This Row],[SUBTOTAL]]&lt;PROVEEDORES[[#This Row],[base retencion]],0,PROVEEDORES[[#This Row],[retención aplicada]])</f>
        <v>0</v>
      </c>
      <c r="Q956" s="22">
        <f>+PROVEEDORES[[#This Row],[Rete Fuente %]]*(PROVEEDORES[[#This Row],[SUBTOTAL]]-PROVEEDORES[[#This Row],[descuento sobre subtotal]])</f>
        <v>0</v>
      </c>
      <c r="R956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9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63">
        <f ca="1">IF(PROVEEDORES[[#This Row],[FECHA DE PAGO]]=0,TODAY()-PROVEEDORES[[#This Row],[FECHA DE FACTURACIÓN]]-PROVEEDORES[[#This Row],[PLAZO Días]],0)</f>
        <v>0</v>
      </c>
      <c r="U956" s="104">
        <f>+VLOOKUP(PROVEEDORES[[#This Row],[PROVEEDOR]],Terceros!$A:$D,4,FALSE)</f>
        <v>0</v>
      </c>
      <c r="V956" s="105">
        <f>+YEAR(PROVEEDORES[[#This Row],[FECHA DE FACTURACIÓN]])</f>
        <v>2022</v>
      </c>
      <c r="W956" s="105">
        <f>+MATCH(PROVEEDORES[[#This Row],[año facturado]],Retenciones!$1:$1,0)</f>
        <v>5</v>
      </c>
      <c r="X956" s="106">
        <f>+VLOOKUP(PROVEEDORES[[#This Row],[ID RETENCION]],Retenciones!$A$1:$O$25,PROVEEDORES[[#This Row],[indicador de columna]],FALSE)</f>
        <v>0</v>
      </c>
      <c r="Y956" s="107">
        <f>+VLOOKUP(PROVEEDORES[[#This Row],[ID RETENCION]],Retenciones!$A$1:$O$25,2,FALSE)</f>
        <v>0</v>
      </c>
      <c r="Z956" s="116" t="b">
        <f>OR(COUNTIF(PROVEEDORES[[#This Row],[PROVEEDOR]],"*"&amp;'Palabra no opera'!$A$2&amp;"*"))</f>
        <v>0</v>
      </c>
    </row>
    <row r="957" spans="1:26" ht="22.35" customHeight="1" x14ac:dyDescent="0.3">
      <c r="A957" s="67" t="str">
        <f>+IF(PROVEEDORES[[#This Row],[FECHA DE PAGO]]=PROVEEDORES[[#This Row],[FECHA DE FACTURACIÓN]],"DE CONTADO","CRÉDITO")</f>
        <v>CRÉDITO</v>
      </c>
      <c r="B957" s="38" t="b">
        <f>+IF((PROVEEDORES[[#This Row],[FECHA DE PAGO]]-PROVEEDORES[[#This Row],[FECHA DE FACTURACIÓN]])&gt;PROVEEDORES[[#This Row],[PLAZO Días]],"PAGO VENCIDO")</f>
        <v>0</v>
      </c>
      <c r="C957" s="20">
        <f>+VLOOKUP(PROVEEDORES[[#This Row],[PROVEEDOR]],TERCEROS_INFO[#All],2,FALSE)</f>
        <v>60</v>
      </c>
      <c r="D957" s="25">
        <f>+SUMIFS(PROVEEDORES[Total],PROVEEDORES[PROVEEDOR],PROVEEDORES[[#This Row],[PROVEEDOR]],PROVEEDORES[FECHA DE PAGO],"")</f>
        <v>395600</v>
      </c>
      <c r="E957" s="25"/>
      <c r="F95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7" s="68">
        <v>44870</v>
      </c>
      <c r="H957" s="26" t="s">
        <v>287</v>
      </c>
      <c r="I957" s="68">
        <v>44865</v>
      </c>
      <c r="J957" s="35">
        <v>1519</v>
      </c>
      <c r="K957" s="21">
        <v>324128</v>
      </c>
      <c r="L957" s="21"/>
      <c r="M957" s="22">
        <f>(PROVEEDORES[[#This Row],[SUBTOTAL]]-PROVEEDORES[[#This Row],[descuento sobre subtotal]])*VLOOKUP(PROVEEDORES[[#This Row],[PROVEEDOR]],TERCEROS_INFO[#All],3,FALSE)</f>
        <v>0</v>
      </c>
      <c r="N957" s="23"/>
      <c r="O957" s="22">
        <f>+PROVEEDORES[[#This Row],[Descuento sobre subtotal %]]*(PROVEEDORES[[#This Row],[SUBTOTAL]]-PROVEEDORES[[#This Row],[descuento sobre subtotal]])</f>
        <v>0</v>
      </c>
      <c r="P957" s="74">
        <f>+IF(PROVEEDORES[[#This Row],[SUBTOTAL]]&lt;PROVEEDORES[[#This Row],[base retencion]],0,PROVEEDORES[[#This Row],[retención aplicada]])</f>
        <v>0</v>
      </c>
      <c r="Q957" s="22">
        <f>+PROVEEDORES[[#This Row],[Rete Fuente %]]*(PROVEEDORES[[#This Row],[SUBTOTAL]]-PROVEEDORES[[#This Row],[descuento sobre subtotal]])</f>
        <v>0</v>
      </c>
      <c r="R957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9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63">
        <f ca="1">IF(PROVEEDORES[[#This Row],[FECHA DE PAGO]]=0,TODAY()-PROVEEDORES[[#This Row],[FECHA DE FACTURACIÓN]]-PROVEEDORES[[#This Row],[PLAZO Días]],0)</f>
        <v>0</v>
      </c>
      <c r="U957" s="104">
        <f>+VLOOKUP(PROVEEDORES[[#This Row],[PROVEEDOR]],Terceros!$A:$D,4,FALSE)</f>
        <v>0</v>
      </c>
      <c r="V957" s="105">
        <f>+YEAR(PROVEEDORES[[#This Row],[FECHA DE FACTURACIÓN]])</f>
        <v>2022</v>
      </c>
      <c r="W957" s="105">
        <f>+MATCH(PROVEEDORES[[#This Row],[año facturado]],Retenciones!$1:$1,0)</f>
        <v>5</v>
      </c>
      <c r="X957" s="106">
        <f>+VLOOKUP(PROVEEDORES[[#This Row],[ID RETENCION]],Retenciones!$A$1:$O$25,PROVEEDORES[[#This Row],[indicador de columna]],FALSE)</f>
        <v>0</v>
      </c>
      <c r="Y957" s="107">
        <f>+VLOOKUP(PROVEEDORES[[#This Row],[ID RETENCION]],Retenciones!$A$1:$O$25,2,FALSE)</f>
        <v>0</v>
      </c>
      <c r="Z957" s="116" t="b">
        <f>OR(COUNTIF(PROVEEDORES[[#This Row],[PROVEEDOR]],"*"&amp;'Palabra no opera'!$A$2&amp;"*"))</f>
        <v>0</v>
      </c>
    </row>
    <row r="958" spans="1:26" ht="22.35" customHeight="1" x14ac:dyDescent="0.3">
      <c r="A958" s="67" t="str">
        <f>+IF(PROVEEDORES[[#This Row],[FECHA DE PAGO]]=PROVEEDORES[[#This Row],[FECHA DE FACTURACIÓN]],"DE CONTADO","CRÉDITO")</f>
        <v>CRÉDITO</v>
      </c>
      <c r="B958" s="38" t="b">
        <f>+IF((PROVEEDORES[[#This Row],[FECHA DE PAGO]]-PROVEEDORES[[#This Row],[FECHA DE FACTURACIÓN]])&gt;PROVEEDORES[[#This Row],[PLAZO Días]],"PAGO VENCIDO")</f>
        <v>0</v>
      </c>
      <c r="C958" s="20">
        <f>+VLOOKUP(PROVEEDORES[[#This Row],[PROVEEDOR]],TERCEROS_INFO[#All],2,FALSE)</f>
        <v>60</v>
      </c>
      <c r="D958" s="25">
        <f>+SUMIFS(PROVEEDORES[Total],PROVEEDORES[PROVEEDOR],PROVEEDORES[[#This Row],[PROVEEDOR]],PROVEEDORES[FECHA DE PAGO],"")</f>
        <v>395600</v>
      </c>
      <c r="E958" s="25"/>
      <c r="F95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8" s="68">
        <v>44870</v>
      </c>
      <c r="H958" s="26" t="s">
        <v>287</v>
      </c>
      <c r="I958" s="68">
        <v>44865</v>
      </c>
      <c r="J958" s="35">
        <v>1522</v>
      </c>
      <c r="K958" s="21">
        <v>364644</v>
      </c>
      <c r="L958" s="21"/>
      <c r="M958" s="22">
        <f>(PROVEEDORES[[#This Row],[SUBTOTAL]]-PROVEEDORES[[#This Row],[descuento sobre subtotal]])*VLOOKUP(PROVEEDORES[[#This Row],[PROVEEDOR]],TERCEROS_INFO[#All],3,FALSE)</f>
        <v>0</v>
      </c>
      <c r="N958" s="23"/>
      <c r="O958" s="22">
        <f>+PROVEEDORES[[#This Row],[Descuento sobre subtotal %]]*(PROVEEDORES[[#This Row],[SUBTOTAL]]-PROVEEDORES[[#This Row],[descuento sobre subtotal]])</f>
        <v>0</v>
      </c>
      <c r="P958" s="74">
        <f>+IF(PROVEEDORES[[#This Row],[SUBTOTAL]]&lt;PROVEEDORES[[#This Row],[base retencion]],0,PROVEEDORES[[#This Row],[retención aplicada]])</f>
        <v>0</v>
      </c>
      <c r="Q958" s="22">
        <f>+PROVEEDORES[[#This Row],[Rete Fuente %]]*(PROVEEDORES[[#This Row],[SUBTOTAL]]-PROVEEDORES[[#This Row],[descuento sobre subtotal]])</f>
        <v>0</v>
      </c>
      <c r="R958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9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63">
        <f ca="1">IF(PROVEEDORES[[#This Row],[FECHA DE PAGO]]=0,TODAY()-PROVEEDORES[[#This Row],[FECHA DE FACTURACIÓN]]-PROVEEDORES[[#This Row],[PLAZO Días]],0)</f>
        <v>0</v>
      </c>
      <c r="U958" s="104">
        <f>+VLOOKUP(PROVEEDORES[[#This Row],[PROVEEDOR]],Terceros!$A:$D,4,FALSE)</f>
        <v>0</v>
      </c>
      <c r="V958" s="105">
        <f>+YEAR(PROVEEDORES[[#This Row],[FECHA DE FACTURACIÓN]])</f>
        <v>2022</v>
      </c>
      <c r="W958" s="105">
        <f>+MATCH(PROVEEDORES[[#This Row],[año facturado]],Retenciones!$1:$1,0)</f>
        <v>5</v>
      </c>
      <c r="X958" s="106">
        <f>+VLOOKUP(PROVEEDORES[[#This Row],[ID RETENCION]],Retenciones!$A$1:$O$25,PROVEEDORES[[#This Row],[indicador de columna]],FALSE)</f>
        <v>0</v>
      </c>
      <c r="Y958" s="107">
        <f>+VLOOKUP(PROVEEDORES[[#This Row],[ID RETENCION]],Retenciones!$A$1:$O$25,2,FALSE)</f>
        <v>0</v>
      </c>
      <c r="Z958" s="116" t="b">
        <f>OR(COUNTIF(PROVEEDORES[[#This Row],[PROVEEDOR]],"*"&amp;'Palabra no opera'!$A$2&amp;"*"))</f>
        <v>0</v>
      </c>
    </row>
    <row r="959" spans="1:26" ht="22.35" customHeight="1" x14ac:dyDescent="0.3">
      <c r="A959" s="67" t="str">
        <f>+IF(PROVEEDORES[[#This Row],[FECHA DE PAGO]]=PROVEEDORES[[#This Row],[FECHA DE FACTURACIÓN]],"DE CONTADO","CRÉDITO")</f>
        <v>CRÉDITO</v>
      </c>
      <c r="B959" s="38" t="b">
        <f>+IF((PROVEEDORES[[#This Row],[FECHA DE PAGO]]-PROVEEDORES[[#This Row],[FECHA DE FACTURACIÓN]])&gt;PROVEEDORES[[#This Row],[PLAZO Días]],"PAGO VENCIDO")</f>
        <v>0</v>
      </c>
      <c r="C959" s="20">
        <f>+VLOOKUP(PROVEEDORES[[#This Row],[PROVEEDOR]],TERCEROS_INFO[#All],2,FALSE)</f>
        <v>45</v>
      </c>
      <c r="D959" s="25">
        <f>+SUMIFS(PROVEEDORES[Total],PROVEEDORES[PROVEEDOR],PROVEEDORES[[#This Row],[PROVEEDOR]],PROVEEDORES[FECHA DE PAGO],"")</f>
        <v>3074500</v>
      </c>
      <c r="E959" s="25"/>
      <c r="F95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59" s="68">
        <v>44870</v>
      </c>
      <c r="H959" s="26" t="s">
        <v>289</v>
      </c>
      <c r="I959" s="68">
        <v>44861</v>
      </c>
      <c r="J959" s="35">
        <v>1513</v>
      </c>
      <c r="K959" s="21">
        <v>2025800</v>
      </c>
      <c r="L959" s="21"/>
      <c r="M959" s="22">
        <f>(PROVEEDORES[[#This Row],[SUBTOTAL]]-PROVEEDORES[[#This Row],[descuento sobre subtotal]])*VLOOKUP(PROVEEDORES[[#This Row],[PROVEEDOR]],TERCEROS_INFO[#All],3,FALSE)</f>
        <v>0</v>
      </c>
      <c r="N959" s="23"/>
      <c r="O959" s="22">
        <f>+PROVEEDORES[[#This Row],[Descuento sobre subtotal %]]*(PROVEEDORES[[#This Row],[SUBTOTAL]]-PROVEEDORES[[#This Row],[descuento sobre subtotal]])</f>
        <v>0</v>
      </c>
      <c r="P959" s="74">
        <f>+IF(PROVEEDORES[[#This Row],[SUBTOTAL]]&lt;PROVEEDORES[[#This Row],[base retencion]],0,PROVEEDORES[[#This Row],[retención aplicada]])</f>
        <v>0</v>
      </c>
      <c r="Q959" s="22">
        <f>+PROVEEDORES[[#This Row],[Rete Fuente %]]*(PROVEEDORES[[#This Row],[SUBTOTAL]]-PROVEEDORES[[#This Row],[descuento sobre subtotal]])</f>
        <v>0</v>
      </c>
      <c r="R959" s="21">
        <f>+PROVEEDORES[[#This Row],[SUBTOTAL]]+PROVEEDORES[[#This Row],[IVA 19%]]-PROVEEDORES[[#This Row],[descuento sobre subtotal]]-PROVEEDORES[[#This Row],[Descuento sobre subtotal $2]]-PROVEEDORES[[#This Row],[Rete Fuente $]]</f>
        <v>2025800</v>
      </c>
      <c r="S9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63">
        <f ca="1">IF(PROVEEDORES[[#This Row],[FECHA DE PAGO]]=0,TODAY()-PROVEEDORES[[#This Row],[FECHA DE FACTURACIÓN]]-PROVEEDORES[[#This Row],[PLAZO Días]],0)</f>
        <v>0</v>
      </c>
      <c r="U959" s="104">
        <f>+VLOOKUP(PROVEEDORES[[#This Row],[PROVEEDOR]],Terceros!$A:$D,4,FALSE)</f>
        <v>0</v>
      </c>
      <c r="V959" s="105">
        <f>+YEAR(PROVEEDORES[[#This Row],[FECHA DE FACTURACIÓN]])</f>
        <v>2022</v>
      </c>
      <c r="W959" s="105">
        <f>+MATCH(PROVEEDORES[[#This Row],[año facturado]],Retenciones!$1:$1,0)</f>
        <v>5</v>
      </c>
      <c r="X959" s="106">
        <f>+VLOOKUP(PROVEEDORES[[#This Row],[ID RETENCION]],Retenciones!$A$1:$O$25,PROVEEDORES[[#This Row],[indicador de columna]],FALSE)</f>
        <v>0</v>
      </c>
      <c r="Y959" s="107">
        <f>+VLOOKUP(PROVEEDORES[[#This Row],[ID RETENCION]],Retenciones!$A$1:$O$25,2,FALSE)</f>
        <v>0</v>
      </c>
      <c r="Z959" s="116" t="b">
        <f>OR(COUNTIF(PROVEEDORES[[#This Row],[PROVEEDOR]],"*"&amp;'Palabra no opera'!$A$2&amp;"*"))</f>
        <v>0</v>
      </c>
    </row>
    <row r="960" spans="1:26" ht="22.35" customHeight="1" x14ac:dyDescent="0.3">
      <c r="A960" s="222" t="str">
        <f>+IF(PROVEEDORES[[#This Row],[FECHA DE PAGO]]=PROVEEDORES[[#This Row],[FECHA DE FACTURACIÓN]],"DE CONTADO","CRÉDITO")</f>
        <v>CRÉDITO</v>
      </c>
      <c r="B960" s="38" t="str">
        <f>+IF((PROVEEDORES[[#This Row],[FECHA DE PAGO]]-PROVEEDORES[[#This Row],[FECHA DE FACTURACIÓN]])&gt;PROVEEDORES[[#This Row],[PLAZO Días]],"PAGO VENCIDO")</f>
        <v>PAGO VENCIDO</v>
      </c>
      <c r="C960" s="20">
        <f>+VLOOKUP(PROVEEDORES[[#This Row],[PROVEEDOR]],TERCEROS_INFO[#All],2,FALSE)</f>
        <v>30</v>
      </c>
      <c r="D960" s="25">
        <f>+SUMIFS(PROVEEDORES[Total],PROVEEDORES[PROVEEDOR],PROVEEDORES[[#This Row],[PROVEEDOR]],PROVEEDORES[FECHA DE PAGO],"")</f>
        <v>0</v>
      </c>
      <c r="E960" s="25"/>
      <c r="F960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960" s="68">
        <v>44874</v>
      </c>
      <c r="H960" s="231" t="s">
        <v>400</v>
      </c>
      <c r="I960" s="68">
        <v>44832</v>
      </c>
      <c r="J960" s="35" t="s">
        <v>1154</v>
      </c>
      <c r="K960" s="21">
        <v>450000</v>
      </c>
      <c r="L960" s="21"/>
      <c r="M960" s="22">
        <f>(PROVEEDORES[[#This Row],[SUBTOTAL]]-PROVEEDORES[[#This Row],[descuento sobre subtotal]])*VLOOKUP(PROVEEDORES[[#This Row],[PROVEEDOR]],TERCEROS_INFO[#All],3,FALSE)</f>
        <v>0</v>
      </c>
      <c r="N960" s="23"/>
      <c r="O960" s="22">
        <f>+PROVEEDORES[[#This Row],[Descuento sobre subtotal %]]*(PROVEEDORES[[#This Row],[SUBTOTAL]]-PROVEEDORES[[#This Row],[descuento sobre subtotal]])</f>
        <v>0</v>
      </c>
      <c r="P960" s="74">
        <f>+IF(PROVEEDORES[[#This Row],[SUBTOTAL]]&lt;PROVEEDORES[[#This Row],[base retencion]],0,PROVEEDORES[[#This Row],[retención aplicada]])</f>
        <v>0</v>
      </c>
      <c r="Q960" s="22">
        <f>+PROVEEDORES[[#This Row],[Rete Fuente %]]*(PROVEEDORES[[#This Row],[SUBTOTAL]]-PROVEEDORES[[#This Row],[descuento sobre subtotal]])</f>
        <v>0</v>
      </c>
      <c r="R960" s="21">
        <f>+PROVEEDORES[[#This Row],[SUBTOTAL]]+PROVEEDORES[[#This Row],[IVA 19%]]-PROVEEDORES[[#This Row],[descuento sobre subtotal]]-PROVEEDORES[[#This Row],[Descuento sobre subtotal $2]]-PROVEEDORES[[#This Row],[Rete Fuente $]]</f>
        <v>450000</v>
      </c>
      <c r="S960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63">
        <f ca="1">IF(PROVEEDORES[[#This Row],[FECHA DE PAGO]]=0,TODAY()-PROVEEDORES[[#This Row],[FECHA DE FACTURACIÓN]]-PROVEEDORES[[#This Row],[PLAZO Días]],0)</f>
        <v>0</v>
      </c>
      <c r="U960" s="104">
        <f>+VLOOKUP(PROVEEDORES[[#This Row],[PROVEEDOR]],Terceros!$A:$D,4,FALSE)</f>
        <v>0</v>
      </c>
      <c r="V960" s="105">
        <f>+YEAR(PROVEEDORES[[#This Row],[FECHA DE FACTURACIÓN]])</f>
        <v>2022</v>
      </c>
      <c r="W960" s="105">
        <f>+MATCH(PROVEEDORES[[#This Row],[año facturado]],Retenciones!$1:$1,0)</f>
        <v>5</v>
      </c>
      <c r="X960" s="106">
        <f>+VLOOKUP(PROVEEDORES[[#This Row],[ID RETENCION]],Retenciones!$A$1:$O$25,PROVEEDORES[[#This Row],[indicador de columna]],FALSE)</f>
        <v>0</v>
      </c>
      <c r="Y960" s="107">
        <f>+VLOOKUP(PROVEEDORES[[#This Row],[ID RETENCION]],Retenciones!$A$1:$O$25,2,FALSE)</f>
        <v>0</v>
      </c>
      <c r="Z960" s="116" t="b">
        <f>OR(COUNTIF(PROVEEDORES[[#This Row],[PROVEEDOR]],"*"&amp;'Palabra no opera'!$A$2&amp;"*"))</f>
        <v>0</v>
      </c>
    </row>
    <row r="961" spans="1:26" ht="22.35" customHeight="1" x14ac:dyDescent="0.3">
      <c r="A961" s="232" t="str">
        <f>+IF(PROVEEDORES[[#This Row],[FECHA DE PAGO]]=PROVEEDORES[[#This Row],[FECHA DE FACTURACIÓN]],"DE CONTADO","CRÉDITO")</f>
        <v>CRÉDITO</v>
      </c>
      <c r="B961" s="38" t="b">
        <f>+IF((PROVEEDORES[[#This Row],[FECHA DE PAGO]]-PROVEEDORES[[#This Row],[FECHA DE FACTURACIÓN]])&gt;PROVEEDORES[[#This Row],[PLAZO Días]],"PAGO VENCIDO")</f>
        <v>0</v>
      </c>
      <c r="C961" s="20">
        <f>+VLOOKUP(PROVEEDORES[[#This Row],[PROVEEDOR]],TERCEROS_INFO[#All],2,FALSE)</f>
        <v>30</v>
      </c>
      <c r="D961" s="25">
        <f>+SUMIFS(PROVEEDORES[Total],PROVEEDORES[PROVEEDOR],PROVEEDORES[[#This Row],[PROVEEDOR]],PROVEEDORES[FECHA DE PAGO],"")</f>
        <v>0</v>
      </c>
      <c r="E961" s="25"/>
      <c r="F96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1" s="68">
        <v>44875</v>
      </c>
      <c r="H961" s="26" t="s">
        <v>623</v>
      </c>
      <c r="I961" s="68">
        <v>44866</v>
      </c>
      <c r="J961" s="35" t="s">
        <v>1258</v>
      </c>
      <c r="K961" s="21">
        <v>791781</v>
      </c>
      <c r="L961" s="21"/>
      <c r="M961" s="22">
        <f>(PROVEEDORES[[#This Row],[SUBTOTAL]]-PROVEEDORES[[#This Row],[descuento sobre subtotal]])*VLOOKUP(PROVEEDORES[[#This Row],[PROVEEDOR]],TERCEROS_INFO[#All],3,FALSE)</f>
        <v>150438.39000000001</v>
      </c>
      <c r="N961" s="23"/>
      <c r="O961" s="22">
        <f>+PROVEEDORES[[#This Row],[Descuento sobre subtotal %]]*(PROVEEDORES[[#This Row],[SUBTOTAL]]-PROVEEDORES[[#This Row],[descuento sobre subtotal]])</f>
        <v>0</v>
      </c>
      <c r="P961" s="74">
        <v>0</v>
      </c>
      <c r="Q961" s="22">
        <f>+PROVEEDORES[[#This Row],[Rete Fuente %]]*(PROVEEDORES[[#This Row],[SUBTOTAL]]-PROVEEDORES[[#This Row],[descuento sobre subtotal]])</f>
        <v>0</v>
      </c>
      <c r="R961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96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63">
        <f ca="1">IF(PROVEEDORES[[#This Row],[FECHA DE PAGO]]=0,TODAY()-PROVEEDORES[[#This Row],[FECHA DE FACTURACIÓN]]-PROVEEDORES[[#This Row],[PLAZO Días]],0)</f>
        <v>0</v>
      </c>
      <c r="U961" s="104" t="str">
        <f>+VLOOKUP(PROVEEDORES[[#This Row],[PROVEEDOR]],Terceros!$A:$D,4,FALSE)</f>
        <v>4% sin base</v>
      </c>
      <c r="V961" s="105">
        <f>+YEAR(PROVEEDORES[[#This Row],[FECHA DE FACTURACIÓN]])</f>
        <v>2022</v>
      </c>
      <c r="W961" s="105">
        <f>+MATCH(PROVEEDORES[[#This Row],[año facturado]],Retenciones!$1:$1,0)</f>
        <v>5</v>
      </c>
      <c r="X961" s="106">
        <f>+VLOOKUP(PROVEEDORES[[#This Row],[ID RETENCION]],Retenciones!$A$1:$O$25,PROVEEDORES[[#This Row],[indicador de columna]],FALSE)</f>
        <v>0</v>
      </c>
      <c r="Y961" s="107">
        <f>+VLOOKUP(PROVEEDORES[[#This Row],[ID RETENCION]],Retenciones!$A$1:$O$25,2,FALSE)</f>
        <v>0.04</v>
      </c>
      <c r="Z961" s="116" t="b">
        <f>OR(COUNTIF(PROVEEDORES[[#This Row],[PROVEEDOR]],"*"&amp;'Palabra no opera'!$A$2&amp;"*"))</f>
        <v>1</v>
      </c>
    </row>
    <row r="962" spans="1:26" ht="22.35" customHeight="1" x14ac:dyDescent="0.3">
      <c r="A962" s="232" t="str">
        <f>+IF(PROVEEDORES[[#This Row],[FECHA DE PAGO]]=PROVEEDORES[[#This Row],[FECHA DE FACTURACIÓN]],"DE CONTADO","CRÉDITO")</f>
        <v>CRÉDITO</v>
      </c>
      <c r="B962" s="38" t="b">
        <f>+IF((PROVEEDORES[[#This Row],[FECHA DE PAGO]]-PROVEEDORES[[#This Row],[FECHA DE FACTURACIÓN]])&gt;PROVEEDORES[[#This Row],[PLAZO Días]],"PAGO VENCIDO")</f>
        <v>0</v>
      </c>
      <c r="C962" s="20">
        <f>+VLOOKUP(PROVEEDORES[[#This Row],[PROVEEDOR]],TERCEROS_INFO[#All],2,FALSE)</f>
        <v>30</v>
      </c>
      <c r="D962" s="25">
        <f>+SUMIFS(PROVEEDORES[Total],PROVEEDORES[PROVEEDOR],PROVEEDORES[[#This Row],[PROVEEDOR]],PROVEEDORES[FECHA DE PAGO],"")</f>
        <v>0</v>
      </c>
      <c r="E962" s="25"/>
      <c r="F96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62" s="68">
        <v>44875</v>
      </c>
      <c r="H962" s="26" t="s">
        <v>623</v>
      </c>
      <c r="I962" s="68">
        <v>44866</v>
      </c>
      <c r="J962" s="35" t="s">
        <v>1259</v>
      </c>
      <c r="K962" s="21">
        <v>3294426</v>
      </c>
      <c r="L962" s="21"/>
      <c r="M962" s="22">
        <f>(PROVEEDORES[[#This Row],[SUBTOTAL]]-PROVEEDORES[[#This Row],[descuento sobre subtotal]])*VLOOKUP(PROVEEDORES[[#This Row],[PROVEEDOR]],TERCEROS_INFO[#All],3,FALSE)</f>
        <v>625940.94000000006</v>
      </c>
      <c r="N962" s="23"/>
      <c r="O962" s="22">
        <f>+PROVEEDORES[[#This Row],[Descuento sobre subtotal %]]*(PROVEEDORES[[#This Row],[SUBTOTAL]]-PROVEEDORES[[#This Row],[descuento sobre subtotal]])</f>
        <v>0</v>
      </c>
      <c r="P962" s="74">
        <v>0</v>
      </c>
      <c r="Q962" s="22">
        <f>+PROVEEDORES[[#This Row],[Rete Fuente %]]*(PROVEEDORES[[#This Row],[SUBTOTAL]]-PROVEEDORES[[#This Row],[descuento sobre subtotal]])</f>
        <v>0</v>
      </c>
      <c r="R962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96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63">
        <f ca="1">IF(PROVEEDORES[[#This Row],[FECHA DE PAGO]]=0,TODAY()-PROVEEDORES[[#This Row],[FECHA DE FACTURACIÓN]]-PROVEEDORES[[#This Row],[PLAZO Días]],0)</f>
        <v>0</v>
      </c>
      <c r="U962" s="104" t="str">
        <f>+VLOOKUP(PROVEEDORES[[#This Row],[PROVEEDOR]],Terceros!$A:$D,4,FALSE)</f>
        <v>4% sin base</v>
      </c>
      <c r="V962" s="105">
        <f>+YEAR(PROVEEDORES[[#This Row],[FECHA DE FACTURACIÓN]])</f>
        <v>2022</v>
      </c>
      <c r="W962" s="105">
        <f>+MATCH(PROVEEDORES[[#This Row],[año facturado]],Retenciones!$1:$1,0)</f>
        <v>5</v>
      </c>
      <c r="X962" s="106">
        <f>+VLOOKUP(PROVEEDORES[[#This Row],[ID RETENCION]],Retenciones!$A$1:$O$25,PROVEEDORES[[#This Row],[indicador de columna]],FALSE)</f>
        <v>0</v>
      </c>
      <c r="Y962" s="107">
        <f>+VLOOKUP(PROVEEDORES[[#This Row],[ID RETENCION]],Retenciones!$A$1:$O$25,2,FALSE)</f>
        <v>0.04</v>
      </c>
      <c r="Z962" s="116" t="b">
        <f>OR(COUNTIF(PROVEEDORES[[#This Row],[PROVEEDOR]],"*"&amp;'Palabra no opera'!$A$2&amp;"*"))</f>
        <v>1</v>
      </c>
    </row>
    <row r="963" spans="1:26" ht="22.35" customHeight="1" x14ac:dyDescent="0.3">
      <c r="A963" s="232" t="str">
        <f>+IF(PROVEEDORES[[#This Row],[FECHA DE PAGO]]=PROVEEDORES[[#This Row],[FECHA DE FACTURACIÓN]],"DE CONTADO","CRÉDITO")</f>
        <v>CRÉDITO</v>
      </c>
      <c r="B963" s="38" t="b">
        <f>+IF((PROVEEDORES[[#This Row],[FECHA DE PAGO]]-PROVEEDORES[[#This Row],[FECHA DE FACTURACIÓN]])&gt;PROVEEDORES[[#This Row],[PLAZO Días]],"PAGO VENCIDO")</f>
        <v>0</v>
      </c>
      <c r="C963" s="20">
        <f>+VLOOKUP(PROVEEDORES[[#This Row],[PROVEEDOR]],TERCEROS_INFO[#All],2,FALSE)</f>
        <v>10</v>
      </c>
      <c r="D963" s="25">
        <f>+SUMIFS(PROVEEDORES[Total],PROVEEDORES[PROVEEDOR],PROVEEDORES[[#This Row],[PROVEEDOR]],PROVEEDORES[FECHA DE PAGO],"")</f>
        <v>0</v>
      </c>
      <c r="E963" s="25"/>
      <c r="F963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963" s="68">
        <v>44875</v>
      </c>
      <c r="H963" s="26" t="s">
        <v>1202</v>
      </c>
      <c r="I963" s="68">
        <v>44866</v>
      </c>
      <c r="J963" s="35" t="s">
        <v>1260</v>
      </c>
      <c r="K963" s="21">
        <v>5628700</v>
      </c>
      <c r="L963" s="21"/>
      <c r="M963" s="22">
        <f>(PROVEEDORES[[#This Row],[SUBTOTAL]]-PROVEEDORES[[#This Row],[descuento sobre subtotal]])*VLOOKUP(PROVEEDORES[[#This Row],[PROVEEDOR]],TERCEROS_INFO[#All],3,FALSE)</f>
        <v>0</v>
      </c>
      <c r="N963" s="23"/>
      <c r="O963" s="22">
        <f>+PROVEEDORES[[#This Row],[Descuento sobre subtotal %]]*(PROVEEDORES[[#This Row],[SUBTOTAL]]-PROVEEDORES[[#This Row],[descuento sobre subtotal]])</f>
        <v>0</v>
      </c>
      <c r="P963" s="74">
        <f>+IF(PROVEEDORES[[#This Row],[SUBTOTAL]]&lt;PROVEEDORES[[#This Row],[base retencion]],0,PROVEEDORES[[#This Row],[retención aplicada]])</f>
        <v>0</v>
      </c>
      <c r="Q963" s="22">
        <f>+PROVEEDORES[[#This Row],[Rete Fuente %]]*(PROVEEDORES[[#This Row],[SUBTOTAL]]-PROVEEDORES[[#This Row],[descuento sobre subtotal]])</f>
        <v>0</v>
      </c>
      <c r="R963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963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63">
        <f ca="1">IF(PROVEEDORES[[#This Row],[FECHA DE PAGO]]=0,TODAY()-PROVEEDORES[[#This Row],[FECHA DE FACTURACIÓN]]-PROVEEDORES[[#This Row],[PLAZO Días]],0)</f>
        <v>0</v>
      </c>
      <c r="U963" s="104">
        <f>+VLOOKUP(PROVEEDORES[[#This Row],[PROVEEDOR]],Terceros!$A:$D,4,FALSE)</f>
        <v>0</v>
      </c>
      <c r="V963" s="105">
        <f>+YEAR(PROVEEDORES[[#This Row],[FECHA DE FACTURACIÓN]])</f>
        <v>2022</v>
      </c>
      <c r="W963" s="105">
        <f>+MATCH(PROVEEDORES[[#This Row],[año facturado]],Retenciones!$1:$1,0)</f>
        <v>5</v>
      </c>
      <c r="X963" s="106">
        <f>+VLOOKUP(PROVEEDORES[[#This Row],[ID RETENCION]],Retenciones!$A$1:$O$25,PROVEEDORES[[#This Row],[indicador de columna]],FALSE)</f>
        <v>0</v>
      </c>
      <c r="Y963" s="107">
        <f>+VLOOKUP(PROVEEDORES[[#This Row],[ID RETENCION]],Retenciones!$A$1:$O$25,2,FALSE)</f>
        <v>0</v>
      </c>
      <c r="Z963" s="116" t="b">
        <f>OR(COUNTIF(PROVEEDORES[[#This Row],[PROVEEDOR]],"*"&amp;'Palabra no opera'!$A$2&amp;"*"))</f>
        <v>1</v>
      </c>
    </row>
    <row r="964" spans="1:26" ht="22.35" customHeight="1" x14ac:dyDescent="0.3">
      <c r="A964" s="232" t="str">
        <f>+IF(PROVEEDORES[[#This Row],[FECHA DE PAGO]]=PROVEEDORES[[#This Row],[FECHA DE FACTURACIÓN]],"DE CONTADO","CRÉDITO")</f>
        <v>CRÉDITO</v>
      </c>
      <c r="B964" s="38" t="b">
        <f>+IF((PROVEEDORES[[#This Row],[FECHA DE PAGO]]-PROVEEDORES[[#This Row],[FECHA DE FACTURACIÓN]])&gt;PROVEEDORES[[#This Row],[PLAZO Días]],"PAGO VENCIDO")</f>
        <v>0</v>
      </c>
      <c r="C964" s="20">
        <f>+VLOOKUP(PROVEEDORES[[#This Row],[PROVEEDOR]],TERCEROS_INFO[#All],2,FALSE)</f>
        <v>30</v>
      </c>
      <c r="D964" s="25">
        <f>+SUMIFS(PROVEEDORES[Total],PROVEEDORES[PROVEEDOR],PROVEEDORES[[#This Row],[PROVEEDOR]],PROVEEDORES[FECHA DE PAGO],"")</f>
        <v>0</v>
      </c>
      <c r="E964" s="25"/>
      <c r="F964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964" s="68">
        <v>44876</v>
      </c>
      <c r="H964" s="26" t="s">
        <v>857</v>
      </c>
      <c r="I964" s="68">
        <v>44873</v>
      </c>
      <c r="J964" s="35" t="s">
        <v>1261</v>
      </c>
      <c r="K964" s="21">
        <v>1218488</v>
      </c>
      <c r="L964" s="21"/>
      <c r="M964" s="22">
        <f>(PROVEEDORES[[#This Row],[SUBTOTAL]]-PROVEEDORES[[#This Row],[descuento sobre subtotal]])*VLOOKUP(PROVEEDORES[[#This Row],[PROVEEDOR]],TERCEROS_INFO[#All],3,FALSE)</f>
        <v>231512.72</v>
      </c>
      <c r="N964" s="23">
        <v>0</v>
      </c>
      <c r="O964" s="22">
        <v>0</v>
      </c>
      <c r="P964" s="74">
        <v>0</v>
      </c>
      <c r="Q964" s="22">
        <f>+PROVEEDORES[[#This Row],[Rete Fuente %]]*(PROVEEDORES[[#This Row],[SUBTOTAL]]-PROVEEDORES[[#This Row],[descuento sobre subtotal]])</f>
        <v>0</v>
      </c>
      <c r="R964" s="21">
        <f>+PROVEEDORES[[#This Row],[SUBTOTAL]]+PROVEEDORES[[#This Row],[IVA 19%]]-PROVEEDORES[[#This Row],[descuento sobre subtotal]]-PROVEEDORES[[#This Row],[Descuento sobre subtotal $2]]-PROVEEDORES[[#This Row],[Rete Fuente $]]</f>
        <v>1450000.72</v>
      </c>
      <c r="S964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63">
        <f ca="1">IF(PROVEEDORES[[#This Row],[FECHA DE PAGO]]=0,TODAY()-PROVEEDORES[[#This Row],[FECHA DE FACTURACIÓN]]-PROVEEDORES[[#This Row],[PLAZO Días]],0)</f>
        <v>0</v>
      </c>
      <c r="U964" s="104" t="str">
        <f>+VLOOKUP(PROVEEDORES[[#This Row],[PROVEEDOR]],Terceros!$A:$D,4,FALSE)</f>
        <v>2,5% con base</v>
      </c>
      <c r="V964" s="105">
        <f>+YEAR(PROVEEDORES[[#This Row],[FECHA DE FACTURACIÓN]])</f>
        <v>2022</v>
      </c>
      <c r="W964" s="105">
        <f>+MATCH(PROVEEDORES[[#This Row],[año facturado]],Retenciones!$1:$1,0)</f>
        <v>5</v>
      </c>
      <c r="X964" s="106">
        <f>+VLOOKUP(PROVEEDORES[[#This Row],[ID RETENCION]],Retenciones!$A$1:$O$25,PROVEEDORES[[#This Row],[indicador de columna]],FALSE)</f>
        <v>1026000</v>
      </c>
      <c r="Y964" s="107">
        <f>+VLOOKUP(PROVEEDORES[[#This Row],[ID RETENCION]],Retenciones!$A$1:$O$25,2,FALSE)</f>
        <v>2.5000000000000001E-2</v>
      </c>
      <c r="Z964" s="116" t="b">
        <f>OR(COUNTIF(PROVEEDORES[[#This Row],[PROVEEDOR]],"*"&amp;'Palabra no opera'!$A$2&amp;"*"))</f>
        <v>0</v>
      </c>
    </row>
    <row r="965" spans="1:26" ht="22.35" customHeight="1" x14ac:dyDescent="0.3">
      <c r="A965" s="247" t="str">
        <f>+IF(PROVEEDORES[[#This Row],[FECHA DE PAGO]]=PROVEEDORES[[#This Row],[FECHA DE FACTURACIÓN]],"DE CONTADO","CRÉDITO")</f>
        <v>DE CONTADO</v>
      </c>
      <c r="B965" s="38" t="b">
        <f>+IF((PROVEEDORES[[#This Row],[FECHA DE PAGO]]-PROVEEDORES[[#This Row],[FECHA DE FACTURACIÓN]])&gt;PROVEEDORES[[#This Row],[PLAZO Días]],"PAGO VENCIDO")</f>
        <v>0</v>
      </c>
      <c r="C965" s="20">
        <f>+VLOOKUP(PROVEEDORES[[#This Row],[PROVEEDOR]],TERCEROS_INFO[#All],2,FALSE)</f>
        <v>30</v>
      </c>
      <c r="D965" s="25">
        <f>+SUMIFS(PROVEEDORES[Total],PROVEEDORES[PROVEEDOR],PROVEEDORES[[#This Row],[PROVEEDOR]],PROVEEDORES[FECHA DE PAGO],"")</f>
        <v>0</v>
      </c>
      <c r="E965" s="25"/>
      <c r="F965" s="56" t="str">
        <f>+VLOOKUP(PROVEEDORES[[#This Row],[PROVEEDOR]],
                       Terceros!$A:$F,
                       5,
                       FALSE)</f>
        <v/>
      </c>
      <c r="G965" s="68">
        <v>44880</v>
      </c>
      <c r="H965" s="26" t="s">
        <v>23</v>
      </c>
      <c r="I965" s="68">
        <v>44880</v>
      </c>
      <c r="J965" s="35">
        <v>255561</v>
      </c>
      <c r="K965" s="21">
        <v>12733708</v>
      </c>
      <c r="L965" s="21"/>
      <c r="M965" s="22">
        <f>(PROVEEDORES[[#This Row],[SUBTOTAL]]-PROVEEDORES[[#This Row],[descuento sobre subtotal]])*VLOOKUP(PROVEEDORES[[#This Row],[PROVEEDOR]],TERCEROS_INFO[#All],3,FALSE)</f>
        <v>0</v>
      </c>
      <c r="N965" s="23"/>
      <c r="O965" s="22">
        <f>+PROVEEDORES[[#This Row],[Descuento sobre subtotal %]]*(PROVEEDORES[[#This Row],[SUBTOTAL]]-PROVEEDORES[[#This Row],[descuento sobre subtotal]])</f>
        <v>0</v>
      </c>
      <c r="P965" s="74">
        <f>+IF(PROVEEDORES[[#This Row],[SUBTOTAL]]&lt;PROVEEDORES[[#This Row],[base retencion]],0,PROVEEDORES[[#This Row],[retención aplicada]])</f>
        <v>0</v>
      </c>
      <c r="Q965" s="22">
        <f>+PROVEEDORES[[#This Row],[Rete Fuente %]]*(PROVEEDORES[[#This Row],[SUBTOTAL]]-PROVEEDORES[[#This Row],[descuento sobre subtotal]])</f>
        <v>0</v>
      </c>
      <c r="R965" s="21">
        <f>+PROVEEDORES[[#This Row],[SUBTOTAL]]+PROVEEDORES[[#This Row],[IVA 19%]]-PROVEEDORES[[#This Row],[descuento sobre subtotal]]-PROVEEDORES[[#This Row],[Descuento sobre subtotal $2]]-PROVEEDORES[[#This Row],[Rete Fuente $]]</f>
        <v>12733708</v>
      </c>
      <c r="S965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63">
        <f ca="1">IF(PROVEEDORES[[#This Row],[FECHA DE PAGO]]=0,TODAY()-PROVEEDORES[[#This Row],[FECHA DE FACTURACIÓN]]-PROVEEDORES[[#This Row],[PLAZO Días]],0)</f>
        <v>0</v>
      </c>
      <c r="U965" s="104">
        <f>+VLOOKUP(PROVEEDORES[[#This Row],[PROVEEDOR]],Terceros!$A:$D,4,FALSE)</f>
        <v>0</v>
      </c>
      <c r="V965" s="105">
        <f>+YEAR(PROVEEDORES[[#This Row],[FECHA DE FACTURACIÓN]])</f>
        <v>2022</v>
      </c>
      <c r="W965" s="105">
        <f>+MATCH(PROVEEDORES[[#This Row],[año facturado]],Retenciones!$1:$1,0)</f>
        <v>5</v>
      </c>
      <c r="X965" s="106">
        <f>+VLOOKUP(PROVEEDORES[[#This Row],[ID RETENCION]],Retenciones!$A$1:$O$25,PROVEEDORES[[#This Row],[indicador de columna]],FALSE)</f>
        <v>0</v>
      </c>
      <c r="Y965" s="107">
        <f>+VLOOKUP(PROVEEDORES[[#This Row],[ID RETENCION]],Retenciones!$A$1:$O$25,2,FALSE)</f>
        <v>0</v>
      </c>
      <c r="Z965" s="116" t="b">
        <f>OR(COUNTIF(PROVEEDORES[[#This Row],[PROVEEDOR]],"*"&amp;'Palabra no opera'!$A$2&amp;"*"))</f>
        <v>0</v>
      </c>
    </row>
    <row r="966" spans="1:26" ht="22.35" customHeight="1" x14ac:dyDescent="0.3">
      <c r="A966" s="249" t="str">
        <f>+IF(PROVEEDORES[[#This Row],[FECHA DE PAGO]]=PROVEEDORES[[#This Row],[FECHA DE FACTURACIÓN]],"DE CONTADO","CRÉDITO")</f>
        <v>DE CONTADO</v>
      </c>
      <c r="B966" s="38" t="b">
        <f>+IF((PROVEEDORES[[#This Row],[FECHA DE PAGO]]-PROVEEDORES[[#This Row],[FECHA DE FACTURACIÓN]])&gt;PROVEEDORES[[#This Row],[PLAZO Días]],"PAGO VENCIDO")</f>
        <v>0</v>
      </c>
      <c r="C966" s="20">
        <f>+VLOOKUP(PROVEEDORES[[#This Row],[PROVEEDOR]],TERCEROS_INFO[#All],2,FALSE)</f>
        <v>30</v>
      </c>
      <c r="D966" s="25">
        <f>+SUMIFS(PROVEEDORES[Total],PROVEEDORES[PROVEEDOR],PROVEEDORES[[#This Row],[PROVEEDOR]],PROVEEDORES[FECHA DE PAGO],"")</f>
        <v>229206</v>
      </c>
      <c r="E966" s="25"/>
      <c r="F966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966" s="68">
        <v>44881</v>
      </c>
      <c r="H966" s="26" t="s">
        <v>95</v>
      </c>
      <c r="I966" s="68">
        <v>44881</v>
      </c>
      <c r="J966" s="35" t="s">
        <v>1345</v>
      </c>
      <c r="K966" s="21">
        <v>2150000</v>
      </c>
      <c r="L966" s="21"/>
      <c r="M966" s="22">
        <f>(PROVEEDORES[[#This Row],[SUBTOTAL]]-PROVEEDORES[[#This Row],[descuento sobre subtotal]])*VLOOKUP(PROVEEDORES[[#This Row],[PROVEEDOR]],TERCEROS_INFO[#All],3,FALSE)</f>
        <v>0</v>
      </c>
      <c r="N966" s="23"/>
      <c r="O966" s="22">
        <f>+PROVEEDORES[[#This Row],[Descuento sobre subtotal %]]*(PROVEEDORES[[#This Row],[SUBTOTAL]]-PROVEEDORES[[#This Row],[descuento sobre subtotal]])</f>
        <v>0</v>
      </c>
      <c r="P966" s="74">
        <f>+IF(PROVEEDORES[[#This Row],[SUBTOTAL]]&lt;PROVEEDORES[[#This Row],[base retencion]],0,PROVEEDORES[[#This Row],[retención aplicada]])</f>
        <v>0</v>
      </c>
      <c r="Q966" s="22">
        <f>+PROVEEDORES[[#This Row],[Rete Fuente %]]*(PROVEEDORES[[#This Row],[SUBTOTAL]]-PROVEEDORES[[#This Row],[descuento sobre subtotal]])</f>
        <v>0</v>
      </c>
      <c r="R966" s="21">
        <f>+PROVEEDORES[[#This Row],[SUBTOTAL]]+PROVEEDORES[[#This Row],[IVA 19%]]-PROVEEDORES[[#This Row],[descuento sobre subtotal]]-PROVEEDORES[[#This Row],[Descuento sobre subtotal $2]]-PROVEEDORES[[#This Row],[Rete Fuente $]]</f>
        <v>2150000</v>
      </c>
      <c r="S966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63">
        <f ca="1">IF(PROVEEDORES[[#This Row],[FECHA DE PAGO]]=0,TODAY()-PROVEEDORES[[#This Row],[FECHA DE FACTURACIÓN]]-PROVEEDORES[[#This Row],[PLAZO Días]],0)</f>
        <v>0</v>
      </c>
      <c r="U966" s="104">
        <f>+VLOOKUP(PROVEEDORES[[#This Row],[PROVEEDOR]],Terceros!$A:$D,4,FALSE)</f>
        <v>0</v>
      </c>
      <c r="V966" s="105">
        <f>+YEAR(PROVEEDORES[[#This Row],[FECHA DE FACTURACIÓN]])</f>
        <v>2022</v>
      </c>
      <c r="W966" s="105">
        <f>+MATCH(PROVEEDORES[[#This Row],[año facturado]],Retenciones!$1:$1,0)</f>
        <v>5</v>
      </c>
      <c r="X966" s="106">
        <f>+VLOOKUP(PROVEEDORES[[#This Row],[ID RETENCION]],Retenciones!$A$1:$O$25,PROVEEDORES[[#This Row],[indicador de columna]],FALSE)</f>
        <v>0</v>
      </c>
      <c r="Y966" s="107">
        <f>+VLOOKUP(PROVEEDORES[[#This Row],[ID RETENCION]],Retenciones!$A$1:$O$25,2,FALSE)</f>
        <v>0</v>
      </c>
      <c r="Z966" s="116" t="b">
        <f>OR(COUNTIF(PROVEEDORES[[#This Row],[PROVEEDOR]],"*"&amp;'Palabra no opera'!$A$2&amp;"*"))</f>
        <v>0</v>
      </c>
    </row>
    <row r="967" spans="1:26" ht="22.35" customHeight="1" x14ac:dyDescent="0.3">
      <c r="A967" s="232" t="str">
        <f>+IF(PROVEEDORES[[#This Row],[FECHA DE PAGO]]=PROVEEDORES[[#This Row],[FECHA DE FACTURACIÓN]],"DE CONTADO","CRÉDITO")</f>
        <v>CRÉDITO</v>
      </c>
      <c r="B967" s="38" t="str">
        <f>+IF((PROVEEDORES[[#This Row],[FECHA DE PAGO]]-PROVEEDORES[[#This Row],[FECHA DE FACTURACIÓN]])&gt;PROVEEDORES[[#This Row],[PLAZO Días]],"PAGO VENCIDO")</f>
        <v>PAGO VENCIDO</v>
      </c>
      <c r="C967" s="20">
        <f>+VLOOKUP(PROVEEDORES[[#This Row],[PROVEEDOR]],TERCEROS_INFO[#All],2,FALSE)</f>
        <v>30</v>
      </c>
      <c r="D967" s="25">
        <f>+SUMIFS(PROVEEDORES[Total],PROVEEDORES[PROVEEDOR],PROVEEDORES[[#This Row],[PROVEEDOR]],PROVEEDORES[FECHA DE PAGO],"")</f>
        <v>0</v>
      </c>
      <c r="E967" s="25"/>
      <c r="F967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967" s="68">
        <v>44883</v>
      </c>
      <c r="H967" s="26" t="s">
        <v>394</v>
      </c>
      <c r="I967" s="68">
        <v>44852</v>
      </c>
      <c r="J967" s="35">
        <v>1741</v>
      </c>
      <c r="K967" s="21">
        <v>3236000</v>
      </c>
      <c r="L967" s="21"/>
      <c r="M967" s="22">
        <f>(PROVEEDORES[[#This Row],[SUBTOTAL]]-PROVEEDORES[[#This Row],[descuento sobre subtotal]])*VLOOKUP(PROVEEDORES[[#This Row],[PROVEEDOR]],TERCEROS_INFO[#All],3,FALSE)</f>
        <v>0</v>
      </c>
      <c r="N967" s="23"/>
      <c r="O967" s="22">
        <f>+PROVEEDORES[[#This Row],[Descuento sobre subtotal %]]*(PROVEEDORES[[#This Row],[SUBTOTAL]]-PROVEEDORES[[#This Row],[descuento sobre subtotal]])</f>
        <v>0</v>
      </c>
      <c r="P967" s="74">
        <f>+IF(PROVEEDORES[[#This Row],[SUBTOTAL]]&lt;PROVEEDORES[[#This Row],[base retencion]],0,PROVEEDORES[[#This Row],[retención aplicada]])</f>
        <v>0</v>
      </c>
      <c r="Q967" s="22">
        <f>+PROVEEDORES[[#This Row],[Rete Fuente %]]*(PROVEEDORES[[#This Row],[SUBTOTAL]]-PROVEEDORES[[#This Row],[descuento sobre subtotal]])</f>
        <v>0</v>
      </c>
      <c r="R967" s="21">
        <f>+PROVEEDORES[[#This Row],[SUBTOTAL]]+PROVEEDORES[[#This Row],[IVA 19%]]-PROVEEDORES[[#This Row],[descuento sobre subtotal]]-PROVEEDORES[[#This Row],[Descuento sobre subtotal $2]]-PROVEEDORES[[#This Row],[Rete Fuente $]]</f>
        <v>3236000</v>
      </c>
      <c r="S967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63">
        <f ca="1">IF(PROVEEDORES[[#This Row],[FECHA DE PAGO]]=0,TODAY()-PROVEEDORES[[#This Row],[FECHA DE FACTURACIÓN]]-PROVEEDORES[[#This Row],[PLAZO Días]],0)</f>
        <v>0</v>
      </c>
      <c r="U967" s="104">
        <f>+VLOOKUP(PROVEEDORES[[#This Row],[PROVEEDOR]],Terceros!$A:$D,4,FALSE)</f>
        <v>0</v>
      </c>
      <c r="V967" s="105">
        <f>+YEAR(PROVEEDORES[[#This Row],[FECHA DE FACTURACIÓN]])</f>
        <v>2022</v>
      </c>
      <c r="W967" s="105">
        <f>+MATCH(PROVEEDORES[[#This Row],[año facturado]],Retenciones!$1:$1,0)</f>
        <v>5</v>
      </c>
      <c r="X967" s="106">
        <f>+VLOOKUP(PROVEEDORES[[#This Row],[ID RETENCION]],Retenciones!$A$1:$O$25,PROVEEDORES[[#This Row],[indicador de columna]],FALSE)</f>
        <v>0</v>
      </c>
      <c r="Y967" s="107">
        <f>+VLOOKUP(PROVEEDORES[[#This Row],[ID RETENCION]],Retenciones!$A$1:$O$25,2,FALSE)</f>
        <v>0</v>
      </c>
      <c r="Z967" s="116" t="b">
        <f>OR(COUNTIF(PROVEEDORES[[#This Row],[PROVEEDOR]],"*"&amp;'Palabra no opera'!$A$2&amp;"*"))</f>
        <v>0</v>
      </c>
    </row>
    <row r="968" spans="1:26" ht="22.35" customHeight="1" x14ac:dyDescent="0.3">
      <c r="A968" s="196" t="str">
        <f>+IF(PROVEEDORES[[#This Row],[FECHA DE PAGO]]=PROVEEDORES[[#This Row],[FECHA DE FACTURACIÓN]],"DE CONTADO","CRÉDITO")</f>
        <v>CRÉDITO</v>
      </c>
      <c r="B968" s="38" t="str">
        <f>+IF((PROVEEDORES[[#This Row],[FECHA DE PAGO]]-PROVEEDORES[[#This Row],[FECHA DE FACTURACIÓN]])&gt;PROVEEDORES[[#This Row],[PLAZO Días]],"PAGO VENCIDO")</f>
        <v>PAGO VENCIDO</v>
      </c>
      <c r="C968" s="20">
        <f>+VLOOKUP(PROVEEDORES[[#This Row],[PROVEEDOR]],TERCEROS_INFO[#All],2,FALSE)</f>
        <v>45</v>
      </c>
      <c r="D968" s="25">
        <f>+SUMIFS(PROVEEDORES[Total],PROVEEDORES[PROVEEDOR],PROVEEDORES[[#This Row],[PROVEEDOR]],PROVEEDORES[FECHA DE PAGO],"")</f>
        <v>15770594</v>
      </c>
      <c r="E968" s="25"/>
      <c r="F96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8" s="68">
        <v>44883</v>
      </c>
      <c r="H968" s="26" t="s">
        <v>19</v>
      </c>
      <c r="I968" s="68">
        <v>44823</v>
      </c>
      <c r="J968" s="35" t="s">
        <v>1103</v>
      </c>
      <c r="K968" s="21">
        <v>4903680</v>
      </c>
      <c r="L968" s="21"/>
      <c r="M968" s="22">
        <f>(PROVEEDORES[[#This Row],[SUBTOTAL]]-PROVEEDORES[[#This Row],[descuento sobre subtotal]])*VLOOKUP(PROVEEDORES[[#This Row],[PROVEEDOR]],TERCEROS_INFO[#All],3,FALSE)</f>
        <v>931699.19999999995</v>
      </c>
      <c r="N968" s="23"/>
      <c r="O968" s="22">
        <f>+PROVEEDORES[[#This Row],[Descuento sobre subtotal %]]*(PROVEEDORES[[#This Row],[SUBTOTAL]]-PROVEEDORES[[#This Row],[descuento sobre subtotal]])</f>
        <v>0</v>
      </c>
      <c r="P968" s="74">
        <f>+IF(PROVEEDORES[[#This Row],[SUBTOTAL]]&lt;PROVEEDORES[[#This Row],[base retencion]],0,PROVEEDORES[[#This Row],[retención aplicada]])</f>
        <v>0</v>
      </c>
      <c r="Q968" s="22">
        <f>+PROVEEDORES[[#This Row],[Rete Fuente %]]*(PROVEEDORES[[#This Row],[SUBTOTAL]]-PROVEEDORES[[#This Row],[descuento sobre subtotal]])</f>
        <v>0</v>
      </c>
      <c r="R968" s="21">
        <f>+PROVEEDORES[[#This Row],[SUBTOTAL]]+PROVEEDORES[[#This Row],[IVA 19%]]-PROVEEDORES[[#This Row],[descuento sobre subtotal]]-PROVEEDORES[[#This Row],[Descuento sobre subtotal $2]]-PROVEEDORES[[#This Row],[Rete Fuente $]]</f>
        <v>5835379.2000000002</v>
      </c>
      <c r="S968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63">
        <f ca="1">IF(PROVEEDORES[[#This Row],[FECHA DE PAGO]]=0,TODAY()-PROVEEDORES[[#This Row],[FECHA DE FACTURACIÓN]]-PROVEEDORES[[#This Row],[PLAZO Días]],0)</f>
        <v>0</v>
      </c>
      <c r="U968" s="104">
        <f>+VLOOKUP(PROVEEDORES[[#This Row],[PROVEEDOR]],Terceros!$A:$D,4,FALSE)</f>
        <v>0</v>
      </c>
      <c r="V968" s="105">
        <f>+YEAR(PROVEEDORES[[#This Row],[FECHA DE FACTURACIÓN]])</f>
        <v>2022</v>
      </c>
      <c r="W968" s="105">
        <f>+MATCH(PROVEEDORES[[#This Row],[año facturado]],Retenciones!$1:$1,0)</f>
        <v>5</v>
      </c>
      <c r="X968" s="106">
        <f>+VLOOKUP(PROVEEDORES[[#This Row],[ID RETENCION]],Retenciones!$A$1:$O$25,PROVEEDORES[[#This Row],[indicador de columna]],FALSE)</f>
        <v>0</v>
      </c>
      <c r="Y968" s="107">
        <f>+VLOOKUP(PROVEEDORES[[#This Row],[ID RETENCION]],Retenciones!$A$1:$O$25,2,FALSE)</f>
        <v>0</v>
      </c>
      <c r="Z968" s="116" t="b">
        <f>OR(COUNTIF(PROVEEDORES[[#This Row],[PROVEEDOR]],"*"&amp;'Palabra no opera'!$A$2&amp;"*"))</f>
        <v>0</v>
      </c>
    </row>
    <row r="969" spans="1:26" ht="22.35" customHeight="1" x14ac:dyDescent="0.3">
      <c r="A969" s="196" t="str">
        <f>+IF(PROVEEDORES[[#This Row],[FECHA DE PAGO]]=PROVEEDORES[[#This Row],[FECHA DE FACTURACIÓN]],"DE CONTADO","CRÉDITO")</f>
        <v>CRÉDITO</v>
      </c>
      <c r="B969" s="38" t="str">
        <f>+IF((PROVEEDORES[[#This Row],[FECHA DE PAGO]]-PROVEEDORES[[#This Row],[FECHA DE FACTURACIÓN]])&gt;PROVEEDORES[[#This Row],[PLAZO Días]],"PAGO VENCIDO")</f>
        <v>PAGO VENCIDO</v>
      </c>
      <c r="C969" s="20">
        <f>+VLOOKUP(PROVEEDORES[[#This Row],[PROVEEDOR]],TERCEROS_INFO[#All],2,FALSE)</f>
        <v>45</v>
      </c>
      <c r="D969" s="25">
        <f>+SUMIFS(PROVEEDORES[Total],PROVEEDORES[PROVEEDOR],PROVEEDORES[[#This Row],[PROVEEDOR]],PROVEEDORES[FECHA DE PAGO],"")</f>
        <v>15770594</v>
      </c>
      <c r="E969" s="25"/>
      <c r="F969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9" s="68">
        <v>44883</v>
      </c>
      <c r="H969" s="26" t="s">
        <v>19</v>
      </c>
      <c r="I969" s="68">
        <v>44824</v>
      </c>
      <c r="J969" s="35" t="s">
        <v>1106</v>
      </c>
      <c r="K969" s="21">
        <v>7481600</v>
      </c>
      <c r="L969" s="21"/>
      <c r="M969" s="22">
        <f>(PROVEEDORES[[#This Row],[SUBTOTAL]]-PROVEEDORES[[#This Row],[descuento sobre subtotal]])*VLOOKUP(PROVEEDORES[[#This Row],[PROVEEDOR]],TERCEROS_INFO[#All],3,FALSE)</f>
        <v>1421504</v>
      </c>
      <c r="N969" s="23"/>
      <c r="O969" s="22">
        <f>+PROVEEDORES[[#This Row],[Descuento sobre subtotal %]]*(PROVEEDORES[[#This Row],[SUBTOTAL]]-PROVEEDORES[[#This Row],[descuento sobre subtotal]])</f>
        <v>0</v>
      </c>
      <c r="P969" s="74">
        <f>+IF(PROVEEDORES[[#This Row],[SUBTOTAL]]&lt;PROVEEDORES[[#This Row],[base retencion]],0,PROVEEDORES[[#This Row],[retención aplicada]])</f>
        <v>0</v>
      </c>
      <c r="Q969" s="22">
        <f>+PROVEEDORES[[#This Row],[Rete Fuente %]]*(PROVEEDORES[[#This Row],[SUBTOTAL]]-PROVEEDORES[[#This Row],[descuento sobre subtotal]])</f>
        <v>0</v>
      </c>
      <c r="R969" s="21">
        <f>+PROVEEDORES[[#This Row],[SUBTOTAL]]+PROVEEDORES[[#This Row],[IVA 19%]]-PROVEEDORES[[#This Row],[descuento sobre subtotal]]-PROVEEDORES[[#This Row],[Descuento sobre subtotal $2]]-PROVEEDORES[[#This Row],[Rete Fuente $]]</f>
        <v>8903104</v>
      </c>
      <c r="S969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63">
        <f ca="1">IF(PROVEEDORES[[#This Row],[FECHA DE PAGO]]=0,TODAY()-PROVEEDORES[[#This Row],[FECHA DE FACTURACIÓN]]-PROVEEDORES[[#This Row],[PLAZO Días]],0)</f>
        <v>0</v>
      </c>
      <c r="U969" s="104">
        <f>+VLOOKUP(PROVEEDORES[[#This Row],[PROVEEDOR]],Terceros!$A:$D,4,FALSE)</f>
        <v>0</v>
      </c>
      <c r="V969" s="105">
        <f>+YEAR(PROVEEDORES[[#This Row],[FECHA DE FACTURACIÓN]])</f>
        <v>2022</v>
      </c>
      <c r="W969" s="105">
        <f>+MATCH(PROVEEDORES[[#This Row],[año facturado]],Retenciones!$1:$1,0)</f>
        <v>5</v>
      </c>
      <c r="X969" s="106">
        <f>+VLOOKUP(PROVEEDORES[[#This Row],[ID RETENCION]],Retenciones!$A$1:$O$25,PROVEEDORES[[#This Row],[indicador de columna]],FALSE)</f>
        <v>0</v>
      </c>
      <c r="Y969" s="107">
        <f>+VLOOKUP(PROVEEDORES[[#This Row],[ID RETENCION]],Retenciones!$A$1:$O$25,2,FALSE)</f>
        <v>0</v>
      </c>
      <c r="Z969" s="116" t="b">
        <f>OR(COUNTIF(PROVEEDORES[[#This Row],[PROVEEDOR]],"*"&amp;'Palabra no opera'!$A$2&amp;"*"))</f>
        <v>0</v>
      </c>
    </row>
    <row r="970" spans="1:26" ht="22.35" customHeight="1" x14ac:dyDescent="0.3">
      <c r="A970" s="232" t="str">
        <f>+IF(PROVEEDORES[[#This Row],[FECHA DE PAGO]]=PROVEEDORES[[#This Row],[FECHA DE FACTURACIÓN]],"DE CONTADO","CRÉDITO")</f>
        <v>CRÉDITO</v>
      </c>
      <c r="B970" s="38" t="str">
        <f>+IF((PROVEEDORES[[#This Row],[FECHA DE PAGO]]-PROVEEDORES[[#This Row],[FECHA DE FACTURACIÓN]])&gt;PROVEEDORES[[#This Row],[PLAZO Días]],"PAGO VENCIDO")</f>
        <v>PAGO VENCIDO</v>
      </c>
      <c r="C970" s="20">
        <f>+VLOOKUP(PROVEEDORES[[#This Row],[PROVEEDOR]],TERCEROS_INFO[#All],2,FALSE)</f>
        <v>30</v>
      </c>
      <c r="D970" s="25">
        <f>+SUMIFS(PROVEEDORES[Total],PROVEEDORES[PROVEEDOR],PROVEEDORES[[#This Row],[PROVEEDOR]],PROVEEDORES[FECHA DE PAGO],"")</f>
        <v>1316890.8900000001</v>
      </c>
      <c r="E970" s="25"/>
      <c r="F97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70" s="68">
        <v>44886</v>
      </c>
      <c r="H970" s="26" t="s">
        <v>17</v>
      </c>
      <c r="I970" s="68">
        <v>44846</v>
      </c>
      <c r="J970" s="35" t="s">
        <v>1218</v>
      </c>
      <c r="K970" s="21">
        <v>297000</v>
      </c>
      <c r="L970" s="21"/>
      <c r="M970" s="22">
        <f>(PROVEEDORES[[#This Row],[SUBTOTAL]]-PROVEEDORES[[#This Row],[descuento sobre subtotal]])*VLOOKUP(PROVEEDORES[[#This Row],[PROVEEDOR]],TERCEROS_INFO[#All],3,FALSE)</f>
        <v>56430</v>
      </c>
      <c r="N970" s="23"/>
      <c r="O970" s="22">
        <f>+PROVEEDORES[[#This Row],[Descuento sobre subtotal %]]*(PROVEEDORES[[#This Row],[SUBTOTAL]]-PROVEEDORES[[#This Row],[descuento sobre subtotal]])</f>
        <v>0</v>
      </c>
      <c r="P970" s="74">
        <f>+IF(PROVEEDORES[[#This Row],[SUBTOTAL]]&lt;PROVEEDORES[[#This Row],[base retencion]],0,PROVEEDORES[[#This Row],[retención aplicada]])</f>
        <v>0</v>
      </c>
      <c r="Q970" s="22">
        <f>+PROVEEDORES[[#This Row],[Rete Fuente %]]*(PROVEEDORES[[#This Row],[SUBTOTAL]]-PROVEEDORES[[#This Row],[descuento sobre subtotal]])</f>
        <v>0</v>
      </c>
      <c r="R970" s="21">
        <f>+PROVEEDORES[[#This Row],[SUBTOTAL]]+PROVEEDORES[[#This Row],[IVA 19%]]-PROVEEDORES[[#This Row],[descuento sobre subtotal]]-PROVEEDORES[[#This Row],[Descuento sobre subtotal $2]]-PROVEEDORES[[#This Row],[Rete Fuente $]]</f>
        <v>353430</v>
      </c>
      <c r="S97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63">
        <f ca="1">IF(PROVEEDORES[[#This Row],[FECHA DE PAGO]]=0,TODAY()-PROVEEDORES[[#This Row],[FECHA DE FACTURACIÓN]]-PROVEEDORES[[#This Row],[PLAZO Días]],0)</f>
        <v>0</v>
      </c>
      <c r="U970" s="104">
        <f>+VLOOKUP(PROVEEDORES[[#This Row],[PROVEEDOR]],Terceros!$A:$D,4,FALSE)</f>
        <v>0</v>
      </c>
      <c r="V970" s="105">
        <f>+YEAR(PROVEEDORES[[#This Row],[FECHA DE FACTURACIÓN]])</f>
        <v>2022</v>
      </c>
      <c r="W970" s="105">
        <f>+MATCH(PROVEEDORES[[#This Row],[año facturado]],Retenciones!$1:$1,0)</f>
        <v>5</v>
      </c>
      <c r="X970" s="106">
        <f>+VLOOKUP(PROVEEDORES[[#This Row],[ID RETENCION]],Retenciones!$A$1:$O$25,PROVEEDORES[[#This Row],[indicador de columna]],FALSE)</f>
        <v>0</v>
      </c>
      <c r="Y970" s="107">
        <f>+VLOOKUP(PROVEEDORES[[#This Row],[ID RETENCION]],Retenciones!$A$1:$O$25,2,FALSE)</f>
        <v>0</v>
      </c>
      <c r="Z970" s="116" t="b">
        <f>OR(COUNTIF(PROVEEDORES[[#This Row],[PROVEEDOR]],"*"&amp;'Palabra no opera'!$A$2&amp;"*"))</f>
        <v>0</v>
      </c>
    </row>
    <row r="971" spans="1:26" ht="22.35" customHeight="1" x14ac:dyDescent="0.3">
      <c r="A971" s="232" t="str">
        <f>+IF(PROVEEDORES[[#This Row],[FECHA DE PAGO]]=PROVEEDORES[[#This Row],[FECHA DE FACTURACIÓN]],"DE CONTADO","CRÉDITO")</f>
        <v>CRÉDITO</v>
      </c>
      <c r="B971" s="38" t="b">
        <f>+IF((PROVEEDORES[[#This Row],[FECHA DE PAGO]]-PROVEEDORES[[#This Row],[FECHA DE FACTURACIÓN]])&gt;PROVEEDORES[[#This Row],[PLAZO Días]],"PAGO VENCIDO")</f>
        <v>0</v>
      </c>
      <c r="C971" s="20">
        <f>+VLOOKUP(PROVEEDORES[[#This Row],[PROVEEDOR]],TERCEROS_INFO[#All],2,FALSE)</f>
        <v>30</v>
      </c>
      <c r="D971" s="25">
        <f>+SUMIFS(PROVEEDORES[Total],PROVEEDORES[PROVEEDOR],PROVEEDORES[[#This Row],[PROVEEDOR]],PROVEEDORES[FECHA DE PAGO],"")</f>
        <v>0</v>
      </c>
      <c r="E971" s="25"/>
      <c r="F971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71" s="68">
        <v>44886</v>
      </c>
      <c r="H971" s="26" t="s">
        <v>966</v>
      </c>
      <c r="I971" s="68">
        <v>44880</v>
      </c>
      <c r="J971" s="35">
        <v>378</v>
      </c>
      <c r="K971" s="21">
        <v>361000</v>
      </c>
      <c r="L971" s="21"/>
      <c r="M971" s="22">
        <f>(PROVEEDORES[[#This Row],[SUBTOTAL]]-PROVEEDORES[[#This Row],[descuento sobre subtotal]])*VLOOKUP(PROVEEDORES[[#This Row],[PROVEEDOR]],TERCEROS_INFO[#All],3,FALSE)</f>
        <v>0</v>
      </c>
      <c r="N971" s="23"/>
      <c r="O971" s="22">
        <f>+PROVEEDORES[[#This Row],[Descuento sobre subtotal %]]*(PROVEEDORES[[#This Row],[SUBTOTAL]]-PROVEEDORES[[#This Row],[descuento sobre subtotal]])</f>
        <v>0</v>
      </c>
      <c r="P971" s="74">
        <f>+IF(PROVEEDORES[[#This Row],[SUBTOTAL]]&lt;PROVEEDORES[[#This Row],[base retencion]],0,PROVEEDORES[[#This Row],[retención aplicada]])</f>
        <v>0</v>
      </c>
      <c r="Q971" s="22">
        <f>+PROVEEDORES[[#This Row],[Rete Fuente %]]*(PROVEEDORES[[#This Row],[SUBTOTAL]]-PROVEEDORES[[#This Row],[descuento sobre subtotal]])</f>
        <v>0</v>
      </c>
      <c r="R971" s="21">
        <f>+PROVEEDORES[[#This Row],[SUBTOTAL]]+PROVEEDORES[[#This Row],[IVA 19%]]-PROVEEDORES[[#This Row],[descuento sobre subtotal]]-PROVEEDORES[[#This Row],[Descuento sobre subtotal $2]]-PROVEEDORES[[#This Row],[Rete Fuente $]]</f>
        <v>361000</v>
      </c>
      <c r="S97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1" s="63">
        <f ca="1">IF(PROVEEDORES[[#This Row],[FECHA DE PAGO]]=0,TODAY()-PROVEEDORES[[#This Row],[FECHA DE FACTURACIÓN]]-PROVEEDORES[[#This Row],[PLAZO Días]],0)</f>
        <v>0</v>
      </c>
      <c r="U971" s="104">
        <f>+VLOOKUP(PROVEEDORES[[#This Row],[PROVEEDOR]],Terceros!$A:$D,4,FALSE)</f>
        <v>0</v>
      </c>
      <c r="V971" s="105">
        <f>+YEAR(PROVEEDORES[[#This Row],[FECHA DE FACTURACIÓN]])</f>
        <v>2022</v>
      </c>
      <c r="W971" s="105">
        <f>+MATCH(PROVEEDORES[[#This Row],[año facturado]],Retenciones!$1:$1,0)</f>
        <v>5</v>
      </c>
      <c r="X971" s="106">
        <f>+VLOOKUP(PROVEEDORES[[#This Row],[ID RETENCION]],Retenciones!$A$1:$O$25,PROVEEDORES[[#This Row],[indicador de columna]],FALSE)</f>
        <v>0</v>
      </c>
      <c r="Y971" s="107">
        <f>+VLOOKUP(PROVEEDORES[[#This Row],[ID RETENCION]],Retenciones!$A$1:$O$25,2,FALSE)</f>
        <v>0</v>
      </c>
      <c r="Z971" s="116" t="b">
        <f>OR(COUNTIF(PROVEEDORES[[#This Row],[PROVEEDOR]],"*"&amp;'Palabra no opera'!$A$2&amp;"*"))</f>
        <v>0</v>
      </c>
    </row>
    <row r="972" spans="1:26" ht="22.35" customHeight="1" x14ac:dyDescent="0.3">
      <c r="A972" s="232" t="str">
        <f>+IF(PROVEEDORES[[#This Row],[FECHA DE PAGO]]=PROVEEDORES[[#This Row],[FECHA DE FACTURACIÓN]],"DE CONTADO","CRÉDITO")</f>
        <v>CRÉDITO</v>
      </c>
      <c r="B972" s="38" t="b">
        <f>+IF((PROVEEDORES[[#This Row],[FECHA DE PAGO]]-PROVEEDORES[[#This Row],[FECHA DE FACTURACIÓN]])&gt;PROVEEDORES[[#This Row],[PLAZO Días]],"PAGO VENCIDO")</f>
        <v>0</v>
      </c>
      <c r="C972" s="20">
        <f>+VLOOKUP(PROVEEDORES[[#This Row],[PROVEEDOR]],TERCEROS_INFO[#All],2,FALSE)</f>
        <v>30</v>
      </c>
      <c r="D972" s="25">
        <f>+SUMIFS(PROVEEDORES[Total],PROVEEDORES[PROVEEDOR],PROVEEDORES[[#This Row],[PROVEEDOR]],PROVEEDORES[FECHA DE PAGO],"")</f>
        <v>0</v>
      </c>
      <c r="E972" s="25"/>
      <c r="F972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72" s="68">
        <v>44886</v>
      </c>
      <c r="H972" s="26" t="s">
        <v>1274</v>
      </c>
      <c r="I972" s="68">
        <v>44880</v>
      </c>
      <c r="J972" s="35" t="s">
        <v>1275</v>
      </c>
      <c r="K972" s="21">
        <v>350000</v>
      </c>
      <c r="L972" s="21"/>
      <c r="M972" s="22">
        <f>(PROVEEDORES[[#This Row],[SUBTOTAL]]-PROVEEDORES[[#This Row],[descuento sobre subtotal]])*VLOOKUP(PROVEEDORES[[#This Row],[PROVEEDOR]],TERCEROS_INFO[#All],3,FALSE)</f>
        <v>0</v>
      </c>
      <c r="N972" s="23"/>
      <c r="O972" s="22">
        <f>+PROVEEDORES[[#This Row],[Descuento sobre subtotal %]]*(PROVEEDORES[[#This Row],[SUBTOTAL]]-PROVEEDORES[[#This Row],[descuento sobre subtotal]])</f>
        <v>0</v>
      </c>
      <c r="P972" s="74">
        <v>0.01</v>
      </c>
      <c r="Q972" s="22">
        <f>+PROVEEDORES[[#This Row],[Rete Fuente %]]*(PROVEEDORES[[#This Row],[SUBTOTAL]]-PROVEEDORES[[#This Row],[descuento sobre subtotal]])</f>
        <v>3500</v>
      </c>
      <c r="R972" s="21">
        <f>+PROVEEDORES[[#This Row],[SUBTOTAL]]+PROVEEDORES[[#This Row],[IVA 19%]]-PROVEEDORES[[#This Row],[descuento sobre subtotal]]-PROVEEDORES[[#This Row],[Descuento sobre subtotal $2]]-PROVEEDORES[[#This Row],[Rete Fuente $]]</f>
        <v>346500</v>
      </c>
      <c r="S97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63">
        <f ca="1">IF(PROVEEDORES[[#This Row],[FECHA DE PAGO]]=0,TODAY()-PROVEEDORES[[#This Row],[FECHA DE FACTURACIÓN]]-PROVEEDORES[[#This Row],[PLAZO Días]],0)</f>
        <v>0</v>
      </c>
      <c r="U972" s="104" t="str">
        <f>+VLOOKUP(PROVEEDORES[[#This Row],[PROVEEDOR]],Terceros!$A:$D,4,FALSE)</f>
        <v>1% con base</v>
      </c>
      <c r="V972" s="105">
        <f>+YEAR(PROVEEDORES[[#This Row],[FECHA DE FACTURACIÓN]])</f>
        <v>2022</v>
      </c>
      <c r="W972" s="105">
        <f>+MATCH(PROVEEDORES[[#This Row],[año facturado]],Retenciones!$1:$1,0)</f>
        <v>5</v>
      </c>
      <c r="X972" s="106">
        <f>+VLOOKUP(PROVEEDORES[[#This Row],[ID RETENCION]],Retenciones!$A$1:$O$25,PROVEEDORES[[#This Row],[indicador de columna]],FALSE)</f>
        <v>152000</v>
      </c>
      <c r="Y972" s="107">
        <f>+VLOOKUP(PROVEEDORES[[#This Row],[ID RETENCION]],Retenciones!$A$1:$O$25,2,FALSE)</f>
        <v>0.01</v>
      </c>
      <c r="Z972" s="116" t="b">
        <f>OR(COUNTIF(PROVEEDORES[[#This Row],[PROVEEDOR]],"*"&amp;'Palabra no opera'!$A$2&amp;"*"))</f>
        <v>0</v>
      </c>
    </row>
    <row r="973" spans="1:26" ht="22.35" customHeight="1" x14ac:dyDescent="0.3">
      <c r="A973" s="232" t="str">
        <f>+IF(PROVEEDORES[[#This Row],[FECHA DE PAGO]]=PROVEEDORES[[#This Row],[FECHA DE FACTURACIÓN]],"DE CONTADO","CRÉDITO")</f>
        <v>CRÉDITO</v>
      </c>
      <c r="B973" s="38" t="str">
        <f>+IF((PROVEEDORES[[#This Row],[FECHA DE PAGO]]-PROVEEDORES[[#This Row],[FECHA DE FACTURACIÓN]])&gt;PROVEEDORES[[#This Row],[PLAZO Días]],"PAGO VENCIDO")</f>
        <v>PAGO VENCIDO</v>
      </c>
      <c r="C973" s="20">
        <f>+VLOOKUP(PROVEEDORES[[#This Row],[PROVEEDOR]],TERCEROS_INFO[#All],2,FALSE)</f>
        <v>30</v>
      </c>
      <c r="D973" s="25">
        <f>+SUMIFS(PROVEEDORES[Total],PROVEEDORES[PROVEEDOR],PROVEEDORES[[#This Row],[PROVEEDOR]],PROVEEDORES[FECHA DE PAGO],"")</f>
        <v>1316890.8900000001</v>
      </c>
      <c r="E973" s="25"/>
      <c r="F97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73" s="68">
        <v>44886</v>
      </c>
      <c r="H973" s="26" t="s">
        <v>17</v>
      </c>
      <c r="I973" s="68">
        <v>44852</v>
      </c>
      <c r="J973" s="35">
        <v>1972877</v>
      </c>
      <c r="K973" s="21">
        <v>428481</v>
      </c>
      <c r="L973" s="21"/>
      <c r="M973" s="22">
        <f>(PROVEEDORES[[#This Row],[SUBTOTAL]]-PROVEEDORES[[#This Row],[descuento sobre subtotal]])*VLOOKUP(PROVEEDORES[[#This Row],[PROVEEDOR]],TERCEROS_INFO[#All],3,FALSE)</f>
        <v>81411.39</v>
      </c>
      <c r="N973" s="23"/>
      <c r="O973" s="22">
        <f>+PROVEEDORES[[#This Row],[Descuento sobre subtotal %]]*(PROVEEDORES[[#This Row],[SUBTOTAL]]-PROVEEDORES[[#This Row],[descuento sobre subtotal]])</f>
        <v>0</v>
      </c>
      <c r="P973" s="74">
        <f>+IF(PROVEEDORES[[#This Row],[SUBTOTAL]]&lt;PROVEEDORES[[#This Row],[base retencion]],0,PROVEEDORES[[#This Row],[retención aplicada]])</f>
        <v>0</v>
      </c>
      <c r="Q973" s="22">
        <f>+PROVEEDORES[[#This Row],[Rete Fuente %]]*(PROVEEDORES[[#This Row],[SUBTOTAL]]-PROVEEDORES[[#This Row],[descuento sobre subtotal]])</f>
        <v>0</v>
      </c>
      <c r="R973" s="21">
        <f>+PROVEEDORES[[#This Row],[SUBTOTAL]]+PROVEEDORES[[#This Row],[IVA 19%]]-PROVEEDORES[[#This Row],[descuento sobre subtotal]]-PROVEEDORES[[#This Row],[Descuento sobre subtotal $2]]-PROVEEDORES[[#This Row],[Rete Fuente $]]</f>
        <v>509892.39</v>
      </c>
      <c r="S973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63">
        <f ca="1">IF(PROVEEDORES[[#This Row],[FECHA DE PAGO]]=0,TODAY()-PROVEEDORES[[#This Row],[FECHA DE FACTURACIÓN]]-PROVEEDORES[[#This Row],[PLAZO Días]],0)</f>
        <v>0</v>
      </c>
      <c r="U973" s="104">
        <f>+VLOOKUP(PROVEEDORES[[#This Row],[PROVEEDOR]],Terceros!$A:$D,4,FALSE)</f>
        <v>0</v>
      </c>
      <c r="V973" s="105">
        <f>+YEAR(PROVEEDORES[[#This Row],[FECHA DE FACTURACIÓN]])</f>
        <v>2022</v>
      </c>
      <c r="W973" s="105">
        <f>+MATCH(PROVEEDORES[[#This Row],[año facturado]],Retenciones!$1:$1,0)</f>
        <v>5</v>
      </c>
      <c r="X973" s="106">
        <f>+VLOOKUP(PROVEEDORES[[#This Row],[ID RETENCION]],Retenciones!$A$1:$O$25,PROVEEDORES[[#This Row],[indicador de columna]],FALSE)</f>
        <v>0</v>
      </c>
      <c r="Y973" s="107">
        <f>+VLOOKUP(PROVEEDORES[[#This Row],[ID RETENCION]],Retenciones!$A$1:$O$25,2,FALSE)</f>
        <v>0</v>
      </c>
      <c r="Z973" s="116" t="b">
        <f>OR(COUNTIF(PROVEEDORES[[#This Row],[PROVEEDOR]],"*"&amp;'Palabra no opera'!$A$2&amp;"*"))</f>
        <v>0</v>
      </c>
    </row>
    <row r="974" spans="1:26" ht="22.35" customHeight="1" x14ac:dyDescent="0.3">
      <c r="A974" s="232" t="str">
        <f>+IF(PROVEEDORES[[#This Row],[FECHA DE PAGO]]=PROVEEDORES[[#This Row],[FECHA DE FACTURACIÓN]],"DE CONTADO","CRÉDITO")</f>
        <v>CRÉDITO</v>
      </c>
      <c r="B974" s="38" t="str">
        <f>+IF((PROVEEDORES[[#This Row],[FECHA DE PAGO]]-PROVEEDORES[[#This Row],[FECHA DE FACTURACIÓN]])&gt;PROVEEDORES[[#This Row],[PLAZO Días]],"PAGO VENCIDO")</f>
        <v>PAGO VENCIDO</v>
      </c>
      <c r="C974" s="20">
        <f>+VLOOKUP(PROVEEDORES[[#This Row],[PROVEEDOR]],TERCEROS_INFO[#All],2,FALSE)</f>
        <v>30</v>
      </c>
      <c r="D974" s="25">
        <f>+SUMIFS(PROVEEDORES[Total],PROVEEDORES[PROVEEDOR],PROVEEDORES[[#This Row],[PROVEEDOR]],PROVEEDORES[FECHA DE PAGO],"")</f>
        <v>1316890.8900000001</v>
      </c>
      <c r="E974" s="25"/>
      <c r="F97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74" s="68">
        <v>44886</v>
      </c>
      <c r="H974" s="26" t="s">
        <v>17</v>
      </c>
      <c r="I974" s="68">
        <v>44855</v>
      </c>
      <c r="J974" s="35">
        <v>1974445</v>
      </c>
      <c r="K974" s="21">
        <v>3234201</v>
      </c>
      <c r="L974" s="21"/>
      <c r="M974" s="22">
        <f>(PROVEEDORES[[#This Row],[SUBTOTAL]]-PROVEEDORES[[#This Row],[descuento sobre subtotal]])*VLOOKUP(PROVEEDORES[[#This Row],[PROVEEDOR]],TERCEROS_INFO[#All],3,FALSE)</f>
        <v>614498.19000000006</v>
      </c>
      <c r="N974" s="23"/>
      <c r="O974" s="22">
        <f>+PROVEEDORES[[#This Row],[Descuento sobre subtotal %]]*(PROVEEDORES[[#This Row],[SUBTOTAL]]-PROVEEDORES[[#This Row],[descuento sobre subtotal]])</f>
        <v>0</v>
      </c>
      <c r="P974" s="74">
        <f>+IF(PROVEEDORES[[#This Row],[SUBTOTAL]]&lt;PROVEEDORES[[#This Row],[base retencion]],0,PROVEEDORES[[#This Row],[retención aplicada]])</f>
        <v>0</v>
      </c>
      <c r="Q974" s="22">
        <f>+PROVEEDORES[[#This Row],[Rete Fuente %]]*(PROVEEDORES[[#This Row],[SUBTOTAL]]-PROVEEDORES[[#This Row],[descuento sobre subtotal]])</f>
        <v>0</v>
      </c>
      <c r="R974" s="21">
        <f>+PROVEEDORES[[#This Row],[SUBTOTAL]]+PROVEEDORES[[#This Row],[IVA 19%]]-PROVEEDORES[[#This Row],[descuento sobre subtotal]]-PROVEEDORES[[#This Row],[Descuento sobre subtotal $2]]-PROVEEDORES[[#This Row],[Rete Fuente $]]</f>
        <v>3848699.19</v>
      </c>
      <c r="S974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63">
        <f ca="1">IF(PROVEEDORES[[#This Row],[FECHA DE PAGO]]=0,TODAY()-PROVEEDORES[[#This Row],[FECHA DE FACTURACIÓN]]-PROVEEDORES[[#This Row],[PLAZO Días]],0)</f>
        <v>0</v>
      </c>
      <c r="U974" s="104">
        <f>+VLOOKUP(PROVEEDORES[[#This Row],[PROVEEDOR]],Terceros!$A:$D,4,FALSE)</f>
        <v>0</v>
      </c>
      <c r="V974" s="105">
        <f>+YEAR(PROVEEDORES[[#This Row],[FECHA DE FACTURACIÓN]])</f>
        <v>2022</v>
      </c>
      <c r="W974" s="105">
        <f>+MATCH(PROVEEDORES[[#This Row],[año facturado]],Retenciones!$1:$1,0)</f>
        <v>5</v>
      </c>
      <c r="X974" s="106">
        <f>+VLOOKUP(PROVEEDORES[[#This Row],[ID RETENCION]],Retenciones!$A$1:$O$25,PROVEEDORES[[#This Row],[indicador de columna]],FALSE)</f>
        <v>0</v>
      </c>
      <c r="Y974" s="107">
        <f>+VLOOKUP(PROVEEDORES[[#This Row],[ID RETENCION]],Retenciones!$A$1:$O$25,2,FALSE)</f>
        <v>0</v>
      </c>
      <c r="Z974" s="116" t="b">
        <f>OR(COUNTIF(PROVEEDORES[[#This Row],[PROVEEDOR]],"*"&amp;'Palabra no opera'!$A$2&amp;"*"))</f>
        <v>0</v>
      </c>
    </row>
    <row r="975" spans="1:26" ht="22.35" customHeight="1" x14ac:dyDescent="0.3">
      <c r="A975" s="67" t="str">
        <f>+IF(PROVEEDORES[[#This Row],[FECHA DE PAGO]]=PROVEEDORES[[#This Row],[FECHA DE FACTURACIÓN]],"DE CONTADO","CRÉDITO")</f>
        <v>CRÉDITO</v>
      </c>
      <c r="B975" s="38" t="str">
        <f>+IF((PROVEEDORES[[#This Row],[FECHA DE PAGO]]-PROVEEDORES[[#This Row],[FECHA DE FACTURACIÓN]])&gt;PROVEEDORES[[#This Row],[PLAZO Días]],"PAGO VENCIDO")</f>
        <v>PAGO VENCIDO</v>
      </c>
      <c r="C975" s="20">
        <f>+VLOOKUP(PROVEEDORES[[#This Row],[PROVEEDOR]],TERCEROS_INFO[#All],2,FALSE)</f>
        <v>30</v>
      </c>
      <c r="D975" s="25">
        <f>+SUMIFS(PROVEEDORES[Total],PROVEEDORES[PROVEEDOR],PROVEEDORES[[#This Row],[PROVEEDOR]],PROVEEDORES[FECHA DE PAGO],"")</f>
        <v>0</v>
      </c>
      <c r="E975" s="25"/>
      <c r="F975" s="56">
        <f>+VLOOKUP(PROVEEDORES[[#This Row],[PROVEEDOR]],
                       Terceros!$A:$F,
                       5,
                       FALSE)</f>
        <v>0</v>
      </c>
      <c r="G975" s="68">
        <v>44893</v>
      </c>
      <c r="H975" s="231" t="s">
        <v>367</v>
      </c>
      <c r="I975" s="68">
        <v>44819</v>
      </c>
      <c r="J975" s="35" t="s">
        <v>1124</v>
      </c>
      <c r="K975" s="21">
        <v>2749000</v>
      </c>
      <c r="L975" s="21"/>
      <c r="M975" s="22">
        <f>(PROVEEDORES[[#This Row],[SUBTOTAL]]-PROVEEDORES[[#This Row],[descuento sobre subtotal]])*VLOOKUP(PROVEEDORES[[#This Row],[PROVEEDOR]],TERCEROS_INFO[#All],3,FALSE)</f>
        <v>0</v>
      </c>
      <c r="N975" s="23"/>
      <c r="O975" s="22">
        <f>+PROVEEDORES[[#This Row],[Descuento sobre subtotal %]]*(PROVEEDORES[[#This Row],[SUBTOTAL]]-PROVEEDORES[[#This Row],[descuento sobre subtotal]])</f>
        <v>0</v>
      </c>
      <c r="P975" s="74">
        <f>+IF(PROVEEDORES[[#This Row],[SUBTOTAL]]&lt;PROVEEDORES[[#This Row],[base retencion]],0,PROVEEDORES[[#This Row],[retención aplicada]])</f>
        <v>0</v>
      </c>
      <c r="Q975" s="22">
        <f>+PROVEEDORES[[#This Row],[Rete Fuente %]]*(PROVEEDORES[[#This Row],[SUBTOTAL]]-PROVEEDORES[[#This Row],[descuento sobre subtotal]])</f>
        <v>0</v>
      </c>
      <c r="R975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9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63">
        <f ca="1">IF(PROVEEDORES[[#This Row],[FECHA DE PAGO]]=0,TODAY()-PROVEEDORES[[#This Row],[FECHA DE FACTURACIÓN]]-PROVEEDORES[[#This Row],[PLAZO Días]],0)</f>
        <v>0</v>
      </c>
      <c r="U975" s="104">
        <f>+VLOOKUP(PROVEEDORES[[#This Row],[PROVEEDOR]],Terceros!$A:$D,4,FALSE)</f>
        <v>0</v>
      </c>
      <c r="V975" s="105">
        <f>+YEAR(PROVEEDORES[[#This Row],[FECHA DE FACTURACIÓN]])</f>
        <v>2022</v>
      </c>
      <c r="W975" s="105">
        <f>+MATCH(PROVEEDORES[[#This Row],[año facturado]],Retenciones!$1:$1,0)</f>
        <v>5</v>
      </c>
      <c r="X975" s="106">
        <f>+VLOOKUP(PROVEEDORES[[#This Row],[ID RETENCION]],Retenciones!$A$1:$O$25,PROVEEDORES[[#This Row],[indicador de columna]],FALSE)</f>
        <v>0</v>
      </c>
      <c r="Y975" s="107">
        <f>+VLOOKUP(PROVEEDORES[[#This Row],[ID RETENCION]],Retenciones!$A$1:$O$25,2,FALSE)</f>
        <v>0</v>
      </c>
      <c r="Z975" s="116" t="b">
        <f>OR(COUNTIF(PROVEEDORES[[#This Row],[PROVEEDOR]],"*"&amp;'Palabra no opera'!$A$2&amp;"*"))</f>
        <v>0</v>
      </c>
    </row>
    <row r="976" spans="1:26" ht="22.35" customHeight="1" x14ac:dyDescent="0.3">
      <c r="A976" s="240" t="str">
        <f>+IF(PROVEEDORES[[#This Row],[FECHA DE PAGO]]=PROVEEDORES[[#This Row],[FECHA DE FACTURACIÓN]],"DE CONTADO","CRÉDITO")</f>
        <v>CRÉDITO</v>
      </c>
      <c r="B976" s="38" t="b">
        <f>+IF((PROVEEDORES[[#This Row],[FECHA DE PAGO]]-PROVEEDORES[[#This Row],[FECHA DE FACTURACIÓN]])&gt;PROVEEDORES[[#This Row],[PLAZO Días]],"PAGO VENCIDO")</f>
        <v>0</v>
      </c>
      <c r="C976" s="20">
        <f>+VLOOKUP(PROVEEDORES[[#This Row],[PROVEEDOR]],TERCEROS_INFO[#All],2,FALSE)</f>
        <v>30</v>
      </c>
      <c r="D976" s="25">
        <f>+SUMIFS(PROVEEDORES[Total],PROVEEDORES[PROVEEDOR],PROVEEDORES[[#This Row],[PROVEEDOR]],PROVEEDORES[FECHA DE PAGO],"")</f>
        <v>2950000</v>
      </c>
      <c r="E976" s="25"/>
      <c r="F976" s="56">
        <f>+VLOOKUP(PROVEEDORES[[#This Row],[PROVEEDOR]],
                       Terceros!$A:$F,
                       5,
                       FALSE)</f>
        <v>0</v>
      </c>
      <c r="G976" s="68">
        <v>44893</v>
      </c>
      <c r="H976" s="26" t="s">
        <v>1152</v>
      </c>
      <c r="I976" s="68">
        <v>44887</v>
      </c>
      <c r="J976" s="35">
        <v>6232</v>
      </c>
      <c r="K976" s="21">
        <v>2035000</v>
      </c>
      <c r="L976" s="21"/>
      <c r="M976" s="22">
        <f>(PROVEEDORES[[#This Row],[SUBTOTAL]]-PROVEEDORES[[#This Row],[descuento sobre subtotal]])*VLOOKUP(PROVEEDORES[[#This Row],[PROVEEDOR]],TERCEROS_INFO[#All],3,FALSE)</f>
        <v>0</v>
      </c>
      <c r="N976" s="23"/>
      <c r="O976" s="22">
        <f>+PROVEEDORES[[#This Row],[Descuento sobre subtotal %]]*(PROVEEDORES[[#This Row],[SUBTOTAL]]-PROVEEDORES[[#This Row],[descuento sobre subtotal]])</f>
        <v>0</v>
      </c>
      <c r="P976" s="74">
        <f>+IF(PROVEEDORES[[#This Row],[SUBTOTAL]]&lt;PROVEEDORES[[#This Row],[base retencion]],0,PROVEEDORES[[#This Row],[retención aplicada]])</f>
        <v>0</v>
      </c>
      <c r="Q976" s="22">
        <f>+PROVEEDORES[[#This Row],[Rete Fuente %]]*(PROVEEDORES[[#This Row],[SUBTOTAL]]-PROVEEDORES[[#This Row],[descuento sobre subtotal]])</f>
        <v>0</v>
      </c>
      <c r="R976" s="21">
        <f>+PROVEEDORES[[#This Row],[SUBTOTAL]]+PROVEEDORES[[#This Row],[IVA 19%]]-PROVEEDORES[[#This Row],[descuento sobre subtotal]]-PROVEEDORES[[#This Row],[Descuento sobre subtotal $2]]-PROVEEDORES[[#This Row],[Rete Fuente $]]</f>
        <v>2035000</v>
      </c>
      <c r="S976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63">
        <f ca="1">IF(PROVEEDORES[[#This Row],[FECHA DE PAGO]]=0,TODAY()-PROVEEDORES[[#This Row],[FECHA DE FACTURACIÓN]]-PROVEEDORES[[#This Row],[PLAZO Días]],0)</f>
        <v>0</v>
      </c>
      <c r="U976" s="104">
        <f>+VLOOKUP(PROVEEDORES[[#This Row],[PROVEEDOR]],Terceros!$A:$D,4,FALSE)</f>
        <v>0</v>
      </c>
      <c r="V976" s="105">
        <f>+YEAR(PROVEEDORES[[#This Row],[FECHA DE FACTURACIÓN]])</f>
        <v>2022</v>
      </c>
      <c r="W976" s="105">
        <f>+MATCH(PROVEEDORES[[#This Row],[año facturado]],Retenciones!$1:$1,0)</f>
        <v>5</v>
      </c>
      <c r="X976" s="106">
        <f>+VLOOKUP(PROVEEDORES[[#This Row],[ID RETENCION]],Retenciones!$A$1:$O$25,PROVEEDORES[[#This Row],[indicador de columna]],FALSE)</f>
        <v>0</v>
      </c>
      <c r="Y976" s="107">
        <f>+VLOOKUP(PROVEEDORES[[#This Row],[ID RETENCION]],Retenciones!$A$1:$O$25,2,FALSE)</f>
        <v>0</v>
      </c>
      <c r="Z976" s="116" t="b">
        <f>OR(COUNTIF(PROVEEDORES[[#This Row],[PROVEEDOR]],"*"&amp;'Palabra no opera'!$A$2&amp;"*"))</f>
        <v>0</v>
      </c>
    </row>
    <row r="977" spans="1:26" ht="22.35" customHeight="1" x14ac:dyDescent="0.3">
      <c r="A977" s="232" t="str">
        <f>+IF(PROVEEDORES[[#This Row],[FECHA DE PAGO]]=PROVEEDORES[[#This Row],[FECHA DE FACTURACIÓN]],"DE CONTADO","CRÉDITO")</f>
        <v>CRÉDITO</v>
      </c>
      <c r="B977" s="38" t="b">
        <f>+IF((PROVEEDORES[[#This Row],[FECHA DE PAGO]]-PROVEEDORES[[#This Row],[FECHA DE FACTURACIÓN]])&gt;PROVEEDORES[[#This Row],[PLAZO Días]],"PAGO VENCIDO")</f>
        <v>0</v>
      </c>
      <c r="C977" s="20">
        <f>+VLOOKUP(PROVEEDORES[[#This Row],[PROVEEDOR]],TERCEROS_INFO[#All],2,FALSE)</f>
        <v>180</v>
      </c>
      <c r="D977" s="25">
        <f>+SUMIFS(PROVEEDORES[Total],PROVEEDORES[PROVEEDOR],PROVEEDORES[[#This Row],[PROVEEDOR]],PROVEEDORES[FECHA DE PAGO],"")</f>
        <v>0</v>
      </c>
      <c r="E977" s="25"/>
      <c r="F977" s="56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977" s="68">
        <v>44893</v>
      </c>
      <c r="H977" s="26" t="s">
        <v>625</v>
      </c>
      <c r="I977" s="68">
        <v>44859</v>
      </c>
      <c r="J977" s="35" t="s">
        <v>1216</v>
      </c>
      <c r="K977" s="21">
        <v>773248</v>
      </c>
      <c r="L977" s="21"/>
      <c r="M977" s="22">
        <f>(PROVEEDORES[[#This Row],[SUBTOTAL]]-PROVEEDORES[[#This Row],[descuento sobre subtotal]])*VLOOKUP(PROVEEDORES[[#This Row],[PROVEEDOR]],TERCEROS_INFO[#All],3,FALSE)</f>
        <v>146917.12</v>
      </c>
      <c r="N977" s="23"/>
      <c r="O977" s="22">
        <f>+PROVEEDORES[[#This Row],[Descuento sobre subtotal %]]*(PROVEEDORES[[#This Row],[SUBTOTAL]]-PROVEEDORES[[#This Row],[descuento sobre subtotal]])</f>
        <v>0</v>
      </c>
      <c r="P977" s="74">
        <f>+IF(PROVEEDORES[[#This Row],[SUBTOTAL]]&lt;PROVEEDORES[[#This Row],[base retencion]],0,PROVEEDORES[[#This Row],[retención aplicada]])</f>
        <v>0</v>
      </c>
      <c r="Q977" s="22">
        <f>+PROVEEDORES[[#This Row],[Rete Fuente %]]*(PROVEEDORES[[#This Row],[SUBTOTAL]]-PROVEEDORES[[#This Row],[descuento sobre subtotal]])</f>
        <v>0</v>
      </c>
      <c r="R977" s="21">
        <f>+PROVEEDORES[[#This Row],[SUBTOTAL]]+PROVEEDORES[[#This Row],[IVA 19%]]-PROVEEDORES[[#This Row],[descuento sobre subtotal]]-PROVEEDORES[[#This Row],[Descuento sobre subtotal $2]]-PROVEEDORES[[#This Row],[Rete Fuente $]]</f>
        <v>920165.12</v>
      </c>
      <c r="S977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63">
        <f ca="1">IF(PROVEEDORES[[#This Row],[FECHA DE PAGO]]=0,TODAY()-PROVEEDORES[[#This Row],[FECHA DE FACTURACIÓN]]-PROVEEDORES[[#This Row],[PLAZO Días]],0)</f>
        <v>0</v>
      </c>
      <c r="U977" s="104" t="str">
        <f>+VLOOKUP(PROVEEDORES[[#This Row],[PROVEEDOR]],Terceros!$A:$D,4,FALSE)</f>
        <v>2,5% con base</v>
      </c>
      <c r="V977" s="105">
        <f>+YEAR(PROVEEDORES[[#This Row],[FECHA DE FACTURACIÓN]])</f>
        <v>2022</v>
      </c>
      <c r="W977" s="105">
        <f>+MATCH(PROVEEDORES[[#This Row],[año facturado]],Retenciones!$1:$1,0)</f>
        <v>5</v>
      </c>
      <c r="X977" s="106">
        <f>+VLOOKUP(PROVEEDORES[[#This Row],[ID RETENCION]],Retenciones!$A$1:$O$25,PROVEEDORES[[#This Row],[indicador de columna]],FALSE)</f>
        <v>1026000</v>
      </c>
      <c r="Y977" s="107">
        <f>+VLOOKUP(PROVEEDORES[[#This Row],[ID RETENCION]],Retenciones!$A$1:$O$25,2,FALSE)</f>
        <v>2.5000000000000001E-2</v>
      </c>
      <c r="Z977" s="116" t="b">
        <f>OR(COUNTIF(PROVEEDORES[[#This Row],[PROVEEDOR]],"*"&amp;'Palabra no opera'!$A$2&amp;"*"))</f>
        <v>1</v>
      </c>
    </row>
    <row r="978" spans="1:26" ht="22.35" customHeight="1" x14ac:dyDescent="0.3">
      <c r="A978" s="222" t="str">
        <f>+IF(PROVEEDORES[[#This Row],[FECHA DE PAGO]]=PROVEEDORES[[#This Row],[FECHA DE FACTURACIÓN]],"DE CONTADO","CRÉDITO")</f>
        <v>CRÉDITO</v>
      </c>
      <c r="B978" s="38" t="str">
        <f>+IF((PROVEEDORES[[#This Row],[FECHA DE PAGO]]-PROVEEDORES[[#This Row],[FECHA DE FACTURACIÓN]])&gt;PROVEEDORES[[#This Row],[PLAZO Días]],"PAGO VENCIDO")</f>
        <v>PAGO VENCIDO</v>
      </c>
      <c r="C978" s="20">
        <f>+VLOOKUP(PROVEEDORES[[#This Row],[PROVEEDOR]],TERCEROS_INFO[#All],2,FALSE)</f>
        <v>30</v>
      </c>
      <c r="D978" s="25">
        <f>+SUMIFS(PROVEEDORES[Total],PROVEEDORES[PROVEEDOR],PROVEEDORES[[#This Row],[PROVEEDOR]],PROVEEDORES[FECHA DE PAGO],"")</f>
        <v>27189617.395</v>
      </c>
      <c r="E978" s="25"/>
      <c r="F978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978" s="68">
        <v>44893</v>
      </c>
      <c r="H978" s="26" t="s">
        <v>77</v>
      </c>
      <c r="I978" s="68">
        <v>44824</v>
      </c>
      <c r="J978" s="35" t="s">
        <v>1139</v>
      </c>
      <c r="K978" s="21">
        <v>5477600</v>
      </c>
      <c r="L978" s="21"/>
      <c r="M978" s="22">
        <f>(PROVEEDORES[[#This Row],[SUBTOTAL]]-PROVEEDORES[[#This Row],[descuento sobre subtotal]])*VLOOKUP(PROVEEDORES[[#This Row],[PROVEEDOR]],TERCEROS_INFO[#All],3,FALSE)</f>
        <v>1040744</v>
      </c>
      <c r="N978" s="23"/>
      <c r="O978" s="22">
        <f>+PROVEEDORES[[#This Row],[Descuento sobre subtotal %]]*(PROVEEDORES[[#This Row],[SUBTOTAL]]-PROVEEDORES[[#This Row],[descuento sobre subtotal]])</f>
        <v>0</v>
      </c>
      <c r="P978" s="74">
        <f>+IF(PROVEEDORES[[#This Row],[SUBTOTAL]]&lt;PROVEEDORES[[#This Row],[base retencion]],0,PROVEEDORES[[#This Row],[retención aplicada]])</f>
        <v>2.5000000000000001E-2</v>
      </c>
      <c r="Q978" s="22">
        <f>+PROVEEDORES[[#This Row],[Rete Fuente %]]*(PROVEEDORES[[#This Row],[SUBTOTAL]]-PROVEEDORES[[#This Row],[descuento sobre subtotal]])</f>
        <v>136940</v>
      </c>
      <c r="R978" s="21">
        <f>+PROVEEDORES[[#This Row],[SUBTOTAL]]+PROVEEDORES[[#This Row],[IVA 19%]]-PROVEEDORES[[#This Row],[descuento sobre subtotal]]-PROVEEDORES[[#This Row],[Descuento sobre subtotal $2]]-PROVEEDORES[[#This Row],[Rete Fuente $]]</f>
        <v>6381404</v>
      </c>
      <c r="S978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63">
        <f ca="1">IF(PROVEEDORES[[#This Row],[FECHA DE PAGO]]=0,TODAY()-PROVEEDORES[[#This Row],[FECHA DE FACTURACIÓN]]-PROVEEDORES[[#This Row],[PLAZO Días]],0)</f>
        <v>0</v>
      </c>
      <c r="U978" s="104" t="str">
        <f>+VLOOKUP(PROVEEDORES[[#This Row],[PROVEEDOR]],Terceros!$A:$D,4,FALSE)</f>
        <v>2,5% con base</v>
      </c>
      <c r="V978" s="105">
        <f>+YEAR(PROVEEDORES[[#This Row],[FECHA DE FACTURACIÓN]])</f>
        <v>2022</v>
      </c>
      <c r="W978" s="105">
        <f>+MATCH(PROVEEDORES[[#This Row],[año facturado]],Retenciones!$1:$1,0)</f>
        <v>5</v>
      </c>
      <c r="X978" s="106">
        <f>+VLOOKUP(PROVEEDORES[[#This Row],[ID RETENCION]],Retenciones!$A$1:$O$25,PROVEEDORES[[#This Row],[indicador de columna]],FALSE)</f>
        <v>1026000</v>
      </c>
      <c r="Y978" s="107">
        <f>+VLOOKUP(PROVEEDORES[[#This Row],[ID RETENCION]],Retenciones!$A$1:$O$25,2,FALSE)</f>
        <v>2.5000000000000001E-2</v>
      </c>
      <c r="Z978" s="116" t="b">
        <f>OR(COUNTIF(PROVEEDORES[[#This Row],[PROVEEDOR]],"*"&amp;'Palabra no opera'!$A$2&amp;"*"))</f>
        <v>0</v>
      </c>
    </row>
    <row r="979" spans="1:26" ht="22.35" customHeight="1" x14ac:dyDescent="0.3">
      <c r="A979" s="222" t="str">
        <f>+IF(PROVEEDORES[[#This Row],[FECHA DE PAGO]]=PROVEEDORES[[#This Row],[FECHA DE FACTURACIÓN]],"DE CONTADO","CRÉDITO")</f>
        <v>CRÉDITO</v>
      </c>
      <c r="B979" s="38" t="str">
        <f>+IF((PROVEEDORES[[#This Row],[FECHA DE PAGO]]-PROVEEDORES[[#This Row],[FECHA DE FACTURACIÓN]])&gt;PROVEEDORES[[#This Row],[PLAZO Días]],"PAGO VENCIDO")</f>
        <v>PAGO VENCIDO</v>
      </c>
      <c r="C979" s="20">
        <f>+VLOOKUP(PROVEEDORES[[#This Row],[PROVEEDOR]],TERCEROS_INFO[#All],2,FALSE)</f>
        <v>30</v>
      </c>
      <c r="D979" s="25">
        <f>+SUMIFS(PROVEEDORES[Total],PROVEEDORES[PROVEEDOR],PROVEEDORES[[#This Row],[PROVEEDOR]],PROVEEDORES[FECHA DE PAGO],"")</f>
        <v>27189617.395</v>
      </c>
      <c r="E979" s="25"/>
      <c r="F979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979" s="68">
        <v>44893</v>
      </c>
      <c r="H979" s="26" t="s">
        <v>77</v>
      </c>
      <c r="I979" s="68">
        <v>44824</v>
      </c>
      <c r="J979" s="35" t="s">
        <v>1138</v>
      </c>
      <c r="K979" s="21">
        <v>3943200</v>
      </c>
      <c r="L979" s="21"/>
      <c r="M979" s="22">
        <f>(PROVEEDORES[[#This Row],[SUBTOTAL]]-PROVEEDORES[[#This Row],[descuento sobre subtotal]])*VLOOKUP(PROVEEDORES[[#This Row],[PROVEEDOR]],TERCEROS_INFO[#All],3,FALSE)</f>
        <v>749208</v>
      </c>
      <c r="N979" s="23"/>
      <c r="O979" s="22">
        <f>+PROVEEDORES[[#This Row],[Descuento sobre subtotal %]]*(PROVEEDORES[[#This Row],[SUBTOTAL]]-PROVEEDORES[[#This Row],[descuento sobre subtotal]])</f>
        <v>0</v>
      </c>
      <c r="P979" s="74">
        <f>+IF(PROVEEDORES[[#This Row],[SUBTOTAL]]&lt;PROVEEDORES[[#This Row],[base retencion]],0,PROVEEDORES[[#This Row],[retención aplicada]])</f>
        <v>2.5000000000000001E-2</v>
      </c>
      <c r="Q979" s="22">
        <f>+PROVEEDORES[[#This Row],[Rete Fuente %]]*(PROVEEDORES[[#This Row],[SUBTOTAL]]-PROVEEDORES[[#This Row],[descuento sobre subtotal]])</f>
        <v>98580</v>
      </c>
      <c r="R979" s="21">
        <f>+PROVEEDORES[[#This Row],[SUBTOTAL]]+PROVEEDORES[[#This Row],[IVA 19%]]-PROVEEDORES[[#This Row],[descuento sobre subtotal]]-PROVEEDORES[[#This Row],[Descuento sobre subtotal $2]]-PROVEEDORES[[#This Row],[Rete Fuente $]]</f>
        <v>4593828</v>
      </c>
      <c r="S979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63">
        <f ca="1">IF(PROVEEDORES[[#This Row],[FECHA DE PAGO]]=0,TODAY()-PROVEEDORES[[#This Row],[FECHA DE FACTURACIÓN]]-PROVEEDORES[[#This Row],[PLAZO Días]],0)</f>
        <v>0</v>
      </c>
      <c r="U979" s="104" t="str">
        <f>+VLOOKUP(PROVEEDORES[[#This Row],[PROVEEDOR]],Terceros!$A:$D,4,FALSE)</f>
        <v>2,5% con base</v>
      </c>
      <c r="V979" s="105">
        <f>+YEAR(PROVEEDORES[[#This Row],[FECHA DE FACTURACIÓN]])</f>
        <v>2022</v>
      </c>
      <c r="W979" s="105">
        <f>+MATCH(PROVEEDORES[[#This Row],[año facturado]],Retenciones!$1:$1,0)</f>
        <v>5</v>
      </c>
      <c r="X979" s="106">
        <f>+VLOOKUP(PROVEEDORES[[#This Row],[ID RETENCION]],Retenciones!$A$1:$O$25,PROVEEDORES[[#This Row],[indicador de columna]],FALSE)</f>
        <v>1026000</v>
      </c>
      <c r="Y979" s="107">
        <f>+VLOOKUP(PROVEEDORES[[#This Row],[ID RETENCION]],Retenciones!$A$1:$O$25,2,FALSE)</f>
        <v>2.5000000000000001E-2</v>
      </c>
      <c r="Z979" s="116" t="b">
        <f>OR(COUNTIF(PROVEEDORES[[#This Row],[PROVEEDOR]],"*"&amp;'Palabra no opera'!$A$2&amp;"*"))</f>
        <v>0</v>
      </c>
    </row>
    <row r="980" spans="1:26" ht="22.35" customHeight="1" x14ac:dyDescent="0.3">
      <c r="A980" s="67" t="str">
        <f>+IF(PROVEEDORES[[#This Row],[FECHA DE PAGO]]=PROVEEDORES[[#This Row],[FECHA DE FACTURACIÓN]],"DE CONTADO","CRÉDITO")</f>
        <v>CRÉDITO</v>
      </c>
      <c r="B980" s="38" t="str">
        <f>+IF((PROVEEDORES[[#This Row],[FECHA DE PAGO]]-PROVEEDORES[[#This Row],[FECHA DE FACTURACIÓN]])&gt;PROVEEDORES[[#This Row],[PLAZO Días]],"PAGO VENCIDO")</f>
        <v>PAGO VENCIDO</v>
      </c>
      <c r="C980" s="20">
        <f>+VLOOKUP(PROVEEDORES[[#This Row],[PROVEEDOR]],TERCEROS_INFO[#All],2,FALSE)</f>
        <v>30</v>
      </c>
      <c r="D980" s="25">
        <f>+SUMIFS(PROVEEDORES[Total],PROVEEDORES[PROVEEDOR],PROVEEDORES[[#This Row],[PROVEEDOR]],PROVEEDORES[FECHA DE PAGO],"")</f>
        <v>27189617.395</v>
      </c>
      <c r="E980" s="25"/>
      <c r="F980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980" s="68">
        <v>44893</v>
      </c>
      <c r="H980" s="26" t="s">
        <v>77</v>
      </c>
      <c r="I980" s="68">
        <v>44831</v>
      </c>
      <c r="J980" s="35" t="s">
        <v>1142</v>
      </c>
      <c r="K980" s="21">
        <v>64000</v>
      </c>
      <c r="L980" s="21"/>
      <c r="M980" s="22">
        <f>(PROVEEDORES[[#This Row],[SUBTOTAL]]-PROVEEDORES[[#This Row],[descuento sobre subtotal]])*VLOOKUP(PROVEEDORES[[#This Row],[PROVEEDOR]],TERCEROS_INFO[#All],3,FALSE)</f>
        <v>12160</v>
      </c>
      <c r="N980" s="23"/>
      <c r="O980" s="22">
        <f>+PROVEEDORES[[#This Row],[Descuento sobre subtotal %]]*(PROVEEDORES[[#This Row],[SUBTOTAL]]-PROVEEDORES[[#This Row],[descuento sobre subtotal]])</f>
        <v>0</v>
      </c>
      <c r="P980" s="74">
        <f>+IF(PROVEEDORES[[#This Row],[SUBTOTAL]]&lt;PROVEEDORES[[#This Row],[base retencion]],0,PROVEEDORES[[#This Row],[retención aplicada]])</f>
        <v>0</v>
      </c>
      <c r="Q980" s="22">
        <f>+PROVEEDORES[[#This Row],[Rete Fuente %]]*(PROVEEDORES[[#This Row],[SUBTOTAL]]-PROVEEDORES[[#This Row],[descuento sobre subtotal]])</f>
        <v>0</v>
      </c>
      <c r="R980" s="21">
        <f>+PROVEEDORES[[#This Row],[SUBTOTAL]]+PROVEEDORES[[#This Row],[IVA 19%]]-PROVEEDORES[[#This Row],[descuento sobre subtotal]]-PROVEEDORES[[#This Row],[Descuento sobre subtotal $2]]-PROVEEDORES[[#This Row],[Rete Fuente $]]</f>
        <v>76160</v>
      </c>
      <c r="S9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63">
        <f ca="1">IF(PROVEEDORES[[#This Row],[FECHA DE PAGO]]=0,TODAY()-PROVEEDORES[[#This Row],[FECHA DE FACTURACIÓN]]-PROVEEDORES[[#This Row],[PLAZO Días]],0)</f>
        <v>0</v>
      </c>
      <c r="U980" s="104" t="str">
        <f>+VLOOKUP(PROVEEDORES[[#This Row],[PROVEEDOR]],Terceros!$A:$D,4,FALSE)</f>
        <v>2,5% con base</v>
      </c>
      <c r="V980" s="105">
        <f>+YEAR(PROVEEDORES[[#This Row],[FECHA DE FACTURACIÓN]])</f>
        <v>2022</v>
      </c>
      <c r="W980" s="105">
        <f>+MATCH(PROVEEDORES[[#This Row],[año facturado]],Retenciones!$1:$1,0)</f>
        <v>5</v>
      </c>
      <c r="X980" s="106">
        <f>+VLOOKUP(PROVEEDORES[[#This Row],[ID RETENCION]],Retenciones!$A$1:$O$25,PROVEEDORES[[#This Row],[indicador de columna]],FALSE)</f>
        <v>1026000</v>
      </c>
      <c r="Y980" s="107">
        <f>+VLOOKUP(PROVEEDORES[[#This Row],[ID RETENCION]],Retenciones!$A$1:$O$25,2,FALSE)</f>
        <v>2.5000000000000001E-2</v>
      </c>
      <c r="Z980" s="116" t="b">
        <f>OR(COUNTIF(PROVEEDORES[[#This Row],[PROVEEDOR]],"*"&amp;'Palabra no opera'!$A$2&amp;"*"))</f>
        <v>0</v>
      </c>
    </row>
    <row r="981" spans="1:26" ht="22.35" customHeight="1" x14ac:dyDescent="0.3">
      <c r="A981" s="67" t="str">
        <f>+IF(PROVEEDORES[[#This Row],[FECHA DE PAGO]]=PROVEEDORES[[#This Row],[FECHA DE FACTURACIÓN]],"DE CONTADO","CRÉDITO")</f>
        <v>CRÉDITO</v>
      </c>
      <c r="B981" s="38" t="str">
        <f>+IF((PROVEEDORES[[#This Row],[FECHA DE PAGO]]-PROVEEDORES[[#This Row],[FECHA DE FACTURACIÓN]])&gt;PROVEEDORES[[#This Row],[PLAZO Días]],"PAGO VENCIDO")</f>
        <v>PAGO VENCIDO</v>
      </c>
      <c r="C981" s="20">
        <f>+VLOOKUP(PROVEEDORES[[#This Row],[PROVEEDOR]],TERCEROS_INFO[#All],2,FALSE)</f>
        <v>30</v>
      </c>
      <c r="D981" s="25">
        <f>+SUMIFS(PROVEEDORES[Total],PROVEEDORES[PROVEEDOR],PROVEEDORES[[#This Row],[PROVEEDOR]],PROVEEDORES[FECHA DE PAGO],"")</f>
        <v>27189617.395</v>
      </c>
      <c r="E981" s="25"/>
      <c r="F981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981" s="68">
        <v>44893</v>
      </c>
      <c r="H981" s="26" t="s">
        <v>77</v>
      </c>
      <c r="I981" s="68">
        <v>44831</v>
      </c>
      <c r="J981" s="35" t="s">
        <v>1143</v>
      </c>
      <c r="K981" s="21">
        <v>420800</v>
      </c>
      <c r="L981" s="21"/>
      <c r="M981" s="22">
        <f>(PROVEEDORES[[#This Row],[SUBTOTAL]]-PROVEEDORES[[#This Row],[descuento sobre subtotal]])*VLOOKUP(PROVEEDORES[[#This Row],[PROVEEDOR]],TERCEROS_INFO[#All],3,FALSE)</f>
        <v>79952</v>
      </c>
      <c r="N981" s="23"/>
      <c r="O981" s="22">
        <f>+PROVEEDORES[[#This Row],[Descuento sobre subtotal %]]*(PROVEEDORES[[#This Row],[SUBTOTAL]]-PROVEEDORES[[#This Row],[descuento sobre subtotal]])</f>
        <v>0</v>
      </c>
      <c r="P981" s="74">
        <f>+IF(PROVEEDORES[[#This Row],[SUBTOTAL]]&lt;PROVEEDORES[[#This Row],[base retencion]],0,PROVEEDORES[[#This Row],[retención aplicada]])</f>
        <v>0</v>
      </c>
      <c r="Q981" s="22">
        <f>+PROVEEDORES[[#This Row],[Rete Fuente %]]*(PROVEEDORES[[#This Row],[SUBTOTAL]]-PROVEEDORES[[#This Row],[descuento sobre subtotal]])</f>
        <v>0</v>
      </c>
      <c r="R981" s="21">
        <f>+PROVEEDORES[[#This Row],[SUBTOTAL]]+PROVEEDORES[[#This Row],[IVA 19%]]-PROVEEDORES[[#This Row],[descuento sobre subtotal]]-PROVEEDORES[[#This Row],[Descuento sobre subtotal $2]]-PROVEEDORES[[#This Row],[Rete Fuente $]]</f>
        <v>500752</v>
      </c>
      <c r="S9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63">
        <f ca="1">IF(PROVEEDORES[[#This Row],[FECHA DE PAGO]]=0,TODAY()-PROVEEDORES[[#This Row],[FECHA DE FACTURACIÓN]]-PROVEEDORES[[#This Row],[PLAZO Días]],0)</f>
        <v>0</v>
      </c>
      <c r="U981" s="104" t="str">
        <f>+VLOOKUP(PROVEEDORES[[#This Row],[PROVEEDOR]],Terceros!$A:$D,4,FALSE)</f>
        <v>2,5% con base</v>
      </c>
      <c r="V981" s="105">
        <f>+YEAR(PROVEEDORES[[#This Row],[FECHA DE FACTURACIÓN]])</f>
        <v>2022</v>
      </c>
      <c r="W981" s="105">
        <f>+MATCH(PROVEEDORES[[#This Row],[año facturado]],Retenciones!$1:$1,0)</f>
        <v>5</v>
      </c>
      <c r="X981" s="106">
        <f>+VLOOKUP(PROVEEDORES[[#This Row],[ID RETENCION]],Retenciones!$A$1:$O$25,PROVEEDORES[[#This Row],[indicador de columna]],FALSE)</f>
        <v>1026000</v>
      </c>
      <c r="Y981" s="107">
        <f>+VLOOKUP(PROVEEDORES[[#This Row],[ID RETENCION]],Retenciones!$A$1:$O$25,2,FALSE)</f>
        <v>2.5000000000000001E-2</v>
      </c>
      <c r="Z981" s="116" t="b">
        <f>OR(COUNTIF(PROVEEDORES[[#This Row],[PROVEEDOR]],"*"&amp;'Palabra no opera'!$A$2&amp;"*"))</f>
        <v>0</v>
      </c>
    </row>
    <row r="982" spans="1:26" ht="22.35" customHeight="1" x14ac:dyDescent="0.3">
      <c r="A982" s="182" t="str">
        <f>+IF(PROVEEDORES[[#This Row],[FECHA DE PAGO]]=PROVEEDORES[[#This Row],[FECHA DE FACTURACIÓN]],"DE CONTADO","CRÉDITO")</f>
        <v>CRÉDITO</v>
      </c>
      <c r="B982" s="38" t="str">
        <f>+IF((PROVEEDORES[[#This Row],[FECHA DE PAGO]]-PROVEEDORES[[#This Row],[FECHA DE FACTURACIÓN]])&gt;PROVEEDORES[[#This Row],[PLAZO Días]],"PAGO VENCIDO")</f>
        <v>PAGO VENCIDO</v>
      </c>
      <c r="C982" s="20">
        <f>+VLOOKUP(PROVEEDORES[[#This Row],[PROVEEDOR]],TERCEROS_INFO[#All],2,FALSE)</f>
        <v>30</v>
      </c>
      <c r="D982" s="25">
        <f>+SUMIFS(PROVEEDORES[Total],PROVEEDORES[PROVEEDOR],PROVEEDORES[[#This Row],[PROVEEDOR]],PROVEEDORES[FECHA DE PAGO],"")</f>
        <v>12030261.305</v>
      </c>
      <c r="E982" s="25"/>
      <c r="F982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982" s="68">
        <v>44893</v>
      </c>
      <c r="H982" s="26" t="s">
        <v>12</v>
      </c>
      <c r="I982" s="68">
        <v>44795</v>
      </c>
      <c r="J982" s="35" t="s">
        <v>962</v>
      </c>
      <c r="K982" s="21">
        <v>856305</v>
      </c>
      <c r="L982" s="21"/>
      <c r="M982" s="22">
        <f>(PROVEEDORES[[#This Row],[SUBTOTAL]]-PROVEEDORES[[#This Row],[descuento sobre subtotal]])*VLOOKUP(PROVEEDORES[[#This Row],[PROVEEDOR]],TERCEROS_INFO[#All],3,FALSE)</f>
        <v>162697.95000000001</v>
      </c>
      <c r="N982" s="23"/>
      <c r="O982" s="22">
        <f>+PROVEEDORES[[#This Row],[Descuento sobre subtotal %]]*(PROVEEDORES[[#This Row],[SUBTOTAL]]-PROVEEDORES[[#This Row],[descuento sobre subtotal]])</f>
        <v>0</v>
      </c>
      <c r="P982" s="74">
        <f>+IF(PROVEEDORES[[#This Row],[SUBTOTAL]]&lt;PROVEEDORES[[#This Row],[base retencion]],0,PROVEEDORES[[#This Row],[retención aplicada]])</f>
        <v>0</v>
      </c>
      <c r="Q982" s="22">
        <f>+PROVEEDORES[[#This Row],[Rete Fuente %]]*(PROVEEDORES[[#This Row],[SUBTOTAL]]-PROVEEDORES[[#This Row],[descuento sobre subtotal]])</f>
        <v>0</v>
      </c>
      <c r="R982" s="21">
        <f>+PROVEEDORES[[#This Row],[SUBTOTAL]]+PROVEEDORES[[#This Row],[IVA 19%]]-PROVEEDORES[[#This Row],[descuento sobre subtotal]]-PROVEEDORES[[#This Row],[Descuento sobre subtotal $2]]-PROVEEDORES[[#This Row],[Rete Fuente $]]</f>
        <v>1019002.95</v>
      </c>
      <c r="S98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63">
        <f ca="1">IF(PROVEEDORES[[#This Row],[FECHA DE PAGO]]=0,TODAY()-PROVEEDORES[[#This Row],[FECHA DE FACTURACIÓN]]-PROVEEDORES[[#This Row],[PLAZO Días]],0)</f>
        <v>0</v>
      </c>
      <c r="U982" s="104" t="str">
        <f>+VLOOKUP(PROVEEDORES[[#This Row],[PROVEEDOR]],Terceros!$A:$D,4,FALSE)</f>
        <v>2,5% con base</v>
      </c>
      <c r="V982" s="105">
        <f>+YEAR(PROVEEDORES[[#This Row],[FECHA DE FACTURACIÓN]])</f>
        <v>2022</v>
      </c>
      <c r="W982" s="105">
        <f>+MATCH(PROVEEDORES[[#This Row],[año facturado]],Retenciones!$1:$1,0)</f>
        <v>5</v>
      </c>
      <c r="X982" s="106">
        <f>+VLOOKUP(PROVEEDORES[[#This Row],[ID RETENCION]],Retenciones!$A$1:$O$25,PROVEEDORES[[#This Row],[indicador de columna]],FALSE)</f>
        <v>1026000</v>
      </c>
      <c r="Y982" s="107">
        <f>+VLOOKUP(PROVEEDORES[[#This Row],[ID RETENCION]],Retenciones!$A$1:$O$25,2,FALSE)</f>
        <v>2.5000000000000001E-2</v>
      </c>
      <c r="Z982" s="116" t="b">
        <f>OR(COUNTIF(PROVEEDORES[[#This Row],[PROVEEDOR]],"*"&amp;'Palabra no opera'!$A$2&amp;"*"))</f>
        <v>0</v>
      </c>
    </row>
    <row r="983" spans="1:26" ht="22.35" customHeight="1" x14ac:dyDescent="0.3">
      <c r="A983" s="182" t="str">
        <f>+IF(PROVEEDORES[[#This Row],[FECHA DE PAGO]]=PROVEEDORES[[#This Row],[FECHA DE FACTURACIÓN]],"DE CONTADO","CRÉDITO")</f>
        <v>CRÉDITO</v>
      </c>
      <c r="B983" s="38" t="str">
        <f>+IF((PROVEEDORES[[#This Row],[FECHA DE PAGO]]-PROVEEDORES[[#This Row],[FECHA DE FACTURACIÓN]])&gt;PROVEEDORES[[#This Row],[PLAZO Días]],"PAGO VENCIDO")</f>
        <v>PAGO VENCIDO</v>
      </c>
      <c r="C983" s="20">
        <f>+VLOOKUP(PROVEEDORES[[#This Row],[PROVEEDOR]],TERCEROS_INFO[#All],2,FALSE)</f>
        <v>30</v>
      </c>
      <c r="D983" s="25">
        <f>+SUMIFS(PROVEEDORES[Total],PROVEEDORES[PROVEEDOR],PROVEEDORES[[#This Row],[PROVEEDOR]],PROVEEDORES[FECHA DE PAGO],"")</f>
        <v>12030261.305</v>
      </c>
      <c r="E983" s="25"/>
      <c r="F983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983" s="68">
        <v>44893</v>
      </c>
      <c r="H983" s="26" t="s">
        <v>12</v>
      </c>
      <c r="I983" s="68">
        <v>44795</v>
      </c>
      <c r="J983" s="35" t="s">
        <v>963</v>
      </c>
      <c r="K983" s="21">
        <v>3882356</v>
      </c>
      <c r="L983" s="21"/>
      <c r="M983" s="22">
        <f>(PROVEEDORES[[#This Row],[SUBTOTAL]]-PROVEEDORES[[#This Row],[descuento sobre subtotal]])*VLOOKUP(PROVEEDORES[[#This Row],[PROVEEDOR]],TERCEROS_INFO[#All],3,FALSE)</f>
        <v>737647.64</v>
      </c>
      <c r="N983" s="23"/>
      <c r="O983" s="22">
        <f>+PROVEEDORES[[#This Row],[Descuento sobre subtotal %]]*(PROVEEDORES[[#This Row],[SUBTOTAL]]-PROVEEDORES[[#This Row],[descuento sobre subtotal]])</f>
        <v>0</v>
      </c>
      <c r="P983" s="74">
        <f>+IF(PROVEEDORES[[#This Row],[SUBTOTAL]]&lt;PROVEEDORES[[#This Row],[base retencion]],0,PROVEEDORES[[#This Row],[retención aplicada]])</f>
        <v>2.5000000000000001E-2</v>
      </c>
      <c r="Q983" s="22">
        <f>+PROVEEDORES[[#This Row],[Rete Fuente %]]*(PROVEEDORES[[#This Row],[SUBTOTAL]]-PROVEEDORES[[#This Row],[descuento sobre subtotal]])</f>
        <v>97058.900000000009</v>
      </c>
      <c r="R983" s="21">
        <f>+PROVEEDORES[[#This Row],[SUBTOTAL]]+PROVEEDORES[[#This Row],[IVA 19%]]-PROVEEDORES[[#This Row],[descuento sobre subtotal]]-PROVEEDORES[[#This Row],[Descuento sobre subtotal $2]]-PROVEEDORES[[#This Row],[Rete Fuente $]]</f>
        <v>4522944.7399999993</v>
      </c>
      <c r="S98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63">
        <f ca="1">IF(PROVEEDORES[[#This Row],[FECHA DE PAGO]]=0,TODAY()-PROVEEDORES[[#This Row],[FECHA DE FACTURACIÓN]]-PROVEEDORES[[#This Row],[PLAZO Días]],0)</f>
        <v>0</v>
      </c>
      <c r="U983" s="104" t="str">
        <f>+VLOOKUP(PROVEEDORES[[#This Row],[PROVEEDOR]],Terceros!$A:$D,4,FALSE)</f>
        <v>2,5% con base</v>
      </c>
      <c r="V983" s="105">
        <f>+YEAR(PROVEEDORES[[#This Row],[FECHA DE FACTURACIÓN]])</f>
        <v>2022</v>
      </c>
      <c r="W983" s="105">
        <f>+MATCH(PROVEEDORES[[#This Row],[año facturado]],Retenciones!$1:$1,0)</f>
        <v>5</v>
      </c>
      <c r="X983" s="106">
        <f>+VLOOKUP(PROVEEDORES[[#This Row],[ID RETENCION]],Retenciones!$A$1:$O$25,PROVEEDORES[[#This Row],[indicador de columna]],FALSE)</f>
        <v>1026000</v>
      </c>
      <c r="Y983" s="107">
        <f>+VLOOKUP(PROVEEDORES[[#This Row],[ID RETENCION]],Retenciones!$A$1:$O$25,2,FALSE)</f>
        <v>2.5000000000000001E-2</v>
      </c>
      <c r="Z983" s="116" t="b">
        <f>OR(COUNTIF(PROVEEDORES[[#This Row],[PROVEEDOR]],"*"&amp;'Palabra no opera'!$A$2&amp;"*"))</f>
        <v>0</v>
      </c>
    </row>
    <row r="984" spans="1:26" ht="22.35" customHeight="1" x14ac:dyDescent="0.3">
      <c r="A984" s="238" t="str">
        <f>+IF(PROVEEDORES[[#This Row],[FECHA DE PAGO]]=PROVEEDORES[[#This Row],[FECHA DE FACTURACIÓN]],"DE CONTADO","CRÉDITO")</f>
        <v>CRÉDITO</v>
      </c>
      <c r="B984" s="38" t="b">
        <f>+IF((PROVEEDORES[[#This Row],[FECHA DE PAGO]]-PROVEEDORES[[#This Row],[FECHA DE FACTURACIÓN]])&gt;PROVEEDORES[[#This Row],[PLAZO Días]],"PAGO VENCIDO")</f>
        <v>0</v>
      </c>
      <c r="C984" s="20">
        <f>+VLOOKUP(PROVEEDORES[[#This Row],[PROVEEDOR]],TERCEROS_INFO[#All],2,FALSE)</f>
        <v>30</v>
      </c>
      <c r="D984" s="25">
        <f>+SUMIFS(PROVEEDORES[Total],PROVEEDORES[PROVEEDOR],PROVEEDORES[[#This Row],[PROVEEDOR]],PROVEEDORES[FECHA DE PAGO],"")</f>
        <v>0</v>
      </c>
      <c r="E984" s="25"/>
      <c r="F984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984" s="68">
        <v>44893</v>
      </c>
      <c r="H984" s="26" t="s">
        <v>628</v>
      </c>
      <c r="I984" s="68">
        <v>44866</v>
      </c>
      <c r="J984" s="35" t="s">
        <v>1283</v>
      </c>
      <c r="K984" s="21">
        <v>1649859</v>
      </c>
      <c r="L984" s="21"/>
      <c r="M984" s="22">
        <f>(PROVEEDORES[[#This Row],[SUBTOTAL]]-PROVEEDORES[[#This Row],[descuento sobre subtotal]])*VLOOKUP(PROVEEDORES[[#This Row],[PROVEEDOR]],TERCEROS_INFO[#All],3,FALSE)</f>
        <v>0</v>
      </c>
      <c r="N984" s="23"/>
      <c r="O984" s="22">
        <f>+PROVEEDORES[[#This Row],[Descuento sobre subtotal %]]*(PROVEEDORES[[#This Row],[SUBTOTAL]]-PROVEEDORES[[#This Row],[descuento sobre subtotal]])</f>
        <v>0</v>
      </c>
      <c r="P984" s="74">
        <f>+IF(PROVEEDORES[[#This Row],[SUBTOTAL]]&lt;PROVEEDORES[[#This Row],[base retencion]],0,PROVEEDORES[[#This Row],[retención aplicada]])</f>
        <v>0</v>
      </c>
      <c r="Q984" s="22">
        <f>+PROVEEDORES[[#This Row],[Rete Fuente %]]*(PROVEEDORES[[#This Row],[SUBTOTAL]]-PROVEEDORES[[#This Row],[descuento sobre subtotal]])</f>
        <v>0</v>
      </c>
      <c r="R984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984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63">
        <f ca="1">IF(PROVEEDORES[[#This Row],[FECHA DE PAGO]]=0,TODAY()-PROVEEDORES[[#This Row],[FECHA DE FACTURACIÓN]]-PROVEEDORES[[#This Row],[PLAZO Días]],0)</f>
        <v>0</v>
      </c>
      <c r="U984" s="104">
        <f>+VLOOKUP(PROVEEDORES[[#This Row],[PROVEEDOR]],Terceros!$A:$D,4,FALSE)</f>
        <v>0</v>
      </c>
      <c r="V984" s="105">
        <f>+YEAR(PROVEEDORES[[#This Row],[FECHA DE FACTURACIÓN]])</f>
        <v>2022</v>
      </c>
      <c r="W984" s="105">
        <f>+MATCH(PROVEEDORES[[#This Row],[año facturado]],Retenciones!$1:$1,0)</f>
        <v>5</v>
      </c>
      <c r="X984" s="106">
        <f>+VLOOKUP(PROVEEDORES[[#This Row],[ID RETENCION]],Retenciones!$A$1:$O$25,PROVEEDORES[[#This Row],[indicador de columna]],FALSE)</f>
        <v>0</v>
      </c>
      <c r="Y984" s="107">
        <f>+VLOOKUP(PROVEEDORES[[#This Row],[ID RETENCION]],Retenciones!$A$1:$O$25,2,FALSE)</f>
        <v>0</v>
      </c>
      <c r="Z984" s="116" t="b">
        <f>OR(COUNTIF(PROVEEDORES[[#This Row],[PROVEEDOR]],"*"&amp;'Palabra no opera'!$A$2&amp;"*"))</f>
        <v>1</v>
      </c>
    </row>
    <row r="985" spans="1:26" ht="22.35" customHeight="1" x14ac:dyDescent="0.3">
      <c r="A985" s="238" t="str">
        <f>+IF(PROVEEDORES[[#This Row],[FECHA DE PAGO]]=PROVEEDORES[[#This Row],[FECHA DE FACTURACIÓN]],"DE CONTADO","CRÉDITO")</f>
        <v>CRÉDITO</v>
      </c>
      <c r="B985" s="38" t="b">
        <f>+IF((PROVEEDORES[[#This Row],[FECHA DE PAGO]]-PROVEEDORES[[#This Row],[FECHA DE FACTURACIÓN]])&gt;PROVEEDORES[[#This Row],[PLAZO Días]],"PAGO VENCIDO")</f>
        <v>0</v>
      </c>
      <c r="C985" s="20">
        <f>+VLOOKUP(PROVEEDORES[[#This Row],[PROVEEDOR]],TERCEROS_INFO[#All],2,FALSE)</f>
        <v>30</v>
      </c>
      <c r="D985" s="25">
        <f>+SUMIFS(PROVEEDORES[Total],PROVEEDORES[PROVEEDOR],PROVEEDORES[[#This Row],[PROVEEDOR]],PROVEEDORES[FECHA DE PAGO],"")</f>
        <v>352505.48</v>
      </c>
      <c r="E985" s="25"/>
      <c r="F985" s="56" t="str">
        <f>+VLOOKUP(PROVEEDORES[[#This Row],[PROVEEDOR]],
                       Terceros!$A:$F,
                       5,
                       FALSE)</f>
        <v>facturacion@losmolinos.com.co</v>
      </c>
      <c r="G985" s="68">
        <v>44893</v>
      </c>
      <c r="H985" s="26" t="s">
        <v>650</v>
      </c>
      <c r="I985" s="68">
        <v>44868</v>
      </c>
      <c r="J985" s="35" t="s">
        <v>1281</v>
      </c>
      <c r="K985" s="21">
        <v>284467</v>
      </c>
      <c r="L985" s="21"/>
      <c r="M985" s="22">
        <f>(PROVEEDORES[[#This Row],[SUBTOTAL]]-PROVEEDORES[[#This Row],[descuento sobre subtotal]])*VLOOKUP(PROVEEDORES[[#This Row],[PROVEEDOR]],TERCEROS_INFO[#All],3,FALSE)</f>
        <v>0</v>
      </c>
      <c r="N985" s="23"/>
      <c r="O985" s="22">
        <f>+PROVEEDORES[[#This Row],[Descuento sobre subtotal %]]*(PROVEEDORES[[#This Row],[SUBTOTAL]]-PROVEEDORES[[#This Row],[descuento sobre subtotal]])</f>
        <v>0</v>
      </c>
      <c r="P985" s="74">
        <f>+IF(PROVEEDORES[[#This Row],[SUBTOTAL]]&lt;PROVEEDORES[[#This Row],[base retencion]],0,PROVEEDORES[[#This Row],[retención aplicada]])</f>
        <v>0</v>
      </c>
      <c r="Q985" s="22">
        <f>+PROVEEDORES[[#This Row],[Rete Fuente %]]*(PROVEEDORES[[#This Row],[SUBTOTAL]]-PROVEEDORES[[#This Row],[descuento sobre subtotal]])</f>
        <v>0</v>
      </c>
      <c r="R985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985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63">
        <f ca="1">IF(PROVEEDORES[[#This Row],[FECHA DE PAGO]]=0,TODAY()-PROVEEDORES[[#This Row],[FECHA DE FACTURACIÓN]]-PROVEEDORES[[#This Row],[PLAZO Días]],0)</f>
        <v>0</v>
      </c>
      <c r="U985" s="104">
        <f>+VLOOKUP(PROVEEDORES[[#This Row],[PROVEEDOR]],Terceros!$A:$D,4,FALSE)</f>
        <v>0</v>
      </c>
      <c r="V985" s="105">
        <f>+YEAR(PROVEEDORES[[#This Row],[FECHA DE FACTURACIÓN]])</f>
        <v>2022</v>
      </c>
      <c r="W985" s="105">
        <f>+MATCH(PROVEEDORES[[#This Row],[año facturado]],Retenciones!$1:$1,0)</f>
        <v>5</v>
      </c>
      <c r="X985" s="106">
        <f>+VLOOKUP(PROVEEDORES[[#This Row],[ID RETENCION]],Retenciones!$A$1:$O$25,PROVEEDORES[[#This Row],[indicador de columna]],FALSE)</f>
        <v>0</v>
      </c>
      <c r="Y985" s="107">
        <f>+VLOOKUP(PROVEEDORES[[#This Row],[ID RETENCION]],Retenciones!$A$1:$O$25,2,FALSE)</f>
        <v>0</v>
      </c>
      <c r="Z985" s="116" t="b">
        <f>OR(COUNTIF(PROVEEDORES[[#This Row],[PROVEEDOR]],"*"&amp;'Palabra no opera'!$A$2&amp;"*"))</f>
        <v>1</v>
      </c>
    </row>
    <row r="986" spans="1:26" ht="22.35" customHeight="1" x14ac:dyDescent="0.3">
      <c r="A986" s="196" t="str">
        <f>+IF(PROVEEDORES[[#This Row],[FECHA DE PAGO]]=PROVEEDORES[[#This Row],[FECHA DE FACTURACIÓN]],"DE CONTADO","CRÉDITO")</f>
        <v>CRÉDITO</v>
      </c>
      <c r="B986" s="38" t="str">
        <f>+IF((PROVEEDORES[[#This Row],[FECHA DE PAGO]]-PROVEEDORES[[#This Row],[FECHA DE FACTURACIÓN]])&gt;PROVEEDORES[[#This Row],[PLAZO Días]],"PAGO VENCIDO")</f>
        <v>PAGO VENCIDO</v>
      </c>
      <c r="C986" s="20">
        <f>+VLOOKUP(PROVEEDORES[[#This Row],[PROVEEDOR]],TERCEROS_INFO[#All],2,FALSE)</f>
        <v>45</v>
      </c>
      <c r="D986" s="25">
        <f>+SUMIFS(PROVEEDORES[Total],PROVEEDORES[PROVEEDOR],PROVEEDORES[[#This Row],[PROVEEDOR]],PROVEEDORES[FECHA DE PAGO],"")</f>
        <v>15770594</v>
      </c>
      <c r="E986" s="25"/>
      <c r="F986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86" s="68">
        <v>44893</v>
      </c>
      <c r="H986" s="26" t="s">
        <v>19</v>
      </c>
      <c r="I986" s="68">
        <v>44824</v>
      </c>
      <c r="J986" s="35" t="s">
        <v>1107</v>
      </c>
      <c r="K986" s="21">
        <v>2184384</v>
      </c>
      <c r="L986" s="21"/>
      <c r="M986" s="22">
        <f>(PROVEEDORES[[#This Row],[SUBTOTAL]]-PROVEEDORES[[#This Row],[descuento sobre subtotal]])*VLOOKUP(PROVEEDORES[[#This Row],[PROVEEDOR]],TERCEROS_INFO[#All],3,FALSE)</f>
        <v>415032.96</v>
      </c>
      <c r="N986" s="23"/>
      <c r="O986" s="22">
        <f>+PROVEEDORES[[#This Row],[Descuento sobre subtotal %]]*(PROVEEDORES[[#This Row],[SUBTOTAL]]-PROVEEDORES[[#This Row],[descuento sobre subtotal]])</f>
        <v>0</v>
      </c>
      <c r="P986" s="74">
        <f>+IF(PROVEEDORES[[#This Row],[SUBTOTAL]]&lt;PROVEEDORES[[#This Row],[base retencion]],0,PROVEEDORES[[#This Row],[retención aplicada]])</f>
        <v>0</v>
      </c>
      <c r="Q986" s="22">
        <f>+PROVEEDORES[[#This Row],[Rete Fuente %]]*(PROVEEDORES[[#This Row],[SUBTOTAL]]-PROVEEDORES[[#This Row],[descuento sobre subtotal]])</f>
        <v>0</v>
      </c>
      <c r="R986" s="21">
        <f>+PROVEEDORES[[#This Row],[SUBTOTAL]]+PROVEEDORES[[#This Row],[IVA 19%]]-PROVEEDORES[[#This Row],[descuento sobre subtotal]]-PROVEEDORES[[#This Row],[Descuento sobre subtotal $2]]-PROVEEDORES[[#This Row],[Rete Fuente $]]</f>
        <v>2599416.96</v>
      </c>
      <c r="S98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63">
        <f ca="1">IF(PROVEEDORES[[#This Row],[FECHA DE PAGO]]=0,TODAY()-PROVEEDORES[[#This Row],[FECHA DE FACTURACIÓN]]-PROVEEDORES[[#This Row],[PLAZO Días]],0)</f>
        <v>0</v>
      </c>
      <c r="U986" s="104">
        <f>+VLOOKUP(PROVEEDORES[[#This Row],[PROVEEDOR]],Terceros!$A:$D,4,FALSE)</f>
        <v>0</v>
      </c>
      <c r="V986" s="105">
        <f>+YEAR(PROVEEDORES[[#This Row],[FECHA DE FACTURACIÓN]])</f>
        <v>2022</v>
      </c>
      <c r="W986" s="105">
        <f>+MATCH(PROVEEDORES[[#This Row],[año facturado]],Retenciones!$1:$1,0)</f>
        <v>5</v>
      </c>
      <c r="X986" s="106">
        <f>+VLOOKUP(PROVEEDORES[[#This Row],[ID RETENCION]],Retenciones!$A$1:$O$25,PROVEEDORES[[#This Row],[indicador de columna]],FALSE)</f>
        <v>0</v>
      </c>
      <c r="Y986" s="107">
        <f>+VLOOKUP(PROVEEDORES[[#This Row],[ID RETENCION]],Retenciones!$A$1:$O$25,2,FALSE)</f>
        <v>0</v>
      </c>
      <c r="Z986" s="116" t="b">
        <f>OR(COUNTIF(PROVEEDORES[[#This Row],[PROVEEDOR]],"*"&amp;'Palabra no opera'!$A$2&amp;"*"))</f>
        <v>0</v>
      </c>
    </row>
    <row r="987" spans="1:26" ht="22.35" customHeight="1" x14ac:dyDescent="0.3">
      <c r="A987" s="232" t="str">
        <f>+IF(PROVEEDORES[[#This Row],[FECHA DE PAGO]]=PROVEEDORES[[#This Row],[FECHA DE FACTURACIÓN]],"DE CONTADO","CRÉDITO")</f>
        <v>CRÉDITO</v>
      </c>
      <c r="B987" s="38" t="b">
        <f>+IF((PROVEEDORES[[#This Row],[FECHA DE PAGO]]-PROVEEDORES[[#This Row],[FECHA DE FACTURACIÓN]])&gt;PROVEEDORES[[#This Row],[PLAZO Días]],"PAGO VENCIDO")</f>
        <v>0</v>
      </c>
      <c r="C987" s="20">
        <f>+VLOOKUP(PROVEEDORES[[#This Row],[PROVEEDOR]],TERCEROS_INFO[#All],2,FALSE)</f>
        <v>45</v>
      </c>
      <c r="D987" s="25">
        <f>+SUMIFS(PROVEEDORES[Total],PROVEEDORES[PROVEEDOR],PROVEEDORES[[#This Row],[PROVEEDOR]],PROVEEDORES[FECHA DE PAGO],"")</f>
        <v>15770594</v>
      </c>
      <c r="E987" s="25"/>
      <c r="F98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87" s="68">
        <v>44893</v>
      </c>
      <c r="H987" s="26" t="s">
        <v>19</v>
      </c>
      <c r="I987" s="68">
        <v>44858</v>
      </c>
      <c r="J987" s="35">
        <v>57889</v>
      </c>
      <c r="K987" s="21">
        <v>10709440</v>
      </c>
      <c r="L987" s="21"/>
      <c r="M987" s="22">
        <f>(PROVEEDORES[[#This Row],[SUBTOTAL]]-PROVEEDORES[[#This Row],[descuento sobre subtotal]])*VLOOKUP(PROVEEDORES[[#This Row],[PROVEEDOR]],TERCEROS_INFO[#All],3,FALSE)</f>
        <v>2034793.6</v>
      </c>
      <c r="N987" s="23"/>
      <c r="O987" s="22">
        <f>+PROVEEDORES[[#This Row],[Descuento sobre subtotal %]]*(PROVEEDORES[[#This Row],[SUBTOTAL]]-PROVEEDORES[[#This Row],[descuento sobre subtotal]])</f>
        <v>0</v>
      </c>
      <c r="P987" s="74">
        <f>+IF(PROVEEDORES[[#This Row],[SUBTOTAL]]&lt;PROVEEDORES[[#This Row],[base retencion]],0,PROVEEDORES[[#This Row],[retención aplicada]])</f>
        <v>0</v>
      </c>
      <c r="Q987" s="22">
        <f>+PROVEEDORES[[#This Row],[Rete Fuente %]]*(PROVEEDORES[[#This Row],[SUBTOTAL]]-PROVEEDORES[[#This Row],[descuento sobre subtotal]])</f>
        <v>0</v>
      </c>
      <c r="R987" s="21">
        <f>+PROVEEDORES[[#This Row],[SUBTOTAL]]+PROVEEDORES[[#This Row],[IVA 19%]]-PROVEEDORES[[#This Row],[descuento sobre subtotal]]-PROVEEDORES[[#This Row],[Descuento sobre subtotal $2]]-PROVEEDORES[[#This Row],[Rete Fuente $]]</f>
        <v>12744233.6</v>
      </c>
      <c r="S987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63">
        <f ca="1">IF(PROVEEDORES[[#This Row],[FECHA DE PAGO]]=0,TODAY()-PROVEEDORES[[#This Row],[FECHA DE FACTURACIÓN]]-PROVEEDORES[[#This Row],[PLAZO Días]],0)</f>
        <v>0</v>
      </c>
      <c r="U987" s="104">
        <f>+VLOOKUP(PROVEEDORES[[#This Row],[PROVEEDOR]],Terceros!$A:$D,4,FALSE)</f>
        <v>0</v>
      </c>
      <c r="V987" s="105">
        <f>+YEAR(PROVEEDORES[[#This Row],[FECHA DE FACTURACIÓN]])</f>
        <v>2022</v>
      </c>
      <c r="W987" s="105">
        <f>+MATCH(PROVEEDORES[[#This Row],[año facturado]],Retenciones!$1:$1,0)</f>
        <v>5</v>
      </c>
      <c r="X987" s="106">
        <f>+VLOOKUP(PROVEEDORES[[#This Row],[ID RETENCION]],Retenciones!$A$1:$O$25,PROVEEDORES[[#This Row],[indicador de columna]],FALSE)</f>
        <v>0</v>
      </c>
      <c r="Y987" s="107">
        <f>+VLOOKUP(PROVEEDORES[[#This Row],[ID RETENCION]],Retenciones!$A$1:$O$25,2,FALSE)</f>
        <v>0</v>
      </c>
      <c r="Z987" s="116" t="b">
        <f>OR(COUNTIF(PROVEEDORES[[#This Row],[PROVEEDOR]],"*"&amp;'Palabra no opera'!$A$2&amp;"*"))</f>
        <v>0</v>
      </c>
    </row>
    <row r="988" spans="1:26" ht="22.35" customHeight="1" x14ac:dyDescent="0.3">
      <c r="A988" s="67" t="str">
        <f>+IF(PROVEEDORES[[#This Row],[FECHA DE PAGO]]=PROVEEDORES[[#This Row],[FECHA DE FACTURACIÓN]],"DE CONTADO","CRÉDITO")</f>
        <v>CRÉDITO</v>
      </c>
      <c r="B988" s="38" t="b">
        <f>+IF((PROVEEDORES[[#This Row],[FECHA DE PAGO]]-PROVEEDORES[[#This Row],[FECHA DE FACTURACIÓN]])&gt;PROVEEDORES[[#This Row],[PLAZO Días]],"PAGO VENCIDO")</f>
        <v>0</v>
      </c>
      <c r="C988" s="20">
        <f>+VLOOKUP(PROVEEDORES[[#This Row],[PROVEEDOR]],TERCEROS_INFO[#All],2,FALSE)</f>
        <v>45</v>
      </c>
      <c r="D988" s="25">
        <f>+SUMIFS(PROVEEDORES[Total],PROVEEDORES[PROVEEDOR],PROVEEDORES[[#This Row],[PROVEEDOR]],PROVEEDORES[FECHA DE PAGO],"")</f>
        <v>15770594</v>
      </c>
      <c r="E988" s="25"/>
      <c r="F98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88" s="68">
        <v>44893</v>
      </c>
      <c r="H988" s="26" t="s">
        <v>19</v>
      </c>
      <c r="I988" s="68">
        <v>44860</v>
      </c>
      <c r="J988" s="68" t="s">
        <v>1235</v>
      </c>
      <c r="K988" s="21">
        <v>1520740</v>
      </c>
      <c r="L988" s="21"/>
      <c r="M988" s="22">
        <f>(PROVEEDORES[[#This Row],[SUBTOTAL]]-PROVEEDORES[[#This Row],[descuento sobre subtotal]])*VLOOKUP(PROVEEDORES[[#This Row],[PROVEEDOR]],TERCEROS_INFO[#All],3,FALSE)</f>
        <v>288940.59999999998</v>
      </c>
      <c r="N988" s="23"/>
      <c r="O988" s="22">
        <f>+PROVEEDORES[[#This Row],[Descuento sobre subtotal %]]*(PROVEEDORES[[#This Row],[SUBTOTAL]]-PROVEEDORES[[#This Row],[descuento sobre subtotal]])</f>
        <v>0</v>
      </c>
      <c r="P988" s="74">
        <f>+IF(PROVEEDORES[[#This Row],[SUBTOTAL]]&lt;PROVEEDORES[[#This Row],[base retencion]],0,PROVEEDORES[[#This Row],[retención aplicada]])</f>
        <v>0</v>
      </c>
      <c r="Q988" s="22">
        <f>+PROVEEDORES[[#This Row],[Rete Fuente %]]*(PROVEEDORES[[#This Row],[SUBTOTAL]]-PROVEEDORES[[#This Row],[descuento sobre subtotal]])</f>
        <v>0</v>
      </c>
      <c r="R988" s="21">
        <f>+PROVEEDORES[[#This Row],[SUBTOTAL]]+PROVEEDORES[[#This Row],[IVA 19%]]-PROVEEDORES[[#This Row],[descuento sobre subtotal]]-PROVEEDORES[[#This Row],[Descuento sobre subtotal $2]]-PROVEEDORES[[#This Row],[Rete Fuente $]]</f>
        <v>1809680.6</v>
      </c>
      <c r="S98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63">
        <f ca="1">IF(PROVEEDORES[[#This Row],[FECHA DE PAGO]]=0,TODAY()-PROVEEDORES[[#This Row],[FECHA DE FACTURACIÓN]]-PROVEEDORES[[#This Row],[PLAZO Días]],0)</f>
        <v>0</v>
      </c>
      <c r="U988" s="104">
        <f>+VLOOKUP(PROVEEDORES[[#This Row],[PROVEEDOR]],Terceros!$A:$D,4,FALSE)</f>
        <v>0</v>
      </c>
      <c r="V988" s="105">
        <f>+YEAR(PROVEEDORES[[#This Row],[FECHA DE FACTURACIÓN]])</f>
        <v>2022</v>
      </c>
      <c r="W988" s="105">
        <f>+MATCH(PROVEEDORES[[#This Row],[año facturado]],Retenciones!$1:$1,0)</f>
        <v>5</v>
      </c>
      <c r="X988" s="106">
        <f>+VLOOKUP(PROVEEDORES[[#This Row],[ID RETENCION]],Retenciones!$A$1:$O$25,PROVEEDORES[[#This Row],[indicador de columna]],FALSE)</f>
        <v>0</v>
      </c>
      <c r="Y988" s="107">
        <f>+VLOOKUP(PROVEEDORES[[#This Row],[ID RETENCION]],Retenciones!$A$1:$O$25,2,FALSE)</f>
        <v>0</v>
      </c>
      <c r="Z988" s="116" t="b">
        <f>OR(COUNTIF(PROVEEDORES[[#This Row],[PROVEEDOR]],"*"&amp;'Palabra no opera'!$A$2&amp;"*"))</f>
        <v>0</v>
      </c>
    </row>
    <row r="989" spans="1:26" ht="22.35" customHeight="1" x14ac:dyDescent="0.3">
      <c r="A989" s="238" t="str">
        <f>+IF(PROVEEDORES[[#This Row],[FECHA DE PAGO]]=PROVEEDORES[[#This Row],[FECHA DE FACTURACIÓN]],"DE CONTADO","CRÉDITO")</f>
        <v>CRÉDITO</v>
      </c>
      <c r="B989" s="38" t="b">
        <f>+IF((PROVEEDORES[[#This Row],[FECHA DE PAGO]]-PROVEEDORES[[#This Row],[FECHA DE FACTURACIÓN]])&gt;PROVEEDORES[[#This Row],[PLAZO Días]],"PAGO VENCIDO")</f>
        <v>0</v>
      </c>
      <c r="C989" s="20">
        <f>+VLOOKUP(PROVEEDORES[[#This Row],[PROVEEDOR]],TERCEROS_INFO[#All],2,FALSE)</f>
        <v>30</v>
      </c>
      <c r="D989" s="25">
        <f>+SUMIFS(PROVEEDORES[Total],PROVEEDORES[PROVEEDOR],PROVEEDORES[[#This Row],[PROVEEDOR]],PROVEEDORES[FECHA DE PAGO],"")</f>
        <v>0</v>
      </c>
      <c r="E989" s="25"/>
      <c r="F989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89" s="68">
        <v>44893</v>
      </c>
      <c r="H989" s="26" t="s">
        <v>635</v>
      </c>
      <c r="I989" s="68">
        <v>44883</v>
      </c>
      <c r="J989" s="35">
        <v>4976</v>
      </c>
      <c r="K989" s="21">
        <v>3002200</v>
      </c>
      <c r="L989" s="21"/>
      <c r="M989" s="22">
        <f>(PROVEEDORES[[#This Row],[SUBTOTAL]]-PROVEEDORES[[#This Row],[descuento sobre subtotal]])*VLOOKUP(PROVEEDORES[[#This Row],[PROVEEDOR]],TERCEROS_INFO[#All],3,FALSE)</f>
        <v>0</v>
      </c>
      <c r="N989" s="23"/>
      <c r="O989" s="22">
        <f>+PROVEEDORES[[#This Row],[Descuento sobre subtotal %]]*(PROVEEDORES[[#This Row],[SUBTOTAL]]-PROVEEDORES[[#This Row],[descuento sobre subtotal]])</f>
        <v>0</v>
      </c>
      <c r="P989" s="74">
        <v>0</v>
      </c>
      <c r="Q989" s="22">
        <f>+PROVEEDORES[[#This Row],[Rete Fuente %]]*(PROVEEDORES[[#This Row],[SUBTOTAL]]-PROVEEDORES[[#This Row],[descuento sobre subtotal]])</f>
        <v>0</v>
      </c>
      <c r="R989" s="21">
        <f>+PROVEEDORES[[#This Row],[SUBTOTAL]]+PROVEEDORES[[#This Row],[IVA 19%]]-PROVEEDORES[[#This Row],[descuento sobre subtotal]]-PROVEEDORES[[#This Row],[Descuento sobre subtotal $2]]-PROVEEDORES[[#This Row],[Rete Fuente $]]</f>
        <v>3002200</v>
      </c>
      <c r="S989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63">
        <f ca="1">IF(PROVEEDORES[[#This Row],[FECHA DE PAGO]]=0,TODAY()-PROVEEDORES[[#This Row],[FECHA DE FACTURACIÓN]]-PROVEEDORES[[#This Row],[PLAZO Días]],0)</f>
        <v>0</v>
      </c>
      <c r="U989" s="104" t="str">
        <f>+VLOOKUP(PROVEEDORES[[#This Row],[PROVEEDOR]],Terceros!$A:$D,4,FALSE)</f>
        <v>3,5% sin base</v>
      </c>
      <c r="V989" s="105">
        <f>+YEAR(PROVEEDORES[[#This Row],[FECHA DE FACTURACIÓN]])</f>
        <v>2022</v>
      </c>
      <c r="W989" s="105">
        <f>+MATCH(PROVEEDORES[[#This Row],[año facturado]],Retenciones!$1:$1,0)</f>
        <v>5</v>
      </c>
      <c r="X989" s="106">
        <f>+VLOOKUP(PROVEEDORES[[#This Row],[ID RETENCION]],Retenciones!$A$1:$O$25,PROVEEDORES[[#This Row],[indicador de columna]],FALSE)</f>
        <v>0</v>
      </c>
      <c r="Y989" s="107">
        <f>+VLOOKUP(PROVEEDORES[[#This Row],[ID RETENCION]],Retenciones!$A$1:$O$25,2,FALSE)</f>
        <v>3.5000000000000003E-2</v>
      </c>
      <c r="Z989" s="116" t="b">
        <f>OR(COUNTIF(PROVEEDORES[[#This Row],[PROVEEDOR]],"*"&amp;'Palabra no opera'!$A$2&amp;"*"))</f>
        <v>1</v>
      </c>
    </row>
    <row r="990" spans="1:26" ht="22.35" customHeight="1" x14ac:dyDescent="0.3">
      <c r="A990" s="238" t="str">
        <f>+IF(PROVEEDORES[[#This Row],[FECHA DE PAGO]]=PROVEEDORES[[#This Row],[FECHA DE FACTURACIÓN]],"DE CONTADO","CRÉDITO")</f>
        <v>CRÉDITO</v>
      </c>
      <c r="B990" s="38" t="b">
        <f>+IF((PROVEEDORES[[#This Row],[FECHA DE PAGO]]-PROVEEDORES[[#This Row],[FECHA DE FACTURACIÓN]])&gt;PROVEEDORES[[#This Row],[PLAZO Días]],"PAGO VENCIDO")</f>
        <v>0</v>
      </c>
      <c r="C990" s="20">
        <f>+VLOOKUP(PROVEEDORES[[#This Row],[PROVEEDOR]],TERCEROS_INFO[#All],2,FALSE)</f>
        <v>30</v>
      </c>
      <c r="D990" s="25">
        <f>+SUMIFS(PROVEEDORES[Total],PROVEEDORES[PROVEEDOR],PROVEEDORES[[#This Row],[PROVEEDOR]],PROVEEDORES[FECHA DE PAGO],"")</f>
        <v>0</v>
      </c>
      <c r="E990" s="25"/>
      <c r="F99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90" s="68">
        <v>44893</v>
      </c>
      <c r="H990" s="26" t="s">
        <v>637</v>
      </c>
      <c r="I990" s="68">
        <v>44868</v>
      </c>
      <c r="J990" s="35" t="s">
        <v>1277</v>
      </c>
      <c r="K990" s="21">
        <v>818875</v>
      </c>
      <c r="L990" s="21"/>
      <c r="M990" s="22">
        <f>(PROVEEDORES[[#This Row],[SUBTOTAL]]-PROVEEDORES[[#This Row],[descuento sobre subtotal]])*VLOOKUP(PROVEEDORES[[#This Row],[PROVEEDOR]],TERCEROS_INFO[#All],3,FALSE)</f>
        <v>0</v>
      </c>
      <c r="N990" s="23"/>
      <c r="O990" s="22">
        <f>+PROVEEDORES[[#This Row],[Descuento sobre subtotal %]]*(PROVEEDORES[[#This Row],[SUBTOTAL]]-PROVEEDORES[[#This Row],[descuento sobre subtotal]])</f>
        <v>0</v>
      </c>
      <c r="P990" s="74">
        <f>+IF(PROVEEDORES[[#This Row],[SUBTOTAL]]&lt;PROVEEDORES[[#This Row],[base retencion]],0,PROVEEDORES[[#This Row],[retención aplicada]])</f>
        <v>0</v>
      </c>
      <c r="Q990" s="22">
        <f>+PROVEEDORES[[#This Row],[Rete Fuente %]]*(PROVEEDORES[[#This Row],[SUBTOTAL]]-PROVEEDORES[[#This Row],[descuento sobre subtotal]])</f>
        <v>0</v>
      </c>
      <c r="R990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90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63">
        <f ca="1">IF(PROVEEDORES[[#This Row],[FECHA DE PAGO]]=0,TODAY()-PROVEEDORES[[#This Row],[FECHA DE FACTURACIÓN]]-PROVEEDORES[[#This Row],[PLAZO Días]],0)</f>
        <v>0</v>
      </c>
      <c r="U990" s="104">
        <f>+VLOOKUP(PROVEEDORES[[#This Row],[PROVEEDOR]],Terceros!$A:$D,4,FALSE)</f>
        <v>0</v>
      </c>
      <c r="V990" s="105">
        <f>+YEAR(PROVEEDORES[[#This Row],[FECHA DE FACTURACIÓN]])</f>
        <v>2022</v>
      </c>
      <c r="W990" s="105">
        <f>+MATCH(PROVEEDORES[[#This Row],[año facturado]],Retenciones!$1:$1,0)</f>
        <v>5</v>
      </c>
      <c r="X990" s="106">
        <f>+VLOOKUP(PROVEEDORES[[#This Row],[ID RETENCION]],Retenciones!$A$1:$O$25,PROVEEDORES[[#This Row],[indicador de columna]],FALSE)</f>
        <v>0</v>
      </c>
      <c r="Y990" s="107">
        <f>+VLOOKUP(PROVEEDORES[[#This Row],[ID RETENCION]],Retenciones!$A$1:$O$25,2,FALSE)</f>
        <v>0</v>
      </c>
      <c r="Z990" s="116" t="b">
        <f>OR(COUNTIF(PROVEEDORES[[#This Row],[PROVEEDOR]],"*"&amp;'Palabra no opera'!$A$2&amp;"*"))</f>
        <v>1</v>
      </c>
    </row>
    <row r="991" spans="1:26" ht="22.35" customHeight="1" x14ac:dyDescent="0.3">
      <c r="A991" s="238" t="str">
        <f>+IF(PROVEEDORES[[#This Row],[FECHA DE PAGO]]=PROVEEDORES[[#This Row],[FECHA DE FACTURACIÓN]],"DE CONTADO","CRÉDITO")</f>
        <v>CRÉDITO</v>
      </c>
      <c r="B991" s="38" t="b">
        <f>+IF((PROVEEDORES[[#This Row],[FECHA DE PAGO]]-PROVEEDORES[[#This Row],[FECHA DE FACTURACIÓN]])&gt;PROVEEDORES[[#This Row],[PLAZO Días]],"PAGO VENCIDO")</f>
        <v>0</v>
      </c>
      <c r="C991" s="20">
        <f>+VLOOKUP(PROVEEDORES[[#This Row],[PROVEEDOR]],TERCEROS_INFO[#All],2,FALSE)</f>
        <v>30</v>
      </c>
      <c r="D991" s="25">
        <f>+SUMIFS(PROVEEDORES[Total],PROVEEDORES[PROVEEDOR],PROVEEDORES[[#This Row],[PROVEEDOR]],PROVEEDORES[FECHA DE PAGO],"")</f>
        <v>0</v>
      </c>
      <c r="E991" s="25"/>
      <c r="F99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91" s="68">
        <v>44893</v>
      </c>
      <c r="H991" s="26" t="s">
        <v>637</v>
      </c>
      <c r="I991" s="68">
        <v>44868</v>
      </c>
      <c r="J991" s="35" t="s">
        <v>1278</v>
      </c>
      <c r="K991" s="21">
        <v>825349</v>
      </c>
      <c r="L991" s="21"/>
      <c r="M991" s="22">
        <f>(PROVEEDORES[[#This Row],[SUBTOTAL]]-PROVEEDORES[[#This Row],[descuento sobre subtotal]])*VLOOKUP(PROVEEDORES[[#This Row],[PROVEEDOR]],TERCEROS_INFO[#All],3,FALSE)</f>
        <v>0</v>
      </c>
      <c r="N991" s="23"/>
      <c r="O991" s="22">
        <f>+PROVEEDORES[[#This Row],[Descuento sobre subtotal %]]*(PROVEEDORES[[#This Row],[SUBTOTAL]]-PROVEEDORES[[#This Row],[descuento sobre subtotal]])</f>
        <v>0</v>
      </c>
      <c r="P991" s="74">
        <f>+IF(PROVEEDORES[[#This Row],[SUBTOTAL]]&lt;PROVEEDORES[[#This Row],[base retencion]],0,PROVEEDORES[[#This Row],[retención aplicada]])</f>
        <v>0</v>
      </c>
      <c r="Q991" s="22">
        <f>+PROVEEDORES[[#This Row],[Rete Fuente %]]*(PROVEEDORES[[#This Row],[SUBTOTAL]]-PROVEEDORES[[#This Row],[descuento sobre subtotal]])</f>
        <v>0</v>
      </c>
      <c r="R99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91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63">
        <f ca="1">IF(PROVEEDORES[[#This Row],[FECHA DE PAGO]]=0,TODAY()-PROVEEDORES[[#This Row],[FECHA DE FACTURACIÓN]]-PROVEEDORES[[#This Row],[PLAZO Días]],0)</f>
        <v>0</v>
      </c>
      <c r="U991" s="104">
        <f>+VLOOKUP(PROVEEDORES[[#This Row],[PROVEEDOR]],Terceros!$A:$D,4,FALSE)</f>
        <v>0</v>
      </c>
      <c r="V991" s="105">
        <f>+YEAR(PROVEEDORES[[#This Row],[FECHA DE FACTURACIÓN]])</f>
        <v>2022</v>
      </c>
      <c r="W991" s="105">
        <f>+MATCH(PROVEEDORES[[#This Row],[año facturado]],Retenciones!$1:$1,0)</f>
        <v>5</v>
      </c>
      <c r="X991" s="106">
        <f>+VLOOKUP(PROVEEDORES[[#This Row],[ID RETENCION]],Retenciones!$A$1:$O$25,PROVEEDORES[[#This Row],[indicador de columna]],FALSE)</f>
        <v>0</v>
      </c>
      <c r="Y991" s="107">
        <f>+VLOOKUP(PROVEEDORES[[#This Row],[ID RETENCION]],Retenciones!$A$1:$O$25,2,FALSE)</f>
        <v>0</v>
      </c>
      <c r="Z991" s="116" t="b">
        <f>OR(COUNTIF(PROVEEDORES[[#This Row],[PROVEEDOR]],"*"&amp;'Palabra no opera'!$A$2&amp;"*"))</f>
        <v>1</v>
      </c>
    </row>
    <row r="992" spans="1:26" ht="22.35" customHeight="1" x14ac:dyDescent="0.3">
      <c r="A992" s="238" t="str">
        <f>+IF(PROVEEDORES[[#This Row],[FECHA DE PAGO]]=PROVEEDORES[[#This Row],[FECHA DE FACTURACIÓN]],"DE CONTADO","CRÉDITO")</f>
        <v>CRÉDITO</v>
      </c>
      <c r="B992" s="38" t="b">
        <f>+IF((PROVEEDORES[[#This Row],[FECHA DE PAGO]]-PROVEEDORES[[#This Row],[FECHA DE FACTURACIÓN]])&gt;PROVEEDORES[[#This Row],[PLAZO Días]],"PAGO VENCIDO")</f>
        <v>0</v>
      </c>
      <c r="C992" s="20">
        <f>+VLOOKUP(PROVEEDORES[[#This Row],[PROVEEDOR]],TERCEROS_INFO[#All],2,FALSE)</f>
        <v>30</v>
      </c>
      <c r="D992" s="25">
        <f>+SUMIFS(PROVEEDORES[Total],PROVEEDORES[PROVEEDOR],PROVEEDORES[[#This Row],[PROVEEDOR]],PROVEEDORES[FECHA DE PAGO],"")</f>
        <v>0</v>
      </c>
      <c r="E992" s="25"/>
      <c r="F99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92" s="68">
        <v>44893</v>
      </c>
      <c r="H992" s="26" t="s">
        <v>637</v>
      </c>
      <c r="I992" s="68">
        <v>44868</v>
      </c>
      <c r="J992" s="35" t="s">
        <v>1279</v>
      </c>
      <c r="K992" s="21">
        <v>59583</v>
      </c>
      <c r="L992" s="21"/>
      <c r="M992" s="22">
        <f>(PROVEEDORES[[#This Row],[SUBTOTAL]]-PROVEEDORES[[#This Row],[descuento sobre subtotal]])*VLOOKUP(PROVEEDORES[[#This Row],[PROVEEDOR]],TERCEROS_INFO[#All],3,FALSE)</f>
        <v>0</v>
      </c>
      <c r="N992" s="23"/>
      <c r="O992" s="22">
        <f>+PROVEEDORES[[#This Row],[Descuento sobre subtotal %]]*(PROVEEDORES[[#This Row],[SUBTOTAL]]-PROVEEDORES[[#This Row],[descuento sobre subtotal]])</f>
        <v>0</v>
      </c>
      <c r="P992" s="74">
        <f>+IF(PROVEEDORES[[#This Row],[SUBTOTAL]]&lt;PROVEEDORES[[#This Row],[base retencion]],0,PROVEEDORES[[#This Row],[retención aplicada]])</f>
        <v>0</v>
      </c>
      <c r="Q992" s="22">
        <f>+PROVEEDORES[[#This Row],[Rete Fuente %]]*(PROVEEDORES[[#This Row],[SUBTOTAL]]-PROVEEDORES[[#This Row],[descuento sobre subtotal]])</f>
        <v>0</v>
      </c>
      <c r="R992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992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63">
        <f ca="1">IF(PROVEEDORES[[#This Row],[FECHA DE PAGO]]=0,TODAY()-PROVEEDORES[[#This Row],[FECHA DE FACTURACIÓN]]-PROVEEDORES[[#This Row],[PLAZO Días]],0)</f>
        <v>0</v>
      </c>
      <c r="U992" s="104">
        <f>+VLOOKUP(PROVEEDORES[[#This Row],[PROVEEDOR]],Terceros!$A:$D,4,FALSE)</f>
        <v>0</v>
      </c>
      <c r="V992" s="105">
        <f>+YEAR(PROVEEDORES[[#This Row],[FECHA DE FACTURACIÓN]])</f>
        <v>2022</v>
      </c>
      <c r="W992" s="105">
        <f>+MATCH(PROVEEDORES[[#This Row],[año facturado]],Retenciones!$1:$1,0)</f>
        <v>5</v>
      </c>
      <c r="X992" s="106">
        <f>+VLOOKUP(PROVEEDORES[[#This Row],[ID RETENCION]],Retenciones!$A$1:$O$25,PROVEEDORES[[#This Row],[indicador de columna]],FALSE)</f>
        <v>0</v>
      </c>
      <c r="Y992" s="107">
        <f>+VLOOKUP(PROVEEDORES[[#This Row],[ID RETENCION]],Retenciones!$A$1:$O$25,2,FALSE)</f>
        <v>0</v>
      </c>
      <c r="Z992" s="116" t="b">
        <f>OR(COUNTIF(PROVEEDORES[[#This Row],[PROVEEDOR]],"*"&amp;'Palabra no opera'!$A$2&amp;"*"))</f>
        <v>1</v>
      </c>
    </row>
    <row r="993" spans="1:26" ht="22.35" customHeight="1" x14ac:dyDescent="0.3">
      <c r="A993" s="238" t="str">
        <f>+IF(PROVEEDORES[[#This Row],[FECHA DE PAGO]]=PROVEEDORES[[#This Row],[FECHA DE FACTURACIÓN]],"DE CONTADO","CRÉDITO")</f>
        <v>CRÉDITO</v>
      </c>
      <c r="B993" s="38" t="b">
        <f>+IF((PROVEEDORES[[#This Row],[FECHA DE PAGO]]-PROVEEDORES[[#This Row],[FECHA DE FACTURACIÓN]])&gt;PROVEEDORES[[#This Row],[PLAZO Días]],"PAGO VENCIDO")</f>
        <v>0</v>
      </c>
      <c r="C993" s="20">
        <f>+VLOOKUP(PROVEEDORES[[#This Row],[PROVEEDOR]],TERCEROS_INFO[#All],2,FALSE)</f>
        <v>30</v>
      </c>
      <c r="D993" s="25">
        <f>+SUMIFS(PROVEEDORES[Total],PROVEEDORES[PROVEEDOR],PROVEEDORES[[#This Row],[PROVEEDOR]],PROVEEDORES[FECHA DE PAGO],"")</f>
        <v>0</v>
      </c>
      <c r="E993" s="25"/>
      <c r="F99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93" s="68">
        <v>44893</v>
      </c>
      <c r="H993" s="26" t="s">
        <v>637</v>
      </c>
      <c r="I993" s="68">
        <v>44868</v>
      </c>
      <c r="J993" s="35" t="s">
        <v>1280</v>
      </c>
      <c r="K993" s="21">
        <v>68166</v>
      </c>
      <c r="L993" s="21"/>
      <c r="M993" s="22">
        <f>(PROVEEDORES[[#This Row],[SUBTOTAL]]-PROVEEDORES[[#This Row],[descuento sobre subtotal]])*VLOOKUP(PROVEEDORES[[#This Row],[PROVEEDOR]],TERCEROS_INFO[#All],3,FALSE)</f>
        <v>0</v>
      </c>
      <c r="N993" s="23"/>
      <c r="O993" s="22">
        <f>+PROVEEDORES[[#This Row],[Descuento sobre subtotal %]]*(PROVEEDORES[[#This Row],[SUBTOTAL]]-PROVEEDORES[[#This Row],[descuento sobre subtotal]])</f>
        <v>0</v>
      </c>
      <c r="P993" s="74">
        <f>+IF(PROVEEDORES[[#This Row],[SUBTOTAL]]&lt;PROVEEDORES[[#This Row],[base retencion]],0,PROVEEDORES[[#This Row],[retención aplicada]])</f>
        <v>0</v>
      </c>
      <c r="Q993" s="22">
        <f>+PROVEEDORES[[#This Row],[Rete Fuente %]]*(PROVEEDORES[[#This Row],[SUBTOTAL]]-PROVEEDORES[[#This Row],[descuento sobre subtotal]])</f>
        <v>0</v>
      </c>
      <c r="R99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993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63">
        <f ca="1">IF(PROVEEDORES[[#This Row],[FECHA DE PAGO]]=0,TODAY()-PROVEEDORES[[#This Row],[FECHA DE FACTURACIÓN]]-PROVEEDORES[[#This Row],[PLAZO Días]],0)</f>
        <v>0</v>
      </c>
      <c r="U993" s="104">
        <f>+VLOOKUP(PROVEEDORES[[#This Row],[PROVEEDOR]],Terceros!$A:$D,4,FALSE)</f>
        <v>0</v>
      </c>
      <c r="V993" s="105">
        <f>+YEAR(PROVEEDORES[[#This Row],[FECHA DE FACTURACIÓN]])</f>
        <v>2022</v>
      </c>
      <c r="W993" s="105">
        <f>+MATCH(PROVEEDORES[[#This Row],[año facturado]],Retenciones!$1:$1,0)</f>
        <v>5</v>
      </c>
      <c r="X993" s="106">
        <f>+VLOOKUP(PROVEEDORES[[#This Row],[ID RETENCION]],Retenciones!$A$1:$O$25,PROVEEDORES[[#This Row],[indicador de columna]],FALSE)</f>
        <v>0</v>
      </c>
      <c r="Y993" s="107">
        <f>+VLOOKUP(PROVEEDORES[[#This Row],[ID RETENCION]],Retenciones!$A$1:$O$25,2,FALSE)</f>
        <v>0</v>
      </c>
      <c r="Z993" s="116" t="b">
        <f>OR(COUNTIF(PROVEEDORES[[#This Row],[PROVEEDOR]],"*"&amp;'Palabra no opera'!$A$2&amp;"*"))</f>
        <v>1</v>
      </c>
    </row>
    <row r="994" spans="1:26" ht="22.35" customHeight="1" x14ac:dyDescent="0.3">
      <c r="A994" s="238" t="str">
        <f>+IF(PROVEEDORES[[#This Row],[FECHA DE PAGO]]=PROVEEDORES[[#This Row],[FECHA DE FACTURACIÓN]],"DE CONTADO","CRÉDITO")</f>
        <v>CRÉDITO</v>
      </c>
      <c r="B994" s="38" t="b">
        <f>+IF((PROVEEDORES[[#This Row],[FECHA DE PAGO]]-PROVEEDORES[[#This Row],[FECHA DE FACTURACIÓN]])&gt;PROVEEDORES[[#This Row],[PLAZO Días]],"PAGO VENCIDO")</f>
        <v>0</v>
      </c>
      <c r="C994" s="20">
        <f>+VLOOKUP(PROVEEDORES[[#This Row],[PROVEEDOR]],TERCEROS_INFO[#All],2,FALSE)</f>
        <v>30</v>
      </c>
      <c r="D994" s="25">
        <f>+SUMIFS(PROVEEDORES[Total],PROVEEDORES[PROVEEDOR],PROVEEDORES[[#This Row],[PROVEEDOR]],PROVEEDORES[FECHA DE PAGO],"")</f>
        <v>0</v>
      </c>
      <c r="E994" s="25"/>
      <c r="F994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994" s="68">
        <v>44893</v>
      </c>
      <c r="H994" s="26" t="s">
        <v>638</v>
      </c>
      <c r="I994" s="68">
        <v>44868</v>
      </c>
      <c r="J994" s="35" t="s">
        <v>1276</v>
      </c>
      <c r="K994" s="21">
        <v>3961260</v>
      </c>
      <c r="L994" s="21"/>
      <c r="M994" s="22">
        <f>(PROVEEDORES[[#This Row],[SUBTOTAL]]-PROVEEDORES[[#This Row],[descuento sobre subtotal]])*VLOOKUP(PROVEEDORES[[#This Row],[PROVEEDOR]],TERCEROS_INFO[#All],3,FALSE)</f>
        <v>752639.4</v>
      </c>
      <c r="N994" s="23"/>
      <c r="O994" s="22">
        <f>+PROVEEDORES[[#This Row],[Descuento sobre subtotal %]]*(PROVEEDORES[[#This Row],[SUBTOTAL]]-PROVEEDORES[[#This Row],[descuento sobre subtotal]])</f>
        <v>0</v>
      </c>
      <c r="P994" s="74">
        <f>+IF(PROVEEDORES[[#This Row],[SUBTOTAL]]&lt;PROVEEDORES[[#This Row],[base retencion]],0,PROVEEDORES[[#This Row],[retención aplicada]])</f>
        <v>3.5000000000000003E-2</v>
      </c>
      <c r="Q994" s="22">
        <f>+PROVEEDORES[[#This Row],[Rete Fuente %]]*(PROVEEDORES[[#This Row],[SUBTOTAL]]-PROVEEDORES[[#This Row],[descuento sobre subtotal]])</f>
        <v>138644.1</v>
      </c>
      <c r="R994" s="21">
        <f>+PROVEEDORES[[#This Row],[SUBTOTAL]]+PROVEEDORES[[#This Row],[IVA 19%]]-PROVEEDORES[[#This Row],[descuento sobre subtotal]]-PROVEEDORES[[#This Row],[Descuento sobre subtotal $2]]-PROVEEDORES[[#This Row],[Rete Fuente $]]</f>
        <v>4575255.3000000007</v>
      </c>
      <c r="S994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63">
        <f ca="1">IF(PROVEEDORES[[#This Row],[FECHA DE PAGO]]=0,TODAY()-PROVEEDORES[[#This Row],[FECHA DE FACTURACIÓN]]-PROVEEDORES[[#This Row],[PLAZO Días]],0)</f>
        <v>0</v>
      </c>
      <c r="U994" s="104" t="str">
        <f>+VLOOKUP(PROVEEDORES[[#This Row],[PROVEEDOR]],Terceros!$A:$D,4,FALSE)</f>
        <v>3,5% sin base</v>
      </c>
      <c r="V994" s="105">
        <f>+YEAR(PROVEEDORES[[#This Row],[FECHA DE FACTURACIÓN]])</f>
        <v>2022</v>
      </c>
      <c r="W994" s="105">
        <f>+MATCH(PROVEEDORES[[#This Row],[año facturado]],Retenciones!$1:$1,0)</f>
        <v>5</v>
      </c>
      <c r="X994" s="106">
        <f>+VLOOKUP(PROVEEDORES[[#This Row],[ID RETENCION]],Retenciones!$A$1:$O$25,PROVEEDORES[[#This Row],[indicador de columna]],FALSE)</f>
        <v>0</v>
      </c>
      <c r="Y994" s="107">
        <f>+VLOOKUP(PROVEEDORES[[#This Row],[ID RETENCION]],Retenciones!$A$1:$O$25,2,FALSE)</f>
        <v>3.5000000000000003E-2</v>
      </c>
      <c r="Z994" s="116" t="b">
        <f>OR(COUNTIF(PROVEEDORES[[#This Row],[PROVEEDOR]],"*"&amp;'Palabra no opera'!$A$2&amp;"*"))</f>
        <v>1</v>
      </c>
    </row>
    <row r="995" spans="1:26" ht="22.35" customHeight="1" x14ac:dyDescent="0.3">
      <c r="A995" s="238" t="str">
        <f>+IF(PROVEEDORES[[#This Row],[FECHA DE PAGO]]=PROVEEDORES[[#This Row],[FECHA DE FACTURACIÓN]],"DE CONTADO","CRÉDITO")</f>
        <v>CRÉDITO</v>
      </c>
      <c r="B995" s="38" t="b">
        <f>+IF((PROVEEDORES[[#This Row],[FECHA DE PAGO]]-PROVEEDORES[[#This Row],[FECHA DE FACTURACIÓN]])&gt;PROVEEDORES[[#This Row],[PLAZO Días]],"PAGO VENCIDO")</f>
        <v>0</v>
      </c>
      <c r="C995" s="20">
        <f>+VLOOKUP(PROVEEDORES[[#This Row],[PROVEEDOR]],TERCEROS_INFO[#All],2,FALSE)</f>
        <v>30</v>
      </c>
      <c r="D995" s="25">
        <f>+SUMIFS(PROVEEDORES[Total],PROVEEDORES[PROVEEDOR],PROVEEDORES[[#This Row],[PROVEEDOR]],PROVEEDORES[FECHA DE PAGO],"")</f>
        <v>0</v>
      </c>
      <c r="E995" s="25"/>
      <c r="F995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995" s="68">
        <v>44893</v>
      </c>
      <c r="H995" s="26" t="s">
        <v>651</v>
      </c>
      <c r="I995" s="68">
        <v>44869</v>
      </c>
      <c r="J995" s="35" t="s">
        <v>1284</v>
      </c>
      <c r="K995" s="21">
        <v>215356</v>
      </c>
      <c r="L995" s="21"/>
      <c r="M995" s="22">
        <f>(PROVEEDORES[[#This Row],[SUBTOTAL]]-PROVEEDORES[[#This Row],[descuento sobre subtotal]])*VLOOKUP(PROVEEDORES[[#This Row],[PROVEEDOR]],TERCEROS_INFO[#All],3,FALSE)</f>
        <v>40917.64</v>
      </c>
      <c r="N995" s="23"/>
      <c r="O995" s="22">
        <f>+PROVEEDORES[[#This Row],[Descuento sobre subtotal %]]*(PROVEEDORES[[#This Row],[SUBTOTAL]]-PROVEEDORES[[#This Row],[descuento sobre subtotal]])</f>
        <v>0</v>
      </c>
      <c r="P995" s="74">
        <f>+IF(PROVEEDORES[[#This Row],[SUBTOTAL]]&lt;PROVEEDORES[[#This Row],[base retencion]],0,PROVEEDORES[[#This Row],[retención aplicada]])</f>
        <v>3.5000000000000003E-2</v>
      </c>
      <c r="Q995" s="22">
        <f>+PROVEEDORES[[#This Row],[Rete Fuente %]]*(PROVEEDORES[[#This Row],[SUBTOTAL]]-PROVEEDORES[[#This Row],[descuento sobre subtotal]])</f>
        <v>7537.4600000000009</v>
      </c>
      <c r="R995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995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63">
        <f ca="1">IF(PROVEEDORES[[#This Row],[FECHA DE PAGO]]=0,TODAY()-PROVEEDORES[[#This Row],[FECHA DE FACTURACIÓN]]-PROVEEDORES[[#This Row],[PLAZO Días]],0)</f>
        <v>0</v>
      </c>
      <c r="U995" s="104" t="str">
        <f>+VLOOKUP(PROVEEDORES[[#This Row],[PROVEEDOR]],Terceros!$A:$D,4,FALSE)</f>
        <v>3,5% sin base</v>
      </c>
      <c r="V995" s="105">
        <f>+YEAR(PROVEEDORES[[#This Row],[FECHA DE FACTURACIÓN]])</f>
        <v>2022</v>
      </c>
      <c r="W995" s="105">
        <f>+MATCH(PROVEEDORES[[#This Row],[año facturado]],Retenciones!$1:$1,0)</f>
        <v>5</v>
      </c>
      <c r="X995" s="106">
        <f>+VLOOKUP(PROVEEDORES[[#This Row],[ID RETENCION]],Retenciones!$A$1:$O$25,PROVEEDORES[[#This Row],[indicador de columna]],FALSE)</f>
        <v>0</v>
      </c>
      <c r="Y995" s="107">
        <f>+VLOOKUP(PROVEEDORES[[#This Row],[ID RETENCION]],Retenciones!$A$1:$O$25,2,FALSE)</f>
        <v>3.5000000000000003E-2</v>
      </c>
      <c r="Z995" s="116" t="b">
        <f>OR(COUNTIF(PROVEEDORES[[#This Row],[PROVEEDOR]],"*"&amp;'Palabra no opera'!$A$2&amp;"*"))</f>
        <v>1</v>
      </c>
    </row>
    <row r="996" spans="1:26" ht="22.35" customHeight="1" x14ac:dyDescent="0.3">
      <c r="A996" s="67" t="str">
        <f>+IF(PROVEEDORES[[#This Row],[FECHA DE PAGO]]=PROVEEDORES[[#This Row],[FECHA DE FACTURACIÓN]],"DE CONTADO","CRÉDITO")</f>
        <v>DE CONTADO</v>
      </c>
      <c r="B996" s="38" t="b">
        <f>+IF((PROVEEDORES[[#This Row],[FECHA DE PAGO]]-PROVEEDORES[[#This Row],[FECHA DE FACTURACIÓN]])&gt;PROVEEDORES[[#This Row],[PLAZO Días]],"PAGO VENCIDO")</f>
        <v>0</v>
      </c>
      <c r="C996" s="20">
        <f>+VLOOKUP(PROVEEDORES[[#This Row],[PROVEEDOR]],TERCEROS_INFO[#All],2,FALSE)</f>
        <v>30</v>
      </c>
      <c r="D996" s="25">
        <f>+SUMIFS(PROVEEDORES[Total],PROVEEDORES[PROVEEDOR],PROVEEDORES[[#This Row],[PROVEEDOR]],PROVEEDORES[FECHA DE PAGO],"")</f>
        <v>0</v>
      </c>
      <c r="E996" s="25"/>
      <c r="F996" s="56" t="str">
        <f>+VLOOKUP(PROVEEDORES[[#This Row],[PROVEEDOR]],
                       Terceros!$A:$F,
                       5,
                       FALSE)</f>
        <v/>
      </c>
      <c r="G996" s="68">
        <v>44895</v>
      </c>
      <c r="H996" s="26" t="s">
        <v>362</v>
      </c>
      <c r="I996" s="68">
        <v>44895</v>
      </c>
      <c r="J996" s="35" t="s">
        <v>1321</v>
      </c>
      <c r="K996" s="21">
        <v>56000</v>
      </c>
      <c r="L996" s="21"/>
      <c r="M996" s="22">
        <f>(PROVEEDORES[[#This Row],[SUBTOTAL]]-PROVEEDORES[[#This Row],[descuento sobre subtotal]])*VLOOKUP(PROVEEDORES[[#This Row],[PROVEEDOR]],TERCEROS_INFO[#All],3,FALSE)</f>
        <v>0</v>
      </c>
      <c r="N996" s="23"/>
      <c r="O996" s="22">
        <f>+PROVEEDORES[[#This Row],[Descuento sobre subtotal %]]*(PROVEEDORES[[#This Row],[SUBTOTAL]]-PROVEEDORES[[#This Row],[descuento sobre subtotal]])</f>
        <v>0</v>
      </c>
      <c r="P996" s="74">
        <f>+IF(PROVEEDORES[[#This Row],[SUBTOTAL]]&lt;PROVEEDORES[[#This Row],[base retencion]],0,PROVEEDORES[[#This Row],[retención aplicada]])</f>
        <v>0</v>
      </c>
      <c r="Q996" s="22">
        <f>+PROVEEDORES[[#This Row],[Rete Fuente %]]*(PROVEEDORES[[#This Row],[SUBTOTAL]]-PROVEEDORES[[#This Row],[descuento sobre subtotal]])</f>
        <v>0</v>
      </c>
      <c r="R996" s="21">
        <f>+PROVEEDORES[[#This Row],[SUBTOTAL]]+PROVEEDORES[[#This Row],[IVA 19%]]-PROVEEDORES[[#This Row],[descuento sobre subtotal]]-PROVEEDORES[[#This Row],[Descuento sobre subtotal $2]]-PROVEEDORES[[#This Row],[Rete Fuente $]]</f>
        <v>56000</v>
      </c>
      <c r="S9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63">
        <f ca="1">IF(PROVEEDORES[[#This Row],[FECHA DE PAGO]]=0,TODAY()-PROVEEDORES[[#This Row],[FECHA DE FACTURACIÓN]]-PROVEEDORES[[#This Row],[PLAZO Días]],0)</f>
        <v>0</v>
      </c>
      <c r="U996" s="104">
        <f>+VLOOKUP(PROVEEDORES[[#This Row],[PROVEEDOR]],Terceros!$A:$D,4,FALSE)</f>
        <v>0</v>
      </c>
      <c r="V996" s="105">
        <f>+YEAR(PROVEEDORES[[#This Row],[FECHA DE FACTURACIÓN]])</f>
        <v>2022</v>
      </c>
      <c r="W996" s="105">
        <f>+MATCH(PROVEEDORES[[#This Row],[año facturado]],Retenciones!$1:$1,0)</f>
        <v>5</v>
      </c>
      <c r="X996" s="106">
        <f>+VLOOKUP(PROVEEDORES[[#This Row],[ID RETENCION]],Retenciones!$A$1:$O$25,PROVEEDORES[[#This Row],[indicador de columna]],FALSE)</f>
        <v>0</v>
      </c>
      <c r="Y996" s="107">
        <f>+VLOOKUP(PROVEEDORES[[#This Row],[ID RETENCION]],Retenciones!$A$1:$O$25,2,FALSE)</f>
        <v>0</v>
      </c>
      <c r="Z996" s="116" t="b">
        <f>OR(COUNTIF(PROVEEDORES[[#This Row],[PROVEEDOR]],"*"&amp;'Palabra no opera'!$A$2&amp;"*"))</f>
        <v>0</v>
      </c>
    </row>
    <row r="997" spans="1:26" ht="22.35" customHeight="1" x14ac:dyDescent="0.3">
      <c r="A997" s="67" t="str">
        <f>+IF(PROVEEDORES[[#This Row],[FECHA DE PAGO]]=PROVEEDORES[[#This Row],[FECHA DE FACTURACIÓN]],"DE CONTADO","CRÉDITO")</f>
        <v>DE CONTADO</v>
      </c>
      <c r="B997" s="38" t="b">
        <f>+IF((PROVEEDORES[[#This Row],[FECHA DE PAGO]]-PROVEEDORES[[#This Row],[FECHA DE FACTURACIÓN]])&gt;PROVEEDORES[[#This Row],[PLAZO Días]],"PAGO VENCIDO")</f>
        <v>0</v>
      </c>
      <c r="C997" s="20">
        <f>+VLOOKUP(PROVEEDORES[[#This Row],[PROVEEDOR]],TERCEROS_INFO[#All],2,FALSE)</f>
        <v>30</v>
      </c>
      <c r="D997" s="25">
        <f>+SUMIFS(PROVEEDORES[Total],PROVEEDORES[PROVEEDOR],PROVEEDORES[[#This Row],[PROVEEDOR]],PROVEEDORES[FECHA DE PAGO],"")</f>
        <v>0</v>
      </c>
      <c r="E997" s="25"/>
      <c r="F997" s="56" t="str">
        <f>+VLOOKUP(PROVEEDORES[[#This Row],[PROVEEDOR]],
                       Terceros!$A:$F,
                       5,
                       FALSE)</f>
        <v/>
      </c>
      <c r="G997" s="68">
        <v>44895</v>
      </c>
      <c r="H997" s="26" t="s">
        <v>362</v>
      </c>
      <c r="I997" s="68">
        <v>44895</v>
      </c>
      <c r="J997" s="35" t="s">
        <v>1322</v>
      </c>
      <c r="K997" s="21">
        <v>35000</v>
      </c>
      <c r="L997" s="21"/>
      <c r="M997" s="22">
        <f>(PROVEEDORES[[#This Row],[SUBTOTAL]]-PROVEEDORES[[#This Row],[descuento sobre subtotal]])*VLOOKUP(PROVEEDORES[[#This Row],[PROVEEDOR]],TERCEROS_INFO[#All],3,FALSE)</f>
        <v>0</v>
      </c>
      <c r="N997" s="23"/>
      <c r="O997" s="22">
        <f>+PROVEEDORES[[#This Row],[Descuento sobre subtotal %]]*(PROVEEDORES[[#This Row],[SUBTOTAL]]-PROVEEDORES[[#This Row],[descuento sobre subtotal]])</f>
        <v>0</v>
      </c>
      <c r="P997" s="74">
        <f>+IF(PROVEEDORES[[#This Row],[SUBTOTAL]]&lt;PROVEEDORES[[#This Row],[base retencion]],0,PROVEEDORES[[#This Row],[retención aplicada]])</f>
        <v>0</v>
      </c>
      <c r="Q997" s="22">
        <f>+PROVEEDORES[[#This Row],[Rete Fuente %]]*(PROVEEDORES[[#This Row],[SUBTOTAL]]-PROVEEDORES[[#This Row],[descuento sobre subtotal]])</f>
        <v>0</v>
      </c>
      <c r="R997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99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63">
        <f ca="1">IF(PROVEEDORES[[#This Row],[FECHA DE PAGO]]=0,TODAY()-PROVEEDORES[[#This Row],[FECHA DE FACTURACIÓN]]-PROVEEDORES[[#This Row],[PLAZO Días]],0)</f>
        <v>0</v>
      </c>
      <c r="U997" s="104">
        <f>+VLOOKUP(PROVEEDORES[[#This Row],[PROVEEDOR]],Terceros!$A:$D,4,FALSE)</f>
        <v>0</v>
      </c>
      <c r="V997" s="105">
        <f>+YEAR(PROVEEDORES[[#This Row],[FECHA DE FACTURACIÓN]])</f>
        <v>2022</v>
      </c>
      <c r="W997" s="105">
        <f>+MATCH(PROVEEDORES[[#This Row],[año facturado]],Retenciones!$1:$1,0)</f>
        <v>5</v>
      </c>
      <c r="X997" s="106">
        <f>+VLOOKUP(PROVEEDORES[[#This Row],[ID RETENCION]],Retenciones!$A$1:$O$25,PROVEEDORES[[#This Row],[indicador de columna]],FALSE)</f>
        <v>0</v>
      </c>
      <c r="Y997" s="107">
        <f>+VLOOKUP(PROVEEDORES[[#This Row],[ID RETENCION]],Retenciones!$A$1:$O$25,2,FALSE)</f>
        <v>0</v>
      </c>
      <c r="Z997" s="116" t="b">
        <f>OR(COUNTIF(PROVEEDORES[[#This Row],[PROVEEDOR]],"*"&amp;'Palabra no opera'!$A$2&amp;"*"))</f>
        <v>0</v>
      </c>
    </row>
    <row r="998" spans="1:26" ht="22.35" customHeight="1" x14ac:dyDescent="0.3">
      <c r="A998" s="67" t="str">
        <f>+IF(PROVEEDORES[[#This Row],[FECHA DE PAGO]]=PROVEEDORES[[#This Row],[FECHA DE FACTURACIÓN]],"DE CONTADO","CRÉDITO")</f>
        <v>DE CONTADO</v>
      </c>
      <c r="B998" s="38" t="b">
        <f>+IF((PROVEEDORES[[#This Row],[FECHA DE PAGO]]-PROVEEDORES[[#This Row],[FECHA DE FACTURACIÓN]])&gt;PROVEEDORES[[#This Row],[PLAZO Días]],"PAGO VENCIDO")</f>
        <v>0</v>
      </c>
      <c r="C998" s="20">
        <f>+VLOOKUP(PROVEEDORES[[#This Row],[PROVEEDOR]],TERCEROS_INFO[#All],2,FALSE)</f>
        <v>30</v>
      </c>
      <c r="D998" s="25">
        <f>+SUMIFS(PROVEEDORES[Total],PROVEEDORES[PROVEEDOR],PROVEEDORES[[#This Row],[PROVEEDOR]],PROVEEDORES[FECHA DE PAGO],"")</f>
        <v>0</v>
      </c>
      <c r="E998" s="25"/>
      <c r="F998" s="56" t="str">
        <f>+VLOOKUP(PROVEEDORES[[#This Row],[PROVEEDOR]],
                       Terceros!$A:$F,
                       5,
                       FALSE)</f>
        <v/>
      </c>
      <c r="G998" s="68">
        <v>44895</v>
      </c>
      <c r="H998" s="26" t="s">
        <v>362</v>
      </c>
      <c r="I998" s="68">
        <v>44895</v>
      </c>
      <c r="J998" s="35" t="s">
        <v>1323</v>
      </c>
      <c r="K998" s="21">
        <v>2344000</v>
      </c>
      <c r="L998" s="21"/>
      <c r="M998" s="22">
        <f>(PROVEEDORES[[#This Row],[SUBTOTAL]]-PROVEEDORES[[#This Row],[descuento sobre subtotal]])*VLOOKUP(PROVEEDORES[[#This Row],[PROVEEDOR]],TERCEROS_INFO[#All],3,FALSE)</f>
        <v>0</v>
      </c>
      <c r="N998" s="23"/>
      <c r="O998" s="22">
        <f>+PROVEEDORES[[#This Row],[Descuento sobre subtotal %]]*(PROVEEDORES[[#This Row],[SUBTOTAL]]-PROVEEDORES[[#This Row],[descuento sobre subtotal]])</f>
        <v>0</v>
      </c>
      <c r="P998" s="74">
        <f>+IF(PROVEEDORES[[#This Row],[SUBTOTAL]]&lt;PROVEEDORES[[#This Row],[base retencion]],0,PROVEEDORES[[#This Row],[retención aplicada]])</f>
        <v>0</v>
      </c>
      <c r="Q998" s="22">
        <f>+PROVEEDORES[[#This Row],[Rete Fuente %]]*(PROVEEDORES[[#This Row],[SUBTOTAL]]-PROVEEDORES[[#This Row],[descuento sobre subtotal]])</f>
        <v>0</v>
      </c>
      <c r="R998" s="21">
        <f>+PROVEEDORES[[#This Row],[SUBTOTAL]]+PROVEEDORES[[#This Row],[IVA 19%]]-PROVEEDORES[[#This Row],[descuento sobre subtotal]]-PROVEEDORES[[#This Row],[Descuento sobre subtotal $2]]-PROVEEDORES[[#This Row],[Rete Fuente $]]</f>
        <v>2344000</v>
      </c>
      <c r="S9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63">
        <f ca="1">IF(PROVEEDORES[[#This Row],[FECHA DE PAGO]]=0,TODAY()-PROVEEDORES[[#This Row],[FECHA DE FACTURACIÓN]]-PROVEEDORES[[#This Row],[PLAZO Días]],0)</f>
        <v>0</v>
      </c>
      <c r="U998" s="104">
        <f>+VLOOKUP(PROVEEDORES[[#This Row],[PROVEEDOR]],Terceros!$A:$D,4,FALSE)</f>
        <v>0</v>
      </c>
      <c r="V998" s="105">
        <f>+YEAR(PROVEEDORES[[#This Row],[FECHA DE FACTURACIÓN]])</f>
        <v>2022</v>
      </c>
      <c r="W998" s="105">
        <f>+MATCH(PROVEEDORES[[#This Row],[año facturado]],Retenciones!$1:$1,0)</f>
        <v>5</v>
      </c>
      <c r="X998" s="106">
        <f>+VLOOKUP(PROVEEDORES[[#This Row],[ID RETENCION]],Retenciones!$A$1:$O$25,PROVEEDORES[[#This Row],[indicador de columna]],FALSE)</f>
        <v>0</v>
      </c>
      <c r="Y998" s="107">
        <f>+VLOOKUP(PROVEEDORES[[#This Row],[ID RETENCION]],Retenciones!$A$1:$O$25,2,FALSE)</f>
        <v>0</v>
      </c>
      <c r="Z998" s="116" t="b">
        <f>OR(COUNTIF(PROVEEDORES[[#This Row],[PROVEEDOR]],"*"&amp;'Palabra no opera'!$A$2&amp;"*"))</f>
        <v>0</v>
      </c>
    </row>
    <row r="999" spans="1:26" ht="22.35" customHeight="1" x14ac:dyDescent="0.3">
      <c r="A999" s="67" t="str">
        <f>+IF(PROVEEDORES[[#This Row],[FECHA DE PAGO]]=PROVEEDORES[[#This Row],[FECHA DE FACTURACIÓN]],"DE CONTADO","CRÉDITO")</f>
        <v>DE CONTADO</v>
      </c>
      <c r="B999" s="38" t="b">
        <f>+IF((PROVEEDORES[[#This Row],[FECHA DE PAGO]]-PROVEEDORES[[#This Row],[FECHA DE FACTURACIÓN]])&gt;PROVEEDORES[[#This Row],[PLAZO Días]],"PAGO VENCIDO")</f>
        <v>0</v>
      </c>
      <c r="C999" s="20">
        <f>+VLOOKUP(PROVEEDORES[[#This Row],[PROVEEDOR]],TERCEROS_INFO[#All],2,FALSE)</f>
        <v>30</v>
      </c>
      <c r="D999" s="25">
        <f>+SUMIFS(PROVEEDORES[Total],PROVEEDORES[PROVEEDOR],PROVEEDORES[[#This Row],[PROVEEDOR]],PROVEEDORES[FECHA DE PAGO],"")</f>
        <v>0</v>
      </c>
      <c r="E999" s="25"/>
      <c r="F999" s="56" t="str">
        <f>+VLOOKUP(PROVEEDORES[[#This Row],[PROVEEDOR]],
                       Terceros!$A:$F,
                       5,
                       FALSE)</f>
        <v/>
      </c>
      <c r="G999" s="68">
        <v>44895</v>
      </c>
      <c r="H999" s="26" t="s">
        <v>362</v>
      </c>
      <c r="I999" s="68">
        <v>44895</v>
      </c>
      <c r="J999" s="35" t="s">
        <v>1324</v>
      </c>
      <c r="K999" s="21">
        <v>537000</v>
      </c>
      <c r="L999" s="21"/>
      <c r="M999" s="22">
        <f>(PROVEEDORES[[#This Row],[SUBTOTAL]]-PROVEEDORES[[#This Row],[descuento sobre subtotal]])*VLOOKUP(PROVEEDORES[[#This Row],[PROVEEDOR]],TERCEROS_INFO[#All],3,FALSE)</f>
        <v>0</v>
      </c>
      <c r="N999" s="23"/>
      <c r="O999" s="22">
        <f>+PROVEEDORES[[#This Row],[Descuento sobre subtotal %]]*(PROVEEDORES[[#This Row],[SUBTOTAL]]-PROVEEDORES[[#This Row],[descuento sobre subtotal]])</f>
        <v>0</v>
      </c>
      <c r="P999" s="74">
        <f>+IF(PROVEEDORES[[#This Row],[SUBTOTAL]]&lt;PROVEEDORES[[#This Row],[base retencion]],0,PROVEEDORES[[#This Row],[retención aplicada]])</f>
        <v>0</v>
      </c>
      <c r="Q999" s="22">
        <f>+PROVEEDORES[[#This Row],[Rete Fuente %]]*(PROVEEDORES[[#This Row],[SUBTOTAL]]-PROVEEDORES[[#This Row],[descuento sobre subtotal]])</f>
        <v>0</v>
      </c>
      <c r="R999" s="21">
        <f>+PROVEEDORES[[#This Row],[SUBTOTAL]]+PROVEEDORES[[#This Row],[IVA 19%]]-PROVEEDORES[[#This Row],[descuento sobre subtotal]]-PROVEEDORES[[#This Row],[Descuento sobre subtotal $2]]-PROVEEDORES[[#This Row],[Rete Fuente $]]</f>
        <v>537000</v>
      </c>
      <c r="S9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63">
        <f ca="1">IF(PROVEEDORES[[#This Row],[FECHA DE PAGO]]=0,TODAY()-PROVEEDORES[[#This Row],[FECHA DE FACTURACIÓN]]-PROVEEDORES[[#This Row],[PLAZO Días]],0)</f>
        <v>0</v>
      </c>
      <c r="U999" s="104">
        <f>+VLOOKUP(PROVEEDORES[[#This Row],[PROVEEDOR]],Terceros!$A:$D,4,FALSE)</f>
        <v>0</v>
      </c>
      <c r="V999" s="105">
        <f>+YEAR(PROVEEDORES[[#This Row],[FECHA DE FACTURACIÓN]])</f>
        <v>2022</v>
      </c>
      <c r="W999" s="105">
        <f>+MATCH(PROVEEDORES[[#This Row],[año facturado]],Retenciones!$1:$1,0)</f>
        <v>5</v>
      </c>
      <c r="X999" s="106">
        <f>+VLOOKUP(PROVEEDORES[[#This Row],[ID RETENCION]],Retenciones!$A$1:$O$25,PROVEEDORES[[#This Row],[indicador de columna]],FALSE)</f>
        <v>0</v>
      </c>
      <c r="Y999" s="107">
        <f>+VLOOKUP(PROVEEDORES[[#This Row],[ID RETENCION]],Retenciones!$A$1:$O$25,2,FALSE)</f>
        <v>0</v>
      </c>
      <c r="Z999" s="116" t="b">
        <f>OR(COUNTIF(PROVEEDORES[[#This Row],[PROVEEDOR]],"*"&amp;'Palabra no opera'!$A$2&amp;"*"))</f>
        <v>0</v>
      </c>
    </row>
    <row r="1000" spans="1:26" ht="22.35" customHeight="1" x14ac:dyDescent="0.3">
      <c r="A1000" s="67" t="str">
        <f>+IF(PROVEEDORES[[#This Row],[FECHA DE PAGO]]=PROVEEDORES[[#This Row],[FECHA DE FACTURACIÓN]],"DE CONTADO","CRÉDITO")</f>
        <v>DE CONTADO</v>
      </c>
      <c r="B1000" s="38" t="b">
        <f>+IF((PROVEEDORES[[#This Row],[FECHA DE PAGO]]-PROVEEDORES[[#This Row],[FECHA DE FACTURACIÓN]])&gt;PROVEEDORES[[#This Row],[PLAZO Días]],"PAGO VENCIDO")</f>
        <v>0</v>
      </c>
      <c r="C1000" s="20">
        <f>+VLOOKUP(PROVEEDORES[[#This Row],[PROVEEDOR]],TERCEROS_INFO[#All],2,FALSE)</f>
        <v>30</v>
      </c>
      <c r="D1000" s="25">
        <f>+SUMIFS(PROVEEDORES[Total],PROVEEDORES[PROVEEDOR],PROVEEDORES[[#This Row],[PROVEEDOR]],PROVEEDORES[FECHA DE PAGO],"")</f>
        <v>0</v>
      </c>
      <c r="E1000" s="25"/>
      <c r="F1000" s="56" t="str">
        <f>+VLOOKUP(PROVEEDORES[[#This Row],[PROVEEDOR]],
                       Terceros!$A:$F,
                       5,
                       FALSE)</f>
        <v/>
      </c>
      <c r="G1000" s="68">
        <v>44895</v>
      </c>
      <c r="H1000" s="26" t="s">
        <v>362</v>
      </c>
      <c r="I1000" s="68">
        <v>44895</v>
      </c>
      <c r="J1000" s="35" t="s">
        <v>1325</v>
      </c>
      <c r="K1000" s="21">
        <v>825100</v>
      </c>
      <c r="L1000" s="21"/>
      <c r="M1000" s="22">
        <f>(PROVEEDORES[[#This Row],[SUBTOTAL]]-PROVEEDORES[[#This Row],[descuento sobre subtotal]])*VLOOKUP(PROVEEDORES[[#This Row],[PROVEEDOR]],TERCEROS_INFO[#All],3,FALSE)</f>
        <v>0</v>
      </c>
      <c r="N1000" s="23"/>
      <c r="O1000" s="22">
        <f>+PROVEEDORES[[#This Row],[Descuento sobre subtotal %]]*(PROVEEDORES[[#This Row],[SUBTOTAL]]-PROVEEDORES[[#This Row],[descuento sobre subtotal]])</f>
        <v>0</v>
      </c>
      <c r="P1000" s="74">
        <f>+IF(PROVEEDORES[[#This Row],[SUBTOTAL]]&lt;PROVEEDORES[[#This Row],[base retencion]],0,PROVEEDORES[[#This Row],[retención aplicada]])</f>
        <v>0</v>
      </c>
      <c r="Q1000" s="22">
        <f>+PROVEEDORES[[#This Row],[Rete Fuente %]]*(PROVEEDORES[[#This Row],[SUBTOTAL]]-PROVEEDORES[[#This Row],[descuento sobre subtotal]])</f>
        <v>0</v>
      </c>
      <c r="R1000" s="21">
        <f>+PROVEEDORES[[#This Row],[SUBTOTAL]]+PROVEEDORES[[#This Row],[IVA 19%]]-PROVEEDORES[[#This Row],[descuento sobre subtotal]]-PROVEEDORES[[#This Row],[Descuento sobre subtotal $2]]-PROVEEDORES[[#This Row],[Rete Fuente $]]</f>
        <v>825100</v>
      </c>
      <c r="S10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63">
        <f ca="1">IF(PROVEEDORES[[#This Row],[FECHA DE PAGO]]=0,TODAY()-PROVEEDORES[[#This Row],[FECHA DE FACTURACIÓN]]-PROVEEDORES[[#This Row],[PLAZO Días]],0)</f>
        <v>0</v>
      </c>
      <c r="U1000" s="104">
        <f>+VLOOKUP(PROVEEDORES[[#This Row],[PROVEEDOR]],Terceros!$A:$D,4,FALSE)</f>
        <v>0</v>
      </c>
      <c r="V1000" s="105">
        <f>+YEAR(PROVEEDORES[[#This Row],[FECHA DE FACTURACIÓN]])</f>
        <v>2022</v>
      </c>
      <c r="W1000" s="105">
        <f>+MATCH(PROVEEDORES[[#This Row],[año facturado]],Retenciones!$1:$1,0)</f>
        <v>5</v>
      </c>
      <c r="X1000" s="106">
        <f>+VLOOKUP(PROVEEDORES[[#This Row],[ID RETENCION]],Retenciones!$A$1:$O$25,PROVEEDORES[[#This Row],[indicador de columna]],FALSE)</f>
        <v>0</v>
      </c>
      <c r="Y1000" s="107">
        <f>+VLOOKUP(PROVEEDORES[[#This Row],[ID RETENCION]],Retenciones!$A$1:$O$25,2,FALSE)</f>
        <v>0</v>
      </c>
      <c r="Z1000" s="116" t="b">
        <f>OR(COUNTIF(PROVEEDORES[[#This Row],[PROVEEDOR]],"*"&amp;'Palabra no opera'!$A$2&amp;"*"))</f>
        <v>0</v>
      </c>
    </row>
    <row r="1001" spans="1:26" ht="22.35" customHeight="1" x14ac:dyDescent="0.3">
      <c r="A1001" s="232" t="str">
        <f>+IF(PROVEEDORES[[#This Row],[FECHA DE PAGO]]=PROVEEDORES[[#This Row],[FECHA DE FACTURACIÓN]],"DE CONTADO","CRÉDITO")</f>
        <v>CRÉDITO</v>
      </c>
      <c r="B1001" s="38" t="str">
        <f>+IF((PROVEEDORES[[#This Row],[FECHA DE PAGO]]-PROVEEDORES[[#This Row],[FECHA DE FACTURACIÓN]])&gt;PROVEEDORES[[#This Row],[PLAZO Días]],"PAGO VENCIDO")</f>
        <v>PAGO VENCIDO</v>
      </c>
      <c r="C1001" s="20">
        <f>+VLOOKUP(PROVEEDORES[[#This Row],[PROVEEDOR]],TERCEROS_INFO[#All],2,FALSE)</f>
        <v>30</v>
      </c>
      <c r="D1001" s="25">
        <f>+SUMIFS(PROVEEDORES[Total],PROVEEDORES[PROVEEDOR],PROVEEDORES[[#This Row],[PROVEEDOR]],PROVEEDORES[FECHA DE PAGO],"")</f>
        <v>17870934.149999999</v>
      </c>
      <c r="E1001" s="25"/>
      <c r="F100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01" s="68">
        <v>44895</v>
      </c>
      <c r="H1001" s="26" t="s">
        <v>18</v>
      </c>
      <c r="I1001" s="68">
        <v>44847</v>
      </c>
      <c r="J1001" s="68" t="s">
        <v>1217</v>
      </c>
      <c r="K1001" s="21">
        <v>4809073</v>
      </c>
      <c r="L1001" s="21"/>
      <c r="M1001" s="22">
        <f>(PROVEEDORES[[#This Row],[SUBTOTAL]]-PROVEEDORES[[#This Row],[descuento sobre subtotal]])*VLOOKUP(PROVEEDORES[[#This Row],[PROVEEDOR]],TERCEROS_INFO[#All],3,FALSE)</f>
        <v>913723.87</v>
      </c>
      <c r="N1001" s="23"/>
      <c r="O1001" s="22">
        <f>+PROVEEDORES[[#This Row],[Descuento sobre subtotal %]]*(PROVEEDORES[[#This Row],[SUBTOTAL]]-PROVEEDORES[[#This Row],[descuento sobre subtotal]])</f>
        <v>0</v>
      </c>
      <c r="P1001" s="74">
        <f>+IF(PROVEEDORES[[#This Row],[SUBTOTAL]]&lt;PROVEEDORES[[#This Row],[base retencion]],0,PROVEEDORES[[#This Row],[retención aplicada]])</f>
        <v>2.5000000000000001E-2</v>
      </c>
      <c r="Q1001" s="22">
        <f>+PROVEEDORES[[#This Row],[Rete Fuente %]]*(PROVEEDORES[[#This Row],[SUBTOTAL]]-PROVEEDORES[[#This Row],[descuento sobre subtotal]])</f>
        <v>120226.82500000001</v>
      </c>
      <c r="R1001" s="21">
        <f>+PROVEEDORES[[#This Row],[SUBTOTAL]]+PROVEEDORES[[#This Row],[IVA 19%]]-PROVEEDORES[[#This Row],[descuento sobre subtotal]]-PROVEEDORES[[#This Row],[Descuento sobre subtotal $2]]-PROVEEDORES[[#This Row],[Rete Fuente $]]</f>
        <v>5602570.0449999999</v>
      </c>
      <c r="S100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63">
        <f ca="1">IF(PROVEEDORES[[#This Row],[FECHA DE PAGO]]=0,TODAY()-PROVEEDORES[[#This Row],[FECHA DE FACTURACIÓN]]-PROVEEDORES[[#This Row],[PLAZO Días]],0)</f>
        <v>0</v>
      </c>
      <c r="U1001" s="104" t="str">
        <f>+VLOOKUP(PROVEEDORES[[#This Row],[PROVEEDOR]],Terceros!$A:$D,4,FALSE)</f>
        <v>2,5% con base</v>
      </c>
      <c r="V1001" s="105">
        <f>+YEAR(PROVEEDORES[[#This Row],[FECHA DE FACTURACIÓN]])</f>
        <v>2022</v>
      </c>
      <c r="W1001" s="105">
        <f>+MATCH(PROVEEDORES[[#This Row],[año facturado]],Retenciones!$1:$1,0)</f>
        <v>5</v>
      </c>
      <c r="X1001" s="106">
        <f>+VLOOKUP(PROVEEDORES[[#This Row],[ID RETENCION]],Retenciones!$A$1:$O$25,PROVEEDORES[[#This Row],[indicador de columna]],FALSE)</f>
        <v>1026000</v>
      </c>
      <c r="Y1001" s="107">
        <f>+VLOOKUP(PROVEEDORES[[#This Row],[ID RETENCION]],Retenciones!$A$1:$O$25,2,FALSE)</f>
        <v>2.5000000000000001E-2</v>
      </c>
      <c r="Z1001" s="116" t="b">
        <f>OR(COUNTIF(PROVEEDORES[[#This Row],[PROVEEDOR]],"*"&amp;'Palabra no opera'!$A$2&amp;"*"))</f>
        <v>0</v>
      </c>
    </row>
    <row r="1002" spans="1:26" ht="22.35" customHeight="1" x14ac:dyDescent="0.3">
      <c r="A1002" s="232" t="str">
        <f>+IF(PROVEEDORES[[#This Row],[FECHA DE PAGO]]=PROVEEDORES[[#This Row],[FECHA DE FACTURACIÓN]],"DE CONTADO","CRÉDITO")</f>
        <v>CRÉDITO</v>
      </c>
      <c r="B1002" s="38" t="str">
        <f>+IF((PROVEEDORES[[#This Row],[FECHA DE PAGO]]-PROVEEDORES[[#This Row],[FECHA DE FACTURACIÓN]])&gt;PROVEEDORES[[#This Row],[PLAZO Días]],"PAGO VENCIDO")</f>
        <v>PAGO VENCIDO</v>
      </c>
      <c r="C1002" s="20">
        <f>+VLOOKUP(PROVEEDORES[[#This Row],[PROVEEDOR]],TERCEROS_INFO[#All],2,FALSE)</f>
        <v>30</v>
      </c>
      <c r="D1002" s="25">
        <f>+SUMIFS(PROVEEDORES[Total],PROVEEDORES[PROVEEDOR],PROVEEDORES[[#This Row],[PROVEEDOR]],PROVEEDORES[FECHA DE PAGO],"")</f>
        <v>17870934.149999999</v>
      </c>
      <c r="E1002" s="25"/>
      <c r="F100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02" s="68">
        <v>44895</v>
      </c>
      <c r="H1002" s="26" t="s">
        <v>18</v>
      </c>
      <c r="I1002" s="68">
        <v>44855</v>
      </c>
      <c r="J1002" s="35" t="s">
        <v>1229</v>
      </c>
      <c r="K1002" s="21">
        <v>4447562</v>
      </c>
      <c r="L1002" s="21"/>
      <c r="M1002" s="22">
        <f>(PROVEEDORES[[#This Row],[SUBTOTAL]]-PROVEEDORES[[#This Row],[descuento sobre subtotal]])*VLOOKUP(PROVEEDORES[[#This Row],[PROVEEDOR]],TERCEROS_INFO[#All],3,FALSE)</f>
        <v>845036.78</v>
      </c>
      <c r="N1002" s="23"/>
      <c r="O1002" s="22">
        <f>+PROVEEDORES[[#This Row],[Descuento sobre subtotal %]]*(PROVEEDORES[[#This Row],[SUBTOTAL]]-PROVEEDORES[[#This Row],[descuento sobre subtotal]])</f>
        <v>0</v>
      </c>
      <c r="P1002" s="74">
        <f>+IF(PROVEEDORES[[#This Row],[SUBTOTAL]]&lt;PROVEEDORES[[#This Row],[base retencion]],0,PROVEEDORES[[#This Row],[retención aplicada]])</f>
        <v>2.5000000000000001E-2</v>
      </c>
      <c r="Q1002" s="22">
        <f>+PROVEEDORES[[#This Row],[Rete Fuente %]]*(PROVEEDORES[[#This Row],[SUBTOTAL]]-PROVEEDORES[[#This Row],[descuento sobre subtotal]])</f>
        <v>111189.05</v>
      </c>
      <c r="R1002" s="21">
        <f>+PROVEEDORES[[#This Row],[SUBTOTAL]]+PROVEEDORES[[#This Row],[IVA 19%]]-PROVEEDORES[[#This Row],[descuento sobre subtotal]]-PROVEEDORES[[#This Row],[Descuento sobre subtotal $2]]-PROVEEDORES[[#This Row],[Rete Fuente $]]</f>
        <v>5181409.7300000004</v>
      </c>
      <c r="S100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63">
        <f ca="1">IF(PROVEEDORES[[#This Row],[FECHA DE PAGO]]=0,TODAY()-PROVEEDORES[[#This Row],[FECHA DE FACTURACIÓN]]-PROVEEDORES[[#This Row],[PLAZO Días]],0)</f>
        <v>0</v>
      </c>
      <c r="U1002" s="104" t="str">
        <f>+VLOOKUP(PROVEEDORES[[#This Row],[PROVEEDOR]],Terceros!$A:$D,4,FALSE)</f>
        <v>2,5% con base</v>
      </c>
      <c r="V1002" s="105">
        <f>+YEAR(PROVEEDORES[[#This Row],[FECHA DE FACTURACIÓN]])</f>
        <v>2022</v>
      </c>
      <c r="W1002" s="105">
        <f>+MATCH(PROVEEDORES[[#This Row],[año facturado]],Retenciones!$1:$1,0)</f>
        <v>5</v>
      </c>
      <c r="X1002" s="106">
        <f>+VLOOKUP(PROVEEDORES[[#This Row],[ID RETENCION]],Retenciones!$A$1:$O$25,PROVEEDORES[[#This Row],[indicador de columna]],FALSE)</f>
        <v>1026000</v>
      </c>
      <c r="Y1002" s="107">
        <f>+VLOOKUP(PROVEEDORES[[#This Row],[ID RETENCION]],Retenciones!$A$1:$O$25,2,FALSE)</f>
        <v>2.5000000000000001E-2</v>
      </c>
      <c r="Z1002" s="116" t="b">
        <f>OR(COUNTIF(PROVEEDORES[[#This Row],[PROVEEDOR]],"*"&amp;'Palabra no opera'!$A$2&amp;"*"))</f>
        <v>0</v>
      </c>
    </row>
    <row r="1003" spans="1:26" ht="22.35" customHeight="1" x14ac:dyDescent="0.3">
      <c r="A1003" s="232" t="str">
        <f>+IF(PROVEEDORES[[#This Row],[FECHA DE PAGO]]=PROVEEDORES[[#This Row],[FECHA DE FACTURACIÓN]],"DE CONTADO","CRÉDITO")</f>
        <v>CRÉDITO</v>
      </c>
      <c r="B1003" s="38" t="str">
        <f>+IF((PROVEEDORES[[#This Row],[FECHA DE PAGO]]-PROVEEDORES[[#This Row],[FECHA DE FACTURACIÓN]])&gt;PROVEEDORES[[#This Row],[PLAZO Días]],"PAGO VENCIDO")</f>
        <v>PAGO VENCIDO</v>
      </c>
      <c r="C1003" s="20">
        <f>+VLOOKUP(PROVEEDORES[[#This Row],[PROVEEDOR]],TERCEROS_INFO[#All],2,FALSE)</f>
        <v>30</v>
      </c>
      <c r="D1003" s="25">
        <f>+SUMIFS(PROVEEDORES[Total],PROVEEDORES[PROVEEDOR],PROVEEDORES[[#This Row],[PROVEEDOR]],PROVEEDORES[FECHA DE PAGO],"")</f>
        <v>0</v>
      </c>
      <c r="E1003" s="25"/>
      <c r="F1003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003" s="68">
        <v>44895</v>
      </c>
      <c r="H1003" s="26" t="s">
        <v>1069</v>
      </c>
      <c r="I1003" s="68">
        <v>44858</v>
      </c>
      <c r="J1003" s="35" t="s">
        <v>1219</v>
      </c>
      <c r="K1003" s="21">
        <v>1260508</v>
      </c>
      <c r="L1003" s="21"/>
      <c r="M1003" s="22">
        <f>(PROVEEDORES[[#This Row],[SUBTOTAL]]-PROVEEDORES[[#This Row],[descuento sobre subtotal]])*VLOOKUP(PROVEEDORES[[#This Row],[PROVEEDOR]],TERCEROS_INFO[#All],3,FALSE)</f>
        <v>239496.52</v>
      </c>
      <c r="N1003" s="23"/>
      <c r="O1003" s="22">
        <f>+PROVEEDORES[[#This Row],[Descuento sobre subtotal %]]*(PROVEEDORES[[#This Row],[SUBTOTAL]]-PROVEEDORES[[#This Row],[descuento sobre subtotal]])</f>
        <v>0</v>
      </c>
      <c r="P1003" s="74">
        <f>+IF(PROVEEDORES[[#This Row],[SUBTOTAL]]&lt;PROVEEDORES[[#This Row],[base retencion]],0,PROVEEDORES[[#This Row],[retención aplicada]])</f>
        <v>2.5000000000000001E-2</v>
      </c>
      <c r="Q1003" s="22">
        <f>+PROVEEDORES[[#This Row],[Rete Fuente %]]*(PROVEEDORES[[#This Row],[SUBTOTAL]]-PROVEEDORES[[#This Row],[descuento sobre subtotal]])</f>
        <v>31512.7</v>
      </c>
      <c r="R1003" s="21">
        <f>+PROVEEDORES[[#This Row],[SUBTOTAL]]+PROVEEDORES[[#This Row],[IVA 19%]]-PROVEEDORES[[#This Row],[descuento sobre subtotal]]-PROVEEDORES[[#This Row],[Descuento sobre subtotal $2]]-PROVEEDORES[[#This Row],[Rete Fuente $]]</f>
        <v>1468491.82</v>
      </c>
      <c r="S1003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63">
        <f ca="1">IF(PROVEEDORES[[#This Row],[FECHA DE PAGO]]=0,TODAY()-PROVEEDORES[[#This Row],[FECHA DE FACTURACIÓN]]-PROVEEDORES[[#This Row],[PLAZO Días]],0)</f>
        <v>0</v>
      </c>
      <c r="U1003" s="104" t="str">
        <f>+VLOOKUP(PROVEEDORES[[#This Row],[PROVEEDOR]],Terceros!$A:$D,4,FALSE)</f>
        <v>2,5% con base</v>
      </c>
      <c r="V1003" s="105">
        <f>+YEAR(PROVEEDORES[[#This Row],[FECHA DE FACTURACIÓN]])</f>
        <v>2022</v>
      </c>
      <c r="W1003" s="105">
        <f>+MATCH(PROVEEDORES[[#This Row],[año facturado]],Retenciones!$1:$1,0)</f>
        <v>5</v>
      </c>
      <c r="X1003" s="106">
        <f>+VLOOKUP(PROVEEDORES[[#This Row],[ID RETENCION]],Retenciones!$A$1:$O$25,PROVEEDORES[[#This Row],[indicador de columna]],FALSE)</f>
        <v>1026000</v>
      </c>
      <c r="Y1003" s="107">
        <f>+VLOOKUP(PROVEEDORES[[#This Row],[ID RETENCION]],Retenciones!$A$1:$O$25,2,FALSE)</f>
        <v>2.5000000000000001E-2</v>
      </c>
      <c r="Z1003" s="116" t="b">
        <f>OR(COUNTIF(PROVEEDORES[[#This Row],[PROVEEDOR]],"*"&amp;'Palabra no opera'!$A$2&amp;"*"))</f>
        <v>0</v>
      </c>
    </row>
    <row r="1004" spans="1:26" ht="22.35" customHeight="1" x14ac:dyDescent="0.3">
      <c r="A1004" s="67" t="str">
        <f>+IF(PROVEEDORES[[#This Row],[FECHA DE PAGO]]=PROVEEDORES[[#This Row],[FECHA DE FACTURACIÓN]],"DE CONTADO","CRÉDITO")</f>
        <v>CRÉDITO</v>
      </c>
      <c r="B1004" s="38" t="str">
        <f>+IF((PROVEEDORES[[#This Row],[FECHA DE PAGO]]-PROVEEDORES[[#This Row],[FECHA DE FACTURACIÓN]])&gt;PROVEEDORES[[#This Row],[PLAZO Días]],"PAGO VENCIDO")</f>
        <v>PAGO VENCIDO</v>
      </c>
      <c r="C1004" s="20">
        <f>+VLOOKUP(PROVEEDORES[[#This Row],[PROVEEDOR]],TERCEROS_INFO[#All],2,FALSE)</f>
        <v>30</v>
      </c>
      <c r="D1004" s="25">
        <f>+SUMIFS(PROVEEDORES[Total],PROVEEDORES[PROVEEDOR],PROVEEDORES[[#This Row],[PROVEEDOR]],PROVEEDORES[FECHA DE PAGO],"")</f>
        <v>2100000</v>
      </c>
      <c r="E1004" s="25"/>
      <c r="F1004" s="56" t="str">
        <f>+VLOOKUP(PROVEEDORES[[#This Row],[PROVEEDOR]],
                       Terceros!$A:$F,
                       5,
                       FALSE)</f>
        <v/>
      </c>
      <c r="G1004" s="68">
        <v>44896</v>
      </c>
      <c r="H1004" s="231" t="s">
        <v>349</v>
      </c>
      <c r="I1004" s="68">
        <v>44865</v>
      </c>
      <c r="J1004" s="35" t="s">
        <v>1241</v>
      </c>
      <c r="K1004" s="21">
        <v>2318500</v>
      </c>
      <c r="L1004" s="21"/>
      <c r="M1004" s="22">
        <f>(PROVEEDORES[[#This Row],[SUBTOTAL]]-PROVEEDORES[[#This Row],[descuento sobre subtotal]])*VLOOKUP(PROVEEDORES[[#This Row],[PROVEEDOR]],TERCEROS_INFO[#All],3,FALSE)</f>
        <v>0</v>
      </c>
      <c r="N1004" s="23"/>
      <c r="O1004" s="22">
        <f>+PROVEEDORES[[#This Row],[Descuento sobre subtotal %]]*(PROVEEDORES[[#This Row],[SUBTOTAL]]-PROVEEDORES[[#This Row],[descuento sobre subtotal]])</f>
        <v>0</v>
      </c>
      <c r="P1004" s="74">
        <f>+IF(PROVEEDORES[[#This Row],[SUBTOTAL]]&lt;PROVEEDORES[[#This Row],[base retencion]],0,PROVEEDORES[[#This Row],[retención aplicada]])</f>
        <v>0</v>
      </c>
      <c r="Q1004" s="22">
        <f>+PROVEEDORES[[#This Row],[Rete Fuente %]]*(PROVEEDORES[[#This Row],[SUBTOTAL]]-PROVEEDORES[[#This Row],[descuento sobre subtotal]])</f>
        <v>0</v>
      </c>
      <c r="R1004" s="21">
        <f>+PROVEEDORES[[#This Row],[SUBTOTAL]]+PROVEEDORES[[#This Row],[IVA 19%]]-PROVEEDORES[[#This Row],[descuento sobre subtotal]]-PROVEEDORES[[#This Row],[Descuento sobre subtotal $2]]-PROVEEDORES[[#This Row],[Rete Fuente $]]</f>
        <v>2318500</v>
      </c>
      <c r="S10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63">
        <f ca="1">IF(PROVEEDORES[[#This Row],[FECHA DE PAGO]]=0,TODAY()-PROVEEDORES[[#This Row],[FECHA DE FACTURACIÓN]]-PROVEEDORES[[#This Row],[PLAZO Días]],0)</f>
        <v>0</v>
      </c>
      <c r="U1004" s="104">
        <f>+VLOOKUP(PROVEEDORES[[#This Row],[PROVEEDOR]],Terceros!$A:$D,4,FALSE)</f>
        <v>0</v>
      </c>
      <c r="V1004" s="105">
        <f>+YEAR(PROVEEDORES[[#This Row],[FECHA DE FACTURACIÓN]])</f>
        <v>2022</v>
      </c>
      <c r="W1004" s="105">
        <f>+MATCH(PROVEEDORES[[#This Row],[año facturado]],Retenciones!$1:$1,0)</f>
        <v>5</v>
      </c>
      <c r="X1004" s="106">
        <f>+VLOOKUP(PROVEEDORES[[#This Row],[ID RETENCION]],Retenciones!$A$1:$O$25,PROVEEDORES[[#This Row],[indicador de columna]],FALSE)</f>
        <v>0</v>
      </c>
      <c r="Y1004" s="107">
        <f>+VLOOKUP(PROVEEDORES[[#This Row],[ID RETENCION]],Retenciones!$A$1:$O$25,2,FALSE)</f>
        <v>0</v>
      </c>
      <c r="Z1004" s="116" t="b">
        <f>OR(COUNTIF(PROVEEDORES[[#This Row],[PROVEEDOR]],"*"&amp;'Palabra no opera'!$A$2&amp;"*"))</f>
        <v>0</v>
      </c>
    </row>
    <row r="1005" spans="1:26" ht="22.35" customHeight="1" x14ac:dyDescent="0.3">
      <c r="A1005" s="67" t="str">
        <f>+IF(PROVEEDORES[[#This Row],[FECHA DE PAGO]]=PROVEEDORES[[#This Row],[FECHA DE FACTURACIÓN]],"DE CONTADO","CRÉDITO")</f>
        <v>DE CONTADO</v>
      </c>
      <c r="B1005" s="38" t="b">
        <f>+IF((PROVEEDORES[[#This Row],[FECHA DE PAGO]]-PROVEEDORES[[#This Row],[FECHA DE FACTURACIÓN]])&gt;PROVEEDORES[[#This Row],[PLAZO Días]],"PAGO VENCIDO")</f>
        <v>0</v>
      </c>
      <c r="C1005" s="20">
        <f>+VLOOKUP(PROVEEDORES[[#This Row],[PROVEEDOR]],TERCEROS_INFO[#All],2,FALSE)</f>
        <v>30</v>
      </c>
      <c r="D1005" s="25">
        <f>+SUMIFS(PROVEEDORES[Total],PROVEEDORES[PROVEEDOR],PROVEEDORES[[#This Row],[PROVEEDOR]],PROVEEDORES[FECHA DE PAGO],"")</f>
        <v>559000</v>
      </c>
      <c r="E1005" s="25"/>
      <c r="F1005" s="56" t="str">
        <f>+VLOOKUP(PROVEEDORES[[#This Row],[PROVEEDOR]],
                       Terceros!$A:$F,
                       5,
                       FALSE)</f>
        <v/>
      </c>
      <c r="G1005" s="68">
        <v>44896</v>
      </c>
      <c r="H1005" s="26" t="s">
        <v>399</v>
      </c>
      <c r="I1005" s="68">
        <v>44896</v>
      </c>
      <c r="J1005" s="35" t="s">
        <v>1362</v>
      </c>
      <c r="K1005" s="21">
        <v>1669000</v>
      </c>
      <c r="L1005" s="21"/>
      <c r="M1005" s="22">
        <f>(PROVEEDORES[[#This Row],[SUBTOTAL]]-PROVEEDORES[[#This Row],[descuento sobre subtotal]])*VLOOKUP(PROVEEDORES[[#This Row],[PROVEEDOR]],TERCEROS_INFO[#All],3,FALSE)</f>
        <v>0</v>
      </c>
      <c r="N1005" s="23"/>
      <c r="O1005" s="22">
        <f>+PROVEEDORES[[#This Row],[Descuento sobre subtotal %]]*(PROVEEDORES[[#This Row],[SUBTOTAL]]-PROVEEDORES[[#This Row],[descuento sobre subtotal]])</f>
        <v>0</v>
      </c>
      <c r="P1005" s="74">
        <f>+IF(PROVEEDORES[[#This Row],[SUBTOTAL]]&lt;PROVEEDORES[[#This Row],[base retencion]],0,PROVEEDORES[[#This Row],[retención aplicada]])</f>
        <v>0</v>
      </c>
      <c r="Q1005" s="22">
        <f>+PROVEEDORES[[#This Row],[Rete Fuente %]]*(PROVEEDORES[[#This Row],[SUBTOTAL]]-PROVEEDORES[[#This Row],[descuento sobre subtotal]])</f>
        <v>0</v>
      </c>
      <c r="R1005" s="21">
        <f>+PROVEEDORES[[#This Row],[SUBTOTAL]]+PROVEEDORES[[#This Row],[IVA 19%]]-PROVEEDORES[[#This Row],[descuento sobre subtotal]]-PROVEEDORES[[#This Row],[Descuento sobre subtotal $2]]-PROVEEDORES[[#This Row],[Rete Fuente $]]</f>
        <v>1669000</v>
      </c>
      <c r="S10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63">
        <f ca="1">IF(PROVEEDORES[[#This Row],[FECHA DE PAGO]]=0,TODAY()-PROVEEDORES[[#This Row],[FECHA DE FACTURACIÓN]]-PROVEEDORES[[#This Row],[PLAZO Días]],0)</f>
        <v>0</v>
      </c>
      <c r="U1005" s="104">
        <f>+VLOOKUP(PROVEEDORES[[#This Row],[PROVEEDOR]],Terceros!$A:$D,4,FALSE)</f>
        <v>0</v>
      </c>
      <c r="V1005" s="105">
        <f>+YEAR(PROVEEDORES[[#This Row],[FECHA DE FACTURACIÓN]])</f>
        <v>2022</v>
      </c>
      <c r="W1005" s="105">
        <f>+MATCH(PROVEEDORES[[#This Row],[año facturado]],Retenciones!$1:$1,0)</f>
        <v>5</v>
      </c>
      <c r="X1005" s="106">
        <f>+VLOOKUP(PROVEEDORES[[#This Row],[ID RETENCION]],Retenciones!$A$1:$O$25,PROVEEDORES[[#This Row],[indicador de columna]],FALSE)</f>
        <v>0</v>
      </c>
      <c r="Y1005" s="107">
        <f>+VLOOKUP(PROVEEDORES[[#This Row],[ID RETENCION]],Retenciones!$A$1:$O$25,2,FALSE)</f>
        <v>0</v>
      </c>
      <c r="Z1005" s="116" t="b">
        <f>OR(COUNTIF(PROVEEDORES[[#This Row],[PROVEEDOR]],"*"&amp;'Palabra no opera'!$A$2&amp;"*"))</f>
        <v>0</v>
      </c>
    </row>
    <row r="1006" spans="1:26" ht="22.35" customHeight="1" x14ac:dyDescent="0.3">
      <c r="A1006" s="67" t="str">
        <f>+IF(PROVEEDORES[[#This Row],[FECHA DE PAGO]]=PROVEEDORES[[#This Row],[FECHA DE FACTURACIÓN]],"DE CONTADO","CRÉDITO")</f>
        <v>CRÉDITO</v>
      </c>
      <c r="B1006" s="38" t="str">
        <f>+IF((PROVEEDORES[[#This Row],[FECHA DE PAGO]]-PROVEEDORES[[#This Row],[FECHA DE FACTURACIÓN]])&gt;PROVEEDORES[[#This Row],[PLAZO Días]],"PAGO VENCIDO")</f>
        <v>PAGO VENCIDO</v>
      </c>
      <c r="C1006" s="20">
        <f>+VLOOKUP(PROVEEDORES[[#This Row],[PROVEEDOR]],TERCEROS_INFO[#All],2,FALSE)</f>
        <v>30</v>
      </c>
      <c r="D1006" s="25">
        <f>+SUMIFS(PROVEEDORES[Total],PROVEEDORES[PROVEEDOR],PROVEEDORES[[#This Row],[PROVEEDOR]],PROVEEDORES[FECHA DE PAGO],"")</f>
        <v>0</v>
      </c>
      <c r="E1006" s="25"/>
      <c r="F1006" s="56" t="str">
        <f>+VLOOKUP(PROVEEDORES[[#This Row],[PROVEEDOR]],
                       Terceros!$A:$F,
                       5,
                       FALSE)</f>
        <v/>
      </c>
      <c r="G1006" s="68">
        <v>44896</v>
      </c>
      <c r="H1006" s="231" t="s">
        <v>409</v>
      </c>
      <c r="I1006" s="68">
        <v>44813</v>
      </c>
      <c r="J1006" s="35">
        <v>17</v>
      </c>
      <c r="K1006" s="21">
        <v>42000</v>
      </c>
      <c r="L1006" s="21"/>
      <c r="M1006" s="22">
        <f>(PROVEEDORES[[#This Row],[SUBTOTAL]]-PROVEEDORES[[#This Row],[descuento sobre subtotal]])*VLOOKUP(PROVEEDORES[[#This Row],[PROVEEDOR]],TERCEROS_INFO[#All],3,FALSE)</f>
        <v>0</v>
      </c>
      <c r="N1006" s="23"/>
      <c r="O1006" s="22">
        <f>+PROVEEDORES[[#This Row],[Descuento sobre subtotal %]]*(PROVEEDORES[[#This Row],[SUBTOTAL]]-PROVEEDORES[[#This Row],[descuento sobre subtotal]])</f>
        <v>0</v>
      </c>
      <c r="P1006" s="74">
        <f>+IF(PROVEEDORES[[#This Row],[SUBTOTAL]]&lt;PROVEEDORES[[#This Row],[base retencion]],0,PROVEEDORES[[#This Row],[retención aplicada]])</f>
        <v>0</v>
      </c>
      <c r="Q1006" s="22">
        <f>+PROVEEDORES[[#This Row],[Rete Fuente %]]*(PROVEEDORES[[#This Row],[SUBTOTAL]]-PROVEEDORES[[#This Row],[descuento sobre subtotal]])</f>
        <v>0</v>
      </c>
      <c r="R1006" s="21">
        <f>+PROVEEDORES[[#This Row],[SUBTOTAL]]+PROVEEDORES[[#This Row],[IVA 19%]]-PROVEEDORES[[#This Row],[descuento sobre subtotal]]-PROVEEDORES[[#This Row],[Descuento sobre subtotal $2]]-PROVEEDORES[[#This Row],[Rete Fuente $]]</f>
        <v>42000</v>
      </c>
      <c r="S10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63">
        <f ca="1">IF(PROVEEDORES[[#This Row],[FECHA DE PAGO]]=0,TODAY()-PROVEEDORES[[#This Row],[FECHA DE FACTURACIÓN]]-PROVEEDORES[[#This Row],[PLAZO Días]],0)</f>
        <v>0</v>
      </c>
      <c r="U1006" s="104">
        <f>+VLOOKUP(PROVEEDORES[[#This Row],[PROVEEDOR]],Terceros!$A:$D,4,FALSE)</f>
        <v>0</v>
      </c>
      <c r="V1006" s="105">
        <f>+YEAR(PROVEEDORES[[#This Row],[FECHA DE FACTURACIÓN]])</f>
        <v>2022</v>
      </c>
      <c r="W1006" s="105">
        <f>+MATCH(PROVEEDORES[[#This Row],[año facturado]],Retenciones!$1:$1,0)</f>
        <v>5</v>
      </c>
      <c r="X1006" s="106">
        <f>+VLOOKUP(PROVEEDORES[[#This Row],[ID RETENCION]],Retenciones!$A$1:$O$25,PROVEEDORES[[#This Row],[indicador de columna]],FALSE)</f>
        <v>0</v>
      </c>
      <c r="Y1006" s="107">
        <f>+VLOOKUP(PROVEEDORES[[#This Row],[ID RETENCION]],Retenciones!$A$1:$O$25,2,FALSE)</f>
        <v>0</v>
      </c>
      <c r="Z1006" s="116" t="b">
        <f>OR(COUNTIF(PROVEEDORES[[#This Row],[PROVEEDOR]],"*"&amp;'Palabra no opera'!$A$2&amp;"*"))</f>
        <v>0</v>
      </c>
    </row>
    <row r="1007" spans="1:26" ht="22.35" customHeight="1" x14ac:dyDescent="0.3">
      <c r="A1007" s="67" t="str">
        <f>+IF(PROVEEDORES[[#This Row],[FECHA DE PAGO]]=PROVEEDORES[[#This Row],[FECHA DE FACTURACIÓN]],"DE CONTADO","CRÉDITO")</f>
        <v>CRÉDITO</v>
      </c>
      <c r="B1007" s="38" t="str">
        <f>+IF((PROVEEDORES[[#This Row],[FECHA DE PAGO]]-PROVEEDORES[[#This Row],[FECHA DE FACTURACIÓN]])&gt;PROVEEDORES[[#This Row],[PLAZO Días]],"PAGO VENCIDO")</f>
        <v>PAGO VENCIDO</v>
      </c>
      <c r="C1007" s="20">
        <f>+VLOOKUP(PROVEEDORES[[#This Row],[PROVEEDOR]],TERCEROS_INFO[#All],2,FALSE)</f>
        <v>30</v>
      </c>
      <c r="D1007" s="25">
        <f>+SUMIFS(PROVEEDORES[Total],PROVEEDORES[PROVEEDOR],PROVEEDORES[[#This Row],[PROVEEDOR]],PROVEEDORES[FECHA DE PAGO],"")</f>
        <v>0</v>
      </c>
      <c r="E1007" s="25"/>
      <c r="F1007" s="56" t="str">
        <f>+VLOOKUP(PROVEEDORES[[#This Row],[PROVEEDOR]],
                       Terceros!$A:$F,
                       5,
                       FALSE)</f>
        <v/>
      </c>
      <c r="G1007" s="68">
        <v>44896</v>
      </c>
      <c r="H1007" s="231" t="s">
        <v>409</v>
      </c>
      <c r="I1007" s="68">
        <v>44813</v>
      </c>
      <c r="J1007" s="35">
        <v>18</v>
      </c>
      <c r="K1007" s="21">
        <v>120000</v>
      </c>
      <c r="L1007" s="21"/>
      <c r="M1007" s="22">
        <f>(PROVEEDORES[[#This Row],[SUBTOTAL]]-PROVEEDORES[[#This Row],[descuento sobre subtotal]])*VLOOKUP(PROVEEDORES[[#This Row],[PROVEEDOR]],TERCEROS_INFO[#All],3,FALSE)</f>
        <v>0</v>
      </c>
      <c r="N1007" s="23"/>
      <c r="O1007" s="22">
        <f>+PROVEEDORES[[#This Row],[Descuento sobre subtotal %]]*(PROVEEDORES[[#This Row],[SUBTOTAL]]-PROVEEDORES[[#This Row],[descuento sobre subtotal]])</f>
        <v>0</v>
      </c>
      <c r="P1007" s="74">
        <f>+IF(PROVEEDORES[[#This Row],[SUBTOTAL]]&lt;PROVEEDORES[[#This Row],[base retencion]],0,PROVEEDORES[[#This Row],[retención aplicada]])</f>
        <v>0</v>
      </c>
      <c r="Q1007" s="22">
        <f>+PROVEEDORES[[#This Row],[Rete Fuente %]]*(PROVEEDORES[[#This Row],[SUBTOTAL]]-PROVEEDORES[[#This Row],[descuento sobre subtotal]])</f>
        <v>0</v>
      </c>
      <c r="R1007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10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63">
        <f ca="1">IF(PROVEEDORES[[#This Row],[FECHA DE PAGO]]=0,TODAY()-PROVEEDORES[[#This Row],[FECHA DE FACTURACIÓN]]-PROVEEDORES[[#This Row],[PLAZO Días]],0)</f>
        <v>0</v>
      </c>
      <c r="U1007" s="104">
        <f>+VLOOKUP(PROVEEDORES[[#This Row],[PROVEEDOR]],Terceros!$A:$D,4,FALSE)</f>
        <v>0</v>
      </c>
      <c r="V1007" s="105">
        <f>+YEAR(PROVEEDORES[[#This Row],[FECHA DE FACTURACIÓN]])</f>
        <v>2022</v>
      </c>
      <c r="W1007" s="105">
        <f>+MATCH(PROVEEDORES[[#This Row],[año facturado]],Retenciones!$1:$1,0)</f>
        <v>5</v>
      </c>
      <c r="X1007" s="106">
        <f>+VLOOKUP(PROVEEDORES[[#This Row],[ID RETENCION]],Retenciones!$A$1:$O$25,PROVEEDORES[[#This Row],[indicador de columna]],FALSE)</f>
        <v>0</v>
      </c>
      <c r="Y1007" s="107">
        <f>+VLOOKUP(PROVEEDORES[[#This Row],[ID RETENCION]],Retenciones!$A$1:$O$25,2,FALSE)</f>
        <v>0</v>
      </c>
      <c r="Z1007" s="116" t="b">
        <f>OR(COUNTIF(PROVEEDORES[[#This Row],[PROVEEDOR]],"*"&amp;'Palabra no opera'!$A$2&amp;"*"))</f>
        <v>0</v>
      </c>
    </row>
    <row r="1008" spans="1:26" ht="22.35" customHeight="1" x14ac:dyDescent="0.3">
      <c r="A1008" s="67" t="str">
        <f>+IF(PROVEEDORES[[#This Row],[FECHA DE PAGO]]=PROVEEDORES[[#This Row],[FECHA DE FACTURACIÓN]],"DE CONTADO","CRÉDITO")</f>
        <v>CRÉDITO</v>
      </c>
      <c r="B1008" s="38" t="str">
        <f>+IF((PROVEEDORES[[#This Row],[FECHA DE PAGO]]-PROVEEDORES[[#This Row],[FECHA DE FACTURACIÓN]])&gt;PROVEEDORES[[#This Row],[PLAZO Días]],"PAGO VENCIDO")</f>
        <v>PAGO VENCIDO</v>
      </c>
      <c r="C1008" s="20">
        <f>+VLOOKUP(PROVEEDORES[[#This Row],[PROVEEDOR]],TERCEROS_INFO[#All],2,FALSE)</f>
        <v>30</v>
      </c>
      <c r="D1008" s="25">
        <f>+SUMIFS(PROVEEDORES[Total],PROVEEDORES[PROVEEDOR],PROVEEDORES[[#This Row],[PROVEEDOR]],PROVEEDORES[FECHA DE PAGO],"")</f>
        <v>0</v>
      </c>
      <c r="E1008" s="25"/>
      <c r="F1008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008" s="68">
        <v>44897</v>
      </c>
      <c r="H1008" s="231" t="s">
        <v>343</v>
      </c>
      <c r="I1008" s="68">
        <v>44839</v>
      </c>
      <c r="J1008" s="35">
        <v>3851</v>
      </c>
      <c r="K1008" s="21">
        <v>2456000</v>
      </c>
      <c r="L1008" s="21"/>
      <c r="M1008" s="22">
        <f>(PROVEEDORES[[#This Row],[SUBTOTAL]]-PROVEEDORES[[#This Row],[descuento sobre subtotal]])*VLOOKUP(PROVEEDORES[[#This Row],[PROVEEDOR]],TERCEROS_INFO[#All],3,FALSE)</f>
        <v>0</v>
      </c>
      <c r="N1008" s="23"/>
      <c r="O1008" s="22">
        <f>+PROVEEDORES[[#This Row],[Descuento sobre subtotal %]]*(PROVEEDORES[[#This Row],[SUBTOTAL]]-PROVEEDORES[[#This Row],[descuento sobre subtotal]])</f>
        <v>0</v>
      </c>
      <c r="P1008" s="74">
        <f>+IF(PROVEEDORES[[#This Row],[SUBTOTAL]]&lt;PROVEEDORES[[#This Row],[base retencion]],0,PROVEEDORES[[#This Row],[retención aplicada]])</f>
        <v>0</v>
      </c>
      <c r="Q1008" s="22">
        <f>+PROVEEDORES[[#This Row],[Rete Fuente %]]*(PROVEEDORES[[#This Row],[SUBTOTAL]]-PROVEEDORES[[#This Row],[descuento sobre subtotal]])</f>
        <v>0</v>
      </c>
      <c r="R1008" s="21">
        <f>+PROVEEDORES[[#This Row],[SUBTOTAL]]+PROVEEDORES[[#This Row],[IVA 19%]]-PROVEEDORES[[#This Row],[descuento sobre subtotal]]-PROVEEDORES[[#This Row],[Descuento sobre subtotal $2]]-PROVEEDORES[[#This Row],[Rete Fuente $]]</f>
        <v>2456000</v>
      </c>
      <c r="S10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63">
        <f ca="1">IF(PROVEEDORES[[#This Row],[FECHA DE PAGO]]=0,TODAY()-PROVEEDORES[[#This Row],[FECHA DE FACTURACIÓN]]-PROVEEDORES[[#This Row],[PLAZO Días]],0)</f>
        <v>0</v>
      </c>
      <c r="U1008" s="104">
        <f>+VLOOKUP(PROVEEDORES[[#This Row],[PROVEEDOR]],Terceros!$A:$D,4,FALSE)</f>
        <v>0</v>
      </c>
      <c r="V1008" s="105">
        <f>+YEAR(PROVEEDORES[[#This Row],[FECHA DE FACTURACIÓN]])</f>
        <v>2022</v>
      </c>
      <c r="W1008" s="105">
        <f>+MATCH(PROVEEDORES[[#This Row],[año facturado]],Retenciones!$1:$1,0)</f>
        <v>5</v>
      </c>
      <c r="X1008" s="106">
        <f>+VLOOKUP(PROVEEDORES[[#This Row],[ID RETENCION]],Retenciones!$A$1:$O$25,PROVEEDORES[[#This Row],[indicador de columna]],FALSE)</f>
        <v>0</v>
      </c>
      <c r="Y1008" s="107">
        <f>+VLOOKUP(PROVEEDORES[[#This Row],[ID RETENCION]],Retenciones!$A$1:$O$25,2,FALSE)</f>
        <v>0</v>
      </c>
      <c r="Z1008" s="116" t="b">
        <f>OR(COUNTIF(PROVEEDORES[[#This Row],[PROVEEDOR]],"*"&amp;'Palabra no opera'!$A$2&amp;"*"))</f>
        <v>0</v>
      </c>
    </row>
    <row r="1009" spans="1:26" ht="22.35" customHeight="1" x14ac:dyDescent="0.3">
      <c r="A1009" s="67" t="str">
        <f>+IF(PROVEEDORES[[#This Row],[FECHA DE PAGO]]=PROVEEDORES[[#This Row],[FECHA DE FACTURACIÓN]],"DE CONTADO","CRÉDITO")</f>
        <v>CRÉDITO</v>
      </c>
      <c r="B1009" s="38" t="b">
        <f>+IF((PROVEEDORES[[#This Row],[FECHA DE PAGO]]-PROVEEDORES[[#This Row],[FECHA DE FACTURACIÓN]])&gt;PROVEEDORES[[#This Row],[PLAZO Días]],"PAGO VENCIDO")</f>
        <v>0</v>
      </c>
      <c r="C1009" s="20">
        <f>+VLOOKUP(PROVEEDORES[[#This Row],[PROVEEDOR]],TERCEROS_INFO[#All],2,FALSE)</f>
        <v>30</v>
      </c>
      <c r="D1009" s="25">
        <f>+SUMIFS(PROVEEDORES[Total],PROVEEDORES[PROVEEDOR],PROVEEDORES[[#This Row],[PROVEEDOR]],PROVEEDORES[FECHA DE PAGO],"")</f>
        <v>342000</v>
      </c>
      <c r="E1009" s="25"/>
      <c r="F1009" s="56" t="str">
        <f>+VLOOKUP(PROVEEDORES[[#This Row],[PROVEEDOR]],
                       Terceros!$A:$F,
                       5,
                       FALSE)</f>
        <v/>
      </c>
      <c r="G1009" s="68">
        <v>44897</v>
      </c>
      <c r="H1009" s="26" t="s">
        <v>495</v>
      </c>
      <c r="I1009" s="68">
        <v>44877</v>
      </c>
      <c r="J1009" s="35">
        <v>56099</v>
      </c>
      <c r="K1009" s="21">
        <v>307500</v>
      </c>
      <c r="L1009" s="21"/>
      <c r="M1009" s="22">
        <f>(PROVEEDORES[[#This Row],[SUBTOTAL]]-PROVEEDORES[[#This Row],[descuento sobre subtotal]])*VLOOKUP(PROVEEDORES[[#This Row],[PROVEEDOR]],TERCEROS_INFO[#All],3,FALSE)</f>
        <v>0</v>
      </c>
      <c r="N1009" s="23"/>
      <c r="O1009" s="22">
        <f>+PROVEEDORES[[#This Row],[Descuento sobre subtotal %]]*(PROVEEDORES[[#This Row],[SUBTOTAL]]-PROVEEDORES[[#This Row],[descuento sobre subtotal]])</f>
        <v>0</v>
      </c>
      <c r="P1009" s="74">
        <f>+IF(PROVEEDORES[[#This Row],[SUBTOTAL]]&lt;PROVEEDORES[[#This Row],[base retencion]],0,PROVEEDORES[[#This Row],[retención aplicada]])</f>
        <v>0</v>
      </c>
      <c r="Q1009" s="22">
        <f>+PROVEEDORES[[#This Row],[Rete Fuente %]]*(PROVEEDORES[[#This Row],[SUBTOTAL]]-PROVEEDORES[[#This Row],[descuento sobre subtotal]])</f>
        <v>0</v>
      </c>
      <c r="R1009" s="21">
        <f>+PROVEEDORES[[#This Row],[SUBTOTAL]]+PROVEEDORES[[#This Row],[IVA 19%]]-PROVEEDORES[[#This Row],[descuento sobre subtotal]]-PROVEEDORES[[#This Row],[Descuento sobre subtotal $2]]-PROVEEDORES[[#This Row],[Rete Fuente $]]</f>
        <v>307500</v>
      </c>
      <c r="S10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63">
        <f ca="1">IF(PROVEEDORES[[#This Row],[FECHA DE PAGO]]=0,TODAY()-PROVEEDORES[[#This Row],[FECHA DE FACTURACIÓN]]-PROVEEDORES[[#This Row],[PLAZO Días]],0)</f>
        <v>0</v>
      </c>
      <c r="U1009" s="104">
        <f>+VLOOKUP(PROVEEDORES[[#This Row],[PROVEEDOR]],Terceros!$A:$D,4,FALSE)</f>
        <v>0</v>
      </c>
      <c r="V1009" s="105">
        <f>+YEAR(PROVEEDORES[[#This Row],[FECHA DE FACTURACIÓN]])</f>
        <v>2022</v>
      </c>
      <c r="W1009" s="105">
        <f>+MATCH(PROVEEDORES[[#This Row],[año facturado]],Retenciones!$1:$1,0)</f>
        <v>5</v>
      </c>
      <c r="X1009" s="106">
        <f>+VLOOKUP(PROVEEDORES[[#This Row],[ID RETENCION]],Retenciones!$A$1:$O$25,PROVEEDORES[[#This Row],[indicador de columna]],FALSE)</f>
        <v>0</v>
      </c>
      <c r="Y1009" s="107">
        <f>+VLOOKUP(PROVEEDORES[[#This Row],[ID RETENCION]],Retenciones!$A$1:$O$25,2,FALSE)</f>
        <v>0</v>
      </c>
      <c r="Z1009" s="116" t="b">
        <f>OR(COUNTIF(PROVEEDORES[[#This Row],[PROVEEDOR]],"*"&amp;'Palabra no opera'!$A$2&amp;"*"))</f>
        <v>0</v>
      </c>
    </row>
    <row r="1010" spans="1:26" ht="22.35" customHeight="1" x14ac:dyDescent="0.3">
      <c r="A1010" s="67" t="str">
        <f>+IF(PROVEEDORES[[#This Row],[FECHA DE PAGO]]=PROVEEDORES[[#This Row],[FECHA DE FACTURACIÓN]],"DE CONTADO","CRÉDITO")</f>
        <v>CRÉDITO</v>
      </c>
      <c r="B1010" s="38" t="str">
        <f>+IF((PROVEEDORES[[#This Row],[FECHA DE PAGO]]-PROVEEDORES[[#This Row],[FECHA DE FACTURACIÓN]])&gt;PROVEEDORES[[#This Row],[PLAZO Días]],"PAGO VENCIDO")</f>
        <v>PAGO VENCIDO</v>
      </c>
      <c r="C1010" s="20">
        <f>+VLOOKUP(PROVEEDORES[[#This Row],[PROVEEDOR]],TERCEROS_INFO[#All],2,FALSE)</f>
        <v>30</v>
      </c>
      <c r="D1010" s="25">
        <f>+SUMIFS(PROVEEDORES[Total],PROVEEDORES[PROVEEDOR],PROVEEDORES[[#This Row],[PROVEEDOR]],PROVEEDORES[FECHA DE PAGO],"")</f>
        <v>5480000</v>
      </c>
      <c r="E1010" s="25"/>
      <c r="F1010" s="56" t="str">
        <f>+VLOOKUP(PROVEEDORES[[#This Row],[PROVEEDOR]],
                       Terceros!$A:$F,
                       5,
                       FALSE)</f>
        <v/>
      </c>
      <c r="G1010" s="68">
        <v>44897</v>
      </c>
      <c r="H1010" s="26" t="s">
        <v>369</v>
      </c>
      <c r="I1010" s="68">
        <v>44838</v>
      </c>
      <c r="J1010" s="35">
        <v>6986</v>
      </c>
      <c r="K1010" s="21">
        <v>2410000</v>
      </c>
      <c r="L1010" s="21"/>
      <c r="M1010" s="22">
        <f>(PROVEEDORES[[#This Row],[SUBTOTAL]]-PROVEEDORES[[#This Row],[descuento sobre subtotal]])*VLOOKUP(PROVEEDORES[[#This Row],[PROVEEDOR]],TERCEROS_INFO[#All],3,FALSE)</f>
        <v>0</v>
      </c>
      <c r="N1010" s="23"/>
      <c r="O1010" s="22">
        <f>+PROVEEDORES[[#This Row],[Descuento sobre subtotal %]]*(PROVEEDORES[[#This Row],[SUBTOTAL]]-PROVEEDORES[[#This Row],[descuento sobre subtotal]])</f>
        <v>0</v>
      </c>
      <c r="P1010" s="74">
        <f>+IF(PROVEEDORES[[#This Row],[SUBTOTAL]]&lt;PROVEEDORES[[#This Row],[base retencion]],0,PROVEEDORES[[#This Row],[retención aplicada]])</f>
        <v>0</v>
      </c>
      <c r="Q1010" s="22">
        <f>+PROVEEDORES[[#This Row],[Rete Fuente %]]*(PROVEEDORES[[#This Row],[SUBTOTAL]]-PROVEEDORES[[#This Row],[descuento sobre subtotal]])</f>
        <v>0</v>
      </c>
      <c r="R1010" s="21">
        <f>+PROVEEDORES[[#This Row],[SUBTOTAL]]+PROVEEDORES[[#This Row],[IVA 19%]]-PROVEEDORES[[#This Row],[descuento sobre subtotal]]-PROVEEDORES[[#This Row],[Descuento sobre subtotal $2]]-PROVEEDORES[[#This Row],[Rete Fuente $]]</f>
        <v>2410000</v>
      </c>
      <c r="S10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63">
        <f ca="1">IF(PROVEEDORES[[#This Row],[FECHA DE PAGO]]=0,TODAY()-PROVEEDORES[[#This Row],[FECHA DE FACTURACIÓN]]-PROVEEDORES[[#This Row],[PLAZO Días]],0)</f>
        <v>0</v>
      </c>
      <c r="U1010" s="104">
        <f>+VLOOKUP(PROVEEDORES[[#This Row],[PROVEEDOR]],Terceros!$A:$D,4,FALSE)</f>
        <v>0</v>
      </c>
      <c r="V1010" s="105">
        <f>+YEAR(PROVEEDORES[[#This Row],[FECHA DE FACTURACIÓN]])</f>
        <v>2022</v>
      </c>
      <c r="W1010" s="105">
        <f>+MATCH(PROVEEDORES[[#This Row],[año facturado]],Retenciones!$1:$1,0)</f>
        <v>5</v>
      </c>
      <c r="X1010" s="106">
        <f>+VLOOKUP(PROVEEDORES[[#This Row],[ID RETENCION]],Retenciones!$A$1:$O$25,PROVEEDORES[[#This Row],[indicador de columna]],FALSE)</f>
        <v>0</v>
      </c>
      <c r="Y1010" s="107">
        <f>+VLOOKUP(PROVEEDORES[[#This Row],[ID RETENCION]],Retenciones!$A$1:$O$25,2,FALSE)</f>
        <v>0</v>
      </c>
      <c r="Z1010" s="116" t="b">
        <f>OR(COUNTIF(PROVEEDORES[[#This Row],[PROVEEDOR]],"*"&amp;'Palabra no opera'!$A$2&amp;"*"))</f>
        <v>0</v>
      </c>
    </row>
    <row r="1011" spans="1:26" ht="22.35" customHeight="1" x14ac:dyDescent="0.3">
      <c r="A1011" s="222" t="str">
        <f>+IF(PROVEEDORES[[#This Row],[FECHA DE PAGO]]=PROVEEDORES[[#This Row],[FECHA DE FACTURACIÓN]],"DE CONTADO","CRÉDITO")</f>
        <v>CRÉDITO</v>
      </c>
      <c r="B1011" s="38" t="str">
        <f>+IF((PROVEEDORES[[#This Row],[FECHA DE PAGO]]-PROVEEDORES[[#This Row],[FECHA DE FACTURACIÓN]])&gt;PROVEEDORES[[#This Row],[PLAZO Días]],"PAGO VENCIDO")</f>
        <v>PAGO VENCIDO</v>
      </c>
      <c r="C1011" s="20">
        <f>+VLOOKUP(PROVEEDORES[[#This Row],[PROVEEDOR]],TERCEROS_INFO[#All],2,FALSE)</f>
        <v>30</v>
      </c>
      <c r="D1011" s="25">
        <f>+SUMIFS(PROVEEDORES[Total],PROVEEDORES[PROVEEDOR],PROVEEDORES[[#This Row],[PROVEEDOR]],PROVEEDORES[FECHA DE PAGO],"")</f>
        <v>2950000</v>
      </c>
      <c r="E1011" s="25"/>
      <c r="F1011" s="56">
        <f>+VLOOKUP(PROVEEDORES[[#This Row],[PROVEEDOR]],
                       Terceros!$A:$F,
                       5,
                       FALSE)</f>
        <v>0</v>
      </c>
      <c r="G1011" s="68">
        <v>44897</v>
      </c>
      <c r="H1011" s="231" t="s">
        <v>1152</v>
      </c>
      <c r="I1011" s="68">
        <v>44834</v>
      </c>
      <c r="J1011" s="35" t="s">
        <v>1153</v>
      </c>
      <c r="K1011" s="21">
        <v>1957800</v>
      </c>
      <c r="L1011" s="21"/>
      <c r="M1011" s="22">
        <f>(PROVEEDORES[[#This Row],[SUBTOTAL]]-PROVEEDORES[[#This Row],[descuento sobre subtotal]])*VLOOKUP(PROVEEDORES[[#This Row],[PROVEEDOR]],TERCEROS_INFO[#All],3,FALSE)</f>
        <v>0</v>
      </c>
      <c r="N1011" s="23"/>
      <c r="O1011" s="22">
        <f>+PROVEEDORES[[#This Row],[Descuento sobre subtotal %]]*(PROVEEDORES[[#This Row],[SUBTOTAL]]-PROVEEDORES[[#This Row],[descuento sobre subtotal]])</f>
        <v>0</v>
      </c>
      <c r="P1011" s="74">
        <f>+IF(PROVEEDORES[[#This Row],[SUBTOTAL]]&lt;PROVEEDORES[[#This Row],[base retencion]],0,PROVEEDORES[[#This Row],[retención aplicada]])</f>
        <v>0</v>
      </c>
      <c r="Q1011" s="22">
        <f>+PROVEEDORES[[#This Row],[Rete Fuente %]]*(PROVEEDORES[[#This Row],[SUBTOTAL]]-PROVEEDORES[[#This Row],[descuento sobre subtotal]])</f>
        <v>0</v>
      </c>
      <c r="R1011" s="21">
        <f>+PROVEEDORES[[#This Row],[SUBTOTAL]]+PROVEEDORES[[#This Row],[IVA 19%]]-PROVEEDORES[[#This Row],[descuento sobre subtotal]]-PROVEEDORES[[#This Row],[Descuento sobre subtotal $2]]-PROVEEDORES[[#This Row],[Rete Fuente $]]</f>
        <v>1957800</v>
      </c>
      <c r="S1011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63">
        <f ca="1">IF(PROVEEDORES[[#This Row],[FECHA DE PAGO]]=0,TODAY()-PROVEEDORES[[#This Row],[FECHA DE FACTURACIÓN]]-PROVEEDORES[[#This Row],[PLAZO Días]],0)</f>
        <v>0</v>
      </c>
      <c r="U1011" s="104">
        <f>+VLOOKUP(PROVEEDORES[[#This Row],[PROVEEDOR]],Terceros!$A:$D,4,FALSE)</f>
        <v>0</v>
      </c>
      <c r="V1011" s="105">
        <f>+YEAR(PROVEEDORES[[#This Row],[FECHA DE FACTURACIÓN]])</f>
        <v>2022</v>
      </c>
      <c r="W1011" s="105">
        <f>+MATCH(PROVEEDORES[[#This Row],[año facturado]],Retenciones!$1:$1,0)</f>
        <v>5</v>
      </c>
      <c r="X1011" s="106">
        <f>+VLOOKUP(PROVEEDORES[[#This Row],[ID RETENCION]],Retenciones!$A$1:$O$25,PROVEEDORES[[#This Row],[indicador de columna]],FALSE)</f>
        <v>0</v>
      </c>
      <c r="Y1011" s="107">
        <f>+VLOOKUP(PROVEEDORES[[#This Row],[ID RETENCION]],Retenciones!$A$1:$O$25,2,FALSE)</f>
        <v>0</v>
      </c>
      <c r="Z1011" s="116" t="b">
        <f>OR(COUNTIF(PROVEEDORES[[#This Row],[PROVEEDOR]],"*"&amp;'Palabra no opera'!$A$2&amp;"*"))</f>
        <v>0</v>
      </c>
    </row>
    <row r="1012" spans="1:26" ht="22.35" customHeight="1" x14ac:dyDescent="0.3">
      <c r="A1012" s="232" t="str">
        <f>+IF(PROVEEDORES[[#This Row],[FECHA DE PAGO]]=PROVEEDORES[[#This Row],[FECHA DE FACTURACIÓN]],"DE CONTADO","CRÉDITO")</f>
        <v>CRÉDITO</v>
      </c>
      <c r="B1012" s="38" t="b">
        <f>+IF((PROVEEDORES[[#This Row],[FECHA DE PAGO]]-PROVEEDORES[[#This Row],[FECHA DE FACTURACIÓN]])&gt;PROVEEDORES[[#This Row],[PLAZO Días]],"PAGO VENCIDO")</f>
        <v>0</v>
      </c>
      <c r="C1012" s="20">
        <f>+VLOOKUP(PROVEEDORES[[#This Row],[PROVEEDOR]],TERCEROS_INFO[#All],2,FALSE)</f>
        <v>30</v>
      </c>
      <c r="D1012" s="25">
        <f>+SUMIFS(PROVEEDORES[Total],PROVEEDORES[PROVEEDOR],PROVEEDORES[[#This Row],[PROVEEDOR]],PROVEEDORES[FECHA DE PAGO],"")</f>
        <v>0</v>
      </c>
      <c r="E1012" s="25"/>
      <c r="F1012" s="56" t="str">
        <f>+VLOOKUP(PROVEEDORES[[#This Row],[PROVEEDOR]],
                       Terceros!$A:$F,
                       5,
                       FALSE)</f>
        <v/>
      </c>
      <c r="G1012" s="68">
        <v>44900</v>
      </c>
      <c r="H1012" s="26" t="s">
        <v>397</v>
      </c>
      <c r="I1012" s="68">
        <v>44883</v>
      </c>
      <c r="J1012" s="35">
        <v>1468</v>
      </c>
      <c r="K1012" s="21">
        <v>1321000</v>
      </c>
      <c r="L1012" s="21"/>
      <c r="M1012" s="22">
        <f>(PROVEEDORES[[#This Row],[SUBTOTAL]]-PROVEEDORES[[#This Row],[descuento sobre subtotal]])*VLOOKUP(PROVEEDORES[[#This Row],[PROVEEDOR]],TERCEROS_INFO[#All],3,FALSE)</f>
        <v>0</v>
      </c>
      <c r="N1012" s="23"/>
      <c r="O1012" s="22">
        <f>+PROVEEDORES[[#This Row],[Descuento sobre subtotal %]]*(PROVEEDORES[[#This Row],[SUBTOTAL]]-PROVEEDORES[[#This Row],[descuento sobre subtotal]])</f>
        <v>0</v>
      </c>
      <c r="P1012" s="74">
        <f>+IF(PROVEEDORES[[#This Row],[SUBTOTAL]]&lt;PROVEEDORES[[#This Row],[base retencion]],0,PROVEEDORES[[#This Row],[retención aplicada]])</f>
        <v>0</v>
      </c>
      <c r="Q1012" s="22">
        <f>+PROVEEDORES[[#This Row],[Rete Fuente %]]*(PROVEEDORES[[#This Row],[SUBTOTAL]]-PROVEEDORES[[#This Row],[descuento sobre subtotal]])</f>
        <v>0</v>
      </c>
      <c r="R1012" s="21">
        <f>+PROVEEDORES[[#This Row],[SUBTOTAL]]+PROVEEDORES[[#This Row],[IVA 19%]]-PROVEEDORES[[#This Row],[descuento sobre subtotal]]-PROVEEDORES[[#This Row],[Descuento sobre subtotal $2]]-PROVEEDORES[[#This Row],[Rete Fuente $]]</f>
        <v>1321000</v>
      </c>
      <c r="S101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63">
        <f ca="1">IF(PROVEEDORES[[#This Row],[FECHA DE PAGO]]=0,TODAY()-PROVEEDORES[[#This Row],[FECHA DE FACTURACIÓN]]-PROVEEDORES[[#This Row],[PLAZO Días]],0)</f>
        <v>0</v>
      </c>
      <c r="U1012" s="104">
        <f>+VLOOKUP(PROVEEDORES[[#This Row],[PROVEEDOR]],Terceros!$A:$D,4,FALSE)</f>
        <v>0</v>
      </c>
      <c r="V1012" s="105">
        <f>+YEAR(PROVEEDORES[[#This Row],[FECHA DE FACTURACIÓN]])</f>
        <v>2022</v>
      </c>
      <c r="W1012" s="105">
        <f>+MATCH(PROVEEDORES[[#This Row],[año facturado]],Retenciones!$1:$1,0)</f>
        <v>5</v>
      </c>
      <c r="X1012" s="106">
        <f>+VLOOKUP(PROVEEDORES[[#This Row],[ID RETENCION]],Retenciones!$A$1:$O$25,PROVEEDORES[[#This Row],[indicador de columna]],FALSE)</f>
        <v>0</v>
      </c>
      <c r="Y1012" s="107">
        <f>+VLOOKUP(PROVEEDORES[[#This Row],[ID RETENCION]],Retenciones!$A$1:$O$25,2,FALSE)</f>
        <v>0</v>
      </c>
      <c r="Z1012" s="116" t="b">
        <f>OR(COUNTIF(PROVEEDORES[[#This Row],[PROVEEDOR]],"*"&amp;'Palabra no opera'!$A$2&amp;"*"))</f>
        <v>0</v>
      </c>
    </row>
    <row r="1013" spans="1:26" ht="22.35" customHeight="1" x14ac:dyDescent="0.3">
      <c r="A1013" s="67" t="str">
        <f>+IF(PROVEEDORES[[#This Row],[FECHA DE PAGO]]=PROVEEDORES[[#This Row],[FECHA DE FACTURACIÓN]],"DE CONTADO","CRÉDITO")</f>
        <v>CRÉDITO</v>
      </c>
      <c r="B1013" s="38" t="str">
        <f>+IF((PROVEEDORES[[#This Row],[FECHA DE PAGO]]-PROVEEDORES[[#This Row],[FECHA DE FACTURACIÓN]])&gt;PROVEEDORES[[#This Row],[PLAZO Días]],"PAGO VENCIDO")</f>
        <v>PAGO VENCIDO</v>
      </c>
      <c r="C1013" s="20">
        <f>+VLOOKUP(PROVEEDORES[[#This Row],[PROVEEDOR]],TERCEROS_INFO[#All],2,FALSE)</f>
        <v>60</v>
      </c>
      <c r="D1013" s="25">
        <f>+SUMIFS(PROVEEDORES[Total],PROVEEDORES[PROVEEDOR],PROVEEDORES[[#This Row],[PROVEEDOR]],PROVEEDORES[FECHA DE PAGO],"")</f>
        <v>0</v>
      </c>
      <c r="E1013" s="25"/>
      <c r="F1013" s="56">
        <f>+VLOOKUP(PROVEEDORES[[#This Row],[PROVEEDOR]],
                       Terceros!$A:$F,
                       5,
                       FALSE)</f>
        <v>0</v>
      </c>
      <c r="G1013" s="68">
        <v>44900</v>
      </c>
      <c r="H1013" s="231" t="s">
        <v>951</v>
      </c>
      <c r="I1013" s="68">
        <v>44834</v>
      </c>
      <c r="J1013" s="35" t="s">
        <v>1141</v>
      </c>
      <c r="K1013" s="21">
        <v>7050000</v>
      </c>
      <c r="L1013" s="21"/>
      <c r="M1013" s="22">
        <f>(PROVEEDORES[[#This Row],[SUBTOTAL]]-PROVEEDORES[[#This Row],[descuento sobre subtotal]])*VLOOKUP(PROVEEDORES[[#This Row],[PROVEEDOR]],TERCEROS_INFO[#All],3,FALSE)</f>
        <v>1339500</v>
      </c>
      <c r="N1013" s="23"/>
      <c r="O1013" s="22">
        <f>+PROVEEDORES[[#This Row],[Descuento sobre subtotal %]]*(PROVEEDORES[[#This Row],[SUBTOTAL]]-PROVEEDORES[[#This Row],[descuento sobre subtotal]])</f>
        <v>0</v>
      </c>
      <c r="P1013" s="74">
        <f>+IF(PROVEEDORES[[#This Row],[SUBTOTAL]]&lt;PROVEEDORES[[#This Row],[base retencion]],0,PROVEEDORES[[#This Row],[retención aplicada]])</f>
        <v>0</v>
      </c>
      <c r="Q1013" s="22">
        <f>+PROVEEDORES[[#This Row],[Rete Fuente %]]*(PROVEEDORES[[#This Row],[SUBTOTAL]]-PROVEEDORES[[#This Row],[descuento sobre subtotal]])</f>
        <v>0</v>
      </c>
      <c r="R1013" s="21">
        <f>+PROVEEDORES[[#This Row],[SUBTOTAL]]+PROVEEDORES[[#This Row],[IVA 19%]]-PROVEEDORES[[#This Row],[descuento sobre subtotal]]-PROVEEDORES[[#This Row],[Descuento sobre subtotal $2]]-PROVEEDORES[[#This Row],[Rete Fuente $]]</f>
        <v>8389500</v>
      </c>
      <c r="S10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63">
        <f ca="1">IF(PROVEEDORES[[#This Row],[FECHA DE PAGO]]=0,TODAY()-PROVEEDORES[[#This Row],[FECHA DE FACTURACIÓN]]-PROVEEDORES[[#This Row],[PLAZO Días]],0)</f>
        <v>0</v>
      </c>
      <c r="U1013" s="104">
        <f>+VLOOKUP(PROVEEDORES[[#This Row],[PROVEEDOR]],Terceros!$A:$D,4,FALSE)</f>
        <v>0</v>
      </c>
      <c r="V1013" s="105">
        <f>+YEAR(PROVEEDORES[[#This Row],[FECHA DE FACTURACIÓN]])</f>
        <v>2022</v>
      </c>
      <c r="W1013" s="105">
        <f>+MATCH(PROVEEDORES[[#This Row],[año facturado]],Retenciones!$1:$1,0)</f>
        <v>5</v>
      </c>
      <c r="X1013" s="106">
        <f>+VLOOKUP(PROVEEDORES[[#This Row],[ID RETENCION]],Retenciones!$A$1:$O$25,PROVEEDORES[[#This Row],[indicador de columna]],FALSE)</f>
        <v>0</v>
      </c>
      <c r="Y1013" s="107">
        <f>+VLOOKUP(PROVEEDORES[[#This Row],[ID RETENCION]],Retenciones!$A$1:$O$25,2,FALSE)</f>
        <v>0</v>
      </c>
      <c r="Z1013" s="116" t="b">
        <f>OR(COUNTIF(PROVEEDORES[[#This Row],[PROVEEDOR]],"*"&amp;'Palabra no opera'!$A$2&amp;"*"))</f>
        <v>1</v>
      </c>
    </row>
    <row r="1014" spans="1:26" ht="22.35" customHeight="1" x14ac:dyDescent="0.3">
      <c r="A1014" s="67" t="str">
        <f>+IF(PROVEEDORES[[#This Row],[FECHA DE PAGO]]=PROVEEDORES[[#This Row],[FECHA DE FACTURACIÓN]],"DE CONTADO","CRÉDITO")</f>
        <v>CRÉDITO</v>
      </c>
      <c r="B1014" s="38" t="str">
        <f>+IF((PROVEEDORES[[#This Row],[FECHA DE PAGO]]-PROVEEDORES[[#This Row],[FECHA DE FACTURACIÓN]])&gt;PROVEEDORES[[#This Row],[PLAZO Días]],"PAGO VENCIDO")</f>
        <v>PAGO VENCIDO</v>
      </c>
      <c r="C1014" s="20">
        <f>+VLOOKUP(PROVEEDORES[[#This Row],[PROVEEDOR]],TERCEROS_INFO[#All],2,FALSE)</f>
        <v>30</v>
      </c>
      <c r="D1014" s="25">
        <f>+SUMIFS(PROVEEDORES[Total],PROVEEDORES[PROVEEDOR],PROVEEDORES[[#This Row],[PROVEEDOR]],PROVEEDORES[FECHA DE PAGO],"")</f>
        <v>17870934.149999999</v>
      </c>
      <c r="E1014" s="25"/>
      <c r="F101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14" s="68">
        <v>44900</v>
      </c>
      <c r="H1014" s="231" t="s">
        <v>18</v>
      </c>
      <c r="I1014" s="68">
        <v>44860</v>
      </c>
      <c r="J1014" s="35" t="s">
        <v>1237</v>
      </c>
      <c r="K1014" s="21">
        <v>10592433</v>
      </c>
      <c r="L1014" s="21"/>
      <c r="M1014" s="22">
        <f>(PROVEEDORES[[#This Row],[SUBTOTAL]]-PROVEEDORES[[#This Row],[descuento sobre subtotal]])*VLOOKUP(PROVEEDORES[[#This Row],[PROVEEDOR]],TERCEROS_INFO[#All],3,FALSE)</f>
        <v>2012562.27</v>
      </c>
      <c r="N1014" s="23"/>
      <c r="O1014" s="22">
        <f>+PROVEEDORES[[#This Row],[Descuento sobre subtotal %]]*(PROVEEDORES[[#This Row],[SUBTOTAL]]-PROVEEDORES[[#This Row],[descuento sobre subtotal]])</f>
        <v>0</v>
      </c>
      <c r="P1014" s="74">
        <f>+IF(PROVEEDORES[[#This Row],[SUBTOTAL]]&lt;PROVEEDORES[[#This Row],[base retencion]],0,PROVEEDORES[[#This Row],[retención aplicada]])</f>
        <v>2.5000000000000001E-2</v>
      </c>
      <c r="Q1014" s="22">
        <f>+PROVEEDORES[[#This Row],[Rete Fuente %]]*(PROVEEDORES[[#This Row],[SUBTOTAL]]-PROVEEDORES[[#This Row],[descuento sobre subtotal]])</f>
        <v>264810.82500000001</v>
      </c>
      <c r="R1014" s="21">
        <f>+PROVEEDORES[[#This Row],[SUBTOTAL]]+PROVEEDORES[[#This Row],[IVA 19%]]-PROVEEDORES[[#This Row],[descuento sobre subtotal]]-PROVEEDORES[[#This Row],[Descuento sobre subtotal $2]]-PROVEEDORES[[#This Row],[Rete Fuente $]]</f>
        <v>12340184.445</v>
      </c>
      <c r="S10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63">
        <f ca="1">IF(PROVEEDORES[[#This Row],[FECHA DE PAGO]]=0,TODAY()-PROVEEDORES[[#This Row],[FECHA DE FACTURACIÓN]]-PROVEEDORES[[#This Row],[PLAZO Días]],0)</f>
        <v>0</v>
      </c>
      <c r="U1014" s="104" t="str">
        <f>+VLOOKUP(PROVEEDORES[[#This Row],[PROVEEDOR]],Terceros!$A:$D,4,FALSE)</f>
        <v>2,5% con base</v>
      </c>
      <c r="V1014" s="105">
        <f>+YEAR(PROVEEDORES[[#This Row],[FECHA DE FACTURACIÓN]])</f>
        <v>2022</v>
      </c>
      <c r="W1014" s="105">
        <f>+MATCH(PROVEEDORES[[#This Row],[año facturado]],Retenciones!$1:$1,0)</f>
        <v>5</v>
      </c>
      <c r="X1014" s="106">
        <f>+VLOOKUP(PROVEEDORES[[#This Row],[ID RETENCION]],Retenciones!$A$1:$O$25,PROVEEDORES[[#This Row],[indicador de columna]],FALSE)</f>
        <v>1026000</v>
      </c>
      <c r="Y1014" s="107">
        <f>+VLOOKUP(PROVEEDORES[[#This Row],[ID RETENCION]],Retenciones!$A$1:$O$25,2,FALSE)</f>
        <v>2.5000000000000001E-2</v>
      </c>
      <c r="Z1014" s="116" t="b">
        <f>OR(COUNTIF(PROVEEDORES[[#This Row],[PROVEEDOR]],"*"&amp;'Palabra no opera'!$A$2&amp;"*"))</f>
        <v>0</v>
      </c>
    </row>
    <row r="1015" spans="1:26" ht="22.35" customHeight="1" x14ac:dyDescent="0.3">
      <c r="A1015" s="232" t="str">
        <f>+IF(PROVEEDORES[[#This Row],[FECHA DE PAGO]]=PROVEEDORES[[#This Row],[FECHA DE FACTURACIÓN]],"DE CONTADO","CRÉDITO")</f>
        <v>CRÉDITO</v>
      </c>
      <c r="B1015" s="38" t="str">
        <f>+IF((PROVEEDORES[[#This Row],[FECHA DE PAGO]]-PROVEEDORES[[#This Row],[FECHA DE FACTURACIÓN]])&gt;PROVEEDORES[[#This Row],[PLAZO Días]],"PAGO VENCIDO")</f>
        <v>PAGO VENCIDO</v>
      </c>
      <c r="C1015" s="20">
        <f>+VLOOKUP(PROVEEDORES[[#This Row],[PROVEEDOR]],TERCEROS_INFO[#All],2,FALSE)</f>
        <v>30</v>
      </c>
      <c r="D1015" s="25">
        <f>+SUMIFS(PROVEEDORES[Total],PROVEEDORES[PROVEEDOR],PROVEEDORES[[#This Row],[PROVEEDOR]],PROVEEDORES[FECHA DE PAGO],"")</f>
        <v>0</v>
      </c>
      <c r="E1015" s="25"/>
      <c r="F1015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015" s="68">
        <v>44900</v>
      </c>
      <c r="H1015" s="231" t="s">
        <v>964</v>
      </c>
      <c r="I1015" s="68">
        <v>44853</v>
      </c>
      <c r="J1015" s="35">
        <v>37181</v>
      </c>
      <c r="K1015" s="21">
        <v>2883000</v>
      </c>
      <c r="L1015" s="21"/>
      <c r="M1015" s="22">
        <f>(PROVEEDORES[[#This Row],[SUBTOTAL]]-PROVEEDORES[[#This Row],[descuento sobre subtotal]])*VLOOKUP(PROVEEDORES[[#This Row],[PROVEEDOR]],TERCEROS_INFO[#All],3,FALSE)</f>
        <v>547770</v>
      </c>
      <c r="N1015" s="23"/>
      <c r="O1015" s="22">
        <f>+PROVEEDORES[[#This Row],[Descuento sobre subtotal %]]*(PROVEEDORES[[#This Row],[SUBTOTAL]]-PROVEEDORES[[#This Row],[descuento sobre subtotal]])</f>
        <v>0</v>
      </c>
      <c r="P1015" s="74">
        <f>+IF(PROVEEDORES[[#This Row],[SUBTOTAL]]&lt;PROVEEDORES[[#This Row],[base retencion]],0,PROVEEDORES[[#This Row],[retención aplicada]])</f>
        <v>0</v>
      </c>
      <c r="Q1015" s="22">
        <f>+PROVEEDORES[[#This Row],[Rete Fuente %]]*(PROVEEDORES[[#This Row],[SUBTOTAL]]-PROVEEDORES[[#This Row],[descuento sobre subtotal]])</f>
        <v>0</v>
      </c>
      <c r="R1015" s="21">
        <f>+PROVEEDORES[[#This Row],[SUBTOTAL]]+PROVEEDORES[[#This Row],[IVA 19%]]-PROVEEDORES[[#This Row],[descuento sobre subtotal]]-PROVEEDORES[[#This Row],[Descuento sobre subtotal $2]]-PROVEEDORES[[#This Row],[Rete Fuente $]]</f>
        <v>3430770</v>
      </c>
      <c r="S1015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63">
        <f ca="1">IF(PROVEEDORES[[#This Row],[FECHA DE PAGO]]=0,TODAY()-PROVEEDORES[[#This Row],[FECHA DE FACTURACIÓN]]-PROVEEDORES[[#This Row],[PLAZO Días]],0)</f>
        <v>0</v>
      </c>
      <c r="U1015" s="104">
        <f>+VLOOKUP(PROVEEDORES[[#This Row],[PROVEEDOR]],Terceros!$A:$D,4,FALSE)</f>
        <v>0</v>
      </c>
      <c r="V1015" s="105">
        <f>+YEAR(PROVEEDORES[[#This Row],[FECHA DE FACTURACIÓN]])</f>
        <v>2022</v>
      </c>
      <c r="W1015" s="105">
        <f>+MATCH(PROVEEDORES[[#This Row],[año facturado]],Retenciones!$1:$1,0)</f>
        <v>5</v>
      </c>
      <c r="X1015" s="106">
        <f>+VLOOKUP(PROVEEDORES[[#This Row],[ID RETENCION]],Retenciones!$A$1:$O$25,PROVEEDORES[[#This Row],[indicador de columna]],FALSE)</f>
        <v>0</v>
      </c>
      <c r="Y1015" s="107">
        <f>+VLOOKUP(PROVEEDORES[[#This Row],[ID RETENCION]],Retenciones!$A$1:$O$25,2,FALSE)</f>
        <v>0</v>
      </c>
      <c r="Z1015" s="116" t="b">
        <f>OR(COUNTIF(PROVEEDORES[[#This Row],[PROVEEDOR]],"*"&amp;'Palabra no opera'!$A$2&amp;"*"))</f>
        <v>0</v>
      </c>
    </row>
    <row r="1016" spans="1:26" ht="22.35" customHeight="1" x14ac:dyDescent="0.3">
      <c r="A1016" s="67" t="str">
        <f>+IF(PROVEEDORES[[#This Row],[FECHA DE PAGO]]=PROVEEDORES[[#This Row],[FECHA DE FACTURACIÓN]],"DE CONTADO","CRÉDITO")</f>
        <v>CRÉDITO</v>
      </c>
      <c r="B1016" s="38" t="str">
        <f>+IF((PROVEEDORES[[#This Row],[FECHA DE PAGO]]-PROVEEDORES[[#This Row],[FECHA DE FACTURACIÓN]])&gt;PROVEEDORES[[#This Row],[PLAZO Días]],"PAGO VENCIDO")</f>
        <v>PAGO VENCIDO</v>
      </c>
      <c r="C1016" s="20">
        <f>+VLOOKUP(PROVEEDORES[[#This Row],[PROVEEDOR]],TERCEROS_INFO[#All],2,FALSE)</f>
        <v>30</v>
      </c>
      <c r="D1016" s="25">
        <f>+SUMIFS(PROVEEDORES[Total],PROVEEDORES[PROVEEDOR],PROVEEDORES[[#This Row],[PROVEEDOR]],PROVEEDORES[FECHA DE PAGO],"")</f>
        <v>1125118.8199999998</v>
      </c>
      <c r="E1016" s="25"/>
      <c r="F1016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016" s="68">
        <v>44900</v>
      </c>
      <c r="H1016" s="231" t="s">
        <v>279</v>
      </c>
      <c r="I1016" s="68">
        <v>44865</v>
      </c>
      <c r="J1016" s="35" t="s">
        <v>1238</v>
      </c>
      <c r="K1016" s="21">
        <v>337647</v>
      </c>
      <c r="L1016" s="21"/>
      <c r="M1016" s="22">
        <f>(PROVEEDORES[[#This Row],[SUBTOTAL]]-PROVEEDORES[[#This Row],[descuento sobre subtotal]])*VLOOKUP(PROVEEDORES[[#This Row],[PROVEEDOR]],TERCEROS_INFO[#All],3,FALSE)</f>
        <v>64152.93</v>
      </c>
      <c r="N1016" s="23"/>
      <c r="O1016" s="22">
        <f>+PROVEEDORES[[#This Row],[Descuento sobre subtotal %]]*(PROVEEDORES[[#This Row],[SUBTOTAL]]-PROVEEDORES[[#This Row],[descuento sobre subtotal]])</f>
        <v>0</v>
      </c>
      <c r="P1016" s="74">
        <f>+IF(PROVEEDORES[[#This Row],[SUBTOTAL]]&lt;PROVEEDORES[[#This Row],[base retencion]],0,PROVEEDORES[[#This Row],[retención aplicada]])</f>
        <v>0</v>
      </c>
      <c r="Q1016" s="22">
        <f>+PROVEEDORES[[#This Row],[Rete Fuente %]]*(PROVEEDORES[[#This Row],[SUBTOTAL]]-PROVEEDORES[[#This Row],[descuento sobre subtotal]])</f>
        <v>0</v>
      </c>
      <c r="R1016" s="21">
        <f>+PROVEEDORES[[#This Row],[SUBTOTAL]]+PROVEEDORES[[#This Row],[IVA 19%]]-PROVEEDORES[[#This Row],[descuento sobre subtotal]]-PROVEEDORES[[#This Row],[Descuento sobre subtotal $2]]-PROVEEDORES[[#This Row],[Rete Fuente $]]</f>
        <v>401799.93</v>
      </c>
      <c r="S10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63">
        <f ca="1">IF(PROVEEDORES[[#This Row],[FECHA DE PAGO]]=0,TODAY()-PROVEEDORES[[#This Row],[FECHA DE FACTURACIÓN]]-PROVEEDORES[[#This Row],[PLAZO Días]],0)</f>
        <v>0</v>
      </c>
      <c r="U1016" s="104" t="str">
        <f>+VLOOKUP(PROVEEDORES[[#This Row],[PROVEEDOR]],Terceros!$A:$D,4,FALSE)</f>
        <v>2,5% con base</v>
      </c>
      <c r="V1016" s="105">
        <f>+YEAR(PROVEEDORES[[#This Row],[FECHA DE FACTURACIÓN]])</f>
        <v>2022</v>
      </c>
      <c r="W1016" s="105">
        <f>+MATCH(PROVEEDORES[[#This Row],[año facturado]],Retenciones!$1:$1,0)</f>
        <v>5</v>
      </c>
      <c r="X1016" s="106">
        <f>+VLOOKUP(PROVEEDORES[[#This Row],[ID RETENCION]],Retenciones!$A$1:$O$25,PROVEEDORES[[#This Row],[indicador de columna]],FALSE)</f>
        <v>1026000</v>
      </c>
      <c r="Y1016" s="107">
        <f>+VLOOKUP(PROVEEDORES[[#This Row],[ID RETENCION]],Retenciones!$A$1:$O$25,2,FALSE)</f>
        <v>2.5000000000000001E-2</v>
      </c>
      <c r="Z1016" s="116" t="b">
        <f>OR(COUNTIF(PROVEEDORES[[#This Row],[PROVEEDOR]],"*"&amp;'Palabra no opera'!$A$2&amp;"*"))</f>
        <v>0</v>
      </c>
    </row>
    <row r="1017" spans="1:26" ht="22.35" customHeight="1" x14ac:dyDescent="0.3">
      <c r="A1017" s="148" t="str">
        <f>+IF(PROVEEDORES[[#This Row],[FECHA DE PAGO]]=PROVEEDORES[[#This Row],[FECHA DE FACTURACIÓN]],"DE CONTADO","CRÉDITO")</f>
        <v>CRÉDITO</v>
      </c>
      <c r="B1017" s="38" t="str">
        <f>+IF((PROVEEDORES[[#This Row],[FECHA DE PAGO]]-PROVEEDORES[[#This Row],[FECHA DE FACTURACIÓN]])&gt;PROVEEDORES[[#This Row],[PLAZO Días]],"PAGO VENCIDO")</f>
        <v>PAGO VENCIDO</v>
      </c>
      <c r="C1017" s="20">
        <f>+VLOOKUP(PROVEEDORES[[#This Row],[PROVEEDOR]],TERCEROS_INFO[#All],2,FALSE)</f>
        <v>30</v>
      </c>
      <c r="D1017" s="25">
        <f>+SUMIFS(PROVEEDORES[Total],PROVEEDORES[PROVEEDOR],PROVEEDORES[[#This Row],[PROVEEDOR]],PROVEEDORES[FECHA DE PAGO],"")</f>
        <v>0</v>
      </c>
      <c r="E1017" s="25"/>
      <c r="F1017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17" s="68">
        <v>44900</v>
      </c>
      <c r="H1017" s="231" t="s">
        <v>76</v>
      </c>
      <c r="I1017" s="68">
        <v>44729</v>
      </c>
      <c r="J1017" s="35" t="s">
        <v>766</v>
      </c>
      <c r="K1017" s="21">
        <v>105042</v>
      </c>
      <c r="L1017" s="21"/>
      <c r="M1017" s="22">
        <f>(PROVEEDORES[[#This Row],[SUBTOTAL]]-PROVEEDORES[[#This Row],[descuento sobre subtotal]])*VLOOKUP(PROVEEDORES[[#This Row],[PROVEEDOR]],TERCEROS_INFO[#All],3,FALSE)</f>
        <v>19957.98</v>
      </c>
      <c r="N1017" s="23"/>
      <c r="O1017" s="22">
        <f>+PROVEEDORES[[#This Row],[Descuento sobre subtotal %]]*(PROVEEDORES[[#This Row],[SUBTOTAL]]-PROVEEDORES[[#This Row],[descuento sobre subtotal]])</f>
        <v>0</v>
      </c>
      <c r="P1017" s="74">
        <f>+IF(PROVEEDORES[[#This Row],[SUBTOTAL]]&lt;PROVEEDORES[[#This Row],[base retencion]],0,PROVEEDORES[[#This Row],[retención aplicada]])</f>
        <v>0</v>
      </c>
      <c r="Q1017" s="22">
        <f>+PROVEEDORES[[#This Row],[Rete Fuente %]]*(PROVEEDORES[[#This Row],[SUBTOTAL]]-PROVEEDORES[[#This Row],[descuento sobre subtotal]])</f>
        <v>0</v>
      </c>
      <c r="R1017" s="21">
        <f>+PROVEEDORES[[#This Row],[SUBTOTAL]]+PROVEEDORES[[#This Row],[IVA 19%]]-PROVEEDORES[[#This Row],[descuento sobre subtotal]]-PROVEEDORES[[#This Row],[Descuento sobre subtotal $2]]-PROVEEDORES[[#This Row],[Rete Fuente $]]</f>
        <v>124999.98</v>
      </c>
      <c r="S1017" s="14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63">
        <f ca="1">IF(PROVEEDORES[[#This Row],[FECHA DE PAGO]]=0,TODAY()-PROVEEDORES[[#This Row],[FECHA DE FACTURACIÓN]]-PROVEEDORES[[#This Row],[PLAZO Días]],0)</f>
        <v>0</v>
      </c>
      <c r="U1017" s="104" t="str">
        <f>+VLOOKUP(PROVEEDORES[[#This Row],[PROVEEDOR]],Terceros!$A:$D,4,FALSE)</f>
        <v>2,5% con base</v>
      </c>
      <c r="V1017" s="105">
        <f>+YEAR(PROVEEDORES[[#This Row],[FECHA DE FACTURACIÓN]])</f>
        <v>2022</v>
      </c>
      <c r="W1017" s="105">
        <f>+MATCH(PROVEEDORES[[#This Row],[año facturado]],Retenciones!$1:$1,0)</f>
        <v>5</v>
      </c>
      <c r="X1017" s="106">
        <f>+VLOOKUP(PROVEEDORES[[#This Row],[ID RETENCION]],Retenciones!$A$1:$O$25,PROVEEDORES[[#This Row],[indicador de columna]],FALSE)</f>
        <v>1026000</v>
      </c>
      <c r="Y1017" s="107">
        <f>+VLOOKUP(PROVEEDORES[[#This Row],[ID RETENCION]],Retenciones!$A$1:$O$25,2,FALSE)</f>
        <v>2.5000000000000001E-2</v>
      </c>
      <c r="Z1017" s="116" t="b">
        <f>OR(COUNTIF(PROVEEDORES[[#This Row],[PROVEEDOR]],"*"&amp;'Palabra no opera'!$A$2&amp;"*"))</f>
        <v>0</v>
      </c>
    </row>
    <row r="1018" spans="1:26" ht="22.35" customHeight="1" x14ac:dyDescent="0.3">
      <c r="A1018" s="67" t="str">
        <f>+IF(PROVEEDORES[[#This Row],[FECHA DE PAGO]]=PROVEEDORES[[#This Row],[FECHA DE FACTURACIÓN]],"DE CONTADO","CRÉDITO")</f>
        <v>CRÉDITO</v>
      </c>
      <c r="B1018" s="38" t="str">
        <f>+IF((PROVEEDORES[[#This Row],[FECHA DE PAGO]]-PROVEEDORES[[#This Row],[FECHA DE FACTURACIÓN]])&gt;PROVEEDORES[[#This Row],[PLAZO Días]],"PAGO VENCIDO")</f>
        <v>PAGO VENCIDO</v>
      </c>
      <c r="C1018" s="20">
        <f>+VLOOKUP(PROVEEDORES[[#This Row],[PROVEEDOR]],TERCEROS_INFO[#All],2,FALSE)</f>
        <v>30</v>
      </c>
      <c r="D1018" s="25">
        <f>+SUMIFS(PROVEEDORES[Total],PROVEEDORES[PROVEEDOR],PROVEEDORES[[#This Row],[PROVEEDOR]],PROVEEDORES[FECHA DE PAGO],"")</f>
        <v>0</v>
      </c>
      <c r="E1018" s="25"/>
      <c r="F1018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18" s="68">
        <v>44900</v>
      </c>
      <c r="H1018" s="231" t="s">
        <v>76</v>
      </c>
      <c r="I1018" s="68">
        <v>44809</v>
      </c>
      <c r="J1018" s="35" t="s">
        <v>1192</v>
      </c>
      <c r="K1018" s="21">
        <v>19274773</v>
      </c>
      <c r="L1018" s="21"/>
      <c r="M1018" s="22">
        <f>(PROVEEDORES[[#This Row],[SUBTOTAL]]-PROVEEDORES[[#This Row],[descuento sobre subtotal]])*VLOOKUP(PROVEEDORES[[#This Row],[PROVEEDOR]],TERCEROS_INFO[#All],3,FALSE)</f>
        <v>3662206.87</v>
      </c>
      <c r="N1018" s="23"/>
      <c r="O1018" s="22">
        <f>+PROVEEDORES[[#This Row],[Descuento sobre subtotal %]]*(PROVEEDORES[[#This Row],[SUBTOTAL]]-PROVEEDORES[[#This Row],[descuento sobre subtotal]])</f>
        <v>0</v>
      </c>
      <c r="P1018" s="74">
        <f>+IF(PROVEEDORES[[#This Row],[SUBTOTAL]]&lt;PROVEEDORES[[#This Row],[base retencion]],0,PROVEEDORES[[#This Row],[retención aplicada]])</f>
        <v>2.5000000000000001E-2</v>
      </c>
      <c r="Q1018" s="22">
        <f>+PROVEEDORES[[#This Row],[Rete Fuente %]]*(PROVEEDORES[[#This Row],[SUBTOTAL]]-PROVEEDORES[[#This Row],[descuento sobre subtotal]])</f>
        <v>481869.32500000001</v>
      </c>
      <c r="R1018" s="21">
        <f>+PROVEEDORES[[#This Row],[SUBTOTAL]]+PROVEEDORES[[#This Row],[IVA 19%]]-PROVEEDORES[[#This Row],[descuento sobre subtotal]]-PROVEEDORES[[#This Row],[Descuento sobre subtotal $2]]-PROVEEDORES[[#This Row],[Rete Fuente $]]</f>
        <v>22455110.545000002</v>
      </c>
      <c r="S10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63">
        <f ca="1">IF(PROVEEDORES[[#This Row],[FECHA DE PAGO]]=0,TODAY()-PROVEEDORES[[#This Row],[FECHA DE FACTURACIÓN]]-PROVEEDORES[[#This Row],[PLAZO Días]],0)</f>
        <v>0</v>
      </c>
      <c r="U1018" s="104" t="str">
        <f>+VLOOKUP(PROVEEDORES[[#This Row],[PROVEEDOR]],Terceros!$A:$D,4,FALSE)</f>
        <v>2,5% con base</v>
      </c>
      <c r="V1018" s="105">
        <f>+YEAR(PROVEEDORES[[#This Row],[FECHA DE FACTURACIÓN]])</f>
        <v>2022</v>
      </c>
      <c r="W1018" s="105">
        <f>+MATCH(PROVEEDORES[[#This Row],[año facturado]],Retenciones!$1:$1,0)</f>
        <v>5</v>
      </c>
      <c r="X1018" s="106">
        <f>+VLOOKUP(PROVEEDORES[[#This Row],[ID RETENCION]],Retenciones!$A$1:$O$25,PROVEEDORES[[#This Row],[indicador de columna]],FALSE)</f>
        <v>1026000</v>
      </c>
      <c r="Y1018" s="107">
        <f>+VLOOKUP(PROVEEDORES[[#This Row],[ID RETENCION]],Retenciones!$A$1:$O$25,2,FALSE)</f>
        <v>2.5000000000000001E-2</v>
      </c>
      <c r="Z1018" s="116" t="b">
        <f>OR(COUNTIF(PROVEEDORES[[#This Row],[PROVEEDOR]],"*"&amp;'Palabra no opera'!$A$2&amp;"*"))</f>
        <v>0</v>
      </c>
    </row>
    <row r="1019" spans="1:26" ht="22.35" customHeight="1" x14ac:dyDescent="0.3">
      <c r="A1019" s="232" t="str">
        <f>+IF(PROVEEDORES[[#This Row],[FECHA DE PAGO]]=PROVEEDORES[[#This Row],[FECHA DE FACTURACIÓN]],"DE CONTADO","CRÉDITO")</f>
        <v>CRÉDITO</v>
      </c>
      <c r="B1019" s="38" t="str">
        <f>+IF((PROVEEDORES[[#This Row],[FECHA DE PAGO]]-PROVEEDORES[[#This Row],[FECHA DE FACTURACIÓN]])&gt;PROVEEDORES[[#This Row],[PLAZO Días]],"PAGO VENCIDO")</f>
        <v>PAGO VENCIDO</v>
      </c>
      <c r="C1019" s="20">
        <f>+VLOOKUP(PROVEEDORES[[#This Row],[PROVEEDOR]],TERCEROS_INFO[#All],2,FALSE)</f>
        <v>30</v>
      </c>
      <c r="D1019" s="25">
        <f>+SUMIFS(PROVEEDORES[Total],PROVEEDORES[PROVEEDOR],PROVEEDORES[[#This Row],[PROVEEDOR]],PROVEEDORES[FECHA DE PAGO],"")</f>
        <v>-139600.09</v>
      </c>
      <c r="E1019" s="25"/>
      <c r="F1019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019" s="68">
        <v>44900</v>
      </c>
      <c r="H1019" s="231" t="s">
        <v>32</v>
      </c>
      <c r="I1019" s="68">
        <v>44848</v>
      </c>
      <c r="J1019" s="35" t="s">
        <v>1220</v>
      </c>
      <c r="K1019" s="21">
        <v>228571</v>
      </c>
      <c r="L1019" s="21"/>
      <c r="M1019" s="22">
        <f>(PROVEEDORES[[#This Row],[SUBTOTAL]]-PROVEEDORES[[#This Row],[descuento sobre subtotal]])*VLOOKUP(PROVEEDORES[[#This Row],[PROVEEDOR]],TERCEROS_INFO[#All],3,FALSE)</f>
        <v>43428.49</v>
      </c>
      <c r="N1019" s="23"/>
      <c r="O1019" s="22">
        <f>+PROVEEDORES[[#This Row],[Descuento sobre subtotal %]]*(PROVEEDORES[[#This Row],[SUBTOTAL]]-PROVEEDORES[[#This Row],[descuento sobre subtotal]])</f>
        <v>0</v>
      </c>
      <c r="P1019" s="74">
        <f>+IF(PROVEEDORES[[#This Row],[SUBTOTAL]]&lt;PROVEEDORES[[#This Row],[base retencion]],0,PROVEEDORES[[#This Row],[retención aplicada]])</f>
        <v>0</v>
      </c>
      <c r="Q1019" s="22">
        <f>+PROVEEDORES[[#This Row],[Rete Fuente %]]*(PROVEEDORES[[#This Row],[SUBTOTAL]]-PROVEEDORES[[#This Row],[descuento sobre subtotal]])</f>
        <v>0</v>
      </c>
      <c r="R1019" s="21">
        <f>+PROVEEDORES[[#This Row],[SUBTOTAL]]+PROVEEDORES[[#This Row],[IVA 19%]]-PROVEEDORES[[#This Row],[descuento sobre subtotal]]-PROVEEDORES[[#This Row],[Descuento sobre subtotal $2]]-PROVEEDORES[[#This Row],[Rete Fuente $]]</f>
        <v>271999.49</v>
      </c>
      <c r="S1019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63">
        <f ca="1">IF(PROVEEDORES[[#This Row],[FECHA DE PAGO]]=0,TODAY()-PROVEEDORES[[#This Row],[FECHA DE FACTURACIÓN]]-PROVEEDORES[[#This Row],[PLAZO Días]],0)</f>
        <v>0</v>
      </c>
      <c r="U1019" s="104" t="str">
        <f>+VLOOKUP(PROVEEDORES[[#This Row],[PROVEEDOR]],Terceros!$A:$D,4,FALSE)</f>
        <v>2,5% con base</v>
      </c>
      <c r="V1019" s="105">
        <f>+YEAR(PROVEEDORES[[#This Row],[FECHA DE FACTURACIÓN]])</f>
        <v>2022</v>
      </c>
      <c r="W1019" s="105">
        <f>+MATCH(PROVEEDORES[[#This Row],[año facturado]],Retenciones!$1:$1,0)</f>
        <v>5</v>
      </c>
      <c r="X1019" s="106">
        <f>+VLOOKUP(PROVEEDORES[[#This Row],[ID RETENCION]],Retenciones!$A$1:$O$25,PROVEEDORES[[#This Row],[indicador de columna]],FALSE)</f>
        <v>1026000</v>
      </c>
      <c r="Y1019" s="107">
        <f>+VLOOKUP(PROVEEDORES[[#This Row],[ID RETENCION]],Retenciones!$A$1:$O$25,2,FALSE)</f>
        <v>2.5000000000000001E-2</v>
      </c>
      <c r="Z1019" s="116" t="b">
        <f>OR(COUNTIF(PROVEEDORES[[#This Row],[PROVEEDOR]],"*"&amp;'Palabra no opera'!$A$2&amp;"*"))</f>
        <v>0</v>
      </c>
    </row>
    <row r="1020" spans="1:26" ht="22.35" customHeight="1" x14ac:dyDescent="0.3">
      <c r="A1020" s="67" t="str">
        <f>+IF(PROVEEDORES[[#This Row],[FECHA DE PAGO]]=PROVEEDORES[[#This Row],[FECHA DE FACTURACIÓN]],"DE CONTADO","CRÉDITO")</f>
        <v>CRÉDITO</v>
      </c>
      <c r="B1020" s="38" t="str">
        <f>+IF((PROVEEDORES[[#This Row],[FECHA DE PAGO]]-PROVEEDORES[[#This Row],[FECHA DE FACTURACIÓN]])&gt;PROVEEDORES[[#This Row],[PLAZO Días]],"PAGO VENCIDO")</f>
        <v>PAGO VENCIDO</v>
      </c>
      <c r="C1020" s="20">
        <f>+VLOOKUP(PROVEEDORES[[#This Row],[PROVEEDOR]],TERCEROS_INFO[#All],2,FALSE)</f>
        <v>30</v>
      </c>
      <c r="D1020" s="25">
        <f>+SUMIFS(PROVEEDORES[Total],PROVEEDORES[PROVEEDOR],PROVEEDORES[[#This Row],[PROVEEDOR]],PROVEEDORES[FECHA DE PAGO],"")</f>
        <v>-139600.09</v>
      </c>
      <c r="E1020" s="25"/>
      <c r="F1020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020" s="68">
        <v>44900</v>
      </c>
      <c r="H1020" s="231" t="s">
        <v>32</v>
      </c>
      <c r="I1020" s="68">
        <v>44860</v>
      </c>
      <c r="J1020" s="35" t="s">
        <v>1236</v>
      </c>
      <c r="K1020" s="21">
        <v>775504</v>
      </c>
      <c r="L1020" s="21"/>
      <c r="M1020" s="22">
        <f>(PROVEEDORES[[#This Row],[SUBTOTAL]]-PROVEEDORES[[#This Row],[descuento sobre subtotal]])*VLOOKUP(PROVEEDORES[[#This Row],[PROVEEDOR]],TERCEROS_INFO[#All],3,FALSE)</f>
        <v>147345.76</v>
      </c>
      <c r="N1020" s="23"/>
      <c r="O1020" s="22">
        <f>+PROVEEDORES[[#This Row],[Descuento sobre subtotal %]]*(PROVEEDORES[[#This Row],[SUBTOTAL]]-PROVEEDORES[[#This Row],[descuento sobre subtotal]])</f>
        <v>0</v>
      </c>
      <c r="P1020" s="74">
        <f>+IF(PROVEEDORES[[#This Row],[SUBTOTAL]]&lt;PROVEEDORES[[#This Row],[base retencion]],0,PROVEEDORES[[#This Row],[retención aplicada]])</f>
        <v>0</v>
      </c>
      <c r="Q1020" s="22">
        <f>+PROVEEDORES[[#This Row],[Rete Fuente %]]*(PROVEEDORES[[#This Row],[SUBTOTAL]]-PROVEEDORES[[#This Row],[descuento sobre subtotal]])</f>
        <v>0</v>
      </c>
      <c r="R1020" s="21">
        <f>+PROVEEDORES[[#This Row],[SUBTOTAL]]+PROVEEDORES[[#This Row],[IVA 19%]]-PROVEEDORES[[#This Row],[descuento sobre subtotal]]-PROVEEDORES[[#This Row],[Descuento sobre subtotal $2]]-PROVEEDORES[[#This Row],[Rete Fuente $]]</f>
        <v>922849.76</v>
      </c>
      <c r="S102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63">
        <f ca="1">IF(PROVEEDORES[[#This Row],[FECHA DE PAGO]]=0,TODAY()-PROVEEDORES[[#This Row],[FECHA DE FACTURACIÓN]]-PROVEEDORES[[#This Row],[PLAZO Días]],0)</f>
        <v>0</v>
      </c>
      <c r="U1020" s="104" t="str">
        <f>+VLOOKUP(PROVEEDORES[[#This Row],[PROVEEDOR]],Terceros!$A:$D,4,FALSE)</f>
        <v>2,5% con base</v>
      </c>
      <c r="V1020" s="105">
        <f>+YEAR(PROVEEDORES[[#This Row],[FECHA DE FACTURACIÓN]])</f>
        <v>2022</v>
      </c>
      <c r="W1020" s="105">
        <f>+MATCH(PROVEEDORES[[#This Row],[año facturado]],Retenciones!$1:$1,0)</f>
        <v>5</v>
      </c>
      <c r="X1020" s="106">
        <f>+VLOOKUP(PROVEEDORES[[#This Row],[ID RETENCION]],Retenciones!$A$1:$O$25,PROVEEDORES[[#This Row],[indicador de columna]],FALSE)</f>
        <v>1026000</v>
      </c>
      <c r="Y1020" s="107">
        <f>+VLOOKUP(PROVEEDORES[[#This Row],[ID RETENCION]],Retenciones!$A$1:$O$25,2,FALSE)</f>
        <v>2.5000000000000001E-2</v>
      </c>
      <c r="Z1020" s="116" t="b">
        <f>OR(COUNTIF(PROVEEDORES[[#This Row],[PROVEEDOR]],"*"&amp;'Palabra no opera'!$A$2&amp;"*"))</f>
        <v>0</v>
      </c>
    </row>
    <row r="1021" spans="1:26" ht="22.35" customHeight="1" x14ac:dyDescent="0.3">
      <c r="A1021" s="232" t="str">
        <f>+IF(PROVEEDORES[[#This Row],[FECHA DE PAGO]]=PROVEEDORES[[#This Row],[FECHA DE FACTURACIÓN]],"DE CONTADO","CRÉDITO")</f>
        <v>CRÉDITO</v>
      </c>
      <c r="B1021" s="38" t="str">
        <f>+IF((PROVEEDORES[[#This Row],[FECHA DE PAGO]]-PROVEEDORES[[#This Row],[FECHA DE FACTURACIÓN]])&gt;PROVEEDORES[[#This Row],[PLAZO Días]],"PAGO VENCIDO")</f>
        <v>PAGO VENCIDO</v>
      </c>
      <c r="C1021" s="20">
        <f>+VLOOKUP(PROVEEDORES[[#This Row],[PROVEEDOR]],TERCEROS_INFO[#All],2,FALSE)</f>
        <v>30</v>
      </c>
      <c r="D1021" s="25">
        <f>+SUMIFS(PROVEEDORES[Total],PROVEEDORES[PROVEEDOR],PROVEEDORES[[#This Row],[PROVEEDOR]],PROVEEDORES[FECHA DE PAGO],"")</f>
        <v>10321993.199999999</v>
      </c>
      <c r="E1021" s="25"/>
      <c r="F102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21" s="68">
        <v>44900</v>
      </c>
      <c r="H1021" s="231" t="s">
        <v>1068</v>
      </c>
      <c r="I1021" s="68">
        <v>44869</v>
      </c>
      <c r="J1021" s="35">
        <v>28082</v>
      </c>
      <c r="K1021" s="21">
        <v>3600000</v>
      </c>
      <c r="L1021" s="21"/>
      <c r="M1021" s="22">
        <f>(PROVEEDORES[[#This Row],[SUBTOTAL]]-PROVEEDORES[[#This Row],[descuento sobre subtotal]])*VLOOKUP(PROVEEDORES[[#This Row],[PROVEEDOR]],TERCEROS_INFO[#All],3,FALSE)</f>
        <v>684000</v>
      </c>
      <c r="N1021" s="23"/>
      <c r="O1021" s="22">
        <f>+PROVEEDORES[[#This Row],[Descuento sobre subtotal %]]*(PROVEEDORES[[#This Row],[SUBTOTAL]]-PROVEEDORES[[#This Row],[descuento sobre subtotal]])</f>
        <v>0</v>
      </c>
      <c r="P1021" s="74">
        <f>+IF(PROVEEDORES[[#This Row],[SUBTOTAL]]&lt;PROVEEDORES[[#This Row],[base retencion]],0,PROVEEDORES[[#This Row],[retención aplicada]])</f>
        <v>2.5000000000000001E-2</v>
      </c>
      <c r="Q1021" s="22">
        <f>+PROVEEDORES[[#This Row],[Rete Fuente %]]*(PROVEEDORES[[#This Row],[SUBTOTAL]]-PROVEEDORES[[#This Row],[descuento sobre subtotal]])</f>
        <v>90000</v>
      </c>
      <c r="R1021" s="21">
        <f>+PROVEEDORES[[#This Row],[SUBTOTAL]]+PROVEEDORES[[#This Row],[IVA 19%]]-PROVEEDORES[[#This Row],[descuento sobre subtotal]]-PROVEEDORES[[#This Row],[Descuento sobre subtotal $2]]-PROVEEDORES[[#This Row],[Rete Fuente $]]</f>
        <v>4194000</v>
      </c>
      <c r="S102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63">
        <f ca="1">IF(PROVEEDORES[[#This Row],[FECHA DE PAGO]]=0,TODAY()-PROVEEDORES[[#This Row],[FECHA DE FACTURACIÓN]]-PROVEEDORES[[#This Row],[PLAZO Días]],0)</f>
        <v>0</v>
      </c>
      <c r="U1021" s="104" t="str">
        <f>+VLOOKUP(PROVEEDORES[[#This Row],[PROVEEDOR]],Terceros!$A:$D,4,FALSE)</f>
        <v>2,5% con base</v>
      </c>
      <c r="V1021" s="105">
        <f>+YEAR(PROVEEDORES[[#This Row],[FECHA DE FACTURACIÓN]])</f>
        <v>2022</v>
      </c>
      <c r="W1021" s="105">
        <f>+MATCH(PROVEEDORES[[#This Row],[año facturado]],Retenciones!$1:$1,0)</f>
        <v>5</v>
      </c>
      <c r="X1021" s="106">
        <f>+VLOOKUP(PROVEEDORES[[#This Row],[ID RETENCION]],Retenciones!$A$1:$O$25,PROVEEDORES[[#This Row],[indicador de columna]],FALSE)</f>
        <v>1026000</v>
      </c>
      <c r="Y1021" s="107">
        <f>+VLOOKUP(PROVEEDORES[[#This Row],[ID RETENCION]],Retenciones!$A$1:$O$25,2,FALSE)</f>
        <v>2.5000000000000001E-2</v>
      </c>
      <c r="Z1021" s="116" t="b">
        <f>OR(COUNTIF(PROVEEDORES[[#This Row],[PROVEEDOR]],"*"&amp;'Palabra no opera'!$A$2&amp;"*"))</f>
        <v>0</v>
      </c>
    </row>
    <row r="1022" spans="1:26" ht="22.35" customHeight="1" x14ac:dyDescent="0.3">
      <c r="A1022" s="67" t="str">
        <f>+IF(PROVEEDORES[[#This Row],[FECHA DE PAGO]]=PROVEEDORES[[#This Row],[FECHA DE FACTURACIÓN]],"DE CONTADO","CRÉDITO")</f>
        <v>CRÉDITO</v>
      </c>
      <c r="B1022" s="38" t="str">
        <f>+IF((PROVEEDORES[[#This Row],[FECHA DE PAGO]]-PROVEEDORES[[#This Row],[FECHA DE FACTURACIÓN]])&gt;PROVEEDORES[[#This Row],[PLAZO Días]],"PAGO VENCIDO")</f>
        <v>PAGO VENCIDO</v>
      </c>
      <c r="C1022" s="20">
        <f>+VLOOKUP(PROVEEDORES[[#This Row],[PROVEEDOR]],TERCEROS_INFO[#All],2,FALSE)</f>
        <v>30</v>
      </c>
      <c r="D1022" s="25">
        <f>+SUMIFS(PROVEEDORES[Total],PROVEEDORES[PROVEEDOR],PROVEEDORES[[#This Row],[PROVEEDOR]],PROVEEDORES[FECHA DE PAGO],"")</f>
        <v>0</v>
      </c>
      <c r="E1022" s="25"/>
      <c r="F102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22" s="68">
        <v>44900</v>
      </c>
      <c r="H1022" s="231" t="s">
        <v>248</v>
      </c>
      <c r="I1022" s="68">
        <v>44863</v>
      </c>
      <c r="J1022" s="35" t="s">
        <v>1233</v>
      </c>
      <c r="K1022" s="21">
        <v>4563742</v>
      </c>
      <c r="L1022" s="21"/>
      <c r="M1022" s="22">
        <f>(PROVEEDORES[[#This Row],[SUBTOTAL]]-PROVEEDORES[[#This Row],[descuento sobre subtotal]])*VLOOKUP(PROVEEDORES[[#This Row],[PROVEEDOR]],TERCEROS_INFO[#All],3,FALSE)</f>
        <v>867110.98</v>
      </c>
      <c r="N1022" s="23"/>
      <c r="O1022" s="22">
        <f>+PROVEEDORES[[#This Row],[Descuento sobre subtotal %]]*(PROVEEDORES[[#This Row],[SUBTOTAL]]-PROVEEDORES[[#This Row],[descuento sobre subtotal]])</f>
        <v>0</v>
      </c>
      <c r="P1022" s="74">
        <f>+IF(PROVEEDORES[[#This Row],[SUBTOTAL]]&lt;PROVEEDORES[[#This Row],[base retencion]],0,PROVEEDORES[[#This Row],[retención aplicada]])</f>
        <v>0</v>
      </c>
      <c r="Q1022" s="22">
        <f>+PROVEEDORES[[#This Row],[Rete Fuente %]]*(PROVEEDORES[[#This Row],[SUBTOTAL]]-PROVEEDORES[[#This Row],[descuento sobre subtotal]])</f>
        <v>0</v>
      </c>
      <c r="R1022" s="21">
        <f>+PROVEEDORES[[#This Row],[SUBTOTAL]]+PROVEEDORES[[#This Row],[IVA 19%]]-PROVEEDORES[[#This Row],[descuento sobre subtotal]]-PROVEEDORES[[#This Row],[Descuento sobre subtotal $2]]-PROVEEDORES[[#This Row],[Rete Fuente $]]</f>
        <v>5430852.9800000004</v>
      </c>
      <c r="S10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63">
        <f ca="1">IF(PROVEEDORES[[#This Row],[FECHA DE PAGO]]=0,TODAY()-PROVEEDORES[[#This Row],[FECHA DE FACTURACIÓN]]-PROVEEDORES[[#This Row],[PLAZO Días]],0)</f>
        <v>0</v>
      </c>
      <c r="U1022" s="104">
        <f>+VLOOKUP(PROVEEDORES[[#This Row],[PROVEEDOR]],Terceros!$A:$D,4,FALSE)</f>
        <v>0</v>
      </c>
      <c r="V1022" s="105">
        <f>+YEAR(PROVEEDORES[[#This Row],[FECHA DE FACTURACIÓN]])</f>
        <v>2022</v>
      </c>
      <c r="W1022" s="105">
        <f>+MATCH(PROVEEDORES[[#This Row],[año facturado]],Retenciones!$1:$1,0)</f>
        <v>5</v>
      </c>
      <c r="X1022" s="106">
        <f>+VLOOKUP(PROVEEDORES[[#This Row],[ID RETENCION]],Retenciones!$A$1:$O$25,PROVEEDORES[[#This Row],[indicador de columna]],FALSE)</f>
        <v>0</v>
      </c>
      <c r="Y1022" s="107">
        <f>+VLOOKUP(PROVEEDORES[[#This Row],[ID RETENCION]],Retenciones!$A$1:$O$25,2,FALSE)</f>
        <v>0</v>
      </c>
      <c r="Z1022" s="116" t="b">
        <f>OR(COUNTIF(PROVEEDORES[[#This Row],[PROVEEDOR]],"*"&amp;'Palabra no opera'!$A$2&amp;"*"))</f>
        <v>0</v>
      </c>
    </row>
    <row r="1023" spans="1:26" ht="22.35" customHeight="1" x14ac:dyDescent="0.3">
      <c r="A1023" s="232" t="str">
        <f>+IF(PROVEEDORES[[#This Row],[FECHA DE PAGO]]=PROVEEDORES[[#This Row],[FECHA DE FACTURACIÓN]],"DE CONTADO","CRÉDITO")</f>
        <v>CRÉDITO</v>
      </c>
      <c r="B1023" s="38" t="str">
        <f>+IF((PROVEEDORES[[#This Row],[FECHA DE PAGO]]-PROVEEDORES[[#This Row],[FECHA DE FACTURACIÓN]])&gt;PROVEEDORES[[#This Row],[PLAZO Días]],"PAGO VENCIDO")</f>
        <v>PAGO VENCIDO</v>
      </c>
      <c r="C1023" s="20">
        <f>+VLOOKUP(PROVEEDORES[[#This Row],[PROVEEDOR]],TERCEROS_INFO[#All],2,FALSE)</f>
        <v>30</v>
      </c>
      <c r="D1023" s="25">
        <f>+SUMIFS(PROVEEDORES[Total],PROVEEDORES[PROVEEDOR],PROVEEDORES[[#This Row],[PROVEEDOR]],PROVEEDORES[FECHA DE PAGO],"")</f>
        <v>18444236.894999996</v>
      </c>
      <c r="E1023" s="25"/>
      <c r="F102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23" s="68">
        <v>44900</v>
      </c>
      <c r="H1023" s="231" t="s">
        <v>11</v>
      </c>
      <c r="I1023" s="68">
        <v>44866</v>
      </c>
      <c r="J1023" s="35" t="s">
        <v>1249</v>
      </c>
      <c r="K1023" s="21">
        <v>1722945</v>
      </c>
      <c r="L1023" s="21"/>
      <c r="M1023" s="22">
        <f>(PROVEEDORES[[#This Row],[SUBTOTAL]]-PROVEEDORES[[#This Row],[descuento sobre subtotal]])*VLOOKUP(PROVEEDORES[[#This Row],[PROVEEDOR]],TERCEROS_INFO[#All],3,FALSE)</f>
        <v>327359.55</v>
      </c>
      <c r="N1023" s="23"/>
      <c r="O1023" s="22">
        <f>+PROVEEDORES[[#This Row],[Descuento sobre subtotal %]]*(PROVEEDORES[[#This Row],[SUBTOTAL]]-PROVEEDORES[[#This Row],[descuento sobre subtotal]])</f>
        <v>0</v>
      </c>
      <c r="P1023" s="74">
        <f>+IF(PROVEEDORES[[#This Row],[SUBTOTAL]]&lt;PROVEEDORES[[#This Row],[base retencion]],0,PROVEEDORES[[#This Row],[retención aplicada]])</f>
        <v>2.5000000000000001E-2</v>
      </c>
      <c r="Q1023" s="22">
        <f>+PROVEEDORES[[#This Row],[Rete Fuente %]]*(PROVEEDORES[[#This Row],[SUBTOTAL]]-PROVEEDORES[[#This Row],[descuento sobre subtotal]])</f>
        <v>43073.625</v>
      </c>
      <c r="R1023" s="21">
        <f>+PROVEEDORES[[#This Row],[SUBTOTAL]]+PROVEEDORES[[#This Row],[IVA 19%]]-PROVEEDORES[[#This Row],[descuento sobre subtotal]]-PROVEEDORES[[#This Row],[Descuento sobre subtotal $2]]-PROVEEDORES[[#This Row],[Rete Fuente $]]</f>
        <v>2007230.925</v>
      </c>
      <c r="S1023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63">
        <f ca="1">IF(PROVEEDORES[[#This Row],[FECHA DE PAGO]]=0,TODAY()-PROVEEDORES[[#This Row],[FECHA DE FACTURACIÓN]]-PROVEEDORES[[#This Row],[PLAZO Días]],0)</f>
        <v>0</v>
      </c>
      <c r="U1023" s="104" t="str">
        <f>+VLOOKUP(PROVEEDORES[[#This Row],[PROVEEDOR]],Terceros!$A:$D,4,FALSE)</f>
        <v>2,5% con base</v>
      </c>
      <c r="V1023" s="105">
        <f>+YEAR(PROVEEDORES[[#This Row],[FECHA DE FACTURACIÓN]])</f>
        <v>2022</v>
      </c>
      <c r="W1023" s="105">
        <f>+MATCH(PROVEEDORES[[#This Row],[año facturado]],Retenciones!$1:$1,0)</f>
        <v>5</v>
      </c>
      <c r="X1023" s="106">
        <f>+VLOOKUP(PROVEEDORES[[#This Row],[ID RETENCION]],Retenciones!$A$1:$O$25,PROVEEDORES[[#This Row],[indicador de columna]],FALSE)</f>
        <v>1026000</v>
      </c>
      <c r="Y1023" s="107">
        <f>+VLOOKUP(PROVEEDORES[[#This Row],[ID RETENCION]],Retenciones!$A$1:$O$25,2,FALSE)</f>
        <v>2.5000000000000001E-2</v>
      </c>
      <c r="Z1023" s="116" t="b">
        <f>OR(COUNTIF(PROVEEDORES[[#This Row],[PROVEEDOR]],"*"&amp;'Palabra no opera'!$A$2&amp;"*"))</f>
        <v>0</v>
      </c>
    </row>
    <row r="1024" spans="1:26" ht="22.35" customHeight="1" x14ac:dyDescent="0.3">
      <c r="A1024" s="232" t="str">
        <f>+IF(PROVEEDORES[[#This Row],[FECHA DE PAGO]]=PROVEEDORES[[#This Row],[FECHA DE FACTURACIÓN]],"DE CONTADO","CRÉDITO")</f>
        <v>CRÉDITO</v>
      </c>
      <c r="B1024" s="38" t="str">
        <f>+IF((PROVEEDORES[[#This Row],[FECHA DE PAGO]]-PROVEEDORES[[#This Row],[FECHA DE FACTURACIÓN]])&gt;PROVEEDORES[[#This Row],[PLAZO Días]],"PAGO VENCIDO")</f>
        <v>PAGO VENCIDO</v>
      </c>
      <c r="C1024" s="20">
        <f>+VLOOKUP(PROVEEDORES[[#This Row],[PROVEEDOR]],TERCEROS_INFO[#All],2,FALSE)</f>
        <v>30</v>
      </c>
      <c r="D1024" s="25">
        <f>+SUMIFS(PROVEEDORES[Total],PROVEEDORES[PROVEEDOR],PROVEEDORES[[#This Row],[PROVEEDOR]],PROVEEDORES[FECHA DE PAGO],"")</f>
        <v>0</v>
      </c>
      <c r="E1024" s="25"/>
      <c r="F1024" s="56" t="str">
        <f>+VLOOKUP(PROVEEDORES[[#This Row],[PROVEEDOR]],
                       Terceros!$A:$F,
                       5,
                       FALSE)</f>
        <v/>
      </c>
      <c r="G1024" s="68">
        <v>44901</v>
      </c>
      <c r="H1024" s="26" t="s">
        <v>388</v>
      </c>
      <c r="I1024" s="68">
        <v>44841</v>
      </c>
      <c r="J1024" s="35" t="s">
        <v>1222</v>
      </c>
      <c r="K1024" s="21">
        <v>3215000</v>
      </c>
      <c r="L1024" s="21"/>
      <c r="M1024" s="22">
        <f>(PROVEEDORES[[#This Row],[SUBTOTAL]]-PROVEEDORES[[#This Row],[descuento sobre subtotal]])*VLOOKUP(PROVEEDORES[[#This Row],[PROVEEDOR]],TERCEROS_INFO[#All],3,FALSE)</f>
        <v>0</v>
      </c>
      <c r="N1024" s="23"/>
      <c r="O1024" s="22">
        <f>+PROVEEDORES[[#This Row],[Descuento sobre subtotal %]]*(PROVEEDORES[[#This Row],[SUBTOTAL]]-PROVEEDORES[[#This Row],[descuento sobre subtotal]])</f>
        <v>0</v>
      </c>
      <c r="P1024" s="74">
        <f>+IF(PROVEEDORES[[#This Row],[SUBTOTAL]]&lt;PROVEEDORES[[#This Row],[base retencion]],0,PROVEEDORES[[#This Row],[retención aplicada]])</f>
        <v>0</v>
      </c>
      <c r="Q1024" s="22">
        <f>+PROVEEDORES[[#This Row],[Rete Fuente %]]*(PROVEEDORES[[#This Row],[SUBTOTAL]]-PROVEEDORES[[#This Row],[descuento sobre subtotal]])</f>
        <v>0</v>
      </c>
      <c r="R1024" s="21">
        <f>+PROVEEDORES[[#This Row],[SUBTOTAL]]+PROVEEDORES[[#This Row],[IVA 19%]]-PROVEEDORES[[#This Row],[descuento sobre subtotal]]-PROVEEDORES[[#This Row],[Descuento sobre subtotal $2]]-PROVEEDORES[[#This Row],[Rete Fuente $]]</f>
        <v>3215000</v>
      </c>
      <c r="S1024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4" s="63">
        <f ca="1">IF(PROVEEDORES[[#This Row],[FECHA DE PAGO]]=0,TODAY()-PROVEEDORES[[#This Row],[FECHA DE FACTURACIÓN]]-PROVEEDORES[[#This Row],[PLAZO Días]],0)</f>
        <v>0</v>
      </c>
      <c r="U1024" s="104">
        <f>+VLOOKUP(PROVEEDORES[[#This Row],[PROVEEDOR]],Terceros!$A:$D,4,FALSE)</f>
        <v>0</v>
      </c>
      <c r="V1024" s="105">
        <f>+YEAR(PROVEEDORES[[#This Row],[FECHA DE FACTURACIÓN]])</f>
        <v>2022</v>
      </c>
      <c r="W1024" s="105">
        <f>+MATCH(PROVEEDORES[[#This Row],[año facturado]],Retenciones!$1:$1,0)</f>
        <v>5</v>
      </c>
      <c r="X1024" s="106">
        <f>+VLOOKUP(PROVEEDORES[[#This Row],[ID RETENCION]],Retenciones!$A$1:$O$25,PROVEEDORES[[#This Row],[indicador de columna]],FALSE)</f>
        <v>0</v>
      </c>
      <c r="Y1024" s="107">
        <f>+VLOOKUP(PROVEEDORES[[#This Row],[ID RETENCION]],Retenciones!$A$1:$O$25,2,FALSE)</f>
        <v>0</v>
      </c>
      <c r="Z1024" s="116" t="b">
        <f>OR(COUNTIF(PROVEEDORES[[#This Row],[PROVEEDOR]],"*"&amp;'Palabra no opera'!$A$2&amp;"*"))</f>
        <v>0</v>
      </c>
    </row>
    <row r="1025" spans="1:26" ht="22.35" customHeight="1" x14ac:dyDescent="0.3">
      <c r="A1025" s="222" t="str">
        <f>+IF(PROVEEDORES[[#This Row],[FECHA DE PAGO]]=PROVEEDORES[[#This Row],[FECHA DE FACTURACIÓN]],"DE CONTADO","CRÉDITO")</f>
        <v>CRÉDITO</v>
      </c>
      <c r="B1025" s="38" t="str">
        <f>+IF((PROVEEDORES[[#This Row],[FECHA DE PAGO]]-PROVEEDORES[[#This Row],[FECHA DE FACTURACIÓN]])&gt;PROVEEDORES[[#This Row],[PLAZO Días]],"PAGO VENCIDO")</f>
        <v>PAGO VENCIDO</v>
      </c>
      <c r="C1025" s="20">
        <f>+VLOOKUP(PROVEEDORES[[#This Row],[PROVEEDOR]],TERCEROS_INFO[#All],2,FALSE)</f>
        <v>8</v>
      </c>
      <c r="D1025" s="25">
        <f>+SUMIFS(PROVEEDORES[Total],PROVEEDORES[PROVEEDOR],PROVEEDORES[[#This Row],[PROVEEDOR]],PROVEEDORES[FECHA DE PAGO],"")</f>
        <v>0</v>
      </c>
      <c r="E1025" s="25"/>
      <c r="F1025" s="56">
        <f>+VLOOKUP(PROVEEDORES[[#This Row],[PROVEEDOR]],
                       Terceros!$A:$F,
                       5,
                       FALSE)</f>
        <v>0</v>
      </c>
      <c r="G1025" s="68">
        <v>44901</v>
      </c>
      <c r="H1025" s="231" t="s">
        <v>676</v>
      </c>
      <c r="I1025" s="68">
        <v>44833</v>
      </c>
      <c r="J1025" s="35" t="s">
        <v>1156</v>
      </c>
      <c r="K1025" s="21">
        <v>1814000</v>
      </c>
      <c r="L1025" s="21"/>
      <c r="M1025" s="22">
        <f>(PROVEEDORES[[#This Row],[SUBTOTAL]]-PROVEEDORES[[#This Row],[descuento sobre subtotal]])*VLOOKUP(PROVEEDORES[[#This Row],[PROVEEDOR]],TERCEROS_INFO[#All],3,FALSE)</f>
        <v>0</v>
      </c>
      <c r="N1025" s="23"/>
      <c r="O1025" s="22">
        <f>+PROVEEDORES[[#This Row],[Descuento sobre subtotal %]]*(PROVEEDORES[[#This Row],[SUBTOTAL]]-PROVEEDORES[[#This Row],[descuento sobre subtotal]])</f>
        <v>0</v>
      </c>
      <c r="P1025" s="74">
        <f>+IF(PROVEEDORES[[#This Row],[SUBTOTAL]]&lt;PROVEEDORES[[#This Row],[base retencion]],0,PROVEEDORES[[#This Row],[retención aplicada]])</f>
        <v>0</v>
      </c>
      <c r="Q1025" s="22">
        <f>+PROVEEDORES[[#This Row],[Rete Fuente %]]*(PROVEEDORES[[#This Row],[SUBTOTAL]]-PROVEEDORES[[#This Row],[descuento sobre subtotal]])</f>
        <v>0</v>
      </c>
      <c r="R1025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1025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63">
        <f ca="1">IF(PROVEEDORES[[#This Row],[FECHA DE PAGO]]=0,TODAY()-PROVEEDORES[[#This Row],[FECHA DE FACTURACIÓN]]-PROVEEDORES[[#This Row],[PLAZO Días]],0)</f>
        <v>0</v>
      </c>
      <c r="U1025" s="104">
        <f>+VLOOKUP(PROVEEDORES[[#This Row],[PROVEEDOR]],Terceros!$A:$D,4,FALSE)</f>
        <v>0</v>
      </c>
      <c r="V1025" s="105">
        <f>+YEAR(PROVEEDORES[[#This Row],[FECHA DE FACTURACIÓN]])</f>
        <v>2022</v>
      </c>
      <c r="W1025" s="105">
        <f>+MATCH(PROVEEDORES[[#This Row],[año facturado]],Retenciones!$1:$1,0)</f>
        <v>5</v>
      </c>
      <c r="X1025" s="106">
        <f>+VLOOKUP(PROVEEDORES[[#This Row],[ID RETENCION]],Retenciones!$A$1:$O$25,PROVEEDORES[[#This Row],[indicador de columna]],FALSE)</f>
        <v>0</v>
      </c>
      <c r="Y1025" s="107">
        <f>+VLOOKUP(PROVEEDORES[[#This Row],[ID RETENCION]],Retenciones!$A$1:$O$25,2,FALSE)</f>
        <v>0</v>
      </c>
      <c r="Z1025" s="116" t="b">
        <f>OR(COUNTIF(PROVEEDORES[[#This Row],[PROVEEDOR]],"*"&amp;'Palabra no opera'!$A$2&amp;"*"))</f>
        <v>0</v>
      </c>
    </row>
    <row r="1026" spans="1:26" ht="22.35" customHeight="1" x14ac:dyDescent="0.3">
      <c r="A1026" s="252" t="str">
        <f>+IF(PROVEEDORES[[#This Row],[FECHA DE PAGO]]=PROVEEDORES[[#This Row],[FECHA DE FACTURACIÓN]],"DE CONTADO","CRÉDITO")</f>
        <v>DE CONTADO</v>
      </c>
      <c r="B1026" s="38" t="b">
        <f>+IF((PROVEEDORES[[#This Row],[FECHA DE PAGO]]-PROVEEDORES[[#This Row],[FECHA DE FACTURACIÓN]])&gt;PROVEEDORES[[#This Row],[PLAZO Días]],"PAGO VENCIDO")</f>
        <v>0</v>
      </c>
      <c r="C1026" s="20">
        <f>+VLOOKUP(PROVEEDORES[[#This Row],[PROVEEDOR]],TERCEROS_INFO[#All],2,FALSE)</f>
        <v>30</v>
      </c>
      <c r="D1026" s="25">
        <f>+SUMIFS(PROVEEDORES[Total],PROVEEDORES[PROVEEDOR],PROVEEDORES[[#This Row],[PROVEEDOR]],PROVEEDORES[FECHA DE PAGO],"")</f>
        <v>0</v>
      </c>
      <c r="E1026" s="25"/>
      <c r="F1026" s="56" t="str">
        <f>+VLOOKUP(PROVEEDORES[[#This Row],[PROVEEDOR]],
                       Terceros!$A:$F,
                       5,
                       FALSE)</f>
        <v/>
      </c>
      <c r="G1026" s="68">
        <v>44901</v>
      </c>
      <c r="H1026" s="26" t="s">
        <v>404</v>
      </c>
      <c r="I1026" s="68">
        <v>44901</v>
      </c>
      <c r="J1026" s="35" t="s">
        <v>1370</v>
      </c>
      <c r="K1026" s="21">
        <v>3781596</v>
      </c>
      <c r="L1026" s="21"/>
      <c r="M1026" s="22">
        <f>(PROVEEDORES[[#This Row],[SUBTOTAL]]-PROVEEDORES[[#This Row],[descuento sobre subtotal]])*VLOOKUP(PROVEEDORES[[#This Row],[PROVEEDOR]],TERCEROS_INFO[#All],3,FALSE)</f>
        <v>0</v>
      </c>
      <c r="N1026" s="23"/>
      <c r="O1026" s="22">
        <f>+PROVEEDORES[[#This Row],[Descuento sobre subtotal %]]*(PROVEEDORES[[#This Row],[SUBTOTAL]]-PROVEEDORES[[#This Row],[descuento sobre subtotal]])</f>
        <v>0</v>
      </c>
      <c r="P1026" s="74">
        <f>+IF(PROVEEDORES[[#This Row],[SUBTOTAL]]&lt;PROVEEDORES[[#This Row],[base retencion]],0,PROVEEDORES[[#This Row],[retención aplicada]])</f>
        <v>0</v>
      </c>
      <c r="Q1026" s="22">
        <f>+PROVEEDORES[[#This Row],[Rete Fuente %]]*(PROVEEDORES[[#This Row],[SUBTOTAL]]-PROVEEDORES[[#This Row],[descuento sobre subtotal]])</f>
        <v>0</v>
      </c>
      <c r="R1026" s="21">
        <f>+PROVEEDORES[[#This Row],[SUBTOTAL]]+PROVEEDORES[[#This Row],[IVA 19%]]-PROVEEDORES[[#This Row],[descuento sobre subtotal]]-PROVEEDORES[[#This Row],[Descuento sobre subtotal $2]]-PROVEEDORES[[#This Row],[Rete Fuente $]]</f>
        <v>3781596</v>
      </c>
      <c r="S1026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63">
        <f ca="1">IF(PROVEEDORES[[#This Row],[FECHA DE PAGO]]=0,TODAY()-PROVEEDORES[[#This Row],[FECHA DE FACTURACIÓN]]-PROVEEDORES[[#This Row],[PLAZO Días]],0)</f>
        <v>0</v>
      </c>
      <c r="U1026" s="104">
        <f>+VLOOKUP(PROVEEDORES[[#This Row],[PROVEEDOR]],Terceros!$A:$D,4,FALSE)</f>
        <v>0</v>
      </c>
      <c r="V1026" s="105">
        <f>+YEAR(PROVEEDORES[[#This Row],[FECHA DE FACTURACIÓN]])</f>
        <v>2022</v>
      </c>
      <c r="W1026" s="105">
        <f>+MATCH(PROVEEDORES[[#This Row],[año facturado]],Retenciones!$1:$1,0)</f>
        <v>5</v>
      </c>
      <c r="X1026" s="106">
        <f>+VLOOKUP(PROVEEDORES[[#This Row],[ID RETENCION]],Retenciones!$A$1:$O$25,PROVEEDORES[[#This Row],[indicador de columna]],FALSE)</f>
        <v>0</v>
      </c>
      <c r="Y1026" s="107">
        <f>+VLOOKUP(PROVEEDORES[[#This Row],[ID RETENCION]],Retenciones!$A$1:$O$25,2,FALSE)</f>
        <v>0</v>
      </c>
      <c r="Z1026" s="116" t="b">
        <f>OR(COUNTIF(PROVEEDORES[[#This Row],[PROVEEDOR]],"*"&amp;'Palabra no opera'!$A$2&amp;"*"))</f>
        <v>0</v>
      </c>
    </row>
    <row r="1027" spans="1:26" ht="22.35" customHeight="1" x14ac:dyDescent="0.3">
      <c r="A1027" s="242" t="str">
        <f>+IF(PROVEEDORES[[#This Row],[FECHA DE PAGO]]=PROVEEDORES[[#This Row],[FECHA DE FACTURACIÓN]],"DE CONTADO","CRÉDITO")</f>
        <v>DE CONTADO</v>
      </c>
      <c r="B1027" s="38" t="b">
        <f>+IF((PROVEEDORES[[#This Row],[FECHA DE PAGO]]-PROVEEDORES[[#This Row],[FECHA DE FACTURACIÓN]])&gt;PROVEEDORES[[#This Row],[PLAZO Días]],"PAGO VENCIDO")</f>
        <v>0</v>
      </c>
      <c r="C1027" s="20">
        <f>+VLOOKUP(PROVEEDORES[[#This Row],[PROVEEDOR]],TERCEROS_INFO[#All],2,FALSE)</f>
        <v>30</v>
      </c>
      <c r="D1027" s="25">
        <f>+SUMIFS(PROVEEDORES[Total],PROVEEDORES[PROVEEDOR],PROVEEDORES[[#This Row],[PROVEEDOR]],PROVEEDORES[FECHA DE PAGO],"")</f>
        <v>0</v>
      </c>
      <c r="E1027" s="25"/>
      <c r="F1027" s="56">
        <f>+VLOOKUP(PROVEEDORES[[#This Row],[PROVEEDOR]],
                       Terceros!$A:$F,
                       5,
                       FALSE)</f>
        <v>0</v>
      </c>
      <c r="G1027" s="68">
        <v>44902</v>
      </c>
      <c r="H1027" s="231" t="s">
        <v>262</v>
      </c>
      <c r="I1027" s="68">
        <v>44902</v>
      </c>
      <c r="J1027" s="35" t="s">
        <v>1316</v>
      </c>
      <c r="K1027" s="21">
        <v>1785000</v>
      </c>
      <c r="L1027" s="21"/>
      <c r="M1027" s="22">
        <f>(PROVEEDORES[[#This Row],[SUBTOTAL]]-PROVEEDORES[[#This Row],[descuento sobre subtotal]])*VLOOKUP(PROVEEDORES[[#This Row],[PROVEEDOR]],TERCEROS_INFO[#All],3,FALSE)</f>
        <v>339150</v>
      </c>
      <c r="N1027" s="23"/>
      <c r="O1027" s="22">
        <f>+PROVEEDORES[[#This Row],[Descuento sobre subtotal %]]*(PROVEEDORES[[#This Row],[SUBTOTAL]]-PROVEEDORES[[#This Row],[descuento sobre subtotal]])</f>
        <v>0</v>
      </c>
      <c r="P1027" s="74">
        <f>+IF(PROVEEDORES[[#This Row],[SUBTOTAL]]&lt;PROVEEDORES[[#This Row],[base retencion]],0,PROVEEDORES[[#This Row],[retención aplicada]])</f>
        <v>2.5000000000000001E-2</v>
      </c>
      <c r="Q1027" s="22">
        <f>+PROVEEDORES[[#This Row],[Rete Fuente %]]*(PROVEEDORES[[#This Row],[SUBTOTAL]]-PROVEEDORES[[#This Row],[descuento sobre subtotal]])</f>
        <v>44625</v>
      </c>
      <c r="R1027" s="21">
        <f>+PROVEEDORES[[#This Row],[SUBTOTAL]]+PROVEEDORES[[#This Row],[IVA 19%]]-PROVEEDORES[[#This Row],[descuento sobre subtotal]]-PROVEEDORES[[#This Row],[Descuento sobre subtotal $2]]-PROVEEDORES[[#This Row],[Rete Fuente $]]</f>
        <v>2079525</v>
      </c>
      <c r="S1027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7" s="63">
        <f ca="1">IF(PROVEEDORES[[#This Row],[FECHA DE PAGO]]=0,TODAY()-PROVEEDORES[[#This Row],[FECHA DE FACTURACIÓN]]-PROVEEDORES[[#This Row],[PLAZO Días]],0)</f>
        <v>0</v>
      </c>
      <c r="U1027" s="104" t="str">
        <f>+VLOOKUP(PROVEEDORES[[#This Row],[PROVEEDOR]],Terceros!$A:$D,4,FALSE)</f>
        <v>2,5% con base</v>
      </c>
      <c r="V1027" s="105">
        <f>+YEAR(PROVEEDORES[[#This Row],[FECHA DE FACTURACIÓN]])</f>
        <v>2022</v>
      </c>
      <c r="W1027" s="105">
        <f>+MATCH(PROVEEDORES[[#This Row],[año facturado]],Retenciones!$1:$1,0)</f>
        <v>5</v>
      </c>
      <c r="X1027" s="106">
        <f>+VLOOKUP(PROVEEDORES[[#This Row],[ID RETENCION]],Retenciones!$A$1:$O$25,PROVEEDORES[[#This Row],[indicador de columna]],FALSE)</f>
        <v>1026000</v>
      </c>
      <c r="Y1027" s="107">
        <f>+VLOOKUP(PROVEEDORES[[#This Row],[ID RETENCION]],Retenciones!$A$1:$O$25,2,FALSE)</f>
        <v>2.5000000000000001E-2</v>
      </c>
      <c r="Z1027" s="116" t="b">
        <f>OR(COUNTIF(PROVEEDORES[[#This Row],[PROVEEDOR]],"*"&amp;'Palabra no opera'!$A$2&amp;"*"))</f>
        <v>0</v>
      </c>
    </row>
    <row r="1028" spans="1:26" ht="22.35" customHeight="1" x14ac:dyDescent="0.3">
      <c r="A1028" s="247" t="str">
        <f>+IF(PROVEEDORES[[#This Row],[FECHA DE PAGO]]=PROVEEDORES[[#This Row],[FECHA DE FACTURACIÓN]],"DE CONTADO","CRÉDITO")</f>
        <v>CRÉDITO</v>
      </c>
      <c r="B1028" s="38" t="b">
        <f>+IF((PROVEEDORES[[#This Row],[FECHA DE PAGO]]-PROVEEDORES[[#This Row],[FECHA DE FACTURACIÓN]])&gt;PROVEEDORES[[#This Row],[PLAZO Días]],"PAGO VENCIDO")</f>
        <v>0</v>
      </c>
      <c r="C1028" s="20">
        <f>+VLOOKUP(PROVEEDORES[[#This Row],[PROVEEDOR]],TERCEROS_INFO[#All],2,FALSE)</f>
        <v>30</v>
      </c>
      <c r="D1028" s="25">
        <f>+SUMIFS(PROVEEDORES[Total],PROVEEDORES[PROVEEDOR],PROVEEDORES[[#This Row],[PROVEEDOR]],PROVEEDORES[FECHA DE PAGO],"")</f>
        <v>0</v>
      </c>
      <c r="E1028" s="25"/>
      <c r="F1028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028" s="68">
        <v>44907</v>
      </c>
      <c r="H1028" s="26" t="s">
        <v>966</v>
      </c>
      <c r="I1028" s="68">
        <v>44900</v>
      </c>
      <c r="J1028" s="35">
        <v>386</v>
      </c>
      <c r="K1028" s="21">
        <v>400000</v>
      </c>
      <c r="L1028" s="21"/>
      <c r="M1028" s="22">
        <f>(PROVEEDORES[[#This Row],[SUBTOTAL]]-PROVEEDORES[[#This Row],[descuento sobre subtotal]])*VLOOKUP(PROVEEDORES[[#This Row],[PROVEEDOR]],TERCEROS_INFO[#All],3,FALSE)</f>
        <v>0</v>
      </c>
      <c r="N1028" s="23"/>
      <c r="O1028" s="22">
        <f>+PROVEEDORES[[#This Row],[Descuento sobre subtotal %]]*(PROVEEDORES[[#This Row],[SUBTOTAL]]-PROVEEDORES[[#This Row],[descuento sobre subtotal]])</f>
        <v>0</v>
      </c>
      <c r="P1028" s="74">
        <f>+IF(PROVEEDORES[[#This Row],[SUBTOTAL]]&lt;PROVEEDORES[[#This Row],[base retencion]],0,PROVEEDORES[[#This Row],[retención aplicada]])</f>
        <v>0</v>
      </c>
      <c r="Q1028" s="22">
        <f>+PROVEEDORES[[#This Row],[Rete Fuente %]]*(PROVEEDORES[[#This Row],[SUBTOTAL]]-PROVEEDORES[[#This Row],[descuento sobre subtotal]])</f>
        <v>0</v>
      </c>
      <c r="R1028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1028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63">
        <f ca="1">IF(PROVEEDORES[[#This Row],[FECHA DE PAGO]]=0,TODAY()-PROVEEDORES[[#This Row],[FECHA DE FACTURACIÓN]]-PROVEEDORES[[#This Row],[PLAZO Días]],0)</f>
        <v>0</v>
      </c>
      <c r="U1028" s="104">
        <f>+VLOOKUP(PROVEEDORES[[#This Row],[PROVEEDOR]],Terceros!$A:$D,4,FALSE)</f>
        <v>0</v>
      </c>
      <c r="V1028" s="105">
        <f>+YEAR(PROVEEDORES[[#This Row],[FECHA DE FACTURACIÓN]])</f>
        <v>2022</v>
      </c>
      <c r="W1028" s="105">
        <f>+MATCH(PROVEEDORES[[#This Row],[año facturado]],Retenciones!$1:$1,0)</f>
        <v>5</v>
      </c>
      <c r="X1028" s="106">
        <f>+VLOOKUP(PROVEEDORES[[#This Row],[ID RETENCION]],Retenciones!$A$1:$O$25,PROVEEDORES[[#This Row],[indicador de columna]],FALSE)</f>
        <v>0</v>
      </c>
      <c r="Y1028" s="107">
        <f>+VLOOKUP(PROVEEDORES[[#This Row],[ID RETENCION]],Retenciones!$A$1:$O$25,2,FALSE)</f>
        <v>0</v>
      </c>
      <c r="Z1028" s="116" t="b">
        <f>OR(COUNTIF(PROVEEDORES[[#This Row],[PROVEEDOR]],"*"&amp;'Palabra no opera'!$A$2&amp;"*"))</f>
        <v>0</v>
      </c>
    </row>
    <row r="1029" spans="1:26" ht="22.35" customHeight="1" x14ac:dyDescent="0.3">
      <c r="A1029" s="67" t="str">
        <f>+IF(PROVEEDORES[[#This Row],[FECHA DE PAGO]]=PROVEEDORES[[#This Row],[FECHA DE FACTURACIÓN]],"DE CONTADO","CRÉDITO")</f>
        <v>CRÉDITO</v>
      </c>
      <c r="B1029" s="38" t="str">
        <f>+IF((PROVEEDORES[[#This Row],[FECHA DE PAGO]]-PROVEEDORES[[#This Row],[FECHA DE FACTURACIÓN]])&gt;PROVEEDORES[[#This Row],[PLAZO Días]],"PAGO VENCIDO")</f>
        <v>PAGO VENCIDO</v>
      </c>
      <c r="C1029" s="20">
        <f>+VLOOKUP(PROVEEDORES[[#This Row],[PROVEEDOR]],TERCEROS_INFO[#All],2,FALSE)</f>
        <v>30</v>
      </c>
      <c r="D1029" s="25">
        <f>+SUMIFS(PROVEEDORES[Total],PROVEEDORES[PROVEEDOR],PROVEEDORES[[#This Row],[PROVEEDOR]],PROVEEDORES[FECHA DE PAGO],"")</f>
        <v>0</v>
      </c>
      <c r="E1029" s="25"/>
      <c r="F1029" s="56" t="str">
        <f>+VLOOKUP(PROVEEDORES[[#This Row],[PROVEEDOR]],
                       Terceros!$A:$F,
                       5,
                       FALSE)</f>
        <v/>
      </c>
      <c r="G1029" s="68">
        <v>44907</v>
      </c>
      <c r="H1029" s="26" t="s">
        <v>409</v>
      </c>
      <c r="I1029" s="68">
        <v>44797</v>
      </c>
      <c r="J1029" s="245">
        <v>15</v>
      </c>
      <c r="K1029" s="21">
        <v>230000</v>
      </c>
      <c r="L1029" s="21"/>
      <c r="M1029" s="22">
        <f>(PROVEEDORES[[#This Row],[SUBTOTAL]]-PROVEEDORES[[#This Row],[descuento sobre subtotal]])*VLOOKUP(PROVEEDORES[[#This Row],[PROVEEDOR]],TERCEROS_INFO[#All],3,FALSE)</f>
        <v>0</v>
      </c>
      <c r="N1029" s="23"/>
      <c r="O1029" s="22">
        <f>+PROVEEDORES[[#This Row],[Descuento sobre subtotal %]]*(PROVEEDORES[[#This Row],[SUBTOTAL]]-PROVEEDORES[[#This Row],[descuento sobre subtotal]])</f>
        <v>0</v>
      </c>
      <c r="P1029" s="74">
        <f>+IF(PROVEEDORES[[#This Row],[SUBTOTAL]]&lt;PROVEEDORES[[#This Row],[base retencion]],0,PROVEEDORES[[#This Row],[retención aplicada]])</f>
        <v>0</v>
      </c>
      <c r="Q1029" s="22">
        <f>+PROVEEDORES[[#This Row],[Rete Fuente %]]*(PROVEEDORES[[#This Row],[SUBTOTAL]]-PROVEEDORES[[#This Row],[descuento sobre subtotal]])</f>
        <v>0</v>
      </c>
      <c r="R1029" s="21">
        <f>+PROVEEDORES[[#This Row],[SUBTOTAL]]+PROVEEDORES[[#This Row],[IVA 19%]]-PROVEEDORES[[#This Row],[descuento sobre subtotal]]-PROVEEDORES[[#This Row],[Descuento sobre subtotal $2]]-PROVEEDORES[[#This Row],[Rete Fuente $]]</f>
        <v>230000</v>
      </c>
      <c r="S10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63">
        <f ca="1">IF(PROVEEDORES[[#This Row],[FECHA DE PAGO]]=0,TODAY()-PROVEEDORES[[#This Row],[FECHA DE FACTURACIÓN]]-PROVEEDORES[[#This Row],[PLAZO Días]],0)</f>
        <v>0</v>
      </c>
      <c r="U1029" s="104">
        <f>+VLOOKUP(PROVEEDORES[[#This Row],[PROVEEDOR]],Terceros!$A:$D,4,FALSE)</f>
        <v>0</v>
      </c>
      <c r="V1029" s="105">
        <f>+YEAR(PROVEEDORES[[#This Row],[FECHA DE FACTURACIÓN]])</f>
        <v>2022</v>
      </c>
      <c r="W1029" s="105">
        <f>+MATCH(PROVEEDORES[[#This Row],[año facturado]],Retenciones!$1:$1,0)</f>
        <v>5</v>
      </c>
      <c r="X1029" s="106">
        <f>+VLOOKUP(PROVEEDORES[[#This Row],[ID RETENCION]],Retenciones!$A$1:$O$25,PROVEEDORES[[#This Row],[indicador de columna]],FALSE)</f>
        <v>0</v>
      </c>
      <c r="Y1029" s="107">
        <f>+VLOOKUP(PROVEEDORES[[#This Row],[ID RETENCION]],Retenciones!$A$1:$O$25,2,FALSE)</f>
        <v>0</v>
      </c>
      <c r="Z1029" s="116" t="b">
        <f>OR(COUNTIF(PROVEEDORES[[#This Row],[PROVEEDOR]],"*"&amp;'Palabra no opera'!$A$2&amp;"*"))</f>
        <v>0</v>
      </c>
    </row>
    <row r="1030" spans="1:26" ht="22.35" customHeight="1" x14ac:dyDescent="0.3">
      <c r="A1030" s="67" t="str">
        <f>+IF(PROVEEDORES[[#This Row],[FECHA DE PAGO]]=PROVEEDORES[[#This Row],[FECHA DE FACTURACIÓN]],"DE CONTADO","CRÉDITO")</f>
        <v>CRÉDITO</v>
      </c>
      <c r="B1030" s="38" t="str">
        <f>+IF((PROVEEDORES[[#This Row],[FECHA DE PAGO]]-PROVEEDORES[[#This Row],[FECHA DE FACTURACIÓN]])&gt;PROVEEDORES[[#This Row],[PLAZO Días]],"PAGO VENCIDO")</f>
        <v>PAGO VENCIDO</v>
      </c>
      <c r="C1030" s="20">
        <f>+VLOOKUP(PROVEEDORES[[#This Row],[PROVEEDOR]],TERCEROS_INFO[#All],2,FALSE)</f>
        <v>30</v>
      </c>
      <c r="D1030" s="25">
        <f>+SUMIFS(PROVEEDORES[Total],PROVEEDORES[PROVEEDOR],PROVEEDORES[[#This Row],[PROVEEDOR]],PROVEEDORES[FECHA DE PAGO],"")</f>
        <v>0</v>
      </c>
      <c r="E1030" s="25"/>
      <c r="F1030" s="56" t="str">
        <f>+VLOOKUP(PROVEEDORES[[#This Row],[PROVEEDOR]],
                       Terceros!$A:$F,
                       5,
                       FALSE)</f>
        <v/>
      </c>
      <c r="G1030" s="68">
        <v>44907</v>
      </c>
      <c r="H1030" s="26" t="s">
        <v>409</v>
      </c>
      <c r="I1030" s="68">
        <v>44804</v>
      </c>
      <c r="J1030" s="245">
        <v>16</v>
      </c>
      <c r="K1030" s="21">
        <v>38000</v>
      </c>
      <c r="L1030" s="21"/>
      <c r="M1030" s="22">
        <f>(PROVEEDORES[[#This Row],[SUBTOTAL]]-PROVEEDORES[[#This Row],[descuento sobre subtotal]])*VLOOKUP(PROVEEDORES[[#This Row],[PROVEEDOR]],TERCEROS_INFO[#All],3,FALSE)</f>
        <v>0</v>
      </c>
      <c r="N1030" s="23"/>
      <c r="O1030" s="22">
        <f>+PROVEEDORES[[#This Row],[Descuento sobre subtotal %]]*(PROVEEDORES[[#This Row],[SUBTOTAL]]-PROVEEDORES[[#This Row],[descuento sobre subtotal]])</f>
        <v>0</v>
      </c>
      <c r="P1030" s="74">
        <f>+IF(PROVEEDORES[[#This Row],[SUBTOTAL]]&lt;PROVEEDORES[[#This Row],[base retencion]],0,PROVEEDORES[[#This Row],[retención aplicada]])</f>
        <v>0</v>
      </c>
      <c r="Q1030" s="22">
        <f>+PROVEEDORES[[#This Row],[Rete Fuente %]]*(PROVEEDORES[[#This Row],[SUBTOTAL]]-PROVEEDORES[[#This Row],[descuento sobre subtotal]])</f>
        <v>0</v>
      </c>
      <c r="R1030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10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63">
        <f ca="1">IF(PROVEEDORES[[#This Row],[FECHA DE PAGO]]=0,TODAY()-PROVEEDORES[[#This Row],[FECHA DE FACTURACIÓN]]-PROVEEDORES[[#This Row],[PLAZO Días]],0)</f>
        <v>0</v>
      </c>
      <c r="U1030" s="104">
        <f>+VLOOKUP(PROVEEDORES[[#This Row],[PROVEEDOR]],Terceros!$A:$D,4,FALSE)</f>
        <v>0</v>
      </c>
      <c r="V1030" s="105">
        <f>+YEAR(PROVEEDORES[[#This Row],[FECHA DE FACTURACIÓN]])</f>
        <v>2022</v>
      </c>
      <c r="W1030" s="105">
        <f>+MATCH(PROVEEDORES[[#This Row],[año facturado]],Retenciones!$1:$1,0)</f>
        <v>5</v>
      </c>
      <c r="X1030" s="106">
        <f>+VLOOKUP(PROVEEDORES[[#This Row],[ID RETENCION]],Retenciones!$A$1:$O$25,PROVEEDORES[[#This Row],[indicador de columna]],FALSE)</f>
        <v>0</v>
      </c>
      <c r="Y1030" s="107">
        <f>+VLOOKUP(PROVEEDORES[[#This Row],[ID RETENCION]],Retenciones!$A$1:$O$25,2,FALSE)</f>
        <v>0</v>
      </c>
      <c r="Z1030" s="116" t="b">
        <f>OR(COUNTIF(PROVEEDORES[[#This Row],[PROVEEDOR]],"*"&amp;'Palabra no opera'!$A$2&amp;"*"))</f>
        <v>0</v>
      </c>
    </row>
    <row r="1031" spans="1:26" ht="22.35" customHeight="1" x14ac:dyDescent="0.3">
      <c r="A1031" s="249" t="str">
        <f>+IF(PROVEEDORES[[#This Row],[FECHA DE PAGO]]=PROVEEDORES[[#This Row],[FECHA DE FACTURACIÓN]],"DE CONTADO","CRÉDITO")</f>
        <v>DE CONTADO</v>
      </c>
      <c r="B1031" s="38" t="b">
        <f>+IF((PROVEEDORES[[#This Row],[FECHA DE PAGO]]-PROVEEDORES[[#This Row],[FECHA DE FACTURACIÓN]])&gt;PROVEEDORES[[#This Row],[PLAZO Días]],"PAGO VENCIDO")</f>
        <v>0</v>
      </c>
      <c r="C1031" s="20">
        <f>+VLOOKUP(PROVEEDORES[[#This Row],[PROVEEDOR]],TERCEROS_INFO[#All],2,FALSE)</f>
        <v>30</v>
      </c>
      <c r="D1031" s="25">
        <f>+SUMIFS(PROVEEDORES[Total],PROVEEDORES[PROVEEDOR],PROVEEDORES[[#This Row],[PROVEEDOR]],PROVEEDORES[FECHA DE PAGO],"")</f>
        <v>0</v>
      </c>
      <c r="E1031" s="25"/>
      <c r="F1031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031" s="68">
        <v>44907</v>
      </c>
      <c r="H1031" s="26" t="s">
        <v>21</v>
      </c>
      <c r="I1031" s="68">
        <v>44907</v>
      </c>
      <c r="J1031" s="35">
        <v>27301</v>
      </c>
      <c r="K1031" s="21">
        <v>466387</v>
      </c>
      <c r="L1031" s="21"/>
      <c r="M1031" s="22">
        <f>(PROVEEDORES[[#This Row],[SUBTOTAL]]-PROVEEDORES[[#This Row],[descuento sobre subtotal]])*VLOOKUP(PROVEEDORES[[#This Row],[PROVEEDOR]],TERCEROS_INFO[#All],3,FALSE)</f>
        <v>88613.53</v>
      </c>
      <c r="N1031" s="23"/>
      <c r="O1031" s="22">
        <f>+PROVEEDORES[[#This Row],[Descuento sobre subtotal %]]*(PROVEEDORES[[#This Row],[SUBTOTAL]]-PROVEEDORES[[#This Row],[descuento sobre subtotal]])</f>
        <v>0</v>
      </c>
      <c r="P1031" s="74">
        <f>+IF(PROVEEDORES[[#This Row],[SUBTOTAL]]&lt;PROVEEDORES[[#This Row],[base retencion]],0,PROVEEDORES[[#This Row],[retención aplicada]])</f>
        <v>0</v>
      </c>
      <c r="Q1031" s="22">
        <f>+PROVEEDORES[[#This Row],[Rete Fuente %]]*(PROVEEDORES[[#This Row],[SUBTOTAL]]-PROVEEDORES[[#This Row],[descuento sobre subtotal]])</f>
        <v>0</v>
      </c>
      <c r="R1031" s="21">
        <f>+PROVEEDORES[[#This Row],[SUBTOTAL]]+PROVEEDORES[[#This Row],[IVA 19%]]-PROVEEDORES[[#This Row],[descuento sobre subtotal]]-PROVEEDORES[[#This Row],[Descuento sobre subtotal $2]]-PROVEEDORES[[#This Row],[Rete Fuente $]]</f>
        <v>555000.53</v>
      </c>
      <c r="S103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63">
        <f ca="1">IF(PROVEEDORES[[#This Row],[FECHA DE PAGO]]=0,TODAY()-PROVEEDORES[[#This Row],[FECHA DE FACTURACIÓN]]-PROVEEDORES[[#This Row],[PLAZO Días]],0)</f>
        <v>0</v>
      </c>
      <c r="U1031" s="104" t="str">
        <f>+VLOOKUP(PROVEEDORES[[#This Row],[PROVEEDOR]],Terceros!$A:$D,4,FALSE)</f>
        <v>2,5% con base</v>
      </c>
      <c r="V1031" s="105">
        <f>+YEAR(PROVEEDORES[[#This Row],[FECHA DE FACTURACIÓN]])</f>
        <v>2022</v>
      </c>
      <c r="W1031" s="105">
        <f>+MATCH(PROVEEDORES[[#This Row],[año facturado]],Retenciones!$1:$1,0)</f>
        <v>5</v>
      </c>
      <c r="X1031" s="106">
        <f>+VLOOKUP(PROVEEDORES[[#This Row],[ID RETENCION]],Retenciones!$A$1:$O$25,PROVEEDORES[[#This Row],[indicador de columna]],FALSE)</f>
        <v>1026000</v>
      </c>
      <c r="Y1031" s="107">
        <f>+VLOOKUP(PROVEEDORES[[#This Row],[ID RETENCION]],Retenciones!$A$1:$O$25,2,FALSE)</f>
        <v>2.5000000000000001E-2</v>
      </c>
      <c r="Z1031" s="116" t="b">
        <f>OR(COUNTIF(PROVEEDORES[[#This Row],[PROVEEDOR]],"*"&amp;'Palabra no opera'!$A$2&amp;"*"))</f>
        <v>0</v>
      </c>
    </row>
    <row r="1032" spans="1:26" ht="22.35" customHeight="1" x14ac:dyDescent="0.3">
      <c r="A1032" s="222" t="str">
        <f>+IF(PROVEEDORES[[#This Row],[FECHA DE PAGO]]=PROVEEDORES[[#This Row],[FECHA DE FACTURACIÓN]],"DE CONTADO","CRÉDITO")</f>
        <v>CRÉDITO</v>
      </c>
      <c r="B1032" s="38" t="str">
        <f>+IF((PROVEEDORES[[#This Row],[FECHA DE PAGO]]-PROVEEDORES[[#This Row],[FECHA DE FACTURACIÓN]])&gt;PROVEEDORES[[#This Row],[PLAZO Días]],"PAGO VENCIDO")</f>
        <v>PAGO VENCIDO</v>
      </c>
      <c r="C1032" s="20">
        <f>+VLOOKUP(PROVEEDORES[[#This Row],[PROVEEDOR]],TERCEROS_INFO[#All],2,FALSE)</f>
        <v>30</v>
      </c>
      <c r="D1032" s="25">
        <f>+SUMIFS(PROVEEDORES[Total],PROVEEDORES[PROVEEDOR],PROVEEDORES[[#This Row],[PROVEEDOR]],PROVEEDORES[FECHA DE PAGO],"")</f>
        <v>3209330.35</v>
      </c>
      <c r="E1032" s="25"/>
      <c r="F1032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032" s="69">
        <v>44907</v>
      </c>
      <c r="H1032" s="231" t="s">
        <v>282</v>
      </c>
      <c r="I1032" s="68">
        <v>44834</v>
      </c>
      <c r="J1032" s="245" t="s">
        <v>1155</v>
      </c>
      <c r="K1032" s="21">
        <v>1087142.8600000001</v>
      </c>
      <c r="L1032" s="21"/>
      <c r="M1032" s="22">
        <f>(PROVEEDORES[[#This Row],[SUBTOTAL]]-PROVEEDORES[[#This Row],[descuento sobre subtotal]])*VLOOKUP(PROVEEDORES[[#This Row],[PROVEEDOR]],TERCEROS_INFO[#All],3,FALSE)</f>
        <v>206557.14340000003</v>
      </c>
      <c r="N1032" s="23"/>
      <c r="O1032" s="22">
        <f>+PROVEEDORES[[#This Row],[Descuento sobre subtotal %]]*(PROVEEDORES[[#This Row],[SUBTOTAL]]-PROVEEDORES[[#This Row],[descuento sobre subtotal]])</f>
        <v>0</v>
      </c>
      <c r="P1032" s="74">
        <f>+IF(PROVEEDORES[[#This Row],[SUBTOTAL]]&lt;PROVEEDORES[[#This Row],[base retencion]],0,PROVEEDORES[[#This Row],[retención aplicada]])</f>
        <v>2.5000000000000001E-2</v>
      </c>
      <c r="Q1032" s="22">
        <f>+PROVEEDORES[[#This Row],[Rete Fuente %]]*(PROVEEDORES[[#This Row],[SUBTOTAL]]-PROVEEDORES[[#This Row],[descuento sobre subtotal]])</f>
        <v>27178.571500000005</v>
      </c>
      <c r="R1032" s="21">
        <f>+PROVEEDORES[[#This Row],[SUBTOTAL]]+PROVEEDORES[[#This Row],[IVA 19%]]-PROVEEDORES[[#This Row],[descuento sobre subtotal]]-PROVEEDORES[[#This Row],[Descuento sobre subtotal $2]]-PROVEEDORES[[#This Row],[Rete Fuente $]]</f>
        <v>1266521.4319</v>
      </c>
      <c r="S1032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63">
        <f ca="1">IF(PROVEEDORES[[#This Row],[FECHA DE PAGO]]=0,TODAY()-PROVEEDORES[[#This Row],[FECHA DE FACTURACIÓN]]-PROVEEDORES[[#This Row],[PLAZO Días]],0)</f>
        <v>0</v>
      </c>
      <c r="U1032" s="104" t="str">
        <f>+VLOOKUP(PROVEEDORES[[#This Row],[PROVEEDOR]],Terceros!$A:$D,4,FALSE)</f>
        <v>2,5% con base</v>
      </c>
      <c r="V1032" s="105">
        <f>+YEAR(PROVEEDORES[[#This Row],[FECHA DE FACTURACIÓN]])</f>
        <v>2022</v>
      </c>
      <c r="W1032" s="105">
        <f>+MATCH(PROVEEDORES[[#This Row],[año facturado]],Retenciones!$1:$1,0)</f>
        <v>5</v>
      </c>
      <c r="X1032" s="106">
        <f>+VLOOKUP(PROVEEDORES[[#This Row],[ID RETENCION]],Retenciones!$A$1:$O$25,PROVEEDORES[[#This Row],[indicador de columna]],FALSE)</f>
        <v>1026000</v>
      </c>
      <c r="Y1032" s="107">
        <f>+VLOOKUP(PROVEEDORES[[#This Row],[ID RETENCION]],Retenciones!$A$1:$O$25,2,FALSE)</f>
        <v>2.5000000000000001E-2</v>
      </c>
      <c r="Z1032" s="116" t="b">
        <f>OR(COUNTIF(PROVEEDORES[[#This Row],[PROVEEDOR]],"*"&amp;'Palabra no opera'!$A$2&amp;"*"))</f>
        <v>0</v>
      </c>
    </row>
    <row r="1033" spans="1:26" ht="22.35" customHeight="1" x14ac:dyDescent="0.3">
      <c r="A1033" s="247" t="str">
        <f>+IF(PROVEEDORES[[#This Row],[FECHA DE PAGO]]=PROVEEDORES[[#This Row],[FECHA DE FACTURACIÓN]],"DE CONTADO","CRÉDITO")</f>
        <v>CRÉDITO</v>
      </c>
      <c r="B1033" s="38" t="b">
        <f>+IF((PROVEEDORES[[#This Row],[FECHA DE PAGO]]-PROVEEDORES[[#This Row],[FECHA DE FACTURACIÓN]])&gt;PROVEEDORES[[#This Row],[PLAZO Días]],"PAGO VENCIDO")</f>
        <v>0</v>
      </c>
      <c r="C1033" s="20">
        <f>+VLOOKUP(PROVEEDORES[[#This Row],[PROVEEDOR]],TERCEROS_INFO[#All],2,FALSE)</f>
        <v>30</v>
      </c>
      <c r="D1033" s="25">
        <f>+SUMIFS(PROVEEDORES[Total],PROVEEDORES[PROVEEDOR],PROVEEDORES[[#This Row],[PROVEEDOR]],PROVEEDORES[FECHA DE PAGO],"")</f>
        <v>0</v>
      </c>
      <c r="E1033" s="25"/>
      <c r="F103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33" s="68">
        <v>44907</v>
      </c>
      <c r="H1033" s="26" t="s">
        <v>623</v>
      </c>
      <c r="I1033" s="68">
        <v>44896</v>
      </c>
      <c r="J1033" s="35" t="s">
        <v>1334</v>
      </c>
      <c r="K1033" s="21">
        <v>791781</v>
      </c>
      <c r="L1033" s="21"/>
      <c r="M1033" s="22">
        <f>(PROVEEDORES[[#This Row],[SUBTOTAL]]-PROVEEDORES[[#This Row],[descuento sobre subtotal]])*VLOOKUP(PROVEEDORES[[#This Row],[PROVEEDOR]],TERCEROS_INFO[#All],3,FALSE)</f>
        <v>150438.39000000001</v>
      </c>
      <c r="N1033" s="23"/>
      <c r="O1033" s="22">
        <f>+PROVEEDORES[[#This Row],[Descuento sobre subtotal %]]*(PROVEEDORES[[#This Row],[SUBTOTAL]]-PROVEEDORES[[#This Row],[descuento sobre subtotal]])</f>
        <v>0</v>
      </c>
      <c r="P1033" s="74">
        <v>0</v>
      </c>
      <c r="Q1033" s="22">
        <f>+PROVEEDORES[[#This Row],[Rete Fuente %]]*(PROVEEDORES[[#This Row],[SUBTOTAL]]-PROVEEDORES[[#This Row],[descuento sobre subtotal]])</f>
        <v>0</v>
      </c>
      <c r="R103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33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63">
        <f ca="1">IF(PROVEEDORES[[#This Row],[FECHA DE PAGO]]=0,TODAY()-PROVEEDORES[[#This Row],[FECHA DE FACTURACIÓN]]-PROVEEDORES[[#This Row],[PLAZO Días]],0)</f>
        <v>0</v>
      </c>
      <c r="U1033" s="104" t="str">
        <f>+VLOOKUP(PROVEEDORES[[#This Row],[PROVEEDOR]],Terceros!$A:$D,4,FALSE)</f>
        <v>4% sin base</v>
      </c>
      <c r="V1033" s="105">
        <f>+YEAR(PROVEEDORES[[#This Row],[FECHA DE FACTURACIÓN]])</f>
        <v>2022</v>
      </c>
      <c r="W1033" s="105">
        <f>+MATCH(PROVEEDORES[[#This Row],[año facturado]],Retenciones!$1:$1,0)</f>
        <v>5</v>
      </c>
      <c r="X1033" s="106">
        <f>+VLOOKUP(PROVEEDORES[[#This Row],[ID RETENCION]],Retenciones!$A$1:$O$25,PROVEEDORES[[#This Row],[indicador de columna]],FALSE)</f>
        <v>0</v>
      </c>
      <c r="Y1033" s="107">
        <f>+VLOOKUP(PROVEEDORES[[#This Row],[ID RETENCION]],Retenciones!$A$1:$O$25,2,FALSE)</f>
        <v>0.04</v>
      </c>
      <c r="Z1033" s="116" t="b">
        <f>OR(COUNTIF(PROVEEDORES[[#This Row],[PROVEEDOR]],"*"&amp;'Palabra no opera'!$A$2&amp;"*"))</f>
        <v>1</v>
      </c>
    </row>
    <row r="1034" spans="1:26" ht="22.35" customHeight="1" x14ac:dyDescent="0.3">
      <c r="A1034" s="247" t="str">
        <f>+IF(PROVEEDORES[[#This Row],[FECHA DE PAGO]]=PROVEEDORES[[#This Row],[FECHA DE FACTURACIÓN]],"DE CONTADO","CRÉDITO")</f>
        <v>CRÉDITO</v>
      </c>
      <c r="B1034" s="38" t="b">
        <f>+IF((PROVEEDORES[[#This Row],[FECHA DE PAGO]]-PROVEEDORES[[#This Row],[FECHA DE FACTURACIÓN]])&gt;PROVEEDORES[[#This Row],[PLAZO Días]],"PAGO VENCIDO")</f>
        <v>0</v>
      </c>
      <c r="C1034" s="20">
        <f>+VLOOKUP(PROVEEDORES[[#This Row],[PROVEEDOR]],TERCEROS_INFO[#All],2,FALSE)</f>
        <v>30</v>
      </c>
      <c r="D1034" s="25">
        <f>+SUMIFS(PROVEEDORES[Total],PROVEEDORES[PROVEEDOR],PROVEEDORES[[#This Row],[PROVEEDOR]],PROVEEDORES[FECHA DE PAGO],"")</f>
        <v>0</v>
      </c>
      <c r="E1034" s="25"/>
      <c r="F103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34" s="68">
        <v>44907</v>
      </c>
      <c r="H1034" s="26" t="s">
        <v>623</v>
      </c>
      <c r="I1034" s="68">
        <v>44896</v>
      </c>
      <c r="J1034" s="35" t="s">
        <v>1335</v>
      </c>
      <c r="K1034" s="21">
        <v>3294426</v>
      </c>
      <c r="L1034" s="21"/>
      <c r="M1034" s="22">
        <f>(PROVEEDORES[[#This Row],[SUBTOTAL]]-PROVEEDORES[[#This Row],[descuento sobre subtotal]])*VLOOKUP(PROVEEDORES[[#This Row],[PROVEEDOR]],TERCEROS_INFO[#All],3,FALSE)</f>
        <v>625940.94000000006</v>
      </c>
      <c r="N1034" s="23"/>
      <c r="O1034" s="22">
        <f>+PROVEEDORES[[#This Row],[Descuento sobre subtotal %]]*(PROVEEDORES[[#This Row],[SUBTOTAL]]-PROVEEDORES[[#This Row],[descuento sobre subtotal]])</f>
        <v>0</v>
      </c>
      <c r="P1034" s="74">
        <v>0</v>
      </c>
      <c r="Q1034" s="22">
        <f>+PROVEEDORES[[#This Row],[Rete Fuente %]]*(PROVEEDORES[[#This Row],[SUBTOTAL]]-PROVEEDORES[[#This Row],[descuento sobre subtotal]])</f>
        <v>0</v>
      </c>
      <c r="R103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034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63">
        <f ca="1">IF(PROVEEDORES[[#This Row],[FECHA DE PAGO]]=0,TODAY()-PROVEEDORES[[#This Row],[FECHA DE FACTURACIÓN]]-PROVEEDORES[[#This Row],[PLAZO Días]],0)</f>
        <v>0</v>
      </c>
      <c r="U1034" s="104" t="str">
        <f>+VLOOKUP(PROVEEDORES[[#This Row],[PROVEEDOR]],Terceros!$A:$D,4,FALSE)</f>
        <v>4% sin base</v>
      </c>
      <c r="V1034" s="105">
        <f>+YEAR(PROVEEDORES[[#This Row],[FECHA DE FACTURACIÓN]])</f>
        <v>2022</v>
      </c>
      <c r="W1034" s="105">
        <f>+MATCH(PROVEEDORES[[#This Row],[año facturado]],Retenciones!$1:$1,0)</f>
        <v>5</v>
      </c>
      <c r="X1034" s="106">
        <f>+VLOOKUP(PROVEEDORES[[#This Row],[ID RETENCION]],Retenciones!$A$1:$O$25,PROVEEDORES[[#This Row],[indicador de columna]],FALSE)</f>
        <v>0</v>
      </c>
      <c r="Y1034" s="107">
        <f>+VLOOKUP(PROVEEDORES[[#This Row],[ID RETENCION]],Retenciones!$A$1:$O$25,2,FALSE)</f>
        <v>0.04</v>
      </c>
      <c r="Z1034" s="116" t="b">
        <f>OR(COUNTIF(PROVEEDORES[[#This Row],[PROVEEDOR]],"*"&amp;'Palabra no opera'!$A$2&amp;"*"))</f>
        <v>1</v>
      </c>
    </row>
    <row r="1035" spans="1:26" ht="22.35" customHeight="1" x14ac:dyDescent="0.3">
      <c r="A1035" s="247" t="str">
        <f>+IF(PROVEEDORES[[#This Row],[FECHA DE PAGO]]=PROVEEDORES[[#This Row],[FECHA DE FACTURACIÓN]],"DE CONTADO","CRÉDITO")</f>
        <v>CRÉDITO</v>
      </c>
      <c r="B1035" s="38" t="b">
        <f>+IF((PROVEEDORES[[#This Row],[FECHA DE PAGO]]-PROVEEDORES[[#This Row],[FECHA DE FACTURACIÓN]])&gt;PROVEEDORES[[#This Row],[PLAZO Días]],"PAGO VENCIDO")</f>
        <v>0</v>
      </c>
      <c r="C1035" s="20">
        <f>+VLOOKUP(PROVEEDORES[[#This Row],[PROVEEDOR]],TERCEROS_INFO[#All],2,FALSE)</f>
        <v>30</v>
      </c>
      <c r="D1035" s="25">
        <f>+SUMIFS(PROVEEDORES[Total],PROVEEDORES[PROVEEDOR],PROVEEDORES[[#This Row],[PROVEEDOR]],PROVEEDORES[FECHA DE PAGO],"")</f>
        <v>0</v>
      </c>
      <c r="E1035" s="25"/>
      <c r="F103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035" s="68">
        <v>44907</v>
      </c>
      <c r="H1035" s="26" t="s">
        <v>967</v>
      </c>
      <c r="I1035" s="68">
        <v>44900</v>
      </c>
      <c r="J1035" s="35" t="s">
        <v>1336</v>
      </c>
      <c r="K1035" s="21">
        <v>327000</v>
      </c>
      <c r="L1035" s="21"/>
      <c r="M1035" s="22">
        <f>(PROVEEDORES[[#This Row],[SUBTOTAL]]-PROVEEDORES[[#This Row],[descuento sobre subtotal]])*VLOOKUP(PROVEEDORES[[#This Row],[PROVEEDOR]],TERCEROS_INFO[#All],3,FALSE)</f>
        <v>0</v>
      </c>
      <c r="N1035" s="23"/>
      <c r="O1035" s="22">
        <f>+PROVEEDORES[[#This Row],[Descuento sobre subtotal %]]*(PROVEEDORES[[#This Row],[SUBTOTAL]]-PROVEEDORES[[#This Row],[descuento sobre subtotal]])</f>
        <v>0</v>
      </c>
      <c r="P1035" s="74">
        <f>+IF(PROVEEDORES[[#This Row],[SUBTOTAL]]&lt;PROVEEDORES[[#This Row],[base retencion]],0,PROVEEDORES[[#This Row],[retención aplicada]])</f>
        <v>0.01</v>
      </c>
      <c r="Q1035" s="22">
        <f>+PROVEEDORES[[#This Row],[Rete Fuente %]]*(PROVEEDORES[[#This Row],[SUBTOTAL]]-PROVEEDORES[[#This Row],[descuento sobre subtotal]])</f>
        <v>3270</v>
      </c>
      <c r="R1035" s="21">
        <f>+PROVEEDORES[[#This Row],[SUBTOTAL]]+PROVEEDORES[[#This Row],[IVA 19%]]-PROVEEDORES[[#This Row],[descuento sobre subtotal]]-PROVEEDORES[[#This Row],[Descuento sobre subtotal $2]]-PROVEEDORES[[#This Row],[Rete Fuente $]]</f>
        <v>323730</v>
      </c>
      <c r="S1035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63">
        <f ca="1">IF(PROVEEDORES[[#This Row],[FECHA DE PAGO]]=0,TODAY()-PROVEEDORES[[#This Row],[FECHA DE FACTURACIÓN]]-PROVEEDORES[[#This Row],[PLAZO Días]],0)</f>
        <v>0</v>
      </c>
      <c r="U1035" s="104" t="str">
        <f>+VLOOKUP(PROVEEDORES[[#This Row],[PROVEEDOR]],Terceros!$A:$D,4,FALSE)</f>
        <v>1% con base</v>
      </c>
      <c r="V1035" s="105">
        <f>+YEAR(PROVEEDORES[[#This Row],[FECHA DE FACTURACIÓN]])</f>
        <v>2022</v>
      </c>
      <c r="W1035" s="105">
        <f>+MATCH(PROVEEDORES[[#This Row],[año facturado]],Retenciones!$1:$1,0)</f>
        <v>5</v>
      </c>
      <c r="X1035" s="106">
        <f>+VLOOKUP(PROVEEDORES[[#This Row],[ID RETENCION]],Retenciones!$A$1:$O$25,PROVEEDORES[[#This Row],[indicador de columna]],FALSE)</f>
        <v>152000</v>
      </c>
      <c r="Y1035" s="107">
        <f>+VLOOKUP(PROVEEDORES[[#This Row],[ID RETENCION]],Retenciones!$A$1:$O$25,2,FALSE)</f>
        <v>0.01</v>
      </c>
      <c r="Z1035" s="116" t="b">
        <f>OR(COUNTIF(PROVEEDORES[[#This Row],[PROVEEDOR]],"*"&amp;'Palabra no opera'!$A$2&amp;"*"))</f>
        <v>0</v>
      </c>
    </row>
    <row r="1036" spans="1:26" ht="22.35" customHeight="1" x14ac:dyDescent="0.3">
      <c r="A1036" s="232" t="str">
        <f>+IF(PROVEEDORES[[#This Row],[FECHA DE PAGO]]=PROVEEDORES[[#This Row],[FECHA DE FACTURACIÓN]],"DE CONTADO","CRÉDITO")</f>
        <v>CRÉDITO</v>
      </c>
      <c r="B1036" s="38" t="str">
        <f>+IF((PROVEEDORES[[#This Row],[FECHA DE PAGO]]-PROVEEDORES[[#This Row],[FECHA DE FACTURACIÓN]])&gt;PROVEEDORES[[#This Row],[PLAZO Días]],"PAGO VENCIDO")</f>
        <v>PAGO VENCIDO</v>
      </c>
      <c r="C1036" s="20">
        <f>+VLOOKUP(PROVEEDORES[[#This Row],[PROVEEDOR]],TERCEROS_INFO[#All],2,FALSE)</f>
        <v>30</v>
      </c>
      <c r="D1036" s="25">
        <f>+SUMIFS(PROVEEDORES[Total],PROVEEDORES[PROVEEDOR],PROVEEDORES[[#This Row],[PROVEEDOR]],PROVEEDORES[FECHA DE PAGO],"")</f>
        <v>0</v>
      </c>
      <c r="E1036" s="25"/>
      <c r="F1036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036" s="68">
        <v>44907</v>
      </c>
      <c r="H1036" s="231" t="s">
        <v>47</v>
      </c>
      <c r="I1036" s="68">
        <v>44867</v>
      </c>
      <c r="J1036" s="245" t="s">
        <v>1247</v>
      </c>
      <c r="K1036" s="21">
        <v>947395</v>
      </c>
      <c r="L1036" s="21"/>
      <c r="M1036" s="22">
        <f>(PROVEEDORES[[#This Row],[SUBTOTAL]]-PROVEEDORES[[#This Row],[descuento sobre subtotal]])*VLOOKUP(PROVEEDORES[[#This Row],[PROVEEDOR]],TERCEROS_INFO[#All],3,FALSE)</f>
        <v>180005.05</v>
      </c>
      <c r="N1036" s="23"/>
      <c r="O1036" s="22">
        <f>+PROVEEDORES[[#This Row],[Descuento sobre subtotal %]]*(PROVEEDORES[[#This Row],[SUBTOTAL]]-PROVEEDORES[[#This Row],[descuento sobre subtotal]])</f>
        <v>0</v>
      </c>
      <c r="P1036" s="74">
        <f>+IF(PROVEEDORES[[#This Row],[SUBTOTAL]]&lt;PROVEEDORES[[#This Row],[base retencion]],0,PROVEEDORES[[#This Row],[retención aplicada]])</f>
        <v>0</v>
      </c>
      <c r="Q1036" s="22">
        <f>+PROVEEDORES[[#This Row],[Rete Fuente %]]*(PROVEEDORES[[#This Row],[SUBTOTAL]]-PROVEEDORES[[#This Row],[descuento sobre subtotal]])</f>
        <v>0</v>
      </c>
      <c r="R1036" s="21">
        <f>+PROVEEDORES[[#This Row],[SUBTOTAL]]+PROVEEDORES[[#This Row],[IVA 19%]]-PROVEEDORES[[#This Row],[descuento sobre subtotal]]-PROVEEDORES[[#This Row],[Descuento sobre subtotal $2]]-PROVEEDORES[[#This Row],[Rete Fuente $]]</f>
        <v>1127400.05</v>
      </c>
      <c r="S1036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63">
        <f ca="1">IF(PROVEEDORES[[#This Row],[FECHA DE PAGO]]=0,TODAY()-PROVEEDORES[[#This Row],[FECHA DE FACTURACIÓN]]-PROVEEDORES[[#This Row],[PLAZO Días]],0)</f>
        <v>0</v>
      </c>
      <c r="U1036" s="104" t="str">
        <f>+VLOOKUP(PROVEEDORES[[#This Row],[PROVEEDOR]],Terceros!$A:$D,4,FALSE)</f>
        <v>2,5% con base</v>
      </c>
      <c r="V1036" s="105">
        <f>+YEAR(PROVEEDORES[[#This Row],[FECHA DE FACTURACIÓN]])</f>
        <v>2022</v>
      </c>
      <c r="W1036" s="105">
        <f>+MATCH(PROVEEDORES[[#This Row],[año facturado]],Retenciones!$1:$1,0)</f>
        <v>5</v>
      </c>
      <c r="X1036" s="106">
        <f>+VLOOKUP(PROVEEDORES[[#This Row],[ID RETENCION]],Retenciones!$A$1:$O$25,PROVEEDORES[[#This Row],[indicador de columna]],FALSE)</f>
        <v>1026000</v>
      </c>
      <c r="Y1036" s="107">
        <f>+VLOOKUP(PROVEEDORES[[#This Row],[ID RETENCION]],Retenciones!$A$1:$O$25,2,FALSE)</f>
        <v>2.5000000000000001E-2</v>
      </c>
      <c r="Z1036" s="116" t="b">
        <f>OR(COUNTIF(PROVEEDORES[[#This Row],[PROVEEDOR]],"*"&amp;'Palabra no opera'!$A$2&amp;"*"))</f>
        <v>0</v>
      </c>
    </row>
    <row r="1037" spans="1:26" ht="22.35" customHeight="1" x14ac:dyDescent="0.3">
      <c r="A1037" s="247" t="str">
        <f>+IF(PROVEEDORES[[#This Row],[FECHA DE PAGO]]=PROVEEDORES[[#This Row],[FECHA DE FACTURACIÓN]],"DE CONTADO","CRÉDITO")</f>
        <v>CRÉDITO</v>
      </c>
      <c r="B1037" s="38" t="b">
        <f>+IF((PROVEEDORES[[#This Row],[FECHA DE PAGO]]-PROVEEDORES[[#This Row],[FECHA DE FACTURACIÓN]])&gt;PROVEEDORES[[#This Row],[PLAZO Días]],"PAGO VENCIDO")</f>
        <v>0</v>
      </c>
      <c r="C1037" s="20">
        <f>+VLOOKUP(PROVEEDORES[[#This Row],[PROVEEDOR]],TERCEROS_INFO[#All],2,FALSE)</f>
        <v>30</v>
      </c>
      <c r="D1037" s="25">
        <f>+SUMIFS(PROVEEDORES[Total],PROVEEDORES[PROVEEDOR],PROVEEDORES[[#This Row],[PROVEEDOR]],PROVEEDORES[FECHA DE PAGO],"")</f>
        <v>0</v>
      </c>
      <c r="E1037" s="25"/>
      <c r="F1037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037" s="68">
        <v>44907</v>
      </c>
      <c r="H1037" s="26" t="s">
        <v>628</v>
      </c>
      <c r="I1037" s="68">
        <v>44896</v>
      </c>
      <c r="J1037" s="35" t="s">
        <v>1333</v>
      </c>
      <c r="K1037" s="21">
        <v>1649859</v>
      </c>
      <c r="L1037" s="21"/>
      <c r="M1037" s="22">
        <f>(PROVEEDORES[[#This Row],[SUBTOTAL]]-PROVEEDORES[[#This Row],[descuento sobre subtotal]])*VLOOKUP(PROVEEDORES[[#This Row],[PROVEEDOR]],TERCEROS_INFO[#All],3,FALSE)</f>
        <v>0</v>
      </c>
      <c r="N1037" s="23"/>
      <c r="O1037" s="22">
        <v>80632</v>
      </c>
      <c r="P1037" s="74">
        <f>+IF(PROVEEDORES[[#This Row],[SUBTOTAL]]&lt;PROVEEDORES[[#This Row],[base retencion]],0,PROVEEDORES[[#This Row],[retención aplicada]])</f>
        <v>0</v>
      </c>
      <c r="Q1037" s="22">
        <f>+PROVEEDORES[[#This Row],[Rete Fuente %]]*(PROVEEDORES[[#This Row],[SUBTOTAL]]-PROVEEDORES[[#This Row],[descuento sobre subtotal]])</f>
        <v>0</v>
      </c>
      <c r="R1037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037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63">
        <f ca="1">IF(PROVEEDORES[[#This Row],[FECHA DE PAGO]]=0,TODAY()-PROVEEDORES[[#This Row],[FECHA DE FACTURACIÓN]]-PROVEEDORES[[#This Row],[PLAZO Días]],0)</f>
        <v>0</v>
      </c>
      <c r="U1037" s="104">
        <f>+VLOOKUP(PROVEEDORES[[#This Row],[PROVEEDOR]],Terceros!$A:$D,4,FALSE)</f>
        <v>0</v>
      </c>
      <c r="V1037" s="105">
        <f>+YEAR(PROVEEDORES[[#This Row],[FECHA DE FACTURACIÓN]])</f>
        <v>2022</v>
      </c>
      <c r="W1037" s="105">
        <f>+MATCH(PROVEEDORES[[#This Row],[año facturado]],Retenciones!$1:$1,0)</f>
        <v>5</v>
      </c>
      <c r="X1037" s="106">
        <f>+VLOOKUP(PROVEEDORES[[#This Row],[ID RETENCION]],Retenciones!$A$1:$O$25,PROVEEDORES[[#This Row],[indicador de columna]],FALSE)</f>
        <v>0</v>
      </c>
      <c r="Y1037" s="107">
        <f>+VLOOKUP(PROVEEDORES[[#This Row],[ID RETENCION]],Retenciones!$A$1:$O$25,2,FALSE)</f>
        <v>0</v>
      </c>
      <c r="Z1037" s="116" t="b">
        <f>OR(COUNTIF(PROVEEDORES[[#This Row],[PROVEEDOR]],"*"&amp;'Palabra no opera'!$A$2&amp;"*"))</f>
        <v>1</v>
      </c>
    </row>
    <row r="1038" spans="1:26" ht="22.35" customHeight="1" x14ac:dyDescent="0.3">
      <c r="A1038" s="247" t="str">
        <f>+IF(PROVEEDORES[[#This Row],[FECHA DE PAGO]]=PROVEEDORES[[#This Row],[FECHA DE FACTURACIÓN]],"DE CONTADO","CRÉDITO")</f>
        <v>DE CONTADO</v>
      </c>
      <c r="B1038" s="38" t="b">
        <f>+IF((PROVEEDORES[[#This Row],[FECHA DE PAGO]]-PROVEEDORES[[#This Row],[FECHA DE FACTURACIÓN]])&gt;PROVEEDORES[[#This Row],[PLAZO Días]],"PAGO VENCIDO")</f>
        <v>0</v>
      </c>
      <c r="C1038" s="20">
        <f>+VLOOKUP(PROVEEDORES[[#This Row],[PROVEEDOR]],TERCEROS_INFO[#All],2,FALSE)</f>
        <v>30</v>
      </c>
      <c r="D1038" s="25">
        <f>+SUMIFS(PROVEEDORES[Total],PROVEEDORES[PROVEEDOR],PROVEEDORES[[#This Row],[PROVEEDOR]],PROVEEDORES[FECHA DE PAGO],"")</f>
        <v>0</v>
      </c>
      <c r="E1038" s="25"/>
      <c r="F103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038" s="68">
        <v>44907</v>
      </c>
      <c r="H1038" s="26" t="s">
        <v>227</v>
      </c>
      <c r="I1038" s="68">
        <v>44907</v>
      </c>
      <c r="J1038" s="35" t="s">
        <v>1340</v>
      </c>
      <c r="K1038" s="21">
        <v>1640000</v>
      </c>
      <c r="L1038" s="21"/>
      <c r="M1038" s="22">
        <f>(PROVEEDORES[[#This Row],[SUBTOTAL]]-PROVEEDORES[[#This Row],[descuento sobre subtotal]])*VLOOKUP(PROVEEDORES[[#This Row],[PROVEEDOR]],TERCEROS_INFO[#All],3,FALSE)</f>
        <v>0</v>
      </c>
      <c r="N1038" s="23"/>
      <c r="O1038" s="22">
        <f>+PROVEEDORES[[#This Row],[Descuento sobre subtotal %]]*(PROVEEDORES[[#This Row],[SUBTOTAL]]-PROVEEDORES[[#This Row],[descuento sobre subtotal]])</f>
        <v>0</v>
      </c>
      <c r="P1038" s="74">
        <f>+IF(PROVEEDORES[[#This Row],[SUBTOTAL]]&lt;PROVEEDORES[[#This Row],[base retencion]],0,PROVEEDORES[[#This Row],[retención aplicada]])</f>
        <v>0</v>
      </c>
      <c r="Q1038" s="22">
        <f>+PROVEEDORES[[#This Row],[Rete Fuente %]]*(PROVEEDORES[[#This Row],[SUBTOTAL]]-PROVEEDORES[[#This Row],[descuento sobre subtotal]])</f>
        <v>0</v>
      </c>
      <c r="R1038" s="21">
        <f>+PROVEEDORES[[#This Row],[SUBTOTAL]]+PROVEEDORES[[#This Row],[IVA 19%]]-PROVEEDORES[[#This Row],[descuento sobre subtotal]]-PROVEEDORES[[#This Row],[Descuento sobre subtotal $2]]-PROVEEDORES[[#This Row],[Rete Fuente $]]</f>
        <v>1640000</v>
      </c>
      <c r="S1038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63">
        <f ca="1">IF(PROVEEDORES[[#This Row],[FECHA DE PAGO]]=0,TODAY()-PROVEEDORES[[#This Row],[FECHA DE FACTURACIÓN]]-PROVEEDORES[[#This Row],[PLAZO Días]],0)</f>
        <v>0</v>
      </c>
      <c r="U1038" s="104">
        <f>+VLOOKUP(PROVEEDORES[[#This Row],[PROVEEDOR]],Terceros!$A:$D,4,FALSE)</f>
        <v>0</v>
      </c>
      <c r="V1038" s="105">
        <f>+YEAR(PROVEEDORES[[#This Row],[FECHA DE FACTURACIÓN]])</f>
        <v>2022</v>
      </c>
      <c r="W1038" s="105">
        <f>+MATCH(PROVEEDORES[[#This Row],[año facturado]],Retenciones!$1:$1,0)</f>
        <v>5</v>
      </c>
      <c r="X1038" s="106">
        <f>+VLOOKUP(PROVEEDORES[[#This Row],[ID RETENCION]],Retenciones!$A$1:$O$25,PROVEEDORES[[#This Row],[indicador de columna]],FALSE)</f>
        <v>0</v>
      </c>
      <c r="Y1038" s="107">
        <f>+VLOOKUP(PROVEEDORES[[#This Row],[ID RETENCION]],Retenciones!$A$1:$O$25,2,FALSE)</f>
        <v>0</v>
      </c>
      <c r="Z1038" s="116" t="b">
        <f>OR(COUNTIF(PROVEEDORES[[#This Row],[PROVEEDOR]],"*"&amp;'Palabra no opera'!$A$2&amp;"*"))</f>
        <v>0</v>
      </c>
    </row>
    <row r="1039" spans="1:26" ht="22.35" customHeight="1" x14ac:dyDescent="0.3">
      <c r="A1039" s="67" t="str">
        <f>+IF(PROVEEDORES[[#This Row],[FECHA DE PAGO]]=PROVEEDORES[[#This Row],[FECHA DE FACTURACIÓN]],"DE CONTADO","CRÉDITO")</f>
        <v>CRÉDITO</v>
      </c>
      <c r="B1039" s="38" t="str">
        <f>+IF((PROVEEDORES[[#This Row],[FECHA DE PAGO]]-PROVEEDORES[[#This Row],[FECHA DE FACTURACIÓN]])&gt;PROVEEDORES[[#This Row],[PLAZO Días]],"PAGO VENCIDO")</f>
        <v>PAGO VENCIDO</v>
      </c>
      <c r="C1039" s="20">
        <f>+VLOOKUP(PROVEEDORES[[#This Row],[PROVEEDOR]],TERCEROS_INFO[#All],2,FALSE)</f>
        <v>30</v>
      </c>
      <c r="D1039" s="25">
        <f>+SUMIFS(PROVEEDORES[Total],PROVEEDORES[PROVEEDOR],PROVEEDORES[[#This Row],[PROVEEDOR]],PROVEEDORES[FECHA DE PAGO],"")</f>
        <v>0</v>
      </c>
      <c r="E1039" s="25"/>
      <c r="F1039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39" s="68">
        <v>44907</v>
      </c>
      <c r="H1039" s="231" t="s">
        <v>76</v>
      </c>
      <c r="I1039" s="68">
        <v>44809</v>
      </c>
      <c r="J1039" s="245" t="s">
        <v>1191</v>
      </c>
      <c r="K1039" s="21">
        <v>9538645</v>
      </c>
      <c r="L1039" s="21"/>
      <c r="M1039" s="22">
        <f>(PROVEEDORES[[#This Row],[SUBTOTAL]]-PROVEEDORES[[#This Row],[descuento sobre subtotal]])*VLOOKUP(PROVEEDORES[[#This Row],[PROVEEDOR]],TERCEROS_INFO[#All],3,FALSE)</f>
        <v>1812342.55</v>
      </c>
      <c r="N1039" s="23"/>
      <c r="O1039" s="22">
        <f>+PROVEEDORES[[#This Row],[Descuento sobre subtotal %]]*(PROVEEDORES[[#This Row],[SUBTOTAL]]-PROVEEDORES[[#This Row],[descuento sobre subtotal]])</f>
        <v>0</v>
      </c>
      <c r="P1039" s="74">
        <f>+IF(PROVEEDORES[[#This Row],[SUBTOTAL]]&lt;PROVEEDORES[[#This Row],[base retencion]],0,PROVEEDORES[[#This Row],[retención aplicada]])</f>
        <v>2.5000000000000001E-2</v>
      </c>
      <c r="Q1039" s="22">
        <f>+PROVEEDORES[[#This Row],[Rete Fuente %]]*(PROVEEDORES[[#This Row],[SUBTOTAL]]-PROVEEDORES[[#This Row],[descuento sobre subtotal]])</f>
        <v>238466.125</v>
      </c>
      <c r="R1039" s="21">
        <f>+PROVEEDORES[[#This Row],[SUBTOTAL]]+PROVEEDORES[[#This Row],[IVA 19%]]-PROVEEDORES[[#This Row],[descuento sobre subtotal]]-PROVEEDORES[[#This Row],[Descuento sobre subtotal $2]]-PROVEEDORES[[#This Row],[Rete Fuente $]]</f>
        <v>11112521.425000001</v>
      </c>
      <c r="S103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63">
        <f ca="1">IF(PROVEEDORES[[#This Row],[FECHA DE PAGO]]=0,TODAY()-PROVEEDORES[[#This Row],[FECHA DE FACTURACIÓN]]-PROVEEDORES[[#This Row],[PLAZO Días]],0)</f>
        <v>0</v>
      </c>
      <c r="U1039" s="104" t="str">
        <f>+VLOOKUP(PROVEEDORES[[#This Row],[PROVEEDOR]],Terceros!$A:$D,4,FALSE)</f>
        <v>2,5% con base</v>
      </c>
      <c r="V1039" s="105">
        <f>+YEAR(PROVEEDORES[[#This Row],[FECHA DE FACTURACIÓN]])</f>
        <v>2022</v>
      </c>
      <c r="W1039" s="105">
        <f>+MATCH(PROVEEDORES[[#This Row],[año facturado]],Retenciones!$1:$1,0)</f>
        <v>5</v>
      </c>
      <c r="X1039" s="106">
        <f>+VLOOKUP(PROVEEDORES[[#This Row],[ID RETENCION]],Retenciones!$A$1:$O$25,PROVEEDORES[[#This Row],[indicador de columna]],FALSE)</f>
        <v>1026000</v>
      </c>
      <c r="Y1039" s="107">
        <f>+VLOOKUP(PROVEEDORES[[#This Row],[ID RETENCION]],Retenciones!$A$1:$O$25,2,FALSE)</f>
        <v>2.5000000000000001E-2</v>
      </c>
      <c r="Z1039" s="116" t="b">
        <f>OR(COUNTIF(PROVEEDORES[[#This Row],[PROVEEDOR]],"*"&amp;'Palabra no opera'!$A$2&amp;"*"))</f>
        <v>0</v>
      </c>
    </row>
    <row r="1040" spans="1:26" ht="22.35" customHeight="1" x14ac:dyDescent="0.3">
      <c r="A1040" s="247" t="str">
        <f>+IF(PROVEEDORES[[#This Row],[FECHA DE PAGO]]=PROVEEDORES[[#This Row],[FECHA DE FACTURACIÓN]],"DE CONTADO","CRÉDITO")</f>
        <v>CRÉDITO</v>
      </c>
      <c r="B1040" s="38" t="b">
        <f>+IF((PROVEEDORES[[#This Row],[FECHA DE PAGO]]-PROVEEDORES[[#This Row],[FECHA DE FACTURACIÓN]])&gt;PROVEEDORES[[#This Row],[PLAZO Días]],"PAGO VENCIDO")</f>
        <v>0</v>
      </c>
      <c r="C1040" s="20">
        <f>+VLOOKUP(PROVEEDORES[[#This Row],[PROVEEDOR]],TERCEROS_INFO[#All],2,FALSE)</f>
        <v>30</v>
      </c>
      <c r="D1040" s="25">
        <f>+SUMIFS(PROVEEDORES[Total],PROVEEDORES[PROVEEDOR],PROVEEDORES[[#This Row],[PROVEEDOR]],PROVEEDORES[FECHA DE PAGO],"")</f>
        <v>352505.48</v>
      </c>
      <c r="E1040" s="25"/>
      <c r="F1040" s="56" t="str">
        <f>+VLOOKUP(PROVEEDORES[[#This Row],[PROVEEDOR]],
                       Terceros!$A:$F,
                       5,
                       FALSE)</f>
        <v>facturacion@losmolinos.com.co</v>
      </c>
      <c r="G1040" s="68">
        <v>44907</v>
      </c>
      <c r="H1040" s="26" t="s">
        <v>650</v>
      </c>
      <c r="I1040" s="68">
        <v>44896</v>
      </c>
      <c r="J1040" s="35">
        <v>70025</v>
      </c>
      <c r="K1040" s="21">
        <v>284467</v>
      </c>
      <c r="L1040" s="21">
        <v>8523</v>
      </c>
      <c r="M1040" s="22">
        <f>(PROVEEDORES[[#This Row],[SUBTOTAL]]-PROVEEDORES[[#This Row],[descuento sobre subtotal]])*VLOOKUP(PROVEEDORES[[#This Row],[PROVEEDOR]],TERCEROS_INFO[#All],3,FALSE)</f>
        <v>0</v>
      </c>
      <c r="N1040" s="23"/>
      <c r="O1040" s="22">
        <f>+PROVEEDORES[[#This Row],[Descuento sobre subtotal %]]*(PROVEEDORES[[#This Row],[SUBTOTAL]]-PROVEEDORES[[#This Row],[descuento sobre subtotal]])</f>
        <v>0</v>
      </c>
      <c r="P1040" s="74">
        <f>+IF(PROVEEDORES[[#This Row],[SUBTOTAL]]&lt;PROVEEDORES[[#This Row],[base retencion]],0,PROVEEDORES[[#This Row],[retención aplicada]])</f>
        <v>0</v>
      </c>
      <c r="Q1040" s="22">
        <f>+PROVEEDORES[[#This Row],[Rete Fuente %]]*(PROVEEDORES[[#This Row],[SUBTOTAL]]-PROVEEDORES[[#This Row],[descuento sobre subtotal]])</f>
        <v>0</v>
      </c>
      <c r="R1040" s="21">
        <f>+PROVEEDORES[[#This Row],[SUBTOTAL]]+PROVEEDORES[[#This Row],[IVA 19%]]-PROVEEDORES[[#This Row],[descuento sobre subtotal]]-PROVEEDORES[[#This Row],[Descuento sobre subtotal $2]]-PROVEEDORES[[#This Row],[Rete Fuente $]]</f>
        <v>275944</v>
      </c>
      <c r="S1040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63">
        <f ca="1">IF(PROVEEDORES[[#This Row],[FECHA DE PAGO]]=0,TODAY()-PROVEEDORES[[#This Row],[FECHA DE FACTURACIÓN]]-PROVEEDORES[[#This Row],[PLAZO Días]],0)</f>
        <v>0</v>
      </c>
      <c r="U1040" s="104">
        <f>+VLOOKUP(PROVEEDORES[[#This Row],[PROVEEDOR]],Terceros!$A:$D,4,FALSE)</f>
        <v>0</v>
      </c>
      <c r="V1040" s="105">
        <f>+YEAR(PROVEEDORES[[#This Row],[FECHA DE FACTURACIÓN]])</f>
        <v>2022</v>
      </c>
      <c r="W1040" s="105">
        <f>+MATCH(PROVEEDORES[[#This Row],[año facturado]],Retenciones!$1:$1,0)</f>
        <v>5</v>
      </c>
      <c r="X1040" s="106">
        <f>+VLOOKUP(PROVEEDORES[[#This Row],[ID RETENCION]],Retenciones!$A$1:$O$25,PROVEEDORES[[#This Row],[indicador de columna]],FALSE)</f>
        <v>0</v>
      </c>
      <c r="Y1040" s="107">
        <f>+VLOOKUP(PROVEEDORES[[#This Row],[ID RETENCION]],Retenciones!$A$1:$O$25,2,FALSE)</f>
        <v>0</v>
      </c>
      <c r="Z1040" s="116" t="b">
        <f>OR(COUNTIF(PROVEEDORES[[#This Row],[PROVEEDOR]],"*"&amp;'Palabra no opera'!$A$2&amp;"*"))</f>
        <v>1</v>
      </c>
    </row>
    <row r="1041" spans="1:26" ht="22.35" customHeight="1" x14ac:dyDescent="0.3">
      <c r="A1041" s="247" t="str">
        <f>+IF(PROVEEDORES[[#This Row],[FECHA DE PAGO]]=PROVEEDORES[[#This Row],[FECHA DE FACTURACIÓN]],"DE CONTADO","CRÉDITO")</f>
        <v>CRÉDITO</v>
      </c>
      <c r="B1041" s="38" t="b">
        <f>+IF((PROVEEDORES[[#This Row],[FECHA DE PAGO]]-PROVEEDORES[[#This Row],[FECHA DE FACTURACIÓN]])&gt;PROVEEDORES[[#This Row],[PLAZO Días]],"PAGO VENCIDO")</f>
        <v>0</v>
      </c>
      <c r="C1041" s="20">
        <f>+VLOOKUP(PROVEEDORES[[#This Row],[PROVEEDOR]],TERCEROS_INFO[#All],2,FALSE)</f>
        <v>30</v>
      </c>
      <c r="D1041" s="25">
        <f>+SUMIFS(PROVEEDORES[Total],PROVEEDORES[PROVEEDOR],PROVEEDORES[[#This Row],[PROVEEDOR]],PROVEEDORES[FECHA DE PAGO],"")</f>
        <v>0</v>
      </c>
      <c r="E1041" s="25"/>
      <c r="F104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1" s="68">
        <v>44907</v>
      </c>
      <c r="H1041" s="26" t="s">
        <v>637</v>
      </c>
      <c r="I1041" s="68">
        <v>44896</v>
      </c>
      <c r="J1041" s="35" t="s">
        <v>1328</v>
      </c>
      <c r="K1041" s="21">
        <v>825349</v>
      </c>
      <c r="L1041" s="21"/>
      <c r="M1041" s="22">
        <f>(PROVEEDORES[[#This Row],[SUBTOTAL]]-PROVEEDORES[[#This Row],[descuento sobre subtotal]])*VLOOKUP(PROVEEDORES[[#This Row],[PROVEEDOR]],TERCEROS_INFO[#All],3,FALSE)</f>
        <v>0</v>
      </c>
      <c r="N1041" s="23"/>
      <c r="O1041" s="22">
        <f>+PROVEEDORES[[#This Row],[Descuento sobre subtotal %]]*(PROVEEDORES[[#This Row],[SUBTOTAL]]-PROVEEDORES[[#This Row],[descuento sobre subtotal]])</f>
        <v>0</v>
      </c>
      <c r="P1041" s="74">
        <f>+IF(PROVEEDORES[[#This Row],[SUBTOTAL]]&lt;PROVEEDORES[[#This Row],[base retencion]],0,PROVEEDORES[[#This Row],[retención aplicada]])</f>
        <v>0</v>
      </c>
      <c r="Q1041" s="22">
        <f>+PROVEEDORES[[#This Row],[Rete Fuente %]]*(PROVEEDORES[[#This Row],[SUBTOTAL]]-PROVEEDORES[[#This Row],[descuento sobre subtotal]])</f>
        <v>0</v>
      </c>
      <c r="R104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1041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63">
        <f ca="1">IF(PROVEEDORES[[#This Row],[FECHA DE PAGO]]=0,TODAY()-PROVEEDORES[[#This Row],[FECHA DE FACTURACIÓN]]-PROVEEDORES[[#This Row],[PLAZO Días]],0)</f>
        <v>0</v>
      </c>
      <c r="U1041" s="104">
        <f>+VLOOKUP(PROVEEDORES[[#This Row],[PROVEEDOR]],Terceros!$A:$D,4,FALSE)</f>
        <v>0</v>
      </c>
      <c r="V1041" s="105">
        <f>+YEAR(PROVEEDORES[[#This Row],[FECHA DE FACTURACIÓN]])</f>
        <v>2022</v>
      </c>
      <c r="W1041" s="105">
        <f>+MATCH(PROVEEDORES[[#This Row],[año facturado]],Retenciones!$1:$1,0)</f>
        <v>5</v>
      </c>
      <c r="X1041" s="106">
        <f>+VLOOKUP(PROVEEDORES[[#This Row],[ID RETENCION]],Retenciones!$A$1:$O$25,PROVEEDORES[[#This Row],[indicador de columna]],FALSE)</f>
        <v>0</v>
      </c>
      <c r="Y1041" s="107">
        <f>+VLOOKUP(PROVEEDORES[[#This Row],[ID RETENCION]],Retenciones!$A$1:$O$25,2,FALSE)</f>
        <v>0</v>
      </c>
      <c r="Z1041" s="116" t="b">
        <f>OR(COUNTIF(PROVEEDORES[[#This Row],[PROVEEDOR]],"*"&amp;'Palabra no opera'!$A$2&amp;"*"))</f>
        <v>1</v>
      </c>
    </row>
    <row r="1042" spans="1:26" ht="22.35" customHeight="1" x14ac:dyDescent="0.3">
      <c r="A1042" s="247" t="str">
        <f>+IF(PROVEEDORES[[#This Row],[FECHA DE PAGO]]=PROVEEDORES[[#This Row],[FECHA DE FACTURACIÓN]],"DE CONTADO","CRÉDITO")</f>
        <v>CRÉDITO</v>
      </c>
      <c r="B1042" s="38" t="b">
        <f>+IF((PROVEEDORES[[#This Row],[FECHA DE PAGO]]-PROVEEDORES[[#This Row],[FECHA DE FACTURACIÓN]])&gt;PROVEEDORES[[#This Row],[PLAZO Días]],"PAGO VENCIDO")</f>
        <v>0</v>
      </c>
      <c r="C1042" s="20">
        <f>+VLOOKUP(PROVEEDORES[[#This Row],[PROVEEDOR]],TERCEROS_INFO[#All],2,FALSE)</f>
        <v>30</v>
      </c>
      <c r="D1042" s="25">
        <f>+SUMIFS(PROVEEDORES[Total],PROVEEDORES[PROVEEDOR],PROVEEDORES[[#This Row],[PROVEEDOR]],PROVEEDORES[FECHA DE PAGO],"")</f>
        <v>0</v>
      </c>
      <c r="E1042" s="25"/>
      <c r="F104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2" s="68">
        <v>44907</v>
      </c>
      <c r="H1042" s="26" t="s">
        <v>637</v>
      </c>
      <c r="I1042" s="68">
        <v>44896</v>
      </c>
      <c r="J1042" s="35" t="s">
        <v>1329</v>
      </c>
      <c r="K1042" s="21">
        <v>818875</v>
      </c>
      <c r="L1042" s="21"/>
      <c r="M1042" s="22">
        <f>(PROVEEDORES[[#This Row],[SUBTOTAL]]-PROVEEDORES[[#This Row],[descuento sobre subtotal]])*VLOOKUP(PROVEEDORES[[#This Row],[PROVEEDOR]],TERCEROS_INFO[#All],3,FALSE)</f>
        <v>0</v>
      </c>
      <c r="N1042" s="23"/>
      <c r="O1042" s="22">
        <f>+PROVEEDORES[[#This Row],[Descuento sobre subtotal %]]*(PROVEEDORES[[#This Row],[SUBTOTAL]]-PROVEEDORES[[#This Row],[descuento sobre subtotal]])</f>
        <v>0</v>
      </c>
      <c r="P1042" s="74">
        <f>+IF(PROVEEDORES[[#This Row],[SUBTOTAL]]&lt;PROVEEDORES[[#This Row],[base retencion]],0,PROVEEDORES[[#This Row],[retención aplicada]])</f>
        <v>0</v>
      </c>
      <c r="Q1042" s="22">
        <f>+PROVEEDORES[[#This Row],[Rete Fuente %]]*(PROVEEDORES[[#This Row],[SUBTOTAL]]-PROVEEDORES[[#This Row],[descuento sobre subtotal]])</f>
        <v>0</v>
      </c>
      <c r="R1042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1042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63">
        <f ca="1">IF(PROVEEDORES[[#This Row],[FECHA DE PAGO]]=0,TODAY()-PROVEEDORES[[#This Row],[FECHA DE FACTURACIÓN]]-PROVEEDORES[[#This Row],[PLAZO Días]],0)</f>
        <v>0</v>
      </c>
      <c r="U1042" s="104">
        <f>+VLOOKUP(PROVEEDORES[[#This Row],[PROVEEDOR]],Terceros!$A:$D,4,FALSE)</f>
        <v>0</v>
      </c>
      <c r="V1042" s="105">
        <f>+YEAR(PROVEEDORES[[#This Row],[FECHA DE FACTURACIÓN]])</f>
        <v>2022</v>
      </c>
      <c r="W1042" s="105">
        <f>+MATCH(PROVEEDORES[[#This Row],[año facturado]],Retenciones!$1:$1,0)</f>
        <v>5</v>
      </c>
      <c r="X1042" s="106">
        <f>+VLOOKUP(PROVEEDORES[[#This Row],[ID RETENCION]],Retenciones!$A$1:$O$25,PROVEEDORES[[#This Row],[indicador de columna]],FALSE)</f>
        <v>0</v>
      </c>
      <c r="Y1042" s="107">
        <f>+VLOOKUP(PROVEEDORES[[#This Row],[ID RETENCION]],Retenciones!$A$1:$O$25,2,FALSE)</f>
        <v>0</v>
      </c>
      <c r="Z1042" s="116" t="b">
        <f>OR(COUNTIF(PROVEEDORES[[#This Row],[PROVEEDOR]],"*"&amp;'Palabra no opera'!$A$2&amp;"*"))</f>
        <v>1</v>
      </c>
    </row>
    <row r="1043" spans="1:26" ht="22.35" customHeight="1" x14ac:dyDescent="0.3">
      <c r="A1043" s="247" t="str">
        <f>+IF(PROVEEDORES[[#This Row],[FECHA DE PAGO]]=PROVEEDORES[[#This Row],[FECHA DE FACTURACIÓN]],"DE CONTADO","CRÉDITO")</f>
        <v>CRÉDITO</v>
      </c>
      <c r="B1043" s="38" t="b">
        <f>+IF((PROVEEDORES[[#This Row],[FECHA DE PAGO]]-PROVEEDORES[[#This Row],[FECHA DE FACTURACIÓN]])&gt;PROVEEDORES[[#This Row],[PLAZO Días]],"PAGO VENCIDO")</f>
        <v>0</v>
      </c>
      <c r="C1043" s="20">
        <f>+VLOOKUP(PROVEEDORES[[#This Row],[PROVEEDOR]],TERCEROS_INFO[#All],2,FALSE)</f>
        <v>30</v>
      </c>
      <c r="D1043" s="25">
        <f>+SUMIFS(PROVEEDORES[Total],PROVEEDORES[PROVEEDOR],PROVEEDORES[[#This Row],[PROVEEDOR]],PROVEEDORES[FECHA DE PAGO],"")</f>
        <v>0</v>
      </c>
      <c r="E1043" s="25"/>
      <c r="F104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3" s="68">
        <v>44907</v>
      </c>
      <c r="H1043" s="26" t="s">
        <v>637</v>
      </c>
      <c r="I1043" s="68">
        <v>44896</v>
      </c>
      <c r="J1043" s="35" t="s">
        <v>1330</v>
      </c>
      <c r="K1043" s="21">
        <v>68166</v>
      </c>
      <c r="L1043" s="21"/>
      <c r="M1043" s="22">
        <f>(PROVEEDORES[[#This Row],[SUBTOTAL]]-PROVEEDORES[[#This Row],[descuento sobre subtotal]])*VLOOKUP(PROVEEDORES[[#This Row],[PROVEEDOR]],TERCEROS_INFO[#All],3,FALSE)</f>
        <v>0</v>
      </c>
      <c r="N1043" s="23"/>
      <c r="O1043" s="22">
        <f>+PROVEEDORES[[#This Row],[Descuento sobre subtotal %]]*(PROVEEDORES[[#This Row],[SUBTOTAL]]-PROVEEDORES[[#This Row],[descuento sobre subtotal]])</f>
        <v>0</v>
      </c>
      <c r="P1043" s="74">
        <f>+IF(PROVEEDORES[[#This Row],[SUBTOTAL]]&lt;PROVEEDORES[[#This Row],[base retencion]],0,PROVEEDORES[[#This Row],[retención aplicada]])</f>
        <v>0</v>
      </c>
      <c r="Q1043" s="22">
        <f>+PROVEEDORES[[#This Row],[Rete Fuente %]]*(PROVEEDORES[[#This Row],[SUBTOTAL]]-PROVEEDORES[[#This Row],[descuento sobre subtotal]])</f>
        <v>0</v>
      </c>
      <c r="R104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043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63">
        <f ca="1">IF(PROVEEDORES[[#This Row],[FECHA DE PAGO]]=0,TODAY()-PROVEEDORES[[#This Row],[FECHA DE FACTURACIÓN]]-PROVEEDORES[[#This Row],[PLAZO Días]],0)</f>
        <v>0</v>
      </c>
      <c r="U1043" s="104">
        <f>+VLOOKUP(PROVEEDORES[[#This Row],[PROVEEDOR]],Terceros!$A:$D,4,FALSE)</f>
        <v>0</v>
      </c>
      <c r="V1043" s="105">
        <f>+YEAR(PROVEEDORES[[#This Row],[FECHA DE FACTURACIÓN]])</f>
        <v>2022</v>
      </c>
      <c r="W1043" s="105">
        <f>+MATCH(PROVEEDORES[[#This Row],[año facturado]],Retenciones!$1:$1,0)</f>
        <v>5</v>
      </c>
      <c r="X1043" s="106">
        <f>+VLOOKUP(PROVEEDORES[[#This Row],[ID RETENCION]],Retenciones!$A$1:$O$25,PROVEEDORES[[#This Row],[indicador de columna]],FALSE)</f>
        <v>0</v>
      </c>
      <c r="Y1043" s="107">
        <f>+VLOOKUP(PROVEEDORES[[#This Row],[ID RETENCION]],Retenciones!$A$1:$O$25,2,FALSE)</f>
        <v>0</v>
      </c>
      <c r="Z1043" s="116" t="b">
        <f>OR(COUNTIF(PROVEEDORES[[#This Row],[PROVEEDOR]],"*"&amp;'Palabra no opera'!$A$2&amp;"*"))</f>
        <v>1</v>
      </c>
    </row>
    <row r="1044" spans="1:26" ht="22.35" customHeight="1" x14ac:dyDescent="0.3">
      <c r="A1044" s="247" t="str">
        <f>+IF(PROVEEDORES[[#This Row],[FECHA DE PAGO]]=PROVEEDORES[[#This Row],[FECHA DE FACTURACIÓN]],"DE CONTADO","CRÉDITO")</f>
        <v>CRÉDITO</v>
      </c>
      <c r="B1044" s="38" t="b">
        <f>+IF((PROVEEDORES[[#This Row],[FECHA DE PAGO]]-PROVEEDORES[[#This Row],[FECHA DE FACTURACIÓN]])&gt;PROVEEDORES[[#This Row],[PLAZO Días]],"PAGO VENCIDO")</f>
        <v>0</v>
      </c>
      <c r="C1044" s="20">
        <f>+VLOOKUP(PROVEEDORES[[#This Row],[PROVEEDOR]],TERCEROS_INFO[#All],2,FALSE)</f>
        <v>30</v>
      </c>
      <c r="D1044" s="25">
        <f>+SUMIFS(PROVEEDORES[Total],PROVEEDORES[PROVEEDOR],PROVEEDORES[[#This Row],[PROVEEDOR]],PROVEEDORES[FECHA DE PAGO],"")</f>
        <v>0</v>
      </c>
      <c r="E1044" s="25"/>
      <c r="F104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4" s="68">
        <v>44907</v>
      </c>
      <c r="H1044" s="26" t="s">
        <v>637</v>
      </c>
      <c r="I1044" s="68">
        <v>44896</v>
      </c>
      <c r="J1044" s="35" t="s">
        <v>1331</v>
      </c>
      <c r="K1044" s="21">
        <v>59583</v>
      </c>
      <c r="L1044" s="21"/>
      <c r="M1044" s="22">
        <f>(PROVEEDORES[[#This Row],[SUBTOTAL]]-PROVEEDORES[[#This Row],[descuento sobre subtotal]])*VLOOKUP(PROVEEDORES[[#This Row],[PROVEEDOR]],TERCEROS_INFO[#All],3,FALSE)</f>
        <v>0</v>
      </c>
      <c r="N1044" s="23"/>
      <c r="O1044" s="22">
        <f>+PROVEEDORES[[#This Row],[Descuento sobre subtotal %]]*(PROVEEDORES[[#This Row],[SUBTOTAL]]-PROVEEDORES[[#This Row],[descuento sobre subtotal]])</f>
        <v>0</v>
      </c>
      <c r="P1044" s="74">
        <f>+IF(PROVEEDORES[[#This Row],[SUBTOTAL]]&lt;PROVEEDORES[[#This Row],[base retencion]],0,PROVEEDORES[[#This Row],[retención aplicada]])</f>
        <v>0</v>
      </c>
      <c r="Q1044" s="22">
        <f>+PROVEEDORES[[#This Row],[Rete Fuente %]]*(PROVEEDORES[[#This Row],[SUBTOTAL]]-PROVEEDORES[[#This Row],[descuento sobre subtotal]])</f>
        <v>0</v>
      </c>
      <c r="R1044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044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63">
        <f ca="1">IF(PROVEEDORES[[#This Row],[FECHA DE PAGO]]=0,TODAY()-PROVEEDORES[[#This Row],[FECHA DE FACTURACIÓN]]-PROVEEDORES[[#This Row],[PLAZO Días]],0)</f>
        <v>0</v>
      </c>
      <c r="U1044" s="104">
        <f>+VLOOKUP(PROVEEDORES[[#This Row],[PROVEEDOR]],Terceros!$A:$D,4,FALSE)</f>
        <v>0</v>
      </c>
      <c r="V1044" s="105">
        <f>+YEAR(PROVEEDORES[[#This Row],[FECHA DE FACTURACIÓN]])</f>
        <v>2022</v>
      </c>
      <c r="W1044" s="105">
        <f>+MATCH(PROVEEDORES[[#This Row],[año facturado]],Retenciones!$1:$1,0)</f>
        <v>5</v>
      </c>
      <c r="X1044" s="106">
        <f>+VLOOKUP(PROVEEDORES[[#This Row],[ID RETENCION]],Retenciones!$A$1:$O$25,PROVEEDORES[[#This Row],[indicador de columna]],FALSE)</f>
        <v>0</v>
      </c>
      <c r="Y1044" s="107">
        <f>+VLOOKUP(PROVEEDORES[[#This Row],[ID RETENCION]],Retenciones!$A$1:$O$25,2,FALSE)</f>
        <v>0</v>
      </c>
      <c r="Z1044" s="116" t="b">
        <f>OR(COUNTIF(PROVEEDORES[[#This Row],[PROVEEDOR]],"*"&amp;'Palabra no opera'!$A$2&amp;"*"))</f>
        <v>1</v>
      </c>
    </row>
    <row r="1045" spans="1:26" ht="22.35" customHeight="1" x14ac:dyDescent="0.3">
      <c r="A1045" s="247" t="str">
        <f>+IF(PROVEEDORES[[#This Row],[FECHA DE PAGO]]=PROVEEDORES[[#This Row],[FECHA DE FACTURACIÓN]],"DE CONTADO","CRÉDITO")</f>
        <v>CRÉDITO</v>
      </c>
      <c r="B1045" s="38" t="b">
        <f>+IF((PROVEEDORES[[#This Row],[FECHA DE PAGO]]-PROVEEDORES[[#This Row],[FECHA DE FACTURACIÓN]])&gt;PROVEEDORES[[#This Row],[PLAZO Días]],"PAGO VENCIDO")</f>
        <v>0</v>
      </c>
      <c r="C1045" s="20">
        <f>+VLOOKUP(PROVEEDORES[[#This Row],[PROVEEDOR]],TERCEROS_INFO[#All],2,FALSE)</f>
        <v>30</v>
      </c>
      <c r="D1045" s="25">
        <f>+SUMIFS(PROVEEDORES[Total],PROVEEDORES[PROVEEDOR],PROVEEDORES[[#This Row],[PROVEEDOR]],PROVEEDORES[FECHA DE PAGO],"")</f>
        <v>0</v>
      </c>
      <c r="E1045" s="25"/>
      <c r="F1045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045" s="68">
        <v>44907</v>
      </c>
      <c r="H1045" s="26" t="s">
        <v>651</v>
      </c>
      <c r="I1045" s="68">
        <v>44896</v>
      </c>
      <c r="J1045" s="35" t="s">
        <v>1332</v>
      </c>
      <c r="K1045" s="21">
        <v>215356</v>
      </c>
      <c r="L1045" s="21"/>
      <c r="M1045" s="22">
        <f>(PROVEEDORES[[#This Row],[SUBTOTAL]]-PROVEEDORES[[#This Row],[descuento sobre subtotal]])*VLOOKUP(PROVEEDORES[[#This Row],[PROVEEDOR]],TERCEROS_INFO[#All],3,FALSE)</f>
        <v>40917.64</v>
      </c>
      <c r="N1045" s="23"/>
      <c r="O1045" s="22">
        <f>+PROVEEDORES[[#This Row],[Descuento sobre subtotal %]]*(PROVEEDORES[[#This Row],[SUBTOTAL]]-PROVEEDORES[[#This Row],[descuento sobre subtotal]])</f>
        <v>0</v>
      </c>
      <c r="P1045" s="74">
        <f>+IF(PROVEEDORES[[#This Row],[SUBTOTAL]]&lt;PROVEEDORES[[#This Row],[base retencion]],0,PROVEEDORES[[#This Row],[retención aplicada]])</f>
        <v>3.5000000000000003E-2</v>
      </c>
      <c r="Q1045" s="22">
        <f>+PROVEEDORES[[#This Row],[Rete Fuente %]]*(PROVEEDORES[[#This Row],[SUBTOTAL]]-PROVEEDORES[[#This Row],[descuento sobre subtotal]])</f>
        <v>7537.4600000000009</v>
      </c>
      <c r="R1045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1045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63">
        <f ca="1">IF(PROVEEDORES[[#This Row],[FECHA DE PAGO]]=0,TODAY()-PROVEEDORES[[#This Row],[FECHA DE FACTURACIÓN]]-PROVEEDORES[[#This Row],[PLAZO Días]],0)</f>
        <v>0</v>
      </c>
      <c r="U1045" s="104" t="str">
        <f>+VLOOKUP(PROVEEDORES[[#This Row],[PROVEEDOR]],Terceros!$A:$D,4,FALSE)</f>
        <v>3,5% sin base</v>
      </c>
      <c r="V1045" s="105">
        <f>+YEAR(PROVEEDORES[[#This Row],[FECHA DE FACTURACIÓN]])</f>
        <v>2022</v>
      </c>
      <c r="W1045" s="105">
        <f>+MATCH(PROVEEDORES[[#This Row],[año facturado]],Retenciones!$1:$1,0)</f>
        <v>5</v>
      </c>
      <c r="X1045" s="106">
        <f>+VLOOKUP(PROVEEDORES[[#This Row],[ID RETENCION]],Retenciones!$A$1:$O$25,PROVEEDORES[[#This Row],[indicador de columna]],FALSE)</f>
        <v>0</v>
      </c>
      <c r="Y1045" s="107">
        <f>+VLOOKUP(PROVEEDORES[[#This Row],[ID RETENCION]],Retenciones!$A$1:$O$25,2,FALSE)</f>
        <v>3.5000000000000003E-2</v>
      </c>
      <c r="Z1045" s="116" t="b">
        <f>OR(COUNTIF(PROVEEDORES[[#This Row],[PROVEEDOR]],"*"&amp;'Palabra no opera'!$A$2&amp;"*"))</f>
        <v>1</v>
      </c>
    </row>
    <row r="1046" spans="1:26" ht="22.35" customHeight="1" x14ac:dyDescent="0.3">
      <c r="A1046" s="247" t="str">
        <f>+IF(PROVEEDORES[[#This Row],[FECHA DE PAGO]]=PROVEEDORES[[#This Row],[FECHA DE FACTURACIÓN]],"DE CONTADO","CRÉDITO")</f>
        <v>CRÉDITO</v>
      </c>
      <c r="B1046" s="38" t="str">
        <f>+IF((PROVEEDORES[[#This Row],[FECHA DE PAGO]]-PROVEEDORES[[#This Row],[FECHA DE FACTURACIÓN]])&gt;PROVEEDORES[[#This Row],[PLAZO Días]],"PAGO VENCIDO")</f>
        <v>PAGO VENCIDO</v>
      </c>
      <c r="C1046" s="20">
        <f>+VLOOKUP(PROVEEDORES[[#This Row],[PROVEEDOR]],TERCEROS_INFO[#All],2,FALSE)</f>
        <v>10</v>
      </c>
      <c r="D1046" s="25">
        <f>+SUMIFS(PROVEEDORES[Total],PROVEEDORES[PROVEEDOR],PROVEEDORES[[#This Row],[PROVEEDOR]],PROVEEDORES[FECHA DE PAGO],"")</f>
        <v>0</v>
      </c>
      <c r="E1046" s="25"/>
      <c r="F1046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046" s="68">
        <v>44907</v>
      </c>
      <c r="H1046" s="26" t="s">
        <v>1202</v>
      </c>
      <c r="I1046" s="68">
        <v>44896</v>
      </c>
      <c r="J1046" s="35">
        <v>282</v>
      </c>
      <c r="K1046" s="21">
        <v>5628700</v>
      </c>
      <c r="L1046" s="21"/>
      <c r="M1046" s="22">
        <f>(PROVEEDORES[[#This Row],[SUBTOTAL]]-PROVEEDORES[[#This Row],[descuento sobre subtotal]])*VLOOKUP(PROVEEDORES[[#This Row],[PROVEEDOR]],TERCEROS_INFO[#All],3,FALSE)</f>
        <v>0</v>
      </c>
      <c r="N1046" s="23"/>
      <c r="O1046" s="22">
        <f>+PROVEEDORES[[#This Row],[Descuento sobre subtotal %]]*(PROVEEDORES[[#This Row],[SUBTOTAL]]-PROVEEDORES[[#This Row],[descuento sobre subtotal]])</f>
        <v>0</v>
      </c>
      <c r="P1046" s="74">
        <f>+IF(PROVEEDORES[[#This Row],[SUBTOTAL]]&lt;PROVEEDORES[[#This Row],[base retencion]],0,PROVEEDORES[[#This Row],[retención aplicada]])</f>
        <v>0</v>
      </c>
      <c r="Q1046" s="22">
        <f>+PROVEEDORES[[#This Row],[Rete Fuente %]]*(PROVEEDORES[[#This Row],[SUBTOTAL]]-PROVEEDORES[[#This Row],[descuento sobre subtotal]])</f>
        <v>0</v>
      </c>
      <c r="R1046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046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63">
        <f ca="1">IF(PROVEEDORES[[#This Row],[FECHA DE PAGO]]=0,TODAY()-PROVEEDORES[[#This Row],[FECHA DE FACTURACIÓN]]-PROVEEDORES[[#This Row],[PLAZO Días]],0)</f>
        <v>0</v>
      </c>
      <c r="U1046" s="104">
        <f>+VLOOKUP(PROVEEDORES[[#This Row],[PROVEEDOR]],Terceros!$A:$D,4,FALSE)</f>
        <v>0</v>
      </c>
      <c r="V1046" s="105">
        <f>+YEAR(PROVEEDORES[[#This Row],[FECHA DE FACTURACIÓN]])</f>
        <v>2022</v>
      </c>
      <c r="W1046" s="105">
        <f>+MATCH(PROVEEDORES[[#This Row],[año facturado]],Retenciones!$1:$1,0)</f>
        <v>5</v>
      </c>
      <c r="X1046" s="106">
        <f>+VLOOKUP(PROVEEDORES[[#This Row],[ID RETENCION]],Retenciones!$A$1:$O$25,PROVEEDORES[[#This Row],[indicador de columna]],FALSE)</f>
        <v>0</v>
      </c>
      <c r="Y1046" s="107">
        <f>+VLOOKUP(PROVEEDORES[[#This Row],[ID RETENCION]],Retenciones!$A$1:$O$25,2,FALSE)</f>
        <v>0</v>
      </c>
      <c r="Z1046" s="116" t="b">
        <f>OR(COUNTIF(PROVEEDORES[[#This Row],[PROVEEDOR]],"*"&amp;'Palabra no opera'!$A$2&amp;"*"))</f>
        <v>1</v>
      </c>
    </row>
    <row r="1047" spans="1:26" ht="22.35" customHeight="1" x14ac:dyDescent="0.3">
      <c r="A1047" s="67" t="str">
        <f>+IF(PROVEEDORES[[#This Row],[FECHA DE PAGO]]=PROVEEDORES[[#This Row],[FECHA DE FACTURACIÓN]],"DE CONTADO","CRÉDITO")</f>
        <v>CRÉDITO</v>
      </c>
      <c r="B1047" s="38" t="str">
        <f>+IF((PROVEEDORES[[#This Row],[FECHA DE PAGO]]-PROVEEDORES[[#This Row],[FECHA DE FACTURACIÓN]])&gt;PROVEEDORES[[#This Row],[PLAZO Días]],"PAGO VENCIDO")</f>
        <v>PAGO VENCIDO</v>
      </c>
      <c r="C1047" s="20">
        <f>+VLOOKUP(PROVEEDORES[[#This Row],[PROVEEDOR]],TERCEROS_INFO[#All],2,FALSE)</f>
        <v>0</v>
      </c>
      <c r="D1047" s="25">
        <f>+SUMIFS(PROVEEDORES[Total],PROVEEDORES[PROVEEDOR],PROVEEDORES[[#This Row],[PROVEEDOR]],PROVEEDORES[FECHA DE PAGO],"")</f>
        <v>0</v>
      </c>
      <c r="E1047" s="25"/>
      <c r="F1047" s="56" t="str">
        <f>+VLOOKUP(PROVEEDORES[[#This Row],[PROVEEDOR]],
                       Terceros!$A:$F,
                       5,
                       FALSE)</f>
        <v>contabilidad@comercialweb.com.co;info@servipilas.com</v>
      </c>
      <c r="G1047" s="68">
        <v>44908</v>
      </c>
      <c r="H1047" s="26" t="s">
        <v>649</v>
      </c>
      <c r="I1047" s="68">
        <v>44907</v>
      </c>
      <c r="J1047" s="35">
        <v>1461</v>
      </c>
      <c r="K1047" s="21">
        <v>600000</v>
      </c>
      <c r="L1047" s="21"/>
      <c r="M1047" s="22">
        <v>0</v>
      </c>
      <c r="N1047" s="23"/>
      <c r="O1047" s="22">
        <f>+PROVEEDORES[[#This Row],[Descuento sobre subtotal %]]*(PROVEEDORES[[#This Row],[SUBTOTAL]]-PROVEEDORES[[#This Row],[descuento sobre subtotal]])</f>
        <v>0</v>
      </c>
      <c r="P1047" s="74">
        <f>+IF(PROVEEDORES[[#This Row],[SUBTOTAL]]&lt;PROVEEDORES[[#This Row],[base retencion]],0,PROVEEDORES[[#This Row],[retención aplicada]])</f>
        <v>0</v>
      </c>
      <c r="Q1047" s="22">
        <f>+PROVEEDORES[[#This Row],[Rete Fuente %]]*(PROVEEDORES[[#This Row],[SUBTOTAL]]-PROVEEDORES[[#This Row],[descuento sobre subtotal]])</f>
        <v>0</v>
      </c>
      <c r="R1047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0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63">
        <f ca="1">IF(PROVEEDORES[[#This Row],[FECHA DE PAGO]]=0,TODAY()-PROVEEDORES[[#This Row],[FECHA DE FACTURACIÓN]]-PROVEEDORES[[#This Row],[PLAZO Días]],0)</f>
        <v>0</v>
      </c>
      <c r="U1047" s="104">
        <f>+VLOOKUP(PROVEEDORES[[#This Row],[PROVEEDOR]],Terceros!$A:$D,4,FALSE)</f>
        <v>0</v>
      </c>
      <c r="V1047" s="105">
        <f>+YEAR(PROVEEDORES[[#This Row],[FECHA DE FACTURACIÓN]])</f>
        <v>2022</v>
      </c>
      <c r="W1047" s="105">
        <f>+MATCH(PROVEEDORES[[#This Row],[año facturado]],Retenciones!$1:$1,0)</f>
        <v>5</v>
      </c>
      <c r="X1047" s="106">
        <f>+VLOOKUP(PROVEEDORES[[#This Row],[ID RETENCION]],Retenciones!$A$1:$O$25,PROVEEDORES[[#This Row],[indicador de columna]],FALSE)</f>
        <v>0</v>
      </c>
      <c r="Y1047" s="107">
        <f>+VLOOKUP(PROVEEDORES[[#This Row],[ID RETENCION]],Retenciones!$A$1:$O$25,2,FALSE)</f>
        <v>0</v>
      </c>
      <c r="Z1047" s="116" t="b">
        <f>OR(COUNTIF(PROVEEDORES[[#This Row],[PROVEEDOR]],"*"&amp;'Palabra no opera'!$A$2&amp;"*"))</f>
        <v>1</v>
      </c>
    </row>
    <row r="1048" spans="1:26" ht="22.35" customHeight="1" x14ac:dyDescent="0.3">
      <c r="A1048" s="249" t="str">
        <f>+IF(PROVEEDORES[[#This Row],[FECHA DE PAGO]]=PROVEEDORES[[#This Row],[FECHA DE FACTURACIÓN]],"DE CONTADO","CRÉDITO")</f>
        <v>DE CONTADO</v>
      </c>
      <c r="B1048" s="38" t="b">
        <f>+IF((PROVEEDORES[[#This Row],[FECHA DE PAGO]]-PROVEEDORES[[#This Row],[FECHA DE FACTURACIÓN]])&gt;PROVEEDORES[[#This Row],[PLAZO Días]],"PAGO VENCIDO")</f>
        <v>0</v>
      </c>
      <c r="C1048" s="20">
        <f>+VLOOKUP(PROVEEDORES[[#This Row],[PROVEEDOR]],TERCEROS_INFO[#All],2,FALSE)</f>
        <v>30</v>
      </c>
      <c r="D1048" s="25">
        <f>+SUMIFS(PROVEEDORES[Total],PROVEEDORES[PROVEEDOR],PROVEEDORES[[#This Row],[PROVEEDOR]],PROVEEDORES[FECHA DE PAGO],"")</f>
        <v>229206</v>
      </c>
      <c r="E1048" s="25"/>
      <c r="F104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048" s="68">
        <v>44908</v>
      </c>
      <c r="H1048" s="26" t="s">
        <v>95</v>
      </c>
      <c r="I1048" s="68">
        <v>44908</v>
      </c>
      <c r="J1048" s="35" t="s">
        <v>1344</v>
      </c>
      <c r="K1048" s="21">
        <v>1840000</v>
      </c>
      <c r="L1048" s="21"/>
      <c r="M1048" s="22">
        <f>(PROVEEDORES[[#This Row],[SUBTOTAL]]-PROVEEDORES[[#This Row],[descuento sobre subtotal]])*VLOOKUP(PROVEEDORES[[#This Row],[PROVEEDOR]],TERCEROS_INFO[#All],3,FALSE)</f>
        <v>0</v>
      </c>
      <c r="N1048" s="23"/>
      <c r="O1048" s="22">
        <f>+PROVEEDORES[[#This Row],[Descuento sobre subtotal %]]*(PROVEEDORES[[#This Row],[SUBTOTAL]]-PROVEEDORES[[#This Row],[descuento sobre subtotal]])</f>
        <v>0</v>
      </c>
      <c r="P1048" s="74">
        <f>+IF(PROVEEDORES[[#This Row],[SUBTOTAL]]&lt;PROVEEDORES[[#This Row],[base retencion]],0,PROVEEDORES[[#This Row],[retención aplicada]])</f>
        <v>0</v>
      </c>
      <c r="Q1048" s="22">
        <f>+PROVEEDORES[[#This Row],[Rete Fuente %]]*(PROVEEDORES[[#This Row],[SUBTOTAL]]-PROVEEDORES[[#This Row],[descuento sobre subtotal]])</f>
        <v>0</v>
      </c>
      <c r="R1048" s="21">
        <f>+PROVEEDORES[[#This Row],[SUBTOTAL]]+PROVEEDORES[[#This Row],[IVA 19%]]-PROVEEDORES[[#This Row],[descuento sobre subtotal]]-PROVEEDORES[[#This Row],[Descuento sobre subtotal $2]]-PROVEEDORES[[#This Row],[Rete Fuente $]]</f>
        <v>1840000</v>
      </c>
      <c r="S1048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63">
        <f ca="1">IF(PROVEEDORES[[#This Row],[FECHA DE PAGO]]=0,TODAY()-PROVEEDORES[[#This Row],[FECHA DE FACTURACIÓN]]-PROVEEDORES[[#This Row],[PLAZO Días]],0)</f>
        <v>0</v>
      </c>
      <c r="U1048" s="104">
        <f>+VLOOKUP(PROVEEDORES[[#This Row],[PROVEEDOR]],Terceros!$A:$D,4,FALSE)</f>
        <v>0</v>
      </c>
      <c r="V1048" s="105">
        <f>+YEAR(PROVEEDORES[[#This Row],[FECHA DE FACTURACIÓN]])</f>
        <v>2022</v>
      </c>
      <c r="W1048" s="105">
        <f>+MATCH(PROVEEDORES[[#This Row],[año facturado]],Retenciones!$1:$1,0)</f>
        <v>5</v>
      </c>
      <c r="X1048" s="106">
        <f>+VLOOKUP(PROVEEDORES[[#This Row],[ID RETENCION]],Retenciones!$A$1:$O$25,PROVEEDORES[[#This Row],[indicador de columna]],FALSE)</f>
        <v>0</v>
      </c>
      <c r="Y1048" s="107">
        <f>+VLOOKUP(PROVEEDORES[[#This Row],[ID RETENCION]],Retenciones!$A$1:$O$25,2,FALSE)</f>
        <v>0</v>
      </c>
      <c r="Z1048" s="116" t="b">
        <f>OR(COUNTIF(PROVEEDORES[[#This Row],[PROVEEDOR]],"*"&amp;'Palabra no opera'!$A$2&amp;"*"))</f>
        <v>0</v>
      </c>
    </row>
    <row r="1049" spans="1:26" ht="22.35" customHeight="1" x14ac:dyDescent="0.3">
      <c r="A1049" s="252" t="str">
        <f>+IF(PROVEEDORES[[#This Row],[FECHA DE PAGO]]=PROVEEDORES[[#This Row],[FECHA DE FACTURACIÓN]],"DE CONTADO","CRÉDITO")</f>
        <v>CRÉDITO</v>
      </c>
      <c r="B1049" s="38" t="b">
        <f>+IF((PROVEEDORES[[#This Row],[FECHA DE PAGO]]-PROVEEDORES[[#This Row],[FECHA DE FACTURACIÓN]])&gt;PROVEEDORES[[#This Row],[PLAZO Días]],"PAGO VENCIDO")</f>
        <v>0</v>
      </c>
      <c r="C1049" s="20">
        <f>+VLOOKUP(PROVEEDORES[[#This Row],[PROVEEDOR]],TERCEROS_INFO[#All],2,FALSE)</f>
        <v>30</v>
      </c>
      <c r="D1049" s="25">
        <f>+SUMIFS(PROVEEDORES[Total],PROVEEDORES[PROVEEDOR],PROVEEDORES[[#This Row],[PROVEEDOR]],PROVEEDORES[FECHA DE PAGO],"")</f>
        <v>2100000</v>
      </c>
      <c r="E1049" s="25"/>
      <c r="F1049" s="56" t="str">
        <f>+VLOOKUP(PROVEEDORES[[#This Row],[PROVEEDOR]],
                       Terceros!$A:$F,
                       5,
                       FALSE)</f>
        <v/>
      </c>
      <c r="G1049" s="68">
        <v>44909</v>
      </c>
      <c r="H1049" s="26" t="s">
        <v>349</v>
      </c>
      <c r="I1049" s="68">
        <v>44896</v>
      </c>
      <c r="J1049" s="35">
        <v>2664</v>
      </c>
      <c r="K1049" s="21">
        <v>500000</v>
      </c>
      <c r="L1049" s="21"/>
      <c r="M1049" s="22">
        <f>(PROVEEDORES[[#This Row],[SUBTOTAL]]-PROVEEDORES[[#This Row],[descuento sobre subtotal]])*VLOOKUP(PROVEEDORES[[#This Row],[PROVEEDOR]],TERCEROS_INFO[#All],3,FALSE)</f>
        <v>0</v>
      </c>
      <c r="N1049" s="23"/>
      <c r="O1049" s="22">
        <f>+PROVEEDORES[[#This Row],[Descuento sobre subtotal %]]*(PROVEEDORES[[#This Row],[SUBTOTAL]]-PROVEEDORES[[#This Row],[descuento sobre subtotal]])</f>
        <v>0</v>
      </c>
      <c r="P1049" s="74">
        <f>+IF(PROVEEDORES[[#This Row],[SUBTOTAL]]&lt;PROVEEDORES[[#This Row],[base retencion]],0,PROVEEDORES[[#This Row],[retención aplicada]])</f>
        <v>0</v>
      </c>
      <c r="Q1049" s="22">
        <f>+PROVEEDORES[[#This Row],[Rete Fuente %]]*(PROVEEDORES[[#This Row],[SUBTOTAL]]-PROVEEDORES[[#This Row],[descuento sobre subtotal]])</f>
        <v>0</v>
      </c>
      <c r="R1049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1049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63">
        <f ca="1">IF(PROVEEDORES[[#This Row],[FECHA DE PAGO]]=0,TODAY()-PROVEEDORES[[#This Row],[FECHA DE FACTURACIÓN]]-PROVEEDORES[[#This Row],[PLAZO Días]],0)</f>
        <v>0</v>
      </c>
      <c r="U1049" s="104">
        <f>+VLOOKUP(PROVEEDORES[[#This Row],[PROVEEDOR]],Terceros!$A:$D,4,FALSE)</f>
        <v>0</v>
      </c>
      <c r="V1049" s="105">
        <f>+YEAR(PROVEEDORES[[#This Row],[FECHA DE FACTURACIÓN]])</f>
        <v>2022</v>
      </c>
      <c r="W1049" s="105">
        <f>+MATCH(PROVEEDORES[[#This Row],[año facturado]],Retenciones!$1:$1,0)</f>
        <v>5</v>
      </c>
      <c r="X1049" s="106">
        <f>+VLOOKUP(PROVEEDORES[[#This Row],[ID RETENCION]],Retenciones!$A$1:$O$25,PROVEEDORES[[#This Row],[indicador de columna]],FALSE)</f>
        <v>0</v>
      </c>
      <c r="Y1049" s="107">
        <f>+VLOOKUP(PROVEEDORES[[#This Row],[ID RETENCION]],Retenciones!$A$1:$O$25,2,FALSE)</f>
        <v>0</v>
      </c>
      <c r="Z1049" s="116" t="b">
        <f>OR(COUNTIF(PROVEEDORES[[#This Row],[PROVEEDOR]],"*"&amp;'Palabra no opera'!$A$2&amp;"*"))</f>
        <v>0</v>
      </c>
    </row>
    <row r="1050" spans="1:26" ht="22.35" customHeight="1" x14ac:dyDescent="0.3">
      <c r="A1050" s="232" t="str">
        <f>+IF(PROVEEDORES[[#This Row],[FECHA DE PAGO]]=PROVEEDORES[[#This Row],[FECHA DE FACTURACIÓN]],"DE CONTADO","CRÉDITO")</f>
        <v>CRÉDITO</v>
      </c>
      <c r="B1050" s="38" t="str">
        <f>+IF((PROVEEDORES[[#This Row],[FECHA DE PAGO]]-PROVEEDORES[[#This Row],[FECHA DE FACTURACIÓN]])&gt;PROVEEDORES[[#This Row],[PLAZO Días]],"PAGO VENCIDO")</f>
        <v>PAGO VENCIDO</v>
      </c>
      <c r="C1050" s="20">
        <f>+VLOOKUP(PROVEEDORES[[#This Row],[PROVEEDOR]],TERCEROS_INFO[#All],2,FALSE)</f>
        <v>30</v>
      </c>
      <c r="D1050" s="25">
        <f>+SUMIFS(PROVEEDORES[Total],PROVEEDORES[PROVEEDOR],PROVEEDORES[[#This Row],[PROVEEDOR]],PROVEEDORES[FECHA DE PAGO],"")</f>
        <v>4248480.9550000001</v>
      </c>
      <c r="E1050" s="25"/>
      <c r="F1050" s="56" t="str">
        <f>+VLOOKUP(PROVEEDORES[[#This Row],[PROVEEDOR]],
                       Terceros!$A:$F,
                       5,
                       FALSE)</f>
        <v/>
      </c>
      <c r="G1050" s="68">
        <v>44909</v>
      </c>
      <c r="H1050" s="231" t="s">
        <v>78</v>
      </c>
      <c r="I1050" s="68">
        <v>44868</v>
      </c>
      <c r="J1050" s="245" t="s">
        <v>1250</v>
      </c>
      <c r="K1050" s="21">
        <v>3944780</v>
      </c>
      <c r="L1050" s="21"/>
      <c r="M1050" s="22">
        <f>(PROVEEDORES[[#This Row],[SUBTOTAL]]-PROVEEDORES[[#This Row],[descuento sobre subtotal]])*VLOOKUP(PROVEEDORES[[#This Row],[PROVEEDOR]],TERCEROS_INFO[#All],3,FALSE)</f>
        <v>749508.2</v>
      </c>
      <c r="N1050" s="23"/>
      <c r="O1050" s="22">
        <f>+PROVEEDORES[[#This Row],[Descuento sobre subtotal %]]*(PROVEEDORES[[#This Row],[SUBTOTAL]]-PROVEEDORES[[#This Row],[descuento sobre subtotal]])</f>
        <v>0</v>
      </c>
      <c r="P1050" s="74">
        <f>+IF(PROVEEDORES[[#This Row],[SUBTOTAL]]&lt;PROVEEDORES[[#This Row],[base retencion]],0,PROVEEDORES[[#This Row],[retención aplicada]])</f>
        <v>2.5000000000000001E-2</v>
      </c>
      <c r="Q1050" s="22">
        <f>+PROVEEDORES[[#This Row],[Rete Fuente %]]*(PROVEEDORES[[#This Row],[SUBTOTAL]]-PROVEEDORES[[#This Row],[descuento sobre subtotal]])</f>
        <v>98619.5</v>
      </c>
      <c r="R1050" s="21">
        <f>+PROVEEDORES[[#This Row],[SUBTOTAL]]+PROVEEDORES[[#This Row],[IVA 19%]]-PROVEEDORES[[#This Row],[descuento sobre subtotal]]-PROVEEDORES[[#This Row],[Descuento sobre subtotal $2]]-PROVEEDORES[[#This Row],[Rete Fuente $]]</f>
        <v>4595668.7</v>
      </c>
      <c r="S105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63">
        <f ca="1">IF(PROVEEDORES[[#This Row],[FECHA DE PAGO]]=0,TODAY()-PROVEEDORES[[#This Row],[FECHA DE FACTURACIÓN]]-PROVEEDORES[[#This Row],[PLAZO Días]],0)</f>
        <v>0</v>
      </c>
      <c r="U1050" s="104" t="str">
        <f>+VLOOKUP(PROVEEDORES[[#This Row],[PROVEEDOR]],Terceros!$A:$D,4,FALSE)</f>
        <v>2,5% con base</v>
      </c>
      <c r="V1050" s="105">
        <f>+YEAR(PROVEEDORES[[#This Row],[FECHA DE FACTURACIÓN]])</f>
        <v>2022</v>
      </c>
      <c r="W1050" s="105">
        <f>+MATCH(PROVEEDORES[[#This Row],[año facturado]],Retenciones!$1:$1,0)</f>
        <v>5</v>
      </c>
      <c r="X1050" s="106">
        <f>+VLOOKUP(PROVEEDORES[[#This Row],[ID RETENCION]],Retenciones!$A$1:$O$25,PROVEEDORES[[#This Row],[indicador de columna]],FALSE)</f>
        <v>1026000</v>
      </c>
      <c r="Y1050" s="107">
        <f>+VLOOKUP(PROVEEDORES[[#This Row],[ID RETENCION]],Retenciones!$A$1:$O$25,2,FALSE)</f>
        <v>2.5000000000000001E-2</v>
      </c>
      <c r="Z1050" s="116" t="b">
        <f>OR(COUNTIF(PROVEEDORES[[#This Row],[PROVEEDOR]],"*"&amp;'Palabra no opera'!$A$2&amp;"*"))</f>
        <v>0</v>
      </c>
    </row>
    <row r="1051" spans="1:26" ht="22.35" customHeight="1" x14ac:dyDescent="0.3">
      <c r="A1051" s="232" t="str">
        <f>+IF(PROVEEDORES[[#This Row],[FECHA DE PAGO]]=PROVEEDORES[[#This Row],[FECHA DE FACTURACIÓN]],"DE CONTADO","CRÉDITO")</f>
        <v>CRÉDITO</v>
      </c>
      <c r="B1051" s="38" t="str">
        <f>+IF((PROVEEDORES[[#This Row],[FECHA DE PAGO]]-PROVEEDORES[[#This Row],[FECHA DE FACTURACIÓN]])&gt;PROVEEDORES[[#This Row],[PLAZO Días]],"PAGO VENCIDO")</f>
        <v>PAGO VENCIDO</v>
      </c>
      <c r="C1051" s="20">
        <f>+VLOOKUP(PROVEEDORES[[#This Row],[PROVEEDOR]],TERCEROS_INFO[#All],2,FALSE)</f>
        <v>30</v>
      </c>
      <c r="D1051" s="25">
        <f>+SUMIFS(PROVEEDORES[Total],PROVEEDORES[PROVEEDOR],PROVEEDORES[[#This Row],[PROVEEDOR]],PROVEEDORES[FECHA DE PAGO],"")</f>
        <v>4248480.9550000001</v>
      </c>
      <c r="E1051" s="25"/>
      <c r="F1051" s="56" t="str">
        <f>+VLOOKUP(PROVEEDORES[[#This Row],[PROVEEDOR]],
                       Terceros!$A:$F,
                       5,
                       FALSE)</f>
        <v/>
      </c>
      <c r="G1051" s="68">
        <v>44909</v>
      </c>
      <c r="H1051" s="231" t="s">
        <v>78</v>
      </c>
      <c r="I1051" s="68">
        <v>44869</v>
      </c>
      <c r="J1051" s="245" t="s">
        <v>1267</v>
      </c>
      <c r="K1051" s="21">
        <v>901200</v>
      </c>
      <c r="L1051" s="21"/>
      <c r="M1051" s="22">
        <f>(PROVEEDORES[[#This Row],[SUBTOTAL]]-PROVEEDORES[[#This Row],[descuento sobre subtotal]])*VLOOKUP(PROVEEDORES[[#This Row],[PROVEEDOR]],TERCEROS_INFO[#All],3,FALSE)</f>
        <v>171228</v>
      </c>
      <c r="N1051" s="23"/>
      <c r="O1051" s="22">
        <f>+PROVEEDORES[[#This Row],[Descuento sobre subtotal %]]*(PROVEEDORES[[#This Row],[SUBTOTAL]]-PROVEEDORES[[#This Row],[descuento sobre subtotal]])</f>
        <v>0</v>
      </c>
      <c r="P1051" s="74">
        <f>+IF(PROVEEDORES[[#This Row],[SUBTOTAL]]&lt;PROVEEDORES[[#This Row],[base retencion]],0,PROVEEDORES[[#This Row],[retención aplicada]])</f>
        <v>0</v>
      </c>
      <c r="Q1051" s="22">
        <f>+PROVEEDORES[[#This Row],[Rete Fuente %]]*(PROVEEDORES[[#This Row],[SUBTOTAL]]-PROVEEDORES[[#This Row],[descuento sobre subtotal]])</f>
        <v>0</v>
      </c>
      <c r="R1051" s="21">
        <f>+PROVEEDORES[[#This Row],[SUBTOTAL]]+PROVEEDORES[[#This Row],[IVA 19%]]-PROVEEDORES[[#This Row],[descuento sobre subtotal]]-PROVEEDORES[[#This Row],[Descuento sobre subtotal $2]]-PROVEEDORES[[#This Row],[Rete Fuente $]]</f>
        <v>1072428</v>
      </c>
      <c r="S105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63">
        <f ca="1">IF(PROVEEDORES[[#This Row],[FECHA DE PAGO]]=0,TODAY()-PROVEEDORES[[#This Row],[FECHA DE FACTURACIÓN]]-PROVEEDORES[[#This Row],[PLAZO Días]],0)</f>
        <v>0</v>
      </c>
      <c r="U1051" s="104" t="str">
        <f>+VLOOKUP(PROVEEDORES[[#This Row],[PROVEEDOR]],Terceros!$A:$D,4,FALSE)</f>
        <v>2,5% con base</v>
      </c>
      <c r="V1051" s="105">
        <f>+YEAR(PROVEEDORES[[#This Row],[FECHA DE FACTURACIÓN]])</f>
        <v>2022</v>
      </c>
      <c r="W1051" s="105">
        <f>+MATCH(PROVEEDORES[[#This Row],[año facturado]],Retenciones!$1:$1,0)</f>
        <v>5</v>
      </c>
      <c r="X1051" s="106">
        <f>+VLOOKUP(PROVEEDORES[[#This Row],[ID RETENCION]],Retenciones!$A$1:$O$25,PROVEEDORES[[#This Row],[indicador de columna]],FALSE)</f>
        <v>1026000</v>
      </c>
      <c r="Y1051" s="107">
        <f>+VLOOKUP(PROVEEDORES[[#This Row],[ID RETENCION]],Retenciones!$A$1:$O$25,2,FALSE)</f>
        <v>2.5000000000000001E-2</v>
      </c>
      <c r="Z1051" s="116" t="b">
        <f>OR(COUNTIF(PROVEEDORES[[#This Row],[PROVEEDOR]],"*"&amp;'Palabra no opera'!$A$2&amp;"*"))</f>
        <v>0</v>
      </c>
    </row>
    <row r="1052" spans="1:26" ht="22.35" customHeight="1" x14ac:dyDescent="0.3">
      <c r="A1052" s="232" t="str">
        <f>+IF(PROVEEDORES[[#This Row],[FECHA DE PAGO]]=PROVEEDORES[[#This Row],[FECHA DE FACTURACIÓN]],"DE CONTADO","CRÉDITO")</f>
        <v>CRÉDITO</v>
      </c>
      <c r="B1052" s="38" t="str">
        <f>+IF((PROVEEDORES[[#This Row],[FECHA DE PAGO]]-PROVEEDORES[[#This Row],[FECHA DE FACTURACIÓN]])&gt;PROVEEDORES[[#This Row],[PLAZO Días]],"PAGO VENCIDO")</f>
        <v>PAGO VENCIDO</v>
      </c>
      <c r="C1052" s="20">
        <f>+VLOOKUP(PROVEEDORES[[#This Row],[PROVEEDOR]],TERCEROS_INFO[#All],2,FALSE)</f>
        <v>30</v>
      </c>
      <c r="D1052" s="25">
        <f>+SUMIFS(PROVEEDORES[Total],PROVEEDORES[PROVEEDOR],PROVEEDORES[[#This Row],[PROVEEDOR]],PROVEEDORES[FECHA DE PAGO],"")</f>
        <v>0</v>
      </c>
      <c r="E1052" s="25"/>
      <c r="F105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052" s="69">
        <v>44909</v>
      </c>
      <c r="H1052" s="231" t="s">
        <v>281</v>
      </c>
      <c r="I1052" s="68">
        <v>44853</v>
      </c>
      <c r="J1052" s="245" t="s">
        <v>1228</v>
      </c>
      <c r="K1052" s="21">
        <v>1120536</v>
      </c>
      <c r="L1052" s="21"/>
      <c r="M1052" s="22">
        <f>(PROVEEDORES[[#This Row],[SUBTOTAL]]-PROVEEDORES[[#This Row],[descuento sobre subtotal]])*VLOOKUP(PROVEEDORES[[#This Row],[PROVEEDOR]],TERCEROS_INFO[#All],3,FALSE)</f>
        <v>212901.84</v>
      </c>
      <c r="N1052" s="23"/>
      <c r="O1052" s="22">
        <f>+PROVEEDORES[[#This Row],[Descuento sobre subtotal %]]*(PROVEEDORES[[#This Row],[SUBTOTAL]]-PROVEEDORES[[#This Row],[descuento sobre subtotal]])</f>
        <v>0</v>
      </c>
      <c r="P1052" s="74">
        <f>+IF(PROVEEDORES[[#This Row],[SUBTOTAL]]&lt;PROVEEDORES[[#This Row],[base retencion]],0,PROVEEDORES[[#This Row],[retención aplicada]])</f>
        <v>0</v>
      </c>
      <c r="Q1052" s="22">
        <f>+PROVEEDORES[[#This Row],[Rete Fuente %]]*(PROVEEDORES[[#This Row],[SUBTOTAL]]-PROVEEDORES[[#This Row],[descuento sobre subtotal]])</f>
        <v>0</v>
      </c>
      <c r="R1052" s="21">
        <f>+PROVEEDORES[[#This Row],[SUBTOTAL]]+PROVEEDORES[[#This Row],[IVA 19%]]-PROVEEDORES[[#This Row],[descuento sobre subtotal]]-PROVEEDORES[[#This Row],[Descuento sobre subtotal $2]]-PROVEEDORES[[#This Row],[Rete Fuente $]]</f>
        <v>1333437.8400000001</v>
      </c>
      <c r="S105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63">
        <f ca="1">IF(PROVEEDORES[[#This Row],[FECHA DE PAGO]]=0,TODAY()-PROVEEDORES[[#This Row],[FECHA DE FACTURACIÓN]]-PROVEEDORES[[#This Row],[PLAZO Días]],0)</f>
        <v>0</v>
      </c>
      <c r="U1052" s="104">
        <f>+VLOOKUP(PROVEEDORES[[#This Row],[PROVEEDOR]],Terceros!$A:$D,4,FALSE)</f>
        <v>0</v>
      </c>
      <c r="V1052" s="105">
        <f>+YEAR(PROVEEDORES[[#This Row],[FECHA DE FACTURACIÓN]])</f>
        <v>2022</v>
      </c>
      <c r="W1052" s="105">
        <f>+MATCH(PROVEEDORES[[#This Row],[año facturado]],Retenciones!$1:$1,0)</f>
        <v>5</v>
      </c>
      <c r="X1052" s="106">
        <f>+VLOOKUP(PROVEEDORES[[#This Row],[ID RETENCION]],Retenciones!$A$1:$O$25,PROVEEDORES[[#This Row],[indicador de columna]],FALSE)</f>
        <v>0</v>
      </c>
      <c r="Y1052" s="107">
        <f>+VLOOKUP(PROVEEDORES[[#This Row],[ID RETENCION]],Retenciones!$A$1:$O$25,2,FALSE)</f>
        <v>0</v>
      </c>
      <c r="Z1052" s="116" t="b">
        <f>OR(COUNTIF(PROVEEDORES[[#This Row],[PROVEEDOR]],"*"&amp;'Palabra no opera'!$A$2&amp;"*"))</f>
        <v>0</v>
      </c>
    </row>
    <row r="1053" spans="1:26" ht="22.35" customHeight="1" x14ac:dyDescent="0.3">
      <c r="A1053" s="249" t="str">
        <f>+IF(PROVEEDORES[[#This Row],[FECHA DE PAGO]]=PROVEEDORES[[#This Row],[FECHA DE FACTURACIÓN]],"DE CONTADO","CRÉDITO")</f>
        <v>CRÉDITO</v>
      </c>
      <c r="B1053" s="38" t="b">
        <f>+IF((PROVEEDORES[[#This Row],[FECHA DE PAGO]]-PROVEEDORES[[#This Row],[FECHA DE FACTURACIÓN]])&gt;PROVEEDORES[[#This Row],[PLAZO Días]],"PAGO VENCIDO")</f>
        <v>0</v>
      </c>
      <c r="C1053" s="20">
        <f>+VLOOKUP(PROVEEDORES[[#This Row],[PROVEEDOR]],TERCEROS_INFO[#All],2,FALSE)</f>
        <v>30</v>
      </c>
      <c r="D1053" s="25">
        <f>+SUMIFS(PROVEEDORES[Total],PROVEEDORES[PROVEEDOR],PROVEEDORES[[#This Row],[PROVEEDOR]],PROVEEDORES[FECHA DE PAGO],"")</f>
        <v>0</v>
      </c>
      <c r="E1053" s="25"/>
      <c r="F1053" s="56">
        <f>+VLOOKUP(PROVEEDORES[[#This Row],[PROVEEDOR]],
                       Terceros!$A:$F,
                       5,
                       FALSE)</f>
        <v>0</v>
      </c>
      <c r="G1053" s="68">
        <v>44909</v>
      </c>
      <c r="H1053" s="26" t="s">
        <v>1350</v>
      </c>
      <c r="I1053" s="68">
        <v>44908</v>
      </c>
      <c r="J1053" s="35">
        <v>1902</v>
      </c>
      <c r="K1053" s="21">
        <v>907500</v>
      </c>
      <c r="L1053" s="21"/>
      <c r="M1053" s="22">
        <f>(PROVEEDORES[[#This Row],[SUBTOTAL]]-PROVEEDORES[[#This Row],[descuento sobre subtotal]])*VLOOKUP(PROVEEDORES[[#This Row],[PROVEEDOR]],TERCEROS_INFO[#All],3,FALSE)</f>
        <v>172425</v>
      </c>
      <c r="N1053" s="23"/>
      <c r="O1053" s="22">
        <f>+PROVEEDORES[[#This Row],[Descuento sobre subtotal %]]*(PROVEEDORES[[#This Row],[SUBTOTAL]]-PROVEEDORES[[#This Row],[descuento sobre subtotal]])</f>
        <v>0</v>
      </c>
      <c r="P1053" s="74">
        <f>+IF(PROVEEDORES[[#This Row],[SUBTOTAL]]&lt;PROVEEDORES[[#This Row],[base retencion]],0,PROVEEDORES[[#This Row],[retención aplicada]])</f>
        <v>0</v>
      </c>
      <c r="Q1053" s="22">
        <f>+PROVEEDORES[[#This Row],[Rete Fuente %]]*(PROVEEDORES[[#This Row],[SUBTOTAL]]-PROVEEDORES[[#This Row],[descuento sobre subtotal]])</f>
        <v>0</v>
      </c>
      <c r="R1053" s="21">
        <f>+PROVEEDORES[[#This Row],[SUBTOTAL]]+PROVEEDORES[[#This Row],[IVA 19%]]-PROVEEDORES[[#This Row],[descuento sobre subtotal]]-PROVEEDORES[[#This Row],[Descuento sobre subtotal $2]]-PROVEEDORES[[#This Row],[Rete Fuente $]]</f>
        <v>1079925</v>
      </c>
      <c r="S1053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63">
        <f ca="1">IF(PROVEEDORES[[#This Row],[FECHA DE PAGO]]=0,TODAY()-PROVEEDORES[[#This Row],[FECHA DE FACTURACIÓN]]-PROVEEDORES[[#This Row],[PLAZO Días]],0)</f>
        <v>0</v>
      </c>
      <c r="U1053" s="104" t="str">
        <f>+VLOOKUP(PROVEEDORES[[#This Row],[PROVEEDOR]],Terceros!$A:$D,4,FALSE)</f>
        <v>2,5% con base</v>
      </c>
      <c r="V1053" s="105">
        <f>+YEAR(PROVEEDORES[[#This Row],[FECHA DE FACTURACIÓN]])</f>
        <v>2022</v>
      </c>
      <c r="W1053" s="105">
        <f>+MATCH(PROVEEDORES[[#This Row],[año facturado]],Retenciones!$1:$1,0)</f>
        <v>5</v>
      </c>
      <c r="X1053" s="106">
        <f>+VLOOKUP(PROVEEDORES[[#This Row],[ID RETENCION]],Retenciones!$A$1:$O$25,PROVEEDORES[[#This Row],[indicador de columna]],FALSE)</f>
        <v>1026000</v>
      </c>
      <c r="Y1053" s="107">
        <f>+VLOOKUP(PROVEEDORES[[#This Row],[ID RETENCION]],Retenciones!$A$1:$O$25,2,FALSE)</f>
        <v>2.5000000000000001E-2</v>
      </c>
      <c r="Z1053" s="116" t="b">
        <f>OR(COUNTIF(PROVEEDORES[[#This Row],[PROVEEDOR]],"*"&amp;'Palabra no opera'!$A$2&amp;"*"))</f>
        <v>0</v>
      </c>
    </row>
    <row r="1054" spans="1:26" ht="22.35" customHeight="1" x14ac:dyDescent="0.3">
      <c r="A1054" s="249" t="str">
        <f>+IF(PROVEEDORES[[#This Row],[FECHA DE PAGO]]=PROVEEDORES[[#This Row],[FECHA DE FACTURACIÓN]],"DE CONTADO","CRÉDITO")</f>
        <v>DE CONTADO</v>
      </c>
      <c r="B1054" s="38" t="b">
        <f>+IF((PROVEEDORES[[#This Row],[FECHA DE PAGO]]-PROVEEDORES[[#This Row],[FECHA DE FACTURACIÓN]])&gt;PROVEEDORES[[#This Row],[PLAZO Días]],"PAGO VENCIDO")</f>
        <v>0</v>
      </c>
      <c r="C1054" s="20">
        <f>+VLOOKUP(PROVEEDORES[[#This Row],[PROVEEDOR]],TERCEROS_INFO[#All],2,FALSE)</f>
        <v>30</v>
      </c>
      <c r="D1054" s="25">
        <f>+SUMIFS(PROVEEDORES[Total],PROVEEDORES[PROVEEDOR],PROVEEDORES[[#This Row],[PROVEEDOR]],PROVEEDORES[FECHA DE PAGO],"")</f>
        <v>0</v>
      </c>
      <c r="E1054" s="25"/>
      <c r="F1054" s="56" t="str">
        <f>+VLOOKUP(PROVEEDORES[[#This Row],[PROVEEDOR]],
                       Terceros!$A:$F,
                       5,
                       FALSE)</f>
        <v/>
      </c>
      <c r="G1054" s="68">
        <v>44909</v>
      </c>
      <c r="H1054" s="26" t="s">
        <v>37</v>
      </c>
      <c r="I1054" s="68">
        <v>44909</v>
      </c>
      <c r="J1054" s="35">
        <v>29448</v>
      </c>
      <c r="K1054" s="21">
        <v>116490</v>
      </c>
      <c r="L1054" s="21"/>
      <c r="M1054" s="22">
        <f>(PROVEEDORES[[#This Row],[SUBTOTAL]]-PROVEEDORES[[#This Row],[descuento sobre subtotal]])*VLOOKUP(PROVEEDORES[[#This Row],[PROVEEDOR]],TERCEROS_INFO[#All],3,FALSE)</f>
        <v>22133.1</v>
      </c>
      <c r="N1054" s="23"/>
      <c r="O1054" s="22">
        <f>+PROVEEDORES[[#This Row],[Descuento sobre subtotal %]]*(PROVEEDORES[[#This Row],[SUBTOTAL]]-PROVEEDORES[[#This Row],[descuento sobre subtotal]])</f>
        <v>0</v>
      </c>
      <c r="P1054" s="74">
        <f>+IF(PROVEEDORES[[#This Row],[SUBTOTAL]]&lt;PROVEEDORES[[#This Row],[base retencion]],0,PROVEEDORES[[#This Row],[retención aplicada]])</f>
        <v>0</v>
      </c>
      <c r="Q1054" s="22">
        <f>+PROVEEDORES[[#This Row],[Rete Fuente %]]*(PROVEEDORES[[#This Row],[SUBTOTAL]]-PROVEEDORES[[#This Row],[descuento sobre subtotal]])</f>
        <v>0</v>
      </c>
      <c r="R1054" s="21">
        <f>+PROVEEDORES[[#This Row],[SUBTOTAL]]+PROVEEDORES[[#This Row],[IVA 19%]]-PROVEEDORES[[#This Row],[descuento sobre subtotal]]-PROVEEDORES[[#This Row],[Descuento sobre subtotal $2]]-PROVEEDORES[[#This Row],[Rete Fuente $]]</f>
        <v>138623.1</v>
      </c>
      <c r="S105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63">
        <f ca="1">IF(PROVEEDORES[[#This Row],[FECHA DE PAGO]]=0,TODAY()-PROVEEDORES[[#This Row],[FECHA DE FACTURACIÓN]]-PROVEEDORES[[#This Row],[PLAZO Días]],0)</f>
        <v>0</v>
      </c>
      <c r="U1054" s="104" t="str">
        <f>+VLOOKUP(PROVEEDORES[[#This Row],[PROVEEDOR]],Terceros!$A:$D,4,FALSE)</f>
        <v>2,5% con base</v>
      </c>
      <c r="V1054" s="105">
        <f>+YEAR(PROVEEDORES[[#This Row],[FECHA DE FACTURACIÓN]])</f>
        <v>2022</v>
      </c>
      <c r="W1054" s="105">
        <f>+MATCH(PROVEEDORES[[#This Row],[año facturado]],Retenciones!$1:$1,0)</f>
        <v>5</v>
      </c>
      <c r="X1054" s="106">
        <f>+VLOOKUP(PROVEEDORES[[#This Row],[ID RETENCION]],Retenciones!$A$1:$O$25,PROVEEDORES[[#This Row],[indicador de columna]],FALSE)</f>
        <v>1026000</v>
      </c>
      <c r="Y1054" s="107">
        <f>+VLOOKUP(PROVEEDORES[[#This Row],[ID RETENCION]],Retenciones!$A$1:$O$25,2,FALSE)</f>
        <v>2.5000000000000001E-2</v>
      </c>
      <c r="Z1054" s="116" t="b">
        <f>OR(COUNTIF(PROVEEDORES[[#This Row],[PROVEEDOR]],"*"&amp;'Palabra no opera'!$A$2&amp;"*"))</f>
        <v>0</v>
      </c>
    </row>
    <row r="1055" spans="1:26" ht="22.35" customHeight="1" x14ac:dyDescent="0.3">
      <c r="A1055" s="252" t="str">
        <f>+IF(PROVEEDORES[[#This Row],[FECHA DE PAGO]]=PROVEEDORES[[#This Row],[FECHA DE FACTURACIÓN]],"DE CONTADO","CRÉDITO")</f>
        <v>CRÉDITO</v>
      </c>
      <c r="B1055" s="38" t="b">
        <f>+IF((PROVEEDORES[[#This Row],[FECHA DE PAGO]]-PROVEEDORES[[#This Row],[FECHA DE FACTURACIÓN]])&gt;PROVEEDORES[[#This Row],[PLAZO Días]],"PAGO VENCIDO")</f>
        <v>0</v>
      </c>
      <c r="C1055" s="20">
        <f>+VLOOKUP(PROVEEDORES[[#This Row],[PROVEEDOR]],TERCEROS_INFO[#All],2,FALSE)</f>
        <v>30</v>
      </c>
      <c r="D1055" s="25">
        <f>+SUMIFS(PROVEEDORES[Total],PROVEEDORES[PROVEEDOR],PROVEEDORES[[#This Row],[PROVEEDOR]],PROVEEDORES[FECHA DE PAGO],"")</f>
        <v>0</v>
      </c>
      <c r="E1055" s="25"/>
      <c r="F1055" s="56" t="str">
        <f>+VLOOKUP(PROVEEDORES[[#This Row],[PROVEEDOR]],
                       Terceros!$A:$F,
                       5,
                       FALSE)</f>
        <v/>
      </c>
      <c r="G1055" s="68">
        <v>44910</v>
      </c>
      <c r="H1055" s="26" t="s">
        <v>356</v>
      </c>
      <c r="I1055" s="68">
        <v>44907</v>
      </c>
      <c r="J1055" s="35" t="s">
        <v>1365</v>
      </c>
      <c r="K1055" s="21">
        <v>2020000</v>
      </c>
      <c r="L1055" s="21"/>
      <c r="M1055" s="22">
        <f>(PROVEEDORES[[#This Row],[SUBTOTAL]]-PROVEEDORES[[#This Row],[descuento sobre subtotal]])*VLOOKUP(PROVEEDORES[[#This Row],[PROVEEDOR]],TERCEROS_INFO[#All],3,FALSE)</f>
        <v>0</v>
      </c>
      <c r="N1055" s="23"/>
      <c r="O1055" s="22">
        <f>+PROVEEDORES[[#This Row],[Descuento sobre subtotal %]]*(PROVEEDORES[[#This Row],[SUBTOTAL]]-PROVEEDORES[[#This Row],[descuento sobre subtotal]])</f>
        <v>0</v>
      </c>
      <c r="P1055" s="74">
        <f>+IF(PROVEEDORES[[#This Row],[SUBTOTAL]]&lt;PROVEEDORES[[#This Row],[base retencion]],0,PROVEEDORES[[#This Row],[retención aplicada]])</f>
        <v>0</v>
      </c>
      <c r="Q1055" s="22">
        <f>+PROVEEDORES[[#This Row],[Rete Fuente %]]*(PROVEEDORES[[#This Row],[SUBTOTAL]]-PROVEEDORES[[#This Row],[descuento sobre subtotal]])</f>
        <v>0</v>
      </c>
      <c r="R1055" s="21">
        <f>+PROVEEDORES[[#This Row],[SUBTOTAL]]+PROVEEDORES[[#This Row],[IVA 19%]]-PROVEEDORES[[#This Row],[descuento sobre subtotal]]-PROVEEDORES[[#This Row],[Descuento sobre subtotal $2]]-PROVEEDORES[[#This Row],[Rete Fuente $]]</f>
        <v>2020000</v>
      </c>
      <c r="S1055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63">
        <f ca="1">IF(PROVEEDORES[[#This Row],[FECHA DE PAGO]]=0,TODAY()-PROVEEDORES[[#This Row],[FECHA DE FACTURACIÓN]]-PROVEEDORES[[#This Row],[PLAZO Días]],0)</f>
        <v>0</v>
      </c>
      <c r="U1055" s="104">
        <f>+VLOOKUP(PROVEEDORES[[#This Row],[PROVEEDOR]],Terceros!$A:$D,4,FALSE)</f>
        <v>0</v>
      </c>
      <c r="V1055" s="105">
        <f>+YEAR(PROVEEDORES[[#This Row],[FECHA DE FACTURACIÓN]])</f>
        <v>2022</v>
      </c>
      <c r="W1055" s="105">
        <f>+MATCH(PROVEEDORES[[#This Row],[año facturado]],Retenciones!$1:$1,0)</f>
        <v>5</v>
      </c>
      <c r="X1055" s="106">
        <f>+VLOOKUP(PROVEEDORES[[#This Row],[ID RETENCION]],Retenciones!$A$1:$O$25,PROVEEDORES[[#This Row],[indicador de columna]],FALSE)</f>
        <v>0</v>
      </c>
      <c r="Y1055" s="107">
        <f>+VLOOKUP(PROVEEDORES[[#This Row],[ID RETENCION]],Retenciones!$A$1:$O$25,2,FALSE)</f>
        <v>0</v>
      </c>
      <c r="Z1055" s="116" t="b">
        <f>OR(COUNTIF(PROVEEDORES[[#This Row],[PROVEEDOR]],"*"&amp;'Palabra no opera'!$A$2&amp;"*"))</f>
        <v>0</v>
      </c>
    </row>
    <row r="1056" spans="1:26" ht="22.35" customHeight="1" x14ac:dyDescent="0.3">
      <c r="A1056" s="252" t="str">
        <f>+IF(PROVEEDORES[[#This Row],[FECHA DE PAGO]]=PROVEEDORES[[#This Row],[FECHA DE FACTURACIÓN]],"DE CONTADO","CRÉDITO")</f>
        <v>CRÉDITO</v>
      </c>
      <c r="B1056" s="38" t="b">
        <f>+IF((PROVEEDORES[[#This Row],[FECHA DE PAGO]]-PROVEEDORES[[#This Row],[FECHA DE FACTURACIÓN]])&gt;PROVEEDORES[[#This Row],[PLAZO Días]],"PAGO VENCIDO")</f>
        <v>0</v>
      </c>
      <c r="C1056" s="20">
        <f>+VLOOKUP(PROVEEDORES[[#This Row],[PROVEEDOR]],TERCEROS_INFO[#All],2,FALSE)</f>
        <v>30</v>
      </c>
      <c r="D1056" s="25">
        <f>+SUMIFS(PROVEEDORES[Total],PROVEEDORES[PROVEEDOR],PROVEEDORES[[#This Row],[PROVEEDOR]],PROVEEDORES[FECHA DE PAGO],"")</f>
        <v>0</v>
      </c>
      <c r="E1056" s="25"/>
      <c r="F1056" s="56" t="str">
        <f>+VLOOKUP(PROVEEDORES[[#This Row],[PROVEEDOR]],
                       Terceros!$A:$F,
                       5,
                       FALSE)</f>
        <v/>
      </c>
      <c r="G1056" s="68">
        <v>44910</v>
      </c>
      <c r="H1056" s="26" t="s">
        <v>356</v>
      </c>
      <c r="I1056" s="68">
        <v>44907</v>
      </c>
      <c r="J1056" s="35" t="s">
        <v>1368</v>
      </c>
      <c r="K1056" s="21">
        <v>3600000</v>
      </c>
      <c r="L1056" s="21"/>
      <c r="M1056" s="22">
        <f>(PROVEEDORES[[#This Row],[SUBTOTAL]]-PROVEEDORES[[#This Row],[descuento sobre subtotal]])*VLOOKUP(PROVEEDORES[[#This Row],[PROVEEDOR]],TERCEROS_INFO[#All],3,FALSE)</f>
        <v>0</v>
      </c>
      <c r="N1056" s="23"/>
      <c r="O1056" s="22">
        <f>+PROVEEDORES[[#This Row],[Descuento sobre subtotal %]]*(PROVEEDORES[[#This Row],[SUBTOTAL]]-PROVEEDORES[[#This Row],[descuento sobre subtotal]])</f>
        <v>0</v>
      </c>
      <c r="P1056" s="74">
        <f>+IF(PROVEEDORES[[#This Row],[SUBTOTAL]]&lt;PROVEEDORES[[#This Row],[base retencion]],0,PROVEEDORES[[#This Row],[retención aplicada]])</f>
        <v>0</v>
      </c>
      <c r="Q1056" s="22">
        <f>+PROVEEDORES[[#This Row],[Rete Fuente %]]*(PROVEEDORES[[#This Row],[SUBTOTAL]]-PROVEEDORES[[#This Row],[descuento sobre subtotal]])</f>
        <v>0</v>
      </c>
      <c r="R1056" s="21">
        <f>+PROVEEDORES[[#This Row],[SUBTOTAL]]+PROVEEDORES[[#This Row],[IVA 19%]]-PROVEEDORES[[#This Row],[descuento sobre subtotal]]-PROVEEDORES[[#This Row],[Descuento sobre subtotal $2]]-PROVEEDORES[[#This Row],[Rete Fuente $]]</f>
        <v>3600000</v>
      </c>
      <c r="S1056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63">
        <f ca="1">IF(PROVEEDORES[[#This Row],[FECHA DE PAGO]]=0,TODAY()-PROVEEDORES[[#This Row],[FECHA DE FACTURACIÓN]]-PROVEEDORES[[#This Row],[PLAZO Días]],0)</f>
        <v>0</v>
      </c>
      <c r="U1056" s="104">
        <f>+VLOOKUP(PROVEEDORES[[#This Row],[PROVEEDOR]],Terceros!$A:$D,4,FALSE)</f>
        <v>0</v>
      </c>
      <c r="V1056" s="105">
        <f>+YEAR(PROVEEDORES[[#This Row],[FECHA DE FACTURACIÓN]])</f>
        <v>2022</v>
      </c>
      <c r="W1056" s="105">
        <f>+MATCH(PROVEEDORES[[#This Row],[año facturado]],Retenciones!$1:$1,0)</f>
        <v>5</v>
      </c>
      <c r="X1056" s="106">
        <f>+VLOOKUP(PROVEEDORES[[#This Row],[ID RETENCION]],Retenciones!$A$1:$O$25,PROVEEDORES[[#This Row],[indicador de columna]],FALSE)</f>
        <v>0</v>
      </c>
      <c r="Y1056" s="107">
        <f>+VLOOKUP(PROVEEDORES[[#This Row],[ID RETENCION]],Retenciones!$A$1:$O$25,2,FALSE)</f>
        <v>0</v>
      </c>
      <c r="Z1056" s="116" t="b">
        <f>OR(COUNTIF(PROVEEDORES[[#This Row],[PROVEEDOR]],"*"&amp;'Palabra no opera'!$A$2&amp;"*"))</f>
        <v>0</v>
      </c>
    </row>
    <row r="1057" spans="1:26" ht="22.35" customHeight="1" x14ac:dyDescent="0.3">
      <c r="A1057" s="252" t="str">
        <f>+IF(PROVEEDORES[[#This Row],[FECHA DE PAGO]]=PROVEEDORES[[#This Row],[FECHA DE FACTURACIÓN]],"DE CONTADO","CRÉDITO")</f>
        <v>CRÉDITO</v>
      </c>
      <c r="B1057" s="38" t="b">
        <f>+IF((PROVEEDORES[[#This Row],[FECHA DE PAGO]]-PROVEEDORES[[#This Row],[FECHA DE FACTURACIÓN]])&gt;PROVEEDORES[[#This Row],[PLAZO Días]],"PAGO VENCIDO")</f>
        <v>0</v>
      </c>
      <c r="C1057" s="20">
        <f>+VLOOKUP(PROVEEDORES[[#This Row],[PROVEEDOR]],TERCEROS_INFO[#All],2,FALSE)</f>
        <v>30</v>
      </c>
      <c r="D1057" s="25">
        <f>+SUMIFS(PROVEEDORES[Total],PROVEEDORES[PROVEEDOR],PROVEEDORES[[#This Row],[PROVEEDOR]],PROVEEDORES[FECHA DE PAGO],"")</f>
        <v>0</v>
      </c>
      <c r="E1057" s="25"/>
      <c r="F1057" s="56" t="str">
        <f>+VLOOKUP(PROVEEDORES[[#This Row],[PROVEEDOR]],
                       Terceros!$A:$F,
                       5,
                       FALSE)</f>
        <v/>
      </c>
      <c r="G1057" s="68">
        <v>44911</v>
      </c>
      <c r="H1057" s="26" t="s">
        <v>356</v>
      </c>
      <c r="I1057" s="68">
        <v>44910</v>
      </c>
      <c r="J1057" s="35" t="s">
        <v>1367</v>
      </c>
      <c r="K1057" s="21">
        <v>1573000</v>
      </c>
      <c r="L1057" s="21"/>
      <c r="M1057" s="22">
        <f>(PROVEEDORES[[#This Row],[SUBTOTAL]]-PROVEEDORES[[#This Row],[descuento sobre subtotal]])*VLOOKUP(PROVEEDORES[[#This Row],[PROVEEDOR]],TERCEROS_INFO[#All],3,FALSE)</f>
        <v>0</v>
      </c>
      <c r="N1057" s="23"/>
      <c r="O1057" s="22">
        <f>+PROVEEDORES[[#This Row],[Descuento sobre subtotal %]]*(PROVEEDORES[[#This Row],[SUBTOTAL]]-PROVEEDORES[[#This Row],[descuento sobre subtotal]])</f>
        <v>0</v>
      </c>
      <c r="P1057" s="74">
        <f>+IF(PROVEEDORES[[#This Row],[SUBTOTAL]]&lt;PROVEEDORES[[#This Row],[base retencion]],0,PROVEEDORES[[#This Row],[retención aplicada]])</f>
        <v>0</v>
      </c>
      <c r="Q1057" s="22">
        <f>+PROVEEDORES[[#This Row],[Rete Fuente %]]*(PROVEEDORES[[#This Row],[SUBTOTAL]]-PROVEEDORES[[#This Row],[descuento sobre subtotal]])</f>
        <v>0</v>
      </c>
      <c r="R1057" s="21">
        <f>+PROVEEDORES[[#This Row],[SUBTOTAL]]+PROVEEDORES[[#This Row],[IVA 19%]]-PROVEEDORES[[#This Row],[descuento sobre subtotal]]-PROVEEDORES[[#This Row],[Descuento sobre subtotal $2]]-PROVEEDORES[[#This Row],[Rete Fuente $]]</f>
        <v>1573000</v>
      </c>
      <c r="S1057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63">
        <f ca="1">IF(PROVEEDORES[[#This Row],[FECHA DE PAGO]]=0,TODAY()-PROVEEDORES[[#This Row],[FECHA DE FACTURACIÓN]]-PROVEEDORES[[#This Row],[PLAZO Días]],0)</f>
        <v>0</v>
      </c>
      <c r="U1057" s="104">
        <f>+VLOOKUP(PROVEEDORES[[#This Row],[PROVEEDOR]],Terceros!$A:$D,4,FALSE)</f>
        <v>0</v>
      </c>
      <c r="V1057" s="105">
        <f>+YEAR(PROVEEDORES[[#This Row],[FECHA DE FACTURACIÓN]])</f>
        <v>2022</v>
      </c>
      <c r="W1057" s="105">
        <f>+MATCH(PROVEEDORES[[#This Row],[año facturado]],Retenciones!$1:$1,0)</f>
        <v>5</v>
      </c>
      <c r="X1057" s="106">
        <f>+VLOOKUP(PROVEEDORES[[#This Row],[ID RETENCION]],Retenciones!$A$1:$O$25,PROVEEDORES[[#This Row],[indicador de columna]],FALSE)</f>
        <v>0</v>
      </c>
      <c r="Y1057" s="107">
        <f>+VLOOKUP(PROVEEDORES[[#This Row],[ID RETENCION]],Retenciones!$A$1:$O$25,2,FALSE)</f>
        <v>0</v>
      </c>
      <c r="Z1057" s="116" t="b">
        <f>OR(COUNTIF(PROVEEDORES[[#This Row],[PROVEEDOR]],"*"&amp;'Palabra no opera'!$A$2&amp;"*"))</f>
        <v>0</v>
      </c>
    </row>
    <row r="1058" spans="1:26" ht="22.35" customHeight="1" x14ac:dyDescent="0.3">
      <c r="A1058" s="252" t="str">
        <f>+IF(PROVEEDORES[[#This Row],[FECHA DE PAGO]]=PROVEEDORES[[#This Row],[FECHA DE FACTURACIÓN]],"DE CONTADO","CRÉDITO")</f>
        <v>CRÉDITO</v>
      </c>
      <c r="B1058" s="38" t="b">
        <f>+IF((PROVEEDORES[[#This Row],[FECHA DE PAGO]]-PROVEEDORES[[#This Row],[FECHA DE FACTURACIÓN]])&gt;PROVEEDORES[[#This Row],[PLAZO Días]],"PAGO VENCIDO")</f>
        <v>0</v>
      </c>
      <c r="C1058" s="20">
        <f>+VLOOKUP(PROVEEDORES[[#This Row],[PROVEEDOR]],TERCEROS_INFO[#All],2,FALSE)</f>
        <v>30</v>
      </c>
      <c r="D1058" s="25">
        <f>+SUMIFS(PROVEEDORES[Total],PROVEEDORES[PROVEEDOR],PROVEEDORES[[#This Row],[PROVEEDOR]],PROVEEDORES[FECHA DE PAGO],"")</f>
        <v>0</v>
      </c>
      <c r="E1058" s="25"/>
      <c r="F1058" s="56">
        <f>+VLOOKUP(PROVEEDORES[[#This Row],[PROVEEDOR]],
                       Terceros!$A:$F,
                       5,
                       FALSE)</f>
        <v>0</v>
      </c>
      <c r="G1058" s="68">
        <v>44912</v>
      </c>
      <c r="H1058" s="26" t="s">
        <v>413</v>
      </c>
      <c r="I1058" s="68">
        <v>44907</v>
      </c>
      <c r="J1058" s="35">
        <v>345</v>
      </c>
      <c r="K1058" s="21">
        <v>1378000</v>
      </c>
      <c r="L1058" s="21"/>
      <c r="M1058" s="22">
        <f>(PROVEEDORES[[#This Row],[SUBTOTAL]]-PROVEEDORES[[#This Row],[descuento sobre subtotal]])*VLOOKUP(PROVEEDORES[[#This Row],[PROVEEDOR]],TERCEROS_INFO[#All],3,FALSE)</f>
        <v>0</v>
      </c>
      <c r="N1058" s="23"/>
      <c r="O1058" s="22">
        <f>+PROVEEDORES[[#This Row],[Descuento sobre subtotal %]]*(PROVEEDORES[[#This Row],[SUBTOTAL]]-PROVEEDORES[[#This Row],[descuento sobre subtotal]])</f>
        <v>0</v>
      </c>
      <c r="P1058" s="74">
        <f>+IF(PROVEEDORES[[#This Row],[SUBTOTAL]]&lt;PROVEEDORES[[#This Row],[base retencion]],0,PROVEEDORES[[#This Row],[retención aplicada]])</f>
        <v>0</v>
      </c>
      <c r="Q1058" s="22">
        <f>+PROVEEDORES[[#This Row],[Rete Fuente %]]*(PROVEEDORES[[#This Row],[SUBTOTAL]]-PROVEEDORES[[#This Row],[descuento sobre subtotal]])</f>
        <v>0</v>
      </c>
      <c r="R1058" s="21">
        <f>+PROVEEDORES[[#This Row],[SUBTOTAL]]+PROVEEDORES[[#This Row],[IVA 19%]]-PROVEEDORES[[#This Row],[descuento sobre subtotal]]-PROVEEDORES[[#This Row],[Descuento sobre subtotal $2]]-PROVEEDORES[[#This Row],[Rete Fuente $]]</f>
        <v>1378000</v>
      </c>
      <c r="S1058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63">
        <f ca="1">IF(PROVEEDORES[[#This Row],[FECHA DE PAGO]]=0,TODAY()-PROVEEDORES[[#This Row],[FECHA DE FACTURACIÓN]]-PROVEEDORES[[#This Row],[PLAZO Días]],0)</f>
        <v>0</v>
      </c>
      <c r="U1058" s="104">
        <f>+VLOOKUP(PROVEEDORES[[#This Row],[PROVEEDOR]],Terceros!$A:$D,4,FALSE)</f>
        <v>0</v>
      </c>
      <c r="V1058" s="105">
        <f>+YEAR(PROVEEDORES[[#This Row],[FECHA DE FACTURACIÓN]])</f>
        <v>2022</v>
      </c>
      <c r="W1058" s="105">
        <f>+MATCH(PROVEEDORES[[#This Row],[año facturado]],Retenciones!$1:$1,0)</f>
        <v>5</v>
      </c>
      <c r="X1058" s="106">
        <f>+VLOOKUP(PROVEEDORES[[#This Row],[ID RETENCION]],Retenciones!$A$1:$O$25,PROVEEDORES[[#This Row],[indicador de columna]],FALSE)</f>
        <v>0</v>
      </c>
      <c r="Y1058" s="107">
        <f>+VLOOKUP(PROVEEDORES[[#This Row],[ID RETENCION]],Retenciones!$A$1:$O$25,2,FALSE)</f>
        <v>0</v>
      </c>
      <c r="Z1058" s="116" t="b">
        <f>OR(COUNTIF(PROVEEDORES[[#This Row],[PROVEEDOR]],"*"&amp;'Palabra no opera'!$A$2&amp;"*"))</f>
        <v>0</v>
      </c>
    </row>
    <row r="1059" spans="1:26" ht="22.35" customHeight="1" x14ac:dyDescent="0.3">
      <c r="A1059" s="67" t="str">
        <f>+IF(PROVEEDORES[[#This Row],[FECHA DE PAGO]]=PROVEEDORES[[#This Row],[FECHA DE FACTURACIÓN]],"DE CONTADO","CRÉDITO")</f>
        <v>CRÉDITO</v>
      </c>
      <c r="B1059" s="38" t="str">
        <f>+IF((PROVEEDORES[[#This Row],[FECHA DE PAGO]]-PROVEEDORES[[#This Row],[FECHA DE FACTURACIÓN]])&gt;PROVEEDORES[[#This Row],[PLAZO Días]],"PAGO VENCIDO")</f>
        <v>PAGO VENCIDO</v>
      </c>
      <c r="C1059" s="20">
        <f>+VLOOKUP(PROVEEDORES[[#This Row],[PROVEEDOR]],TERCEROS_INFO[#All],2,FALSE)</f>
        <v>30</v>
      </c>
      <c r="D1059" s="25">
        <f>+SUMIFS(PROVEEDORES[Total],PROVEEDORES[PROVEEDOR],PROVEEDORES[[#This Row],[PROVEEDOR]],PROVEEDORES[FECHA DE PAGO],"")</f>
        <v>680000</v>
      </c>
      <c r="E1059" s="25"/>
      <c r="F1059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59" s="69">
        <v>44914</v>
      </c>
      <c r="H1059" s="231" t="s">
        <v>412</v>
      </c>
      <c r="I1059" s="68">
        <v>44819</v>
      </c>
      <c r="J1059" s="245" t="s">
        <v>1129</v>
      </c>
      <c r="K1059" s="21">
        <v>1354000</v>
      </c>
      <c r="L1059" s="21"/>
      <c r="M1059" s="22">
        <f>(PROVEEDORES[[#This Row],[SUBTOTAL]]-PROVEEDORES[[#This Row],[descuento sobre subtotal]])*VLOOKUP(PROVEEDORES[[#This Row],[PROVEEDOR]],TERCEROS_INFO[#All],3,FALSE)</f>
        <v>0</v>
      </c>
      <c r="N1059" s="23"/>
      <c r="O1059" s="22">
        <f>+PROVEEDORES[[#This Row],[Descuento sobre subtotal %]]*(PROVEEDORES[[#This Row],[SUBTOTAL]]-PROVEEDORES[[#This Row],[descuento sobre subtotal]])</f>
        <v>0</v>
      </c>
      <c r="P1059" s="74">
        <f>+IF(PROVEEDORES[[#This Row],[SUBTOTAL]]&lt;PROVEEDORES[[#This Row],[base retencion]],0,PROVEEDORES[[#This Row],[retención aplicada]])</f>
        <v>0</v>
      </c>
      <c r="Q1059" s="22">
        <f>+PROVEEDORES[[#This Row],[Rete Fuente %]]*(PROVEEDORES[[#This Row],[SUBTOTAL]]-PROVEEDORES[[#This Row],[descuento sobre subtotal]])</f>
        <v>0</v>
      </c>
      <c r="R1059" s="21">
        <f>+PROVEEDORES[[#This Row],[SUBTOTAL]]+PROVEEDORES[[#This Row],[IVA 19%]]-PROVEEDORES[[#This Row],[descuento sobre subtotal]]-PROVEEDORES[[#This Row],[Descuento sobre subtotal $2]]-PROVEEDORES[[#This Row],[Rete Fuente $]]</f>
        <v>1354000</v>
      </c>
      <c r="S10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63">
        <f ca="1">IF(PROVEEDORES[[#This Row],[FECHA DE PAGO]]=0,TODAY()-PROVEEDORES[[#This Row],[FECHA DE FACTURACIÓN]]-PROVEEDORES[[#This Row],[PLAZO Días]],0)</f>
        <v>0</v>
      </c>
      <c r="U1059" s="104">
        <f>+VLOOKUP(PROVEEDORES[[#This Row],[PROVEEDOR]],Terceros!$A:$D,4,FALSE)</f>
        <v>0</v>
      </c>
      <c r="V1059" s="105">
        <f>+YEAR(PROVEEDORES[[#This Row],[FECHA DE FACTURACIÓN]])</f>
        <v>2022</v>
      </c>
      <c r="W1059" s="105">
        <f>+MATCH(PROVEEDORES[[#This Row],[año facturado]],Retenciones!$1:$1,0)</f>
        <v>5</v>
      </c>
      <c r="X1059" s="106">
        <f>+VLOOKUP(PROVEEDORES[[#This Row],[ID RETENCION]],Retenciones!$A$1:$O$25,PROVEEDORES[[#This Row],[indicador de columna]],FALSE)</f>
        <v>0</v>
      </c>
      <c r="Y1059" s="107">
        <f>+VLOOKUP(PROVEEDORES[[#This Row],[ID RETENCION]],Retenciones!$A$1:$O$25,2,FALSE)</f>
        <v>0</v>
      </c>
      <c r="Z1059" s="116" t="b">
        <f>OR(COUNTIF(PROVEEDORES[[#This Row],[PROVEEDOR]],"*"&amp;'Palabra no opera'!$A$2&amp;"*"))</f>
        <v>0</v>
      </c>
    </row>
    <row r="1060" spans="1:26" ht="22.35" customHeight="1" x14ac:dyDescent="0.3">
      <c r="A1060" s="67" t="str">
        <f>+IF(PROVEEDORES[[#This Row],[FECHA DE PAGO]]=PROVEEDORES[[#This Row],[FECHA DE FACTURACIÓN]],"DE CONTADO","CRÉDITO")</f>
        <v>CRÉDITO</v>
      </c>
      <c r="B1060" s="38" t="str">
        <f>+IF((PROVEEDORES[[#This Row],[FECHA DE PAGO]]-PROVEEDORES[[#This Row],[FECHA DE FACTURACIÓN]])&gt;PROVEEDORES[[#This Row],[PLAZO Días]],"PAGO VENCIDO")</f>
        <v>PAGO VENCIDO</v>
      </c>
      <c r="C1060" s="20">
        <f>+VLOOKUP(PROVEEDORES[[#This Row],[PROVEEDOR]],TERCEROS_INFO[#All],2,FALSE)</f>
        <v>30</v>
      </c>
      <c r="D1060" s="25">
        <f>+SUMIFS(PROVEEDORES[Total],PROVEEDORES[PROVEEDOR],PROVEEDORES[[#This Row],[PROVEEDOR]],PROVEEDORES[FECHA DE PAGO],"")</f>
        <v>680000</v>
      </c>
      <c r="E1060" s="25"/>
      <c r="F1060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60" s="69">
        <v>44914</v>
      </c>
      <c r="H1060" s="26" t="s">
        <v>412</v>
      </c>
      <c r="I1060" s="68">
        <v>44862</v>
      </c>
      <c r="J1060" s="245">
        <v>546708</v>
      </c>
      <c r="K1060" s="21">
        <v>37500</v>
      </c>
      <c r="L1060" s="21"/>
      <c r="M1060" s="22">
        <f>(PROVEEDORES[[#This Row],[SUBTOTAL]]-PROVEEDORES[[#This Row],[descuento sobre subtotal]])*VLOOKUP(PROVEEDORES[[#This Row],[PROVEEDOR]],TERCEROS_INFO[#All],3,FALSE)</f>
        <v>0</v>
      </c>
      <c r="N1060" s="23"/>
      <c r="O1060" s="22">
        <f>+PROVEEDORES[[#This Row],[Descuento sobre subtotal %]]*(PROVEEDORES[[#This Row],[SUBTOTAL]]-PROVEEDORES[[#This Row],[descuento sobre subtotal]])</f>
        <v>0</v>
      </c>
      <c r="P1060" s="74">
        <f>+IF(PROVEEDORES[[#This Row],[SUBTOTAL]]&lt;PROVEEDORES[[#This Row],[base retencion]],0,PROVEEDORES[[#This Row],[retención aplicada]])</f>
        <v>0</v>
      </c>
      <c r="Q1060" s="22">
        <f>+PROVEEDORES[[#This Row],[Rete Fuente %]]*(PROVEEDORES[[#This Row],[SUBTOTAL]]-PROVEEDORES[[#This Row],[descuento sobre subtotal]])</f>
        <v>0</v>
      </c>
      <c r="R1060" s="21">
        <f>+PROVEEDORES[[#This Row],[SUBTOTAL]]+PROVEEDORES[[#This Row],[IVA 19%]]-PROVEEDORES[[#This Row],[descuento sobre subtotal]]-PROVEEDORES[[#This Row],[Descuento sobre subtotal $2]]-PROVEEDORES[[#This Row],[Rete Fuente $]]</f>
        <v>37500</v>
      </c>
      <c r="S106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63">
        <f ca="1">IF(PROVEEDORES[[#This Row],[FECHA DE PAGO]]=0,TODAY()-PROVEEDORES[[#This Row],[FECHA DE FACTURACIÓN]]-PROVEEDORES[[#This Row],[PLAZO Días]],0)</f>
        <v>0</v>
      </c>
      <c r="U1060" s="104">
        <f>+VLOOKUP(PROVEEDORES[[#This Row],[PROVEEDOR]],Terceros!$A:$D,4,FALSE)</f>
        <v>0</v>
      </c>
      <c r="V1060" s="105">
        <f>+YEAR(PROVEEDORES[[#This Row],[FECHA DE FACTURACIÓN]])</f>
        <v>2022</v>
      </c>
      <c r="W1060" s="105">
        <f>+MATCH(PROVEEDORES[[#This Row],[año facturado]],Retenciones!$1:$1,0)</f>
        <v>5</v>
      </c>
      <c r="X1060" s="106">
        <f>+VLOOKUP(PROVEEDORES[[#This Row],[ID RETENCION]],Retenciones!$A$1:$O$25,PROVEEDORES[[#This Row],[indicador de columna]],FALSE)</f>
        <v>0</v>
      </c>
      <c r="Y1060" s="107">
        <f>+VLOOKUP(PROVEEDORES[[#This Row],[ID RETENCION]],Retenciones!$A$1:$O$25,2,FALSE)</f>
        <v>0</v>
      </c>
      <c r="Z1060" s="116" t="b">
        <f>OR(COUNTIF(PROVEEDORES[[#This Row],[PROVEEDOR]],"*"&amp;'Palabra no opera'!$A$2&amp;"*"))</f>
        <v>0</v>
      </c>
    </row>
    <row r="1061" spans="1:26" ht="22.35" customHeight="1" x14ac:dyDescent="0.3">
      <c r="A1061" s="67" t="str">
        <f>+IF(PROVEEDORES[[#This Row],[FECHA DE PAGO]]=PROVEEDORES[[#This Row],[FECHA DE FACTURACIÓN]],"DE CONTADO","CRÉDITO")</f>
        <v>CRÉDITO</v>
      </c>
      <c r="B1061" s="38" t="str">
        <f>+IF((PROVEEDORES[[#This Row],[FECHA DE PAGO]]-PROVEEDORES[[#This Row],[FECHA DE FACTURACIÓN]])&gt;PROVEEDORES[[#This Row],[PLAZO Días]],"PAGO VENCIDO")</f>
        <v>PAGO VENCIDO</v>
      </c>
      <c r="C1061" s="20">
        <f>+VLOOKUP(PROVEEDORES[[#This Row],[PROVEEDOR]],TERCEROS_INFO[#All],2,FALSE)</f>
        <v>30</v>
      </c>
      <c r="D1061" s="25">
        <f>+SUMIFS(PROVEEDORES[Total],PROVEEDORES[PROVEEDOR],PROVEEDORES[[#This Row],[PROVEEDOR]],PROVEEDORES[FECHA DE PAGO],"")</f>
        <v>680000</v>
      </c>
      <c r="E1061" s="25"/>
      <c r="F1061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61" s="69">
        <v>44914</v>
      </c>
      <c r="H1061" s="26" t="s">
        <v>412</v>
      </c>
      <c r="I1061" s="68">
        <v>44862</v>
      </c>
      <c r="J1061" s="245">
        <v>546704</v>
      </c>
      <c r="K1061" s="21">
        <v>187500</v>
      </c>
      <c r="L1061" s="21"/>
      <c r="M1061" s="22">
        <f>(PROVEEDORES[[#This Row],[SUBTOTAL]]-PROVEEDORES[[#This Row],[descuento sobre subtotal]])*VLOOKUP(PROVEEDORES[[#This Row],[PROVEEDOR]],TERCEROS_INFO[#All],3,FALSE)</f>
        <v>0</v>
      </c>
      <c r="N1061" s="23"/>
      <c r="O1061" s="22">
        <f>+PROVEEDORES[[#This Row],[Descuento sobre subtotal %]]*(PROVEEDORES[[#This Row],[SUBTOTAL]]-PROVEEDORES[[#This Row],[descuento sobre subtotal]])</f>
        <v>0</v>
      </c>
      <c r="P1061" s="74">
        <f>+IF(PROVEEDORES[[#This Row],[SUBTOTAL]]&lt;PROVEEDORES[[#This Row],[base retencion]],0,PROVEEDORES[[#This Row],[retención aplicada]])</f>
        <v>0</v>
      </c>
      <c r="Q1061" s="22">
        <f>+PROVEEDORES[[#This Row],[Rete Fuente %]]*(PROVEEDORES[[#This Row],[SUBTOTAL]]-PROVEEDORES[[#This Row],[descuento sobre subtotal]])</f>
        <v>0</v>
      </c>
      <c r="R1061" s="21">
        <f>+PROVEEDORES[[#This Row],[SUBTOTAL]]+PROVEEDORES[[#This Row],[IVA 19%]]-PROVEEDORES[[#This Row],[descuento sobre subtotal]]-PROVEEDORES[[#This Row],[Descuento sobre subtotal $2]]-PROVEEDORES[[#This Row],[Rete Fuente $]]</f>
        <v>187500</v>
      </c>
      <c r="S10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63">
        <f ca="1">IF(PROVEEDORES[[#This Row],[FECHA DE PAGO]]=0,TODAY()-PROVEEDORES[[#This Row],[FECHA DE FACTURACIÓN]]-PROVEEDORES[[#This Row],[PLAZO Días]],0)</f>
        <v>0</v>
      </c>
      <c r="U1061" s="104">
        <f>+VLOOKUP(PROVEEDORES[[#This Row],[PROVEEDOR]],Terceros!$A:$D,4,FALSE)</f>
        <v>0</v>
      </c>
      <c r="V1061" s="105">
        <f>+YEAR(PROVEEDORES[[#This Row],[FECHA DE FACTURACIÓN]])</f>
        <v>2022</v>
      </c>
      <c r="W1061" s="105">
        <f>+MATCH(PROVEEDORES[[#This Row],[año facturado]],Retenciones!$1:$1,0)</f>
        <v>5</v>
      </c>
      <c r="X1061" s="106">
        <f>+VLOOKUP(PROVEEDORES[[#This Row],[ID RETENCION]],Retenciones!$A$1:$O$25,PROVEEDORES[[#This Row],[indicador de columna]],FALSE)</f>
        <v>0</v>
      </c>
      <c r="Y1061" s="107">
        <f>+VLOOKUP(PROVEEDORES[[#This Row],[ID RETENCION]],Retenciones!$A$1:$O$25,2,FALSE)</f>
        <v>0</v>
      </c>
      <c r="Z1061" s="116" t="b">
        <f>OR(COUNTIF(PROVEEDORES[[#This Row],[PROVEEDOR]],"*"&amp;'Palabra no opera'!$A$2&amp;"*"))</f>
        <v>0</v>
      </c>
    </row>
    <row r="1062" spans="1:26" ht="22.35" customHeight="1" x14ac:dyDescent="0.3">
      <c r="A1062" s="67" t="str">
        <f>+IF(PROVEEDORES[[#This Row],[FECHA DE PAGO]]=PROVEEDORES[[#This Row],[FECHA DE FACTURACIÓN]],"DE CONTADO","CRÉDITO")</f>
        <v>CRÉDITO</v>
      </c>
      <c r="B1062" s="38" t="str">
        <f>+IF((PROVEEDORES[[#This Row],[FECHA DE PAGO]]-PROVEEDORES[[#This Row],[FECHA DE FACTURACIÓN]])&gt;PROVEEDORES[[#This Row],[PLAZO Días]],"PAGO VENCIDO")</f>
        <v>PAGO VENCIDO</v>
      </c>
      <c r="C1062" s="20">
        <f>+VLOOKUP(PROVEEDORES[[#This Row],[PROVEEDOR]],TERCEROS_INFO[#All],2,FALSE)</f>
        <v>30</v>
      </c>
      <c r="D1062" s="25">
        <f>+SUMIFS(PROVEEDORES[Total],PROVEEDORES[PROVEEDOR],PROVEEDORES[[#This Row],[PROVEEDOR]],PROVEEDORES[FECHA DE PAGO],"")</f>
        <v>680000</v>
      </c>
      <c r="E1062" s="25"/>
      <c r="F106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62" s="69">
        <v>44914</v>
      </c>
      <c r="H1062" s="26" t="s">
        <v>412</v>
      </c>
      <c r="I1062" s="68">
        <v>44862</v>
      </c>
      <c r="J1062" s="245">
        <v>325476</v>
      </c>
      <c r="K1062" s="21">
        <v>414000</v>
      </c>
      <c r="L1062" s="21"/>
      <c r="M1062" s="22">
        <f>(PROVEEDORES[[#This Row],[SUBTOTAL]]-PROVEEDORES[[#This Row],[descuento sobre subtotal]])*VLOOKUP(PROVEEDORES[[#This Row],[PROVEEDOR]],TERCEROS_INFO[#All],3,FALSE)</f>
        <v>0</v>
      </c>
      <c r="N1062" s="23"/>
      <c r="O1062" s="22">
        <f>+PROVEEDORES[[#This Row],[Descuento sobre subtotal %]]*(PROVEEDORES[[#This Row],[SUBTOTAL]]-PROVEEDORES[[#This Row],[descuento sobre subtotal]])</f>
        <v>0</v>
      </c>
      <c r="P1062" s="74">
        <f>+IF(PROVEEDORES[[#This Row],[SUBTOTAL]]&lt;PROVEEDORES[[#This Row],[base retencion]],0,PROVEEDORES[[#This Row],[retención aplicada]])</f>
        <v>0</v>
      </c>
      <c r="Q1062" s="22">
        <f>+PROVEEDORES[[#This Row],[Rete Fuente %]]*(PROVEEDORES[[#This Row],[SUBTOTAL]]-PROVEEDORES[[#This Row],[descuento sobre subtotal]])</f>
        <v>0</v>
      </c>
      <c r="R1062" s="21">
        <f>+PROVEEDORES[[#This Row],[SUBTOTAL]]+PROVEEDORES[[#This Row],[IVA 19%]]-PROVEEDORES[[#This Row],[descuento sobre subtotal]]-PROVEEDORES[[#This Row],[Descuento sobre subtotal $2]]-PROVEEDORES[[#This Row],[Rete Fuente $]]</f>
        <v>414000</v>
      </c>
      <c r="S10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63">
        <f ca="1">IF(PROVEEDORES[[#This Row],[FECHA DE PAGO]]=0,TODAY()-PROVEEDORES[[#This Row],[FECHA DE FACTURACIÓN]]-PROVEEDORES[[#This Row],[PLAZO Días]],0)</f>
        <v>0</v>
      </c>
      <c r="U1062" s="104">
        <f>+VLOOKUP(PROVEEDORES[[#This Row],[PROVEEDOR]],Terceros!$A:$D,4,FALSE)</f>
        <v>0</v>
      </c>
      <c r="V1062" s="105">
        <f>+YEAR(PROVEEDORES[[#This Row],[FECHA DE FACTURACIÓN]])</f>
        <v>2022</v>
      </c>
      <c r="W1062" s="105">
        <f>+MATCH(PROVEEDORES[[#This Row],[año facturado]],Retenciones!$1:$1,0)</f>
        <v>5</v>
      </c>
      <c r="X1062" s="106">
        <f>+VLOOKUP(PROVEEDORES[[#This Row],[ID RETENCION]],Retenciones!$A$1:$O$25,PROVEEDORES[[#This Row],[indicador de columna]],FALSE)</f>
        <v>0</v>
      </c>
      <c r="Y1062" s="107">
        <f>+VLOOKUP(PROVEEDORES[[#This Row],[ID RETENCION]],Retenciones!$A$1:$O$25,2,FALSE)</f>
        <v>0</v>
      </c>
      <c r="Z1062" s="116" t="b">
        <f>OR(COUNTIF(PROVEEDORES[[#This Row],[PROVEEDOR]],"*"&amp;'Palabra no opera'!$A$2&amp;"*"))</f>
        <v>0</v>
      </c>
    </row>
    <row r="1063" spans="1:26" ht="22.35" customHeight="1" x14ac:dyDescent="0.3">
      <c r="A1063" s="67" t="str">
        <f>+IF(PROVEEDORES[[#This Row],[FECHA DE PAGO]]=PROVEEDORES[[#This Row],[FECHA DE FACTURACIÓN]],"DE CONTADO","CRÉDITO")</f>
        <v>CRÉDITO</v>
      </c>
      <c r="B1063" s="38" t="str">
        <f>+IF((PROVEEDORES[[#This Row],[FECHA DE PAGO]]-PROVEEDORES[[#This Row],[FECHA DE FACTURACIÓN]])&gt;PROVEEDORES[[#This Row],[PLAZO Días]],"PAGO VENCIDO")</f>
        <v>PAGO VENCIDO</v>
      </c>
      <c r="C1063" s="20">
        <f>+VLOOKUP(PROVEEDORES[[#This Row],[PROVEEDOR]],TERCEROS_INFO[#All],2,FALSE)</f>
        <v>30</v>
      </c>
      <c r="D1063" s="25">
        <f>+SUMIFS(PROVEEDORES[Total],PROVEEDORES[PROVEEDOR],PROVEEDORES[[#This Row],[PROVEEDOR]],PROVEEDORES[FECHA DE PAGO],"")</f>
        <v>680000</v>
      </c>
      <c r="E1063" s="25"/>
      <c r="F106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63" s="69">
        <v>44914</v>
      </c>
      <c r="H1063" s="26" t="s">
        <v>412</v>
      </c>
      <c r="I1063" s="68">
        <v>44862</v>
      </c>
      <c r="J1063" s="245">
        <v>325475</v>
      </c>
      <c r="K1063" s="21">
        <v>937500</v>
      </c>
      <c r="L1063" s="21"/>
      <c r="M1063" s="22">
        <f>(PROVEEDORES[[#This Row],[SUBTOTAL]]-PROVEEDORES[[#This Row],[descuento sobre subtotal]])*VLOOKUP(PROVEEDORES[[#This Row],[PROVEEDOR]],TERCEROS_INFO[#All],3,FALSE)</f>
        <v>0</v>
      </c>
      <c r="N1063" s="23"/>
      <c r="O1063" s="22">
        <f>+PROVEEDORES[[#This Row],[Descuento sobre subtotal %]]*(PROVEEDORES[[#This Row],[SUBTOTAL]]-PROVEEDORES[[#This Row],[descuento sobre subtotal]])</f>
        <v>0</v>
      </c>
      <c r="P1063" s="74">
        <f>+IF(PROVEEDORES[[#This Row],[SUBTOTAL]]&lt;PROVEEDORES[[#This Row],[base retencion]],0,PROVEEDORES[[#This Row],[retención aplicada]])</f>
        <v>0</v>
      </c>
      <c r="Q1063" s="22">
        <f>+PROVEEDORES[[#This Row],[Rete Fuente %]]*(PROVEEDORES[[#This Row],[SUBTOTAL]]-PROVEEDORES[[#This Row],[descuento sobre subtotal]])</f>
        <v>0</v>
      </c>
      <c r="R1063" s="21">
        <f>+PROVEEDORES[[#This Row],[SUBTOTAL]]+PROVEEDORES[[#This Row],[IVA 19%]]-PROVEEDORES[[#This Row],[descuento sobre subtotal]]-PROVEEDORES[[#This Row],[Descuento sobre subtotal $2]]-PROVEEDORES[[#This Row],[Rete Fuente $]]</f>
        <v>937500</v>
      </c>
      <c r="S106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63">
        <f ca="1">IF(PROVEEDORES[[#This Row],[FECHA DE PAGO]]=0,TODAY()-PROVEEDORES[[#This Row],[FECHA DE FACTURACIÓN]]-PROVEEDORES[[#This Row],[PLAZO Días]],0)</f>
        <v>0</v>
      </c>
      <c r="U1063" s="104">
        <f>+VLOOKUP(PROVEEDORES[[#This Row],[PROVEEDOR]],Terceros!$A:$D,4,FALSE)</f>
        <v>0</v>
      </c>
      <c r="V1063" s="105">
        <f>+YEAR(PROVEEDORES[[#This Row],[FECHA DE FACTURACIÓN]])</f>
        <v>2022</v>
      </c>
      <c r="W1063" s="105">
        <f>+MATCH(PROVEEDORES[[#This Row],[año facturado]],Retenciones!$1:$1,0)</f>
        <v>5</v>
      </c>
      <c r="X1063" s="106">
        <f>+VLOOKUP(PROVEEDORES[[#This Row],[ID RETENCION]],Retenciones!$A$1:$O$25,PROVEEDORES[[#This Row],[indicador de columna]],FALSE)</f>
        <v>0</v>
      </c>
      <c r="Y1063" s="107">
        <f>+VLOOKUP(PROVEEDORES[[#This Row],[ID RETENCION]],Retenciones!$A$1:$O$25,2,FALSE)</f>
        <v>0</v>
      </c>
      <c r="Z1063" s="116" t="b">
        <f>OR(COUNTIF(PROVEEDORES[[#This Row],[PROVEEDOR]],"*"&amp;'Palabra no opera'!$A$2&amp;"*"))</f>
        <v>0</v>
      </c>
    </row>
    <row r="1064" spans="1:26" ht="22.35" customHeight="1" x14ac:dyDescent="0.3">
      <c r="A1064" s="240" t="str">
        <f>+IF(PROVEEDORES[[#This Row],[FECHA DE PAGO]]=PROVEEDORES[[#This Row],[FECHA DE FACTURACIÓN]],"DE CONTADO","CRÉDITO")</f>
        <v>CRÉDITO</v>
      </c>
      <c r="B1064" s="38" t="str">
        <f>+IF((PROVEEDORES[[#This Row],[FECHA DE PAGO]]-PROVEEDORES[[#This Row],[FECHA DE FACTURACIÓN]])&gt;PROVEEDORES[[#This Row],[PLAZO Días]],"PAGO VENCIDO")</f>
        <v>PAGO VENCIDO</v>
      </c>
      <c r="C1064" s="20">
        <f>+VLOOKUP(PROVEEDORES[[#This Row],[PROVEEDOR]],TERCEROS_INFO[#All],2,FALSE)</f>
        <v>30</v>
      </c>
      <c r="D1064" s="25">
        <f>+SUMIFS(PROVEEDORES[Total],PROVEEDORES[PROVEEDOR],PROVEEDORES[[#This Row],[PROVEEDOR]],PROVEEDORES[FECHA DE PAGO],"")</f>
        <v>680000</v>
      </c>
      <c r="E1064" s="25"/>
      <c r="F106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64" s="69">
        <v>44914</v>
      </c>
      <c r="H1064" s="26" t="s">
        <v>412</v>
      </c>
      <c r="I1064" s="68">
        <v>44881</v>
      </c>
      <c r="J1064" s="245">
        <v>546865</v>
      </c>
      <c r="K1064" s="21">
        <v>420000</v>
      </c>
      <c r="L1064" s="21"/>
      <c r="M1064" s="22">
        <f>(PROVEEDORES[[#This Row],[SUBTOTAL]]-PROVEEDORES[[#This Row],[descuento sobre subtotal]])*VLOOKUP(PROVEEDORES[[#This Row],[PROVEEDOR]],TERCEROS_INFO[#All],3,FALSE)</f>
        <v>0</v>
      </c>
      <c r="N1064" s="23"/>
      <c r="O1064" s="22">
        <f>+PROVEEDORES[[#This Row],[Descuento sobre subtotal %]]*(PROVEEDORES[[#This Row],[SUBTOTAL]]-PROVEEDORES[[#This Row],[descuento sobre subtotal]])</f>
        <v>0</v>
      </c>
      <c r="P1064" s="74">
        <f>+IF(PROVEEDORES[[#This Row],[SUBTOTAL]]&lt;PROVEEDORES[[#This Row],[base retencion]],0,PROVEEDORES[[#This Row],[retención aplicada]])</f>
        <v>0</v>
      </c>
      <c r="Q1064" s="22">
        <f>+PROVEEDORES[[#This Row],[Rete Fuente %]]*(PROVEEDORES[[#This Row],[SUBTOTAL]]-PROVEEDORES[[#This Row],[descuento sobre subtotal]])</f>
        <v>0</v>
      </c>
      <c r="R1064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1064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63">
        <f ca="1">IF(PROVEEDORES[[#This Row],[FECHA DE PAGO]]=0,TODAY()-PROVEEDORES[[#This Row],[FECHA DE FACTURACIÓN]]-PROVEEDORES[[#This Row],[PLAZO Días]],0)</f>
        <v>0</v>
      </c>
      <c r="U1064" s="104">
        <f>+VLOOKUP(PROVEEDORES[[#This Row],[PROVEEDOR]],Terceros!$A:$D,4,FALSE)</f>
        <v>0</v>
      </c>
      <c r="V1064" s="105">
        <f>+YEAR(PROVEEDORES[[#This Row],[FECHA DE FACTURACIÓN]])</f>
        <v>2022</v>
      </c>
      <c r="W1064" s="105">
        <f>+MATCH(PROVEEDORES[[#This Row],[año facturado]],Retenciones!$1:$1,0)</f>
        <v>5</v>
      </c>
      <c r="X1064" s="106">
        <f>+VLOOKUP(PROVEEDORES[[#This Row],[ID RETENCION]],Retenciones!$A$1:$O$25,PROVEEDORES[[#This Row],[indicador de columna]],FALSE)</f>
        <v>0</v>
      </c>
      <c r="Y1064" s="107">
        <f>+VLOOKUP(PROVEEDORES[[#This Row],[ID RETENCION]],Retenciones!$A$1:$O$25,2,FALSE)</f>
        <v>0</v>
      </c>
      <c r="Z1064" s="116" t="b">
        <f>OR(COUNTIF(PROVEEDORES[[#This Row],[PROVEEDOR]],"*"&amp;'Palabra no opera'!$A$2&amp;"*"))</f>
        <v>0</v>
      </c>
    </row>
    <row r="1065" spans="1:26" ht="22.35" customHeight="1" x14ac:dyDescent="0.3">
      <c r="A1065" s="240" t="str">
        <f>+IF(PROVEEDORES[[#This Row],[FECHA DE PAGO]]=PROVEEDORES[[#This Row],[FECHA DE FACTURACIÓN]],"DE CONTADO","CRÉDITO")</f>
        <v>CRÉDITO</v>
      </c>
      <c r="B1065" s="38" t="str">
        <f>+IF((PROVEEDORES[[#This Row],[FECHA DE PAGO]]-PROVEEDORES[[#This Row],[FECHA DE FACTURACIÓN]])&gt;PROVEEDORES[[#This Row],[PLAZO Días]],"PAGO VENCIDO")</f>
        <v>PAGO VENCIDO</v>
      </c>
      <c r="C1065" s="20">
        <f>+VLOOKUP(PROVEEDORES[[#This Row],[PROVEEDOR]],TERCEROS_INFO[#All],2,FALSE)</f>
        <v>30</v>
      </c>
      <c r="D1065" s="25">
        <f>+SUMIFS(PROVEEDORES[Total],PROVEEDORES[PROVEEDOR],PROVEEDORES[[#This Row],[PROVEEDOR]],PROVEEDORES[FECHA DE PAGO],"")</f>
        <v>680000</v>
      </c>
      <c r="E1065" s="25"/>
      <c r="F106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65" s="69">
        <v>44914</v>
      </c>
      <c r="H1065" s="26" t="s">
        <v>412</v>
      </c>
      <c r="I1065" s="68">
        <v>44881</v>
      </c>
      <c r="J1065" s="245">
        <v>325698</v>
      </c>
      <c r="K1065" s="21">
        <v>280000</v>
      </c>
      <c r="L1065" s="21"/>
      <c r="M1065" s="22">
        <f>(PROVEEDORES[[#This Row],[SUBTOTAL]]-PROVEEDORES[[#This Row],[descuento sobre subtotal]])*VLOOKUP(PROVEEDORES[[#This Row],[PROVEEDOR]],TERCEROS_INFO[#All],3,FALSE)</f>
        <v>0</v>
      </c>
      <c r="N1065" s="23"/>
      <c r="O1065" s="22">
        <f>+PROVEEDORES[[#This Row],[Descuento sobre subtotal %]]*(PROVEEDORES[[#This Row],[SUBTOTAL]]-PROVEEDORES[[#This Row],[descuento sobre subtotal]])</f>
        <v>0</v>
      </c>
      <c r="P1065" s="74">
        <f>+IF(PROVEEDORES[[#This Row],[SUBTOTAL]]&lt;PROVEEDORES[[#This Row],[base retencion]],0,PROVEEDORES[[#This Row],[retención aplicada]])</f>
        <v>0</v>
      </c>
      <c r="Q1065" s="22">
        <f>+PROVEEDORES[[#This Row],[Rete Fuente %]]*(PROVEEDORES[[#This Row],[SUBTOTAL]]-PROVEEDORES[[#This Row],[descuento sobre subtotal]])</f>
        <v>0</v>
      </c>
      <c r="R1065" s="21">
        <f>+PROVEEDORES[[#This Row],[SUBTOTAL]]+PROVEEDORES[[#This Row],[IVA 19%]]-PROVEEDORES[[#This Row],[descuento sobre subtotal]]-PROVEEDORES[[#This Row],[Descuento sobre subtotal $2]]-PROVEEDORES[[#This Row],[Rete Fuente $]]</f>
        <v>280000</v>
      </c>
      <c r="S1065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63">
        <f ca="1">IF(PROVEEDORES[[#This Row],[FECHA DE PAGO]]=0,TODAY()-PROVEEDORES[[#This Row],[FECHA DE FACTURACIÓN]]-PROVEEDORES[[#This Row],[PLAZO Días]],0)</f>
        <v>0</v>
      </c>
      <c r="U1065" s="104">
        <f>+VLOOKUP(PROVEEDORES[[#This Row],[PROVEEDOR]],Terceros!$A:$D,4,FALSE)</f>
        <v>0</v>
      </c>
      <c r="V1065" s="105">
        <f>+YEAR(PROVEEDORES[[#This Row],[FECHA DE FACTURACIÓN]])</f>
        <v>2022</v>
      </c>
      <c r="W1065" s="105">
        <f>+MATCH(PROVEEDORES[[#This Row],[año facturado]],Retenciones!$1:$1,0)</f>
        <v>5</v>
      </c>
      <c r="X1065" s="106">
        <f>+VLOOKUP(PROVEEDORES[[#This Row],[ID RETENCION]],Retenciones!$A$1:$O$25,PROVEEDORES[[#This Row],[indicador de columna]],FALSE)</f>
        <v>0</v>
      </c>
      <c r="Y1065" s="107">
        <f>+VLOOKUP(PROVEEDORES[[#This Row],[ID RETENCION]],Retenciones!$A$1:$O$25,2,FALSE)</f>
        <v>0</v>
      </c>
      <c r="Z1065" s="116" t="b">
        <f>OR(COUNTIF(PROVEEDORES[[#This Row],[PROVEEDOR]],"*"&amp;'Palabra no opera'!$A$2&amp;"*"))</f>
        <v>0</v>
      </c>
    </row>
    <row r="1066" spans="1:26" ht="22.35" customHeight="1" x14ac:dyDescent="0.3">
      <c r="A1066" s="247" t="str">
        <f>+IF(PROVEEDORES[[#This Row],[FECHA DE PAGO]]=PROVEEDORES[[#This Row],[FECHA DE FACTURACIÓN]],"DE CONTADO","CRÉDITO")</f>
        <v>CRÉDITO</v>
      </c>
      <c r="B1066" s="38" t="b">
        <f>+IF((PROVEEDORES[[#This Row],[FECHA DE PAGO]]-PROVEEDORES[[#This Row],[FECHA DE FACTURACIÓN]])&gt;PROVEEDORES[[#This Row],[PLAZO Días]],"PAGO VENCIDO")</f>
        <v>0</v>
      </c>
      <c r="C1066" s="20">
        <f>+VLOOKUP(PROVEEDORES[[#This Row],[PROVEEDOR]],TERCEROS_INFO[#All],2,FALSE)</f>
        <v>30</v>
      </c>
      <c r="D1066" s="25">
        <f>+SUMIFS(PROVEEDORES[Total],PROVEEDORES[PROVEEDOR],PROVEEDORES[[#This Row],[PROVEEDOR]],PROVEEDORES[FECHA DE PAGO],"")</f>
        <v>0</v>
      </c>
      <c r="E1066" s="25"/>
      <c r="F1066" s="56">
        <f>+VLOOKUP(PROVEEDORES[[#This Row],[PROVEEDOR]],
                       Terceros!$A:$F,
                       5,
                       FALSE)</f>
        <v>0</v>
      </c>
      <c r="G1066" s="68">
        <v>44914</v>
      </c>
      <c r="H1066" s="26" t="s">
        <v>1337</v>
      </c>
      <c r="I1066" s="68">
        <v>44911</v>
      </c>
      <c r="J1066" s="35">
        <v>1034</v>
      </c>
      <c r="K1066" s="21">
        <v>548739</v>
      </c>
      <c r="L1066" s="21"/>
      <c r="M1066" s="22">
        <f>(PROVEEDORES[[#This Row],[SUBTOTAL]]-PROVEEDORES[[#This Row],[descuento sobre subtotal]])*VLOOKUP(PROVEEDORES[[#This Row],[PROVEEDOR]],TERCEROS_INFO[#All],3,FALSE)</f>
        <v>104260.41</v>
      </c>
      <c r="N1066" s="23"/>
      <c r="O1066" s="22">
        <f>+PROVEEDORES[[#This Row],[Descuento sobre subtotal %]]*(PROVEEDORES[[#This Row],[SUBTOTAL]]-PROVEEDORES[[#This Row],[descuento sobre subtotal]])</f>
        <v>0</v>
      </c>
      <c r="P1066" s="74">
        <f>+IF(PROVEEDORES[[#This Row],[SUBTOTAL]]&lt;PROVEEDORES[[#This Row],[base retencion]],0,PROVEEDORES[[#This Row],[retención aplicada]])</f>
        <v>0</v>
      </c>
      <c r="Q1066" s="22">
        <f>+PROVEEDORES[[#This Row],[Rete Fuente %]]*(PROVEEDORES[[#This Row],[SUBTOTAL]]-PROVEEDORES[[#This Row],[descuento sobre subtotal]])</f>
        <v>0</v>
      </c>
      <c r="R1066" s="21">
        <f>+PROVEEDORES[[#This Row],[SUBTOTAL]]+PROVEEDORES[[#This Row],[IVA 19%]]-PROVEEDORES[[#This Row],[descuento sobre subtotal]]-PROVEEDORES[[#This Row],[Descuento sobre subtotal $2]]-PROVEEDORES[[#This Row],[Rete Fuente $]]</f>
        <v>652999.41</v>
      </c>
      <c r="S1066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63">
        <f ca="1">IF(PROVEEDORES[[#This Row],[FECHA DE PAGO]]=0,TODAY()-PROVEEDORES[[#This Row],[FECHA DE FACTURACIÓN]]-PROVEEDORES[[#This Row],[PLAZO Días]],0)</f>
        <v>0</v>
      </c>
      <c r="U1066" s="104">
        <f>+VLOOKUP(PROVEEDORES[[#This Row],[PROVEEDOR]],Terceros!$A:$D,4,FALSE)</f>
        <v>0</v>
      </c>
      <c r="V1066" s="105">
        <f>+YEAR(PROVEEDORES[[#This Row],[FECHA DE FACTURACIÓN]])</f>
        <v>2022</v>
      </c>
      <c r="W1066" s="105">
        <f>+MATCH(PROVEEDORES[[#This Row],[año facturado]],Retenciones!$1:$1,0)</f>
        <v>5</v>
      </c>
      <c r="X1066" s="106">
        <f>+VLOOKUP(PROVEEDORES[[#This Row],[ID RETENCION]],Retenciones!$A$1:$O$25,PROVEEDORES[[#This Row],[indicador de columna]],FALSE)</f>
        <v>0</v>
      </c>
      <c r="Y1066" s="107">
        <f>+VLOOKUP(PROVEEDORES[[#This Row],[ID RETENCION]],Retenciones!$A$1:$O$25,2,FALSE)</f>
        <v>0</v>
      </c>
      <c r="Z1066" s="116" t="b">
        <f>OR(COUNTIF(PROVEEDORES[[#This Row],[PROVEEDOR]],"*"&amp;'Palabra no opera'!$A$2&amp;"*"))</f>
        <v>0</v>
      </c>
    </row>
    <row r="1067" spans="1:26" ht="22.35" customHeight="1" x14ac:dyDescent="0.3">
      <c r="A1067" s="67" t="str">
        <f>+IF(PROVEEDORES[[#This Row],[FECHA DE PAGO]]=PROVEEDORES[[#This Row],[FECHA DE FACTURACIÓN]],"DE CONTADO","CRÉDITO")</f>
        <v>CRÉDITO</v>
      </c>
      <c r="B1067" s="38" t="str">
        <f>+IF((PROVEEDORES[[#This Row],[FECHA DE PAGO]]-PROVEEDORES[[#This Row],[FECHA DE FACTURACIÓN]])&gt;PROVEEDORES[[#This Row],[PLAZO Días]],"PAGO VENCIDO")</f>
        <v>PAGO VENCIDO</v>
      </c>
      <c r="C1067" s="20">
        <f>+VLOOKUP(PROVEEDORES[[#This Row],[PROVEEDOR]],TERCEROS_INFO[#All],2,FALSE)</f>
        <v>30</v>
      </c>
      <c r="D1067" s="25">
        <f>+SUMIFS(PROVEEDORES[Total],PROVEEDORES[PROVEEDOR],PROVEEDORES[[#This Row],[PROVEEDOR]],PROVEEDORES[FECHA DE PAGO],"")</f>
        <v>0</v>
      </c>
      <c r="E1067" s="25"/>
      <c r="F1067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67" s="68">
        <v>44914</v>
      </c>
      <c r="H1067" s="231" t="s">
        <v>76</v>
      </c>
      <c r="I1067" s="68">
        <v>44809</v>
      </c>
      <c r="J1067" s="245" t="s">
        <v>1189</v>
      </c>
      <c r="K1067" s="21">
        <v>14901668</v>
      </c>
      <c r="L1067" s="21"/>
      <c r="M1067" s="22">
        <f>(PROVEEDORES[[#This Row],[SUBTOTAL]]-PROVEEDORES[[#This Row],[descuento sobre subtotal]])*VLOOKUP(PROVEEDORES[[#This Row],[PROVEEDOR]],TERCEROS_INFO[#All],3,FALSE)</f>
        <v>2831316.92</v>
      </c>
      <c r="N1067" s="23"/>
      <c r="O1067" s="22">
        <f>+PROVEEDORES[[#This Row],[Descuento sobre subtotal %]]*(PROVEEDORES[[#This Row],[SUBTOTAL]]-PROVEEDORES[[#This Row],[descuento sobre subtotal]])</f>
        <v>0</v>
      </c>
      <c r="P1067" s="74">
        <f>+IF(PROVEEDORES[[#This Row],[SUBTOTAL]]&lt;PROVEEDORES[[#This Row],[base retencion]],0,PROVEEDORES[[#This Row],[retención aplicada]])</f>
        <v>2.5000000000000001E-2</v>
      </c>
      <c r="Q1067" s="22">
        <f>+PROVEEDORES[[#This Row],[Rete Fuente %]]*(PROVEEDORES[[#This Row],[SUBTOTAL]]-PROVEEDORES[[#This Row],[descuento sobre subtotal]])</f>
        <v>372541.7</v>
      </c>
      <c r="R1067" s="21">
        <f>+PROVEEDORES[[#This Row],[SUBTOTAL]]+PROVEEDORES[[#This Row],[IVA 19%]]-PROVEEDORES[[#This Row],[descuento sobre subtotal]]-PROVEEDORES[[#This Row],[Descuento sobre subtotal $2]]-PROVEEDORES[[#This Row],[Rete Fuente $]]</f>
        <v>17360443.220000003</v>
      </c>
      <c r="S10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63">
        <f ca="1">IF(PROVEEDORES[[#This Row],[FECHA DE PAGO]]=0,TODAY()-PROVEEDORES[[#This Row],[FECHA DE FACTURACIÓN]]-PROVEEDORES[[#This Row],[PLAZO Días]],0)</f>
        <v>0</v>
      </c>
      <c r="U1067" s="104" t="str">
        <f>+VLOOKUP(PROVEEDORES[[#This Row],[PROVEEDOR]],Terceros!$A:$D,4,FALSE)</f>
        <v>2,5% con base</v>
      </c>
      <c r="V1067" s="105">
        <f>+YEAR(PROVEEDORES[[#This Row],[FECHA DE FACTURACIÓN]])</f>
        <v>2022</v>
      </c>
      <c r="W1067" s="105">
        <f>+MATCH(PROVEEDORES[[#This Row],[año facturado]],Retenciones!$1:$1,0)</f>
        <v>5</v>
      </c>
      <c r="X1067" s="106">
        <f>+VLOOKUP(PROVEEDORES[[#This Row],[ID RETENCION]],Retenciones!$A$1:$O$25,PROVEEDORES[[#This Row],[indicador de columna]],FALSE)</f>
        <v>1026000</v>
      </c>
      <c r="Y1067" s="107">
        <f>+VLOOKUP(PROVEEDORES[[#This Row],[ID RETENCION]],Retenciones!$A$1:$O$25,2,FALSE)</f>
        <v>2.5000000000000001E-2</v>
      </c>
      <c r="Z1067" s="116" t="b">
        <f>OR(COUNTIF(PROVEEDORES[[#This Row],[PROVEEDOR]],"*"&amp;'Palabra no opera'!$A$2&amp;"*"))</f>
        <v>0</v>
      </c>
    </row>
    <row r="1068" spans="1:26" ht="22.35" customHeight="1" x14ac:dyDescent="0.3">
      <c r="A1068" s="247" t="str">
        <f>+IF(PROVEEDORES[[#This Row],[FECHA DE PAGO]]=PROVEEDORES[[#This Row],[FECHA DE FACTURACIÓN]],"DE CONTADO","CRÉDITO")</f>
        <v>CRÉDITO</v>
      </c>
      <c r="B1068" s="38" t="b">
        <f>+IF((PROVEEDORES[[#This Row],[FECHA DE PAGO]]-PROVEEDORES[[#This Row],[FECHA DE FACTURACIÓN]])&gt;PROVEEDORES[[#This Row],[PLAZO Días]],"PAGO VENCIDO")</f>
        <v>0</v>
      </c>
      <c r="C1068" s="20">
        <f>+VLOOKUP(PROVEEDORES[[#This Row],[PROVEEDOR]],TERCEROS_INFO[#All],2,FALSE)</f>
        <v>30</v>
      </c>
      <c r="D1068" s="25">
        <f>+SUMIFS(PROVEEDORES[Total],PROVEEDORES[PROVEEDOR],PROVEEDORES[[#This Row],[PROVEEDOR]],PROVEEDORES[FECHA DE PAGO],"")</f>
        <v>0</v>
      </c>
      <c r="E1068" s="25"/>
      <c r="F1068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68" s="68">
        <v>44914</v>
      </c>
      <c r="H1068" s="26" t="s">
        <v>638</v>
      </c>
      <c r="I1068" s="68">
        <v>44896</v>
      </c>
      <c r="J1068" s="35">
        <v>186699</v>
      </c>
      <c r="K1068" s="21">
        <v>3891260</v>
      </c>
      <c r="L1068" s="21"/>
      <c r="M1068" s="22">
        <f>(PROVEEDORES[[#This Row],[SUBTOTAL]]-PROVEEDORES[[#This Row],[descuento sobre subtotal]])*VLOOKUP(PROVEEDORES[[#This Row],[PROVEEDOR]],TERCEROS_INFO[#All],3,FALSE)</f>
        <v>739339.4</v>
      </c>
      <c r="N1068" s="23"/>
      <c r="O1068" s="22">
        <f>+PROVEEDORES[[#This Row],[Descuento sobre subtotal %]]*(PROVEEDORES[[#This Row],[SUBTOTAL]]-PROVEEDORES[[#This Row],[descuento sobre subtotal]])</f>
        <v>0</v>
      </c>
      <c r="P1068" s="74">
        <f>+IF(PROVEEDORES[[#This Row],[SUBTOTAL]]&lt;PROVEEDORES[[#This Row],[base retencion]],0,PROVEEDORES[[#This Row],[retención aplicada]])</f>
        <v>3.5000000000000003E-2</v>
      </c>
      <c r="Q1068" s="22">
        <f>+PROVEEDORES[[#This Row],[Rete Fuente %]]*(PROVEEDORES[[#This Row],[SUBTOTAL]]-PROVEEDORES[[#This Row],[descuento sobre subtotal]])</f>
        <v>136194.1</v>
      </c>
      <c r="R1068" s="21">
        <f>+PROVEEDORES[[#This Row],[SUBTOTAL]]+PROVEEDORES[[#This Row],[IVA 19%]]-PROVEEDORES[[#This Row],[descuento sobre subtotal]]-PROVEEDORES[[#This Row],[Descuento sobre subtotal $2]]-PROVEEDORES[[#This Row],[Rete Fuente $]]</f>
        <v>4494405.3000000007</v>
      </c>
      <c r="S1068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63">
        <f ca="1">IF(PROVEEDORES[[#This Row],[FECHA DE PAGO]]=0,TODAY()-PROVEEDORES[[#This Row],[FECHA DE FACTURACIÓN]]-PROVEEDORES[[#This Row],[PLAZO Días]],0)</f>
        <v>0</v>
      </c>
      <c r="U1068" s="104" t="str">
        <f>+VLOOKUP(PROVEEDORES[[#This Row],[PROVEEDOR]],Terceros!$A:$D,4,FALSE)</f>
        <v>3,5% sin base</v>
      </c>
      <c r="V1068" s="105">
        <f>+YEAR(PROVEEDORES[[#This Row],[FECHA DE FACTURACIÓN]])</f>
        <v>2022</v>
      </c>
      <c r="W1068" s="105">
        <f>+MATCH(PROVEEDORES[[#This Row],[año facturado]],Retenciones!$1:$1,0)</f>
        <v>5</v>
      </c>
      <c r="X1068" s="106">
        <f>+VLOOKUP(PROVEEDORES[[#This Row],[ID RETENCION]],Retenciones!$A$1:$O$25,PROVEEDORES[[#This Row],[indicador de columna]],FALSE)</f>
        <v>0</v>
      </c>
      <c r="Y1068" s="107">
        <f>+VLOOKUP(PROVEEDORES[[#This Row],[ID RETENCION]],Retenciones!$A$1:$O$25,2,FALSE)</f>
        <v>3.5000000000000003E-2</v>
      </c>
      <c r="Z1068" s="116" t="b">
        <f>OR(COUNTIF(PROVEEDORES[[#This Row],[PROVEEDOR]],"*"&amp;'Palabra no opera'!$A$2&amp;"*"))</f>
        <v>1</v>
      </c>
    </row>
    <row r="1069" spans="1:26" ht="22.35" customHeight="1" x14ac:dyDescent="0.3">
      <c r="A1069" s="232" t="str">
        <f>+IF(PROVEEDORES[[#This Row],[FECHA DE PAGO]]=PROVEEDORES[[#This Row],[FECHA DE FACTURACIÓN]],"DE CONTADO","CRÉDITO")</f>
        <v>CRÉDITO</v>
      </c>
      <c r="B1069" s="38" t="b">
        <f>+IF((PROVEEDORES[[#This Row],[FECHA DE PAGO]]-PROVEEDORES[[#This Row],[FECHA DE FACTURACIÓN]])&gt;PROVEEDORES[[#This Row],[PLAZO Días]],"PAGO VENCIDO")</f>
        <v>0</v>
      </c>
      <c r="C1069" s="20">
        <f>+VLOOKUP(PROVEEDORES[[#This Row],[PROVEEDOR]],TERCEROS_INFO[#All],2,FALSE)</f>
        <v>60</v>
      </c>
      <c r="D1069" s="25">
        <f>+SUMIFS(PROVEEDORES[Total],PROVEEDORES[PROVEEDOR],PROVEEDORES[[#This Row],[PROVEEDOR]],PROVEEDORES[FECHA DE PAGO],"")</f>
        <v>395600</v>
      </c>
      <c r="E1069" s="25"/>
      <c r="F106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9" s="68">
        <v>44915</v>
      </c>
      <c r="H1069" s="231" t="s">
        <v>287</v>
      </c>
      <c r="I1069" s="68">
        <v>44868</v>
      </c>
      <c r="J1069" s="35">
        <v>1524</v>
      </c>
      <c r="K1069" s="21">
        <v>750052</v>
      </c>
      <c r="L1069" s="21"/>
      <c r="M1069" s="22">
        <f>(PROVEEDORES[[#This Row],[SUBTOTAL]]-PROVEEDORES[[#This Row],[descuento sobre subtotal]])*VLOOKUP(PROVEEDORES[[#This Row],[PROVEEDOR]],TERCEROS_INFO[#All],3,FALSE)</f>
        <v>0</v>
      </c>
      <c r="N1069" s="23"/>
      <c r="O1069" s="22">
        <f>+PROVEEDORES[[#This Row],[Descuento sobre subtotal %]]*(PROVEEDORES[[#This Row],[SUBTOTAL]]-PROVEEDORES[[#This Row],[descuento sobre subtotal]])</f>
        <v>0</v>
      </c>
      <c r="P1069" s="74">
        <f>+IF(PROVEEDORES[[#This Row],[SUBTOTAL]]&lt;PROVEEDORES[[#This Row],[base retencion]],0,PROVEEDORES[[#This Row],[retención aplicada]])</f>
        <v>0</v>
      </c>
      <c r="Q1069" s="22">
        <f>+PROVEEDORES[[#This Row],[Rete Fuente %]]*(PROVEEDORES[[#This Row],[SUBTOTAL]]-PROVEEDORES[[#This Row],[descuento sobre subtotal]])</f>
        <v>0</v>
      </c>
      <c r="R1069" s="21">
        <f>+PROVEEDORES[[#This Row],[SUBTOTAL]]+PROVEEDORES[[#This Row],[IVA 19%]]-PROVEEDORES[[#This Row],[descuento sobre subtotal]]-PROVEEDORES[[#This Row],[Descuento sobre subtotal $2]]-PROVEEDORES[[#This Row],[Rete Fuente $]]</f>
        <v>750052</v>
      </c>
      <c r="S1069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63">
        <f ca="1">IF(PROVEEDORES[[#This Row],[FECHA DE PAGO]]=0,TODAY()-PROVEEDORES[[#This Row],[FECHA DE FACTURACIÓN]]-PROVEEDORES[[#This Row],[PLAZO Días]],0)</f>
        <v>0</v>
      </c>
      <c r="U1069" s="104">
        <f>+VLOOKUP(PROVEEDORES[[#This Row],[PROVEEDOR]],Terceros!$A:$D,4,FALSE)</f>
        <v>0</v>
      </c>
      <c r="V1069" s="105">
        <f>+YEAR(PROVEEDORES[[#This Row],[FECHA DE FACTURACIÓN]])</f>
        <v>2022</v>
      </c>
      <c r="W1069" s="105">
        <f>+MATCH(PROVEEDORES[[#This Row],[año facturado]],Retenciones!$1:$1,0)</f>
        <v>5</v>
      </c>
      <c r="X1069" s="106">
        <f>+VLOOKUP(PROVEEDORES[[#This Row],[ID RETENCION]],Retenciones!$A$1:$O$25,PROVEEDORES[[#This Row],[indicador de columna]],FALSE)</f>
        <v>0</v>
      </c>
      <c r="Y1069" s="107">
        <f>+VLOOKUP(PROVEEDORES[[#This Row],[ID RETENCION]],Retenciones!$A$1:$O$25,2,FALSE)</f>
        <v>0</v>
      </c>
      <c r="Z1069" s="116" t="b">
        <f>OR(COUNTIF(PROVEEDORES[[#This Row],[PROVEEDOR]],"*"&amp;'Palabra no opera'!$A$2&amp;"*"))</f>
        <v>0</v>
      </c>
    </row>
    <row r="1070" spans="1:26" ht="22.35" customHeight="1" x14ac:dyDescent="0.3">
      <c r="A1070" s="232" t="str">
        <f>+IF(PROVEEDORES[[#This Row],[FECHA DE PAGO]]=PROVEEDORES[[#This Row],[FECHA DE FACTURACIÓN]],"DE CONTADO","CRÉDITO")</f>
        <v>CRÉDITO</v>
      </c>
      <c r="B1070" s="38" t="b">
        <f>+IF((PROVEEDORES[[#This Row],[FECHA DE PAGO]]-PROVEEDORES[[#This Row],[FECHA DE FACTURACIÓN]])&gt;PROVEEDORES[[#This Row],[PLAZO Días]],"PAGO VENCIDO")</f>
        <v>0</v>
      </c>
      <c r="C1070" s="20">
        <f>+VLOOKUP(PROVEEDORES[[#This Row],[PROVEEDOR]],TERCEROS_INFO[#All],2,FALSE)</f>
        <v>60</v>
      </c>
      <c r="D1070" s="25">
        <f>+SUMIFS(PROVEEDORES[Total],PROVEEDORES[PROVEEDOR],PROVEEDORES[[#This Row],[PROVEEDOR]],PROVEEDORES[FECHA DE PAGO],"")</f>
        <v>395600</v>
      </c>
      <c r="E1070" s="25"/>
      <c r="F107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0" s="68">
        <v>44915</v>
      </c>
      <c r="H1070" s="231" t="s">
        <v>287</v>
      </c>
      <c r="I1070" s="68">
        <v>44868</v>
      </c>
      <c r="J1070" s="35">
        <v>1525</v>
      </c>
      <c r="K1070" s="21">
        <v>770310</v>
      </c>
      <c r="L1070" s="21"/>
      <c r="M1070" s="22">
        <f>(PROVEEDORES[[#This Row],[SUBTOTAL]]-PROVEEDORES[[#This Row],[descuento sobre subtotal]])*VLOOKUP(PROVEEDORES[[#This Row],[PROVEEDOR]],TERCEROS_INFO[#All],3,FALSE)</f>
        <v>0</v>
      </c>
      <c r="N1070" s="23"/>
      <c r="O1070" s="22">
        <f>+PROVEEDORES[[#This Row],[Descuento sobre subtotal %]]*(PROVEEDORES[[#This Row],[SUBTOTAL]]-PROVEEDORES[[#This Row],[descuento sobre subtotal]])</f>
        <v>0</v>
      </c>
      <c r="P1070" s="74">
        <f>+IF(PROVEEDORES[[#This Row],[SUBTOTAL]]&lt;PROVEEDORES[[#This Row],[base retencion]],0,PROVEEDORES[[#This Row],[retención aplicada]])</f>
        <v>0</v>
      </c>
      <c r="Q1070" s="22">
        <f>+PROVEEDORES[[#This Row],[Rete Fuente %]]*(PROVEEDORES[[#This Row],[SUBTOTAL]]-PROVEEDORES[[#This Row],[descuento sobre subtotal]])</f>
        <v>0</v>
      </c>
      <c r="R1070" s="21">
        <f>+PROVEEDORES[[#This Row],[SUBTOTAL]]+PROVEEDORES[[#This Row],[IVA 19%]]-PROVEEDORES[[#This Row],[descuento sobre subtotal]]-PROVEEDORES[[#This Row],[Descuento sobre subtotal $2]]-PROVEEDORES[[#This Row],[Rete Fuente $]]</f>
        <v>770310</v>
      </c>
      <c r="S107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63">
        <f ca="1">IF(PROVEEDORES[[#This Row],[FECHA DE PAGO]]=0,TODAY()-PROVEEDORES[[#This Row],[FECHA DE FACTURACIÓN]]-PROVEEDORES[[#This Row],[PLAZO Días]],0)</f>
        <v>0</v>
      </c>
      <c r="U1070" s="104">
        <f>+VLOOKUP(PROVEEDORES[[#This Row],[PROVEEDOR]],Terceros!$A:$D,4,FALSE)</f>
        <v>0</v>
      </c>
      <c r="V1070" s="105">
        <f>+YEAR(PROVEEDORES[[#This Row],[FECHA DE FACTURACIÓN]])</f>
        <v>2022</v>
      </c>
      <c r="W1070" s="105">
        <f>+MATCH(PROVEEDORES[[#This Row],[año facturado]],Retenciones!$1:$1,0)</f>
        <v>5</v>
      </c>
      <c r="X1070" s="106">
        <f>+VLOOKUP(PROVEEDORES[[#This Row],[ID RETENCION]],Retenciones!$A$1:$O$25,PROVEEDORES[[#This Row],[indicador de columna]],FALSE)</f>
        <v>0</v>
      </c>
      <c r="Y1070" s="107">
        <f>+VLOOKUP(PROVEEDORES[[#This Row],[ID RETENCION]],Retenciones!$A$1:$O$25,2,FALSE)</f>
        <v>0</v>
      </c>
      <c r="Z1070" s="116" t="b">
        <f>OR(COUNTIF(PROVEEDORES[[#This Row],[PROVEEDOR]],"*"&amp;'Palabra no opera'!$A$2&amp;"*"))</f>
        <v>0</v>
      </c>
    </row>
    <row r="1071" spans="1:26" ht="22.35" customHeight="1" x14ac:dyDescent="0.3">
      <c r="A1071" s="242" t="str">
        <f>+IF(PROVEEDORES[[#This Row],[FECHA DE PAGO]]=PROVEEDORES[[#This Row],[FECHA DE FACTURACIÓN]],"DE CONTADO","CRÉDITO")</f>
        <v>CRÉDITO</v>
      </c>
      <c r="B1071" s="38" t="b">
        <f>+IF((PROVEEDORES[[#This Row],[FECHA DE PAGO]]-PROVEEDORES[[#This Row],[FECHA DE FACTURACIÓN]])&gt;PROVEEDORES[[#This Row],[PLAZO Días]],"PAGO VENCIDO")</f>
        <v>0</v>
      </c>
      <c r="C1071" s="20">
        <f>+VLOOKUP(PROVEEDORES[[#This Row],[PROVEEDOR]],TERCEROS_INFO[#All],2,FALSE)</f>
        <v>60</v>
      </c>
      <c r="D1071" s="25">
        <f>+SUMIFS(PROVEEDORES[Total],PROVEEDORES[PROVEEDOR],PROVEEDORES[[#This Row],[PROVEEDOR]],PROVEEDORES[FECHA DE PAGO],"")</f>
        <v>395600</v>
      </c>
      <c r="E1071" s="25"/>
      <c r="F107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1" s="68">
        <v>44915</v>
      </c>
      <c r="H1071" s="26" t="s">
        <v>287</v>
      </c>
      <c r="I1071" s="68">
        <v>44894</v>
      </c>
      <c r="J1071" s="35">
        <v>1542</v>
      </c>
      <c r="K1071" s="21">
        <v>233040</v>
      </c>
      <c r="L1071" s="21"/>
      <c r="M1071" s="22">
        <f>(PROVEEDORES[[#This Row],[SUBTOTAL]]-PROVEEDORES[[#This Row],[descuento sobre subtotal]])*VLOOKUP(PROVEEDORES[[#This Row],[PROVEEDOR]],TERCEROS_INFO[#All],3,FALSE)</f>
        <v>0</v>
      </c>
      <c r="N1071" s="23"/>
      <c r="O1071" s="22">
        <f>+PROVEEDORES[[#This Row],[Descuento sobre subtotal %]]*(PROVEEDORES[[#This Row],[SUBTOTAL]]-PROVEEDORES[[#This Row],[descuento sobre subtotal]])</f>
        <v>0</v>
      </c>
      <c r="P1071" s="74">
        <f>+IF(PROVEEDORES[[#This Row],[SUBTOTAL]]&lt;PROVEEDORES[[#This Row],[base retencion]],0,PROVEEDORES[[#This Row],[retención aplicada]])</f>
        <v>0</v>
      </c>
      <c r="Q1071" s="22">
        <f>+PROVEEDORES[[#This Row],[Rete Fuente %]]*(PROVEEDORES[[#This Row],[SUBTOTAL]]-PROVEEDORES[[#This Row],[descuento sobre subtotal]])</f>
        <v>0</v>
      </c>
      <c r="R1071" s="21">
        <f>+PROVEEDORES[[#This Row],[SUBTOTAL]]+PROVEEDORES[[#This Row],[IVA 19%]]-PROVEEDORES[[#This Row],[descuento sobre subtotal]]-PROVEEDORES[[#This Row],[Descuento sobre subtotal $2]]-PROVEEDORES[[#This Row],[Rete Fuente $]]</f>
        <v>233040</v>
      </c>
      <c r="S1071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63">
        <f ca="1">IF(PROVEEDORES[[#This Row],[FECHA DE PAGO]]=0,TODAY()-PROVEEDORES[[#This Row],[FECHA DE FACTURACIÓN]]-PROVEEDORES[[#This Row],[PLAZO Días]],0)</f>
        <v>0</v>
      </c>
      <c r="U1071" s="104">
        <f>+VLOOKUP(PROVEEDORES[[#This Row],[PROVEEDOR]],Terceros!$A:$D,4,FALSE)</f>
        <v>0</v>
      </c>
      <c r="V1071" s="105">
        <f>+YEAR(PROVEEDORES[[#This Row],[FECHA DE FACTURACIÓN]])</f>
        <v>2022</v>
      </c>
      <c r="W1071" s="105">
        <f>+MATCH(PROVEEDORES[[#This Row],[año facturado]],Retenciones!$1:$1,0)</f>
        <v>5</v>
      </c>
      <c r="X1071" s="106">
        <f>+VLOOKUP(PROVEEDORES[[#This Row],[ID RETENCION]],Retenciones!$A$1:$O$25,PROVEEDORES[[#This Row],[indicador de columna]],FALSE)</f>
        <v>0</v>
      </c>
      <c r="Y1071" s="107">
        <f>+VLOOKUP(PROVEEDORES[[#This Row],[ID RETENCION]],Retenciones!$A$1:$O$25,2,FALSE)</f>
        <v>0</v>
      </c>
      <c r="Z1071" s="116" t="b">
        <f>OR(COUNTIF(PROVEEDORES[[#This Row],[PROVEEDOR]],"*"&amp;'Palabra no opera'!$A$2&amp;"*"))</f>
        <v>0</v>
      </c>
    </row>
    <row r="1072" spans="1:26" ht="22.35" customHeight="1" x14ac:dyDescent="0.3">
      <c r="A1072" s="242" t="str">
        <f>+IF(PROVEEDORES[[#This Row],[FECHA DE PAGO]]=PROVEEDORES[[#This Row],[FECHA DE FACTURACIÓN]],"DE CONTADO","CRÉDITO")</f>
        <v>CRÉDITO</v>
      </c>
      <c r="B1072" s="38" t="b">
        <f>+IF((PROVEEDORES[[#This Row],[FECHA DE PAGO]]-PROVEEDORES[[#This Row],[FECHA DE FACTURACIÓN]])&gt;PROVEEDORES[[#This Row],[PLAZO Días]],"PAGO VENCIDO")</f>
        <v>0</v>
      </c>
      <c r="C1072" s="20">
        <f>+VLOOKUP(PROVEEDORES[[#This Row],[PROVEEDOR]],TERCEROS_INFO[#All],2,FALSE)</f>
        <v>60</v>
      </c>
      <c r="D1072" s="25">
        <f>+SUMIFS(PROVEEDORES[Total],PROVEEDORES[PROVEEDOR],PROVEEDORES[[#This Row],[PROVEEDOR]],PROVEEDORES[FECHA DE PAGO],"")</f>
        <v>395600</v>
      </c>
      <c r="E1072" s="25"/>
      <c r="F107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2" s="68">
        <v>44915</v>
      </c>
      <c r="H1072" s="26" t="s">
        <v>287</v>
      </c>
      <c r="I1072" s="68">
        <v>44895</v>
      </c>
      <c r="J1072" s="35">
        <v>1543</v>
      </c>
      <c r="K1072" s="21">
        <v>291300</v>
      </c>
      <c r="L1072" s="21"/>
      <c r="M1072" s="22">
        <f>(PROVEEDORES[[#This Row],[SUBTOTAL]]-PROVEEDORES[[#This Row],[descuento sobre subtotal]])*VLOOKUP(PROVEEDORES[[#This Row],[PROVEEDOR]],TERCEROS_INFO[#All],3,FALSE)</f>
        <v>0</v>
      </c>
      <c r="N1072" s="23"/>
      <c r="O1072" s="22">
        <f>+PROVEEDORES[[#This Row],[Descuento sobre subtotal %]]*(PROVEEDORES[[#This Row],[SUBTOTAL]]-PROVEEDORES[[#This Row],[descuento sobre subtotal]])</f>
        <v>0</v>
      </c>
      <c r="P1072" s="74">
        <f>+IF(PROVEEDORES[[#This Row],[SUBTOTAL]]&lt;PROVEEDORES[[#This Row],[base retencion]],0,PROVEEDORES[[#This Row],[retención aplicada]])</f>
        <v>0</v>
      </c>
      <c r="Q1072" s="22">
        <f>+PROVEEDORES[[#This Row],[Rete Fuente %]]*(PROVEEDORES[[#This Row],[SUBTOTAL]]-PROVEEDORES[[#This Row],[descuento sobre subtotal]])</f>
        <v>0</v>
      </c>
      <c r="R1072" s="21">
        <f>+PROVEEDORES[[#This Row],[SUBTOTAL]]+PROVEEDORES[[#This Row],[IVA 19%]]-PROVEEDORES[[#This Row],[descuento sobre subtotal]]-PROVEEDORES[[#This Row],[Descuento sobre subtotal $2]]-PROVEEDORES[[#This Row],[Rete Fuente $]]</f>
        <v>291300</v>
      </c>
      <c r="S1072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63">
        <f ca="1">IF(PROVEEDORES[[#This Row],[FECHA DE PAGO]]=0,TODAY()-PROVEEDORES[[#This Row],[FECHA DE FACTURACIÓN]]-PROVEEDORES[[#This Row],[PLAZO Días]],0)</f>
        <v>0</v>
      </c>
      <c r="U1072" s="104">
        <f>+VLOOKUP(PROVEEDORES[[#This Row],[PROVEEDOR]],Terceros!$A:$D,4,FALSE)</f>
        <v>0</v>
      </c>
      <c r="V1072" s="105">
        <f>+YEAR(PROVEEDORES[[#This Row],[FECHA DE FACTURACIÓN]])</f>
        <v>2022</v>
      </c>
      <c r="W1072" s="105">
        <f>+MATCH(PROVEEDORES[[#This Row],[año facturado]],Retenciones!$1:$1,0)</f>
        <v>5</v>
      </c>
      <c r="X1072" s="106">
        <f>+VLOOKUP(PROVEEDORES[[#This Row],[ID RETENCION]],Retenciones!$A$1:$O$25,PROVEEDORES[[#This Row],[indicador de columna]],FALSE)</f>
        <v>0</v>
      </c>
      <c r="Y1072" s="107">
        <f>+VLOOKUP(PROVEEDORES[[#This Row],[ID RETENCION]],Retenciones!$A$1:$O$25,2,FALSE)</f>
        <v>0</v>
      </c>
      <c r="Z1072" s="116" t="b">
        <f>OR(COUNTIF(PROVEEDORES[[#This Row],[PROVEEDOR]],"*"&amp;'Palabra no opera'!$A$2&amp;"*"))</f>
        <v>0</v>
      </c>
    </row>
    <row r="1073" spans="1:26" ht="22.35" customHeight="1" x14ac:dyDescent="0.3">
      <c r="A1073" s="247" t="str">
        <f>+IF(PROVEEDORES[[#This Row],[FECHA DE PAGO]]=PROVEEDORES[[#This Row],[FECHA DE FACTURACIÓN]],"DE CONTADO","CRÉDITO")</f>
        <v>CRÉDITO</v>
      </c>
      <c r="B1073" s="38" t="b">
        <f>+IF((PROVEEDORES[[#This Row],[FECHA DE PAGO]]-PROVEEDORES[[#This Row],[FECHA DE FACTURACIÓN]])&gt;PROVEEDORES[[#This Row],[PLAZO Días]],"PAGO VENCIDO")</f>
        <v>0</v>
      </c>
      <c r="C1073" s="20">
        <f>+VLOOKUP(PROVEEDORES[[#This Row],[PROVEEDOR]],TERCEROS_INFO[#All],2,FALSE)</f>
        <v>60</v>
      </c>
      <c r="D1073" s="25">
        <f>+SUMIFS(PROVEEDORES[Total],PROVEEDORES[PROVEEDOR],PROVEEDORES[[#This Row],[PROVEEDOR]],PROVEEDORES[FECHA DE PAGO],"")</f>
        <v>395600</v>
      </c>
      <c r="E1073" s="25"/>
      <c r="F107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3" s="68">
        <v>44915</v>
      </c>
      <c r="H1073" s="26" t="s">
        <v>287</v>
      </c>
      <c r="I1073" s="68">
        <v>44909</v>
      </c>
      <c r="J1073" s="35">
        <v>1560</v>
      </c>
      <c r="K1073" s="21">
        <v>702182</v>
      </c>
      <c r="L1073" s="21"/>
      <c r="M1073" s="22">
        <f>(PROVEEDORES[[#This Row],[SUBTOTAL]]-PROVEEDORES[[#This Row],[descuento sobre subtotal]])*VLOOKUP(PROVEEDORES[[#This Row],[PROVEEDOR]],TERCEROS_INFO[#All],3,FALSE)</f>
        <v>0</v>
      </c>
      <c r="N1073" s="23"/>
      <c r="O1073" s="22">
        <f>+PROVEEDORES[[#This Row],[Descuento sobre subtotal %]]*(PROVEEDORES[[#This Row],[SUBTOTAL]]-PROVEEDORES[[#This Row],[descuento sobre subtotal]])</f>
        <v>0</v>
      </c>
      <c r="P1073" s="74">
        <f>+IF(PROVEEDORES[[#This Row],[SUBTOTAL]]&lt;PROVEEDORES[[#This Row],[base retencion]],0,PROVEEDORES[[#This Row],[retención aplicada]])</f>
        <v>0</v>
      </c>
      <c r="Q1073" s="22">
        <f>+PROVEEDORES[[#This Row],[Rete Fuente %]]*(PROVEEDORES[[#This Row],[SUBTOTAL]]-PROVEEDORES[[#This Row],[descuento sobre subtotal]])</f>
        <v>0</v>
      </c>
      <c r="R1073" s="21">
        <f>+PROVEEDORES[[#This Row],[SUBTOTAL]]+PROVEEDORES[[#This Row],[IVA 19%]]-PROVEEDORES[[#This Row],[descuento sobre subtotal]]-PROVEEDORES[[#This Row],[Descuento sobre subtotal $2]]-PROVEEDORES[[#This Row],[Rete Fuente $]]</f>
        <v>702182</v>
      </c>
      <c r="S1073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63">
        <f ca="1">IF(PROVEEDORES[[#This Row],[FECHA DE PAGO]]=0,TODAY()-PROVEEDORES[[#This Row],[FECHA DE FACTURACIÓN]]-PROVEEDORES[[#This Row],[PLAZO Días]],0)</f>
        <v>0</v>
      </c>
      <c r="U1073" s="104">
        <f>+VLOOKUP(PROVEEDORES[[#This Row],[PROVEEDOR]],Terceros!$A:$D,4,FALSE)</f>
        <v>0</v>
      </c>
      <c r="V1073" s="105">
        <f>+YEAR(PROVEEDORES[[#This Row],[FECHA DE FACTURACIÓN]])</f>
        <v>2022</v>
      </c>
      <c r="W1073" s="105">
        <f>+MATCH(PROVEEDORES[[#This Row],[año facturado]],Retenciones!$1:$1,0)</f>
        <v>5</v>
      </c>
      <c r="X1073" s="106">
        <f>+VLOOKUP(PROVEEDORES[[#This Row],[ID RETENCION]],Retenciones!$A$1:$O$25,PROVEEDORES[[#This Row],[indicador de columna]],FALSE)</f>
        <v>0</v>
      </c>
      <c r="Y1073" s="107">
        <f>+VLOOKUP(PROVEEDORES[[#This Row],[ID RETENCION]],Retenciones!$A$1:$O$25,2,FALSE)</f>
        <v>0</v>
      </c>
      <c r="Z1073" s="116" t="b">
        <f>OR(COUNTIF(PROVEEDORES[[#This Row],[PROVEEDOR]],"*"&amp;'Palabra no opera'!$A$2&amp;"*"))</f>
        <v>0</v>
      </c>
    </row>
    <row r="1074" spans="1:26" ht="22.35" customHeight="1" x14ac:dyDescent="0.3">
      <c r="A1074" s="247" t="str">
        <f>+IF(PROVEEDORES[[#This Row],[FECHA DE PAGO]]=PROVEEDORES[[#This Row],[FECHA DE FACTURACIÓN]],"DE CONTADO","CRÉDITO")</f>
        <v>CRÉDITO</v>
      </c>
      <c r="B1074" s="38" t="b">
        <f>+IF((PROVEEDORES[[#This Row],[FECHA DE PAGO]]-PROVEEDORES[[#This Row],[FECHA DE FACTURACIÓN]])&gt;PROVEEDORES[[#This Row],[PLAZO Días]],"PAGO VENCIDO")</f>
        <v>0</v>
      </c>
      <c r="C1074" s="20">
        <f>+VLOOKUP(PROVEEDORES[[#This Row],[PROVEEDOR]],TERCEROS_INFO[#All],2,FALSE)</f>
        <v>60</v>
      </c>
      <c r="D1074" s="25">
        <f>+SUMIFS(PROVEEDORES[Total],PROVEEDORES[PROVEEDOR],PROVEEDORES[[#This Row],[PROVEEDOR]],PROVEEDORES[FECHA DE PAGO],"")</f>
        <v>395600</v>
      </c>
      <c r="E1074" s="25"/>
      <c r="F107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4" s="68">
        <v>44915</v>
      </c>
      <c r="H1074" s="26" t="s">
        <v>287</v>
      </c>
      <c r="I1074" s="68">
        <v>44909</v>
      </c>
      <c r="J1074" s="35">
        <v>1559</v>
      </c>
      <c r="K1074" s="21">
        <v>662030</v>
      </c>
      <c r="L1074" s="21"/>
      <c r="M1074" s="22">
        <f>(PROVEEDORES[[#This Row],[SUBTOTAL]]-PROVEEDORES[[#This Row],[descuento sobre subtotal]])*VLOOKUP(PROVEEDORES[[#This Row],[PROVEEDOR]],TERCEROS_INFO[#All],3,FALSE)</f>
        <v>0</v>
      </c>
      <c r="N1074" s="23"/>
      <c r="O1074" s="22">
        <f>+PROVEEDORES[[#This Row],[Descuento sobre subtotal %]]*(PROVEEDORES[[#This Row],[SUBTOTAL]]-PROVEEDORES[[#This Row],[descuento sobre subtotal]])</f>
        <v>0</v>
      </c>
      <c r="P1074" s="74">
        <f>+IF(PROVEEDORES[[#This Row],[SUBTOTAL]]&lt;PROVEEDORES[[#This Row],[base retencion]],0,PROVEEDORES[[#This Row],[retención aplicada]])</f>
        <v>0</v>
      </c>
      <c r="Q1074" s="22">
        <f>+PROVEEDORES[[#This Row],[Rete Fuente %]]*(PROVEEDORES[[#This Row],[SUBTOTAL]]-PROVEEDORES[[#This Row],[descuento sobre subtotal]])</f>
        <v>0</v>
      </c>
      <c r="R1074" s="21">
        <f>+PROVEEDORES[[#This Row],[SUBTOTAL]]+PROVEEDORES[[#This Row],[IVA 19%]]-PROVEEDORES[[#This Row],[descuento sobre subtotal]]-PROVEEDORES[[#This Row],[Descuento sobre subtotal $2]]-PROVEEDORES[[#This Row],[Rete Fuente $]]</f>
        <v>662030</v>
      </c>
      <c r="S1074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63">
        <f ca="1">IF(PROVEEDORES[[#This Row],[FECHA DE PAGO]]=0,TODAY()-PROVEEDORES[[#This Row],[FECHA DE FACTURACIÓN]]-PROVEEDORES[[#This Row],[PLAZO Días]],0)</f>
        <v>0</v>
      </c>
      <c r="U1074" s="104">
        <f>+VLOOKUP(PROVEEDORES[[#This Row],[PROVEEDOR]],Terceros!$A:$D,4,FALSE)</f>
        <v>0</v>
      </c>
      <c r="V1074" s="105">
        <f>+YEAR(PROVEEDORES[[#This Row],[FECHA DE FACTURACIÓN]])</f>
        <v>2022</v>
      </c>
      <c r="W1074" s="105">
        <f>+MATCH(PROVEEDORES[[#This Row],[año facturado]],Retenciones!$1:$1,0)</f>
        <v>5</v>
      </c>
      <c r="X1074" s="106">
        <f>+VLOOKUP(PROVEEDORES[[#This Row],[ID RETENCION]],Retenciones!$A$1:$O$25,PROVEEDORES[[#This Row],[indicador de columna]],FALSE)</f>
        <v>0</v>
      </c>
      <c r="Y1074" s="107">
        <f>+VLOOKUP(PROVEEDORES[[#This Row],[ID RETENCION]],Retenciones!$A$1:$O$25,2,FALSE)</f>
        <v>0</v>
      </c>
      <c r="Z1074" s="116" t="b">
        <f>OR(COUNTIF(PROVEEDORES[[#This Row],[PROVEEDOR]],"*"&amp;'Palabra no opera'!$A$2&amp;"*"))</f>
        <v>0</v>
      </c>
    </row>
    <row r="1075" spans="1:26" ht="22.35" customHeight="1" x14ac:dyDescent="0.3">
      <c r="A1075" s="247" t="str">
        <f>+IF(PROVEEDORES[[#This Row],[FECHA DE PAGO]]=PROVEEDORES[[#This Row],[FECHA DE FACTURACIÓN]],"DE CONTADO","CRÉDITO")</f>
        <v>CRÉDITO</v>
      </c>
      <c r="B1075" s="38" t="b">
        <f>+IF((PROVEEDORES[[#This Row],[FECHA DE PAGO]]-PROVEEDORES[[#This Row],[FECHA DE FACTURACIÓN]])&gt;PROVEEDORES[[#This Row],[PLAZO Días]],"PAGO VENCIDO")</f>
        <v>0</v>
      </c>
      <c r="C1075" s="20">
        <f>+VLOOKUP(PROVEEDORES[[#This Row],[PROVEEDOR]],TERCEROS_INFO[#All],2,FALSE)</f>
        <v>60</v>
      </c>
      <c r="D1075" s="25">
        <f>+SUMIFS(PROVEEDORES[Total],PROVEEDORES[PROVEEDOR],PROVEEDORES[[#This Row],[PROVEEDOR]],PROVEEDORES[FECHA DE PAGO],"")</f>
        <v>395600</v>
      </c>
      <c r="E1075" s="25"/>
      <c r="F107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5" s="68">
        <v>44915</v>
      </c>
      <c r="H1075" s="26" t="s">
        <v>287</v>
      </c>
      <c r="I1075" s="68">
        <v>44909</v>
      </c>
      <c r="J1075" s="35">
        <v>1558</v>
      </c>
      <c r="K1075" s="21">
        <v>267680</v>
      </c>
      <c r="L1075" s="21"/>
      <c r="M1075" s="22">
        <f>(PROVEEDORES[[#This Row],[SUBTOTAL]]-PROVEEDORES[[#This Row],[descuento sobre subtotal]])*VLOOKUP(PROVEEDORES[[#This Row],[PROVEEDOR]],TERCEROS_INFO[#All],3,FALSE)</f>
        <v>0</v>
      </c>
      <c r="N1075" s="23"/>
      <c r="O1075" s="22">
        <f>+PROVEEDORES[[#This Row],[Descuento sobre subtotal %]]*(PROVEEDORES[[#This Row],[SUBTOTAL]]-PROVEEDORES[[#This Row],[descuento sobre subtotal]])</f>
        <v>0</v>
      </c>
      <c r="P1075" s="74">
        <f>+IF(PROVEEDORES[[#This Row],[SUBTOTAL]]&lt;PROVEEDORES[[#This Row],[base retencion]],0,PROVEEDORES[[#This Row],[retención aplicada]])</f>
        <v>0</v>
      </c>
      <c r="Q1075" s="22">
        <f>+PROVEEDORES[[#This Row],[Rete Fuente %]]*(PROVEEDORES[[#This Row],[SUBTOTAL]]-PROVEEDORES[[#This Row],[descuento sobre subtotal]])</f>
        <v>0</v>
      </c>
      <c r="R1075" s="21">
        <f>+PROVEEDORES[[#This Row],[SUBTOTAL]]+PROVEEDORES[[#This Row],[IVA 19%]]-PROVEEDORES[[#This Row],[descuento sobre subtotal]]-PROVEEDORES[[#This Row],[Descuento sobre subtotal $2]]-PROVEEDORES[[#This Row],[Rete Fuente $]]</f>
        <v>267680</v>
      </c>
      <c r="S1075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63">
        <f ca="1">IF(PROVEEDORES[[#This Row],[FECHA DE PAGO]]=0,TODAY()-PROVEEDORES[[#This Row],[FECHA DE FACTURACIÓN]]-PROVEEDORES[[#This Row],[PLAZO Días]],0)</f>
        <v>0</v>
      </c>
      <c r="U1075" s="104">
        <f>+VLOOKUP(PROVEEDORES[[#This Row],[PROVEEDOR]],Terceros!$A:$D,4,FALSE)</f>
        <v>0</v>
      </c>
      <c r="V1075" s="105">
        <f>+YEAR(PROVEEDORES[[#This Row],[FECHA DE FACTURACIÓN]])</f>
        <v>2022</v>
      </c>
      <c r="W1075" s="105">
        <f>+MATCH(PROVEEDORES[[#This Row],[año facturado]],Retenciones!$1:$1,0)</f>
        <v>5</v>
      </c>
      <c r="X1075" s="106">
        <f>+VLOOKUP(PROVEEDORES[[#This Row],[ID RETENCION]],Retenciones!$A$1:$O$25,PROVEEDORES[[#This Row],[indicador de columna]],FALSE)</f>
        <v>0</v>
      </c>
      <c r="Y1075" s="107">
        <f>+VLOOKUP(PROVEEDORES[[#This Row],[ID RETENCION]],Retenciones!$A$1:$O$25,2,FALSE)</f>
        <v>0</v>
      </c>
      <c r="Z1075" s="116" t="b">
        <f>OR(COUNTIF(PROVEEDORES[[#This Row],[PROVEEDOR]],"*"&amp;'Palabra no opera'!$A$2&amp;"*"))</f>
        <v>0</v>
      </c>
    </row>
    <row r="1076" spans="1:26" ht="22.35" customHeight="1" x14ac:dyDescent="0.3">
      <c r="A1076" s="247" t="str">
        <f>+IF(PROVEEDORES[[#This Row],[FECHA DE PAGO]]=PROVEEDORES[[#This Row],[FECHA DE FACTURACIÓN]],"DE CONTADO","CRÉDITO")</f>
        <v>CRÉDITO</v>
      </c>
      <c r="B1076" s="38" t="b">
        <f>+IF((PROVEEDORES[[#This Row],[FECHA DE PAGO]]-PROVEEDORES[[#This Row],[FECHA DE FACTURACIÓN]])&gt;PROVEEDORES[[#This Row],[PLAZO Días]],"PAGO VENCIDO")</f>
        <v>0</v>
      </c>
      <c r="C1076" s="20">
        <f>+VLOOKUP(PROVEEDORES[[#This Row],[PROVEEDOR]],TERCEROS_INFO[#All],2,FALSE)</f>
        <v>60</v>
      </c>
      <c r="D1076" s="25">
        <f>+SUMIFS(PROVEEDORES[Total],PROVEEDORES[PROVEEDOR],PROVEEDORES[[#This Row],[PROVEEDOR]],PROVEEDORES[FECHA DE PAGO],"")</f>
        <v>395600</v>
      </c>
      <c r="E1076" s="25"/>
      <c r="F107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6" s="68">
        <v>44915</v>
      </c>
      <c r="H1076" s="26" t="s">
        <v>287</v>
      </c>
      <c r="I1076" s="68">
        <v>44914</v>
      </c>
      <c r="J1076" s="35">
        <v>1561</v>
      </c>
      <c r="K1076" s="21">
        <v>267680</v>
      </c>
      <c r="L1076" s="21"/>
      <c r="M1076" s="22">
        <f>(PROVEEDORES[[#This Row],[SUBTOTAL]]-PROVEEDORES[[#This Row],[descuento sobre subtotal]])*VLOOKUP(PROVEEDORES[[#This Row],[PROVEEDOR]],TERCEROS_INFO[#All],3,FALSE)</f>
        <v>0</v>
      </c>
      <c r="N1076" s="23"/>
      <c r="O1076" s="22">
        <f>+PROVEEDORES[[#This Row],[Descuento sobre subtotal %]]*(PROVEEDORES[[#This Row],[SUBTOTAL]]-PROVEEDORES[[#This Row],[descuento sobre subtotal]])</f>
        <v>0</v>
      </c>
      <c r="P1076" s="74">
        <f>+IF(PROVEEDORES[[#This Row],[SUBTOTAL]]&lt;PROVEEDORES[[#This Row],[base retencion]],0,PROVEEDORES[[#This Row],[retención aplicada]])</f>
        <v>0</v>
      </c>
      <c r="Q1076" s="22">
        <f>+PROVEEDORES[[#This Row],[Rete Fuente %]]*(PROVEEDORES[[#This Row],[SUBTOTAL]]-PROVEEDORES[[#This Row],[descuento sobre subtotal]])</f>
        <v>0</v>
      </c>
      <c r="R1076" s="21">
        <f>+PROVEEDORES[[#This Row],[SUBTOTAL]]+PROVEEDORES[[#This Row],[IVA 19%]]-PROVEEDORES[[#This Row],[descuento sobre subtotal]]-PROVEEDORES[[#This Row],[Descuento sobre subtotal $2]]-PROVEEDORES[[#This Row],[Rete Fuente $]]</f>
        <v>267680</v>
      </c>
      <c r="S1076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63">
        <f ca="1">IF(PROVEEDORES[[#This Row],[FECHA DE PAGO]]=0,TODAY()-PROVEEDORES[[#This Row],[FECHA DE FACTURACIÓN]]-PROVEEDORES[[#This Row],[PLAZO Días]],0)</f>
        <v>0</v>
      </c>
      <c r="U1076" s="104">
        <f>+VLOOKUP(PROVEEDORES[[#This Row],[PROVEEDOR]],Terceros!$A:$D,4,FALSE)</f>
        <v>0</v>
      </c>
      <c r="V1076" s="105">
        <f>+YEAR(PROVEEDORES[[#This Row],[FECHA DE FACTURACIÓN]])</f>
        <v>2022</v>
      </c>
      <c r="W1076" s="105">
        <f>+MATCH(PROVEEDORES[[#This Row],[año facturado]],Retenciones!$1:$1,0)</f>
        <v>5</v>
      </c>
      <c r="X1076" s="106">
        <f>+VLOOKUP(PROVEEDORES[[#This Row],[ID RETENCION]],Retenciones!$A$1:$O$25,PROVEEDORES[[#This Row],[indicador de columna]],FALSE)</f>
        <v>0</v>
      </c>
      <c r="Y1076" s="107">
        <f>+VLOOKUP(PROVEEDORES[[#This Row],[ID RETENCION]],Retenciones!$A$1:$O$25,2,FALSE)</f>
        <v>0</v>
      </c>
      <c r="Z1076" s="116" t="b">
        <f>OR(COUNTIF(PROVEEDORES[[#This Row],[PROVEEDOR]],"*"&amp;'Palabra no opera'!$A$2&amp;"*"))</f>
        <v>0</v>
      </c>
    </row>
    <row r="1077" spans="1:26" ht="22.35" customHeight="1" x14ac:dyDescent="0.3">
      <c r="A1077" s="247" t="str">
        <f>+IF(PROVEEDORES[[#This Row],[FECHA DE PAGO]]=PROVEEDORES[[#This Row],[FECHA DE FACTURACIÓN]],"DE CONTADO","CRÉDITO")</f>
        <v>CRÉDITO</v>
      </c>
      <c r="B1077" s="38" t="b">
        <f>+IF((PROVEEDORES[[#This Row],[FECHA DE PAGO]]-PROVEEDORES[[#This Row],[FECHA DE FACTURACIÓN]])&gt;PROVEEDORES[[#This Row],[PLAZO Días]],"PAGO VENCIDO")</f>
        <v>0</v>
      </c>
      <c r="C1077" s="20">
        <f>+VLOOKUP(PROVEEDORES[[#This Row],[PROVEEDOR]],TERCEROS_INFO[#All],2,FALSE)</f>
        <v>60</v>
      </c>
      <c r="D1077" s="25">
        <f>+SUMIFS(PROVEEDORES[Total],PROVEEDORES[PROVEEDOR],PROVEEDORES[[#This Row],[PROVEEDOR]],PROVEEDORES[FECHA DE PAGO],"")</f>
        <v>395600</v>
      </c>
      <c r="E1077" s="25"/>
      <c r="F107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7" s="68">
        <v>44915</v>
      </c>
      <c r="H1077" s="26" t="s">
        <v>287</v>
      </c>
      <c r="I1077" s="68">
        <v>44914</v>
      </c>
      <c r="J1077" s="35">
        <v>1562</v>
      </c>
      <c r="K1077" s="21">
        <v>248560</v>
      </c>
      <c r="L1077" s="21"/>
      <c r="M1077" s="22">
        <f>(PROVEEDORES[[#This Row],[SUBTOTAL]]-PROVEEDORES[[#This Row],[descuento sobre subtotal]])*VLOOKUP(PROVEEDORES[[#This Row],[PROVEEDOR]],TERCEROS_INFO[#All],3,FALSE)</f>
        <v>0</v>
      </c>
      <c r="N1077" s="23"/>
      <c r="O1077" s="22">
        <f>+PROVEEDORES[[#This Row],[Descuento sobre subtotal %]]*(PROVEEDORES[[#This Row],[SUBTOTAL]]-PROVEEDORES[[#This Row],[descuento sobre subtotal]])</f>
        <v>0</v>
      </c>
      <c r="P1077" s="74">
        <f>+IF(PROVEEDORES[[#This Row],[SUBTOTAL]]&lt;PROVEEDORES[[#This Row],[base retencion]],0,PROVEEDORES[[#This Row],[retención aplicada]])</f>
        <v>0</v>
      </c>
      <c r="Q1077" s="22">
        <f>+PROVEEDORES[[#This Row],[Rete Fuente %]]*(PROVEEDORES[[#This Row],[SUBTOTAL]]-PROVEEDORES[[#This Row],[descuento sobre subtotal]])</f>
        <v>0</v>
      </c>
      <c r="R1077" s="21">
        <f>+PROVEEDORES[[#This Row],[SUBTOTAL]]+PROVEEDORES[[#This Row],[IVA 19%]]-PROVEEDORES[[#This Row],[descuento sobre subtotal]]-PROVEEDORES[[#This Row],[Descuento sobre subtotal $2]]-PROVEEDORES[[#This Row],[Rete Fuente $]]</f>
        <v>248560</v>
      </c>
      <c r="S1077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63">
        <f ca="1">IF(PROVEEDORES[[#This Row],[FECHA DE PAGO]]=0,TODAY()-PROVEEDORES[[#This Row],[FECHA DE FACTURACIÓN]]-PROVEEDORES[[#This Row],[PLAZO Días]],0)</f>
        <v>0</v>
      </c>
      <c r="U1077" s="104">
        <f>+VLOOKUP(PROVEEDORES[[#This Row],[PROVEEDOR]],Terceros!$A:$D,4,FALSE)</f>
        <v>0</v>
      </c>
      <c r="V1077" s="105">
        <f>+YEAR(PROVEEDORES[[#This Row],[FECHA DE FACTURACIÓN]])</f>
        <v>2022</v>
      </c>
      <c r="W1077" s="105">
        <f>+MATCH(PROVEEDORES[[#This Row],[año facturado]],Retenciones!$1:$1,0)</f>
        <v>5</v>
      </c>
      <c r="X1077" s="106">
        <f>+VLOOKUP(PROVEEDORES[[#This Row],[ID RETENCION]],Retenciones!$A$1:$O$25,PROVEEDORES[[#This Row],[indicador de columna]],FALSE)</f>
        <v>0</v>
      </c>
      <c r="Y1077" s="107">
        <f>+VLOOKUP(PROVEEDORES[[#This Row],[ID RETENCION]],Retenciones!$A$1:$O$25,2,FALSE)</f>
        <v>0</v>
      </c>
      <c r="Z1077" s="116" t="b">
        <f>OR(COUNTIF(PROVEEDORES[[#This Row],[PROVEEDOR]],"*"&amp;'Palabra no opera'!$A$2&amp;"*"))</f>
        <v>0</v>
      </c>
    </row>
    <row r="1078" spans="1:26" ht="22.35" customHeight="1" x14ac:dyDescent="0.3">
      <c r="A1078" s="247" t="str">
        <f>+IF(PROVEEDORES[[#This Row],[FECHA DE PAGO]]=PROVEEDORES[[#This Row],[FECHA DE FACTURACIÓN]],"DE CONTADO","CRÉDITO")</f>
        <v>CRÉDITO</v>
      </c>
      <c r="B1078" s="38" t="b">
        <f>+IF((PROVEEDORES[[#This Row],[FECHA DE PAGO]]-PROVEEDORES[[#This Row],[FECHA DE FACTURACIÓN]])&gt;PROVEEDORES[[#This Row],[PLAZO Días]],"PAGO VENCIDO")</f>
        <v>0</v>
      </c>
      <c r="C1078" s="20">
        <f>+VLOOKUP(PROVEEDORES[[#This Row],[PROVEEDOR]],TERCEROS_INFO[#All],2,FALSE)</f>
        <v>45</v>
      </c>
      <c r="D1078" s="25">
        <f>+SUMIFS(PROVEEDORES[Total],PROVEEDORES[PROVEEDOR],PROVEEDORES[[#This Row],[PROVEEDOR]],PROVEEDORES[FECHA DE PAGO],"")</f>
        <v>3074500</v>
      </c>
      <c r="E1078" s="25"/>
      <c r="F107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8" s="68">
        <v>44915</v>
      </c>
      <c r="H1078" s="26" t="s">
        <v>289</v>
      </c>
      <c r="I1078" s="68">
        <v>44902</v>
      </c>
      <c r="J1078" s="35">
        <v>1549</v>
      </c>
      <c r="K1078" s="21">
        <v>3322100</v>
      </c>
      <c r="L1078" s="21"/>
      <c r="M1078" s="22">
        <f>(PROVEEDORES[[#This Row],[SUBTOTAL]]-PROVEEDORES[[#This Row],[descuento sobre subtotal]])*VLOOKUP(PROVEEDORES[[#This Row],[PROVEEDOR]],TERCEROS_INFO[#All],3,FALSE)</f>
        <v>0</v>
      </c>
      <c r="N1078" s="23"/>
      <c r="O1078" s="22">
        <f>+PROVEEDORES[[#This Row],[Descuento sobre subtotal %]]*(PROVEEDORES[[#This Row],[SUBTOTAL]]-PROVEEDORES[[#This Row],[descuento sobre subtotal]])</f>
        <v>0</v>
      </c>
      <c r="P1078" s="74">
        <f>+IF(PROVEEDORES[[#This Row],[SUBTOTAL]]&lt;PROVEEDORES[[#This Row],[base retencion]],0,PROVEEDORES[[#This Row],[retención aplicada]])</f>
        <v>0</v>
      </c>
      <c r="Q1078" s="22">
        <f>+PROVEEDORES[[#This Row],[Rete Fuente %]]*(PROVEEDORES[[#This Row],[SUBTOTAL]]-PROVEEDORES[[#This Row],[descuento sobre subtotal]])</f>
        <v>0</v>
      </c>
      <c r="R1078" s="21">
        <f>+PROVEEDORES[[#This Row],[SUBTOTAL]]+PROVEEDORES[[#This Row],[IVA 19%]]-PROVEEDORES[[#This Row],[descuento sobre subtotal]]-PROVEEDORES[[#This Row],[Descuento sobre subtotal $2]]-PROVEEDORES[[#This Row],[Rete Fuente $]]</f>
        <v>3322100</v>
      </c>
      <c r="S1078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63">
        <f ca="1">IF(PROVEEDORES[[#This Row],[FECHA DE PAGO]]=0,TODAY()-PROVEEDORES[[#This Row],[FECHA DE FACTURACIÓN]]-PROVEEDORES[[#This Row],[PLAZO Días]],0)</f>
        <v>0</v>
      </c>
      <c r="U1078" s="104">
        <f>+VLOOKUP(PROVEEDORES[[#This Row],[PROVEEDOR]],Terceros!$A:$D,4,FALSE)</f>
        <v>0</v>
      </c>
      <c r="V1078" s="105">
        <f>+YEAR(PROVEEDORES[[#This Row],[FECHA DE FACTURACIÓN]])</f>
        <v>2022</v>
      </c>
      <c r="W1078" s="105">
        <f>+MATCH(PROVEEDORES[[#This Row],[año facturado]],Retenciones!$1:$1,0)</f>
        <v>5</v>
      </c>
      <c r="X1078" s="106">
        <f>+VLOOKUP(PROVEEDORES[[#This Row],[ID RETENCION]],Retenciones!$A$1:$O$25,PROVEEDORES[[#This Row],[indicador de columna]],FALSE)</f>
        <v>0</v>
      </c>
      <c r="Y1078" s="107">
        <f>+VLOOKUP(PROVEEDORES[[#This Row],[ID RETENCION]],Retenciones!$A$1:$O$25,2,FALSE)</f>
        <v>0</v>
      </c>
      <c r="Z1078" s="116" t="b">
        <f>OR(COUNTIF(PROVEEDORES[[#This Row],[PROVEEDOR]],"*"&amp;'Palabra no opera'!$A$2&amp;"*"))</f>
        <v>0</v>
      </c>
    </row>
    <row r="1079" spans="1:26" ht="22.35" customHeight="1" x14ac:dyDescent="0.3">
      <c r="A1079" s="67" t="str">
        <f>+IF(PROVEEDORES[[#This Row],[FECHA DE PAGO]]=PROVEEDORES[[#This Row],[FECHA DE FACTURACIÓN]],"DE CONTADO","CRÉDITO")</f>
        <v>CRÉDITO</v>
      </c>
      <c r="B1079" s="38" t="str">
        <f>+IF((PROVEEDORES[[#This Row],[FECHA DE PAGO]]-PROVEEDORES[[#This Row],[FECHA DE FACTURACIÓN]])&gt;PROVEEDORES[[#This Row],[PLAZO Días]],"PAGO VENCIDO")</f>
        <v>PAGO VENCIDO</v>
      </c>
      <c r="C1079" s="20">
        <f>+VLOOKUP(PROVEEDORES[[#This Row],[PROVEEDOR]],TERCEROS_INFO[#All],2,FALSE)</f>
        <v>30</v>
      </c>
      <c r="D1079" s="25">
        <f>+SUMIFS(PROVEEDORES[Total],PROVEEDORES[PROVEEDOR],PROVEEDORES[[#This Row],[PROVEEDOR]],PROVEEDORES[FECHA DE PAGO],"")</f>
        <v>12030261.305</v>
      </c>
      <c r="E1079" s="25"/>
      <c r="F1079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79" s="68">
        <v>44915</v>
      </c>
      <c r="H1079" s="231" t="s">
        <v>12</v>
      </c>
      <c r="I1079" s="68">
        <v>44810</v>
      </c>
      <c r="J1079" s="245" t="s">
        <v>1186</v>
      </c>
      <c r="K1079" s="21">
        <v>14578156</v>
      </c>
      <c r="L1079" s="21"/>
      <c r="M1079" s="22">
        <f>(PROVEEDORES[[#This Row],[SUBTOTAL]]-PROVEEDORES[[#This Row],[descuento sobre subtotal]])*VLOOKUP(PROVEEDORES[[#This Row],[PROVEEDOR]],TERCEROS_INFO[#All],3,FALSE)</f>
        <v>2769849.64</v>
      </c>
      <c r="N1079" s="23"/>
      <c r="O1079" s="22">
        <f>+PROVEEDORES[[#This Row],[Descuento sobre subtotal %]]*(PROVEEDORES[[#This Row],[SUBTOTAL]]-PROVEEDORES[[#This Row],[descuento sobre subtotal]])</f>
        <v>0</v>
      </c>
      <c r="P1079" s="74">
        <f>+IF(PROVEEDORES[[#This Row],[SUBTOTAL]]&lt;PROVEEDORES[[#This Row],[base retencion]],0,PROVEEDORES[[#This Row],[retención aplicada]])</f>
        <v>2.5000000000000001E-2</v>
      </c>
      <c r="Q1079" s="22">
        <f>+PROVEEDORES[[#This Row],[Rete Fuente %]]*(PROVEEDORES[[#This Row],[SUBTOTAL]]-PROVEEDORES[[#This Row],[descuento sobre subtotal]])</f>
        <v>364453.9</v>
      </c>
      <c r="R1079" s="21">
        <f>+PROVEEDORES[[#This Row],[SUBTOTAL]]+PROVEEDORES[[#This Row],[IVA 19%]]-PROVEEDORES[[#This Row],[descuento sobre subtotal]]-PROVEEDORES[[#This Row],[Descuento sobre subtotal $2]]-PROVEEDORES[[#This Row],[Rete Fuente $]]</f>
        <v>16983551.740000002</v>
      </c>
      <c r="S10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63">
        <f ca="1">IF(PROVEEDORES[[#This Row],[FECHA DE PAGO]]=0,TODAY()-PROVEEDORES[[#This Row],[FECHA DE FACTURACIÓN]]-PROVEEDORES[[#This Row],[PLAZO Días]],0)</f>
        <v>0</v>
      </c>
      <c r="U1079" s="104" t="str">
        <f>+VLOOKUP(PROVEEDORES[[#This Row],[PROVEEDOR]],Terceros!$A:$D,4,FALSE)</f>
        <v>2,5% con base</v>
      </c>
      <c r="V1079" s="105">
        <f>+YEAR(PROVEEDORES[[#This Row],[FECHA DE FACTURACIÓN]])</f>
        <v>2022</v>
      </c>
      <c r="W1079" s="105">
        <f>+MATCH(PROVEEDORES[[#This Row],[año facturado]],Retenciones!$1:$1,0)</f>
        <v>5</v>
      </c>
      <c r="X1079" s="106">
        <f>+VLOOKUP(PROVEEDORES[[#This Row],[ID RETENCION]],Retenciones!$A$1:$O$25,PROVEEDORES[[#This Row],[indicador de columna]],FALSE)</f>
        <v>1026000</v>
      </c>
      <c r="Y1079" s="107">
        <f>+VLOOKUP(PROVEEDORES[[#This Row],[ID RETENCION]],Retenciones!$A$1:$O$25,2,FALSE)</f>
        <v>2.5000000000000001E-2</v>
      </c>
      <c r="Z1079" s="116" t="b">
        <f>OR(COUNTIF(PROVEEDORES[[#This Row],[PROVEEDOR]],"*"&amp;'Palabra no opera'!$A$2&amp;"*"))</f>
        <v>0</v>
      </c>
    </row>
    <row r="1080" spans="1:26" ht="22.35" customHeight="1" x14ac:dyDescent="0.3">
      <c r="A1080" s="232" t="str">
        <f>+IF(PROVEEDORES[[#This Row],[FECHA DE PAGO]]=PROVEEDORES[[#This Row],[FECHA DE FACTURACIÓN]],"DE CONTADO","CRÉDITO")</f>
        <v>CRÉDITO</v>
      </c>
      <c r="B1080" s="38" t="str">
        <f>+IF((PROVEEDORES[[#This Row],[FECHA DE PAGO]]-PROVEEDORES[[#This Row],[FECHA DE FACTURACIÓN]])&gt;PROVEEDORES[[#This Row],[PLAZO Días]],"PAGO VENCIDO")</f>
        <v>PAGO VENCIDO</v>
      </c>
      <c r="C1080" s="20">
        <f>+VLOOKUP(PROVEEDORES[[#This Row],[PROVEEDOR]],TERCEROS_INFO[#All],2,FALSE)</f>
        <v>45</v>
      </c>
      <c r="D1080" s="25">
        <f>+SUMIFS(PROVEEDORES[Total],PROVEEDORES[PROVEEDOR],PROVEEDORES[[#This Row],[PROVEEDOR]],PROVEEDORES[FECHA DE PAGO],"")</f>
        <v>8072960</v>
      </c>
      <c r="E1080" s="25"/>
      <c r="F108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80" s="68">
        <v>44915</v>
      </c>
      <c r="H1080" s="231" t="s">
        <v>10</v>
      </c>
      <c r="I1080" s="68">
        <v>44859</v>
      </c>
      <c r="J1080" s="245">
        <v>524514</v>
      </c>
      <c r="K1080" s="21">
        <v>1631000</v>
      </c>
      <c r="L1080" s="21"/>
      <c r="M1080" s="22">
        <f>(PROVEEDORES[[#This Row],[SUBTOTAL]]-PROVEEDORES[[#This Row],[descuento sobre subtotal]])*VLOOKUP(PROVEEDORES[[#This Row],[PROVEEDOR]],TERCEROS_INFO[#All],3,FALSE)</f>
        <v>309890</v>
      </c>
      <c r="N1080" s="23"/>
      <c r="O1080" s="22">
        <f>+PROVEEDORES[[#This Row],[Descuento sobre subtotal %]]*(PROVEEDORES[[#This Row],[SUBTOTAL]]-PROVEEDORES[[#This Row],[descuento sobre subtotal]])</f>
        <v>0</v>
      </c>
      <c r="P1080" s="74">
        <f>+IF(PROVEEDORES[[#This Row],[SUBTOTAL]]&lt;PROVEEDORES[[#This Row],[base retencion]],0,PROVEEDORES[[#This Row],[retención aplicada]])</f>
        <v>0</v>
      </c>
      <c r="Q1080" s="22">
        <f>+PROVEEDORES[[#This Row],[Rete Fuente %]]*(PROVEEDORES[[#This Row],[SUBTOTAL]]-PROVEEDORES[[#This Row],[descuento sobre subtotal]])</f>
        <v>0</v>
      </c>
      <c r="R1080" s="21">
        <f>+PROVEEDORES[[#This Row],[SUBTOTAL]]+PROVEEDORES[[#This Row],[IVA 19%]]-PROVEEDORES[[#This Row],[descuento sobre subtotal]]-PROVEEDORES[[#This Row],[Descuento sobre subtotal $2]]-PROVEEDORES[[#This Row],[Rete Fuente $]]</f>
        <v>1940890</v>
      </c>
      <c r="S108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63">
        <f ca="1">IF(PROVEEDORES[[#This Row],[FECHA DE PAGO]]=0,TODAY()-PROVEEDORES[[#This Row],[FECHA DE FACTURACIÓN]]-PROVEEDORES[[#This Row],[PLAZO Días]],0)</f>
        <v>0</v>
      </c>
      <c r="U1080" s="104">
        <f>+VLOOKUP(PROVEEDORES[[#This Row],[PROVEEDOR]],Terceros!$A:$D,4,FALSE)</f>
        <v>0</v>
      </c>
      <c r="V1080" s="105">
        <f>+YEAR(PROVEEDORES[[#This Row],[FECHA DE FACTURACIÓN]])</f>
        <v>2022</v>
      </c>
      <c r="W1080" s="105">
        <f>+MATCH(PROVEEDORES[[#This Row],[año facturado]],Retenciones!$1:$1,0)</f>
        <v>5</v>
      </c>
      <c r="X1080" s="106">
        <f>+VLOOKUP(PROVEEDORES[[#This Row],[ID RETENCION]],Retenciones!$A$1:$O$25,PROVEEDORES[[#This Row],[indicador de columna]],FALSE)</f>
        <v>0</v>
      </c>
      <c r="Y1080" s="107">
        <f>+VLOOKUP(PROVEEDORES[[#This Row],[ID RETENCION]],Retenciones!$A$1:$O$25,2,FALSE)</f>
        <v>0</v>
      </c>
      <c r="Z1080" s="116" t="b">
        <f>OR(COUNTIF(PROVEEDORES[[#This Row],[PROVEEDOR]],"*"&amp;'Palabra no opera'!$A$2&amp;"*"))</f>
        <v>0</v>
      </c>
    </row>
    <row r="1081" spans="1:26" ht="22.35" customHeight="1" x14ac:dyDescent="0.3">
      <c r="A1081" s="232" t="str">
        <f>+IF(PROVEEDORES[[#This Row],[FECHA DE PAGO]]=PROVEEDORES[[#This Row],[FECHA DE FACTURACIÓN]],"DE CONTADO","CRÉDITO")</f>
        <v>CRÉDITO</v>
      </c>
      <c r="B1081" s="38" t="str">
        <f>+IF((PROVEEDORES[[#This Row],[FECHA DE PAGO]]-PROVEEDORES[[#This Row],[FECHA DE FACTURACIÓN]])&gt;PROVEEDORES[[#This Row],[PLAZO Días]],"PAGO VENCIDO")</f>
        <v>PAGO VENCIDO</v>
      </c>
      <c r="C1081" s="20">
        <f>+VLOOKUP(PROVEEDORES[[#This Row],[PROVEEDOR]],TERCEROS_INFO[#All],2,FALSE)</f>
        <v>45</v>
      </c>
      <c r="D1081" s="25">
        <f>+SUMIFS(PROVEEDORES[Total],PROVEEDORES[PROVEEDOR],PROVEEDORES[[#This Row],[PROVEEDOR]],PROVEEDORES[FECHA DE PAGO],"")</f>
        <v>8072960</v>
      </c>
      <c r="E1081" s="25"/>
      <c r="F108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81" s="68">
        <v>44915</v>
      </c>
      <c r="H1081" s="231" t="s">
        <v>10</v>
      </c>
      <c r="I1081" s="68">
        <v>44860</v>
      </c>
      <c r="J1081" s="245">
        <v>524553</v>
      </c>
      <c r="K1081" s="21">
        <v>558000</v>
      </c>
      <c r="L1081" s="21"/>
      <c r="M1081" s="22">
        <f>(PROVEEDORES[[#This Row],[SUBTOTAL]]-PROVEEDORES[[#This Row],[descuento sobre subtotal]])*VLOOKUP(PROVEEDORES[[#This Row],[PROVEEDOR]],TERCEROS_INFO[#All],3,FALSE)</f>
        <v>106020</v>
      </c>
      <c r="N1081" s="23"/>
      <c r="O1081" s="22">
        <f>+PROVEEDORES[[#This Row],[Descuento sobre subtotal %]]*(PROVEEDORES[[#This Row],[SUBTOTAL]]-PROVEEDORES[[#This Row],[descuento sobre subtotal]])</f>
        <v>0</v>
      </c>
      <c r="P1081" s="74">
        <f>+IF(PROVEEDORES[[#This Row],[SUBTOTAL]]&lt;PROVEEDORES[[#This Row],[base retencion]],0,PROVEEDORES[[#This Row],[retención aplicada]])</f>
        <v>0</v>
      </c>
      <c r="Q1081" s="22">
        <f>+PROVEEDORES[[#This Row],[Rete Fuente %]]*(PROVEEDORES[[#This Row],[SUBTOTAL]]-PROVEEDORES[[#This Row],[descuento sobre subtotal]])</f>
        <v>0</v>
      </c>
      <c r="R1081" s="21">
        <f>+PROVEEDORES[[#This Row],[SUBTOTAL]]+PROVEEDORES[[#This Row],[IVA 19%]]-PROVEEDORES[[#This Row],[descuento sobre subtotal]]-PROVEEDORES[[#This Row],[Descuento sobre subtotal $2]]-PROVEEDORES[[#This Row],[Rete Fuente $]]</f>
        <v>664020</v>
      </c>
      <c r="S1081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63">
        <f ca="1">IF(PROVEEDORES[[#This Row],[FECHA DE PAGO]]=0,TODAY()-PROVEEDORES[[#This Row],[FECHA DE FACTURACIÓN]]-PROVEEDORES[[#This Row],[PLAZO Días]],0)</f>
        <v>0</v>
      </c>
      <c r="U1081" s="104">
        <f>+VLOOKUP(PROVEEDORES[[#This Row],[PROVEEDOR]],Terceros!$A:$D,4,FALSE)</f>
        <v>0</v>
      </c>
      <c r="V1081" s="105">
        <f>+YEAR(PROVEEDORES[[#This Row],[FECHA DE FACTURACIÓN]])</f>
        <v>2022</v>
      </c>
      <c r="W1081" s="105">
        <f>+MATCH(PROVEEDORES[[#This Row],[año facturado]],Retenciones!$1:$1,0)</f>
        <v>5</v>
      </c>
      <c r="X1081" s="106">
        <f>+VLOOKUP(PROVEEDORES[[#This Row],[ID RETENCION]],Retenciones!$A$1:$O$25,PROVEEDORES[[#This Row],[indicador de columna]],FALSE)</f>
        <v>0</v>
      </c>
      <c r="Y1081" s="107">
        <f>+VLOOKUP(PROVEEDORES[[#This Row],[ID RETENCION]],Retenciones!$A$1:$O$25,2,FALSE)</f>
        <v>0</v>
      </c>
      <c r="Z1081" s="116" t="b">
        <f>OR(COUNTIF(PROVEEDORES[[#This Row],[PROVEEDOR]],"*"&amp;'Palabra no opera'!$A$2&amp;"*"))</f>
        <v>0</v>
      </c>
    </row>
    <row r="1082" spans="1:26" ht="22.35" customHeight="1" x14ac:dyDescent="0.3">
      <c r="A1082" s="222" t="str">
        <f>+IF(PROVEEDORES[[#This Row],[FECHA DE PAGO]]=PROVEEDORES[[#This Row],[FECHA DE FACTURACIÓN]],"DE CONTADO","CRÉDITO")</f>
        <v>CRÉDITO</v>
      </c>
      <c r="B1082" s="38" t="str">
        <f>+IF((PROVEEDORES[[#This Row],[FECHA DE PAGO]]-PROVEEDORES[[#This Row],[FECHA DE FACTURACIÓN]])&gt;PROVEEDORES[[#This Row],[PLAZO Días]],"PAGO VENCIDO")</f>
        <v>PAGO VENCIDO</v>
      </c>
      <c r="C1082" s="20">
        <f>+VLOOKUP(PROVEEDORES[[#This Row],[PROVEEDOR]],TERCEROS_INFO[#All],2,FALSE)</f>
        <v>30</v>
      </c>
      <c r="D1082" s="25">
        <f>+SUMIFS(PROVEEDORES[Total],PROVEEDORES[PROVEEDOR],PROVEEDORES[[#This Row],[PROVEEDOR]],PROVEEDORES[FECHA DE PAGO],"")</f>
        <v>0</v>
      </c>
      <c r="E1082" s="25"/>
      <c r="F1082" s="56">
        <f>+VLOOKUP(PROVEEDORES[[#This Row],[PROVEEDOR]],
                       Terceros!$A:$F,
                       5,
                       FALSE)</f>
        <v>0</v>
      </c>
      <c r="G1082" s="68">
        <v>44916</v>
      </c>
      <c r="H1082" s="231" t="s">
        <v>1162</v>
      </c>
      <c r="I1082" s="68">
        <v>44833</v>
      </c>
      <c r="J1082" s="251" t="s">
        <v>1163</v>
      </c>
      <c r="K1082" s="21">
        <v>146000</v>
      </c>
      <c r="L1082" s="21"/>
      <c r="M1082" s="22">
        <f>(PROVEEDORES[[#This Row],[SUBTOTAL]]-PROVEEDORES[[#This Row],[descuento sobre subtotal]])*VLOOKUP(PROVEEDORES[[#This Row],[PROVEEDOR]],TERCEROS_INFO[#All],3,FALSE)</f>
        <v>0</v>
      </c>
      <c r="N1082" s="23"/>
      <c r="O1082" s="22">
        <f>+PROVEEDORES[[#This Row],[Descuento sobre subtotal %]]*(PROVEEDORES[[#This Row],[SUBTOTAL]]-PROVEEDORES[[#This Row],[descuento sobre subtotal]])</f>
        <v>0</v>
      </c>
      <c r="P1082" s="74">
        <f>+IF(PROVEEDORES[[#This Row],[SUBTOTAL]]&lt;PROVEEDORES[[#This Row],[base retencion]],0,PROVEEDORES[[#This Row],[retención aplicada]])</f>
        <v>0</v>
      </c>
      <c r="Q1082" s="22">
        <f>+PROVEEDORES[[#This Row],[Rete Fuente %]]*(PROVEEDORES[[#This Row],[SUBTOTAL]]-PROVEEDORES[[#This Row],[descuento sobre subtotal]])</f>
        <v>0</v>
      </c>
      <c r="R1082" s="21">
        <f>+PROVEEDORES[[#This Row],[SUBTOTAL]]+PROVEEDORES[[#This Row],[IVA 19%]]-PROVEEDORES[[#This Row],[descuento sobre subtotal]]-PROVEEDORES[[#This Row],[Descuento sobre subtotal $2]]-PROVEEDORES[[#This Row],[Rete Fuente $]]</f>
        <v>146000</v>
      </c>
      <c r="S1082" s="2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63">
        <f ca="1">IF(PROVEEDORES[[#This Row],[FECHA DE PAGO]]=0,TODAY()-PROVEEDORES[[#This Row],[FECHA DE FACTURACIÓN]]-PROVEEDORES[[#This Row],[PLAZO Días]],0)</f>
        <v>0</v>
      </c>
      <c r="U1082" s="104">
        <f>+VLOOKUP(PROVEEDORES[[#This Row],[PROVEEDOR]],Terceros!$A:$D,4,FALSE)</f>
        <v>0</v>
      </c>
      <c r="V1082" s="105">
        <f>+YEAR(PROVEEDORES[[#This Row],[FECHA DE FACTURACIÓN]])</f>
        <v>2022</v>
      </c>
      <c r="W1082" s="105">
        <f>+MATCH(PROVEEDORES[[#This Row],[año facturado]],Retenciones!$1:$1,0)</f>
        <v>5</v>
      </c>
      <c r="X1082" s="106">
        <f>+VLOOKUP(PROVEEDORES[[#This Row],[ID RETENCION]],Retenciones!$A$1:$O$25,PROVEEDORES[[#This Row],[indicador de columna]],FALSE)</f>
        <v>0</v>
      </c>
      <c r="Y1082" s="107">
        <f>+VLOOKUP(PROVEEDORES[[#This Row],[ID RETENCION]],Retenciones!$A$1:$O$25,2,FALSE)</f>
        <v>0</v>
      </c>
      <c r="Z1082" s="116" t="b">
        <f>OR(COUNTIF(PROVEEDORES[[#This Row],[PROVEEDOR]],"*"&amp;'Palabra no opera'!$A$2&amp;"*"))</f>
        <v>0</v>
      </c>
    </row>
    <row r="1083" spans="1:26" ht="22.35" customHeight="1" x14ac:dyDescent="0.3">
      <c r="A1083" s="238" t="str">
        <f>+IF(PROVEEDORES[[#This Row],[FECHA DE PAGO]]=PROVEEDORES[[#This Row],[FECHA DE FACTURACIÓN]],"DE CONTADO","CRÉDITO")</f>
        <v>CRÉDITO</v>
      </c>
      <c r="B1083" s="38" t="b">
        <f>+IF((PROVEEDORES[[#This Row],[FECHA DE PAGO]]-PROVEEDORES[[#This Row],[FECHA DE FACTURACIÓN]])&gt;PROVEEDORES[[#This Row],[PLAZO Días]],"PAGO VENCIDO")</f>
        <v>0</v>
      </c>
      <c r="C1083" s="20">
        <f>+VLOOKUP(PROVEEDORES[[#This Row],[PROVEEDOR]],TERCEROS_INFO[#All],2,FALSE)</f>
        <v>30</v>
      </c>
      <c r="D1083" s="25">
        <f>+SUMIFS(PROVEEDORES[Total],PROVEEDORES[PROVEEDOR],PROVEEDORES[[#This Row],[PROVEEDOR]],PROVEEDORES[FECHA DE PAGO],"")</f>
        <v>0</v>
      </c>
      <c r="E1083" s="25"/>
      <c r="F1083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083" s="68">
        <v>44916</v>
      </c>
      <c r="H1083" s="26" t="s">
        <v>635</v>
      </c>
      <c r="I1083" s="68">
        <v>44893</v>
      </c>
      <c r="J1083" s="35" t="s">
        <v>1282</v>
      </c>
      <c r="K1083" s="21">
        <v>-105077</v>
      </c>
      <c r="L1083" s="21"/>
      <c r="M1083" s="22">
        <f>(PROVEEDORES[[#This Row],[SUBTOTAL]]-PROVEEDORES[[#This Row],[descuento sobre subtotal]])*VLOOKUP(PROVEEDORES[[#This Row],[PROVEEDOR]],TERCEROS_INFO[#All],3,FALSE)</f>
        <v>0</v>
      </c>
      <c r="N1083" s="23"/>
      <c r="O1083" s="22">
        <f>+PROVEEDORES[[#This Row],[Descuento sobre subtotal %]]*(PROVEEDORES[[#This Row],[SUBTOTAL]]-PROVEEDORES[[#This Row],[descuento sobre subtotal]])</f>
        <v>0</v>
      </c>
      <c r="P1083" s="74">
        <f>+IF(PROVEEDORES[[#This Row],[SUBTOTAL]]&lt;PROVEEDORES[[#This Row],[base retencion]],0,PROVEEDORES[[#This Row],[retención aplicada]])</f>
        <v>0</v>
      </c>
      <c r="Q1083" s="22">
        <f>+PROVEEDORES[[#This Row],[Rete Fuente %]]*(PROVEEDORES[[#This Row],[SUBTOTAL]]-PROVEEDORES[[#This Row],[descuento sobre subtotal]])</f>
        <v>0</v>
      </c>
      <c r="R1083" s="21">
        <f>+PROVEEDORES[[#This Row],[SUBTOTAL]]+PROVEEDORES[[#This Row],[IVA 19%]]-PROVEEDORES[[#This Row],[descuento sobre subtotal]]-PROVEEDORES[[#This Row],[Descuento sobre subtotal $2]]-PROVEEDORES[[#This Row],[Rete Fuente $]]</f>
        <v>-105077</v>
      </c>
      <c r="S1083" s="23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63">
        <f ca="1">IF(PROVEEDORES[[#This Row],[FECHA DE PAGO]]=0,TODAY()-PROVEEDORES[[#This Row],[FECHA DE FACTURACIÓN]]-PROVEEDORES[[#This Row],[PLAZO Días]],0)</f>
        <v>0</v>
      </c>
      <c r="U1083" s="104" t="str">
        <f>+VLOOKUP(PROVEEDORES[[#This Row],[PROVEEDOR]],Terceros!$A:$D,4,FALSE)</f>
        <v>3,5% sin base</v>
      </c>
      <c r="V1083" s="105">
        <f>+YEAR(PROVEEDORES[[#This Row],[FECHA DE FACTURACIÓN]])</f>
        <v>2022</v>
      </c>
      <c r="W1083" s="105">
        <f>+MATCH(PROVEEDORES[[#This Row],[año facturado]],Retenciones!$1:$1,0)</f>
        <v>5</v>
      </c>
      <c r="X1083" s="106">
        <f>+VLOOKUP(PROVEEDORES[[#This Row],[ID RETENCION]],Retenciones!$A$1:$O$25,PROVEEDORES[[#This Row],[indicador de columna]],FALSE)</f>
        <v>0</v>
      </c>
      <c r="Y1083" s="107">
        <f>+VLOOKUP(PROVEEDORES[[#This Row],[ID RETENCION]],Retenciones!$A$1:$O$25,2,FALSE)</f>
        <v>3.5000000000000003E-2</v>
      </c>
      <c r="Z1083" s="116" t="b">
        <f>OR(COUNTIF(PROVEEDORES[[#This Row],[PROVEEDOR]],"*"&amp;'Palabra no opera'!$A$2&amp;"*"))</f>
        <v>1</v>
      </c>
    </row>
    <row r="1084" spans="1:26" ht="22.35" customHeight="1" x14ac:dyDescent="0.3">
      <c r="A1084" s="67" t="str">
        <f>+IF(PROVEEDORES[[#This Row],[FECHA DE PAGO]]=PROVEEDORES[[#This Row],[FECHA DE FACTURACIÓN]],"DE CONTADO","CRÉDITO")</f>
        <v>CRÉDITO</v>
      </c>
      <c r="B1084" s="38" t="b">
        <f>+IF((PROVEEDORES[[#This Row],[FECHA DE PAGO]]-PROVEEDORES[[#This Row],[FECHA DE FACTURACIÓN]])&gt;PROVEEDORES[[#This Row],[PLAZO Días]],"PAGO VENCIDO")</f>
        <v>0</v>
      </c>
      <c r="C1084" s="20">
        <f>+VLOOKUP(PROVEEDORES[[#This Row],[PROVEEDOR]],TERCEROS_INFO[#All],2,FALSE)</f>
        <v>30</v>
      </c>
      <c r="D1084" s="25">
        <f>+SUMIFS(PROVEEDORES[Total],PROVEEDORES[PROVEEDOR],PROVEEDORES[[#This Row],[PROVEEDOR]],PROVEEDORES[FECHA DE PAGO],"")</f>
        <v>0</v>
      </c>
      <c r="E1084" s="25"/>
      <c r="F1084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084" s="68">
        <v>44916</v>
      </c>
      <c r="H1084" s="26" t="s">
        <v>635</v>
      </c>
      <c r="I1084" s="68">
        <v>44913</v>
      </c>
      <c r="J1084" s="35">
        <v>5315</v>
      </c>
      <c r="K1084" s="21">
        <v>3002200</v>
      </c>
      <c r="L1084" s="21"/>
      <c r="M1084" s="22">
        <f>(PROVEEDORES[[#This Row],[SUBTOTAL]]-PROVEEDORES[[#This Row],[descuento sobre subtotal]])*VLOOKUP(PROVEEDORES[[#This Row],[PROVEEDOR]],TERCEROS_INFO[#All],3,FALSE)</f>
        <v>0</v>
      </c>
      <c r="N1084" s="23"/>
      <c r="O1084" s="22">
        <f>+PROVEEDORES[[#This Row],[Descuento sobre subtotal %]]*(PROVEEDORES[[#This Row],[SUBTOTAL]]-PROVEEDORES[[#This Row],[descuento sobre subtotal]])</f>
        <v>0</v>
      </c>
      <c r="P1084" s="74">
        <f>+IF(PROVEEDORES[[#This Row],[SUBTOTAL]]&lt;PROVEEDORES[[#This Row],[base retencion]],0,PROVEEDORES[[#This Row],[retención aplicada]])</f>
        <v>3.5000000000000003E-2</v>
      </c>
      <c r="Q1084" s="22">
        <f>+PROVEEDORES[[#This Row],[Rete Fuente %]]*(PROVEEDORES[[#This Row],[SUBTOTAL]]-PROVEEDORES[[#This Row],[descuento sobre subtotal]])</f>
        <v>105077.00000000001</v>
      </c>
      <c r="R108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0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63">
        <f ca="1">IF(PROVEEDORES[[#This Row],[FECHA DE PAGO]]=0,TODAY()-PROVEEDORES[[#This Row],[FECHA DE FACTURACIÓN]]-PROVEEDORES[[#This Row],[PLAZO Días]],0)</f>
        <v>0</v>
      </c>
      <c r="U1084" s="104" t="str">
        <f>+VLOOKUP(PROVEEDORES[[#This Row],[PROVEEDOR]],Terceros!$A:$D,4,FALSE)</f>
        <v>3,5% sin base</v>
      </c>
      <c r="V1084" s="105">
        <f>+YEAR(PROVEEDORES[[#This Row],[FECHA DE FACTURACIÓN]])</f>
        <v>2022</v>
      </c>
      <c r="W1084" s="105">
        <f>+MATCH(PROVEEDORES[[#This Row],[año facturado]],Retenciones!$1:$1,0)</f>
        <v>5</v>
      </c>
      <c r="X1084" s="106">
        <f>+VLOOKUP(PROVEEDORES[[#This Row],[ID RETENCION]],Retenciones!$A$1:$O$25,PROVEEDORES[[#This Row],[indicador de columna]],FALSE)</f>
        <v>0</v>
      </c>
      <c r="Y1084" s="107">
        <f>+VLOOKUP(PROVEEDORES[[#This Row],[ID RETENCION]],Retenciones!$A$1:$O$25,2,FALSE)</f>
        <v>3.5000000000000003E-2</v>
      </c>
      <c r="Z1084" s="116" t="b">
        <f>OR(COUNTIF(PROVEEDORES[[#This Row],[PROVEEDOR]],"*"&amp;'Palabra no opera'!$A$2&amp;"*"))</f>
        <v>1</v>
      </c>
    </row>
    <row r="1085" spans="1:26" ht="22.35" customHeight="1" x14ac:dyDescent="0.3">
      <c r="A1085" s="232" t="str">
        <f>+IF(PROVEEDORES[[#This Row],[FECHA DE PAGO]]=PROVEEDORES[[#This Row],[FECHA DE FACTURACIÓN]],"DE CONTADO","CRÉDITO")</f>
        <v>CRÉDITO</v>
      </c>
      <c r="B1085" s="38" t="str">
        <f>+IF((PROVEEDORES[[#This Row],[FECHA DE PAGO]]-PROVEEDORES[[#This Row],[FECHA DE FACTURACIÓN]])&gt;PROVEEDORES[[#This Row],[PLAZO Días]],"PAGO VENCIDO")</f>
        <v>PAGO VENCIDO</v>
      </c>
      <c r="C1085" s="20">
        <f>+VLOOKUP(PROVEEDORES[[#This Row],[PROVEEDOR]],TERCEROS_INFO[#All],2,FALSE)</f>
        <v>30</v>
      </c>
      <c r="D1085" s="25">
        <f>+SUMIFS(PROVEEDORES[Total],PROVEEDORES[PROVEEDOR],PROVEEDORES[[#This Row],[PROVEEDOR]],PROVEEDORES[FECHA DE PAGO],"")</f>
        <v>0</v>
      </c>
      <c r="E1085" s="25"/>
      <c r="F1085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85" s="68">
        <v>44916</v>
      </c>
      <c r="H1085" s="26" t="s">
        <v>26</v>
      </c>
      <c r="I1085" s="68">
        <v>44855</v>
      </c>
      <c r="J1085" s="324" t="s">
        <v>1339</v>
      </c>
      <c r="K1085" s="21">
        <v>1671000</v>
      </c>
      <c r="L1085" s="21"/>
      <c r="M1085" s="22">
        <f>(PROVEEDORES[[#This Row],[SUBTOTAL]]-PROVEEDORES[[#This Row],[descuento sobre subtotal]])*VLOOKUP(PROVEEDORES[[#This Row],[PROVEEDOR]],TERCEROS_INFO[#All],3,FALSE)</f>
        <v>317490</v>
      </c>
      <c r="N1085" s="23"/>
      <c r="O1085" s="22">
        <f>+PROVEEDORES[[#This Row],[Descuento sobre subtotal %]]*(PROVEEDORES[[#This Row],[SUBTOTAL]]-PROVEEDORES[[#This Row],[descuento sobre subtotal]])</f>
        <v>0</v>
      </c>
      <c r="P1085" s="74">
        <f>+IF(PROVEEDORES[[#This Row],[SUBTOTAL]]&lt;PROVEEDORES[[#This Row],[base retencion]],0,PROVEEDORES[[#This Row],[retención aplicada]])</f>
        <v>2.5000000000000001E-2</v>
      </c>
      <c r="Q1085" s="22">
        <f>+PROVEEDORES[[#This Row],[Rete Fuente %]]*(PROVEEDORES[[#This Row],[SUBTOTAL]]-PROVEEDORES[[#This Row],[descuento sobre subtotal]])</f>
        <v>41775</v>
      </c>
      <c r="R1085" s="21">
        <f>+PROVEEDORES[[#This Row],[SUBTOTAL]]+PROVEEDORES[[#This Row],[IVA 19%]]-PROVEEDORES[[#This Row],[descuento sobre subtotal]]-PROVEEDORES[[#This Row],[Descuento sobre subtotal $2]]-PROVEEDORES[[#This Row],[Rete Fuente $]]</f>
        <v>1946715</v>
      </c>
      <c r="S1085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63">
        <f ca="1">IF(PROVEEDORES[[#This Row],[FECHA DE PAGO]]=0,TODAY()-PROVEEDORES[[#This Row],[FECHA DE FACTURACIÓN]]-PROVEEDORES[[#This Row],[PLAZO Días]],0)</f>
        <v>0</v>
      </c>
      <c r="U1085" s="104" t="str">
        <f>+VLOOKUP(PROVEEDORES[[#This Row],[PROVEEDOR]],Terceros!$A:$D,4,FALSE)</f>
        <v>2,5% con base</v>
      </c>
      <c r="V1085" s="105">
        <f>+YEAR(PROVEEDORES[[#This Row],[FECHA DE FACTURACIÓN]])</f>
        <v>2022</v>
      </c>
      <c r="W1085" s="105">
        <f>+MATCH(PROVEEDORES[[#This Row],[año facturado]],Retenciones!$1:$1,0)</f>
        <v>5</v>
      </c>
      <c r="X1085" s="106">
        <f>+VLOOKUP(PROVEEDORES[[#This Row],[ID RETENCION]],Retenciones!$A$1:$O$25,PROVEEDORES[[#This Row],[indicador de columna]],FALSE)</f>
        <v>1026000</v>
      </c>
      <c r="Y1085" s="107">
        <f>+VLOOKUP(PROVEEDORES[[#This Row],[ID RETENCION]],Retenciones!$A$1:$O$25,2,FALSE)</f>
        <v>2.5000000000000001E-2</v>
      </c>
      <c r="Z1085" s="116" t="b">
        <f>OR(COUNTIF(PROVEEDORES[[#This Row],[PROVEEDOR]],"*"&amp;'Palabra no opera'!$A$2&amp;"*"))</f>
        <v>0</v>
      </c>
    </row>
    <row r="1086" spans="1:26" ht="22.35" customHeight="1" x14ac:dyDescent="0.3">
      <c r="A1086" s="232" t="str">
        <f>+IF(PROVEEDORES[[#This Row],[FECHA DE PAGO]]=PROVEEDORES[[#This Row],[FECHA DE FACTURACIÓN]],"DE CONTADO","CRÉDITO")</f>
        <v>CRÉDITO</v>
      </c>
      <c r="B1086" s="38" t="str">
        <f>+IF((PROVEEDORES[[#This Row],[FECHA DE PAGO]]-PROVEEDORES[[#This Row],[FECHA DE FACTURACIÓN]])&gt;PROVEEDORES[[#This Row],[PLAZO Días]],"PAGO VENCIDO")</f>
        <v>PAGO VENCIDO</v>
      </c>
      <c r="C1086" s="20">
        <f>+VLOOKUP(PROVEEDORES[[#This Row],[PROVEEDOR]],TERCEROS_INFO[#All],2,FALSE)</f>
        <v>30</v>
      </c>
      <c r="D1086" s="25">
        <f>+SUMIFS(PROVEEDORES[Total],PROVEEDORES[PROVEEDOR],PROVEEDORES[[#This Row],[PROVEEDOR]],PROVEEDORES[FECHA DE PAGO],"")</f>
        <v>18444236.894999996</v>
      </c>
      <c r="E1086" s="25"/>
      <c r="F1086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86" s="68">
        <v>44916</v>
      </c>
      <c r="H1086" s="231" t="s">
        <v>11</v>
      </c>
      <c r="I1086" s="68">
        <v>44868</v>
      </c>
      <c r="J1086" s="245" t="s">
        <v>1251</v>
      </c>
      <c r="K1086" s="21">
        <v>2803032</v>
      </c>
      <c r="L1086" s="21"/>
      <c r="M1086" s="22">
        <f>(PROVEEDORES[[#This Row],[SUBTOTAL]]-PROVEEDORES[[#This Row],[descuento sobre subtotal]])*VLOOKUP(PROVEEDORES[[#This Row],[PROVEEDOR]],TERCEROS_INFO[#All],3,FALSE)</f>
        <v>532576.07999999996</v>
      </c>
      <c r="N1086" s="23"/>
      <c r="O1086" s="22">
        <f>+PROVEEDORES[[#This Row],[Descuento sobre subtotal %]]*(PROVEEDORES[[#This Row],[SUBTOTAL]]-PROVEEDORES[[#This Row],[descuento sobre subtotal]])</f>
        <v>0</v>
      </c>
      <c r="P1086" s="74">
        <f>+IF(PROVEEDORES[[#This Row],[SUBTOTAL]]&lt;PROVEEDORES[[#This Row],[base retencion]],0,PROVEEDORES[[#This Row],[retención aplicada]])</f>
        <v>2.5000000000000001E-2</v>
      </c>
      <c r="Q1086" s="22">
        <f>+PROVEEDORES[[#This Row],[Rete Fuente %]]*(PROVEEDORES[[#This Row],[SUBTOTAL]]-PROVEEDORES[[#This Row],[descuento sobre subtotal]])</f>
        <v>70075.8</v>
      </c>
      <c r="R1086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086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63">
        <f ca="1">IF(PROVEEDORES[[#This Row],[FECHA DE PAGO]]=0,TODAY()-PROVEEDORES[[#This Row],[FECHA DE FACTURACIÓN]]-PROVEEDORES[[#This Row],[PLAZO Días]],0)</f>
        <v>0</v>
      </c>
      <c r="U1086" s="104" t="str">
        <f>+VLOOKUP(PROVEEDORES[[#This Row],[PROVEEDOR]],Terceros!$A:$D,4,FALSE)</f>
        <v>2,5% con base</v>
      </c>
      <c r="V1086" s="105">
        <f>+YEAR(PROVEEDORES[[#This Row],[FECHA DE FACTURACIÓN]])</f>
        <v>2022</v>
      </c>
      <c r="W1086" s="105">
        <f>+MATCH(PROVEEDORES[[#This Row],[año facturado]],Retenciones!$1:$1,0)</f>
        <v>5</v>
      </c>
      <c r="X1086" s="106">
        <f>+VLOOKUP(PROVEEDORES[[#This Row],[ID RETENCION]],Retenciones!$A$1:$O$25,PROVEEDORES[[#This Row],[indicador de columna]],FALSE)</f>
        <v>1026000</v>
      </c>
      <c r="Y1086" s="107">
        <f>+VLOOKUP(PROVEEDORES[[#This Row],[ID RETENCION]],Retenciones!$A$1:$O$25,2,FALSE)</f>
        <v>2.5000000000000001E-2</v>
      </c>
      <c r="Z1086" s="116" t="b">
        <f>OR(COUNTIF(PROVEEDORES[[#This Row],[PROVEEDOR]],"*"&amp;'Palabra no opera'!$A$2&amp;"*"))</f>
        <v>0</v>
      </c>
    </row>
    <row r="1087" spans="1:26" ht="22.35" customHeight="1" x14ac:dyDescent="0.3">
      <c r="A1087" s="67" t="str">
        <f>+IF(PROVEEDORES[[#This Row],[FECHA DE PAGO]]=PROVEEDORES[[#This Row],[FECHA DE FACTURACIÓN]],"DE CONTADO","CRÉDITO")</f>
        <v>CRÉDITO</v>
      </c>
      <c r="B1087" s="38" t="str">
        <f>+IF((PROVEEDORES[[#This Row],[FECHA DE PAGO]]-PROVEEDORES[[#This Row],[FECHA DE FACTURACIÓN]])&gt;PROVEEDORES[[#This Row],[PLAZO Días]],"PAGO VENCIDO")</f>
        <v>PAGO VENCIDO</v>
      </c>
      <c r="C1087" s="20">
        <f>+VLOOKUP(PROVEEDORES[[#This Row],[PROVEEDOR]],TERCEROS_INFO[#All],2,FALSE)</f>
        <v>30</v>
      </c>
      <c r="D1087" s="25">
        <f>+SUMIFS(PROVEEDORES[Total],PROVEEDORES[PROVEEDOR],PROVEEDORES[[#This Row],[PROVEEDOR]],PROVEEDORES[FECHA DE PAGO],"")</f>
        <v>18444236.894999996</v>
      </c>
      <c r="E1087" s="25"/>
      <c r="F108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87" s="68">
        <v>44916</v>
      </c>
      <c r="H1087" s="231" t="s">
        <v>11</v>
      </c>
      <c r="I1087" s="68">
        <v>44883</v>
      </c>
      <c r="J1087" s="245" t="s">
        <v>1310</v>
      </c>
      <c r="K1087" s="21">
        <v>1401504</v>
      </c>
      <c r="L1087" s="21"/>
      <c r="M1087" s="22">
        <f>(PROVEEDORES[[#This Row],[SUBTOTAL]]-PROVEEDORES[[#This Row],[descuento sobre subtotal]])*VLOOKUP(PROVEEDORES[[#This Row],[PROVEEDOR]],TERCEROS_INFO[#All],3,FALSE)</f>
        <v>266285.76</v>
      </c>
      <c r="N1087" s="23"/>
      <c r="O1087" s="22">
        <f>+PROVEEDORES[[#This Row],[Descuento sobre subtotal %]]*(PROVEEDORES[[#This Row],[SUBTOTAL]]-PROVEEDORES[[#This Row],[descuento sobre subtotal]])</f>
        <v>0</v>
      </c>
      <c r="P1087" s="74">
        <f>+IF(PROVEEDORES[[#This Row],[SUBTOTAL]]&lt;PROVEEDORES[[#This Row],[base retencion]],0,PROVEEDORES[[#This Row],[retención aplicada]])</f>
        <v>2.5000000000000001E-2</v>
      </c>
      <c r="Q1087" s="22">
        <f>+PROVEEDORES[[#This Row],[Rete Fuente %]]*(PROVEEDORES[[#This Row],[SUBTOTAL]]-PROVEEDORES[[#This Row],[descuento sobre subtotal]])</f>
        <v>35037.599999999999</v>
      </c>
      <c r="R1087" s="21">
        <f>+PROVEEDORES[[#This Row],[SUBTOTAL]]+PROVEEDORES[[#This Row],[IVA 19%]]-PROVEEDORES[[#This Row],[descuento sobre subtotal]]-PROVEEDORES[[#This Row],[Descuento sobre subtotal $2]]-PROVEEDORES[[#This Row],[Rete Fuente $]]</f>
        <v>1632752.16</v>
      </c>
      <c r="S10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63">
        <f ca="1">IF(PROVEEDORES[[#This Row],[FECHA DE PAGO]]=0,TODAY()-PROVEEDORES[[#This Row],[FECHA DE FACTURACIÓN]]-PROVEEDORES[[#This Row],[PLAZO Días]],0)</f>
        <v>0</v>
      </c>
      <c r="U1087" s="104" t="str">
        <f>+VLOOKUP(PROVEEDORES[[#This Row],[PROVEEDOR]],Terceros!$A:$D,4,FALSE)</f>
        <v>2,5% con base</v>
      </c>
      <c r="V1087" s="105">
        <f>+YEAR(PROVEEDORES[[#This Row],[FECHA DE FACTURACIÓN]])</f>
        <v>2022</v>
      </c>
      <c r="W1087" s="105">
        <f>+MATCH(PROVEEDORES[[#This Row],[año facturado]],Retenciones!$1:$1,0)</f>
        <v>5</v>
      </c>
      <c r="X1087" s="106">
        <f>+VLOOKUP(PROVEEDORES[[#This Row],[ID RETENCION]],Retenciones!$A$1:$O$25,PROVEEDORES[[#This Row],[indicador de columna]],FALSE)</f>
        <v>1026000</v>
      </c>
      <c r="Y1087" s="107">
        <f>+VLOOKUP(PROVEEDORES[[#This Row],[ID RETENCION]],Retenciones!$A$1:$O$25,2,FALSE)</f>
        <v>2.5000000000000001E-2</v>
      </c>
      <c r="Z1087" s="116" t="b">
        <f>OR(COUNTIF(PROVEEDORES[[#This Row],[PROVEEDOR]],"*"&amp;'Palabra no opera'!$A$2&amp;"*"))</f>
        <v>0</v>
      </c>
    </row>
    <row r="1088" spans="1:26" ht="22.35" customHeight="1" x14ac:dyDescent="0.3">
      <c r="A1088" s="67" t="str">
        <f>+IF(PROVEEDORES[[#This Row],[FECHA DE PAGO]]=PROVEEDORES[[#This Row],[FECHA DE FACTURACIÓN]],"DE CONTADO","CRÉDITO")</f>
        <v>CRÉDITO</v>
      </c>
      <c r="B1088" s="38" t="b">
        <f>+IF((PROVEEDORES[[#This Row],[FECHA DE PAGO]]-PROVEEDORES[[#This Row],[FECHA DE FACTURACIÓN]])&gt;PROVEEDORES[[#This Row],[PLAZO Días]],"PAGO VENCIDO")</f>
        <v>0</v>
      </c>
      <c r="C1088" s="20">
        <f>+VLOOKUP(PROVEEDORES[[#This Row],[PROVEEDOR]],TERCEROS_INFO[#All],2,FALSE)</f>
        <v>30</v>
      </c>
      <c r="D1088" s="25">
        <f>+SUMIFS(PROVEEDORES[Total],PROVEEDORES[PROVEEDOR],PROVEEDORES[[#This Row],[PROVEEDOR]],PROVEEDORES[FECHA DE PAGO],"")</f>
        <v>18444236.894999996</v>
      </c>
      <c r="E1088" s="25"/>
      <c r="F108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88" s="68">
        <v>44916</v>
      </c>
      <c r="H1088" s="231" t="s">
        <v>11</v>
      </c>
      <c r="I1088" s="68">
        <v>44887</v>
      </c>
      <c r="J1088" s="245" t="s">
        <v>1311</v>
      </c>
      <c r="K1088" s="21">
        <v>2803032</v>
      </c>
      <c r="L1088" s="21"/>
      <c r="M1088" s="22">
        <f>(PROVEEDORES[[#This Row],[SUBTOTAL]]-PROVEEDORES[[#This Row],[descuento sobre subtotal]])*VLOOKUP(PROVEEDORES[[#This Row],[PROVEEDOR]],TERCEROS_INFO[#All],3,FALSE)</f>
        <v>532576.07999999996</v>
      </c>
      <c r="N1088" s="23"/>
      <c r="O1088" s="22">
        <f>+PROVEEDORES[[#This Row],[Descuento sobre subtotal %]]*(PROVEEDORES[[#This Row],[SUBTOTAL]]-PROVEEDORES[[#This Row],[descuento sobre subtotal]])</f>
        <v>0</v>
      </c>
      <c r="P1088" s="74">
        <f>+IF(PROVEEDORES[[#This Row],[SUBTOTAL]]&lt;PROVEEDORES[[#This Row],[base retencion]],0,PROVEEDORES[[#This Row],[retención aplicada]])</f>
        <v>2.5000000000000001E-2</v>
      </c>
      <c r="Q1088" s="22">
        <f>+PROVEEDORES[[#This Row],[Rete Fuente %]]*(PROVEEDORES[[#This Row],[SUBTOTAL]]-PROVEEDORES[[#This Row],[descuento sobre subtotal]])</f>
        <v>70075.8</v>
      </c>
      <c r="R1088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08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63">
        <f ca="1">IF(PROVEEDORES[[#This Row],[FECHA DE PAGO]]=0,TODAY()-PROVEEDORES[[#This Row],[FECHA DE FACTURACIÓN]]-PROVEEDORES[[#This Row],[PLAZO Días]],0)</f>
        <v>0</v>
      </c>
      <c r="U1088" s="104" t="str">
        <f>+VLOOKUP(PROVEEDORES[[#This Row],[PROVEEDOR]],Terceros!$A:$D,4,FALSE)</f>
        <v>2,5% con base</v>
      </c>
      <c r="V1088" s="105">
        <f>+YEAR(PROVEEDORES[[#This Row],[FECHA DE FACTURACIÓN]])</f>
        <v>2022</v>
      </c>
      <c r="W1088" s="105">
        <f>+MATCH(PROVEEDORES[[#This Row],[año facturado]],Retenciones!$1:$1,0)</f>
        <v>5</v>
      </c>
      <c r="X1088" s="106">
        <f>+VLOOKUP(PROVEEDORES[[#This Row],[ID RETENCION]],Retenciones!$A$1:$O$25,PROVEEDORES[[#This Row],[indicador de columna]],FALSE)</f>
        <v>1026000</v>
      </c>
      <c r="Y1088" s="107">
        <f>+VLOOKUP(PROVEEDORES[[#This Row],[ID RETENCION]],Retenciones!$A$1:$O$25,2,FALSE)</f>
        <v>2.5000000000000001E-2</v>
      </c>
      <c r="Z1088" s="116" t="b">
        <f>OR(COUNTIF(PROVEEDORES[[#This Row],[PROVEEDOR]],"*"&amp;'Palabra no opera'!$A$2&amp;"*"))</f>
        <v>0</v>
      </c>
    </row>
    <row r="1089" spans="1:26" ht="22.35" customHeight="1" x14ac:dyDescent="0.3">
      <c r="A1089" s="252" t="str">
        <f>+IF(PROVEEDORES[[#This Row],[FECHA DE PAGO]]=PROVEEDORES[[#This Row],[FECHA DE FACTURACIÓN]],"DE CONTADO","CRÉDITO")</f>
        <v>CRÉDITO</v>
      </c>
      <c r="B1089" s="38" t="b">
        <f>+IF((PROVEEDORES[[#This Row],[FECHA DE PAGO]]-PROVEEDORES[[#This Row],[FECHA DE FACTURACIÓN]])&gt;PROVEEDORES[[#This Row],[PLAZO Días]],"PAGO VENCIDO")</f>
        <v>0</v>
      </c>
      <c r="C1089" s="20">
        <f>+VLOOKUP(PROVEEDORES[[#This Row],[PROVEEDOR]],TERCEROS_INFO[#All],2,FALSE)</f>
        <v>30</v>
      </c>
      <c r="D1089" s="25">
        <f>+SUMIFS(PROVEEDORES[Total],PROVEEDORES[PROVEEDOR],PROVEEDORES[[#This Row],[PROVEEDOR]],PROVEEDORES[FECHA DE PAGO],"")</f>
        <v>0</v>
      </c>
      <c r="E1089" s="25"/>
      <c r="F1089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089" s="68">
        <v>44918</v>
      </c>
      <c r="H1089" s="26" t="s">
        <v>394</v>
      </c>
      <c r="I1089" s="68">
        <v>44896</v>
      </c>
      <c r="J1089" s="35">
        <v>1801</v>
      </c>
      <c r="K1089" s="21">
        <v>1820000</v>
      </c>
      <c r="L1089" s="21"/>
      <c r="M1089" s="22">
        <f>(PROVEEDORES[[#This Row],[SUBTOTAL]]-PROVEEDORES[[#This Row],[descuento sobre subtotal]])*VLOOKUP(PROVEEDORES[[#This Row],[PROVEEDOR]],TERCEROS_INFO[#All],3,FALSE)</f>
        <v>0</v>
      </c>
      <c r="N1089" s="23"/>
      <c r="O1089" s="22">
        <f>+PROVEEDORES[[#This Row],[Descuento sobre subtotal %]]*(PROVEEDORES[[#This Row],[SUBTOTAL]]-PROVEEDORES[[#This Row],[descuento sobre subtotal]])</f>
        <v>0</v>
      </c>
      <c r="P1089" s="74">
        <f>+IF(PROVEEDORES[[#This Row],[SUBTOTAL]]&lt;PROVEEDORES[[#This Row],[base retencion]],0,PROVEEDORES[[#This Row],[retención aplicada]])</f>
        <v>0</v>
      </c>
      <c r="Q1089" s="22">
        <f>+PROVEEDORES[[#This Row],[Rete Fuente %]]*(PROVEEDORES[[#This Row],[SUBTOTAL]]-PROVEEDORES[[#This Row],[descuento sobre subtotal]])</f>
        <v>0</v>
      </c>
      <c r="R1089" s="21">
        <f>+PROVEEDORES[[#This Row],[SUBTOTAL]]+PROVEEDORES[[#This Row],[IVA 19%]]-PROVEEDORES[[#This Row],[descuento sobre subtotal]]-PROVEEDORES[[#This Row],[Descuento sobre subtotal $2]]-PROVEEDORES[[#This Row],[Rete Fuente $]]</f>
        <v>1820000</v>
      </c>
      <c r="S1089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63">
        <f ca="1">IF(PROVEEDORES[[#This Row],[FECHA DE PAGO]]=0,TODAY()-PROVEEDORES[[#This Row],[FECHA DE FACTURACIÓN]]-PROVEEDORES[[#This Row],[PLAZO Días]],0)</f>
        <v>0</v>
      </c>
      <c r="U1089" s="104">
        <f>+VLOOKUP(PROVEEDORES[[#This Row],[PROVEEDOR]],Terceros!$A:$D,4,FALSE)</f>
        <v>0</v>
      </c>
      <c r="V1089" s="105">
        <f>+YEAR(PROVEEDORES[[#This Row],[FECHA DE FACTURACIÓN]])</f>
        <v>2022</v>
      </c>
      <c r="W1089" s="105">
        <f>+MATCH(PROVEEDORES[[#This Row],[año facturado]],Retenciones!$1:$1,0)</f>
        <v>5</v>
      </c>
      <c r="X1089" s="106">
        <f>+VLOOKUP(PROVEEDORES[[#This Row],[ID RETENCION]],Retenciones!$A$1:$O$25,PROVEEDORES[[#This Row],[indicador de columna]],FALSE)</f>
        <v>0</v>
      </c>
      <c r="Y1089" s="107">
        <f>+VLOOKUP(PROVEEDORES[[#This Row],[ID RETENCION]],Retenciones!$A$1:$O$25,2,FALSE)</f>
        <v>0</v>
      </c>
      <c r="Z1089" s="116" t="b">
        <f>OR(COUNTIF(PROVEEDORES[[#This Row],[PROVEEDOR]],"*"&amp;'Palabra no opera'!$A$2&amp;"*"))</f>
        <v>0</v>
      </c>
    </row>
    <row r="1090" spans="1:26" ht="22.35" customHeight="1" x14ac:dyDescent="0.3">
      <c r="A1090" s="252" t="str">
        <f>+IF(PROVEEDORES[[#This Row],[FECHA DE PAGO]]=PROVEEDORES[[#This Row],[FECHA DE FACTURACIÓN]],"DE CONTADO","CRÉDITO")</f>
        <v>CRÉDITO</v>
      </c>
      <c r="B1090" s="38" t="b">
        <f>+IF((PROVEEDORES[[#This Row],[FECHA DE PAGO]]-PROVEEDORES[[#This Row],[FECHA DE FACTURACIÓN]])&gt;PROVEEDORES[[#This Row],[PLAZO Días]],"PAGO VENCIDO")</f>
        <v>0</v>
      </c>
      <c r="C1090" s="20">
        <f>+VLOOKUP(PROVEEDORES[[#This Row],[PROVEEDOR]],TERCEROS_INFO[#All],2,FALSE)</f>
        <v>30</v>
      </c>
      <c r="D1090" s="25">
        <f>+SUMIFS(PROVEEDORES[Total],PROVEEDORES[PROVEEDOR],PROVEEDORES[[#This Row],[PROVEEDOR]],PROVEEDORES[FECHA DE PAGO],"")</f>
        <v>0</v>
      </c>
      <c r="E1090" s="25"/>
      <c r="F1090" s="56" t="str">
        <f>+VLOOKUP(PROVEEDORES[[#This Row],[PROVEEDOR]],
                       Terceros!$A:$F,
                       5,
                       FALSE)</f>
        <v/>
      </c>
      <c r="G1090" s="68">
        <v>44921</v>
      </c>
      <c r="H1090" s="26" t="s">
        <v>356</v>
      </c>
      <c r="I1090" s="68">
        <v>44907</v>
      </c>
      <c r="J1090" s="35" t="s">
        <v>1369</v>
      </c>
      <c r="K1090" s="21">
        <v>2055000</v>
      </c>
      <c r="L1090" s="21"/>
      <c r="M1090" s="22">
        <f>(PROVEEDORES[[#This Row],[SUBTOTAL]]-PROVEEDORES[[#This Row],[descuento sobre subtotal]])*VLOOKUP(PROVEEDORES[[#This Row],[PROVEEDOR]],TERCEROS_INFO[#All],3,FALSE)</f>
        <v>0</v>
      </c>
      <c r="N1090" s="23"/>
      <c r="O1090" s="22">
        <f>+PROVEEDORES[[#This Row],[Descuento sobre subtotal %]]*(PROVEEDORES[[#This Row],[SUBTOTAL]]-PROVEEDORES[[#This Row],[descuento sobre subtotal]])</f>
        <v>0</v>
      </c>
      <c r="P1090" s="74">
        <f>+IF(PROVEEDORES[[#This Row],[SUBTOTAL]]&lt;PROVEEDORES[[#This Row],[base retencion]],0,PROVEEDORES[[#This Row],[retención aplicada]])</f>
        <v>0</v>
      </c>
      <c r="Q1090" s="22">
        <f>+PROVEEDORES[[#This Row],[Rete Fuente %]]*(PROVEEDORES[[#This Row],[SUBTOTAL]]-PROVEEDORES[[#This Row],[descuento sobre subtotal]])</f>
        <v>0</v>
      </c>
      <c r="R1090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1090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63">
        <f ca="1">IF(PROVEEDORES[[#This Row],[FECHA DE PAGO]]=0,TODAY()-PROVEEDORES[[#This Row],[FECHA DE FACTURACIÓN]]-PROVEEDORES[[#This Row],[PLAZO Días]],0)</f>
        <v>0</v>
      </c>
      <c r="U1090" s="104">
        <f>+VLOOKUP(PROVEEDORES[[#This Row],[PROVEEDOR]],Terceros!$A:$D,4,FALSE)</f>
        <v>0</v>
      </c>
      <c r="V1090" s="105">
        <f>+YEAR(PROVEEDORES[[#This Row],[FECHA DE FACTURACIÓN]])</f>
        <v>2022</v>
      </c>
      <c r="W1090" s="105">
        <f>+MATCH(PROVEEDORES[[#This Row],[año facturado]],Retenciones!$1:$1,0)</f>
        <v>5</v>
      </c>
      <c r="X1090" s="106">
        <f>+VLOOKUP(PROVEEDORES[[#This Row],[ID RETENCION]],Retenciones!$A$1:$O$25,PROVEEDORES[[#This Row],[indicador de columna]],FALSE)</f>
        <v>0</v>
      </c>
      <c r="Y1090" s="107">
        <f>+VLOOKUP(PROVEEDORES[[#This Row],[ID RETENCION]],Retenciones!$A$1:$O$25,2,FALSE)</f>
        <v>0</v>
      </c>
      <c r="Z1090" s="116" t="b">
        <f>OR(COUNTIF(PROVEEDORES[[#This Row],[PROVEEDOR]],"*"&amp;'Palabra no opera'!$A$2&amp;"*"))</f>
        <v>0</v>
      </c>
    </row>
    <row r="1091" spans="1:26" ht="22.35" customHeight="1" x14ac:dyDescent="0.3">
      <c r="A1091" s="252" t="str">
        <f>+IF(PROVEEDORES[[#This Row],[FECHA DE PAGO]]=PROVEEDORES[[#This Row],[FECHA DE FACTURACIÓN]],"DE CONTADO","CRÉDITO")</f>
        <v>CRÉDITO</v>
      </c>
      <c r="B1091" s="38" t="b">
        <f>+IF((PROVEEDORES[[#This Row],[FECHA DE PAGO]]-PROVEEDORES[[#This Row],[FECHA DE FACTURACIÓN]])&gt;PROVEEDORES[[#This Row],[PLAZO Días]],"PAGO VENCIDO")</f>
        <v>0</v>
      </c>
      <c r="C1091" s="20">
        <f>+VLOOKUP(PROVEEDORES[[#This Row],[PROVEEDOR]],TERCEROS_INFO[#All],2,FALSE)</f>
        <v>30</v>
      </c>
      <c r="D1091" s="25">
        <f>+SUMIFS(PROVEEDORES[Total],PROVEEDORES[PROVEEDOR],PROVEEDORES[[#This Row],[PROVEEDOR]],PROVEEDORES[FECHA DE PAGO],"")</f>
        <v>0</v>
      </c>
      <c r="E1091" s="25"/>
      <c r="F1091" s="56" t="str">
        <f>+VLOOKUP(PROVEEDORES[[#This Row],[PROVEEDOR]],
                       Terceros!$A:$F,
                       5,
                       FALSE)</f>
        <v/>
      </c>
      <c r="G1091" s="68">
        <v>44921</v>
      </c>
      <c r="H1091" s="26" t="s">
        <v>356</v>
      </c>
      <c r="I1091" s="68">
        <v>44918</v>
      </c>
      <c r="J1091" s="35" t="s">
        <v>1366</v>
      </c>
      <c r="K1091" s="21">
        <v>5592000</v>
      </c>
      <c r="L1091" s="21"/>
      <c r="M1091" s="22">
        <f>(PROVEEDORES[[#This Row],[SUBTOTAL]]-PROVEEDORES[[#This Row],[descuento sobre subtotal]])*VLOOKUP(PROVEEDORES[[#This Row],[PROVEEDOR]],TERCEROS_INFO[#All],3,FALSE)</f>
        <v>0</v>
      </c>
      <c r="N1091" s="23"/>
      <c r="O1091" s="22">
        <f>+PROVEEDORES[[#This Row],[Descuento sobre subtotal %]]*(PROVEEDORES[[#This Row],[SUBTOTAL]]-PROVEEDORES[[#This Row],[descuento sobre subtotal]])</f>
        <v>0</v>
      </c>
      <c r="P1091" s="74">
        <f>+IF(PROVEEDORES[[#This Row],[SUBTOTAL]]&lt;PROVEEDORES[[#This Row],[base retencion]],0,PROVEEDORES[[#This Row],[retención aplicada]])</f>
        <v>0</v>
      </c>
      <c r="Q1091" s="22">
        <f>+PROVEEDORES[[#This Row],[Rete Fuente %]]*(PROVEEDORES[[#This Row],[SUBTOTAL]]-PROVEEDORES[[#This Row],[descuento sobre subtotal]])</f>
        <v>0</v>
      </c>
      <c r="R1091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1091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63">
        <f ca="1">IF(PROVEEDORES[[#This Row],[FECHA DE PAGO]]=0,TODAY()-PROVEEDORES[[#This Row],[FECHA DE FACTURACIÓN]]-PROVEEDORES[[#This Row],[PLAZO Días]],0)</f>
        <v>0</v>
      </c>
      <c r="U1091" s="104">
        <f>+VLOOKUP(PROVEEDORES[[#This Row],[PROVEEDOR]],Terceros!$A:$D,4,FALSE)</f>
        <v>0</v>
      </c>
      <c r="V1091" s="105">
        <f>+YEAR(PROVEEDORES[[#This Row],[FECHA DE FACTURACIÓN]])</f>
        <v>2022</v>
      </c>
      <c r="W1091" s="105">
        <f>+MATCH(PROVEEDORES[[#This Row],[año facturado]],Retenciones!$1:$1,0)</f>
        <v>5</v>
      </c>
      <c r="X1091" s="106">
        <f>+VLOOKUP(PROVEEDORES[[#This Row],[ID RETENCION]],Retenciones!$A$1:$O$25,PROVEEDORES[[#This Row],[indicador de columna]],FALSE)</f>
        <v>0</v>
      </c>
      <c r="Y1091" s="107">
        <f>+VLOOKUP(PROVEEDORES[[#This Row],[ID RETENCION]],Retenciones!$A$1:$O$25,2,FALSE)</f>
        <v>0</v>
      </c>
      <c r="Z1091" s="116" t="b">
        <f>OR(COUNTIF(PROVEEDORES[[#This Row],[PROVEEDOR]],"*"&amp;'Palabra no opera'!$A$2&amp;"*"))</f>
        <v>0</v>
      </c>
    </row>
    <row r="1092" spans="1:26" ht="22.35" customHeight="1" x14ac:dyDescent="0.3">
      <c r="A1092" s="252" t="str">
        <f>+IF(PROVEEDORES[[#This Row],[FECHA DE PAGO]]=PROVEEDORES[[#This Row],[FECHA DE FACTURACIÓN]],"DE CONTADO","CRÉDITO")</f>
        <v>CRÉDITO</v>
      </c>
      <c r="B1092" s="38" t="b">
        <f>+IF((PROVEEDORES[[#This Row],[FECHA DE PAGO]]-PROVEEDORES[[#This Row],[FECHA DE FACTURACIÓN]])&gt;PROVEEDORES[[#This Row],[PLAZO Días]],"PAGO VENCIDO")</f>
        <v>0</v>
      </c>
      <c r="C1092" s="20">
        <f>+VLOOKUP(PROVEEDORES[[#This Row],[PROVEEDOR]],TERCEROS_INFO[#All],2,FALSE)</f>
        <v>30</v>
      </c>
      <c r="D1092" s="25">
        <f>+SUMIFS(PROVEEDORES[Total],PROVEEDORES[PROVEEDOR],PROVEEDORES[[#This Row],[PROVEEDOR]],PROVEEDORES[FECHA DE PAGO],"")</f>
        <v>0</v>
      </c>
      <c r="E1092" s="25"/>
      <c r="F1092" s="56" t="str">
        <f>+VLOOKUP(PROVEEDORES[[#This Row],[PROVEEDOR]],
                       Terceros!$A:$F,
                       5,
                       FALSE)</f>
        <v/>
      </c>
      <c r="G1092" s="68">
        <v>44921</v>
      </c>
      <c r="H1092" s="26" t="s">
        <v>356</v>
      </c>
      <c r="I1092" s="68">
        <v>44919</v>
      </c>
      <c r="J1092" s="35">
        <v>79015</v>
      </c>
      <c r="K1092" s="21">
        <v>1730000</v>
      </c>
      <c r="L1092" s="21"/>
      <c r="M1092" s="22">
        <f>(PROVEEDORES[[#This Row],[SUBTOTAL]]-PROVEEDORES[[#This Row],[descuento sobre subtotal]])*VLOOKUP(PROVEEDORES[[#This Row],[PROVEEDOR]],TERCEROS_INFO[#All],3,FALSE)</f>
        <v>0</v>
      </c>
      <c r="N1092" s="23"/>
      <c r="O1092" s="22">
        <f>+PROVEEDORES[[#This Row],[Descuento sobre subtotal %]]*(PROVEEDORES[[#This Row],[SUBTOTAL]]-PROVEEDORES[[#This Row],[descuento sobre subtotal]])</f>
        <v>0</v>
      </c>
      <c r="P1092" s="74">
        <f>+IF(PROVEEDORES[[#This Row],[SUBTOTAL]]&lt;PROVEEDORES[[#This Row],[base retencion]],0,PROVEEDORES[[#This Row],[retención aplicada]])</f>
        <v>0</v>
      </c>
      <c r="Q1092" s="22">
        <f>+PROVEEDORES[[#This Row],[Rete Fuente %]]*(PROVEEDORES[[#This Row],[SUBTOTAL]]-PROVEEDORES[[#This Row],[descuento sobre subtotal]])</f>
        <v>0</v>
      </c>
      <c r="R1092" s="21">
        <f>+PROVEEDORES[[#This Row],[SUBTOTAL]]+PROVEEDORES[[#This Row],[IVA 19%]]-PROVEEDORES[[#This Row],[descuento sobre subtotal]]-PROVEEDORES[[#This Row],[Descuento sobre subtotal $2]]-PROVEEDORES[[#This Row],[Rete Fuente $]]</f>
        <v>1730000</v>
      </c>
      <c r="S1092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63">
        <f ca="1">IF(PROVEEDORES[[#This Row],[FECHA DE PAGO]]=0,TODAY()-PROVEEDORES[[#This Row],[FECHA DE FACTURACIÓN]]-PROVEEDORES[[#This Row],[PLAZO Días]],0)</f>
        <v>0</v>
      </c>
      <c r="U1092" s="104">
        <f>+VLOOKUP(PROVEEDORES[[#This Row],[PROVEEDOR]],Terceros!$A:$D,4,FALSE)</f>
        <v>0</v>
      </c>
      <c r="V1092" s="105">
        <f>+YEAR(PROVEEDORES[[#This Row],[FECHA DE FACTURACIÓN]])</f>
        <v>2022</v>
      </c>
      <c r="W1092" s="105">
        <f>+MATCH(PROVEEDORES[[#This Row],[año facturado]],Retenciones!$1:$1,0)</f>
        <v>5</v>
      </c>
      <c r="X1092" s="106">
        <f>+VLOOKUP(PROVEEDORES[[#This Row],[ID RETENCION]],Retenciones!$A$1:$O$25,PROVEEDORES[[#This Row],[indicador de columna]],FALSE)</f>
        <v>0</v>
      </c>
      <c r="Y1092" s="107">
        <f>+VLOOKUP(PROVEEDORES[[#This Row],[ID RETENCION]],Retenciones!$A$1:$O$25,2,FALSE)</f>
        <v>0</v>
      </c>
      <c r="Z1092" s="116" t="b">
        <f>OR(COUNTIF(PROVEEDORES[[#This Row],[PROVEEDOR]],"*"&amp;'Palabra no opera'!$A$2&amp;"*"))</f>
        <v>0</v>
      </c>
    </row>
    <row r="1093" spans="1:26" ht="22.35" customHeight="1" x14ac:dyDescent="0.3">
      <c r="A1093" s="252" t="str">
        <f>+IF(PROVEEDORES[[#This Row],[FECHA DE PAGO]]=PROVEEDORES[[#This Row],[FECHA DE FACTURACIÓN]],"DE CONTADO","CRÉDITO")</f>
        <v>CRÉDITO</v>
      </c>
      <c r="B1093" s="38" t="b">
        <f>+IF((PROVEEDORES[[#This Row],[FECHA DE PAGO]]-PROVEEDORES[[#This Row],[FECHA DE FACTURACIÓN]])&gt;PROVEEDORES[[#This Row],[PLAZO Días]],"PAGO VENCIDO")</f>
        <v>0</v>
      </c>
      <c r="C1093" s="20">
        <f>+VLOOKUP(PROVEEDORES[[#This Row],[PROVEEDOR]],TERCEROS_INFO[#All],2,FALSE)</f>
        <v>30</v>
      </c>
      <c r="D1093" s="25">
        <f>+SUMIFS(PROVEEDORES[Total],PROVEEDORES[PROVEEDOR],PROVEEDORES[[#This Row],[PROVEEDOR]],PROVEEDORES[FECHA DE PAGO],"")</f>
        <v>2950000</v>
      </c>
      <c r="E1093" s="25"/>
      <c r="F1093" s="56">
        <f>+VLOOKUP(PROVEEDORES[[#This Row],[PROVEEDOR]],
                       Terceros!$A:$F,
                       5,
                       FALSE)</f>
        <v>0</v>
      </c>
      <c r="G1093" s="68">
        <v>44921</v>
      </c>
      <c r="H1093" s="26" t="s">
        <v>1152</v>
      </c>
      <c r="I1093" s="68">
        <v>44904</v>
      </c>
      <c r="J1093" s="35">
        <v>6939</v>
      </c>
      <c r="K1093" s="21">
        <v>1157000</v>
      </c>
      <c r="L1093" s="21"/>
      <c r="M1093" s="22">
        <f>(PROVEEDORES[[#This Row],[SUBTOTAL]]-PROVEEDORES[[#This Row],[descuento sobre subtotal]])*VLOOKUP(PROVEEDORES[[#This Row],[PROVEEDOR]],TERCEROS_INFO[#All],3,FALSE)</f>
        <v>0</v>
      </c>
      <c r="N1093" s="23"/>
      <c r="O1093" s="22">
        <f>+PROVEEDORES[[#This Row],[Descuento sobre subtotal %]]*(PROVEEDORES[[#This Row],[SUBTOTAL]]-PROVEEDORES[[#This Row],[descuento sobre subtotal]])</f>
        <v>0</v>
      </c>
      <c r="P1093" s="74">
        <f>+IF(PROVEEDORES[[#This Row],[SUBTOTAL]]&lt;PROVEEDORES[[#This Row],[base retencion]],0,PROVEEDORES[[#This Row],[retención aplicada]])</f>
        <v>0</v>
      </c>
      <c r="Q1093" s="22">
        <f>+PROVEEDORES[[#This Row],[Rete Fuente %]]*(PROVEEDORES[[#This Row],[SUBTOTAL]]-PROVEEDORES[[#This Row],[descuento sobre subtotal]])</f>
        <v>0</v>
      </c>
      <c r="R1093" s="21">
        <f>+PROVEEDORES[[#This Row],[SUBTOTAL]]+PROVEEDORES[[#This Row],[IVA 19%]]-PROVEEDORES[[#This Row],[descuento sobre subtotal]]-PROVEEDORES[[#This Row],[Descuento sobre subtotal $2]]-PROVEEDORES[[#This Row],[Rete Fuente $]]</f>
        <v>1157000</v>
      </c>
      <c r="S1093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63">
        <f ca="1">IF(PROVEEDORES[[#This Row],[FECHA DE PAGO]]=0,TODAY()-PROVEEDORES[[#This Row],[FECHA DE FACTURACIÓN]]-PROVEEDORES[[#This Row],[PLAZO Días]],0)</f>
        <v>0</v>
      </c>
      <c r="U1093" s="104">
        <f>+VLOOKUP(PROVEEDORES[[#This Row],[PROVEEDOR]],Terceros!$A:$D,4,FALSE)</f>
        <v>0</v>
      </c>
      <c r="V1093" s="105">
        <f>+YEAR(PROVEEDORES[[#This Row],[FECHA DE FACTURACIÓN]])</f>
        <v>2022</v>
      </c>
      <c r="W1093" s="105">
        <f>+MATCH(PROVEEDORES[[#This Row],[año facturado]],Retenciones!$1:$1,0)</f>
        <v>5</v>
      </c>
      <c r="X1093" s="106">
        <f>+VLOOKUP(PROVEEDORES[[#This Row],[ID RETENCION]],Retenciones!$A$1:$O$25,PROVEEDORES[[#This Row],[indicador de columna]],FALSE)</f>
        <v>0</v>
      </c>
      <c r="Y1093" s="107">
        <f>+VLOOKUP(PROVEEDORES[[#This Row],[ID RETENCION]],Retenciones!$A$1:$O$25,2,FALSE)</f>
        <v>0</v>
      </c>
      <c r="Z1093" s="116" t="b">
        <f>OR(COUNTIF(PROVEEDORES[[#This Row],[PROVEEDOR]],"*"&amp;'Palabra no opera'!$A$2&amp;"*"))</f>
        <v>0</v>
      </c>
    </row>
    <row r="1094" spans="1:26" ht="22.35" customHeight="1" x14ac:dyDescent="0.3">
      <c r="A1094" s="67" t="str">
        <f>+IF(PROVEEDORES[[#This Row],[FECHA DE PAGO]]=PROVEEDORES[[#This Row],[FECHA DE FACTURACIÓN]],"DE CONTADO","CRÉDITO")</f>
        <v>CRÉDITO</v>
      </c>
      <c r="B1094" s="38" t="str">
        <f>+IF((PROVEEDORES[[#This Row],[FECHA DE PAGO]]-PROVEEDORES[[#This Row],[FECHA DE FACTURACIÓN]])&gt;PROVEEDORES[[#This Row],[PLAZO Días]],"PAGO VENCIDO")</f>
        <v>PAGO VENCIDO</v>
      </c>
      <c r="C1094" s="20">
        <f>+VLOOKUP(PROVEEDORES[[#This Row],[PROVEEDOR]],TERCEROS_INFO[#All],2,FALSE)</f>
        <v>30</v>
      </c>
      <c r="D1094" s="25">
        <f>+SUMIFS(PROVEEDORES[Total],PROVEEDORES[PROVEEDOR],PROVEEDORES[[#This Row],[PROVEEDOR]],PROVEEDORES[FECHA DE PAGO],"")</f>
        <v>0</v>
      </c>
      <c r="E1094" s="25"/>
      <c r="F1094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94" s="68">
        <v>44921</v>
      </c>
      <c r="H1094" s="231" t="s">
        <v>76</v>
      </c>
      <c r="I1094" s="68">
        <v>44809</v>
      </c>
      <c r="J1094" s="244" t="s">
        <v>1190</v>
      </c>
      <c r="K1094" s="21">
        <v>7849577</v>
      </c>
      <c r="L1094" s="21"/>
      <c r="M1094" s="22">
        <f>(PROVEEDORES[[#This Row],[SUBTOTAL]]-PROVEEDORES[[#This Row],[descuento sobre subtotal]])*VLOOKUP(PROVEEDORES[[#This Row],[PROVEEDOR]],TERCEROS_INFO[#All],3,FALSE)</f>
        <v>1491419.6300000001</v>
      </c>
      <c r="N1094" s="23"/>
      <c r="O1094" s="22">
        <f>+PROVEEDORES[[#This Row],[Descuento sobre subtotal %]]*(PROVEEDORES[[#This Row],[SUBTOTAL]]-PROVEEDORES[[#This Row],[descuento sobre subtotal]])</f>
        <v>0</v>
      </c>
      <c r="P1094" s="74">
        <f>+IF(PROVEEDORES[[#This Row],[SUBTOTAL]]&lt;PROVEEDORES[[#This Row],[base retencion]],0,PROVEEDORES[[#This Row],[retención aplicada]])</f>
        <v>2.5000000000000001E-2</v>
      </c>
      <c r="Q1094" s="22">
        <f>+PROVEEDORES[[#This Row],[Rete Fuente %]]*(PROVEEDORES[[#This Row],[SUBTOTAL]]-PROVEEDORES[[#This Row],[descuento sobre subtotal]])</f>
        <v>196239.42500000002</v>
      </c>
      <c r="R1094" s="21">
        <f>+PROVEEDORES[[#This Row],[SUBTOTAL]]+PROVEEDORES[[#This Row],[IVA 19%]]-PROVEEDORES[[#This Row],[descuento sobre subtotal]]-PROVEEDORES[[#This Row],[Descuento sobre subtotal $2]]-PROVEEDORES[[#This Row],[Rete Fuente $]]</f>
        <v>9144757.2050000001</v>
      </c>
      <c r="S10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63">
        <f ca="1">IF(PROVEEDORES[[#This Row],[FECHA DE PAGO]]=0,TODAY()-PROVEEDORES[[#This Row],[FECHA DE FACTURACIÓN]]-PROVEEDORES[[#This Row],[PLAZO Días]],0)</f>
        <v>0</v>
      </c>
      <c r="U1094" s="104" t="str">
        <f>+VLOOKUP(PROVEEDORES[[#This Row],[PROVEEDOR]],Terceros!$A:$D,4,FALSE)</f>
        <v>2,5% con base</v>
      </c>
      <c r="V1094" s="105">
        <f>+YEAR(PROVEEDORES[[#This Row],[FECHA DE FACTURACIÓN]])</f>
        <v>2022</v>
      </c>
      <c r="W1094" s="105">
        <f>+MATCH(PROVEEDORES[[#This Row],[año facturado]],Retenciones!$1:$1,0)</f>
        <v>5</v>
      </c>
      <c r="X1094" s="106">
        <f>+VLOOKUP(PROVEEDORES[[#This Row],[ID RETENCION]],Retenciones!$A$1:$O$25,PROVEEDORES[[#This Row],[indicador de columna]],FALSE)</f>
        <v>1026000</v>
      </c>
      <c r="Y1094" s="107">
        <f>+VLOOKUP(PROVEEDORES[[#This Row],[ID RETENCION]],Retenciones!$A$1:$O$25,2,FALSE)</f>
        <v>2.5000000000000001E-2</v>
      </c>
      <c r="Z1094" s="116" t="b">
        <f>OR(COUNTIF(PROVEEDORES[[#This Row],[PROVEEDOR]],"*"&amp;'Palabra no opera'!$A$2&amp;"*"))</f>
        <v>0</v>
      </c>
    </row>
    <row r="1095" spans="1:26" ht="22.35" customHeight="1" x14ac:dyDescent="0.3">
      <c r="A1095" s="67" t="str">
        <f>+IF(PROVEEDORES[[#This Row],[FECHA DE PAGO]]=PROVEEDORES[[#This Row],[FECHA DE FACTURACIÓN]],"DE CONTADO","CRÉDITO")</f>
        <v>CRÉDITO</v>
      </c>
      <c r="B1095" s="38" t="str">
        <f>+IF((PROVEEDORES[[#This Row],[FECHA DE PAGO]]-PROVEEDORES[[#This Row],[FECHA DE FACTURACIÓN]])&gt;PROVEEDORES[[#This Row],[PLAZO Días]],"PAGO VENCIDO")</f>
        <v>PAGO VENCIDO</v>
      </c>
      <c r="C1095" s="20">
        <f>+VLOOKUP(PROVEEDORES[[#This Row],[PROVEEDOR]],TERCEROS_INFO[#All],2,FALSE)</f>
        <v>30</v>
      </c>
      <c r="D1095" s="25">
        <f>+SUMIFS(PROVEEDORES[Total],PROVEEDORES[PROVEEDOR],PROVEEDORES[[#This Row],[PROVEEDOR]],PROVEEDORES[FECHA DE PAGO],"")</f>
        <v>0</v>
      </c>
      <c r="E1095" s="25"/>
      <c r="F1095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95" s="68">
        <v>44921</v>
      </c>
      <c r="H1095" s="231" t="s">
        <v>76</v>
      </c>
      <c r="I1095" s="68">
        <v>44809</v>
      </c>
      <c r="J1095" s="245" t="s">
        <v>1193</v>
      </c>
      <c r="K1095" s="21">
        <v>12912594</v>
      </c>
      <c r="L1095" s="21"/>
      <c r="M1095" s="22">
        <f>(PROVEEDORES[[#This Row],[SUBTOTAL]]-PROVEEDORES[[#This Row],[descuento sobre subtotal]])*VLOOKUP(PROVEEDORES[[#This Row],[PROVEEDOR]],TERCEROS_INFO[#All],3,FALSE)</f>
        <v>2453392.86</v>
      </c>
      <c r="N1095" s="23"/>
      <c r="O1095" s="22">
        <f>+PROVEEDORES[[#This Row],[Descuento sobre subtotal %]]*(PROVEEDORES[[#This Row],[SUBTOTAL]]-PROVEEDORES[[#This Row],[descuento sobre subtotal]])</f>
        <v>0</v>
      </c>
      <c r="P1095" s="74">
        <f>+IF(PROVEEDORES[[#This Row],[SUBTOTAL]]&lt;PROVEEDORES[[#This Row],[base retencion]],0,PROVEEDORES[[#This Row],[retención aplicada]])</f>
        <v>2.5000000000000001E-2</v>
      </c>
      <c r="Q1095" s="22">
        <f>+PROVEEDORES[[#This Row],[Rete Fuente %]]*(PROVEEDORES[[#This Row],[SUBTOTAL]]-PROVEEDORES[[#This Row],[descuento sobre subtotal]])</f>
        <v>322814.85000000003</v>
      </c>
      <c r="R1095" s="21">
        <f>+PROVEEDORES[[#This Row],[SUBTOTAL]]+PROVEEDORES[[#This Row],[IVA 19%]]-PROVEEDORES[[#This Row],[descuento sobre subtotal]]-PROVEEDORES[[#This Row],[Descuento sobre subtotal $2]]-PROVEEDORES[[#This Row],[Rete Fuente $]]</f>
        <v>15043172.01</v>
      </c>
      <c r="S109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63">
        <f ca="1">IF(PROVEEDORES[[#This Row],[FECHA DE PAGO]]=0,TODAY()-PROVEEDORES[[#This Row],[FECHA DE FACTURACIÓN]]-PROVEEDORES[[#This Row],[PLAZO Días]],0)</f>
        <v>0</v>
      </c>
      <c r="U1095" s="104" t="str">
        <f>+VLOOKUP(PROVEEDORES[[#This Row],[PROVEEDOR]],Terceros!$A:$D,4,FALSE)</f>
        <v>2,5% con base</v>
      </c>
      <c r="V1095" s="105">
        <f>+YEAR(PROVEEDORES[[#This Row],[FECHA DE FACTURACIÓN]])</f>
        <v>2022</v>
      </c>
      <c r="W1095" s="105">
        <f>+MATCH(PROVEEDORES[[#This Row],[año facturado]],Retenciones!$1:$1,0)</f>
        <v>5</v>
      </c>
      <c r="X1095" s="106">
        <f>+VLOOKUP(PROVEEDORES[[#This Row],[ID RETENCION]],Retenciones!$A$1:$O$25,PROVEEDORES[[#This Row],[indicador de columna]],FALSE)</f>
        <v>1026000</v>
      </c>
      <c r="Y1095" s="107">
        <f>+VLOOKUP(PROVEEDORES[[#This Row],[ID RETENCION]],Retenciones!$A$1:$O$25,2,FALSE)</f>
        <v>2.5000000000000001E-2</v>
      </c>
      <c r="Z1095" s="116" t="b">
        <f>OR(COUNTIF(PROVEEDORES[[#This Row],[PROVEEDOR]],"*"&amp;'Palabra no opera'!$A$2&amp;"*"))</f>
        <v>0</v>
      </c>
    </row>
    <row r="1096" spans="1:26" ht="22.35" customHeight="1" x14ac:dyDescent="0.3">
      <c r="A1096" s="249" t="str">
        <f>+IF(PROVEEDORES[[#This Row],[FECHA DE PAGO]]=PROVEEDORES[[#This Row],[FECHA DE FACTURACIÓN]],"DE CONTADO","CRÉDITO")</f>
        <v>CRÉDITO</v>
      </c>
      <c r="B1096" s="38" t="b">
        <f>+IF((PROVEEDORES[[#This Row],[FECHA DE PAGO]]-PROVEEDORES[[#This Row],[FECHA DE FACTURACIÓN]])&gt;PROVEEDORES[[#This Row],[PLAZO Días]],"PAGO VENCIDO")</f>
        <v>0</v>
      </c>
      <c r="C1096" s="20">
        <f>+VLOOKUP(PROVEEDORES[[#This Row],[PROVEEDOR]],TERCEROS_INFO[#All],2,FALSE)</f>
        <v>30</v>
      </c>
      <c r="D1096" s="25">
        <f>+SUMIFS(PROVEEDORES[Total],PROVEEDORES[PROVEEDOR],PROVEEDORES[[#This Row],[PROVEEDOR]],PROVEEDORES[FECHA DE PAGO],"")</f>
        <v>0</v>
      </c>
      <c r="E1096" s="25"/>
      <c r="F1096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96" s="68">
        <v>44921</v>
      </c>
      <c r="H1096" s="26" t="s">
        <v>76</v>
      </c>
      <c r="I1096" s="68">
        <v>44918</v>
      </c>
      <c r="J1096" s="35">
        <v>99</v>
      </c>
      <c r="K1096" s="21">
        <v>-1259500</v>
      </c>
      <c r="L1096" s="21"/>
      <c r="M1096" s="22">
        <v>0</v>
      </c>
      <c r="N1096" s="23"/>
      <c r="O1096" s="22">
        <f>+PROVEEDORES[[#This Row],[Descuento sobre subtotal %]]*(PROVEEDORES[[#This Row],[SUBTOTAL]]-PROVEEDORES[[#This Row],[descuento sobre subtotal]])</f>
        <v>0</v>
      </c>
      <c r="P1096" s="74">
        <f>+IF(PROVEEDORES[[#This Row],[SUBTOTAL]]&lt;PROVEEDORES[[#This Row],[base retencion]],0,PROVEEDORES[[#This Row],[retención aplicada]])</f>
        <v>0</v>
      </c>
      <c r="Q1096" s="22">
        <f>+PROVEEDORES[[#This Row],[Rete Fuente %]]*(PROVEEDORES[[#This Row],[SUBTOTAL]]-PROVEEDORES[[#This Row],[descuento sobre subtotal]])</f>
        <v>0</v>
      </c>
      <c r="R1096" s="21">
        <f>+PROVEEDORES[[#This Row],[SUBTOTAL]]+PROVEEDORES[[#This Row],[IVA 19%]]-PROVEEDORES[[#This Row],[descuento sobre subtotal]]-PROVEEDORES[[#This Row],[Descuento sobre subtotal $2]]-PROVEEDORES[[#This Row],[Rete Fuente $]]</f>
        <v>-1259500</v>
      </c>
      <c r="S1096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63">
        <f ca="1">IF(PROVEEDORES[[#This Row],[FECHA DE PAGO]]=0,TODAY()-PROVEEDORES[[#This Row],[FECHA DE FACTURACIÓN]]-PROVEEDORES[[#This Row],[PLAZO Días]],0)</f>
        <v>0</v>
      </c>
      <c r="U1096" s="104" t="str">
        <f>+VLOOKUP(PROVEEDORES[[#This Row],[PROVEEDOR]],Terceros!$A:$D,4,FALSE)</f>
        <v>2,5% con base</v>
      </c>
      <c r="V1096" s="105">
        <f>+YEAR(PROVEEDORES[[#This Row],[FECHA DE FACTURACIÓN]])</f>
        <v>2022</v>
      </c>
      <c r="W1096" s="105">
        <f>+MATCH(PROVEEDORES[[#This Row],[año facturado]],Retenciones!$1:$1,0)</f>
        <v>5</v>
      </c>
      <c r="X1096" s="106">
        <f>+VLOOKUP(PROVEEDORES[[#This Row],[ID RETENCION]],Retenciones!$A$1:$O$25,PROVEEDORES[[#This Row],[indicador de columna]],FALSE)</f>
        <v>1026000</v>
      </c>
      <c r="Y1096" s="107">
        <f>+VLOOKUP(PROVEEDORES[[#This Row],[ID RETENCION]],Retenciones!$A$1:$O$25,2,FALSE)</f>
        <v>2.5000000000000001E-2</v>
      </c>
      <c r="Z1096" s="116" t="b">
        <f>OR(COUNTIF(PROVEEDORES[[#This Row],[PROVEEDOR]],"*"&amp;'Palabra no opera'!$A$2&amp;"*"))</f>
        <v>0</v>
      </c>
    </row>
    <row r="1097" spans="1:26" ht="22.35" customHeight="1" x14ac:dyDescent="0.3">
      <c r="A1097" s="240" t="str">
        <f>+IF(PROVEEDORES[[#This Row],[FECHA DE PAGO]]=PROVEEDORES[[#This Row],[FECHA DE FACTURACIÓN]],"DE CONTADO","CRÉDITO")</f>
        <v>CRÉDITO</v>
      </c>
      <c r="B1097" s="38" t="str">
        <f>+IF((PROVEEDORES[[#This Row],[FECHA DE PAGO]]-PROVEEDORES[[#This Row],[FECHA DE FACTURACIÓN]])&gt;PROVEEDORES[[#This Row],[PLAZO Días]],"PAGO VENCIDO")</f>
        <v>PAGO VENCIDO</v>
      </c>
      <c r="C1097" s="20">
        <f>+VLOOKUP(PROVEEDORES[[#This Row],[PROVEEDOR]],TERCEROS_INFO[#All],2,FALSE)</f>
        <v>30</v>
      </c>
      <c r="D1097" s="25">
        <f>+SUMIFS(PROVEEDORES[Total],PROVEEDORES[PROVEEDOR],PROVEEDORES[[#This Row],[PROVEEDOR]],PROVEEDORES[FECHA DE PAGO],"")</f>
        <v>2100000</v>
      </c>
      <c r="E1097" s="25"/>
      <c r="F1097" s="56" t="str">
        <f>+VLOOKUP(PROVEEDORES[[#This Row],[PROVEEDOR]],
                       Terceros!$A:$F,
                       5,
                       FALSE)</f>
        <v/>
      </c>
      <c r="G1097" s="68">
        <v>44922</v>
      </c>
      <c r="H1097" s="26" t="s">
        <v>349</v>
      </c>
      <c r="I1097" s="68">
        <v>44891</v>
      </c>
      <c r="J1097" s="251">
        <v>2653</v>
      </c>
      <c r="K1097" s="21">
        <v>3150000</v>
      </c>
      <c r="L1097" s="21"/>
      <c r="M1097" s="22">
        <f>(PROVEEDORES[[#This Row],[SUBTOTAL]]-PROVEEDORES[[#This Row],[descuento sobre subtotal]])*VLOOKUP(PROVEEDORES[[#This Row],[PROVEEDOR]],TERCEROS_INFO[#All],3,FALSE)</f>
        <v>0</v>
      </c>
      <c r="N1097" s="23"/>
      <c r="O1097" s="22">
        <f>+PROVEEDORES[[#This Row],[Descuento sobre subtotal %]]*(PROVEEDORES[[#This Row],[SUBTOTAL]]-PROVEEDORES[[#This Row],[descuento sobre subtotal]])</f>
        <v>0</v>
      </c>
      <c r="P1097" s="74">
        <f>+IF(PROVEEDORES[[#This Row],[SUBTOTAL]]&lt;PROVEEDORES[[#This Row],[base retencion]],0,PROVEEDORES[[#This Row],[retención aplicada]])</f>
        <v>0</v>
      </c>
      <c r="Q1097" s="22">
        <f>+PROVEEDORES[[#This Row],[Rete Fuente %]]*(PROVEEDORES[[#This Row],[SUBTOTAL]]-PROVEEDORES[[#This Row],[descuento sobre subtotal]])</f>
        <v>0</v>
      </c>
      <c r="R1097" s="21">
        <f>+PROVEEDORES[[#This Row],[SUBTOTAL]]+PROVEEDORES[[#This Row],[IVA 19%]]-PROVEEDORES[[#This Row],[descuento sobre subtotal]]-PROVEEDORES[[#This Row],[Descuento sobre subtotal $2]]-PROVEEDORES[[#This Row],[Rete Fuente $]]</f>
        <v>3150000</v>
      </c>
      <c r="S1097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63">
        <f ca="1">IF(PROVEEDORES[[#This Row],[FECHA DE PAGO]]=0,TODAY()-PROVEEDORES[[#This Row],[FECHA DE FACTURACIÓN]]-PROVEEDORES[[#This Row],[PLAZO Días]],0)</f>
        <v>0</v>
      </c>
      <c r="U1097" s="104">
        <f>+VLOOKUP(PROVEEDORES[[#This Row],[PROVEEDOR]],Terceros!$A:$D,4,FALSE)</f>
        <v>0</v>
      </c>
      <c r="V1097" s="105">
        <f>+YEAR(PROVEEDORES[[#This Row],[FECHA DE FACTURACIÓN]])</f>
        <v>2022</v>
      </c>
      <c r="W1097" s="105">
        <f>+MATCH(PROVEEDORES[[#This Row],[año facturado]],Retenciones!$1:$1,0)</f>
        <v>5</v>
      </c>
      <c r="X1097" s="106">
        <f>+VLOOKUP(PROVEEDORES[[#This Row],[ID RETENCION]],Retenciones!$A$1:$O$25,PROVEEDORES[[#This Row],[indicador de columna]],FALSE)</f>
        <v>0</v>
      </c>
      <c r="Y1097" s="107">
        <f>+VLOOKUP(PROVEEDORES[[#This Row],[ID RETENCION]],Retenciones!$A$1:$O$25,2,FALSE)</f>
        <v>0</v>
      </c>
      <c r="Z1097" s="116" t="b">
        <f>OR(COUNTIF(PROVEEDORES[[#This Row],[PROVEEDOR]],"*"&amp;'Palabra no opera'!$A$2&amp;"*"))</f>
        <v>0</v>
      </c>
    </row>
    <row r="1098" spans="1:26" ht="22.35" customHeight="1" x14ac:dyDescent="0.3">
      <c r="A1098" s="252" t="str">
        <f>+IF(PROVEEDORES[[#This Row],[FECHA DE PAGO]]=PROVEEDORES[[#This Row],[FECHA DE FACTURACIÓN]],"DE CONTADO","CRÉDITO")</f>
        <v>DE CONTADO</v>
      </c>
      <c r="B1098" s="38" t="b">
        <f>+IF((PROVEEDORES[[#This Row],[FECHA DE PAGO]]-PROVEEDORES[[#This Row],[FECHA DE FACTURACIÓN]])&gt;PROVEEDORES[[#This Row],[PLAZO Días]],"PAGO VENCIDO")</f>
        <v>0</v>
      </c>
      <c r="C1098" s="20">
        <f>+VLOOKUP(PROVEEDORES[[#This Row],[PROVEEDOR]],TERCEROS_INFO[#All],2,FALSE)</f>
        <v>30</v>
      </c>
      <c r="D1098" s="25">
        <f>+SUMIFS(PROVEEDORES[Total],PROVEEDORES[PROVEEDOR],PROVEEDORES[[#This Row],[PROVEEDOR]],PROVEEDORES[FECHA DE PAGO],"")</f>
        <v>0</v>
      </c>
      <c r="E1098" s="25"/>
      <c r="F1098" s="56" t="str">
        <f>+VLOOKUP(PROVEEDORES[[#This Row],[PROVEEDOR]],
                       Terceros!$A:$F,
                       5,
                       FALSE)</f>
        <v/>
      </c>
      <c r="G1098" s="68">
        <v>44922</v>
      </c>
      <c r="H1098" s="26" t="s">
        <v>356</v>
      </c>
      <c r="I1098" s="68">
        <v>44922</v>
      </c>
      <c r="J1098" s="35" t="s">
        <v>1373</v>
      </c>
      <c r="K1098" s="21">
        <v>4042000</v>
      </c>
      <c r="L1098" s="21"/>
      <c r="M1098" s="22">
        <f>(PROVEEDORES[[#This Row],[SUBTOTAL]]-PROVEEDORES[[#This Row],[descuento sobre subtotal]])*VLOOKUP(PROVEEDORES[[#This Row],[PROVEEDOR]],TERCEROS_INFO[#All],3,FALSE)</f>
        <v>0</v>
      </c>
      <c r="N1098" s="23"/>
      <c r="O1098" s="22">
        <f>+PROVEEDORES[[#This Row],[Descuento sobre subtotal %]]*(PROVEEDORES[[#This Row],[SUBTOTAL]]-PROVEEDORES[[#This Row],[descuento sobre subtotal]])</f>
        <v>0</v>
      </c>
      <c r="P1098" s="74">
        <f>+IF(PROVEEDORES[[#This Row],[SUBTOTAL]]&lt;PROVEEDORES[[#This Row],[base retencion]],0,PROVEEDORES[[#This Row],[retención aplicada]])</f>
        <v>0</v>
      </c>
      <c r="Q1098" s="22">
        <f>+PROVEEDORES[[#This Row],[Rete Fuente %]]*(PROVEEDORES[[#This Row],[SUBTOTAL]]-PROVEEDORES[[#This Row],[descuento sobre subtotal]])</f>
        <v>0</v>
      </c>
      <c r="R1098" s="21">
        <f>+PROVEEDORES[[#This Row],[SUBTOTAL]]+PROVEEDORES[[#This Row],[IVA 19%]]-PROVEEDORES[[#This Row],[descuento sobre subtotal]]-PROVEEDORES[[#This Row],[Descuento sobre subtotal $2]]-PROVEEDORES[[#This Row],[Rete Fuente $]]</f>
        <v>4042000</v>
      </c>
      <c r="S1098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63">
        <f ca="1">IF(PROVEEDORES[[#This Row],[FECHA DE PAGO]]=0,TODAY()-PROVEEDORES[[#This Row],[FECHA DE FACTURACIÓN]]-PROVEEDORES[[#This Row],[PLAZO Días]],0)</f>
        <v>0</v>
      </c>
      <c r="U1098" s="104">
        <f>+VLOOKUP(PROVEEDORES[[#This Row],[PROVEEDOR]],Terceros!$A:$D,4,FALSE)</f>
        <v>0</v>
      </c>
      <c r="V1098" s="105">
        <f>+YEAR(PROVEEDORES[[#This Row],[FECHA DE FACTURACIÓN]])</f>
        <v>2022</v>
      </c>
      <c r="W1098" s="105">
        <f>+MATCH(PROVEEDORES[[#This Row],[año facturado]],Retenciones!$1:$1,0)</f>
        <v>5</v>
      </c>
      <c r="X1098" s="106">
        <f>+VLOOKUP(PROVEEDORES[[#This Row],[ID RETENCION]],Retenciones!$A$1:$O$25,PROVEEDORES[[#This Row],[indicador de columna]],FALSE)</f>
        <v>0</v>
      </c>
      <c r="Y1098" s="107">
        <f>+VLOOKUP(PROVEEDORES[[#This Row],[ID RETENCION]],Retenciones!$A$1:$O$25,2,FALSE)</f>
        <v>0</v>
      </c>
      <c r="Z1098" s="116" t="b">
        <f>OR(COUNTIF(PROVEEDORES[[#This Row],[PROVEEDOR]],"*"&amp;'Palabra no opera'!$A$2&amp;"*"))</f>
        <v>0</v>
      </c>
    </row>
    <row r="1099" spans="1:26" ht="22.35" customHeight="1" x14ac:dyDescent="0.3">
      <c r="A1099" s="67" t="str">
        <f>+IF(PROVEEDORES[[#This Row],[FECHA DE PAGO]]=PROVEEDORES[[#This Row],[FECHA DE FACTURACIÓN]],"DE CONTADO","CRÉDITO")</f>
        <v>CRÉDITO</v>
      </c>
      <c r="B1099" s="38" t="b">
        <f>+IF((PROVEEDORES[[#This Row],[FECHA DE PAGO]]-PROVEEDORES[[#This Row],[FECHA DE FACTURACIÓN]])&gt;PROVEEDORES[[#This Row],[PLAZO Días]],"PAGO VENCIDO")</f>
        <v>0</v>
      </c>
      <c r="C1099" s="20">
        <f>+VLOOKUP(PROVEEDORES[[#This Row],[PROVEEDOR]],TERCEROS_INFO[#All],2,FALSE)</f>
        <v>30</v>
      </c>
      <c r="D1099" s="25">
        <f>+SUMIFS(PROVEEDORES[Total],PROVEEDORES[PROVEEDOR],PROVEEDORES[[#This Row],[PROVEEDOR]],PROVEEDORES[FECHA DE PAGO],"")</f>
        <v>5480000</v>
      </c>
      <c r="E1099" s="25"/>
      <c r="F1099" s="56" t="str">
        <f>+VLOOKUP(PROVEEDORES[[#This Row],[PROVEEDOR]],
                       Terceros!$A:$F,
                       5,
                       FALSE)</f>
        <v/>
      </c>
      <c r="G1099" s="68">
        <v>44922</v>
      </c>
      <c r="H1099" s="26" t="s">
        <v>369</v>
      </c>
      <c r="I1099" s="68">
        <v>44893</v>
      </c>
      <c r="J1099" s="251">
        <v>7444</v>
      </c>
      <c r="K1099" s="21">
        <v>3400000</v>
      </c>
      <c r="L1099" s="21"/>
      <c r="M1099" s="22">
        <f>(PROVEEDORES[[#This Row],[SUBTOTAL]]-PROVEEDORES[[#This Row],[descuento sobre subtotal]])*VLOOKUP(PROVEEDORES[[#This Row],[PROVEEDOR]],TERCEROS_INFO[#All],3,FALSE)</f>
        <v>0</v>
      </c>
      <c r="N1099" s="23"/>
      <c r="O1099" s="22">
        <f>+PROVEEDORES[[#This Row],[Descuento sobre subtotal %]]*(PROVEEDORES[[#This Row],[SUBTOTAL]]-PROVEEDORES[[#This Row],[descuento sobre subtotal]])</f>
        <v>0</v>
      </c>
      <c r="P1099" s="74">
        <f>+IF(PROVEEDORES[[#This Row],[SUBTOTAL]]&lt;PROVEEDORES[[#This Row],[base retencion]],0,PROVEEDORES[[#This Row],[retención aplicada]])</f>
        <v>0</v>
      </c>
      <c r="Q1099" s="22">
        <f>+PROVEEDORES[[#This Row],[Rete Fuente %]]*(PROVEEDORES[[#This Row],[SUBTOTAL]]-PROVEEDORES[[#This Row],[descuento sobre subtotal]])</f>
        <v>0</v>
      </c>
      <c r="R1099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10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63">
        <f ca="1">IF(PROVEEDORES[[#This Row],[FECHA DE PAGO]]=0,TODAY()-PROVEEDORES[[#This Row],[FECHA DE FACTURACIÓN]]-PROVEEDORES[[#This Row],[PLAZO Días]],0)</f>
        <v>0</v>
      </c>
      <c r="U1099" s="104">
        <f>+VLOOKUP(PROVEEDORES[[#This Row],[PROVEEDOR]],Terceros!$A:$D,4,FALSE)</f>
        <v>0</v>
      </c>
      <c r="V1099" s="105">
        <f>+YEAR(PROVEEDORES[[#This Row],[FECHA DE FACTURACIÓN]])</f>
        <v>2022</v>
      </c>
      <c r="W1099" s="105">
        <f>+MATCH(PROVEEDORES[[#This Row],[año facturado]],Retenciones!$1:$1,0)</f>
        <v>5</v>
      </c>
      <c r="X1099" s="106">
        <f>+VLOOKUP(PROVEEDORES[[#This Row],[ID RETENCION]],Retenciones!$A$1:$O$25,PROVEEDORES[[#This Row],[indicador de columna]],FALSE)</f>
        <v>0</v>
      </c>
      <c r="Y1099" s="107">
        <f>+VLOOKUP(PROVEEDORES[[#This Row],[ID RETENCION]],Retenciones!$A$1:$O$25,2,FALSE)</f>
        <v>0</v>
      </c>
      <c r="Z1099" s="116" t="b">
        <f>OR(COUNTIF(PROVEEDORES[[#This Row],[PROVEEDOR]],"*"&amp;'Palabra no opera'!$A$2&amp;"*"))</f>
        <v>0</v>
      </c>
    </row>
    <row r="1100" spans="1:26" ht="22.35" customHeight="1" x14ac:dyDescent="0.3">
      <c r="A1100" s="252" t="str">
        <f>+IF(PROVEEDORES[[#This Row],[FECHA DE PAGO]]=PROVEEDORES[[#This Row],[FECHA DE FACTURACIÓN]],"DE CONTADO","CRÉDITO")</f>
        <v>CRÉDITO</v>
      </c>
      <c r="B1100" s="38" t="b">
        <f>+IF((PROVEEDORES[[#This Row],[FECHA DE PAGO]]-PROVEEDORES[[#This Row],[FECHA DE FACTURACIÓN]])&gt;PROVEEDORES[[#This Row],[PLAZO Días]],"PAGO VENCIDO")</f>
        <v>0</v>
      </c>
      <c r="C1100" s="20">
        <f>+VLOOKUP(PROVEEDORES[[#This Row],[PROVEEDOR]],TERCEROS_INFO[#All],2,FALSE)</f>
        <v>30</v>
      </c>
      <c r="D1100" s="25">
        <f>+SUMIFS(PROVEEDORES[Total],PROVEEDORES[PROVEEDOR],PROVEEDORES[[#This Row],[PROVEEDOR]],PROVEEDORES[FECHA DE PAGO],"")</f>
        <v>2950000</v>
      </c>
      <c r="E1100" s="25"/>
      <c r="F1100" s="56">
        <f>+VLOOKUP(PROVEEDORES[[#This Row],[PROVEEDOR]],
                       Terceros!$A:$F,
                       5,
                       FALSE)</f>
        <v>0</v>
      </c>
      <c r="G1100" s="68">
        <v>44922</v>
      </c>
      <c r="H1100" s="26" t="s">
        <v>1152</v>
      </c>
      <c r="I1100" s="68">
        <v>44900</v>
      </c>
      <c r="J1100" s="35">
        <v>6830</v>
      </c>
      <c r="K1100" s="21">
        <v>350000</v>
      </c>
      <c r="L1100" s="21"/>
      <c r="M1100" s="22">
        <f>(PROVEEDORES[[#This Row],[SUBTOTAL]]-PROVEEDORES[[#This Row],[descuento sobre subtotal]])*VLOOKUP(PROVEEDORES[[#This Row],[PROVEEDOR]],TERCEROS_INFO[#All],3,FALSE)</f>
        <v>0</v>
      </c>
      <c r="N1100" s="23"/>
      <c r="O1100" s="22">
        <f>+PROVEEDORES[[#This Row],[Descuento sobre subtotal %]]*(PROVEEDORES[[#This Row],[SUBTOTAL]]-PROVEEDORES[[#This Row],[descuento sobre subtotal]])</f>
        <v>0</v>
      </c>
      <c r="P1100" s="74">
        <f>+IF(PROVEEDORES[[#This Row],[SUBTOTAL]]&lt;PROVEEDORES[[#This Row],[base retencion]],0,PROVEEDORES[[#This Row],[retención aplicada]])</f>
        <v>0</v>
      </c>
      <c r="Q1100" s="22">
        <f>+PROVEEDORES[[#This Row],[Rete Fuente %]]*(PROVEEDORES[[#This Row],[SUBTOTAL]]-PROVEEDORES[[#This Row],[descuento sobre subtotal]])</f>
        <v>0</v>
      </c>
      <c r="R1100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1100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63">
        <f ca="1">IF(PROVEEDORES[[#This Row],[FECHA DE PAGO]]=0,TODAY()-PROVEEDORES[[#This Row],[FECHA DE FACTURACIÓN]]-PROVEEDORES[[#This Row],[PLAZO Días]],0)</f>
        <v>0</v>
      </c>
      <c r="U1100" s="104">
        <f>+VLOOKUP(PROVEEDORES[[#This Row],[PROVEEDOR]],Terceros!$A:$D,4,FALSE)</f>
        <v>0</v>
      </c>
      <c r="V1100" s="105">
        <f>+YEAR(PROVEEDORES[[#This Row],[FECHA DE FACTURACIÓN]])</f>
        <v>2022</v>
      </c>
      <c r="W1100" s="105">
        <f>+MATCH(PROVEEDORES[[#This Row],[año facturado]],Retenciones!$1:$1,0)</f>
        <v>5</v>
      </c>
      <c r="X1100" s="106">
        <f>+VLOOKUP(PROVEEDORES[[#This Row],[ID RETENCION]],Retenciones!$A$1:$O$25,PROVEEDORES[[#This Row],[indicador de columna]],FALSE)</f>
        <v>0</v>
      </c>
      <c r="Y1100" s="107">
        <f>+VLOOKUP(PROVEEDORES[[#This Row],[ID RETENCION]],Retenciones!$A$1:$O$25,2,FALSE)</f>
        <v>0</v>
      </c>
      <c r="Z1100" s="116" t="b">
        <f>OR(COUNTIF(PROVEEDORES[[#This Row],[PROVEEDOR]],"*"&amp;'Palabra no opera'!$A$2&amp;"*"))</f>
        <v>0</v>
      </c>
    </row>
    <row r="1101" spans="1:26" ht="22.35" customHeight="1" x14ac:dyDescent="0.3">
      <c r="A1101" s="252" t="str">
        <f>+IF(PROVEEDORES[[#This Row],[FECHA DE PAGO]]=PROVEEDORES[[#This Row],[FECHA DE FACTURACIÓN]],"DE CONTADO","CRÉDITO")</f>
        <v>CRÉDITO</v>
      </c>
      <c r="B1101" s="38" t="b">
        <f>+IF((PROVEEDORES[[#This Row],[FECHA DE PAGO]]-PROVEEDORES[[#This Row],[FECHA DE FACTURACIÓN]])&gt;PROVEEDORES[[#This Row],[PLAZO Días]],"PAGO VENCIDO")</f>
        <v>0</v>
      </c>
      <c r="C1101" s="20">
        <f>+VLOOKUP(PROVEEDORES[[#This Row],[PROVEEDOR]],TERCEROS_INFO[#All],2,FALSE)</f>
        <v>30</v>
      </c>
      <c r="D1101" s="25">
        <f>+SUMIFS(PROVEEDORES[Total],PROVEEDORES[PROVEEDOR],PROVEEDORES[[#This Row],[PROVEEDOR]],PROVEEDORES[FECHA DE PAGO],"")</f>
        <v>2950000</v>
      </c>
      <c r="E1101" s="25"/>
      <c r="F1101" s="56">
        <f>+VLOOKUP(PROVEEDORES[[#This Row],[PROVEEDOR]],
                       Terceros!$A:$F,
                       5,
                       FALSE)</f>
        <v>0</v>
      </c>
      <c r="G1101" s="68">
        <v>44922</v>
      </c>
      <c r="H1101" s="26" t="s">
        <v>1152</v>
      </c>
      <c r="I1101" s="68">
        <v>44909</v>
      </c>
      <c r="J1101" s="35">
        <v>7217</v>
      </c>
      <c r="K1101" s="21">
        <v>210000</v>
      </c>
      <c r="L1101" s="21"/>
      <c r="M1101" s="22">
        <f>(PROVEEDORES[[#This Row],[SUBTOTAL]]-PROVEEDORES[[#This Row],[descuento sobre subtotal]])*VLOOKUP(PROVEEDORES[[#This Row],[PROVEEDOR]],TERCEROS_INFO[#All],3,FALSE)</f>
        <v>0</v>
      </c>
      <c r="N1101" s="23"/>
      <c r="O1101" s="22">
        <f>+PROVEEDORES[[#This Row],[Descuento sobre subtotal %]]*(PROVEEDORES[[#This Row],[SUBTOTAL]]-PROVEEDORES[[#This Row],[descuento sobre subtotal]])</f>
        <v>0</v>
      </c>
      <c r="P1101" s="74">
        <f>+IF(PROVEEDORES[[#This Row],[SUBTOTAL]]&lt;PROVEEDORES[[#This Row],[base retencion]],0,PROVEEDORES[[#This Row],[retención aplicada]])</f>
        <v>0</v>
      </c>
      <c r="Q1101" s="22">
        <f>+PROVEEDORES[[#This Row],[Rete Fuente %]]*(PROVEEDORES[[#This Row],[SUBTOTAL]]-PROVEEDORES[[#This Row],[descuento sobre subtotal]])</f>
        <v>0</v>
      </c>
      <c r="R1101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1101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63">
        <f ca="1">IF(PROVEEDORES[[#This Row],[FECHA DE PAGO]]=0,TODAY()-PROVEEDORES[[#This Row],[FECHA DE FACTURACIÓN]]-PROVEEDORES[[#This Row],[PLAZO Días]],0)</f>
        <v>0</v>
      </c>
      <c r="U1101" s="104">
        <f>+VLOOKUP(PROVEEDORES[[#This Row],[PROVEEDOR]],Terceros!$A:$D,4,FALSE)</f>
        <v>0</v>
      </c>
      <c r="V1101" s="105">
        <f>+YEAR(PROVEEDORES[[#This Row],[FECHA DE FACTURACIÓN]])</f>
        <v>2022</v>
      </c>
      <c r="W1101" s="105">
        <f>+MATCH(PROVEEDORES[[#This Row],[año facturado]],Retenciones!$1:$1,0)</f>
        <v>5</v>
      </c>
      <c r="X1101" s="106">
        <f>+VLOOKUP(PROVEEDORES[[#This Row],[ID RETENCION]],Retenciones!$A$1:$O$25,PROVEEDORES[[#This Row],[indicador de columna]],FALSE)</f>
        <v>0</v>
      </c>
      <c r="Y1101" s="107">
        <f>+VLOOKUP(PROVEEDORES[[#This Row],[ID RETENCION]],Retenciones!$A$1:$O$25,2,FALSE)</f>
        <v>0</v>
      </c>
      <c r="Z1101" s="116" t="b">
        <f>OR(COUNTIF(PROVEEDORES[[#This Row],[PROVEEDOR]],"*"&amp;'Palabra no opera'!$A$2&amp;"*"))</f>
        <v>0</v>
      </c>
    </row>
    <row r="1102" spans="1:26" ht="22.35" customHeight="1" x14ac:dyDescent="0.3">
      <c r="A1102" s="67" t="str">
        <f>+IF(PROVEEDORES[[#This Row],[FECHA DE PAGO]]=PROVEEDORES[[#This Row],[FECHA DE FACTURACIÓN]],"DE CONTADO","CRÉDITO")</f>
        <v>CRÉDITO</v>
      </c>
      <c r="B1102" s="38" t="str">
        <f>+IF((PROVEEDORES[[#This Row],[FECHA DE PAGO]]-PROVEEDORES[[#This Row],[FECHA DE FACTURACIÓN]])&gt;PROVEEDORES[[#This Row],[PLAZO Días]],"PAGO VENCIDO")</f>
        <v>PAGO VENCIDO</v>
      </c>
      <c r="C1102" s="20">
        <f>+VLOOKUP(PROVEEDORES[[#This Row],[PROVEEDOR]],TERCEROS_INFO[#All],2,FALSE)</f>
        <v>30</v>
      </c>
      <c r="D1102" s="25">
        <f>+SUMIFS(PROVEEDORES[Total],PROVEEDORES[PROVEEDOR],PROVEEDORES[[#This Row],[PROVEEDOR]],PROVEEDORES[FECHA DE PAGO],"")</f>
        <v>2773899.95</v>
      </c>
      <c r="E1102" s="25"/>
      <c r="F1102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02" s="68">
        <v>44922</v>
      </c>
      <c r="H1102" s="231" t="s">
        <v>20</v>
      </c>
      <c r="I1102" s="68">
        <v>44881</v>
      </c>
      <c r="J1102" s="245" t="s">
        <v>1291</v>
      </c>
      <c r="K1102" s="21">
        <v>4642276</v>
      </c>
      <c r="L1102" s="21"/>
      <c r="M1102" s="22">
        <f>(PROVEEDORES[[#This Row],[SUBTOTAL]]-PROVEEDORES[[#This Row],[descuento sobre subtotal]])*VLOOKUP(PROVEEDORES[[#This Row],[PROVEEDOR]],TERCEROS_INFO[#All],3,FALSE)</f>
        <v>882032.44000000006</v>
      </c>
      <c r="N1102" s="23"/>
      <c r="O1102" s="22">
        <f>+PROVEEDORES[[#This Row],[Descuento sobre subtotal %]]*(PROVEEDORES[[#This Row],[SUBTOTAL]]-PROVEEDORES[[#This Row],[descuento sobre subtotal]])</f>
        <v>0</v>
      </c>
      <c r="P1102" s="74">
        <f>+IF(PROVEEDORES[[#This Row],[SUBTOTAL]]&lt;PROVEEDORES[[#This Row],[base retencion]],0,PROVEEDORES[[#This Row],[retención aplicada]])</f>
        <v>2.5000000000000001E-2</v>
      </c>
      <c r="Q1102" s="22">
        <f>+PROVEEDORES[[#This Row],[Rete Fuente %]]*(PROVEEDORES[[#This Row],[SUBTOTAL]]-PROVEEDORES[[#This Row],[descuento sobre subtotal]])</f>
        <v>116056.90000000001</v>
      </c>
      <c r="R1102" s="21">
        <f>+PROVEEDORES[[#This Row],[SUBTOTAL]]+PROVEEDORES[[#This Row],[IVA 19%]]-PROVEEDORES[[#This Row],[descuento sobre subtotal]]-PROVEEDORES[[#This Row],[Descuento sobre subtotal $2]]-PROVEEDORES[[#This Row],[Rete Fuente $]]</f>
        <v>5408251.54</v>
      </c>
      <c r="S110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63">
        <f ca="1">IF(PROVEEDORES[[#This Row],[FECHA DE PAGO]]=0,TODAY()-PROVEEDORES[[#This Row],[FECHA DE FACTURACIÓN]]-PROVEEDORES[[#This Row],[PLAZO Días]],0)</f>
        <v>0</v>
      </c>
      <c r="U1102" s="104" t="str">
        <f>+VLOOKUP(PROVEEDORES[[#This Row],[PROVEEDOR]],Terceros!$A:$D,4,FALSE)</f>
        <v>2,5% con base</v>
      </c>
      <c r="V1102" s="105">
        <f>+YEAR(PROVEEDORES[[#This Row],[FECHA DE FACTURACIÓN]])</f>
        <v>2022</v>
      </c>
      <c r="W1102" s="105">
        <f>+MATCH(PROVEEDORES[[#This Row],[año facturado]],Retenciones!$1:$1,0)</f>
        <v>5</v>
      </c>
      <c r="X1102" s="106">
        <f>+VLOOKUP(PROVEEDORES[[#This Row],[ID RETENCION]],Retenciones!$A$1:$O$25,PROVEEDORES[[#This Row],[indicador de columna]],FALSE)</f>
        <v>1026000</v>
      </c>
      <c r="Y1102" s="107">
        <f>+VLOOKUP(PROVEEDORES[[#This Row],[ID RETENCION]],Retenciones!$A$1:$O$25,2,FALSE)</f>
        <v>2.5000000000000001E-2</v>
      </c>
      <c r="Z1102" s="116" t="b">
        <f>OR(COUNTIF(PROVEEDORES[[#This Row],[PROVEEDOR]],"*"&amp;'Palabra no opera'!$A$2&amp;"*"))</f>
        <v>0</v>
      </c>
    </row>
    <row r="1103" spans="1:26" ht="22.35" customHeight="1" x14ac:dyDescent="0.3">
      <c r="A1103" s="67" t="str">
        <f>+IF(PROVEEDORES[[#This Row],[FECHA DE PAGO]]=PROVEEDORES[[#This Row],[FECHA DE FACTURACIÓN]],"DE CONTADO","CRÉDITO")</f>
        <v>CRÉDITO</v>
      </c>
      <c r="B1103" s="38" t="str">
        <f>+IF((PROVEEDORES[[#This Row],[FECHA DE PAGO]]-PROVEEDORES[[#This Row],[FECHA DE FACTURACIÓN]])&gt;PROVEEDORES[[#This Row],[PLAZO Días]],"PAGO VENCIDO")</f>
        <v>PAGO VENCIDO</v>
      </c>
      <c r="C1103" s="20">
        <f>+VLOOKUP(PROVEEDORES[[#This Row],[PROVEEDOR]],TERCEROS_INFO[#All],2,FALSE)</f>
        <v>30</v>
      </c>
      <c r="D1103" s="25">
        <f>+SUMIFS(PROVEEDORES[Total],PROVEEDORES[PROVEEDOR],PROVEEDORES[[#This Row],[PROVEEDOR]],PROVEEDORES[FECHA DE PAGO],"")</f>
        <v>2773899.95</v>
      </c>
      <c r="E1103" s="25"/>
      <c r="F1103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03" s="68">
        <v>44922</v>
      </c>
      <c r="H1103" s="231" t="s">
        <v>20</v>
      </c>
      <c r="I1103" s="68">
        <v>44883</v>
      </c>
      <c r="J1103" s="245" t="s">
        <v>1304</v>
      </c>
      <c r="K1103" s="21">
        <v>2161200</v>
      </c>
      <c r="L1103" s="21"/>
      <c r="M1103" s="22">
        <f>(PROVEEDORES[[#This Row],[SUBTOTAL]]-PROVEEDORES[[#This Row],[descuento sobre subtotal]])*VLOOKUP(PROVEEDORES[[#This Row],[PROVEEDOR]],TERCEROS_INFO[#All],3,FALSE)</f>
        <v>410628</v>
      </c>
      <c r="N1103" s="23"/>
      <c r="O1103" s="22">
        <f>+PROVEEDORES[[#This Row],[Descuento sobre subtotal %]]*(PROVEEDORES[[#This Row],[SUBTOTAL]]-PROVEEDORES[[#This Row],[descuento sobre subtotal]])</f>
        <v>0</v>
      </c>
      <c r="P1103" s="74">
        <f>+IF(PROVEEDORES[[#This Row],[SUBTOTAL]]&lt;PROVEEDORES[[#This Row],[base retencion]],0,PROVEEDORES[[#This Row],[retención aplicada]])</f>
        <v>2.5000000000000001E-2</v>
      </c>
      <c r="Q1103" s="22">
        <f>+PROVEEDORES[[#This Row],[Rete Fuente %]]*(PROVEEDORES[[#This Row],[SUBTOTAL]]-PROVEEDORES[[#This Row],[descuento sobre subtotal]])</f>
        <v>54030</v>
      </c>
      <c r="R1103" s="21">
        <f>+PROVEEDORES[[#This Row],[SUBTOTAL]]+PROVEEDORES[[#This Row],[IVA 19%]]-PROVEEDORES[[#This Row],[descuento sobre subtotal]]-PROVEEDORES[[#This Row],[Descuento sobre subtotal $2]]-PROVEEDORES[[#This Row],[Rete Fuente $]]</f>
        <v>2517798</v>
      </c>
      <c r="S11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63">
        <f ca="1">IF(PROVEEDORES[[#This Row],[FECHA DE PAGO]]=0,TODAY()-PROVEEDORES[[#This Row],[FECHA DE FACTURACIÓN]]-PROVEEDORES[[#This Row],[PLAZO Días]],0)</f>
        <v>0</v>
      </c>
      <c r="U1103" s="104" t="str">
        <f>+VLOOKUP(PROVEEDORES[[#This Row],[PROVEEDOR]],Terceros!$A:$D,4,FALSE)</f>
        <v>2,5% con base</v>
      </c>
      <c r="V1103" s="105">
        <f>+YEAR(PROVEEDORES[[#This Row],[FECHA DE FACTURACIÓN]])</f>
        <v>2022</v>
      </c>
      <c r="W1103" s="105">
        <f>+MATCH(PROVEEDORES[[#This Row],[año facturado]],Retenciones!$1:$1,0)</f>
        <v>5</v>
      </c>
      <c r="X1103" s="106">
        <f>+VLOOKUP(PROVEEDORES[[#This Row],[ID RETENCION]],Retenciones!$A$1:$O$25,PROVEEDORES[[#This Row],[indicador de columna]],FALSE)</f>
        <v>1026000</v>
      </c>
      <c r="Y1103" s="107">
        <f>+VLOOKUP(PROVEEDORES[[#This Row],[ID RETENCION]],Retenciones!$A$1:$O$25,2,FALSE)</f>
        <v>2.5000000000000001E-2</v>
      </c>
      <c r="Z1103" s="116" t="b">
        <f>OR(COUNTIF(PROVEEDORES[[#This Row],[PROVEEDOR]],"*"&amp;'Palabra no opera'!$A$2&amp;"*"))</f>
        <v>0</v>
      </c>
    </row>
    <row r="1104" spans="1:26" ht="22.35" customHeight="1" x14ac:dyDescent="0.3">
      <c r="A1104" s="240" t="str">
        <f>+IF(PROVEEDORES[[#This Row],[FECHA DE PAGO]]=PROVEEDORES[[#This Row],[FECHA DE FACTURACIÓN]],"DE CONTADO","CRÉDITO")</f>
        <v>CRÉDITO</v>
      </c>
      <c r="B1104" s="38" t="str">
        <f>+IF((PROVEEDORES[[#This Row],[FECHA DE PAGO]]-PROVEEDORES[[#This Row],[FECHA DE FACTURACIÓN]])&gt;PROVEEDORES[[#This Row],[PLAZO Días]],"PAGO VENCIDO")</f>
        <v>PAGO VENCIDO</v>
      </c>
      <c r="C1104" s="20">
        <f>+VLOOKUP(PROVEEDORES[[#This Row],[PROVEEDOR]],TERCEROS_INFO[#All],2,FALSE)</f>
        <v>30</v>
      </c>
      <c r="D1104" s="25">
        <f>+SUMIFS(PROVEEDORES[Total],PROVEEDORES[PROVEEDOR],PROVEEDORES[[#This Row],[PROVEEDOR]],PROVEEDORES[FECHA DE PAGO],"")</f>
        <v>2773899.95</v>
      </c>
      <c r="E1104" s="25"/>
      <c r="F1104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04" s="68">
        <v>44922</v>
      </c>
      <c r="H1104" s="231" t="s">
        <v>20</v>
      </c>
      <c r="I1104" s="68">
        <v>44886</v>
      </c>
      <c r="J1104" s="245" t="s">
        <v>1286</v>
      </c>
      <c r="K1104" s="21">
        <v>-704800</v>
      </c>
      <c r="L1104" s="21"/>
      <c r="M1104" s="22">
        <f>(PROVEEDORES[[#This Row],[SUBTOTAL]]-PROVEEDORES[[#This Row],[descuento sobre subtotal]])*VLOOKUP(PROVEEDORES[[#This Row],[PROVEEDOR]],TERCEROS_INFO[#All],3,FALSE)</f>
        <v>-133912</v>
      </c>
      <c r="N1104" s="23"/>
      <c r="O1104" s="22">
        <f>+PROVEEDORES[[#This Row],[Descuento sobre subtotal %]]*(PROVEEDORES[[#This Row],[SUBTOTAL]]-PROVEEDORES[[#This Row],[descuento sobre subtotal]])</f>
        <v>0</v>
      </c>
      <c r="P1104" s="74">
        <f>+IF(PROVEEDORES[[#This Row],[SUBTOTAL]]&lt;PROVEEDORES[[#This Row],[base retencion]],0,PROVEEDORES[[#This Row],[retención aplicada]])</f>
        <v>0</v>
      </c>
      <c r="Q1104" s="22">
        <f>+PROVEEDORES[[#This Row],[Rete Fuente %]]*(PROVEEDORES[[#This Row],[SUBTOTAL]]-PROVEEDORES[[#This Row],[descuento sobre subtotal]])</f>
        <v>0</v>
      </c>
      <c r="R1104" s="21">
        <f>+PROVEEDORES[[#This Row],[SUBTOTAL]]+PROVEEDORES[[#This Row],[IVA 19%]]-PROVEEDORES[[#This Row],[descuento sobre subtotal]]-PROVEEDORES[[#This Row],[Descuento sobre subtotal $2]]-PROVEEDORES[[#This Row],[Rete Fuente $]]</f>
        <v>-838712</v>
      </c>
      <c r="S1104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63">
        <f ca="1">IF(PROVEEDORES[[#This Row],[FECHA DE PAGO]]=0,TODAY()-PROVEEDORES[[#This Row],[FECHA DE FACTURACIÓN]]-PROVEEDORES[[#This Row],[PLAZO Días]],0)</f>
        <v>0</v>
      </c>
      <c r="U1104" s="104" t="str">
        <f>+VLOOKUP(PROVEEDORES[[#This Row],[PROVEEDOR]],Terceros!$A:$D,4,FALSE)</f>
        <v>2,5% con base</v>
      </c>
      <c r="V1104" s="105">
        <f>+YEAR(PROVEEDORES[[#This Row],[FECHA DE FACTURACIÓN]])</f>
        <v>2022</v>
      </c>
      <c r="W1104" s="105">
        <f>+MATCH(PROVEEDORES[[#This Row],[año facturado]],Retenciones!$1:$1,0)</f>
        <v>5</v>
      </c>
      <c r="X1104" s="106">
        <f>+VLOOKUP(PROVEEDORES[[#This Row],[ID RETENCION]],Retenciones!$A$1:$O$25,PROVEEDORES[[#This Row],[indicador de columna]],FALSE)</f>
        <v>1026000</v>
      </c>
      <c r="Y1104" s="107">
        <f>+VLOOKUP(PROVEEDORES[[#This Row],[ID RETENCION]],Retenciones!$A$1:$O$25,2,FALSE)</f>
        <v>2.5000000000000001E-2</v>
      </c>
      <c r="Z1104" s="116" t="b">
        <f>OR(COUNTIF(PROVEEDORES[[#This Row],[PROVEEDOR]],"*"&amp;'Palabra no opera'!$A$2&amp;"*"))</f>
        <v>0</v>
      </c>
    </row>
    <row r="1105" spans="1:26" ht="22.35" customHeight="1" x14ac:dyDescent="0.3">
      <c r="A1105" s="67" t="str">
        <f>+IF(PROVEEDORES[[#This Row],[FECHA DE PAGO]]=PROVEEDORES[[#This Row],[FECHA DE FACTURACIÓN]],"DE CONTADO","CRÉDITO")</f>
        <v>CRÉDITO</v>
      </c>
      <c r="B1105" s="38" t="str">
        <f>+IF((PROVEEDORES[[#This Row],[FECHA DE PAGO]]-PROVEEDORES[[#This Row],[FECHA DE FACTURACIÓN]])&gt;PROVEEDORES[[#This Row],[PLAZO Días]],"PAGO VENCIDO")</f>
        <v>PAGO VENCIDO</v>
      </c>
      <c r="C1105" s="20">
        <f>+VLOOKUP(PROVEEDORES[[#This Row],[PROVEEDOR]],TERCEROS_INFO[#All],2,FALSE)</f>
        <v>30</v>
      </c>
      <c r="D1105" s="25">
        <f>+SUMIFS(PROVEEDORES[Total],PROVEEDORES[PROVEEDOR],PROVEEDORES[[#This Row],[PROVEEDOR]],PROVEEDORES[FECHA DE PAGO],"")</f>
        <v>4248480.9550000001</v>
      </c>
      <c r="E1105" s="25"/>
      <c r="F1105" s="56" t="str">
        <f>+VLOOKUP(PROVEEDORES[[#This Row],[PROVEEDOR]],
                       Terceros!$A:$F,
                       5,
                       FALSE)</f>
        <v/>
      </c>
      <c r="G1105" s="68">
        <v>44922</v>
      </c>
      <c r="H1105" s="231" t="s">
        <v>78</v>
      </c>
      <c r="I1105" s="68">
        <v>44880</v>
      </c>
      <c r="J1105" s="245" t="s">
        <v>1292</v>
      </c>
      <c r="K1105" s="21">
        <v>168066</v>
      </c>
      <c r="L1105" s="21"/>
      <c r="M1105" s="22">
        <f>(PROVEEDORES[[#This Row],[SUBTOTAL]]-PROVEEDORES[[#This Row],[descuento sobre subtotal]])*VLOOKUP(PROVEEDORES[[#This Row],[PROVEEDOR]],TERCEROS_INFO[#All],3,FALSE)</f>
        <v>31932.54</v>
      </c>
      <c r="N1105" s="23"/>
      <c r="O1105" s="22">
        <f>+PROVEEDORES[[#This Row],[Descuento sobre subtotal %]]*(PROVEEDORES[[#This Row],[SUBTOTAL]]-PROVEEDORES[[#This Row],[descuento sobre subtotal]])</f>
        <v>0</v>
      </c>
      <c r="P1105" s="74">
        <f>+IF(PROVEEDORES[[#This Row],[SUBTOTAL]]&lt;PROVEEDORES[[#This Row],[base retencion]],0,PROVEEDORES[[#This Row],[retención aplicada]])</f>
        <v>0</v>
      </c>
      <c r="Q1105" s="22">
        <f>+PROVEEDORES[[#This Row],[Rete Fuente %]]*(PROVEEDORES[[#This Row],[SUBTOTAL]]-PROVEEDORES[[#This Row],[descuento sobre subtotal]])</f>
        <v>0</v>
      </c>
      <c r="R1105" s="21">
        <f>+PROVEEDORES[[#This Row],[SUBTOTAL]]+PROVEEDORES[[#This Row],[IVA 19%]]-PROVEEDORES[[#This Row],[descuento sobre subtotal]]-PROVEEDORES[[#This Row],[Descuento sobre subtotal $2]]-PROVEEDORES[[#This Row],[Rete Fuente $]]</f>
        <v>199998.54</v>
      </c>
      <c r="S11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63">
        <f ca="1">IF(PROVEEDORES[[#This Row],[FECHA DE PAGO]]=0,TODAY()-PROVEEDORES[[#This Row],[FECHA DE FACTURACIÓN]]-PROVEEDORES[[#This Row],[PLAZO Días]],0)</f>
        <v>0</v>
      </c>
      <c r="U1105" s="104" t="str">
        <f>+VLOOKUP(PROVEEDORES[[#This Row],[PROVEEDOR]],Terceros!$A:$D,4,FALSE)</f>
        <v>2,5% con base</v>
      </c>
      <c r="V1105" s="105">
        <f>+YEAR(PROVEEDORES[[#This Row],[FECHA DE FACTURACIÓN]])</f>
        <v>2022</v>
      </c>
      <c r="W1105" s="105">
        <f>+MATCH(PROVEEDORES[[#This Row],[año facturado]],Retenciones!$1:$1,0)</f>
        <v>5</v>
      </c>
      <c r="X1105" s="106">
        <f>+VLOOKUP(PROVEEDORES[[#This Row],[ID RETENCION]],Retenciones!$A$1:$O$25,PROVEEDORES[[#This Row],[indicador de columna]],FALSE)</f>
        <v>1026000</v>
      </c>
      <c r="Y1105" s="107">
        <f>+VLOOKUP(PROVEEDORES[[#This Row],[ID RETENCION]],Retenciones!$A$1:$O$25,2,FALSE)</f>
        <v>2.5000000000000001E-2</v>
      </c>
      <c r="Z1105" s="116" t="b">
        <f>OR(COUNTIF(PROVEEDORES[[#This Row],[PROVEEDOR]],"*"&amp;'Palabra no opera'!$A$2&amp;"*"))</f>
        <v>0</v>
      </c>
    </row>
    <row r="1106" spans="1:26" ht="22.35" customHeight="1" x14ac:dyDescent="0.3">
      <c r="A1106" s="67" t="str">
        <f>+IF(PROVEEDORES[[#This Row],[FECHA DE PAGO]]=PROVEEDORES[[#This Row],[FECHA DE FACTURACIÓN]],"DE CONTADO","CRÉDITO")</f>
        <v>CRÉDITO</v>
      </c>
      <c r="B1106" s="38" t="str">
        <f>+IF((PROVEEDORES[[#This Row],[FECHA DE PAGO]]-PROVEEDORES[[#This Row],[FECHA DE FACTURACIÓN]])&gt;PROVEEDORES[[#This Row],[PLAZO Días]],"PAGO VENCIDO")</f>
        <v>PAGO VENCIDO</v>
      </c>
      <c r="C1106" s="20">
        <f>+VLOOKUP(PROVEEDORES[[#This Row],[PROVEEDOR]],TERCEROS_INFO[#All],2,FALSE)</f>
        <v>30</v>
      </c>
      <c r="D1106" s="25">
        <f>+SUMIFS(PROVEEDORES[Total],PROVEEDORES[PROVEEDOR],PROVEEDORES[[#This Row],[PROVEEDOR]],PROVEEDORES[FECHA DE PAGO],"")</f>
        <v>4248480.9550000001</v>
      </c>
      <c r="E1106" s="25"/>
      <c r="F1106" s="56" t="str">
        <f>+VLOOKUP(PROVEEDORES[[#This Row],[PROVEEDOR]],
                       Terceros!$A:$F,
                       5,
                       FALSE)</f>
        <v/>
      </c>
      <c r="G1106" s="68">
        <v>44922</v>
      </c>
      <c r="H1106" s="231" t="s">
        <v>78</v>
      </c>
      <c r="I1106" s="68">
        <v>44883</v>
      </c>
      <c r="J1106" s="245" t="s">
        <v>1293</v>
      </c>
      <c r="K1106" s="21">
        <v>1105528</v>
      </c>
      <c r="L1106" s="21"/>
      <c r="M1106" s="22">
        <f>(PROVEEDORES[[#This Row],[SUBTOTAL]]-PROVEEDORES[[#This Row],[descuento sobre subtotal]])*VLOOKUP(PROVEEDORES[[#This Row],[PROVEEDOR]],TERCEROS_INFO[#All],3,FALSE)</f>
        <v>210050.32</v>
      </c>
      <c r="N1106" s="23"/>
      <c r="O1106" s="22">
        <f>+PROVEEDORES[[#This Row],[Descuento sobre subtotal %]]*(PROVEEDORES[[#This Row],[SUBTOTAL]]-PROVEEDORES[[#This Row],[descuento sobre subtotal]])</f>
        <v>0</v>
      </c>
      <c r="P1106" s="74">
        <f>+IF(PROVEEDORES[[#This Row],[SUBTOTAL]]&lt;PROVEEDORES[[#This Row],[base retencion]],0,PROVEEDORES[[#This Row],[retención aplicada]])</f>
        <v>2.5000000000000001E-2</v>
      </c>
      <c r="Q1106" s="22">
        <f>+PROVEEDORES[[#This Row],[Rete Fuente %]]*(PROVEEDORES[[#This Row],[SUBTOTAL]]-PROVEEDORES[[#This Row],[descuento sobre subtotal]])</f>
        <v>27638.2</v>
      </c>
      <c r="R1106" s="21">
        <f>+PROVEEDORES[[#This Row],[SUBTOTAL]]+PROVEEDORES[[#This Row],[IVA 19%]]-PROVEEDORES[[#This Row],[descuento sobre subtotal]]-PROVEEDORES[[#This Row],[Descuento sobre subtotal $2]]-PROVEEDORES[[#This Row],[Rete Fuente $]]</f>
        <v>1287940.1200000001</v>
      </c>
      <c r="S11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63">
        <f ca="1">IF(PROVEEDORES[[#This Row],[FECHA DE PAGO]]=0,TODAY()-PROVEEDORES[[#This Row],[FECHA DE FACTURACIÓN]]-PROVEEDORES[[#This Row],[PLAZO Días]],0)</f>
        <v>0</v>
      </c>
      <c r="U1106" s="104" t="str">
        <f>+VLOOKUP(PROVEEDORES[[#This Row],[PROVEEDOR]],Terceros!$A:$D,4,FALSE)</f>
        <v>2,5% con base</v>
      </c>
      <c r="V1106" s="105">
        <f>+YEAR(PROVEEDORES[[#This Row],[FECHA DE FACTURACIÓN]])</f>
        <v>2022</v>
      </c>
      <c r="W1106" s="105">
        <f>+MATCH(PROVEEDORES[[#This Row],[año facturado]],Retenciones!$1:$1,0)</f>
        <v>5</v>
      </c>
      <c r="X1106" s="106">
        <f>+VLOOKUP(PROVEEDORES[[#This Row],[ID RETENCION]],Retenciones!$A$1:$O$25,PROVEEDORES[[#This Row],[indicador de columna]],FALSE)</f>
        <v>1026000</v>
      </c>
      <c r="Y1106" s="107">
        <f>+VLOOKUP(PROVEEDORES[[#This Row],[ID RETENCION]],Retenciones!$A$1:$O$25,2,FALSE)</f>
        <v>2.5000000000000001E-2</v>
      </c>
      <c r="Z1106" s="116" t="b">
        <f>OR(COUNTIF(PROVEEDORES[[#This Row],[PROVEEDOR]],"*"&amp;'Palabra no opera'!$A$2&amp;"*"))</f>
        <v>0</v>
      </c>
    </row>
    <row r="1107" spans="1:26" ht="22.35" customHeight="1" x14ac:dyDescent="0.3">
      <c r="A1107" s="67" t="str">
        <f>+IF(PROVEEDORES[[#This Row],[FECHA DE PAGO]]=PROVEEDORES[[#This Row],[FECHA DE FACTURACIÓN]],"DE CONTADO","CRÉDITO")</f>
        <v>CRÉDITO</v>
      </c>
      <c r="B1107" s="38" t="str">
        <f>+IF((PROVEEDORES[[#This Row],[FECHA DE PAGO]]-PROVEEDORES[[#This Row],[FECHA DE FACTURACIÓN]])&gt;PROVEEDORES[[#This Row],[PLAZO Días]],"PAGO VENCIDO")</f>
        <v>PAGO VENCIDO</v>
      </c>
      <c r="C1107" s="20">
        <f>+VLOOKUP(PROVEEDORES[[#This Row],[PROVEEDOR]],TERCEROS_INFO[#All],2,FALSE)</f>
        <v>30</v>
      </c>
      <c r="D1107" s="25">
        <f>+SUMIFS(PROVEEDORES[Total],PROVEEDORES[PROVEEDOR],PROVEEDORES[[#This Row],[PROVEEDOR]],PROVEEDORES[FECHA DE PAGO],"")</f>
        <v>12030261.305</v>
      </c>
      <c r="E1107" s="25"/>
      <c r="F1107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07" s="68">
        <v>44922</v>
      </c>
      <c r="H1107" s="231" t="s">
        <v>12</v>
      </c>
      <c r="I1107" s="68">
        <v>44810</v>
      </c>
      <c r="J1107" s="245" t="s">
        <v>1185</v>
      </c>
      <c r="K1107" s="21">
        <v>3283196</v>
      </c>
      <c r="L1107" s="21"/>
      <c r="M1107" s="22">
        <f>(PROVEEDORES[[#This Row],[SUBTOTAL]]-PROVEEDORES[[#This Row],[descuento sobre subtotal]])*VLOOKUP(PROVEEDORES[[#This Row],[PROVEEDOR]],TERCEROS_INFO[#All],3,FALSE)</f>
        <v>623807.24</v>
      </c>
      <c r="N1107" s="23"/>
      <c r="O1107" s="22">
        <f>+PROVEEDORES[[#This Row],[Descuento sobre subtotal %]]*(PROVEEDORES[[#This Row],[SUBTOTAL]]-PROVEEDORES[[#This Row],[descuento sobre subtotal]])</f>
        <v>0</v>
      </c>
      <c r="P1107" s="74">
        <f>+IF(PROVEEDORES[[#This Row],[SUBTOTAL]]&lt;PROVEEDORES[[#This Row],[base retencion]],0,PROVEEDORES[[#This Row],[retención aplicada]])</f>
        <v>2.5000000000000001E-2</v>
      </c>
      <c r="Q1107" s="22">
        <f>+PROVEEDORES[[#This Row],[Rete Fuente %]]*(PROVEEDORES[[#This Row],[SUBTOTAL]]-PROVEEDORES[[#This Row],[descuento sobre subtotal]])</f>
        <v>82079.900000000009</v>
      </c>
      <c r="R1107" s="21">
        <f>+PROVEEDORES[[#This Row],[SUBTOTAL]]+PROVEEDORES[[#This Row],[IVA 19%]]-PROVEEDORES[[#This Row],[descuento sobre subtotal]]-PROVEEDORES[[#This Row],[Descuento sobre subtotal $2]]-PROVEEDORES[[#This Row],[Rete Fuente $]]</f>
        <v>3824923.3400000003</v>
      </c>
      <c r="S11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63">
        <f ca="1">IF(PROVEEDORES[[#This Row],[FECHA DE PAGO]]=0,TODAY()-PROVEEDORES[[#This Row],[FECHA DE FACTURACIÓN]]-PROVEEDORES[[#This Row],[PLAZO Días]],0)</f>
        <v>0</v>
      </c>
      <c r="U1107" s="104" t="str">
        <f>+VLOOKUP(PROVEEDORES[[#This Row],[PROVEEDOR]],Terceros!$A:$D,4,FALSE)</f>
        <v>2,5% con base</v>
      </c>
      <c r="V1107" s="105">
        <f>+YEAR(PROVEEDORES[[#This Row],[FECHA DE FACTURACIÓN]])</f>
        <v>2022</v>
      </c>
      <c r="W1107" s="105">
        <f>+MATCH(PROVEEDORES[[#This Row],[año facturado]],Retenciones!$1:$1,0)</f>
        <v>5</v>
      </c>
      <c r="X1107" s="106">
        <f>+VLOOKUP(PROVEEDORES[[#This Row],[ID RETENCION]],Retenciones!$A$1:$O$25,PROVEEDORES[[#This Row],[indicador de columna]],FALSE)</f>
        <v>1026000</v>
      </c>
      <c r="Y1107" s="107">
        <f>+VLOOKUP(PROVEEDORES[[#This Row],[ID RETENCION]],Retenciones!$A$1:$O$25,2,FALSE)</f>
        <v>2.5000000000000001E-2</v>
      </c>
      <c r="Z1107" s="116" t="b">
        <f>OR(COUNTIF(PROVEEDORES[[#This Row],[PROVEEDOR]],"*"&amp;'Palabra no opera'!$A$2&amp;"*"))</f>
        <v>0</v>
      </c>
    </row>
    <row r="1108" spans="1:26" ht="22.35" customHeight="1" x14ac:dyDescent="0.3">
      <c r="A1108" s="67" t="str">
        <f>+IF(PROVEEDORES[[#This Row],[FECHA DE PAGO]]=PROVEEDORES[[#This Row],[FECHA DE FACTURACIÓN]],"DE CONTADO","CRÉDITO")</f>
        <v>CRÉDITO</v>
      </c>
      <c r="B1108" s="38" t="str">
        <f>+IF((PROVEEDORES[[#This Row],[FECHA DE PAGO]]-PROVEEDORES[[#This Row],[FECHA DE FACTURACIÓN]])&gt;PROVEEDORES[[#This Row],[PLAZO Días]],"PAGO VENCIDO")</f>
        <v>PAGO VENCIDO</v>
      </c>
      <c r="C1108" s="20">
        <f>+VLOOKUP(PROVEEDORES[[#This Row],[PROVEEDOR]],TERCEROS_INFO[#All],2,FALSE)</f>
        <v>30</v>
      </c>
      <c r="D1108" s="25">
        <f>+SUMIFS(PROVEEDORES[Total],PROVEEDORES[PROVEEDOR],PROVEEDORES[[#This Row],[PROVEEDOR]],PROVEEDORES[FECHA DE PAGO],"")</f>
        <v>0</v>
      </c>
      <c r="E1108" s="25"/>
      <c r="F1108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108" s="68">
        <v>44922</v>
      </c>
      <c r="H1108" s="231" t="s">
        <v>964</v>
      </c>
      <c r="I1108" s="68">
        <v>44877</v>
      </c>
      <c r="J1108" s="245" t="s">
        <v>1305</v>
      </c>
      <c r="K1108" s="21">
        <v>4216000</v>
      </c>
      <c r="L1108" s="21"/>
      <c r="M1108" s="22">
        <f>(PROVEEDORES[[#This Row],[SUBTOTAL]]-PROVEEDORES[[#This Row],[descuento sobre subtotal]])*VLOOKUP(PROVEEDORES[[#This Row],[PROVEEDOR]],TERCEROS_INFO[#All],3,FALSE)</f>
        <v>801040</v>
      </c>
      <c r="N1108" s="23"/>
      <c r="O1108" s="22">
        <f>+PROVEEDORES[[#This Row],[Descuento sobre subtotal %]]*(PROVEEDORES[[#This Row],[SUBTOTAL]]-PROVEEDORES[[#This Row],[descuento sobre subtotal]])</f>
        <v>0</v>
      </c>
      <c r="P1108" s="74">
        <f>+IF(PROVEEDORES[[#This Row],[SUBTOTAL]]&lt;PROVEEDORES[[#This Row],[base retencion]],0,PROVEEDORES[[#This Row],[retención aplicada]])</f>
        <v>0</v>
      </c>
      <c r="Q1108" s="22">
        <f>+PROVEEDORES[[#This Row],[Rete Fuente %]]*(PROVEEDORES[[#This Row],[SUBTOTAL]]-PROVEEDORES[[#This Row],[descuento sobre subtotal]])</f>
        <v>0</v>
      </c>
      <c r="R1108" s="21">
        <f>+PROVEEDORES[[#This Row],[SUBTOTAL]]+PROVEEDORES[[#This Row],[IVA 19%]]-PROVEEDORES[[#This Row],[descuento sobre subtotal]]-PROVEEDORES[[#This Row],[Descuento sobre subtotal $2]]-PROVEEDORES[[#This Row],[Rete Fuente $]]</f>
        <v>5017040</v>
      </c>
      <c r="S11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63">
        <f ca="1">IF(PROVEEDORES[[#This Row],[FECHA DE PAGO]]=0,TODAY()-PROVEEDORES[[#This Row],[FECHA DE FACTURACIÓN]]-PROVEEDORES[[#This Row],[PLAZO Días]],0)</f>
        <v>0</v>
      </c>
      <c r="U1108" s="104">
        <f>+VLOOKUP(PROVEEDORES[[#This Row],[PROVEEDOR]],Terceros!$A:$D,4,FALSE)</f>
        <v>0</v>
      </c>
      <c r="V1108" s="105">
        <f>+YEAR(PROVEEDORES[[#This Row],[FECHA DE FACTURACIÓN]])</f>
        <v>2022</v>
      </c>
      <c r="W1108" s="105">
        <f>+MATCH(PROVEEDORES[[#This Row],[año facturado]],Retenciones!$1:$1,0)</f>
        <v>5</v>
      </c>
      <c r="X1108" s="106">
        <f>+VLOOKUP(PROVEEDORES[[#This Row],[ID RETENCION]],Retenciones!$A$1:$O$25,PROVEEDORES[[#This Row],[indicador de columna]],FALSE)</f>
        <v>0</v>
      </c>
      <c r="Y1108" s="107">
        <f>+VLOOKUP(PROVEEDORES[[#This Row],[ID RETENCION]],Retenciones!$A$1:$O$25,2,FALSE)</f>
        <v>0</v>
      </c>
      <c r="Z1108" s="116" t="b">
        <f>OR(COUNTIF(PROVEEDORES[[#This Row],[PROVEEDOR]],"*"&amp;'Palabra no opera'!$A$2&amp;"*"))</f>
        <v>0</v>
      </c>
    </row>
    <row r="1109" spans="1:26" ht="22.35" customHeight="1" x14ac:dyDescent="0.3">
      <c r="A1109" s="232" t="str">
        <f>+IF(PROVEEDORES[[#This Row],[FECHA DE PAGO]]=PROVEEDORES[[#This Row],[FECHA DE FACTURACIÓN]],"DE CONTADO","CRÉDITO")</f>
        <v>CRÉDITO</v>
      </c>
      <c r="B1109" s="38" t="str">
        <f>+IF((PROVEEDORES[[#This Row],[FECHA DE PAGO]]-PROVEEDORES[[#This Row],[FECHA DE FACTURACIÓN]])&gt;PROVEEDORES[[#This Row],[PLAZO Días]],"PAGO VENCIDO")</f>
        <v>PAGO VENCIDO</v>
      </c>
      <c r="C1109" s="20">
        <f>+VLOOKUP(PROVEEDORES[[#This Row],[PROVEEDOR]],TERCEROS_INFO[#All],2,FALSE)</f>
        <v>30</v>
      </c>
      <c r="D1109" s="25">
        <f>+SUMIFS(PROVEEDORES[Total],PROVEEDORES[PROVEEDOR],PROVEEDORES[[#This Row],[PROVEEDOR]],PROVEEDORES[FECHA DE PAGO],"")</f>
        <v>0</v>
      </c>
      <c r="E1109" s="25"/>
      <c r="F1109" s="56" t="str">
        <f>+VLOOKUP(PROVEEDORES[[#This Row],[PROVEEDOR]],
                       Terceros!$A:$F,
                       5,
                       FALSE)</f>
        <v/>
      </c>
      <c r="G1109" s="68">
        <v>44923</v>
      </c>
      <c r="H1109" s="26" t="s">
        <v>396</v>
      </c>
      <c r="I1109" s="68">
        <v>44870</v>
      </c>
      <c r="J1109" s="251" t="s">
        <v>1270</v>
      </c>
      <c r="K1109" s="21">
        <v>1750000</v>
      </c>
      <c r="L1109" s="21"/>
      <c r="M1109" s="22">
        <f>(PROVEEDORES[[#This Row],[SUBTOTAL]]-PROVEEDORES[[#This Row],[descuento sobre subtotal]])*VLOOKUP(PROVEEDORES[[#This Row],[PROVEEDOR]],TERCEROS_INFO[#All],3,FALSE)</f>
        <v>0</v>
      </c>
      <c r="N1109" s="23"/>
      <c r="O1109" s="22">
        <f>+PROVEEDORES[[#This Row],[Descuento sobre subtotal %]]*(PROVEEDORES[[#This Row],[SUBTOTAL]]-PROVEEDORES[[#This Row],[descuento sobre subtotal]])</f>
        <v>0</v>
      </c>
      <c r="P1109" s="74">
        <f>+IF(PROVEEDORES[[#This Row],[SUBTOTAL]]&lt;PROVEEDORES[[#This Row],[base retencion]],0,PROVEEDORES[[#This Row],[retención aplicada]])</f>
        <v>0</v>
      </c>
      <c r="Q1109" s="22">
        <f>+PROVEEDORES[[#This Row],[Rete Fuente %]]*(PROVEEDORES[[#This Row],[SUBTOTAL]]-PROVEEDORES[[#This Row],[descuento sobre subtotal]])</f>
        <v>0</v>
      </c>
      <c r="R1109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1109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63">
        <f ca="1">IF(PROVEEDORES[[#This Row],[FECHA DE PAGO]]=0,TODAY()-PROVEEDORES[[#This Row],[FECHA DE FACTURACIÓN]]-PROVEEDORES[[#This Row],[PLAZO Días]],0)</f>
        <v>0</v>
      </c>
      <c r="U1109" s="104">
        <f>+VLOOKUP(PROVEEDORES[[#This Row],[PROVEEDOR]],Terceros!$A:$D,4,FALSE)</f>
        <v>0</v>
      </c>
      <c r="V1109" s="105">
        <f>+YEAR(PROVEEDORES[[#This Row],[FECHA DE FACTURACIÓN]])</f>
        <v>2022</v>
      </c>
      <c r="W1109" s="105">
        <f>+MATCH(PROVEEDORES[[#This Row],[año facturado]],Retenciones!$1:$1,0)</f>
        <v>5</v>
      </c>
      <c r="X1109" s="106">
        <f>+VLOOKUP(PROVEEDORES[[#This Row],[ID RETENCION]],Retenciones!$A$1:$O$25,PROVEEDORES[[#This Row],[indicador de columna]],FALSE)</f>
        <v>0</v>
      </c>
      <c r="Y1109" s="107">
        <f>+VLOOKUP(PROVEEDORES[[#This Row],[ID RETENCION]],Retenciones!$A$1:$O$25,2,FALSE)</f>
        <v>0</v>
      </c>
      <c r="Z1109" s="116" t="b">
        <f>OR(COUNTIF(PROVEEDORES[[#This Row],[PROVEEDOR]],"*"&amp;'Palabra no opera'!$A$2&amp;"*"))</f>
        <v>0</v>
      </c>
    </row>
    <row r="1110" spans="1:26" ht="22.35" customHeight="1" x14ac:dyDescent="0.3">
      <c r="A1110" s="67" t="str">
        <f>+IF(PROVEEDORES[[#This Row],[FECHA DE PAGO]]=PROVEEDORES[[#This Row],[FECHA DE FACTURACIÓN]],"DE CONTADO","CRÉDITO")</f>
        <v>CRÉDITO</v>
      </c>
      <c r="B1110" s="38" t="str">
        <f>+IF((PROVEEDORES[[#This Row],[FECHA DE PAGO]]-PROVEEDORES[[#This Row],[FECHA DE FACTURACIÓN]])&gt;PROVEEDORES[[#This Row],[PLAZO Días]],"PAGO VENCIDO")</f>
        <v>PAGO VENCIDO</v>
      </c>
      <c r="C1110" s="20">
        <f>+VLOOKUP(PROVEEDORES[[#This Row],[PROVEEDOR]],TERCEROS_INFO[#All],2,FALSE)</f>
        <v>30</v>
      </c>
      <c r="D1110" s="25">
        <f>+SUMIFS(PROVEEDORES[Total],PROVEEDORES[PROVEEDOR],PROVEEDORES[[#This Row],[PROVEEDOR]],PROVEEDORES[FECHA DE PAGO],"")</f>
        <v>0</v>
      </c>
      <c r="E1110" s="25"/>
      <c r="F1110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110" s="68">
        <v>44923</v>
      </c>
      <c r="H1110" s="231" t="s">
        <v>857</v>
      </c>
      <c r="I1110" s="68">
        <v>44839</v>
      </c>
      <c r="J1110" s="245" t="s">
        <v>1187</v>
      </c>
      <c r="K1110" s="21">
        <v>710085</v>
      </c>
      <c r="L1110" s="21"/>
      <c r="M1110" s="22">
        <f>(PROVEEDORES[[#This Row],[SUBTOTAL]]-PROVEEDORES[[#This Row],[descuento sobre subtotal]])*VLOOKUP(PROVEEDORES[[#This Row],[PROVEEDOR]],TERCEROS_INFO[#All],3,FALSE)</f>
        <v>134916.15</v>
      </c>
      <c r="N1110" s="23"/>
      <c r="O1110" s="22">
        <f>+PROVEEDORES[[#This Row],[Descuento sobre subtotal %]]*(PROVEEDORES[[#This Row],[SUBTOTAL]]-PROVEEDORES[[#This Row],[descuento sobre subtotal]])</f>
        <v>0</v>
      </c>
      <c r="P1110" s="74">
        <f>+IF(PROVEEDORES[[#This Row],[SUBTOTAL]]&lt;PROVEEDORES[[#This Row],[base retencion]],0,PROVEEDORES[[#This Row],[retención aplicada]])</f>
        <v>0</v>
      </c>
      <c r="Q1110" s="22">
        <f>+PROVEEDORES[[#This Row],[Rete Fuente %]]*(PROVEEDORES[[#This Row],[SUBTOTAL]]-PROVEEDORES[[#This Row],[descuento sobre subtotal]])</f>
        <v>0</v>
      </c>
      <c r="R1110" s="21">
        <f>+PROVEEDORES[[#This Row],[SUBTOTAL]]+PROVEEDORES[[#This Row],[IVA 19%]]-PROVEEDORES[[#This Row],[descuento sobre subtotal]]-PROVEEDORES[[#This Row],[Descuento sobre subtotal $2]]-PROVEEDORES[[#This Row],[Rete Fuente $]]</f>
        <v>845001.15</v>
      </c>
      <c r="S11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63">
        <f ca="1">IF(PROVEEDORES[[#This Row],[FECHA DE PAGO]]=0,TODAY()-PROVEEDORES[[#This Row],[FECHA DE FACTURACIÓN]]-PROVEEDORES[[#This Row],[PLAZO Días]],0)</f>
        <v>0</v>
      </c>
      <c r="U1110" s="104" t="str">
        <f>+VLOOKUP(PROVEEDORES[[#This Row],[PROVEEDOR]],Terceros!$A:$D,4,FALSE)</f>
        <v>2,5% con base</v>
      </c>
      <c r="V1110" s="105">
        <f>+YEAR(PROVEEDORES[[#This Row],[FECHA DE FACTURACIÓN]])</f>
        <v>2022</v>
      </c>
      <c r="W1110" s="105">
        <f>+MATCH(PROVEEDORES[[#This Row],[año facturado]],Retenciones!$1:$1,0)</f>
        <v>5</v>
      </c>
      <c r="X1110" s="106">
        <f>+VLOOKUP(PROVEEDORES[[#This Row],[ID RETENCION]],Retenciones!$A$1:$O$25,PROVEEDORES[[#This Row],[indicador de columna]],FALSE)</f>
        <v>1026000</v>
      </c>
      <c r="Y1110" s="107">
        <f>+VLOOKUP(PROVEEDORES[[#This Row],[ID RETENCION]],Retenciones!$A$1:$O$25,2,FALSE)</f>
        <v>2.5000000000000001E-2</v>
      </c>
      <c r="Z1110" s="116" t="b">
        <f>OR(COUNTIF(PROVEEDORES[[#This Row],[PROVEEDOR]],"*"&amp;'Palabra no opera'!$A$2&amp;"*"))</f>
        <v>0</v>
      </c>
    </row>
    <row r="1111" spans="1:26" ht="22.35" customHeight="1" x14ac:dyDescent="0.3">
      <c r="A1111" s="67" t="str">
        <f>+IF(PROVEEDORES[[#This Row],[FECHA DE PAGO]]=PROVEEDORES[[#This Row],[FECHA DE FACTURACIÓN]],"DE CONTADO","CRÉDITO")</f>
        <v>CRÉDITO</v>
      </c>
      <c r="B1111" s="38" t="str">
        <f>+IF((PROVEEDORES[[#This Row],[FECHA DE PAGO]]-PROVEEDORES[[#This Row],[FECHA DE FACTURACIÓN]])&gt;PROVEEDORES[[#This Row],[PLAZO Días]],"PAGO VENCIDO")</f>
        <v>PAGO VENCIDO</v>
      </c>
      <c r="C1111" s="20">
        <f>+VLOOKUP(PROVEEDORES[[#This Row],[PROVEEDOR]],TERCEROS_INFO[#All],2,FALSE)</f>
        <v>30</v>
      </c>
      <c r="D1111" s="25">
        <f>+SUMIFS(PROVEEDORES[Total],PROVEEDORES[PROVEEDOR],PROVEEDORES[[#This Row],[PROVEEDOR]],PROVEEDORES[FECHA DE PAGO],"")</f>
        <v>0</v>
      </c>
      <c r="E1111" s="25"/>
      <c r="F1111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111" s="68">
        <v>44923</v>
      </c>
      <c r="H1111" s="231" t="s">
        <v>857</v>
      </c>
      <c r="I1111" s="68">
        <v>44883</v>
      </c>
      <c r="J1111" s="245" t="s">
        <v>1303</v>
      </c>
      <c r="K1111" s="21">
        <v>327731</v>
      </c>
      <c r="L1111" s="21"/>
      <c r="M1111" s="22">
        <f>(PROVEEDORES[[#This Row],[SUBTOTAL]]-PROVEEDORES[[#This Row],[descuento sobre subtotal]])*VLOOKUP(PROVEEDORES[[#This Row],[PROVEEDOR]],TERCEROS_INFO[#All],3,FALSE)</f>
        <v>62268.89</v>
      </c>
      <c r="N1111" s="23"/>
      <c r="O1111" s="22">
        <f>+PROVEEDORES[[#This Row],[Descuento sobre subtotal %]]*(PROVEEDORES[[#This Row],[SUBTOTAL]]-PROVEEDORES[[#This Row],[descuento sobre subtotal]])</f>
        <v>0</v>
      </c>
      <c r="P1111" s="74">
        <f>+IF(PROVEEDORES[[#This Row],[SUBTOTAL]]&lt;PROVEEDORES[[#This Row],[base retencion]],0,PROVEEDORES[[#This Row],[retención aplicada]])</f>
        <v>0</v>
      </c>
      <c r="Q1111" s="22">
        <f>+PROVEEDORES[[#This Row],[Rete Fuente %]]*(PROVEEDORES[[#This Row],[SUBTOTAL]]-PROVEEDORES[[#This Row],[descuento sobre subtotal]])</f>
        <v>0</v>
      </c>
      <c r="R1111" s="21">
        <f>+PROVEEDORES[[#This Row],[SUBTOTAL]]+PROVEEDORES[[#This Row],[IVA 19%]]-PROVEEDORES[[#This Row],[descuento sobre subtotal]]-PROVEEDORES[[#This Row],[Descuento sobre subtotal $2]]-PROVEEDORES[[#This Row],[Rete Fuente $]]</f>
        <v>389999.89</v>
      </c>
      <c r="S11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63">
        <f ca="1">IF(PROVEEDORES[[#This Row],[FECHA DE PAGO]]=0,TODAY()-PROVEEDORES[[#This Row],[FECHA DE FACTURACIÓN]]-PROVEEDORES[[#This Row],[PLAZO Días]],0)</f>
        <v>0</v>
      </c>
      <c r="U1111" s="104" t="str">
        <f>+VLOOKUP(PROVEEDORES[[#This Row],[PROVEEDOR]],Terceros!$A:$D,4,FALSE)</f>
        <v>2,5% con base</v>
      </c>
      <c r="V1111" s="105">
        <f>+YEAR(PROVEEDORES[[#This Row],[FECHA DE FACTURACIÓN]])</f>
        <v>2022</v>
      </c>
      <c r="W1111" s="105">
        <f>+MATCH(PROVEEDORES[[#This Row],[año facturado]],Retenciones!$1:$1,0)</f>
        <v>5</v>
      </c>
      <c r="X1111" s="106">
        <f>+VLOOKUP(PROVEEDORES[[#This Row],[ID RETENCION]],Retenciones!$A$1:$O$25,PROVEEDORES[[#This Row],[indicador de columna]],FALSE)</f>
        <v>1026000</v>
      </c>
      <c r="Y1111" s="107">
        <f>+VLOOKUP(PROVEEDORES[[#This Row],[ID RETENCION]],Retenciones!$A$1:$O$25,2,FALSE)</f>
        <v>2.5000000000000001E-2</v>
      </c>
      <c r="Z1111" s="116" t="b">
        <f>OR(COUNTIF(PROVEEDORES[[#This Row],[PROVEEDOR]],"*"&amp;'Palabra no opera'!$A$2&amp;"*"))</f>
        <v>0</v>
      </c>
    </row>
    <row r="1112" spans="1:26" ht="22.35" customHeight="1" x14ac:dyDescent="0.3">
      <c r="A1112" s="232" t="str">
        <f>+IF(PROVEEDORES[[#This Row],[FECHA DE PAGO]]=PROVEEDORES[[#This Row],[FECHA DE FACTURACIÓN]],"DE CONTADO","CRÉDITO")</f>
        <v>CRÉDITO</v>
      </c>
      <c r="B1112" s="38" t="str">
        <f>+IF((PROVEEDORES[[#This Row],[FECHA DE PAGO]]-PROVEEDORES[[#This Row],[FECHA DE FACTURACIÓN]])&gt;PROVEEDORES[[#This Row],[PLAZO Días]],"PAGO VENCIDO")</f>
        <v>PAGO VENCIDO</v>
      </c>
      <c r="C1112" s="20">
        <f>+VLOOKUP(PROVEEDORES[[#This Row],[PROVEEDOR]],TERCEROS_INFO[#All],2,FALSE)</f>
        <v>30</v>
      </c>
      <c r="D1112" s="25">
        <f>+SUMIFS(PROVEEDORES[Total],PROVEEDORES[PROVEEDOR],PROVEEDORES[[#This Row],[PROVEEDOR]],PROVEEDORES[FECHA DE PAGO],"")</f>
        <v>5537221.7000000002</v>
      </c>
      <c r="E1112" s="25"/>
      <c r="F1112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12" s="68">
        <v>44923</v>
      </c>
      <c r="H1112" s="231" t="s">
        <v>293</v>
      </c>
      <c r="I1112" s="68">
        <v>44874</v>
      </c>
      <c r="J1112" s="245" t="s">
        <v>1264</v>
      </c>
      <c r="K1112" s="21">
        <v>1615752</v>
      </c>
      <c r="L1112" s="21"/>
      <c r="M1112" s="22">
        <f>(PROVEEDORES[[#This Row],[SUBTOTAL]]-PROVEEDORES[[#This Row],[descuento sobre subtotal]])*VLOOKUP(PROVEEDORES[[#This Row],[PROVEEDOR]],TERCEROS_INFO[#All],3,FALSE)</f>
        <v>306992.88</v>
      </c>
      <c r="N1112" s="23">
        <v>0.05</v>
      </c>
      <c r="O1112" s="22">
        <f>+PROVEEDORES[[#This Row],[Descuento sobre subtotal %]]*(PROVEEDORES[[#This Row],[SUBTOTAL]]-PROVEEDORES[[#This Row],[descuento sobre subtotal]])</f>
        <v>80787.600000000006</v>
      </c>
      <c r="P1112" s="74">
        <f>+IF(PROVEEDORES[[#This Row],[SUBTOTAL]]&lt;PROVEEDORES[[#This Row],[base retencion]],0,PROVEEDORES[[#This Row],[retención aplicada]])</f>
        <v>2.5000000000000001E-2</v>
      </c>
      <c r="Q1112" s="22">
        <f>+PROVEEDORES[[#This Row],[Rete Fuente %]]*(PROVEEDORES[[#This Row],[SUBTOTAL]]-PROVEEDORES[[#This Row],[descuento sobre subtotal]])</f>
        <v>40393.800000000003</v>
      </c>
      <c r="R1112" s="21">
        <f>+PROVEEDORES[[#This Row],[SUBTOTAL]]+PROVEEDORES[[#This Row],[IVA 19%]]-PROVEEDORES[[#This Row],[descuento sobre subtotal]]-PROVEEDORES[[#This Row],[Descuento sobre subtotal $2]]-PROVEEDORES[[#This Row],[Rete Fuente $]]</f>
        <v>1801563.4799999997</v>
      </c>
      <c r="S111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63">
        <f ca="1">IF(PROVEEDORES[[#This Row],[FECHA DE PAGO]]=0,TODAY()-PROVEEDORES[[#This Row],[FECHA DE FACTURACIÓN]]-PROVEEDORES[[#This Row],[PLAZO Días]],0)</f>
        <v>0</v>
      </c>
      <c r="U1112" s="104" t="str">
        <f>+VLOOKUP(PROVEEDORES[[#This Row],[PROVEEDOR]],Terceros!$A:$D,4,FALSE)</f>
        <v>2,5% con base</v>
      </c>
      <c r="V1112" s="105">
        <f>+YEAR(PROVEEDORES[[#This Row],[FECHA DE FACTURACIÓN]])</f>
        <v>2022</v>
      </c>
      <c r="W1112" s="105">
        <f>+MATCH(PROVEEDORES[[#This Row],[año facturado]],Retenciones!$1:$1,0)</f>
        <v>5</v>
      </c>
      <c r="X1112" s="106">
        <f>+VLOOKUP(PROVEEDORES[[#This Row],[ID RETENCION]],Retenciones!$A$1:$O$25,PROVEEDORES[[#This Row],[indicador de columna]],FALSE)</f>
        <v>1026000</v>
      </c>
      <c r="Y1112" s="107">
        <f>+VLOOKUP(PROVEEDORES[[#This Row],[ID RETENCION]],Retenciones!$A$1:$O$25,2,FALSE)</f>
        <v>2.5000000000000001E-2</v>
      </c>
      <c r="Z1112" s="116" t="b">
        <f>OR(COUNTIF(PROVEEDORES[[#This Row],[PROVEEDOR]],"*"&amp;'Palabra no opera'!$A$2&amp;"*"))</f>
        <v>0</v>
      </c>
    </row>
    <row r="1113" spans="1:26" ht="22.35" customHeight="1" x14ac:dyDescent="0.3">
      <c r="A1113" s="67" t="str">
        <f>+IF(PROVEEDORES[[#This Row],[FECHA DE PAGO]]=PROVEEDORES[[#This Row],[FECHA DE FACTURACIÓN]],"DE CONTADO","CRÉDITO")</f>
        <v>CRÉDITO</v>
      </c>
      <c r="B1113" s="38" t="str">
        <f>+IF((PROVEEDORES[[#This Row],[FECHA DE PAGO]]-PROVEEDORES[[#This Row],[FECHA DE FACTURACIÓN]])&gt;PROVEEDORES[[#This Row],[PLAZO Días]],"PAGO VENCIDO")</f>
        <v>PAGO VENCIDO</v>
      </c>
      <c r="C1113" s="20">
        <f>+VLOOKUP(PROVEEDORES[[#This Row],[PROVEEDOR]],TERCEROS_INFO[#All],2,FALSE)</f>
        <v>30</v>
      </c>
      <c r="D1113" s="25">
        <f>+SUMIFS(PROVEEDORES[Total],PROVEEDORES[PROVEEDOR],PROVEEDORES[[#This Row],[PROVEEDOR]],PROVEEDORES[FECHA DE PAGO],"")</f>
        <v>5537221.7000000002</v>
      </c>
      <c r="E1113" s="25"/>
      <c r="F1113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13" s="68">
        <v>44923</v>
      </c>
      <c r="H1113" s="231" t="s">
        <v>293</v>
      </c>
      <c r="I1113" s="68">
        <v>44887</v>
      </c>
      <c r="J1113" s="245" t="s">
        <v>1306</v>
      </c>
      <c r="K1113" s="21">
        <v>686950</v>
      </c>
      <c r="L1113" s="21"/>
      <c r="M1113" s="22">
        <f>(PROVEEDORES[[#This Row],[SUBTOTAL]]-PROVEEDORES[[#This Row],[descuento sobre subtotal]])*VLOOKUP(PROVEEDORES[[#This Row],[PROVEEDOR]],TERCEROS_INFO[#All],3,FALSE)</f>
        <v>130520.5</v>
      </c>
      <c r="N1113" s="23">
        <v>0.05</v>
      </c>
      <c r="O1113" s="22">
        <f>+PROVEEDORES[[#This Row],[Descuento sobre subtotal %]]*(PROVEEDORES[[#This Row],[SUBTOTAL]]-PROVEEDORES[[#This Row],[descuento sobre subtotal]])</f>
        <v>34347.5</v>
      </c>
      <c r="P1113" s="74">
        <f>+IF(PROVEEDORES[[#This Row],[SUBTOTAL]]&lt;PROVEEDORES[[#This Row],[base retencion]],0,PROVEEDORES[[#This Row],[retención aplicada]])</f>
        <v>0</v>
      </c>
      <c r="Q1113" s="22">
        <f>+PROVEEDORES[[#This Row],[Rete Fuente %]]*(PROVEEDORES[[#This Row],[SUBTOTAL]]-PROVEEDORES[[#This Row],[descuento sobre subtotal]])</f>
        <v>0</v>
      </c>
      <c r="R1113" s="21">
        <f>+PROVEEDORES[[#This Row],[SUBTOTAL]]+PROVEEDORES[[#This Row],[IVA 19%]]-PROVEEDORES[[#This Row],[descuento sobre subtotal]]-PROVEEDORES[[#This Row],[Descuento sobre subtotal $2]]-PROVEEDORES[[#This Row],[Rete Fuente $]]</f>
        <v>783123</v>
      </c>
      <c r="S11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63">
        <f ca="1">IF(PROVEEDORES[[#This Row],[FECHA DE PAGO]]=0,TODAY()-PROVEEDORES[[#This Row],[FECHA DE FACTURACIÓN]]-PROVEEDORES[[#This Row],[PLAZO Días]],0)</f>
        <v>0</v>
      </c>
      <c r="U1113" s="104" t="str">
        <f>+VLOOKUP(PROVEEDORES[[#This Row],[PROVEEDOR]],Terceros!$A:$D,4,FALSE)</f>
        <v>2,5% con base</v>
      </c>
      <c r="V1113" s="105">
        <f>+YEAR(PROVEEDORES[[#This Row],[FECHA DE FACTURACIÓN]])</f>
        <v>2022</v>
      </c>
      <c r="W1113" s="105">
        <f>+MATCH(PROVEEDORES[[#This Row],[año facturado]],Retenciones!$1:$1,0)</f>
        <v>5</v>
      </c>
      <c r="X1113" s="106">
        <f>+VLOOKUP(PROVEEDORES[[#This Row],[ID RETENCION]],Retenciones!$A$1:$O$25,PROVEEDORES[[#This Row],[indicador de columna]],FALSE)</f>
        <v>1026000</v>
      </c>
      <c r="Y1113" s="107">
        <f>+VLOOKUP(PROVEEDORES[[#This Row],[ID RETENCION]],Retenciones!$A$1:$O$25,2,FALSE)</f>
        <v>2.5000000000000001E-2</v>
      </c>
      <c r="Z1113" s="116" t="b">
        <f>OR(COUNTIF(PROVEEDORES[[#This Row],[PROVEEDOR]],"*"&amp;'Palabra no opera'!$A$2&amp;"*"))</f>
        <v>0</v>
      </c>
    </row>
    <row r="1114" spans="1:26" ht="22.35" customHeight="1" x14ac:dyDescent="0.3">
      <c r="A1114" s="67" t="str">
        <f>+IF(PROVEEDORES[[#This Row],[FECHA DE PAGO]]=PROVEEDORES[[#This Row],[FECHA DE FACTURACIÓN]],"DE CONTADO","CRÉDITO")</f>
        <v>CRÉDITO</v>
      </c>
      <c r="B1114" s="38" t="str">
        <f>+IF((PROVEEDORES[[#This Row],[FECHA DE PAGO]]-PROVEEDORES[[#This Row],[FECHA DE FACTURACIÓN]])&gt;PROVEEDORES[[#This Row],[PLAZO Días]],"PAGO VENCIDO")</f>
        <v>PAGO VENCIDO</v>
      </c>
      <c r="C1114" s="20">
        <f>+VLOOKUP(PROVEEDORES[[#This Row],[PROVEEDOR]],TERCEROS_INFO[#All],2,FALSE)</f>
        <v>30</v>
      </c>
      <c r="D1114" s="25">
        <f>+SUMIFS(PROVEEDORES[Total],PROVEEDORES[PROVEEDOR],PROVEEDORES[[#This Row],[PROVEEDOR]],PROVEEDORES[FECHA DE PAGO],"")</f>
        <v>1034000.52</v>
      </c>
      <c r="E1114" s="25"/>
      <c r="F111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4" s="68">
        <v>44923</v>
      </c>
      <c r="H1114" s="231" t="s">
        <v>168</v>
      </c>
      <c r="I1114" s="68">
        <v>44862</v>
      </c>
      <c r="J1114" s="245" t="s">
        <v>1234</v>
      </c>
      <c r="K1114" s="21">
        <v>291596</v>
      </c>
      <c r="L1114" s="21"/>
      <c r="M1114" s="22">
        <f>(PROVEEDORES[[#This Row],[SUBTOTAL]]-PROVEEDORES[[#This Row],[descuento sobre subtotal]])*VLOOKUP(PROVEEDORES[[#This Row],[PROVEEDOR]],TERCEROS_INFO[#All],3,FALSE)</f>
        <v>55403.24</v>
      </c>
      <c r="N1114" s="23"/>
      <c r="O1114" s="22">
        <f>+PROVEEDORES[[#This Row],[Descuento sobre subtotal %]]*(PROVEEDORES[[#This Row],[SUBTOTAL]]-PROVEEDORES[[#This Row],[descuento sobre subtotal]])</f>
        <v>0</v>
      </c>
      <c r="P1114" s="74">
        <f>+IF(PROVEEDORES[[#This Row],[SUBTOTAL]]&lt;PROVEEDORES[[#This Row],[base retencion]],0,PROVEEDORES[[#This Row],[retención aplicada]])</f>
        <v>0</v>
      </c>
      <c r="Q1114" s="22">
        <f>+PROVEEDORES[[#This Row],[Rete Fuente %]]*(PROVEEDORES[[#This Row],[SUBTOTAL]]-PROVEEDORES[[#This Row],[descuento sobre subtotal]])</f>
        <v>0</v>
      </c>
      <c r="R1114" s="21">
        <f>+PROVEEDORES[[#This Row],[SUBTOTAL]]+PROVEEDORES[[#This Row],[IVA 19%]]-PROVEEDORES[[#This Row],[descuento sobre subtotal]]-PROVEEDORES[[#This Row],[Descuento sobre subtotal $2]]-PROVEEDORES[[#This Row],[Rete Fuente $]]</f>
        <v>346999.24</v>
      </c>
      <c r="S11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63">
        <f ca="1">IF(PROVEEDORES[[#This Row],[FECHA DE PAGO]]=0,TODAY()-PROVEEDORES[[#This Row],[FECHA DE FACTURACIÓN]]-PROVEEDORES[[#This Row],[PLAZO Días]],0)</f>
        <v>0</v>
      </c>
      <c r="U1114" s="104" t="str">
        <f>+VLOOKUP(PROVEEDORES[[#This Row],[PROVEEDOR]],Terceros!$A:$D,4,FALSE)</f>
        <v>2,5% con base</v>
      </c>
      <c r="V1114" s="105">
        <f>+YEAR(PROVEEDORES[[#This Row],[FECHA DE FACTURACIÓN]])</f>
        <v>2022</v>
      </c>
      <c r="W1114" s="105">
        <f>+MATCH(PROVEEDORES[[#This Row],[año facturado]],Retenciones!$1:$1,0)</f>
        <v>5</v>
      </c>
      <c r="X1114" s="106">
        <f>+VLOOKUP(PROVEEDORES[[#This Row],[ID RETENCION]],Retenciones!$A$1:$O$25,PROVEEDORES[[#This Row],[indicador de columna]],FALSE)</f>
        <v>1026000</v>
      </c>
      <c r="Y1114" s="107">
        <f>+VLOOKUP(PROVEEDORES[[#This Row],[ID RETENCION]],Retenciones!$A$1:$O$25,2,FALSE)</f>
        <v>2.5000000000000001E-2</v>
      </c>
      <c r="Z1114" s="116" t="b">
        <f>OR(COUNTIF(PROVEEDORES[[#This Row],[PROVEEDOR]],"*"&amp;'Palabra no opera'!$A$2&amp;"*"))</f>
        <v>0</v>
      </c>
    </row>
    <row r="1115" spans="1:26" ht="22.35" customHeight="1" x14ac:dyDescent="0.3">
      <c r="A1115" s="67" t="str">
        <f>+IF(PROVEEDORES[[#This Row],[FECHA DE PAGO]]=PROVEEDORES[[#This Row],[FECHA DE FACTURACIÓN]],"DE CONTADO","CRÉDITO")</f>
        <v>CRÉDITO</v>
      </c>
      <c r="B1115" s="38" t="str">
        <f>+IF((PROVEEDORES[[#This Row],[FECHA DE PAGO]]-PROVEEDORES[[#This Row],[FECHA DE FACTURACIÓN]])&gt;PROVEEDORES[[#This Row],[PLAZO Días]],"PAGO VENCIDO")</f>
        <v>PAGO VENCIDO</v>
      </c>
      <c r="C1115" s="20">
        <f>+VLOOKUP(PROVEEDORES[[#This Row],[PROVEEDOR]],TERCEROS_INFO[#All],2,FALSE)</f>
        <v>30</v>
      </c>
      <c r="D1115" s="25">
        <f>+SUMIFS(PROVEEDORES[Total],PROVEEDORES[PROVEEDOR],PROVEEDORES[[#This Row],[PROVEEDOR]],PROVEEDORES[FECHA DE PAGO],"")</f>
        <v>1034000.52</v>
      </c>
      <c r="E1115" s="25"/>
      <c r="F111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5" s="68">
        <v>44923</v>
      </c>
      <c r="H1115" s="231" t="s">
        <v>168</v>
      </c>
      <c r="I1115" s="68">
        <v>44889</v>
      </c>
      <c r="J1115" s="245" t="s">
        <v>1307</v>
      </c>
      <c r="K1115" s="21">
        <v>2021009</v>
      </c>
      <c r="L1115" s="21"/>
      <c r="M1115" s="22">
        <f>(PROVEEDORES[[#This Row],[SUBTOTAL]]-PROVEEDORES[[#This Row],[descuento sobre subtotal]])*VLOOKUP(PROVEEDORES[[#This Row],[PROVEEDOR]],TERCEROS_INFO[#All],3,FALSE)</f>
        <v>383991.71</v>
      </c>
      <c r="N1115" s="23"/>
      <c r="O1115" s="22">
        <f>+PROVEEDORES[[#This Row],[Descuento sobre subtotal %]]*(PROVEEDORES[[#This Row],[SUBTOTAL]]-PROVEEDORES[[#This Row],[descuento sobre subtotal]])</f>
        <v>0</v>
      </c>
      <c r="P1115" s="74">
        <f>+IF(PROVEEDORES[[#This Row],[SUBTOTAL]]&lt;PROVEEDORES[[#This Row],[base retencion]],0,PROVEEDORES[[#This Row],[retención aplicada]])</f>
        <v>2.5000000000000001E-2</v>
      </c>
      <c r="Q1115" s="22">
        <f>+PROVEEDORES[[#This Row],[Rete Fuente %]]*(PROVEEDORES[[#This Row],[SUBTOTAL]]-PROVEEDORES[[#This Row],[descuento sobre subtotal]])</f>
        <v>50525.225000000006</v>
      </c>
      <c r="R1115" s="21">
        <f>+PROVEEDORES[[#This Row],[SUBTOTAL]]+PROVEEDORES[[#This Row],[IVA 19%]]-PROVEEDORES[[#This Row],[descuento sobre subtotal]]-PROVEEDORES[[#This Row],[Descuento sobre subtotal $2]]-PROVEEDORES[[#This Row],[Rete Fuente $]]</f>
        <v>2354475.4849999999</v>
      </c>
      <c r="S11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63">
        <f ca="1">IF(PROVEEDORES[[#This Row],[FECHA DE PAGO]]=0,TODAY()-PROVEEDORES[[#This Row],[FECHA DE FACTURACIÓN]]-PROVEEDORES[[#This Row],[PLAZO Días]],0)</f>
        <v>0</v>
      </c>
      <c r="U1115" s="104" t="str">
        <f>+VLOOKUP(PROVEEDORES[[#This Row],[PROVEEDOR]],Terceros!$A:$D,4,FALSE)</f>
        <v>2,5% con base</v>
      </c>
      <c r="V1115" s="105">
        <f>+YEAR(PROVEEDORES[[#This Row],[FECHA DE FACTURACIÓN]])</f>
        <v>2022</v>
      </c>
      <c r="W1115" s="105">
        <f>+MATCH(PROVEEDORES[[#This Row],[año facturado]],Retenciones!$1:$1,0)</f>
        <v>5</v>
      </c>
      <c r="X1115" s="106">
        <f>+VLOOKUP(PROVEEDORES[[#This Row],[ID RETENCION]],Retenciones!$A$1:$O$25,PROVEEDORES[[#This Row],[indicador de columna]],FALSE)</f>
        <v>1026000</v>
      </c>
      <c r="Y1115" s="107">
        <f>+VLOOKUP(PROVEEDORES[[#This Row],[ID RETENCION]],Retenciones!$A$1:$O$25,2,FALSE)</f>
        <v>2.5000000000000001E-2</v>
      </c>
      <c r="Z1115" s="116" t="b">
        <f>OR(COUNTIF(PROVEEDORES[[#This Row],[PROVEEDOR]],"*"&amp;'Palabra no opera'!$A$2&amp;"*"))</f>
        <v>0</v>
      </c>
    </row>
    <row r="1116" spans="1:26" ht="22.35" customHeight="1" x14ac:dyDescent="0.3">
      <c r="A1116" s="252" t="str">
        <f>+IF(PROVEEDORES[[#This Row],[FECHA DE PAGO]]=PROVEEDORES[[#This Row],[FECHA DE FACTURACIÓN]],"DE CONTADO","CRÉDITO")</f>
        <v>CRÉDITO</v>
      </c>
      <c r="B1116" s="38" t="b">
        <f>+IF((PROVEEDORES[[#This Row],[FECHA DE PAGO]]-PROVEEDORES[[#This Row],[FECHA DE FACTURACIÓN]])&gt;PROVEEDORES[[#This Row],[PLAZO Días]],"PAGO VENCIDO")</f>
        <v>0</v>
      </c>
      <c r="C1116" s="20">
        <f>+VLOOKUP(PROVEEDORES[[#This Row],[PROVEEDOR]],TERCEROS_INFO[#All],2,FALSE)</f>
        <v>30</v>
      </c>
      <c r="D1116" s="25">
        <f>+SUMIFS(PROVEEDORES[Total],PROVEEDORES[PROVEEDOR],PROVEEDORES[[#This Row],[PROVEEDOR]],PROVEEDORES[FECHA DE PAGO],"")</f>
        <v>0</v>
      </c>
      <c r="E1116" s="25"/>
      <c r="F1116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16" s="68">
        <v>44924</v>
      </c>
      <c r="H1116" s="26" t="s">
        <v>1359</v>
      </c>
      <c r="I1116" s="68">
        <v>44897</v>
      </c>
      <c r="J1116" s="35">
        <v>4071</v>
      </c>
      <c r="K1116" s="21">
        <v>1429000</v>
      </c>
      <c r="L1116" s="21"/>
      <c r="M1116" s="22">
        <f>(PROVEEDORES[[#This Row],[SUBTOTAL]]-PROVEEDORES[[#This Row],[descuento sobre subtotal]])*VLOOKUP(PROVEEDORES[[#This Row],[PROVEEDOR]],TERCEROS_INFO[#All],3,FALSE)</f>
        <v>0</v>
      </c>
      <c r="N1116" s="23"/>
      <c r="O1116" s="22">
        <f>+PROVEEDORES[[#This Row],[Descuento sobre subtotal %]]*(PROVEEDORES[[#This Row],[SUBTOTAL]]-PROVEEDORES[[#This Row],[descuento sobre subtotal]])</f>
        <v>0</v>
      </c>
      <c r="P1116" s="74">
        <f>+IF(PROVEEDORES[[#This Row],[SUBTOTAL]]&lt;PROVEEDORES[[#This Row],[base retencion]],0,PROVEEDORES[[#This Row],[retención aplicada]])</f>
        <v>0</v>
      </c>
      <c r="Q1116" s="22">
        <f>+PROVEEDORES[[#This Row],[Rete Fuente %]]*(PROVEEDORES[[#This Row],[SUBTOTAL]]-PROVEEDORES[[#This Row],[descuento sobre subtotal]])</f>
        <v>0</v>
      </c>
      <c r="R1116" s="21">
        <f>+PROVEEDORES[[#This Row],[SUBTOTAL]]+PROVEEDORES[[#This Row],[IVA 19%]]-PROVEEDORES[[#This Row],[descuento sobre subtotal]]-PROVEEDORES[[#This Row],[Descuento sobre subtotal $2]]-PROVEEDORES[[#This Row],[Rete Fuente $]]</f>
        <v>1429000</v>
      </c>
      <c r="S1116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63">
        <f ca="1">IF(PROVEEDORES[[#This Row],[FECHA DE PAGO]]=0,TODAY()-PROVEEDORES[[#This Row],[FECHA DE FACTURACIÓN]]-PROVEEDORES[[#This Row],[PLAZO Días]],0)</f>
        <v>0</v>
      </c>
      <c r="U1116" s="104">
        <f>+VLOOKUP(PROVEEDORES[[#This Row],[PROVEEDOR]],Terceros!$A:$D,4,FALSE)</f>
        <v>0</v>
      </c>
      <c r="V1116" s="105">
        <f>+YEAR(PROVEEDORES[[#This Row],[FECHA DE FACTURACIÓN]])</f>
        <v>2022</v>
      </c>
      <c r="W1116" s="105">
        <f>+MATCH(PROVEEDORES[[#This Row],[año facturado]],Retenciones!$1:$1,0)</f>
        <v>5</v>
      </c>
      <c r="X1116" s="106">
        <f>+VLOOKUP(PROVEEDORES[[#This Row],[ID RETENCION]],Retenciones!$A$1:$O$25,PROVEEDORES[[#This Row],[indicador de columna]],FALSE)</f>
        <v>0</v>
      </c>
      <c r="Y1116" s="107">
        <f>+VLOOKUP(PROVEEDORES[[#This Row],[ID RETENCION]],Retenciones!$A$1:$O$25,2,FALSE)</f>
        <v>0</v>
      </c>
      <c r="Z1116" s="116" t="b">
        <f>OR(COUNTIF(PROVEEDORES[[#This Row],[PROVEEDOR]],"*"&amp;'Palabra no opera'!$A$2&amp;"*"))</f>
        <v>0</v>
      </c>
    </row>
    <row r="1117" spans="1:26" ht="22.35" customHeight="1" x14ac:dyDescent="0.3">
      <c r="A1117" s="67" t="str">
        <f>+IF(PROVEEDORES[[#This Row],[FECHA DE PAGO]]=PROVEEDORES[[#This Row],[FECHA DE FACTURACIÓN]],"DE CONTADO","CRÉDITO")</f>
        <v>CRÉDITO</v>
      </c>
      <c r="B1117" s="38" t="str">
        <f>+IF((PROVEEDORES[[#This Row],[FECHA DE PAGO]]-PROVEEDORES[[#This Row],[FECHA DE FACTURACIÓN]])&gt;PROVEEDORES[[#This Row],[PLAZO Días]],"PAGO VENCIDO")</f>
        <v>PAGO VENCIDO</v>
      </c>
      <c r="C1117" s="20">
        <f>+VLOOKUP(PROVEEDORES[[#This Row],[PROVEEDOR]],TERCEROS_INFO[#All],2,FALSE)</f>
        <v>30</v>
      </c>
      <c r="D1117" s="25">
        <f>+SUMIFS(PROVEEDORES[Total],PROVEEDORES[PROVEEDOR],PROVEEDORES[[#This Row],[PROVEEDOR]],PROVEEDORES[FECHA DE PAGO],"")</f>
        <v>0</v>
      </c>
      <c r="E1117" s="25"/>
      <c r="F1117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117" s="68">
        <v>44924</v>
      </c>
      <c r="H1117" s="231" t="s">
        <v>26</v>
      </c>
      <c r="I1117" s="68">
        <v>44869</v>
      </c>
      <c r="J1117" s="245" t="s">
        <v>1312</v>
      </c>
      <c r="K1117" s="21">
        <v>222000</v>
      </c>
      <c r="L1117" s="21"/>
      <c r="M1117" s="22">
        <f>(PROVEEDORES[[#This Row],[SUBTOTAL]]-PROVEEDORES[[#This Row],[descuento sobre subtotal]])*VLOOKUP(PROVEEDORES[[#This Row],[PROVEEDOR]],TERCEROS_INFO[#All],3,FALSE)</f>
        <v>42180</v>
      </c>
      <c r="N1117" s="23"/>
      <c r="O1117" s="22">
        <f>+PROVEEDORES[[#This Row],[Descuento sobre subtotal %]]*(PROVEEDORES[[#This Row],[SUBTOTAL]]-PROVEEDORES[[#This Row],[descuento sobre subtotal]])</f>
        <v>0</v>
      </c>
      <c r="P1117" s="74">
        <f>+IF(PROVEEDORES[[#This Row],[SUBTOTAL]]&lt;PROVEEDORES[[#This Row],[base retencion]],0,PROVEEDORES[[#This Row],[retención aplicada]])</f>
        <v>0</v>
      </c>
      <c r="Q1117" s="22">
        <f>+PROVEEDORES[[#This Row],[Rete Fuente %]]*(PROVEEDORES[[#This Row],[SUBTOTAL]]-PROVEEDORES[[#This Row],[descuento sobre subtotal]])</f>
        <v>0</v>
      </c>
      <c r="R1117" s="21">
        <f>+PROVEEDORES[[#This Row],[SUBTOTAL]]+PROVEEDORES[[#This Row],[IVA 19%]]-PROVEEDORES[[#This Row],[descuento sobre subtotal]]-PROVEEDORES[[#This Row],[Descuento sobre subtotal $2]]-PROVEEDORES[[#This Row],[Rete Fuente $]]</f>
        <v>264180</v>
      </c>
      <c r="S111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63">
        <f ca="1">IF(PROVEEDORES[[#This Row],[FECHA DE PAGO]]=0,TODAY()-PROVEEDORES[[#This Row],[FECHA DE FACTURACIÓN]]-PROVEEDORES[[#This Row],[PLAZO Días]],0)</f>
        <v>0</v>
      </c>
      <c r="U1117" s="104" t="str">
        <f>+VLOOKUP(PROVEEDORES[[#This Row],[PROVEEDOR]],Terceros!$A:$D,4,FALSE)</f>
        <v>2,5% con base</v>
      </c>
      <c r="V1117" s="105">
        <f>+YEAR(PROVEEDORES[[#This Row],[FECHA DE FACTURACIÓN]])</f>
        <v>2022</v>
      </c>
      <c r="W1117" s="105">
        <f>+MATCH(PROVEEDORES[[#This Row],[año facturado]],Retenciones!$1:$1,0)</f>
        <v>5</v>
      </c>
      <c r="X1117" s="106">
        <f>+VLOOKUP(PROVEEDORES[[#This Row],[ID RETENCION]],Retenciones!$A$1:$O$25,PROVEEDORES[[#This Row],[indicador de columna]],FALSE)</f>
        <v>1026000</v>
      </c>
      <c r="Y1117" s="107">
        <f>+VLOOKUP(PROVEEDORES[[#This Row],[ID RETENCION]],Retenciones!$A$1:$O$25,2,FALSE)</f>
        <v>2.5000000000000001E-2</v>
      </c>
      <c r="Z1117" s="116" t="b">
        <f>OR(COUNTIF(PROVEEDORES[[#This Row],[PROVEEDOR]],"*"&amp;'Palabra no opera'!$A$2&amp;"*"))</f>
        <v>0</v>
      </c>
    </row>
    <row r="1118" spans="1:26" ht="22.35" customHeight="1" x14ac:dyDescent="0.3">
      <c r="A1118" s="67" t="str">
        <f>+IF(PROVEEDORES[[#This Row],[FECHA DE PAGO]]=PROVEEDORES[[#This Row],[FECHA DE FACTURACIÓN]],"DE CONTADO","CRÉDITO")</f>
        <v>CRÉDITO</v>
      </c>
      <c r="B1118" s="38" t="str">
        <f>+IF((PROVEEDORES[[#This Row],[FECHA DE PAGO]]-PROVEEDORES[[#This Row],[FECHA DE FACTURACIÓN]])&gt;PROVEEDORES[[#This Row],[PLAZO Días]],"PAGO VENCIDO")</f>
        <v>PAGO VENCIDO</v>
      </c>
      <c r="C1118" s="20">
        <f>+VLOOKUP(PROVEEDORES[[#This Row],[PROVEEDOR]],TERCEROS_INFO[#All],2,FALSE)</f>
        <v>30</v>
      </c>
      <c r="D1118" s="25">
        <f>+SUMIFS(PROVEEDORES[Total],PROVEEDORES[PROVEEDOR],PROVEEDORES[[#This Row],[PROVEEDOR]],PROVEEDORES[FECHA DE PAGO],"")</f>
        <v>0</v>
      </c>
      <c r="E1118" s="25"/>
      <c r="F1118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118" s="68">
        <v>44924</v>
      </c>
      <c r="H1118" s="231" t="s">
        <v>26</v>
      </c>
      <c r="I1118" s="68">
        <v>44869</v>
      </c>
      <c r="J1118" s="245" t="s">
        <v>1313</v>
      </c>
      <c r="K1118" s="21">
        <v>780000</v>
      </c>
      <c r="L1118" s="21"/>
      <c r="M1118" s="22">
        <f>(PROVEEDORES[[#This Row],[SUBTOTAL]]-PROVEEDORES[[#This Row],[descuento sobre subtotal]])*VLOOKUP(PROVEEDORES[[#This Row],[PROVEEDOR]],TERCEROS_INFO[#All],3,FALSE)</f>
        <v>148200</v>
      </c>
      <c r="N1118" s="23"/>
      <c r="O1118" s="22">
        <f>+PROVEEDORES[[#This Row],[Descuento sobre subtotal %]]*(PROVEEDORES[[#This Row],[SUBTOTAL]]-PROVEEDORES[[#This Row],[descuento sobre subtotal]])</f>
        <v>0</v>
      </c>
      <c r="P1118" s="74">
        <f>+IF(PROVEEDORES[[#This Row],[SUBTOTAL]]&lt;PROVEEDORES[[#This Row],[base retencion]],0,PROVEEDORES[[#This Row],[retención aplicada]])</f>
        <v>0</v>
      </c>
      <c r="Q1118" s="22">
        <f>+PROVEEDORES[[#This Row],[Rete Fuente %]]*(PROVEEDORES[[#This Row],[SUBTOTAL]]-PROVEEDORES[[#This Row],[descuento sobre subtotal]])</f>
        <v>0</v>
      </c>
      <c r="R1118" s="21">
        <f>+PROVEEDORES[[#This Row],[SUBTOTAL]]+PROVEEDORES[[#This Row],[IVA 19%]]-PROVEEDORES[[#This Row],[descuento sobre subtotal]]-PROVEEDORES[[#This Row],[Descuento sobre subtotal $2]]-PROVEEDORES[[#This Row],[Rete Fuente $]]</f>
        <v>928200</v>
      </c>
      <c r="S11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63">
        <f ca="1">IF(PROVEEDORES[[#This Row],[FECHA DE PAGO]]=0,TODAY()-PROVEEDORES[[#This Row],[FECHA DE FACTURACIÓN]]-PROVEEDORES[[#This Row],[PLAZO Días]],0)</f>
        <v>0</v>
      </c>
      <c r="U1118" s="104" t="str">
        <f>+VLOOKUP(PROVEEDORES[[#This Row],[PROVEEDOR]],Terceros!$A:$D,4,FALSE)</f>
        <v>2,5% con base</v>
      </c>
      <c r="V1118" s="105">
        <f>+YEAR(PROVEEDORES[[#This Row],[FECHA DE FACTURACIÓN]])</f>
        <v>2022</v>
      </c>
      <c r="W1118" s="105">
        <f>+MATCH(PROVEEDORES[[#This Row],[año facturado]],Retenciones!$1:$1,0)</f>
        <v>5</v>
      </c>
      <c r="X1118" s="106">
        <f>+VLOOKUP(PROVEEDORES[[#This Row],[ID RETENCION]],Retenciones!$A$1:$O$25,PROVEEDORES[[#This Row],[indicador de columna]],FALSE)</f>
        <v>1026000</v>
      </c>
      <c r="Y1118" s="107">
        <f>+VLOOKUP(PROVEEDORES[[#This Row],[ID RETENCION]],Retenciones!$A$1:$O$25,2,FALSE)</f>
        <v>2.5000000000000001E-2</v>
      </c>
      <c r="Z1118" s="116" t="b">
        <f>OR(COUNTIF(PROVEEDORES[[#This Row],[PROVEEDOR]],"*"&amp;'Palabra no opera'!$A$2&amp;"*"))</f>
        <v>0</v>
      </c>
    </row>
    <row r="1119" spans="1:26" ht="22.35" customHeight="1" x14ac:dyDescent="0.3">
      <c r="A1119" s="232" t="str">
        <f>+IF(PROVEEDORES[[#This Row],[FECHA DE PAGO]]=PROVEEDORES[[#This Row],[FECHA DE FACTURACIÓN]],"DE CONTADO","CRÉDITO")</f>
        <v>CRÉDITO</v>
      </c>
      <c r="B1119" s="38" t="str">
        <f>+IF((PROVEEDORES[[#This Row],[FECHA DE PAGO]]-PROVEEDORES[[#This Row],[FECHA DE FACTURACIÓN]])&gt;PROVEEDORES[[#This Row],[PLAZO Días]],"PAGO VENCIDO")</f>
        <v>PAGO VENCIDO</v>
      </c>
      <c r="C1119" s="20">
        <f>+VLOOKUP(PROVEEDORES[[#This Row],[PROVEEDOR]],TERCEROS_INFO[#All],2,FALSE)</f>
        <v>30</v>
      </c>
      <c r="D1119" s="25">
        <f>+SUMIFS(PROVEEDORES[Total],PROVEEDORES[PROVEEDOR],PROVEEDORES[[#This Row],[PROVEEDOR]],PROVEEDORES[FECHA DE PAGO],"")</f>
        <v>22881826.27</v>
      </c>
      <c r="E1119" s="25"/>
      <c r="F1119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19" s="68">
        <v>44925</v>
      </c>
      <c r="H1119" s="231" t="s">
        <v>9</v>
      </c>
      <c r="I1119" s="68">
        <v>44866</v>
      </c>
      <c r="J1119" s="245" t="s">
        <v>1265</v>
      </c>
      <c r="K1119" s="21">
        <v>31867563</v>
      </c>
      <c r="L1119" s="21"/>
      <c r="M1119" s="22">
        <f>(PROVEEDORES[[#This Row],[SUBTOTAL]]-PROVEEDORES[[#This Row],[descuento sobre subtotal]])*VLOOKUP(PROVEEDORES[[#This Row],[PROVEEDOR]],TERCEROS_INFO[#All],3,FALSE)</f>
        <v>6054836.9699999997</v>
      </c>
      <c r="N1119" s="23">
        <v>7.0000000000000007E-2</v>
      </c>
      <c r="O1119" s="22">
        <f>+PROVEEDORES[[#This Row],[Descuento sobre subtotal %]]*(PROVEEDORES[[#This Row],[SUBTOTAL]]-PROVEEDORES[[#This Row],[descuento sobre subtotal]])</f>
        <v>2230729.41</v>
      </c>
      <c r="P1119" s="74">
        <f>+IF(PROVEEDORES[[#This Row],[SUBTOTAL]]&lt;PROVEEDORES[[#This Row],[base retencion]],0,PROVEEDORES[[#This Row],[retención aplicada]])</f>
        <v>2.5000000000000001E-2</v>
      </c>
      <c r="Q1119" s="22">
        <f>+PROVEEDORES[[#This Row],[Rete Fuente %]]*(PROVEEDORES[[#This Row],[SUBTOTAL]]-PROVEEDORES[[#This Row],[descuento sobre subtotal]])</f>
        <v>796689.07500000007</v>
      </c>
      <c r="R1119" s="21">
        <f>+PROVEEDORES[[#This Row],[SUBTOTAL]]+PROVEEDORES[[#This Row],[IVA 19%]]-PROVEEDORES[[#This Row],[descuento sobre subtotal]]-PROVEEDORES[[#This Row],[Descuento sobre subtotal $2]]-PROVEEDORES[[#This Row],[Rete Fuente $]]</f>
        <v>34894981.484999999</v>
      </c>
      <c r="S1119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63">
        <f ca="1">IF(PROVEEDORES[[#This Row],[FECHA DE PAGO]]=0,TODAY()-PROVEEDORES[[#This Row],[FECHA DE FACTURACIÓN]]-PROVEEDORES[[#This Row],[PLAZO Días]],0)</f>
        <v>0</v>
      </c>
      <c r="U1119" s="104" t="str">
        <f>+VLOOKUP(PROVEEDORES[[#This Row],[PROVEEDOR]],Terceros!$A:$D,4,FALSE)</f>
        <v>2,5% con base</v>
      </c>
      <c r="V1119" s="105">
        <f>+YEAR(PROVEEDORES[[#This Row],[FECHA DE FACTURACIÓN]])</f>
        <v>2022</v>
      </c>
      <c r="W1119" s="105">
        <f>+MATCH(PROVEEDORES[[#This Row],[año facturado]],Retenciones!$1:$1,0)</f>
        <v>5</v>
      </c>
      <c r="X1119" s="106">
        <f>+VLOOKUP(PROVEEDORES[[#This Row],[ID RETENCION]],Retenciones!$A$1:$O$25,PROVEEDORES[[#This Row],[indicador de columna]],FALSE)</f>
        <v>1026000</v>
      </c>
      <c r="Y1119" s="107">
        <f>+VLOOKUP(PROVEEDORES[[#This Row],[ID RETENCION]],Retenciones!$A$1:$O$25,2,FALSE)</f>
        <v>2.5000000000000001E-2</v>
      </c>
      <c r="Z1119" s="116" t="b">
        <f>OR(COUNTIF(PROVEEDORES[[#This Row],[PROVEEDOR]],"*"&amp;'Palabra no opera'!$A$2&amp;"*"))</f>
        <v>0</v>
      </c>
    </row>
    <row r="1120" spans="1:26" ht="22.35" customHeight="1" x14ac:dyDescent="0.3">
      <c r="A1120" s="232" t="str">
        <f>+IF(PROVEEDORES[[#This Row],[FECHA DE PAGO]]=PROVEEDORES[[#This Row],[FECHA DE FACTURACIÓN]],"DE CONTADO","CRÉDITO")</f>
        <v>CRÉDITO</v>
      </c>
      <c r="B1120" s="38" t="str">
        <f>+IF((PROVEEDORES[[#This Row],[FECHA DE PAGO]]-PROVEEDORES[[#This Row],[FECHA DE FACTURACIÓN]])&gt;PROVEEDORES[[#This Row],[PLAZO Días]],"PAGO VENCIDO")</f>
        <v>PAGO VENCIDO</v>
      </c>
      <c r="C1120" s="20">
        <f>+VLOOKUP(PROVEEDORES[[#This Row],[PROVEEDOR]],TERCEROS_INFO[#All],2,FALSE)</f>
        <v>30</v>
      </c>
      <c r="D1120" s="25">
        <f>+SUMIFS(PROVEEDORES[Total],PROVEEDORES[PROVEEDOR],PROVEEDORES[[#This Row],[PROVEEDOR]],PROVEEDORES[FECHA DE PAGO],"")</f>
        <v>22881826.27</v>
      </c>
      <c r="E1120" s="25"/>
      <c r="F112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20" s="68">
        <v>44925</v>
      </c>
      <c r="H1120" s="231" t="s">
        <v>9</v>
      </c>
      <c r="I1120" s="68">
        <v>44867</v>
      </c>
      <c r="J1120" s="245" t="s">
        <v>1262</v>
      </c>
      <c r="K1120" s="21">
        <v>2894328</v>
      </c>
      <c r="L1120" s="21"/>
      <c r="M1120" s="22">
        <f>(PROVEEDORES[[#This Row],[SUBTOTAL]]-PROVEEDORES[[#This Row],[descuento sobre subtotal]])*VLOOKUP(PROVEEDORES[[#This Row],[PROVEEDOR]],TERCEROS_INFO[#All],3,FALSE)</f>
        <v>549922.31999999995</v>
      </c>
      <c r="N1120" s="23">
        <v>7.0000000000000007E-2</v>
      </c>
      <c r="O1120" s="22">
        <f>+PROVEEDORES[[#This Row],[Descuento sobre subtotal %]]*(PROVEEDORES[[#This Row],[SUBTOTAL]]-PROVEEDORES[[#This Row],[descuento sobre subtotal]])</f>
        <v>202602.96000000002</v>
      </c>
      <c r="P1120" s="74">
        <f>+IF(PROVEEDORES[[#This Row],[SUBTOTAL]]&lt;PROVEEDORES[[#This Row],[base retencion]],0,PROVEEDORES[[#This Row],[retención aplicada]])</f>
        <v>2.5000000000000001E-2</v>
      </c>
      <c r="Q1120" s="22">
        <f>+PROVEEDORES[[#This Row],[Rete Fuente %]]*(PROVEEDORES[[#This Row],[SUBTOTAL]]-PROVEEDORES[[#This Row],[descuento sobre subtotal]])</f>
        <v>72358.2</v>
      </c>
      <c r="R1120" s="21">
        <f>+PROVEEDORES[[#This Row],[SUBTOTAL]]+PROVEEDORES[[#This Row],[IVA 19%]]-PROVEEDORES[[#This Row],[descuento sobre subtotal]]-PROVEEDORES[[#This Row],[Descuento sobre subtotal $2]]-PROVEEDORES[[#This Row],[Rete Fuente $]]</f>
        <v>3169289.1599999997</v>
      </c>
      <c r="S1120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63">
        <f ca="1">IF(PROVEEDORES[[#This Row],[FECHA DE PAGO]]=0,TODAY()-PROVEEDORES[[#This Row],[FECHA DE FACTURACIÓN]]-PROVEEDORES[[#This Row],[PLAZO Días]],0)</f>
        <v>0</v>
      </c>
      <c r="U1120" s="104" t="str">
        <f>+VLOOKUP(PROVEEDORES[[#This Row],[PROVEEDOR]],Terceros!$A:$D,4,FALSE)</f>
        <v>2,5% con base</v>
      </c>
      <c r="V1120" s="105">
        <f>+YEAR(PROVEEDORES[[#This Row],[FECHA DE FACTURACIÓN]])</f>
        <v>2022</v>
      </c>
      <c r="W1120" s="105">
        <f>+MATCH(PROVEEDORES[[#This Row],[año facturado]],Retenciones!$1:$1,0)</f>
        <v>5</v>
      </c>
      <c r="X1120" s="106">
        <f>+VLOOKUP(PROVEEDORES[[#This Row],[ID RETENCION]],Retenciones!$A$1:$O$25,PROVEEDORES[[#This Row],[indicador de columna]],FALSE)</f>
        <v>1026000</v>
      </c>
      <c r="Y1120" s="107">
        <f>+VLOOKUP(PROVEEDORES[[#This Row],[ID RETENCION]],Retenciones!$A$1:$O$25,2,FALSE)</f>
        <v>2.5000000000000001E-2</v>
      </c>
      <c r="Z1120" s="116" t="b">
        <f>OR(COUNTIF(PROVEEDORES[[#This Row],[PROVEEDOR]],"*"&amp;'Palabra no opera'!$A$2&amp;"*"))</f>
        <v>0</v>
      </c>
    </row>
    <row r="1121" spans="1:26" ht="22.35" customHeight="1" x14ac:dyDescent="0.3">
      <c r="A1121" s="242" t="str">
        <f>+IF(PROVEEDORES[[#This Row],[FECHA DE PAGO]]=PROVEEDORES[[#This Row],[FECHA DE FACTURACIÓN]],"DE CONTADO","CRÉDITO")</f>
        <v>CRÉDITO</v>
      </c>
      <c r="B1121" s="38" t="b">
        <f>+IF((PROVEEDORES[[#This Row],[FECHA DE PAGO]]-PROVEEDORES[[#This Row],[FECHA DE FACTURACIÓN]])&gt;PROVEEDORES[[#This Row],[PLAZO Días]],"PAGO VENCIDO")</f>
        <v>0</v>
      </c>
      <c r="C1121" s="20">
        <f>+VLOOKUP(PROVEEDORES[[#This Row],[PROVEEDOR]],TERCEROS_INFO[#All],2,FALSE)</f>
        <v>30</v>
      </c>
      <c r="D1121" s="25">
        <f>+SUMIFS(PROVEEDORES[Total],PROVEEDORES[PROVEEDOR],PROVEEDORES[[#This Row],[PROVEEDOR]],PROVEEDORES[FECHA DE PAGO],"")</f>
        <v>22881826.27</v>
      </c>
      <c r="E1121" s="25"/>
      <c r="F1121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21" s="68">
        <v>44925</v>
      </c>
      <c r="H1121" s="231" t="s">
        <v>9</v>
      </c>
      <c r="I1121" s="68">
        <v>44896</v>
      </c>
      <c r="J1121" s="245" t="s">
        <v>1317</v>
      </c>
      <c r="K1121" s="21">
        <v>1524625</v>
      </c>
      <c r="L1121" s="21"/>
      <c r="M1121" s="22">
        <f>(PROVEEDORES[[#This Row],[SUBTOTAL]]-PROVEEDORES[[#This Row],[descuento sobre subtotal]])*VLOOKUP(PROVEEDORES[[#This Row],[PROVEEDOR]],TERCEROS_INFO[#All],3,FALSE)</f>
        <v>289678.75</v>
      </c>
      <c r="N1121" s="23">
        <v>7.0000000000000007E-2</v>
      </c>
      <c r="O1121" s="22">
        <f>+PROVEEDORES[[#This Row],[Descuento sobre subtotal %]]*(PROVEEDORES[[#This Row],[SUBTOTAL]]-PROVEEDORES[[#This Row],[descuento sobre subtotal]])</f>
        <v>106723.75000000001</v>
      </c>
      <c r="P1121" s="74">
        <f>+IF(PROVEEDORES[[#This Row],[SUBTOTAL]]&lt;PROVEEDORES[[#This Row],[base retencion]],0,PROVEEDORES[[#This Row],[retención aplicada]])</f>
        <v>2.5000000000000001E-2</v>
      </c>
      <c r="Q1121" s="22">
        <f>+PROVEEDORES[[#This Row],[Rete Fuente %]]*(PROVEEDORES[[#This Row],[SUBTOTAL]]-PROVEEDORES[[#This Row],[descuento sobre subtotal]])</f>
        <v>38115.625</v>
      </c>
      <c r="R1121" s="21">
        <f>+PROVEEDORES[[#This Row],[SUBTOTAL]]+PROVEEDORES[[#This Row],[IVA 19%]]-PROVEEDORES[[#This Row],[descuento sobre subtotal]]-PROVEEDORES[[#This Row],[Descuento sobre subtotal $2]]-PROVEEDORES[[#This Row],[Rete Fuente $]]</f>
        <v>1669464.375</v>
      </c>
      <c r="S1121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63">
        <f ca="1">IF(PROVEEDORES[[#This Row],[FECHA DE PAGO]]=0,TODAY()-PROVEEDORES[[#This Row],[FECHA DE FACTURACIÓN]]-PROVEEDORES[[#This Row],[PLAZO Días]],0)</f>
        <v>0</v>
      </c>
      <c r="U1121" s="104" t="str">
        <f>+VLOOKUP(PROVEEDORES[[#This Row],[PROVEEDOR]],Terceros!$A:$D,4,FALSE)</f>
        <v>2,5% con base</v>
      </c>
      <c r="V1121" s="105">
        <f>+YEAR(PROVEEDORES[[#This Row],[FECHA DE FACTURACIÓN]])</f>
        <v>2022</v>
      </c>
      <c r="W1121" s="105">
        <f>+MATCH(PROVEEDORES[[#This Row],[año facturado]],Retenciones!$1:$1,0)</f>
        <v>5</v>
      </c>
      <c r="X1121" s="106">
        <f>+VLOOKUP(PROVEEDORES[[#This Row],[ID RETENCION]],Retenciones!$A$1:$O$25,PROVEEDORES[[#This Row],[indicador de columna]],FALSE)</f>
        <v>1026000</v>
      </c>
      <c r="Y1121" s="107">
        <f>+VLOOKUP(PROVEEDORES[[#This Row],[ID RETENCION]],Retenciones!$A$1:$O$25,2,FALSE)</f>
        <v>2.5000000000000001E-2</v>
      </c>
      <c r="Z1121" s="116" t="b">
        <f>OR(COUNTIF(PROVEEDORES[[#This Row],[PROVEEDOR]],"*"&amp;'Palabra no opera'!$A$2&amp;"*"))</f>
        <v>0</v>
      </c>
    </row>
    <row r="1122" spans="1:26" ht="22.35" customHeight="1" x14ac:dyDescent="0.3">
      <c r="A1122" s="255" t="str">
        <f>+IF(PROVEEDORES[[#This Row],[FECHA DE PAGO]]=PROVEEDORES[[#This Row],[FECHA DE FACTURACIÓN]],"DE CONTADO","CRÉDITO")</f>
        <v>DE CONTADO</v>
      </c>
      <c r="B1122" s="38" t="b">
        <f>+IF((PROVEEDORES[[#This Row],[FECHA DE PAGO]]-PROVEEDORES[[#This Row],[FECHA DE FACTURACIÓN]])&gt;PROVEEDORES[[#This Row],[PLAZO Días]],"PAGO VENCIDO")</f>
        <v>0</v>
      </c>
      <c r="C1122" s="20">
        <f>+VLOOKUP(PROVEEDORES[[#This Row],[PROVEEDOR]],TERCEROS_INFO[#All],2,FALSE)</f>
        <v>30</v>
      </c>
      <c r="D1122" s="25">
        <f>+SUMIFS(PROVEEDORES[Total],PROVEEDORES[PROVEEDOR],PROVEEDORES[[#This Row],[PROVEEDOR]],PROVEEDORES[FECHA DE PAGO],"")</f>
        <v>0</v>
      </c>
      <c r="E1122" s="25"/>
      <c r="F1122" s="56" t="str">
        <f>+VLOOKUP(PROVEEDORES[[#This Row],[PROVEEDOR]],
                       Terceros!$A:$F,
                       5,
                       FALSE)</f>
        <v/>
      </c>
      <c r="G1122" s="68">
        <v>44926</v>
      </c>
      <c r="H1122" s="26" t="s">
        <v>362</v>
      </c>
      <c r="I1122" s="68">
        <v>44926</v>
      </c>
      <c r="J1122" s="35" t="s">
        <v>1178</v>
      </c>
      <c r="K1122" s="21">
        <v>963000</v>
      </c>
      <c r="L1122" s="21"/>
      <c r="M1122" s="22">
        <f>(PROVEEDORES[[#This Row],[SUBTOTAL]]-PROVEEDORES[[#This Row],[descuento sobre subtotal]])*VLOOKUP(PROVEEDORES[[#This Row],[PROVEEDOR]],TERCEROS_INFO[#All],3,FALSE)</f>
        <v>0</v>
      </c>
      <c r="N1122" s="23"/>
      <c r="O1122" s="22">
        <f>+PROVEEDORES[[#This Row],[Descuento sobre subtotal %]]*(PROVEEDORES[[#This Row],[SUBTOTAL]]-PROVEEDORES[[#This Row],[descuento sobre subtotal]])</f>
        <v>0</v>
      </c>
      <c r="P1122" s="74">
        <f>+IF(PROVEEDORES[[#This Row],[SUBTOTAL]]&lt;PROVEEDORES[[#This Row],[base retencion]],0,PROVEEDORES[[#This Row],[retención aplicada]])</f>
        <v>0</v>
      </c>
      <c r="Q1122" s="22">
        <f>+PROVEEDORES[[#This Row],[Rete Fuente %]]*(PROVEEDORES[[#This Row],[SUBTOTAL]]-PROVEEDORES[[#This Row],[descuento sobre subtotal]])</f>
        <v>0</v>
      </c>
      <c r="R1122" s="21">
        <f>+PROVEEDORES[[#This Row],[SUBTOTAL]]+PROVEEDORES[[#This Row],[IVA 19%]]-PROVEEDORES[[#This Row],[descuento sobre subtotal]]-PROVEEDORES[[#This Row],[Descuento sobre subtotal $2]]-PROVEEDORES[[#This Row],[Rete Fuente $]]</f>
        <v>963000</v>
      </c>
      <c r="S1122" s="2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63">
        <f ca="1">IF(PROVEEDORES[[#This Row],[FECHA DE PAGO]]=0,TODAY()-PROVEEDORES[[#This Row],[FECHA DE FACTURACIÓN]]-PROVEEDORES[[#This Row],[PLAZO Días]],0)</f>
        <v>0</v>
      </c>
      <c r="U1122" s="104">
        <f>+VLOOKUP(PROVEEDORES[[#This Row],[PROVEEDOR]],Terceros!$A:$D,4,FALSE)</f>
        <v>0</v>
      </c>
      <c r="V1122" s="105">
        <f>+YEAR(PROVEEDORES[[#This Row],[FECHA DE FACTURACIÓN]])</f>
        <v>2022</v>
      </c>
      <c r="W1122" s="105">
        <f>+MATCH(PROVEEDORES[[#This Row],[año facturado]],Retenciones!$1:$1,0)</f>
        <v>5</v>
      </c>
      <c r="X1122" s="106">
        <f>+VLOOKUP(PROVEEDORES[[#This Row],[ID RETENCION]],Retenciones!$A$1:$O$25,PROVEEDORES[[#This Row],[indicador de columna]],FALSE)</f>
        <v>0</v>
      </c>
      <c r="Y1122" s="107">
        <f>+VLOOKUP(PROVEEDORES[[#This Row],[ID RETENCION]],Retenciones!$A$1:$O$25,2,FALSE)</f>
        <v>0</v>
      </c>
      <c r="Z1122" s="116" t="b">
        <f>OR(COUNTIF(PROVEEDORES[[#This Row],[PROVEEDOR]],"*"&amp;'Palabra no opera'!$A$2&amp;"*"))</f>
        <v>0</v>
      </c>
    </row>
    <row r="1123" spans="1:26" ht="22.35" customHeight="1" x14ac:dyDescent="0.3">
      <c r="A1123" s="255" t="str">
        <f>+IF(PROVEEDORES[[#This Row],[FECHA DE PAGO]]=PROVEEDORES[[#This Row],[FECHA DE FACTURACIÓN]],"DE CONTADO","CRÉDITO")</f>
        <v>DE CONTADO</v>
      </c>
      <c r="B1123" s="38" t="b">
        <f>+IF((PROVEEDORES[[#This Row],[FECHA DE PAGO]]-PROVEEDORES[[#This Row],[FECHA DE FACTURACIÓN]])&gt;PROVEEDORES[[#This Row],[PLAZO Días]],"PAGO VENCIDO")</f>
        <v>0</v>
      </c>
      <c r="C1123" s="20">
        <f>+VLOOKUP(PROVEEDORES[[#This Row],[PROVEEDOR]],TERCEROS_INFO[#All],2,FALSE)</f>
        <v>30</v>
      </c>
      <c r="D1123" s="25">
        <f>+SUMIFS(PROVEEDORES[Total],PROVEEDORES[PROVEEDOR],PROVEEDORES[[#This Row],[PROVEEDOR]],PROVEEDORES[FECHA DE PAGO],"")</f>
        <v>0</v>
      </c>
      <c r="E1123" s="25"/>
      <c r="F1123" s="56" t="str">
        <f>+VLOOKUP(PROVEEDORES[[#This Row],[PROVEEDOR]],
                       Terceros!$A:$F,
                       5,
                       FALSE)</f>
        <v/>
      </c>
      <c r="G1123" s="68">
        <v>44926</v>
      </c>
      <c r="H1123" s="26" t="s">
        <v>362</v>
      </c>
      <c r="I1123" s="68">
        <v>44926</v>
      </c>
      <c r="J1123" s="35" t="s">
        <v>1176</v>
      </c>
      <c r="K1123" s="21">
        <v>469500</v>
      </c>
      <c r="L1123" s="21"/>
      <c r="M1123" s="22">
        <f>(PROVEEDORES[[#This Row],[SUBTOTAL]]-PROVEEDORES[[#This Row],[descuento sobre subtotal]])*VLOOKUP(PROVEEDORES[[#This Row],[PROVEEDOR]],TERCEROS_INFO[#All],3,FALSE)</f>
        <v>0</v>
      </c>
      <c r="N1123" s="23"/>
      <c r="O1123" s="22">
        <f>+PROVEEDORES[[#This Row],[Descuento sobre subtotal %]]*(PROVEEDORES[[#This Row],[SUBTOTAL]]-PROVEEDORES[[#This Row],[descuento sobre subtotal]])</f>
        <v>0</v>
      </c>
      <c r="P1123" s="74">
        <f>+IF(PROVEEDORES[[#This Row],[SUBTOTAL]]&lt;PROVEEDORES[[#This Row],[base retencion]],0,PROVEEDORES[[#This Row],[retención aplicada]])</f>
        <v>0</v>
      </c>
      <c r="Q1123" s="22">
        <f>+PROVEEDORES[[#This Row],[Rete Fuente %]]*(PROVEEDORES[[#This Row],[SUBTOTAL]]-PROVEEDORES[[#This Row],[descuento sobre subtotal]])</f>
        <v>0</v>
      </c>
      <c r="R1123" s="21">
        <f>+PROVEEDORES[[#This Row],[SUBTOTAL]]+PROVEEDORES[[#This Row],[IVA 19%]]-PROVEEDORES[[#This Row],[descuento sobre subtotal]]-PROVEEDORES[[#This Row],[Descuento sobre subtotal $2]]-PROVEEDORES[[#This Row],[Rete Fuente $]]</f>
        <v>469500</v>
      </c>
      <c r="S1123" s="2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63">
        <f ca="1">IF(PROVEEDORES[[#This Row],[FECHA DE PAGO]]=0,TODAY()-PROVEEDORES[[#This Row],[FECHA DE FACTURACIÓN]]-PROVEEDORES[[#This Row],[PLAZO Días]],0)</f>
        <v>0</v>
      </c>
      <c r="U1123" s="104">
        <f>+VLOOKUP(PROVEEDORES[[#This Row],[PROVEEDOR]],Terceros!$A:$D,4,FALSE)</f>
        <v>0</v>
      </c>
      <c r="V1123" s="105">
        <f>+YEAR(PROVEEDORES[[#This Row],[FECHA DE FACTURACIÓN]])</f>
        <v>2022</v>
      </c>
      <c r="W1123" s="105">
        <f>+MATCH(PROVEEDORES[[#This Row],[año facturado]],Retenciones!$1:$1,0)</f>
        <v>5</v>
      </c>
      <c r="X1123" s="106">
        <f>+VLOOKUP(PROVEEDORES[[#This Row],[ID RETENCION]],Retenciones!$A$1:$O$25,PROVEEDORES[[#This Row],[indicador de columna]],FALSE)</f>
        <v>0</v>
      </c>
      <c r="Y1123" s="107">
        <f>+VLOOKUP(PROVEEDORES[[#This Row],[ID RETENCION]],Retenciones!$A$1:$O$25,2,FALSE)</f>
        <v>0</v>
      </c>
      <c r="Z1123" s="116" t="b">
        <f>OR(COUNTIF(PROVEEDORES[[#This Row],[PROVEEDOR]],"*"&amp;'Palabra no opera'!$A$2&amp;"*"))</f>
        <v>0</v>
      </c>
    </row>
    <row r="1124" spans="1:26" ht="22.35" customHeight="1" x14ac:dyDescent="0.3">
      <c r="A1124" s="255" t="str">
        <f>+IF(PROVEEDORES[[#This Row],[FECHA DE PAGO]]=PROVEEDORES[[#This Row],[FECHA DE FACTURACIÓN]],"DE CONTADO","CRÉDITO")</f>
        <v>DE CONTADO</v>
      </c>
      <c r="B1124" s="38" t="b">
        <f>+IF((PROVEEDORES[[#This Row],[FECHA DE PAGO]]-PROVEEDORES[[#This Row],[FECHA DE FACTURACIÓN]])&gt;PROVEEDORES[[#This Row],[PLAZO Días]],"PAGO VENCIDO")</f>
        <v>0</v>
      </c>
      <c r="C1124" s="20">
        <f>+VLOOKUP(PROVEEDORES[[#This Row],[PROVEEDOR]],TERCEROS_INFO[#All],2,FALSE)</f>
        <v>30</v>
      </c>
      <c r="D1124" s="25">
        <f>+SUMIFS(PROVEEDORES[Total],PROVEEDORES[PROVEEDOR],PROVEEDORES[[#This Row],[PROVEEDOR]],PROVEEDORES[FECHA DE PAGO],"")</f>
        <v>0</v>
      </c>
      <c r="E1124" s="25"/>
      <c r="F1124" s="56" t="str">
        <f>+VLOOKUP(PROVEEDORES[[#This Row],[PROVEEDOR]],
                       Terceros!$A:$F,
                       5,
                       FALSE)</f>
        <v/>
      </c>
      <c r="G1124" s="68">
        <v>44926</v>
      </c>
      <c r="H1124" s="26" t="s">
        <v>362</v>
      </c>
      <c r="I1124" s="68">
        <v>44926</v>
      </c>
      <c r="J1124" s="35" t="s">
        <v>1377</v>
      </c>
      <c r="K1124" s="21">
        <v>0</v>
      </c>
      <c r="L1124" s="21"/>
      <c r="M1124" s="22">
        <f>(PROVEEDORES[[#This Row],[SUBTOTAL]]-PROVEEDORES[[#This Row],[descuento sobre subtotal]])*VLOOKUP(PROVEEDORES[[#This Row],[PROVEEDOR]],TERCEROS_INFO[#All],3,FALSE)</f>
        <v>0</v>
      </c>
      <c r="N1124" s="23"/>
      <c r="O1124" s="22">
        <f>+PROVEEDORES[[#This Row],[Descuento sobre subtotal %]]*(PROVEEDORES[[#This Row],[SUBTOTAL]]-PROVEEDORES[[#This Row],[descuento sobre subtotal]])</f>
        <v>0</v>
      </c>
      <c r="P1124" s="74">
        <f>+IF(PROVEEDORES[[#This Row],[SUBTOTAL]]&lt;PROVEEDORES[[#This Row],[base retencion]],0,PROVEEDORES[[#This Row],[retención aplicada]])</f>
        <v>0</v>
      </c>
      <c r="Q1124" s="22">
        <f>+PROVEEDORES[[#This Row],[Rete Fuente %]]*(PROVEEDORES[[#This Row],[SUBTOTAL]]-PROVEEDORES[[#This Row],[descuento sobre subtotal]])</f>
        <v>0</v>
      </c>
      <c r="R112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124" s="2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63">
        <f ca="1">IF(PROVEEDORES[[#This Row],[FECHA DE PAGO]]=0,TODAY()-PROVEEDORES[[#This Row],[FECHA DE FACTURACIÓN]]-PROVEEDORES[[#This Row],[PLAZO Días]],0)</f>
        <v>0</v>
      </c>
      <c r="U1124" s="104">
        <f>+VLOOKUP(PROVEEDORES[[#This Row],[PROVEEDOR]],Terceros!$A:$D,4,FALSE)</f>
        <v>0</v>
      </c>
      <c r="V1124" s="105">
        <f>+YEAR(PROVEEDORES[[#This Row],[FECHA DE FACTURACIÓN]])</f>
        <v>2022</v>
      </c>
      <c r="W1124" s="105">
        <f>+MATCH(PROVEEDORES[[#This Row],[año facturado]],Retenciones!$1:$1,0)</f>
        <v>5</v>
      </c>
      <c r="X1124" s="106">
        <f>+VLOOKUP(PROVEEDORES[[#This Row],[ID RETENCION]],Retenciones!$A$1:$O$25,PROVEEDORES[[#This Row],[indicador de columna]],FALSE)</f>
        <v>0</v>
      </c>
      <c r="Y1124" s="107">
        <f>+VLOOKUP(PROVEEDORES[[#This Row],[ID RETENCION]],Retenciones!$A$1:$O$25,2,FALSE)</f>
        <v>0</v>
      </c>
      <c r="Z1124" s="116" t="b">
        <f>OR(COUNTIF(PROVEEDORES[[#This Row],[PROVEEDOR]],"*"&amp;'Palabra no opera'!$A$2&amp;"*"))</f>
        <v>0</v>
      </c>
    </row>
    <row r="1125" spans="1:26" ht="22.35" customHeight="1" x14ac:dyDescent="0.3">
      <c r="A1125" s="255" t="str">
        <f>+IF(PROVEEDORES[[#This Row],[FECHA DE PAGO]]=PROVEEDORES[[#This Row],[FECHA DE FACTURACIÓN]],"DE CONTADO","CRÉDITO")</f>
        <v>DE CONTADO</v>
      </c>
      <c r="B1125" s="38" t="b">
        <f>+IF((PROVEEDORES[[#This Row],[FECHA DE PAGO]]-PROVEEDORES[[#This Row],[FECHA DE FACTURACIÓN]])&gt;PROVEEDORES[[#This Row],[PLAZO Días]],"PAGO VENCIDO")</f>
        <v>0</v>
      </c>
      <c r="C1125" s="20">
        <f>+VLOOKUP(PROVEEDORES[[#This Row],[PROVEEDOR]],TERCEROS_INFO[#All],2,FALSE)</f>
        <v>30</v>
      </c>
      <c r="D1125" s="25">
        <f>+SUMIFS(PROVEEDORES[Total],PROVEEDORES[PROVEEDOR],PROVEEDORES[[#This Row],[PROVEEDOR]],PROVEEDORES[FECHA DE PAGO],"")</f>
        <v>0</v>
      </c>
      <c r="E1125" s="25"/>
      <c r="F1125" s="56" t="str">
        <f>+VLOOKUP(PROVEEDORES[[#This Row],[PROVEEDOR]],
                       Terceros!$A:$F,
                       5,
                       FALSE)</f>
        <v/>
      </c>
      <c r="G1125" s="68">
        <v>44926</v>
      </c>
      <c r="H1125" s="26" t="s">
        <v>362</v>
      </c>
      <c r="I1125" s="68">
        <v>44926</v>
      </c>
      <c r="J1125" s="35" t="s">
        <v>1378</v>
      </c>
      <c r="K1125" s="21">
        <v>795500</v>
      </c>
      <c r="L1125" s="21"/>
      <c r="M1125" s="22">
        <f>(PROVEEDORES[[#This Row],[SUBTOTAL]]-PROVEEDORES[[#This Row],[descuento sobre subtotal]])*VLOOKUP(PROVEEDORES[[#This Row],[PROVEEDOR]],TERCEROS_INFO[#All],3,FALSE)</f>
        <v>0</v>
      </c>
      <c r="N1125" s="23"/>
      <c r="O1125" s="22">
        <f>+PROVEEDORES[[#This Row],[Descuento sobre subtotal %]]*(PROVEEDORES[[#This Row],[SUBTOTAL]]-PROVEEDORES[[#This Row],[descuento sobre subtotal]])</f>
        <v>0</v>
      </c>
      <c r="P1125" s="74">
        <f>+IF(PROVEEDORES[[#This Row],[SUBTOTAL]]&lt;PROVEEDORES[[#This Row],[base retencion]],0,PROVEEDORES[[#This Row],[retención aplicada]])</f>
        <v>0</v>
      </c>
      <c r="Q1125" s="22">
        <f>+PROVEEDORES[[#This Row],[Rete Fuente %]]*(PROVEEDORES[[#This Row],[SUBTOTAL]]-PROVEEDORES[[#This Row],[descuento sobre subtotal]])</f>
        <v>0</v>
      </c>
      <c r="R1125" s="21">
        <f>+PROVEEDORES[[#This Row],[SUBTOTAL]]+PROVEEDORES[[#This Row],[IVA 19%]]-PROVEEDORES[[#This Row],[descuento sobre subtotal]]-PROVEEDORES[[#This Row],[Descuento sobre subtotal $2]]-PROVEEDORES[[#This Row],[Rete Fuente $]]</f>
        <v>795500</v>
      </c>
      <c r="S1125" s="2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63">
        <f ca="1">IF(PROVEEDORES[[#This Row],[FECHA DE PAGO]]=0,TODAY()-PROVEEDORES[[#This Row],[FECHA DE FACTURACIÓN]]-PROVEEDORES[[#This Row],[PLAZO Días]],0)</f>
        <v>0</v>
      </c>
      <c r="U1125" s="104">
        <f>+VLOOKUP(PROVEEDORES[[#This Row],[PROVEEDOR]],Terceros!$A:$D,4,FALSE)</f>
        <v>0</v>
      </c>
      <c r="V1125" s="105">
        <f>+YEAR(PROVEEDORES[[#This Row],[FECHA DE FACTURACIÓN]])</f>
        <v>2022</v>
      </c>
      <c r="W1125" s="105">
        <f>+MATCH(PROVEEDORES[[#This Row],[año facturado]],Retenciones!$1:$1,0)</f>
        <v>5</v>
      </c>
      <c r="X1125" s="106">
        <f>+VLOOKUP(PROVEEDORES[[#This Row],[ID RETENCION]],Retenciones!$A$1:$O$25,PROVEEDORES[[#This Row],[indicador de columna]],FALSE)</f>
        <v>0</v>
      </c>
      <c r="Y1125" s="107">
        <f>+VLOOKUP(PROVEEDORES[[#This Row],[ID RETENCION]],Retenciones!$A$1:$O$25,2,FALSE)</f>
        <v>0</v>
      </c>
      <c r="Z1125" s="116" t="b">
        <f>OR(COUNTIF(PROVEEDORES[[#This Row],[PROVEEDOR]],"*"&amp;'Palabra no opera'!$A$2&amp;"*"))</f>
        <v>0</v>
      </c>
    </row>
    <row r="1126" spans="1:26" ht="22.35" customHeight="1" x14ac:dyDescent="0.3">
      <c r="A1126" s="255" t="str">
        <f>+IF(PROVEEDORES[[#This Row],[FECHA DE PAGO]]=PROVEEDORES[[#This Row],[FECHA DE FACTURACIÓN]],"DE CONTADO","CRÉDITO")</f>
        <v>DE CONTADO</v>
      </c>
      <c r="B1126" s="38" t="b">
        <f>+IF((PROVEEDORES[[#This Row],[FECHA DE PAGO]]-PROVEEDORES[[#This Row],[FECHA DE FACTURACIÓN]])&gt;PROVEEDORES[[#This Row],[PLAZO Días]],"PAGO VENCIDO")</f>
        <v>0</v>
      </c>
      <c r="C1126" s="20">
        <f>+VLOOKUP(PROVEEDORES[[#This Row],[PROVEEDOR]],TERCEROS_INFO[#All],2,FALSE)</f>
        <v>30</v>
      </c>
      <c r="D1126" s="25">
        <f>+SUMIFS(PROVEEDORES[Total],PROVEEDORES[PROVEEDOR],PROVEEDORES[[#This Row],[PROVEEDOR]],PROVEEDORES[FECHA DE PAGO],"")</f>
        <v>0</v>
      </c>
      <c r="E1126" s="25"/>
      <c r="F1126" s="56" t="str">
        <f>+VLOOKUP(PROVEEDORES[[#This Row],[PROVEEDOR]],
                       Terceros!$A:$F,
                       5,
                       FALSE)</f>
        <v/>
      </c>
      <c r="G1126" s="68">
        <v>44926</v>
      </c>
      <c r="H1126" s="26" t="s">
        <v>362</v>
      </c>
      <c r="I1126" s="68">
        <v>44926</v>
      </c>
      <c r="J1126" s="35" t="s">
        <v>1379</v>
      </c>
      <c r="K1126" s="21">
        <v>245000</v>
      </c>
      <c r="L1126" s="21"/>
      <c r="M1126" s="22">
        <f>(PROVEEDORES[[#This Row],[SUBTOTAL]]-PROVEEDORES[[#This Row],[descuento sobre subtotal]])*VLOOKUP(PROVEEDORES[[#This Row],[PROVEEDOR]],TERCEROS_INFO[#All],3,FALSE)</f>
        <v>0</v>
      </c>
      <c r="N1126" s="23"/>
      <c r="O1126" s="22">
        <f>+PROVEEDORES[[#This Row],[Descuento sobre subtotal %]]*(PROVEEDORES[[#This Row],[SUBTOTAL]]-PROVEEDORES[[#This Row],[descuento sobre subtotal]])</f>
        <v>0</v>
      </c>
      <c r="P1126" s="74">
        <f>+IF(PROVEEDORES[[#This Row],[SUBTOTAL]]&lt;PROVEEDORES[[#This Row],[base retencion]],0,PROVEEDORES[[#This Row],[retención aplicada]])</f>
        <v>0</v>
      </c>
      <c r="Q1126" s="22">
        <f>+PROVEEDORES[[#This Row],[Rete Fuente %]]*(PROVEEDORES[[#This Row],[SUBTOTAL]]-PROVEEDORES[[#This Row],[descuento sobre subtotal]])</f>
        <v>0</v>
      </c>
      <c r="R1126" s="21">
        <f>+PROVEEDORES[[#This Row],[SUBTOTAL]]+PROVEEDORES[[#This Row],[IVA 19%]]-PROVEEDORES[[#This Row],[descuento sobre subtotal]]-PROVEEDORES[[#This Row],[Descuento sobre subtotal $2]]-PROVEEDORES[[#This Row],[Rete Fuente $]]</f>
        <v>245000</v>
      </c>
      <c r="S1126" s="2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63">
        <f ca="1">IF(PROVEEDORES[[#This Row],[FECHA DE PAGO]]=0,TODAY()-PROVEEDORES[[#This Row],[FECHA DE FACTURACIÓN]]-PROVEEDORES[[#This Row],[PLAZO Días]],0)</f>
        <v>0</v>
      </c>
      <c r="U1126" s="104">
        <f>+VLOOKUP(PROVEEDORES[[#This Row],[PROVEEDOR]],Terceros!$A:$D,4,FALSE)</f>
        <v>0</v>
      </c>
      <c r="V1126" s="105">
        <f>+YEAR(PROVEEDORES[[#This Row],[FECHA DE FACTURACIÓN]])</f>
        <v>2022</v>
      </c>
      <c r="W1126" s="105">
        <f>+MATCH(PROVEEDORES[[#This Row],[año facturado]],Retenciones!$1:$1,0)</f>
        <v>5</v>
      </c>
      <c r="X1126" s="106">
        <f>+VLOOKUP(PROVEEDORES[[#This Row],[ID RETENCION]],Retenciones!$A$1:$O$25,PROVEEDORES[[#This Row],[indicador de columna]],FALSE)</f>
        <v>0</v>
      </c>
      <c r="Y1126" s="107">
        <f>+VLOOKUP(PROVEEDORES[[#This Row],[ID RETENCION]],Retenciones!$A$1:$O$25,2,FALSE)</f>
        <v>0</v>
      </c>
      <c r="Z1126" s="116" t="b">
        <f>OR(COUNTIF(PROVEEDORES[[#This Row],[PROVEEDOR]],"*"&amp;'Palabra no opera'!$A$2&amp;"*"))</f>
        <v>0</v>
      </c>
    </row>
    <row r="1127" spans="1:26" ht="22.35" customHeight="1" x14ac:dyDescent="0.3">
      <c r="A1127" s="255" t="str">
        <f>+IF(PROVEEDORES[[#This Row],[FECHA DE PAGO]]=PROVEEDORES[[#This Row],[FECHA DE FACTURACIÓN]],"DE CONTADO","CRÉDITO")</f>
        <v>DE CONTADO</v>
      </c>
      <c r="B1127" s="38" t="b">
        <f>+IF((PROVEEDORES[[#This Row],[FECHA DE PAGO]]-PROVEEDORES[[#This Row],[FECHA DE FACTURACIÓN]])&gt;PROVEEDORES[[#This Row],[PLAZO Días]],"PAGO VENCIDO")</f>
        <v>0</v>
      </c>
      <c r="C1127" s="20">
        <f>+VLOOKUP(PROVEEDORES[[#This Row],[PROVEEDOR]],TERCEROS_INFO[#All],2,FALSE)</f>
        <v>30</v>
      </c>
      <c r="D1127" s="25">
        <f>+SUMIFS(PROVEEDORES[Total],PROVEEDORES[PROVEEDOR],PROVEEDORES[[#This Row],[PROVEEDOR]],PROVEEDORES[FECHA DE PAGO],"")</f>
        <v>0</v>
      </c>
      <c r="E1127" s="25"/>
      <c r="F1127" s="56" t="str">
        <f>+VLOOKUP(PROVEEDORES[[#This Row],[PROVEEDOR]],
                       Terceros!$A:$F,
                       5,
                       FALSE)</f>
        <v/>
      </c>
      <c r="G1127" s="68">
        <v>44926</v>
      </c>
      <c r="H1127" s="26" t="s">
        <v>362</v>
      </c>
      <c r="I1127" s="68">
        <v>44926</v>
      </c>
      <c r="J1127" s="35" t="s">
        <v>1177</v>
      </c>
      <c r="K1127" s="21">
        <v>3494200</v>
      </c>
      <c r="L1127" s="21"/>
      <c r="M1127" s="22">
        <f>(PROVEEDORES[[#This Row],[SUBTOTAL]]-PROVEEDORES[[#This Row],[descuento sobre subtotal]])*VLOOKUP(PROVEEDORES[[#This Row],[PROVEEDOR]],TERCEROS_INFO[#All],3,FALSE)</f>
        <v>0</v>
      </c>
      <c r="N1127" s="23"/>
      <c r="O1127" s="22">
        <f>+PROVEEDORES[[#This Row],[Descuento sobre subtotal %]]*(PROVEEDORES[[#This Row],[SUBTOTAL]]-PROVEEDORES[[#This Row],[descuento sobre subtotal]])</f>
        <v>0</v>
      </c>
      <c r="P1127" s="74">
        <f>+IF(PROVEEDORES[[#This Row],[SUBTOTAL]]&lt;PROVEEDORES[[#This Row],[base retencion]],0,PROVEEDORES[[#This Row],[retención aplicada]])</f>
        <v>0</v>
      </c>
      <c r="Q1127" s="22">
        <f>+PROVEEDORES[[#This Row],[Rete Fuente %]]*(PROVEEDORES[[#This Row],[SUBTOTAL]]-PROVEEDORES[[#This Row],[descuento sobre subtotal]])</f>
        <v>0</v>
      </c>
      <c r="R1127" s="21">
        <f>+PROVEEDORES[[#This Row],[SUBTOTAL]]+PROVEEDORES[[#This Row],[IVA 19%]]-PROVEEDORES[[#This Row],[descuento sobre subtotal]]-PROVEEDORES[[#This Row],[Descuento sobre subtotal $2]]-PROVEEDORES[[#This Row],[Rete Fuente $]]</f>
        <v>3494200</v>
      </c>
      <c r="S1127" s="2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63">
        <f ca="1">IF(PROVEEDORES[[#This Row],[FECHA DE PAGO]]=0,TODAY()-PROVEEDORES[[#This Row],[FECHA DE FACTURACIÓN]]-PROVEEDORES[[#This Row],[PLAZO Días]],0)</f>
        <v>0</v>
      </c>
      <c r="U1127" s="104">
        <f>+VLOOKUP(PROVEEDORES[[#This Row],[PROVEEDOR]],Terceros!$A:$D,4,FALSE)</f>
        <v>0</v>
      </c>
      <c r="V1127" s="105">
        <f>+YEAR(PROVEEDORES[[#This Row],[FECHA DE FACTURACIÓN]])</f>
        <v>2022</v>
      </c>
      <c r="W1127" s="105">
        <f>+MATCH(PROVEEDORES[[#This Row],[año facturado]],Retenciones!$1:$1,0)</f>
        <v>5</v>
      </c>
      <c r="X1127" s="106">
        <f>+VLOOKUP(PROVEEDORES[[#This Row],[ID RETENCION]],Retenciones!$A$1:$O$25,PROVEEDORES[[#This Row],[indicador de columna]],FALSE)</f>
        <v>0</v>
      </c>
      <c r="Y1127" s="107">
        <f>+VLOOKUP(PROVEEDORES[[#This Row],[ID RETENCION]],Retenciones!$A$1:$O$25,2,FALSE)</f>
        <v>0</v>
      </c>
      <c r="Z1127" s="116" t="b">
        <f>OR(COUNTIF(PROVEEDORES[[#This Row],[PROVEEDOR]],"*"&amp;'Palabra no opera'!$A$2&amp;"*"))</f>
        <v>0</v>
      </c>
    </row>
    <row r="1128" spans="1:26" ht="22.35" customHeight="1" x14ac:dyDescent="0.3">
      <c r="A1128" s="252" t="str">
        <f>+IF(PROVEEDORES[[#This Row],[FECHA DE PAGO]]=PROVEEDORES[[#This Row],[FECHA DE FACTURACIÓN]],"DE CONTADO","CRÉDITO")</f>
        <v>CRÉDITO</v>
      </c>
      <c r="B1128" s="38" t="b">
        <f>+IF((PROVEEDORES[[#This Row],[FECHA DE PAGO]]-PROVEEDORES[[#This Row],[FECHA DE FACTURACIÓN]])&gt;PROVEEDORES[[#This Row],[PLAZO Días]],"PAGO VENCIDO")</f>
        <v>0</v>
      </c>
      <c r="C1128" s="20">
        <f>+VLOOKUP(PROVEEDORES[[#This Row],[PROVEEDOR]],TERCEROS_INFO[#All],2,FALSE)</f>
        <v>30</v>
      </c>
      <c r="D1128" s="25">
        <f>+SUMIFS(PROVEEDORES[Total],PROVEEDORES[PROVEEDOR],PROVEEDORES[[#This Row],[PROVEEDOR]],PROVEEDORES[FECHA DE PAGO],"")</f>
        <v>2100000</v>
      </c>
      <c r="E1128" s="25"/>
      <c r="F1128" s="56" t="str">
        <f>+VLOOKUP(PROVEEDORES[[#This Row],[PROVEEDOR]],
                       Terceros!$A:$F,
                       5,
                       FALSE)</f>
        <v/>
      </c>
      <c r="G1128" s="68">
        <v>44928</v>
      </c>
      <c r="H1128" s="26" t="s">
        <v>349</v>
      </c>
      <c r="I1128" s="68">
        <v>44909</v>
      </c>
      <c r="J1128" s="35">
        <v>2689</v>
      </c>
      <c r="K1128" s="21">
        <v>1990000</v>
      </c>
      <c r="L1128" s="21"/>
      <c r="M1128" s="22">
        <f>(PROVEEDORES[[#This Row],[SUBTOTAL]]-PROVEEDORES[[#This Row],[descuento sobre subtotal]])*VLOOKUP(PROVEEDORES[[#This Row],[PROVEEDOR]],TERCEROS_INFO[#All],3,FALSE)</f>
        <v>0</v>
      </c>
      <c r="N1128" s="23"/>
      <c r="O1128" s="22">
        <f>+PROVEEDORES[[#This Row],[Descuento sobre subtotal %]]*(PROVEEDORES[[#This Row],[SUBTOTAL]]-PROVEEDORES[[#This Row],[descuento sobre subtotal]])</f>
        <v>0</v>
      </c>
      <c r="P1128" s="74">
        <f>+IF(PROVEEDORES[[#This Row],[SUBTOTAL]]&lt;PROVEEDORES[[#This Row],[base retencion]],0,PROVEEDORES[[#This Row],[retención aplicada]])</f>
        <v>0</v>
      </c>
      <c r="Q1128" s="22">
        <f>+PROVEEDORES[[#This Row],[Rete Fuente %]]*(PROVEEDORES[[#This Row],[SUBTOTAL]]-PROVEEDORES[[#This Row],[descuento sobre subtotal]])</f>
        <v>0</v>
      </c>
      <c r="R1128" s="21">
        <f>+PROVEEDORES[[#This Row],[SUBTOTAL]]+PROVEEDORES[[#This Row],[IVA 19%]]-PROVEEDORES[[#This Row],[descuento sobre subtotal]]-PROVEEDORES[[#This Row],[Descuento sobre subtotal $2]]-PROVEEDORES[[#This Row],[Rete Fuente $]]</f>
        <v>1990000</v>
      </c>
      <c r="S1128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63">
        <f ca="1">IF(PROVEEDORES[[#This Row],[FECHA DE PAGO]]=0,TODAY()-PROVEEDORES[[#This Row],[FECHA DE FACTURACIÓN]]-PROVEEDORES[[#This Row],[PLAZO Días]],0)</f>
        <v>0</v>
      </c>
      <c r="U1128" s="104">
        <f>+VLOOKUP(PROVEEDORES[[#This Row],[PROVEEDOR]],Terceros!$A:$D,4,FALSE)</f>
        <v>0</v>
      </c>
      <c r="V1128" s="105">
        <f>+YEAR(PROVEEDORES[[#This Row],[FECHA DE FACTURACIÓN]])</f>
        <v>2022</v>
      </c>
      <c r="W1128" s="105">
        <f>+MATCH(PROVEEDORES[[#This Row],[año facturado]],Retenciones!$1:$1,0)</f>
        <v>5</v>
      </c>
      <c r="X1128" s="106">
        <f>+VLOOKUP(PROVEEDORES[[#This Row],[ID RETENCION]],Retenciones!$A$1:$O$25,PROVEEDORES[[#This Row],[indicador de columna]],FALSE)</f>
        <v>0</v>
      </c>
      <c r="Y1128" s="107">
        <f>+VLOOKUP(PROVEEDORES[[#This Row],[ID RETENCION]],Retenciones!$A$1:$O$25,2,FALSE)</f>
        <v>0</v>
      </c>
      <c r="Z1128" s="116" t="b">
        <f>OR(COUNTIF(PROVEEDORES[[#This Row],[PROVEEDOR]],"*"&amp;'Palabra no opera'!$A$2&amp;"*"))</f>
        <v>0</v>
      </c>
    </row>
    <row r="1129" spans="1:26" ht="22.35" customHeight="1" x14ac:dyDescent="0.3">
      <c r="A1129" s="67" t="str">
        <f>+IF(PROVEEDORES[[#This Row],[FECHA DE PAGO]]=PROVEEDORES[[#This Row],[FECHA DE FACTURACIÓN]],"DE CONTADO","CRÉDITO")</f>
        <v>CRÉDITO</v>
      </c>
      <c r="B1129" s="38" t="str">
        <f>+IF((PROVEEDORES[[#This Row],[FECHA DE PAGO]]-PROVEEDORES[[#This Row],[FECHA DE FACTURACIÓN]])&gt;PROVEEDORES[[#This Row],[PLAZO Días]],"PAGO VENCIDO")</f>
        <v>PAGO VENCIDO</v>
      </c>
      <c r="C1129" s="20">
        <f>+VLOOKUP(PROVEEDORES[[#This Row],[PROVEEDOR]],TERCEROS_INFO[#All],2,FALSE)</f>
        <v>30</v>
      </c>
      <c r="D1129" s="25">
        <f>+SUMIFS(PROVEEDORES[Total],PROVEEDORES[PROVEEDOR],PROVEEDORES[[#This Row],[PROVEEDOR]],PROVEEDORES[FECHA DE PAGO],"")</f>
        <v>380979.69</v>
      </c>
      <c r="E1129" s="25"/>
      <c r="F1129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129" s="68">
        <v>44928</v>
      </c>
      <c r="H1129" s="231" t="s">
        <v>1295</v>
      </c>
      <c r="I1129" s="68">
        <v>44874</v>
      </c>
      <c r="J1129" s="245" t="s">
        <v>1294</v>
      </c>
      <c r="K1129" s="21">
        <v>1377692</v>
      </c>
      <c r="L1129" s="21">
        <v>124075</v>
      </c>
      <c r="M1129" s="22">
        <f>(PROVEEDORES[[#This Row],[SUBTOTAL]]-PROVEEDORES[[#This Row],[descuento sobre subtotal]])*VLOOKUP(PROVEEDORES[[#This Row],[PROVEEDOR]],TERCEROS_INFO[#All],3,FALSE)</f>
        <v>238187.23</v>
      </c>
      <c r="N1129" s="23"/>
      <c r="O1129" s="22">
        <v>0</v>
      </c>
      <c r="P1129" s="74">
        <f>+IF(PROVEEDORES[[#This Row],[SUBTOTAL]]&lt;PROVEEDORES[[#This Row],[base retencion]],0,PROVEEDORES[[#This Row],[retención aplicada]])</f>
        <v>0</v>
      </c>
      <c r="Q1129" s="22">
        <f>+PROVEEDORES[[#This Row],[Rete Fuente %]]*(PROVEEDORES[[#This Row],[SUBTOTAL]]-PROVEEDORES[[#This Row],[descuento sobre subtotal]])</f>
        <v>0</v>
      </c>
      <c r="R1129" s="21">
        <f>+PROVEEDORES[[#This Row],[SUBTOTAL]]+PROVEEDORES[[#This Row],[IVA 19%]]-PROVEEDORES[[#This Row],[descuento sobre subtotal]]-PROVEEDORES[[#This Row],[Descuento sobre subtotal $2]]-PROVEEDORES[[#This Row],[Rete Fuente $]]</f>
        <v>1491804.23</v>
      </c>
      <c r="S11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63">
        <f ca="1">IF(PROVEEDORES[[#This Row],[FECHA DE PAGO]]=0,TODAY()-PROVEEDORES[[#This Row],[FECHA DE FACTURACIÓN]]-PROVEEDORES[[#This Row],[PLAZO Días]],0)</f>
        <v>0</v>
      </c>
      <c r="U1129" s="104">
        <f>+VLOOKUP(PROVEEDORES[[#This Row],[PROVEEDOR]],Terceros!$A:$D,4,FALSE)</f>
        <v>0</v>
      </c>
      <c r="V1129" s="105">
        <f>+YEAR(PROVEEDORES[[#This Row],[FECHA DE FACTURACIÓN]])</f>
        <v>2022</v>
      </c>
      <c r="W1129" s="105">
        <f>+MATCH(PROVEEDORES[[#This Row],[año facturado]],Retenciones!$1:$1,0)</f>
        <v>5</v>
      </c>
      <c r="X1129" s="106">
        <f>+VLOOKUP(PROVEEDORES[[#This Row],[ID RETENCION]],Retenciones!$A$1:$O$25,PROVEEDORES[[#This Row],[indicador de columna]],FALSE)</f>
        <v>0</v>
      </c>
      <c r="Y1129" s="107">
        <f>+VLOOKUP(PROVEEDORES[[#This Row],[ID RETENCION]],Retenciones!$A$1:$O$25,2,FALSE)</f>
        <v>0</v>
      </c>
      <c r="Z1129" s="116" t="b">
        <f>OR(COUNTIF(PROVEEDORES[[#This Row],[PROVEEDOR]],"*"&amp;'Palabra no opera'!$A$2&amp;"*"))</f>
        <v>1</v>
      </c>
    </row>
    <row r="1130" spans="1:26" ht="22.35" customHeight="1" x14ac:dyDescent="0.3">
      <c r="A1130" s="67" t="str">
        <f>+IF(PROVEEDORES[[#This Row],[FECHA DE PAGO]]=PROVEEDORES[[#This Row],[FECHA DE FACTURACIÓN]],"DE CONTADO","CRÉDITO")</f>
        <v>CRÉDITO</v>
      </c>
      <c r="B1130" s="38" t="str">
        <f>+IF((PROVEEDORES[[#This Row],[FECHA DE PAGO]]-PROVEEDORES[[#This Row],[FECHA DE FACTURACIÓN]])&gt;PROVEEDORES[[#This Row],[PLAZO Días]],"PAGO VENCIDO")</f>
        <v>PAGO VENCIDO</v>
      </c>
      <c r="C1130" s="20">
        <f>+VLOOKUP(PROVEEDORES[[#This Row],[PROVEEDOR]],TERCEROS_INFO[#All],2,FALSE)</f>
        <v>30</v>
      </c>
      <c r="D1130" s="25">
        <f>+SUMIFS(PROVEEDORES[Total],PROVEEDORES[PROVEEDOR],PROVEEDORES[[#This Row],[PROVEEDOR]],PROVEEDORES[FECHA DE PAGO],"")</f>
        <v>380979.69</v>
      </c>
      <c r="E1130" s="25"/>
      <c r="F113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130" s="68">
        <v>44928</v>
      </c>
      <c r="H1130" s="231" t="s">
        <v>615</v>
      </c>
      <c r="I1130" s="68">
        <v>44874</v>
      </c>
      <c r="J1130" s="245" t="s">
        <v>1300</v>
      </c>
      <c r="K1130" s="21">
        <v>1112678</v>
      </c>
      <c r="L1130" s="21"/>
      <c r="M1130" s="22">
        <f>(PROVEEDORES[[#This Row],[SUBTOTAL]]-PROVEEDORES[[#This Row],[descuento sobre subtotal]])*VLOOKUP(PROVEEDORES[[#This Row],[PROVEEDOR]],TERCEROS_INFO[#All],3,FALSE)</f>
        <v>211408.82</v>
      </c>
      <c r="N1130" s="23"/>
      <c r="O1130" s="22">
        <f>+PROVEEDORES[[#This Row],[Descuento sobre subtotal %]]*(PROVEEDORES[[#This Row],[SUBTOTAL]]-PROVEEDORES[[#This Row],[descuento sobre subtotal]])</f>
        <v>0</v>
      </c>
      <c r="P1130" s="74">
        <f>+IF(PROVEEDORES[[#This Row],[SUBTOTAL]]&lt;PROVEEDORES[[#This Row],[base retencion]],0,PROVEEDORES[[#This Row],[retención aplicada]])</f>
        <v>0</v>
      </c>
      <c r="Q1130" s="22">
        <f>+PROVEEDORES[[#This Row],[Rete Fuente %]]*(PROVEEDORES[[#This Row],[SUBTOTAL]]-PROVEEDORES[[#This Row],[descuento sobre subtotal]])</f>
        <v>0</v>
      </c>
      <c r="R1130" s="21">
        <f>+PROVEEDORES[[#This Row],[SUBTOTAL]]+PROVEEDORES[[#This Row],[IVA 19%]]-PROVEEDORES[[#This Row],[descuento sobre subtotal]]-PROVEEDORES[[#This Row],[Descuento sobre subtotal $2]]-PROVEEDORES[[#This Row],[Rete Fuente $]]</f>
        <v>1324086.82</v>
      </c>
      <c r="S11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63">
        <f ca="1">IF(PROVEEDORES[[#This Row],[FECHA DE PAGO]]=0,TODAY()-PROVEEDORES[[#This Row],[FECHA DE FACTURACIÓN]]-PROVEEDORES[[#This Row],[PLAZO Días]],0)</f>
        <v>0</v>
      </c>
      <c r="U1130" s="104">
        <f>+VLOOKUP(PROVEEDORES[[#This Row],[PROVEEDOR]],Terceros!$A:$D,4,FALSE)</f>
        <v>0</v>
      </c>
      <c r="V1130" s="105">
        <f>+YEAR(PROVEEDORES[[#This Row],[FECHA DE FACTURACIÓN]])</f>
        <v>2022</v>
      </c>
      <c r="W1130" s="105">
        <f>+MATCH(PROVEEDORES[[#This Row],[año facturado]],Retenciones!$1:$1,0)</f>
        <v>5</v>
      </c>
      <c r="X1130" s="106">
        <f>+VLOOKUP(PROVEEDORES[[#This Row],[ID RETENCION]],Retenciones!$A$1:$O$25,PROVEEDORES[[#This Row],[indicador de columna]],FALSE)</f>
        <v>0</v>
      </c>
      <c r="Y1130" s="107">
        <f>+VLOOKUP(PROVEEDORES[[#This Row],[ID RETENCION]],Retenciones!$A$1:$O$25,2,FALSE)</f>
        <v>0</v>
      </c>
      <c r="Z1130" s="116" t="b">
        <f>OR(COUNTIF(PROVEEDORES[[#This Row],[PROVEEDOR]],"*"&amp;'Palabra no opera'!$A$2&amp;"*"))</f>
        <v>1</v>
      </c>
    </row>
    <row r="1131" spans="1:26" ht="22.35" customHeight="1" x14ac:dyDescent="0.3">
      <c r="A1131" s="67" t="str">
        <f>+IF(PROVEEDORES[[#This Row],[FECHA DE PAGO]]=PROVEEDORES[[#This Row],[FECHA DE FACTURACIÓN]],"DE CONTADO","CRÉDITO")</f>
        <v>DE CONTADO</v>
      </c>
      <c r="B1131" s="38" t="b">
        <f>+IF((PROVEEDORES[[#This Row],[FECHA DE PAGO]]-PROVEEDORES[[#This Row],[FECHA DE FACTURACIÓN]])&gt;PROVEEDORES[[#This Row],[PLAZO Días]],"PAGO VENCIDO")</f>
        <v>0</v>
      </c>
      <c r="C1131" s="20">
        <f>+VLOOKUP(PROVEEDORES[[#This Row],[PROVEEDOR]],TERCEROS_INFO[#All],2,FALSE)</f>
        <v>30</v>
      </c>
      <c r="D1131" s="25">
        <f>+SUMIFS(PROVEEDORES[Total],PROVEEDORES[PROVEEDOR],PROVEEDORES[[#This Row],[PROVEEDOR]],PROVEEDORES[FECHA DE PAGO],"")</f>
        <v>0</v>
      </c>
      <c r="E1131" s="25"/>
      <c r="F1131" s="56" t="str">
        <f>+VLOOKUP(PROVEEDORES[[#This Row],[PROVEEDOR]],
                       Terceros!$A:$F,
                       5,
                       FALSE)</f>
        <v/>
      </c>
      <c r="G1131" s="68">
        <v>44931</v>
      </c>
      <c r="H1131" s="26" t="s">
        <v>404</v>
      </c>
      <c r="I1131" s="68">
        <v>44931</v>
      </c>
      <c r="J1131" s="35" t="s">
        <v>1404</v>
      </c>
      <c r="K1131" s="21">
        <v>3875760</v>
      </c>
      <c r="L1131" s="21"/>
      <c r="M1131" s="22">
        <f>(PROVEEDORES[[#This Row],[SUBTOTAL]]-PROVEEDORES[[#This Row],[descuento sobre subtotal]])*VLOOKUP(PROVEEDORES[[#This Row],[PROVEEDOR]],TERCEROS_INFO[#All],3,FALSE)</f>
        <v>0</v>
      </c>
      <c r="N1131" s="23"/>
      <c r="O1131" s="22">
        <f>+PROVEEDORES[[#This Row],[Descuento sobre subtotal %]]*(PROVEEDORES[[#This Row],[SUBTOTAL]]-PROVEEDORES[[#This Row],[descuento sobre subtotal]])</f>
        <v>0</v>
      </c>
      <c r="P1131" s="74">
        <f>+IF(PROVEEDORES[[#This Row],[SUBTOTAL]]&lt;PROVEEDORES[[#This Row],[base retencion]],0,PROVEEDORES[[#This Row],[retención aplicada]])</f>
        <v>0</v>
      </c>
      <c r="Q1131" s="22">
        <f>+PROVEEDORES[[#This Row],[Rete Fuente %]]*(PROVEEDORES[[#This Row],[SUBTOTAL]]-PROVEEDORES[[#This Row],[descuento sobre subtotal]])</f>
        <v>0</v>
      </c>
      <c r="R1131" s="21">
        <f>+PROVEEDORES[[#This Row],[SUBTOTAL]]+PROVEEDORES[[#This Row],[IVA 19%]]-PROVEEDORES[[#This Row],[descuento sobre subtotal]]-PROVEEDORES[[#This Row],[Descuento sobre subtotal $2]]-PROVEEDORES[[#This Row],[Rete Fuente $]]</f>
        <v>3875760</v>
      </c>
      <c r="S11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63">
        <f ca="1">IF(PROVEEDORES[[#This Row],[FECHA DE PAGO]]=0,TODAY()-PROVEEDORES[[#This Row],[FECHA DE FACTURACIÓN]]-PROVEEDORES[[#This Row],[PLAZO Días]],0)</f>
        <v>0</v>
      </c>
      <c r="U1131" s="104">
        <f>+VLOOKUP(PROVEEDORES[[#This Row],[PROVEEDOR]],Terceros!$A:$D,4,FALSE)</f>
        <v>0</v>
      </c>
      <c r="V1131" s="105">
        <f>+YEAR(PROVEEDORES[[#This Row],[FECHA DE FACTURACIÓN]])</f>
        <v>2023</v>
      </c>
      <c r="W1131" s="105">
        <f>+MATCH(PROVEEDORES[[#This Row],[año facturado]],Retenciones!$1:$1,0)</f>
        <v>6</v>
      </c>
      <c r="X1131" s="106">
        <f>+VLOOKUP(PROVEEDORES[[#This Row],[ID RETENCION]],Retenciones!$A$1:$O$25,PROVEEDORES[[#This Row],[indicador de columna]],FALSE)</f>
        <v>0</v>
      </c>
      <c r="Y1131" s="107">
        <f>+VLOOKUP(PROVEEDORES[[#This Row],[ID RETENCION]],Retenciones!$A$1:$O$25,2,FALSE)</f>
        <v>0</v>
      </c>
      <c r="Z1131" s="116" t="b">
        <f>OR(COUNTIF(PROVEEDORES[[#This Row],[PROVEEDOR]],"*"&amp;'Palabra no opera'!$A$2&amp;"*"))</f>
        <v>0</v>
      </c>
    </row>
    <row r="1132" spans="1:26" ht="22.35" customHeight="1" x14ac:dyDescent="0.3">
      <c r="A1132" s="242" t="str">
        <f>+IF(PROVEEDORES[[#This Row],[FECHA DE PAGO]]=PROVEEDORES[[#This Row],[FECHA DE FACTURACIÓN]],"DE CONTADO","CRÉDITO")</f>
        <v>CRÉDITO</v>
      </c>
      <c r="B1132" s="38" t="str">
        <f>+IF((PROVEEDORES[[#This Row],[FECHA DE PAGO]]-PROVEEDORES[[#This Row],[FECHA DE FACTURACIÓN]])&gt;PROVEEDORES[[#This Row],[PLAZO Días]],"PAGO VENCIDO")</f>
        <v>PAGO VENCIDO</v>
      </c>
      <c r="C1132" s="20">
        <f>+VLOOKUP(PROVEEDORES[[#This Row],[PROVEEDOR]],TERCEROS_INFO[#All],2,FALSE)</f>
        <v>30</v>
      </c>
      <c r="D1132" s="25">
        <f>+SUMIFS(PROVEEDORES[Total],PROVEEDORES[PROVEEDOR],PROVEEDORES[[#This Row],[PROVEEDOR]],PROVEEDORES[FECHA DE PAGO],"")</f>
        <v>17870934.149999999</v>
      </c>
      <c r="E1132" s="25"/>
      <c r="F113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32" s="68">
        <v>44932</v>
      </c>
      <c r="H1132" s="231" t="s">
        <v>18</v>
      </c>
      <c r="I1132" s="68">
        <v>44896</v>
      </c>
      <c r="J1132" s="245">
        <v>1062806</v>
      </c>
      <c r="K1132" s="21">
        <v>2049044</v>
      </c>
      <c r="L1132" s="21"/>
      <c r="M1132" s="22">
        <f>(PROVEEDORES[[#This Row],[SUBTOTAL]]-PROVEEDORES[[#This Row],[descuento sobre subtotal]])*VLOOKUP(PROVEEDORES[[#This Row],[PROVEEDOR]],TERCEROS_INFO[#All],3,FALSE)</f>
        <v>389318.36</v>
      </c>
      <c r="N1132" s="23"/>
      <c r="O1132" s="22">
        <f>+PROVEEDORES[[#This Row],[Descuento sobre subtotal %]]*(PROVEEDORES[[#This Row],[SUBTOTAL]]-PROVEEDORES[[#This Row],[descuento sobre subtotal]])</f>
        <v>0</v>
      </c>
      <c r="P1132" s="74">
        <f>+IF(PROVEEDORES[[#This Row],[SUBTOTAL]]&lt;PROVEEDORES[[#This Row],[base retencion]],0,PROVEEDORES[[#This Row],[retención aplicada]])</f>
        <v>2.5000000000000001E-2</v>
      </c>
      <c r="Q1132" s="22">
        <f>+PROVEEDORES[[#This Row],[Rete Fuente %]]*(PROVEEDORES[[#This Row],[SUBTOTAL]]-PROVEEDORES[[#This Row],[descuento sobre subtotal]])</f>
        <v>51226.100000000006</v>
      </c>
      <c r="R1132" s="21">
        <f>+PROVEEDORES[[#This Row],[SUBTOTAL]]+PROVEEDORES[[#This Row],[IVA 19%]]-PROVEEDORES[[#This Row],[descuento sobre subtotal]]-PROVEEDORES[[#This Row],[Descuento sobre subtotal $2]]-PROVEEDORES[[#This Row],[Rete Fuente $]]</f>
        <v>2387136.2599999998</v>
      </c>
      <c r="S1132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63">
        <f ca="1">IF(PROVEEDORES[[#This Row],[FECHA DE PAGO]]=0,TODAY()-PROVEEDORES[[#This Row],[FECHA DE FACTURACIÓN]]-PROVEEDORES[[#This Row],[PLAZO Días]],0)</f>
        <v>0</v>
      </c>
      <c r="U1132" s="104" t="str">
        <f>+VLOOKUP(PROVEEDORES[[#This Row],[PROVEEDOR]],Terceros!$A:$D,4,FALSE)</f>
        <v>2,5% con base</v>
      </c>
      <c r="V1132" s="105">
        <f>+YEAR(PROVEEDORES[[#This Row],[FECHA DE FACTURACIÓN]])</f>
        <v>2022</v>
      </c>
      <c r="W1132" s="105">
        <f>+MATCH(PROVEEDORES[[#This Row],[año facturado]],Retenciones!$1:$1,0)</f>
        <v>5</v>
      </c>
      <c r="X1132" s="106">
        <f>+VLOOKUP(PROVEEDORES[[#This Row],[ID RETENCION]],Retenciones!$A$1:$O$25,PROVEEDORES[[#This Row],[indicador de columna]],FALSE)</f>
        <v>1026000</v>
      </c>
      <c r="Y1132" s="107">
        <f>+VLOOKUP(PROVEEDORES[[#This Row],[ID RETENCION]],Retenciones!$A$1:$O$25,2,FALSE)</f>
        <v>2.5000000000000001E-2</v>
      </c>
      <c r="Z1132" s="116" t="b">
        <f>OR(COUNTIF(PROVEEDORES[[#This Row],[PROVEEDOR]],"*"&amp;'Palabra no opera'!$A$2&amp;"*"))</f>
        <v>0</v>
      </c>
    </row>
    <row r="1133" spans="1:26" ht="22.35" customHeight="1" x14ac:dyDescent="0.3">
      <c r="A1133" s="249" t="str">
        <f>+IF(PROVEEDORES[[#This Row],[FECHA DE PAGO]]=PROVEEDORES[[#This Row],[FECHA DE FACTURACIÓN]],"DE CONTADO","CRÉDITO")</f>
        <v>CRÉDITO</v>
      </c>
      <c r="B1133" s="38" t="str">
        <f>+IF((PROVEEDORES[[#This Row],[FECHA DE PAGO]]-PROVEEDORES[[#This Row],[FECHA DE FACTURACIÓN]])&gt;PROVEEDORES[[#This Row],[PLAZO Días]],"PAGO VENCIDO")</f>
        <v>PAGO VENCIDO</v>
      </c>
      <c r="C1133" s="20">
        <f>+VLOOKUP(PROVEEDORES[[#This Row],[PROVEEDOR]],TERCEROS_INFO[#All],2,FALSE)</f>
        <v>30</v>
      </c>
      <c r="D1133" s="25">
        <f>+SUMIFS(PROVEEDORES[Total],PROVEEDORES[PROVEEDOR],PROVEEDORES[[#This Row],[PROVEEDOR]],PROVEEDORES[FECHA DE PAGO],"")</f>
        <v>18444236.894999996</v>
      </c>
      <c r="E1133" s="25"/>
      <c r="F113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33" s="68">
        <v>44937</v>
      </c>
      <c r="H1133" s="26" t="s">
        <v>11</v>
      </c>
      <c r="I1133" s="68">
        <v>44902</v>
      </c>
      <c r="J1133" s="35">
        <v>6054</v>
      </c>
      <c r="K1133" s="21">
        <v>2102274</v>
      </c>
      <c r="L1133" s="21"/>
      <c r="M1133" s="22">
        <f>(PROVEEDORES[[#This Row],[SUBTOTAL]]-PROVEEDORES[[#This Row],[descuento sobre subtotal]])*VLOOKUP(PROVEEDORES[[#This Row],[PROVEEDOR]],TERCEROS_INFO[#All],3,FALSE)</f>
        <v>399432.06</v>
      </c>
      <c r="N1133" s="23"/>
      <c r="O1133" s="22">
        <f>+PROVEEDORES[[#This Row],[Descuento sobre subtotal %]]*(PROVEEDORES[[#This Row],[SUBTOTAL]]-PROVEEDORES[[#This Row],[descuento sobre subtotal]])</f>
        <v>0</v>
      </c>
      <c r="P1133" s="74">
        <f>+IF(PROVEEDORES[[#This Row],[SUBTOTAL]]&lt;PROVEEDORES[[#This Row],[base retencion]],0,PROVEEDORES[[#This Row],[retención aplicada]])</f>
        <v>2.5000000000000001E-2</v>
      </c>
      <c r="Q1133" s="22">
        <f>+PROVEEDORES[[#This Row],[Rete Fuente %]]*(PROVEEDORES[[#This Row],[SUBTOTAL]]-PROVEEDORES[[#This Row],[descuento sobre subtotal]])</f>
        <v>52556.850000000006</v>
      </c>
      <c r="R1133" s="21">
        <f>+PROVEEDORES[[#This Row],[SUBTOTAL]]+PROVEEDORES[[#This Row],[IVA 19%]]-PROVEEDORES[[#This Row],[descuento sobre subtotal]]-PROVEEDORES[[#This Row],[Descuento sobre subtotal $2]]-PROVEEDORES[[#This Row],[Rete Fuente $]]</f>
        <v>2449149.21</v>
      </c>
      <c r="S1133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63">
        <f ca="1">IF(PROVEEDORES[[#This Row],[FECHA DE PAGO]]=0,TODAY()-PROVEEDORES[[#This Row],[FECHA DE FACTURACIÓN]]-PROVEEDORES[[#This Row],[PLAZO Días]],0)</f>
        <v>0</v>
      </c>
      <c r="U1133" s="104" t="str">
        <f>+VLOOKUP(PROVEEDORES[[#This Row],[PROVEEDOR]],Terceros!$A:$D,4,FALSE)</f>
        <v>2,5% con base</v>
      </c>
      <c r="V1133" s="105">
        <f>+YEAR(PROVEEDORES[[#This Row],[FECHA DE FACTURACIÓN]])</f>
        <v>2022</v>
      </c>
      <c r="W1133" s="105">
        <f>+MATCH(PROVEEDORES[[#This Row],[año facturado]],Retenciones!$1:$1,0)</f>
        <v>5</v>
      </c>
      <c r="X1133" s="106">
        <f>+VLOOKUP(PROVEEDORES[[#This Row],[ID RETENCION]],Retenciones!$A$1:$O$25,PROVEEDORES[[#This Row],[indicador de columna]],FALSE)</f>
        <v>1026000</v>
      </c>
      <c r="Y1133" s="107">
        <f>+VLOOKUP(PROVEEDORES[[#This Row],[ID RETENCION]],Retenciones!$A$1:$O$25,2,FALSE)</f>
        <v>2.5000000000000001E-2</v>
      </c>
      <c r="Z1133" s="116" t="b">
        <f>OR(COUNTIF(PROVEEDORES[[#This Row],[PROVEEDOR]],"*"&amp;'Palabra no opera'!$A$2&amp;"*"))</f>
        <v>0</v>
      </c>
    </row>
    <row r="1134" spans="1:26" ht="22.35" customHeight="1" x14ac:dyDescent="0.3">
      <c r="A1134" s="249" t="str">
        <f>+IF(PROVEEDORES[[#This Row],[FECHA DE PAGO]]=PROVEEDORES[[#This Row],[FECHA DE FACTURACIÓN]],"DE CONTADO","CRÉDITO")</f>
        <v>CRÉDITO</v>
      </c>
      <c r="B1134" s="38" t="str">
        <f>+IF((PROVEEDORES[[#This Row],[FECHA DE PAGO]]-PROVEEDORES[[#This Row],[FECHA DE FACTURACIÓN]])&gt;PROVEEDORES[[#This Row],[PLAZO Días]],"PAGO VENCIDO")</f>
        <v>PAGO VENCIDO</v>
      </c>
      <c r="C1134" s="20">
        <f>+VLOOKUP(PROVEEDORES[[#This Row],[PROVEEDOR]],TERCEROS_INFO[#All],2,FALSE)</f>
        <v>30</v>
      </c>
      <c r="D1134" s="25">
        <f>+SUMIFS(PROVEEDORES[Total],PROVEEDORES[PROVEEDOR],PROVEEDORES[[#This Row],[PROVEEDOR]],PROVEEDORES[FECHA DE PAGO],"")</f>
        <v>18444236.894999996</v>
      </c>
      <c r="E1134" s="25"/>
      <c r="F113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34" s="68">
        <v>44937</v>
      </c>
      <c r="H1134" s="26" t="s">
        <v>11</v>
      </c>
      <c r="I1134" s="68">
        <v>44904</v>
      </c>
      <c r="J1134" s="35">
        <v>6064</v>
      </c>
      <c r="K1134" s="21">
        <v>700758</v>
      </c>
      <c r="L1134" s="21"/>
      <c r="M1134" s="22">
        <f>(PROVEEDORES[[#This Row],[SUBTOTAL]]-PROVEEDORES[[#This Row],[descuento sobre subtotal]])*VLOOKUP(PROVEEDORES[[#This Row],[PROVEEDOR]],TERCEROS_INFO[#All],3,FALSE)</f>
        <v>133144.01999999999</v>
      </c>
      <c r="N1134" s="23"/>
      <c r="O1134" s="22">
        <f>+PROVEEDORES[[#This Row],[Descuento sobre subtotal %]]*(PROVEEDORES[[#This Row],[SUBTOTAL]]-PROVEEDORES[[#This Row],[descuento sobre subtotal]])</f>
        <v>0</v>
      </c>
      <c r="P1134" s="74">
        <f>+IF(PROVEEDORES[[#This Row],[SUBTOTAL]]&lt;PROVEEDORES[[#This Row],[base retencion]],0,PROVEEDORES[[#This Row],[retención aplicada]])</f>
        <v>0</v>
      </c>
      <c r="Q1134" s="22">
        <f>+PROVEEDORES[[#This Row],[Rete Fuente %]]*(PROVEEDORES[[#This Row],[SUBTOTAL]]-PROVEEDORES[[#This Row],[descuento sobre subtotal]])</f>
        <v>0</v>
      </c>
      <c r="R1134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113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63">
        <f ca="1">IF(PROVEEDORES[[#This Row],[FECHA DE PAGO]]=0,TODAY()-PROVEEDORES[[#This Row],[FECHA DE FACTURACIÓN]]-PROVEEDORES[[#This Row],[PLAZO Días]],0)</f>
        <v>0</v>
      </c>
      <c r="U1134" s="104" t="str">
        <f>+VLOOKUP(PROVEEDORES[[#This Row],[PROVEEDOR]],Terceros!$A:$D,4,FALSE)</f>
        <v>2,5% con base</v>
      </c>
      <c r="V1134" s="105">
        <f>+YEAR(PROVEEDORES[[#This Row],[FECHA DE FACTURACIÓN]])</f>
        <v>2022</v>
      </c>
      <c r="W1134" s="105">
        <f>+MATCH(PROVEEDORES[[#This Row],[año facturado]],Retenciones!$1:$1,0)</f>
        <v>5</v>
      </c>
      <c r="X1134" s="106">
        <f>+VLOOKUP(PROVEEDORES[[#This Row],[ID RETENCION]],Retenciones!$A$1:$O$25,PROVEEDORES[[#This Row],[indicador de columna]],FALSE)</f>
        <v>1026000</v>
      </c>
      <c r="Y1134" s="107">
        <f>+VLOOKUP(PROVEEDORES[[#This Row],[ID RETENCION]],Retenciones!$A$1:$O$25,2,FALSE)</f>
        <v>2.5000000000000001E-2</v>
      </c>
      <c r="Z1134" s="116" t="b">
        <f>OR(COUNTIF(PROVEEDORES[[#This Row],[PROVEEDOR]],"*"&amp;'Palabra no opera'!$A$2&amp;"*"))</f>
        <v>0</v>
      </c>
    </row>
    <row r="1135" spans="1:26" ht="22.35" customHeight="1" x14ac:dyDescent="0.3">
      <c r="A1135" s="249" t="str">
        <f>+IF(PROVEEDORES[[#This Row],[FECHA DE PAGO]]=PROVEEDORES[[#This Row],[FECHA DE FACTURACIÓN]],"DE CONTADO","CRÉDITO")</f>
        <v>CRÉDITO</v>
      </c>
      <c r="B1135" s="38" t="b">
        <f>+IF((PROVEEDORES[[#This Row],[FECHA DE PAGO]]-PROVEEDORES[[#This Row],[FECHA DE FACTURACIÓN]])&gt;PROVEEDORES[[#This Row],[PLAZO Días]],"PAGO VENCIDO")</f>
        <v>0</v>
      </c>
      <c r="C1135" s="20">
        <f>+VLOOKUP(PROVEEDORES[[#This Row],[PROVEEDOR]],TERCEROS_INFO[#All],2,FALSE)</f>
        <v>30</v>
      </c>
      <c r="D1135" s="25">
        <f>+SUMIFS(PROVEEDORES[Total],PROVEEDORES[PROVEEDOR],PROVEEDORES[[#This Row],[PROVEEDOR]],PROVEEDORES[FECHA DE PAGO],"")</f>
        <v>18444236.894999996</v>
      </c>
      <c r="E1135" s="25"/>
      <c r="F1135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35" s="68">
        <v>44937</v>
      </c>
      <c r="H1135" s="26" t="s">
        <v>11</v>
      </c>
      <c r="I1135" s="68">
        <v>44916</v>
      </c>
      <c r="J1135" s="35">
        <v>6191</v>
      </c>
      <c r="K1135" s="21">
        <v>4033202</v>
      </c>
      <c r="L1135" s="21"/>
      <c r="M1135" s="22">
        <f>(PROVEEDORES[[#This Row],[SUBTOTAL]]-PROVEEDORES[[#This Row],[descuento sobre subtotal]])*VLOOKUP(PROVEEDORES[[#This Row],[PROVEEDOR]],TERCEROS_INFO[#All],3,FALSE)</f>
        <v>766308.38</v>
      </c>
      <c r="N1135" s="23"/>
      <c r="O1135" s="22">
        <f>+PROVEEDORES[[#This Row],[Descuento sobre subtotal %]]*(PROVEEDORES[[#This Row],[SUBTOTAL]]-PROVEEDORES[[#This Row],[descuento sobre subtotal]])</f>
        <v>0</v>
      </c>
      <c r="P1135" s="74">
        <f>+IF(PROVEEDORES[[#This Row],[SUBTOTAL]]&lt;PROVEEDORES[[#This Row],[base retencion]],0,PROVEEDORES[[#This Row],[retención aplicada]])</f>
        <v>2.5000000000000001E-2</v>
      </c>
      <c r="Q1135" s="22">
        <f>+PROVEEDORES[[#This Row],[Rete Fuente %]]*(PROVEEDORES[[#This Row],[SUBTOTAL]]-PROVEEDORES[[#This Row],[descuento sobre subtotal]])</f>
        <v>100830.05</v>
      </c>
      <c r="R1135" s="21">
        <f>+PROVEEDORES[[#This Row],[SUBTOTAL]]+PROVEEDORES[[#This Row],[IVA 19%]]-PROVEEDORES[[#This Row],[descuento sobre subtotal]]-PROVEEDORES[[#This Row],[Descuento sobre subtotal $2]]-PROVEEDORES[[#This Row],[Rete Fuente $]]</f>
        <v>4698680.33</v>
      </c>
      <c r="S1135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63">
        <f ca="1">IF(PROVEEDORES[[#This Row],[FECHA DE PAGO]]=0,TODAY()-PROVEEDORES[[#This Row],[FECHA DE FACTURACIÓN]]-PROVEEDORES[[#This Row],[PLAZO Días]],0)</f>
        <v>0</v>
      </c>
      <c r="U1135" s="104" t="str">
        <f>+VLOOKUP(PROVEEDORES[[#This Row],[PROVEEDOR]],Terceros!$A:$D,4,FALSE)</f>
        <v>2,5% con base</v>
      </c>
      <c r="V1135" s="105">
        <f>+YEAR(PROVEEDORES[[#This Row],[FECHA DE FACTURACIÓN]])</f>
        <v>2022</v>
      </c>
      <c r="W1135" s="105">
        <f>+MATCH(PROVEEDORES[[#This Row],[año facturado]],Retenciones!$1:$1,0)</f>
        <v>5</v>
      </c>
      <c r="X1135" s="106">
        <f>+VLOOKUP(PROVEEDORES[[#This Row],[ID RETENCION]],Retenciones!$A$1:$O$25,PROVEEDORES[[#This Row],[indicador de columna]],FALSE)</f>
        <v>1026000</v>
      </c>
      <c r="Y1135" s="107">
        <f>+VLOOKUP(PROVEEDORES[[#This Row],[ID RETENCION]],Retenciones!$A$1:$O$25,2,FALSE)</f>
        <v>2.5000000000000001E-2</v>
      </c>
      <c r="Z1135" s="116" t="b">
        <f>OR(COUNTIF(PROVEEDORES[[#This Row],[PROVEEDOR]],"*"&amp;'Palabra no opera'!$A$2&amp;"*"))</f>
        <v>0</v>
      </c>
    </row>
    <row r="1136" spans="1:26" ht="22.35" customHeight="1" x14ac:dyDescent="0.3">
      <c r="A1136" s="247" t="str">
        <f>+IF(PROVEEDORES[[#This Row],[FECHA DE PAGO]]=PROVEEDORES[[#This Row],[FECHA DE FACTURACIÓN]],"DE CONTADO","CRÉDITO")</f>
        <v>CRÉDITO</v>
      </c>
      <c r="B1136" s="38" t="str">
        <f>+IF((PROVEEDORES[[#This Row],[FECHA DE PAGO]]-PROVEEDORES[[#This Row],[FECHA DE FACTURACIÓN]])&gt;PROVEEDORES[[#This Row],[PLAZO Días]],"PAGO VENCIDO")</f>
        <v>PAGO VENCIDO</v>
      </c>
      <c r="C1136" s="20">
        <f>+VLOOKUP(PROVEEDORES[[#This Row],[PROVEEDOR]],TERCEROS_INFO[#All],2,FALSE)</f>
        <v>30</v>
      </c>
      <c r="D1136" s="25">
        <f>+SUMIFS(PROVEEDORES[Total],PROVEEDORES[PROVEEDOR],PROVEEDORES[[#This Row],[PROVEEDOR]],PROVEEDORES[FECHA DE PAGO],"")</f>
        <v>121187115</v>
      </c>
      <c r="E1136" s="25"/>
      <c r="F1136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136" s="68">
        <v>44938</v>
      </c>
      <c r="H1136" s="26" t="s">
        <v>31</v>
      </c>
      <c r="I1136" s="68">
        <v>44865</v>
      </c>
      <c r="J1136" s="35">
        <v>57910</v>
      </c>
      <c r="K1136" s="21">
        <v>112030415</v>
      </c>
      <c r="L1136" s="21"/>
      <c r="M1136" s="22">
        <f>(PROVEEDORES[[#This Row],[SUBTOTAL]]-PROVEEDORES[[#This Row],[descuento sobre subtotal]])*VLOOKUP(PROVEEDORES[[#This Row],[PROVEEDOR]],TERCEROS_INFO[#All],3,FALSE)</f>
        <v>0</v>
      </c>
      <c r="N1136" s="23"/>
      <c r="O1136" s="22">
        <f>+PROVEEDORES[[#This Row],[Descuento sobre subtotal %]]*(PROVEEDORES[[#This Row],[SUBTOTAL]]-PROVEEDORES[[#This Row],[descuento sobre subtotal]])</f>
        <v>0</v>
      </c>
      <c r="P1136" s="74">
        <f>+IF(PROVEEDORES[[#This Row],[SUBTOTAL]]&lt;PROVEEDORES[[#This Row],[base retencion]],0,PROVEEDORES[[#This Row],[retención aplicada]])</f>
        <v>0</v>
      </c>
      <c r="Q1136" s="22">
        <f>+PROVEEDORES[[#This Row],[Rete Fuente %]]*(PROVEEDORES[[#This Row],[SUBTOTAL]]-PROVEEDORES[[#This Row],[descuento sobre subtotal]])</f>
        <v>0</v>
      </c>
      <c r="R1136" s="21">
        <f>+PROVEEDORES[[#This Row],[SUBTOTAL]]+PROVEEDORES[[#This Row],[IVA 19%]]-PROVEEDORES[[#This Row],[descuento sobre subtotal]]-PROVEEDORES[[#This Row],[Descuento sobre subtotal $2]]-PROVEEDORES[[#This Row],[Rete Fuente $]]</f>
        <v>112030415</v>
      </c>
      <c r="S1136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63">
        <f ca="1">IF(PROVEEDORES[[#This Row],[FECHA DE PAGO]]=0,TODAY()-PROVEEDORES[[#This Row],[FECHA DE FACTURACIÓN]]-PROVEEDORES[[#This Row],[PLAZO Días]],0)</f>
        <v>0</v>
      </c>
      <c r="U1136" s="104">
        <f>+VLOOKUP(PROVEEDORES[[#This Row],[PROVEEDOR]],Terceros!$A:$D,4,FALSE)</f>
        <v>0</v>
      </c>
      <c r="V1136" s="105">
        <f>+YEAR(PROVEEDORES[[#This Row],[FECHA DE FACTURACIÓN]])</f>
        <v>2022</v>
      </c>
      <c r="W1136" s="105">
        <f>+MATCH(PROVEEDORES[[#This Row],[año facturado]],Retenciones!$1:$1,0)</f>
        <v>5</v>
      </c>
      <c r="X1136" s="106">
        <f>+VLOOKUP(PROVEEDORES[[#This Row],[ID RETENCION]],Retenciones!$A$1:$O$25,PROVEEDORES[[#This Row],[indicador de columna]],FALSE)</f>
        <v>0</v>
      </c>
      <c r="Y1136" s="107">
        <f>+VLOOKUP(PROVEEDORES[[#This Row],[ID RETENCION]],Retenciones!$A$1:$O$25,2,FALSE)</f>
        <v>0</v>
      </c>
      <c r="Z1136" s="116" t="b">
        <f>OR(COUNTIF(PROVEEDORES[[#This Row],[PROVEEDOR]],"*"&amp;'Palabra no opera'!$A$2&amp;"*"))</f>
        <v>0</v>
      </c>
    </row>
    <row r="1137" spans="1:26" ht="22.35" customHeight="1" x14ac:dyDescent="0.3">
      <c r="A1137" s="242" t="str">
        <f>+IF(PROVEEDORES[[#This Row],[FECHA DE PAGO]]=PROVEEDORES[[#This Row],[FECHA DE FACTURACIÓN]],"DE CONTADO","CRÉDITO")</f>
        <v>CRÉDITO</v>
      </c>
      <c r="B1137" s="38" t="str">
        <f>+IF((PROVEEDORES[[#This Row],[FECHA DE PAGO]]-PROVEEDORES[[#This Row],[FECHA DE FACTURACIÓN]])&gt;PROVEEDORES[[#This Row],[PLAZO Días]],"PAGO VENCIDO")</f>
        <v>PAGO VENCIDO</v>
      </c>
      <c r="C1137" s="20">
        <f>+VLOOKUP(PROVEEDORES[[#This Row],[PROVEEDOR]],TERCEROS_INFO[#All],2,FALSE)</f>
        <v>30</v>
      </c>
      <c r="D1137" s="25">
        <f>+SUMIFS(PROVEEDORES[Total],PROVEEDORES[PROVEEDOR],PROVEEDORES[[#This Row],[PROVEEDOR]],PROVEEDORES[FECHA DE PAGO],"")</f>
        <v>1316890.8900000001</v>
      </c>
      <c r="E1137" s="25"/>
      <c r="F1137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37" s="68">
        <v>44939</v>
      </c>
      <c r="H1137" s="231" t="s">
        <v>17</v>
      </c>
      <c r="I1137" s="68">
        <v>44900</v>
      </c>
      <c r="J1137" s="245">
        <v>1990350</v>
      </c>
      <c r="K1137" s="21">
        <v>432000</v>
      </c>
      <c r="L1137" s="21"/>
      <c r="M1137" s="22">
        <f>(PROVEEDORES[[#This Row],[SUBTOTAL]]-PROVEEDORES[[#This Row],[descuento sobre subtotal]])*VLOOKUP(PROVEEDORES[[#This Row],[PROVEEDOR]],TERCEROS_INFO[#All],3,FALSE)</f>
        <v>82080</v>
      </c>
      <c r="N1137" s="23"/>
      <c r="O1137" s="22">
        <f>+PROVEEDORES[[#This Row],[Descuento sobre subtotal %]]*(PROVEEDORES[[#This Row],[SUBTOTAL]]-PROVEEDORES[[#This Row],[descuento sobre subtotal]])</f>
        <v>0</v>
      </c>
      <c r="P1137" s="74">
        <f>+IF(PROVEEDORES[[#This Row],[SUBTOTAL]]&lt;PROVEEDORES[[#This Row],[base retencion]],0,PROVEEDORES[[#This Row],[retención aplicada]])</f>
        <v>0</v>
      </c>
      <c r="Q1137" s="22">
        <f>+PROVEEDORES[[#This Row],[Rete Fuente %]]*(PROVEEDORES[[#This Row],[SUBTOTAL]]-PROVEEDORES[[#This Row],[descuento sobre subtotal]])</f>
        <v>0</v>
      </c>
      <c r="R1137" s="21">
        <f>+PROVEEDORES[[#This Row],[SUBTOTAL]]+PROVEEDORES[[#This Row],[IVA 19%]]-PROVEEDORES[[#This Row],[descuento sobre subtotal]]-PROVEEDORES[[#This Row],[Descuento sobre subtotal $2]]-PROVEEDORES[[#This Row],[Rete Fuente $]]</f>
        <v>514080</v>
      </c>
      <c r="S1137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7" s="63">
        <f ca="1">IF(PROVEEDORES[[#This Row],[FECHA DE PAGO]]=0,TODAY()-PROVEEDORES[[#This Row],[FECHA DE FACTURACIÓN]]-PROVEEDORES[[#This Row],[PLAZO Días]],0)</f>
        <v>0</v>
      </c>
      <c r="U1137" s="104">
        <f>+VLOOKUP(PROVEEDORES[[#This Row],[PROVEEDOR]],Terceros!$A:$D,4,FALSE)</f>
        <v>0</v>
      </c>
      <c r="V1137" s="105">
        <f>+YEAR(PROVEEDORES[[#This Row],[FECHA DE FACTURACIÓN]])</f>
        <v>2022</v>
      </c>
      <c r="W1137" s="105">
        <f>+MATCH(PROVEEDORES[[#This Row],[año facturado]],Retenciones!$1:$1,0)</f>
        <v>5</v>
      </c>
      <c r="X1137" s="106">
        <f>+VLOOKUP(PROVEEDORES[[#This Row],[ID RETENCION]],Retenciones!$A$1:$O$25,PROVEEDORES[[#This Row],[indicador de columna]],FALSE)</f>
        <v>0</v>
      </c>
      <c r="Y1137" s="107">
        <f>+VLOOKUP(PROVEEDORES[[#This Row],[ID RETENCION]],Retenciones!$A$1:$O$25,2,FALSE)</f>
        <v>0</v>
      </c>
      <c r="Z1137" s="116" t="b">
        <f>OR(COUNTIF(PROVEEDORES[[#This Row],[PROVEEDOR]],"*"&amp;'Palabra no opera'!$A$2&amp;"*"))</f>
        <v>0</v>
      </c>
    </row>
    <row r="1138" spans="1:26" ht="22.35" customHeight="1" x14ac:dyDescent="0.3">
      <c r="A1138" s="67" t="str">
        <f>+IF(PROVEEDORES[[#This Row],[FECHA DE PAGO]]=PROVEEDORES[[#This Row],[FECHA DE FACTURACIÓN]],"DE CONTADO","CRÉDITO")</f>
        <v>DE CONTADO</v>
      </c>
      <c r="B1138" s="38" t="b">
        <f>+IF((PROVEEDORES[[#This Row],[FECHA DE PAGO]]-PROVEEDORES[[#This Row],[FECHA DE FACTURACIÓN]])&gt;PROVEEDORES[[#This Row],[PLAZO Días]],"PAGO VENCIDO")</f>
        <v>0</v>
      </c>
      <c r="C1138" s="20">
        <f>+VLOOKUP(PROVEEDORES[[#This Row],[PROVEEDOR]],TERCEROS_INFO[#All],2,FALSE)</f>
        <v>30</v>
      </c>
      <c r="D1138" s="25">
        <f>+SUMIFS(PROVEEDORES[Total],PROVEEDORES[PROVEEDOR],PROVEEDORES[[#This Row],[PROVEEDOR]],PROVEEDORES[FECHA DE PAGO],"")</f>
        <v>0</v>
      </c>
      <c r="E1138" s="25"/>
      <c r="F1138" s="56" t="str">
        <f>+VLOOKUP(PROVEEDORES[[#This Row],[PROVEEDOR]],
                       Terceros!$A:$F,
                       5,
                       FALSE)</f>
        <v/>
      </c>
      <c r="G1138" s="68">
        <v>44940</v>
      </c>
      <c r="H1138" s="26" t="s">
        <v>356</v>
      </c>
      <c r="I1138" s="68">
        <v>44940</v>
      </c>
      <c r="J1138" s="35" t="s">
        <v>1399</v>
      </c>
      <c r="K1138" s="21">
        <v>896000</v>
      </c>
      <c r="L1138" s="21"/>
      <c r="M1138" s="22">
        <f>(PROVEEDORES[[#This Row],[SUBTOTAL]]-PROVEEDORES[[#This Row],[descuento sobre subtotal]])*VLOOKUP(PROVEEDORES[[#This Row],[PROVEEDOR]],TERCEROS_INFO[#All],3,FALSE)</f>
        <v>0</v>
      </c>
      <c r="N1138" s="23"/>
      <c r="O1138" s="22">
        <f>+PROVEEDORES[[#This Row],[Descuento sobre subtotal %]]*(PROVEEDORES[[#This Row],[SUBTOTAL]]-PROVEEDORES[[#This Row],[descuento sobre subtotal]])</f>
        <v>0</v>
      </c>
      <c r="P1138" s="74">
        <f>+IF(PROVEEDORES[[#This Row],[SUBTOTAL]]&lt;PROVEEDORES[[#This Row],[base retencion]],0,PROVEEDORES[[#This Row],[retención aplicada]])</f>
        <v>0</v>
      </c>
      <c r="Q1138" s="22">
        <f>+PROVEEDORES[[#This Row],[Rete Fuente %]]*(PROVEEDORES[[#This Row],[SUBTOTAL]]-PROVEEDORES[[#This Row],[descuento sobre subtotal]])</f>
        <v>0</v>
      </c>
      <c r="R1138" s="21">
        <f>+PROVEEDORES[[#This Row],[SUBTOTAL]]+PROVEEDORES[[#This Row],[IVA 19%]]-PROVEEDORES[[#This Row],[descuento sobre subtotal]]-PROVEEDORES[[#This Row],[Descuento sobre subtotal $2]]-PROVEEDORES[[#This Row],[Rete Fuente $]]</f>
        <v>896000</v>
      </c>
      <c r="S113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63">
        <f ca="1">IF(PROVEEDORES[[#This Row],[FECHA DE PAGO]]=0,TODAY()-PROVEEDORES[[#This Row],[FECHA DE FACTURACIÓN]]-PROVEEDORES[[#This Row],[PLAZO Días]],0)</f>
        <v>0</v>
      </c>
      <c r="U1138" s="104">
        <f>+VLOOKUP(PROVEEDORES[[#This Row],[PROVEEDOR]],Terceros!$A:$D,4,FALSE)</f>
        <v>0</v>
      </c>
      <c r="V1138" s="105">
        <f>+YEAR(PROVEEDORES[[#This Row],[FECHA DE FACTURACIÓN]])</f>
        <v>2023</v>
      </c>
      <c r="W1138" s="105">
        <f>+MATCH(PROVEEDORES[[#This Row],[año facturado]],Retenciones!$1:$1,0)</f>
        <v>6</v>
      </c>
      <c r="X1138" s="106">
        <f>+VLOOKUP(PROVEEDORES[[#This Row],[ID RETENCION]],Retenciones!$A$1:$O$25,PROVEEDORES[[#This Row],[indicador de columna]],FALSE)</f>
        <v>0</v>
      </c>
      <c r="Y1138" s="107">
        <f>+VLOOKUP(PROVEEDORES[[#This Row],[ID RETENCION]],Retenciones!$A$1:$O$25,2,FALSE)</f>
        <v>0</v>
      </c>
      <c r="Z1138" s="116" t="b">
        <f>OR(COUNTIF(PROVEEDORES[[#This Row],[PROVEEDOR]],"*"&amp;'Palabra no opera'!$A$2&amp;"*"))</f>
        <v>0</v>
      </c>
    </row>
    <row r="1139" spans="1:26" ht="22.35" customHeight="1" x14ac:dyDescent="0.3">
      <c r="A1139" s="257" t="str">
        <f>+IF(PROVEEDORES[[#This Row],[FECHA DE PAGO]]=PROVEEDORES[[#This Row],[FECHA DE FACTURACIÓN]],"DE CONTADO","CRÉDITO")</f>
        <v>CRÉDITO</v>
      </c>
      <c r="B1139" s="38" t="b">
        <f>+IF((PROVEEDORES[[#This Row],[FECHA DE PAGO]]-PROVEEDORES[[#This Row],[FECHA DE FACTURACIÓN]])&gt;PROVEEDORES[[#This Row],[PLAZO Días]],"PAGO VENCIDO")</f>
        <v>0</v>
      </c>
      <c r="C1139" s="20">
        <f>+VLOOKUP(PROVEEDORES[[#This Row],[PROVEEDOR]],TERCEROS_INFO[#All],2,FALSE)</f>
        <v>30</v>
      </c>
      <c r="D1139" s="25">
        <f>+SUMIFS(PROVEEDORES[Total],PROVEEDORES[PROVEEDOR],PROVEEDORES[[#This Row],[PROVEEDOR]],PROVEEDORES[FECHA DE PAGO],"")</f>
        <v>0</v>
      </c>
      <c r="E1139" s="25"/>
      <c r="F1139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139" s="68">
        <v>44942</v>
      </c>
      <c r="H1139" s="26" t="s">
        <v>628</v>
      </c>
      <c r="I1139" s="68">
        <v>44928</v>
      </c>
      <c r="J1139" s="35" t="s">
        <v>1381</v>
      </c>
      <c r="K1139" s="21">
        <v>1866320</v>
      </c>
      <c r="L1139" s="21"/>
      <c r="M1139" s="22">
        <f>(PROVEEDORES[[#This Row],[SUBTOTAL]]-PROVEEDORES[[#This Row],[descuento sobre subtotal]])*VLOOKUP(PROVEEDORES[[#This Row],[PROVEEDOR]],TERCEROS_INFO[#All],3,FALSE)</f>
        <v>0</v>
      </c>
      <c r="N1139" s="23">
        <v>4.8871499999999998E-2</v>
      </c>
      <c r="O1139" s="22">
        <f>+PROVEEDORES[[#This Row],[Descuento sobre subtotal %]]*(PROVEEDORES[[#This Row],[SUBTOTAL]]-PROVEEDORES[[#This Row],[descuento sobre subtotal]])</f>
        <v>91209.857879999996</v>
      </c>
      <c r="P1139" s="74">
        <f>+IF(PROVEEDORES[[#This Row],[SUBTOTAL]]&lt;PROVEEDORES[[#This Row],[base retencion]],0,PROVEEDORES[[#This Row],[retención aplicada]])</f>
        <v>0</v>
      </c>
      <c r="Q1139" s="22">
        <f>+PROVEEDORES[[#This Row],[Rete Fuente %]]*(PROVEEDORES[[#This Row],[SUBTOTAL]]-PROVEEDORES[[#This Row],[descuento sobre subtotal]])</f>
        <v>0</v>
      </c>
      <c r="R1139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1139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63">
        <f ca="1">IF(PROVEEDORES[[#This Row],[FECHA DE PAGO]]=0,TODAY()-PROVEEDORES[[#This Row],[FECHA DE FACTURACIÓN]]-PROVEEDORES[[#This Row],[PLAZO Días]],0)</f>
        <v>0</v>
      </c>
      <c r="U1139" s="104">
        <f>+VLOOKUP(PROVEEDORES[[#This Row],[PROVEEDOR]],Terceros!$A:$D,4,FALSE)</f>
        <v>0</v>
      </c>
      <c r="V1139" s="105">
        <f>+YEAR(PROVEEDORES[[#This Row],[FECHA DE FACTURACIÓN]])</f>
        <v>2023</v>
      </c>
      <c r="W1139" s="105">
        <f>+MATCH(PROVEEDORES[[#This Row],[año facturado]],Retenciones!$1:$1,0)</f>
        <v>6</v>
      </c>
      <c r="X1139" s="106">
        <f>+VLOOKUP(PROVEEDORES[[#This Row],[ID RETENCION]],Retenciones!$A$1:$O$25,PROVEEDORES[[#This Row],[indicador de columna]],FALSE)</f>
        <v>0</v>
      </c>
      <c r="Y1139" s="107">
        <f>+VLOOKUP(PROVEEDORES[[#This Row],[ID RETENCION]],Retenciones!$A$1:$O$25,2,FALSE)</f>
        <v>0</v>
      </c>
      <c r="Z1139" s="116" t="b">
        <f>OR(COUNTIF(PROVEEDORES[[#This Row],[PROVEEDOR]],"*"&amp;'Palabra no opera'!$A$2&amp;"*"))</f>
        <v>1</v>
      </c>
    </row>
    <row r="1140" spans="1:26" ht="22.35" customHeight="1" x14ac:dyDescent="0.3">
      <c r="A1140" s="67" t="str">
        <f>+IF(PROVEEDORES[[#This Row],[FECHA DE PAGO]]=PROVEEDORES[[#This Row],[FECHA DE FACTURACIÓN]],"DE CONTADO","CRÉDITO")</f>
        <v>DE CONTADO</v>
      </c>
      <c r="B1140" s="38" t="b">
        <f>+IF((PROVEEDORES[[#This Row],[FECHA DE PAGO]]-PROVEEDORES[[#This Row],[FECHA DE FACTURACIÓN]])&gt;PROVEEDORES[[#This Row],[PLAZO Días]],"PAGO VENCIDO")</f>
        <v>0</v>
      </c>
      <c r="C1140" s="20">
        <f>+VLOOKUP(PROVEEDORES[[#This Row],[PROVEEDOR]],TERCEROS_INFO[#All],2,FALSE)</f>
        <v>30</v>
      </c>
      <c r="D1140" s="25">
        <f>+SUMIFS(PROVEEDORES[Total],PROVEEDORES[PROVEEDOR],PROVEEDORES[[#This Row],[PROVEEDOR]],PROVEEDORES[FECHA DE PAGO],"")</f>
        <v>0</v>
      </c>
      <c r="E1140" s="25"/>
      <c r="F1140" s="56" t="str">
        <f>+VLOOKUP(PROVEEDORES[[#This Row],[PROVEEDOR]],
                       Terceros!$A:$F,
                       5,
                       FALSE)</f>
        <v/>
      </c>
      <c r="G1140" s="68">
        <v>44943</v>
      </c>
      <c r="H1140" s="26" t="s">
        <v>362</v>
      </c>
      <c r="I1140" s="68">
        <v>44943</v>
      </c>
      <c r="J1140" s="35" t="s">
        <v>1407</v>
      </c>
      <c r="K1140" s="21">
        <v>1055879</v>
      </c>
      <c r="L1140" s="21"/>
      <c r="M1140" s="22">
        <f>(PROVEEDORES[[#This Row],[SUBTOTAL]]-PROVEEDORES[[#This Row],[descuento sobre subtotal]])*VLOOKUP(PROVEEDORES[[#This Row],[PROVEEDOR]],TERCEROS_INFO[#All],3,FALSE)</f>
        <v>0</v>
      </c>
      <c r="N1140" s="23"/>
      <c r="O1140" s="22">
        <f>+PROVEEDORES[[#This Row],[Descuento sobre subtotal %]]*(PROVEEDORES[[#This Row],[SUBTOTAL]]-PROVEEDORES[[#This Row],[descuento sobre subtotal]])</f>
        <v>0</v>
      </c>
      <c r="P1140" s="74">
        <f>+IF(PROVEEDORES[[#This Row],[SUBTOTAL]]&lt;PROVEEDORES[[#This Row],[base retencion]],0,PROVEEDORES[[#This Row],[retención aplicada]])</f>
        <v>0</v>
      </c>
      <c r="Q1140" s="22">
        <f>+PROVEEDORES[[#This Row],[Rete Fuente %]]*(PROVEEDORES[[#This Row],[SUBTOTAL]]-PROVEEDORES[[#This Row],[descuento sobre subtotal]])</f>
        <v>0</v>
      </c>
      <c r="R1140" s="21">
        <f>+PROVEEDORES[[#This Row],[SUBTOTAL]]+PROVEEDORES[[#This Row],[IVA 19%]]-PROVEEDORES[[#This Row],[descuento sobre subtotal]]-PROVEEDORES[[#This Row],[Descuento sobre subtotal $2]]-PROVEEDORES[[#This Row],[Rete Fuente $]]</f>
        <v>1055879</v>
      </c>
      <c r="S114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63">
        <f ca="1">IF(PROVEEDORES[[#This Row],[FECHA DE PAGO]]=0,TODAY()-PROVEEDORES[[#This Row],[FECHA DE FACTURACIÓN]]-PROVEEDORES[[#This Row],[PLAZO Días]],0)</f>
        <v>0</v>
      </c>
      <c r="U1140" s="104">
        <f>+VLOOKUP(PROVEEDORES[[#This Row],[PROVEEDOR]],Terceros!$A:$D,4,FALSE)</f>
        <v>0</v>
      </c>
      <c r="V1140" s="105">
        <f>+YEAR(PROVEEDORES[[#This Row],[FECHA DE FACTURACIÓN]])</f>
        <v>2023</v>
      </c>
      <c r="W1140" s="105">
        <f>+MATCH(PROVEEDORES[[#This Row],[año facturado]],Retenciones!$1:$1,0)</f>
        <v>6</v>
      </c>
      <c r="X1140" s="106">
        <f>+VLOOKUP(PROVEEDORES[[#This Row],[ID RETENCION]],Retenciones!$A$1:$O$25,PROVEEDORES[[#This Row],[indicador de columna]],FALSE)</f>
        <v>0</v>
      </c>
      <c r="Y1140" s="107">
        <f>+VLOOKUP(PROVEEDORES[[#This Row],[ID RETENCION]],Retenciones!$A$1:$O$25,2,FALSE)</f>
        <v>0</v>
      </c>
      <c r="Z1140" s="116" t="b">
        <f>OR(COUNTIF(PROVEEDORES[[#This Row],[PROVEEDOR]],"*"&amp;'Palabra no opera'!$A$2&amp;"*"))</f>
        <v>0</v>
      </c>
    </row>
    <row r="1141" spans="1:26" ht="22.35" customHeight="1" x14ac:dyDescent="0.3">
      <c r="A1141" s="249" t="str">
        <f>+IF(PROVEEDORES[[#This Row],[FECHA DE PAGO]]=PROVEEDORES[[#This Row],[FECHA DE FACTURACIÓN]],"DE CONTADO","CRÉDITO")</f>
        <v>CRÉDITO</v>
      </c>
      <c r="B1141" s="38" t="str">
        <f>+IF((PROVEEDORES[[#This Row],[FECHA DE PAGO]]-PROVEEDORES[[#This Row],[FECHA DE FACTURACIÓN]])&gt;PROVEEDORES[[#This Row],[PLAZO Días]],"PAGO VENCIDO")</f>
        <v>PAGO VENCIDO</v>
      </c>
      <c r="C1141" s="20">
        <f>+VLOOKUP(PROVEEDORES[[#This Row],[PROVEEDOR]],TERCEROS_INFO[#All],2,FALSE)</f>
        <v>30</v>
      </c>
      <c r="D1141" s="25">
        <f>+SUMIFS(PROVEEDORES[Total],PROVEEDORES[PROVEEDOR],PROVEEDORES[[#This Row],[PROVEEDOR]],PROVEEDORES[FECHA DE PAGO],"")</f>
        <v>0</v>
      </c>
      <c r="E1141" s="25"/>
      <c r="F1141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141" s="68">
        <v>44945</v>
      </c>
      <c r="H1141" s="26" t="s">
        <v>47</v>
      </c>
      <c r="I1141" s="68">
        <v>44907</v>
      </c>
      <c r="J1141" s="35">
        <v>43008</v>
      </c>
      <c r="K1141" s="21">
        <v>1255180</v>
      </c>
      <c r="L1141" s="21"/>
      <c r="M1141" s="22">
        <f>(PROVEEDORES[[#This Row],[SUBTOTAL]]-PROVEEDORES[[#This Row],[descuento sobre subtotal]])*VLOOKUP(PROVEEDORES[[#This Row],[PROVEEDOR]],TERCEROS_INFO[#All],3,FALSE)</f>
        <v>238484.2</v>
      </c>
      <c r="N1141" s="23"/>
      <c r="O1141" s="22">
        <f>+PROVEEDORES[[#This Row],[Descuento sobre subtotal %]]*(PROVEEDORES[[#This Row],[SUBTOTAL]]-PROVEEDORES[[#This Row],[descuento sobre subtotal]])</f>
        <v>0</v>
      </c>
      <c r="P1141" s="74">
        <f>+IF(PROVEEDORES[[#This Row],[SUBTOTAL]]&lt;PROVEEDORES[[#This Row],[base retencion]],0,PROVEEDORES[[#This Row],[retención aplicada]])</f>
        <v>2.5000000000000001E-2</v>
      </c>
      <c r="Q1141" s="22">
        <f>+PROVEEDORES[[#This Row],[Rete Fuente %]]*(PROVEEDORES[[#This Row],[SUBTOTAL]]-PROVEEDORES[[#This Row],[descuento sobre subtotal]])</f>
        <v>31379.5</v>
      </c>
      <c r="R1141" s="21">
        <f>+PROVEEDORES[[#This Row],[SUBTOTAL]]+PROVEEDORES[[#This Row],[IVA 19%]]-PROVEEDORES[[#This Row],[descuento sobre subtotal]]-PROVEEDORES[[#This Row],[Descuento sobre subtotal $2]]-PROVEEDORES[[#This Row],[Rete Fuente $]]</f>
        <v>1462284.7</v>
      </c>
      <c r="S114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63">
        <f ca="1">IF(PROVEEDORES[[#This Row],[FECHA DE PAGO]]=0,TODAY()-PROVEEDORES[[#This Row],[FECHA DE FACTURACIÓN]]-PROVEEDORES[[#This Row],[PLAZO Días]],0)</f>
        <v>0</v>
      </c>
      <c r="U1141" s="104" t="str">
        <f>+VLOOKUP(PROVEEDORES[[#This Row],[PROVEEDOR]],Terceros!$A:$D,4,FALSE)</f>
        <v>2,5% con base</v>
      </c>
      <c r="V1141" s="105">
        <f>+YEAR(PROVEEDORES[[#This Row],[FECHA DE FACTURACIÓN]])</f>
        <v>2022</v>
      </c>
      <c r="W1141" s="105">
        <f>+MATCH(PROVEEDORES[[#This Row],[año facturado]],Retenciones!$1:$1,0)</f>
        <v>5</v>
      </c>
      <c r="X1141" s="106">
        <f>+VLOOKUP(PROVEEDORES[[#This Row],[ID RETENCION]],Retenciones!$A$1:$O$25,PROVEEDORES[[#This Row],[indicador de columna]],FALSE)</f>
        <v>1026000</v>
      </c>
      <c r="Y1141" s="107">
        <f>+VLOOKUP(PROVEEDORES[[#This Row],[ID RETENCION]],Retenciones!$A$1:$O$25,2,FALSE)</f>
        <v>2.5000000000000001E-2</v>
      </c>
      <c r="Z1141" s="116" t="b">
        <f>OR(COUNTIF(PROVEEDORES[[#This Row],[PROVEEDOR]],"*"&amp;'Palabra no opera'!$A$2&amp;"*"))</f>
        <v>0</v>
      </c>
    </row>
    <row r="1142" spans="1:26" ht="22.35" customHeight="1" x14ac:dyDescent="0.3">
      <c r="A1142" s="240" t="str">
        <f>+IF(PROVEEDORES[[#This Row],[FECHA DE PAGO]]=PROVEEDORES[[#This Row],[FECHA DE FACTURACIÓN]],"DE CONTADO","CRÉDITO")</f>
        <v>CRÉDITO</v>
      </c>
      <c r="B1142" s="38" t="str">
        <f>+IF((PROVEEDORES[[#This Row],[FECHA DE PAGO]]-PROVEEDORES[[#This Row],[FECHA DE FACTURACIÓN]])&gt;PROVEEDORES[[#This Row],[PLAZO Días]],"PAGO VENCIDO")</f>
        <v>PAGO VENCIDO</v>
      </c>
      <c r="C1142" s="20">
        <f>+VLOOKUP(PROVEEDORES[[#This Row],[PROVEEDOR]],TERCEROS_INFO[#All],2,FALSE)</f>
        <v>30</v>
      </c>
      <c r="D1142" s="25">
        <f>+SUMIFS(PROVEEDORES[Total],PROVEEDORES[PROVEEDOR],PROVEEDORES[[#This Row],[PROVEEDOR]],PROVEEDORES[FECHA DE PAGO],"")</f>
        <v>0</v>
      </c>
      <c r="E1142" s="25"/>
      <c r="F1142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142" s="68">
        <v>44945</v>
      </c>
      <c r="H1142" s="231" t="s">
        <v>921</v>
      </c>
      <c r="I1142" s="68">
        <v>44889</v>
      </c>
      <c r="J1142" s="245" t="s">
        <v>1285</v>
      </c>
      <c r="K1142" s="21">
        <v>518765</v>
      </c>
      <c r="L1142" s="21"/>
      <c r="M1142" s="22">
        <f>(PROVEEDORES[[#This Row],[SUBTOTAL]]-PROVEEDORES[[#This Row],[descuento sobre subtotal]])*VLOOKUP(PROVEEDORES[[#This Row],[PROVEEDOR]],TERCEROS_INFO[#All],3,FALSE)</f>
        <v>98565.35</v>
      </c>
      <c r="N1142" s="23"/>
      <c r="O1142" s="22">
        <f>+PROVEEDORES[[#This Row],[Descuento sobre subtotal %]]*(PROVEEDORES[[#This Row],[SUBTOTAL]]-PROVEEDORES[[#This Row],[descuento sobre subtotal]])</f>
        <v>0</v>
      </c>
      <c r="P1142" s="74">
        <f>+IF(PROVEEDORES[[#This Row],[SUBTOTAL]]&lt;PROVEEDORES[[#This Row],[base retencion]],0,PROVEEDORES[[#This Row],[retención aplicada]])</f>
        <v>0</v>
      </c>
      <c r="Q1142" s="22">
        <f>+PROVEEDORES[[#This Row],[Rete Fuente %]]*(PROVEEDORES[[#This Row],[SUBTOTAL]]-PROVEEDORES[[#This Row],[descuento sobre subtotal]])</f>
        <v>0</v>
      </c>
      <c r="R1142" s="21">
        <f>+PROVEEDORES[[#This Row],[SUBTOTAL]]+PROVEEDORES[[#This Row],[IVA 19%]]-PROVEEDORES[[#This Row],[descuento sobre subtotal]]-PROVEEDORES[[#This Row],[Descuento sobre subtotal $2]]-PROVEEDORES[[#This Row],[Rete Fuente $]]</f>
        <v>617330.35</v>
      </c>
      <c r="S1142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63">
        <f ca="1">IF(PROVEEDORES[[#This Row],[FECHA DE PAGO]]=0,TODAY()-PROVEEDORES[[#This Row],[FECHA DE FACTURACIÓN]]-PROVEEDORES[[#This Row],[PLAZO Días]],0)</f>
        <v>0</v>
      </c>
      <c r="U1142" s="104" t="str">
        <f>+VLOOKUP(PROVEEDORES[[#This Row],[PROVEEDOR]],Terceros!$A:$D,4,FALSE)</f>
        <v>2,5% con base</v>
      </c>
      <c r="V1142" s="105">
        <f>+YEAR(PROVEEDORES[[#This Row],[FECHA DE FACTURACIÓN]])</f>
        <v>2022</v>
      </c>
      <c r="W1142" s="105">
        <f>+MATCH(PROVEEDORES[[#This Row],[año facturado]],Retenciones!$1:$1,0)</f>
        <v>5</v>
      </c>
      <c r="X1142" s="106">
        <f>+VLOOKUP(PROVEEDORES[[#This Row],[ID RETENCION]],Retenciones!$A$1:$O$25,PROVEEDORES[[#This Row],[indicador de columna]],FALSE)</f>
        <v>1026000</v>
      </c>
      <c r="Y1142" s="107">
        <f>+VLOOKUP(PROVEEDORES[[#This Row],[ID RETENCION]],Retenciones!$A$1:$O$25,2,FALSE)</f>
        <v>2.5000000000000001E-2</v>
      </c>
      <c r="Z1142" s="116" t="b">
        <f>OR(COUNTIF(PROVEEDORES[[#This Row],[PROVEEDOR]],"*"&amp;'Palabra no opera'!$A$2&amp;"*"))</f>
        <v>1</v>
      </c>
    </row>
    <row r="1143" spans="1:26" ht="22.35" customHeight="1" x14ac:dyDescent="0.3">
      <c r="A1143" s="67" t="str">
        <f>+IF(PROVEEDORES[[#This Row],[FECHA DE PAGO]]=PROVEEDORES[[#This Row],[FECHA DE FACTURACIÓN]],"DE CONTADO","CRÉDITO")</f>
        <v>DE CONTADO</v>
      </c>
      <c r="B1143" s="38" t="b">
        <f>+IF((PROVEEDORES[[#This Row],[FECHA DE PAGO]]-PROVEEDORES[[#This Row],[FECHA DE FACTURACIÓN]])&gt;PROVEEDORES[[#This Row],[PLAZO Días]],"PAGO VENCIDO")</f>
        <v>0</v>
      </c>
      <c r="C1143" s="20">
        <f>+VLOOKUP(PROVEEDORES[[#This Row],[PROVEEDOR]],TERCEROS_INFO[#All],2,FALSE)</f>
        <v>30</v>
      </c>
      <c r="D1143" s="25">
        <f>+SUMIFS(PROVEEDORES[Total],PROVEEDORES[PROVEEDOR],PROVEEDORES[[#This Row],[PROVEEDOR]],PROVEEDORES[FECHA DE PAGO],"")</f>
        <v>0</v>
      </c>
      <c r="E1143" s="25"/>
      <c r="F1143" s="56" t="str">
        <f>+VLOOKUP(PROVEEDORES[[#This Row],[PROVEEDOR]],
                       Terceros!$A:$F,
                       5,
                       FALSE)</f>
        <v/>
      </c>
      <c r="G1143" s="68">
        <v>44946</v>
      </c>
      <c r="H1143" s="26" t="s">
        <v>1401</v>
      </c>
      <c r="I1143" s="68">
        <v>44946</v>
      </c>
      <c r="J1143" s="35" t="s">
        <v>1402</v>
      </c>
      <c r="K1143" s="21">
        <v>69000</v>
      </c>
      <c r="L1143" s="21"/>
      <c r="M1143" s="22">
        <f>(PROVEEDORES[[#This Row],[SUBTOTAL]]-PROVEEDORES[[#This Row],[descuento sobre subtotal]])*VLOOKUP(PROVEEDORES[[#This Row],[PROVEEDOR]],TERCEROS_INFO[#All],3,FALSE)</f>
        <v>0</v>
      </c>
      <c r="N1143" s="23"/>
      <c r="O1143" s="22">
        <f>+PROVEEDORES[[#This Row],[Descuento sobre subtotal %]]*(PROVEEDORES[[#This Row],[SUBTOTAL]]-PROVEEDORES[[#This Row],[descuento sobre subtotal]])</f>
        <v>0</v>
      </c>
      <c r="P1143" s="74">
        <f>+IF(PROVEEDORES[[#This Row],[SUBTOTAL]]&lt;PROVEEDORES[[#This Row],[base retencion]],0,PROVEEDORES[[#This Row],[retención aplicada]])</f>
        <v>0</v>
      </c>
      <c r="Q1143" s="22">
        <f>+PROVEEDORES[[#This Row],[Rete Fuente %]]*(PROVEEDORES[[#This Row],[SUBTOTAL]]-PROVEEDORES[[#This Row],[descuento sobre subtotal]])</f>
        <v>0</v>
      </c>
      <c r="R1143" s="21">
        <f>+PROVEEDORES[[#This Row],[SUBTOTAL]]+PROVEEDORES[[#This Row],[IVA 19%]]-PROVEEDORES[[#This Row],[descuento sobre subtotal]]-PROVEEDORES[[#This Row],[Descuento sobre subtotal $2]]-PROVEEDORES[[#This Row],[Rete Fuente $]]</f>
        <v>69000</v>
      </c>
      <c r="S11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63">
        <f ca="1">IF(PROVEEDORES[[#This Row],[FECHA DE PAGO]]=0,TODAY()-PROVEEDORES[[#This Row],[FECHA DE FACTURACIÓN]]-PROVEEDORES[[#This Row],[PLAZO Días]],0)</f>
        <v>0</v>
      </c>
      <c r="U1143" s="104">
        <f>+VLOOKUP(PROVEEDORES[[#This Row],[PROVEEDOR]],Terceros!$A:$D,4,FALSE)</f>
        <v>0</v>
      </c>
      <c r="V1143" s="105">
        <f>+YEAR(PROVEEDORES[[#This Row],[FECHA DE FACTURACIÓN]])</f>
        <v>2023</v>
      </c>
      <c r="W1143" s="105">
        <f>+MATCH(PROVEEDORES[[#This Row],[año facturado]],Retenciones!$1:$1,0)</f>
        <v>6</v>
      </c>
      <c r="X1143" s="106">
        <f>+VLOOKUP(PROVEEDORES[[#This Row],[ID RETENCION]],Retenciones!$A$1:$O$25,PROVEEDORES[[#This Row],[indicador de columna]],FALSE)</f>
        <v>0</v>
      </c>
      <c r="Y1143" s="107">
        <f>+VLOOKUP(PROVEEDORES[[#This Row],[ID RETENCION]],Retenciones!$A$1:$O$25,2,FALSE)</f>
        <v>0</v>
      </c>
      <c r="Z1143" s="116" t="b">
        <f>OR(COUNTIF(PROVEEDORES[[#This Row],[PROVEEDOR]],"*"&amp;'Palabra no opera'!$A$2&amp;"*"))</f>
        <v>0</v>
      </c>
    </row>
    <row r="1144" spans="1:26" ht="22.35" customHeight="1" x14ac:dyDescent="0.3">
      <c r="A1144" s="67" t="str">
        <f>+IF(PROVEEDORES[[#This Row],[FECHA DE PAGO]]=PROVEEDORES[[#This Row],[FECHA DE FACTURACIÓN]],"DE CONTADO","CRÉDITO")</f>
        <v>CRÉDITO</v>
      </c>
      <c r="B1144" s="38" t="b">
        <f>+IF((PROVEEDORES[[#This Row],[FECHA DE PAGO]]-PROVEEDORES[[#This Row],[FECHA DE FACTURACIÓN]])&gt;PROVEEDORES[[#This Row],[PLAZO Días]],"PAGO VENCIDO")</f>
        <v>0</v>
      </c>
      <c r="C1144" s="20">
        <f>+VLOOKUP(PROVEEDORES[[#This Row],[PROVEEDOR]],TERCEROS_INFO[#All],2,FALSE)</f>
        <v>30</v>
      </c>
      <c r="D1144" s="25">
        <f>+SUMIFS(PROVEEDORES[Total],PROVEEDORES[PROVEEDOR],PROVEEDORES[[#This Row],[PROVEEDOR]],PROVEEDORES[FECHA DE PAGO],"")</f>
        <v>352505.48</v>
      </c>
      <c r="E1144" s="25"/>
      <c r="F1144" s="56" t="str">
        <f>+VLOOKUP(PROVEEDORES[[#This Row],[PROVEEDOR]],
                       Terceros!$A:$F,
                       5,
                       FALSE)</f>
        <v>facturacion@losmolinos.com.co</v>
      </c>
      <c r="G1144" s="68">
        <v>44946</v>
      </c>
      <c r="H1144" s="26" t="s">
        <v>631</v>
      </c>
      <c r="I1144" s="68">
        <v>44929</v>
      </c>
      <c r="J1144" s="35" t="s">
        <v>1385</v>
      </c>
      <c r="K1144" s="21">
        <v>337254</v>
      </c>
      <c r="L1144" s="21">
        <v>9886.2900000000009</v>
      </c>
      <c r="M1144" s="22">
        <f>(PROVEEDORES[[#This Row],[SUBTOTAL]]-PROVEEDORES[[#This Row],[descuento sobre subtotal]])*VLOOKUP(PROVEEDORES[[#This Row],[PROVEEDOR]],TERCEROS_INFO[#All],3,FALSE)</f>
        <v>0</v>
      </c>
      <c r="N1144" s="23"/>
      <c r="O1144" s="22">
        <f>+PROVEEDORES[[#This Row],[Descuento sobre subtotal %]]*(PROVEEDORES[[#This Row],[SUBTOTAL]]-PROVEEDORES[[#This Row],[descuento sobre subtotal]])</f>
        <v>0</v>
      </c>
      <c r="P1144" s="74">
        <f>+IF(PROVEEDORES[[#This Row],[SUBTOTAL]]&lt;PROVEEDORES[[#This Row],[base retencion]],0,PROVEEDORES[[#This Row],[retención aplicada]])</f>
        <v>0</v>
      </c>
      <c r="Q1144" s="22">
        <f>+PROVEEDORES[[#This Row],[Rete Fuente %]]*(PROVEEDORES[[#This Row],[SUBTOTAL]]-PROVEEDORES[[#This Row],[descuento sobre subtotal]])</f>
        <v>0</v>
      </c>
      <c r="R1144" s="21">
        <f>+PROVEEDORES[[#This Row],[SUBTOTAL]]+PROVEEDORES[[#This Row],[IVA 19%]]-PROVEEDORES[[#This Row],[descuento sobre subtotal]]-PROVEEDORES[[#This Row],[Descuento sobre subtotal $2]]-PROVEEDORES[[#This Row],[Rete Fuente $]]</f>
        <v>327367.71000000002</v>
      </c>
      <c r="S11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63">
        <f ca="1">IF(PROVEEDORES[[#This Row],[FECHA DE PAGO]]=0,TODAY()-PROVEEDORES[[#This Row],[FECHA DE FACTURACIÓN]]-PROVEEDORES[[#This Row],[PLAZO Días]],0)</f>
        <v>0</v>
      </c>
      <c r="U1144" s="104">
        <f>+VLOOKUP(PROVEEDORES[[#This Row],[PROVEEDOR]],Terceros!$A:$D,4,FALSE)</f>
        <v>0</v>
      </c>
      <c r="V1144" s="105">
        <f>+YEAR(PROVEEDORES[[#This Row],[FECHA DE FACTURACIÓN]])</f>
        <v>2023</v>
      </c>
      <c r="W1144" s="105">
        <f>+MATCH(PROVEEDORES[[#This Row],[año facturado]],Retenciones!$1:$1,0)</f>
        <v>6</v>
      </c>
      <c r="X1144" s="106">
        <f>+VLOOKUP(PROVEEDORES[[#This Row],[ID RETENCION]],Retenciones!$A$1:$O$25,PROVEEDORES[[#This Row],[indicador de columna]],FALSE)</f>
        <v>0</v>
      </c>
      <c r="Y1144" s="107">
        <f>+VLOOKUP(PROVEEDORES[[#This Row],[ID RETENCION]],Retenciones!$A$1:$O$25,2,FALSE)</f>
        <v>0</v>
      </c>
      <c r="Z1144" s="116" t="b">
        <f>OR(COUNTIF(PROVEEDORES[[#This Row],[PROVEEDOR]],"*"&amp;'Palabra no opera'!$A$2&amp;"*"))</f>
        <v>1</v>
      </c>
    </row>
    <row r="1145" spans="1:26" ht="22.35" customHeight="1" x14ac:dyDescent="0.3">
      <c r="A1145" s="67" t="str">
        <f>+IF(PROVEEDORES[[#This Row],[FECHA DE PAGO]]=PROVEEDORES[[#This Row],[FECHA DE FACTURACIÓN]],"DE CONTADO","CRÉDITO")</f>
        <v>DE CONTADO</v>
      </c>
      <c r="B1145" s="38" t="b">
        <f>+IF((PROVEEDORES[[#This Row],[FECHA DE PAGO]]-PROVEEDORES[[#This Row],[FECHA DE FACTURACIÓN]])&gt;PROVEEDORES[[#This Row],[PLAZO Días]],"PAGO VENCIDO")</f>
        <v>0</v>
      </c>
      <c r="C1145" s="20">
        <f>+VLOOKUP(PROVEEDORES[[#This Row],[PROVEEDOR]],TERCEROS_INFO[#All],2,FALSE)</f>
        <v>30</v>
      </c>
      <c r="D1145" s="25">
        <f>+SUMIFS(PROVEEDORES[Total],PROVEEDORES[PROVEEDOR],PROVEEDORES[[#This Row],[PROVEEDOR]],PROVEEDORES[FECHA DE PAGO],"")</f>
        <v>0</v>
      </c>
      <c r="E1145" s="25"/>
      <c r="F1145" s="56" t="str">
        <f>+VLOOKUP(PROVEEDORES[[#This Row],[PROVEEDOR]],
                       Terceros!$A:$F,
                       5,
                       FALSE)</f>
        <v/>
      </c>
      <c r="G1145" s="68">
        <v>44947</v>
      </c>
      <c r="H1145" s="26" t="s">
        <v>378</v>
      </c>
      <c r="I1145" s="68">
        <v>44947</v>
      </c>
      <c r="J1145" s="35" t="s">
        <v>1405</v>
      </c>
      <c r="K1145" s="21">
        <v>840000</v>
      </c>
      <c r="L1145" s="21"/>
      <c r="M1145" s="22">
        <f>(PROVEEDORES[[#This Row],[SUBTOTAL]]-PROVEEDORES[[#This Row],[descuento sobre subtotal]])*VLOOKUP(PROVEEDORES[[#This Row],[PROVEEDOR]],TERCEROS_INFO[#All],3,FALSE)</f>
        <v>0</v>
      </c>
      <c r="N1145" s="23"/>
      <c r="O1145" s="22">
        <f>+PROVEEDORES[[#This Row],[Descuento sobre subtotal %]]*(PROVEEDORES[[#This Row],[SUBTOTAL]]-PROVEEDORES[[#This Row],[descuento sobre subtotal]])</f>
        <v>0</v>
      </c>
      <c r="P1145" s="74">
        <f>+IF(PROVEEDORES[[#This Row],[SUBTOTAL]]&lt;PROVEEDORES[[#This Row],[base retencion]],0,PROVEEDORES[[#This Row],[retención aplicada]])</f>
        <v>0</v>
      </c>
      <c r="Q1145" s="22">
        <f>+PROVEEDORES[[#This Row],[Rete Fuente %]]*(PROVEEDORES[[#This Row],[SUBTOTAL]]-PROVEEDORES[[#This Row],[descuento sobre subtotal]])</f>
        <v>0</v>
      </c>
      <c r="R1145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114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63">
        <f ca="1">IF(PROVEEDORES[[#This Row],[FECHA DE PAGO]]=0,TODAY()-PROVEEDORES[[#This Row],[FECHA DE FACTURACIÓN]]-PROVEEDORES[[#This Row],[PLAZO Días]],0)</f>
        <v>0</v>
      </c>
      <c r="U1145" s="104">
        <f>+VLOOKUP(PROVEEDORES[[#This Row],[PROVEEDOR]],Terceros!$A:$D,4,FALSE)</f>
        <v>0</v>
      </c>
      <c r="V1145" s="105">
        <f>+YEAR(PROVEEDORES[[#This Row],[FECHA DE FACTURACIÓN]])</f>
        <v>2023</v>
      </c>
      <c r="W1145" s="105">
        <f>+MATCH(PROVEEDORES[[#This Row],[año facturado]],Retenciones!$1:$1,0)</f>
        <v>6</v>
      </c>
      <c r="X1145" s="106">
        <f>+VLOOKUP(PROVEEDORES[[#This Row],[ID RETENCION]],Retenciones!$A$1:$O$25,PROVEEDORES[[#This Row],[indicador de columna]],FALSE)</f>
        <v>0</v>
      </c>
      <c r="Y1145" s="107">
        <f>+VLOOKUP(PROVEEDORES[[#This Row],[ID RETENCION]],Retenciones!$A$1:$O$25,2,FALSE)</f>
        <v>0</v>
      </c>
      <c r="Z1145" s="116" t="b">
        <f>OR(COUNTIF(PROVEEDORES[[#This Row],[PROVEEDOR]],"*"&amp;'Palabra no opera'!$A$2&amp;"*"))</f>
        <v>0</v>
      </c>
    </row>
    <row r="1146" spans="1:26" ht="22.35" customHeight="1" x14ac:dyDescent="0.3">
      <c r="A1146" s="67" t="str">
        <f>+IF(PROVEEDORES[[#This Row],[FECHA DE PAGO]]=PROVEEDORES[[#This Row],[FECHA DE FACTURACIÓN]],"DE CONTADO","CRÉDITO")</f>
        <v>CRÉDITO</v>
      </c>
      <c r="B1146" s="38" t="str">
        <f>+IF((PROVEEDORES[[#This Row],[FECHA DE PAGO]]-PROVEEDORES[[#This Row],[FECHA DE FACTURACIÓN]])&gt;PROVEEDORES[[#This Row],[PLAZO Días]],"PAGO VENCIDO")</f>
        <v>PAGO VENCIDO</v>
      </c>
      <c r="C1146" s="20">
        <f>+VLOOKUP(PROVEEDORES[[#This Row],[PROVEEDOR]],TERCEROS_INFO[#All],2,FALSE)</f>
        <v>30</v>
      </c>
      <c r="D1146" s="25">
        <f>+SUMIFS(PROVEEDORES[Total],PROVEEDORES[PROVEEDOR],PROVEEDORES[[#This Row],[PROVEEDOR]],PROVEEDORES[FECHA DE PAGO],"")</f>
        <v>27189617.395</v>
      </c>
      <c r="E1146" s="25"/>
      <c r="F1146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1146" s="68">
        <v>44959</v>
      </c>
      <c r="H1146" s="231" t="s">
        <v>77</v>
      </c>
      <c r="I1146" s="68">
        <v>44880</v>
      </c>
      <c r="J1146" s="245" t="s">
        <v>1296</v>
      </c>
      <c r="K1146" s="21">
        <v>11208000</v>
      </c>
      <c r="L1146" s="21"/>
      <c r="M1146" s="22">
        <f>(PROVEEDORES[[#This Row],[SUBTOTAL]]-PROVEEDORES[[#This Row],[descuento sobre subtotal]])*VLOOKUP(PROVEEDORES[[#This Row],[PROVEEDOR]],TERCEROS_INFO[#All],3,FALSE)</f>
        <v>2129520</v>
      </c>
      <c r="N1146" s="23"/>
      <c r="O1146" s="22">
        <f>+PROVEEDORES[[#This Row],[Descuento sobre subtotal %]]*(PROVEEDORES[[#This Row],[SUBTOTAL]]-PROVEEDORES[[#This Row],[descuento sobre subtotal]])</f>
        <v>0</v>
      </c>
      <c r="P1146" s="74">
        <f>+IF(PROVEEDORES[[#This Row],[SUBTOTAL]]&lt;PROVEEDORES[[#This Row],[base retencion]],0,PROVEEDORES[[#This Row],[retención aplicada]])</f>
        <v>2.5000000000000001E-2</v>
      </c>
      <c r="Q1146" s="22">
        <f>+PROVEEDORES[[#This Row],[Rete Fuente %]]*(PROVEEDORES[[#This Row],[SUBTOTAL]]-PROVEEDORES[[#This Row],[descuento sobre subtotal]])</f>
        <v>280200</v>
      </c>
      <c r="R1146" s="21">
        <f>+PROVEEDORES[[#This Row],[SUBTOTAL]]+PROVEEDORES[[#This Row],[IVA 19%]]-PROVEEDORES[[#This Row],[descuento sobre subtotal]]-PROVEEDORES[[#This Row],[Descuento sobre subtotal $2]]-PROVEEDORES[[#This Row],[Rete Fuente $]]</f>
        <v>13057320</v>
      </c>
      <c r="S11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63">
        <f ca="1">IF(PROVEEDORES[[#This Row],[FECHA DE PAGO]]=0,TODAY()-PROVEEDORES[[#This Row],[FECHA DE FACTURACIÓN]]-PROVEEDORES[[#This Row],[PLAZO Días]],0)</f>
        <v>0</v>
      </c>
      <c r="U1146" s="104" t="str">
        <f>+VLOOKUP(PROVEEDORES[[#This Row],[PROVEEDOR]],Terceros!$A:$D,4,FALSE)</f>
        <v>2,5% con base</v>
      </c>
      <c r="V1146" s="105">
        <f>+YEAR(PROVEEDORES[[#This Row],[FECHA DE FACTURACIÓN]])</f>
        <v>2022</v>
      </c>
      <c r="W1146" s="105">
        <f>+MATCH(PROVEEDORES[[#This Row],[año facturado]],Retenciones!$1:$1,0)</f>
        <v>5</v>
      </c>
      <c r="X1146" s="106">
        <f>+VLOOKUP(PROVEEDORES[[#This Row],[ID RETENCION]],Retenciones!$A$1:$O$25,PROVEEDORES[[#This Row],[indicador de columna]],FALSE)</f>
        <v>1026000</v>
      </c>
      <c r="Y1146" s="107">
        <f>+VLOOKUP(PROVEEDORES[[#This Row],[ID RETENCION]],Retenciones!$A$1:$O$25,2,FALSE)</f>
        <v>2.5000000000000001E-2</v>
      </c>
      <c r="Z1146" s="116" t="b">
        <f>OR(COUNTIF(PROVEEDORES[[#This Row],[PROVEEDOR]],"*"&amp;'Palabra no opera'!$A$2&amp;"*"))</f>
        <v>0</v>
      </c>
    </row>
    <row r="1147" spans="1:26" ht="22.35" customHeight="1" x14ac:dyDescent="0.3">
      <c r="A1147" s="67" t="str">
        <f>+IF(PROVEEDORES[[#This Row],[FECHA DE PAGO]]=PROVEEDORES[[#This Row],[FECHA DE FACTURACIÓN]],"DE CONTADO","CRÉDITO")</f>
        <v>DE CONTADO</v>
      </c>
      <c r="B1147" s="38" t="b">
        <f>+IF((PROVEEDORES[[#This Row],[FECHA DE PAGO]]-PROVEEDORES[[#This Row],[FECHA DE FACTURACIÓN]])&gt;PROVEEDORES[[#This Row],[PLAZO Días]],"PAGO VENCIDO")</f>
        <v>0</v>
      </c>
      <c r="C1147" s="20">
        <f>+VLOOKUP(PROVEEDORES[[#This Row],[PROVEEDOR]],TERCEROS_INFO[#All],2,FALSE)</f>
        <v>30</v>
      </c>
      <c r="D1147" s="25">
        <f>+SUMIFS(PROVEEDORES[Total],PROVEEDORES[PROVEEDOR],PROVEEDORES[[#This Row],[PROVEEDOR]],PROVEEDORES[FECHA DE PAGO],"")</f>
        <v>0</v>
      </c>
      <c r="E1147" s="25"/>
      <c r="F1147" s="56" t="str">
        <f>+VLOOKUP(PROVEEDORES[[#This Row],[PROVEEDOR]],
                       Terceros!$A:$F,
                       5,
                       FALSE)</f>
        <v/>
      </c>
      <c r="G1147" s="68">
        <v>44949</v>
      </c>
      <c r="H1147" s="26" t="s">
        <v>356</v>
      </c>
      <c r="I1147" s="68">
        <v>44949</v>
      </c>
      <c r="J1147" s="35" t="s">
        <v>1400</v>
      </c>
      <c r="K1147" s="21">
        <v>1883000</v>
      </c>
      <c r="L1147" s="21"/>
      <c r="M1147" s="22">
        <f>(PROVEEDORES[[#This Row],[SUBTOTAL]]-PROVEEDORES[[#This Row],[descuento sobre subtotal]])*VLOOKUP(PROVEEDORES[[#This Row],[PROVEEDOR]],TERCEROS_INFO[#All],3,FALSE)</f>
        <v>0</v>
      </c>
      <c r="N1147" s="23"/>
      <c r="O1147" s="22">
        <f>+PROVEEDORES[[#This Row],[Descuento sobre subtotal %]]*(PROVEEDORES[[#This Row],[SUBTOTAL]]-PROVEEDORES[[#This Row],[descuento sobre subtotal]])</f>
        <v>0</v>
      </c>
      <c r="P1147" s="74">
        <f>+IF(PROVEEDORES[[#This Row],[SUBTOTAL]]&lt;PROVEEDORES[[#This Row],[base retencion]],0,PROVEEDORES[[#This Row],[retención aplicada]])</f>
        <v>0</v>
      </c>
      <c r="Q1147" s="22">
        <f>+PROVEEDORES[[#This Row],[Rete Fuente %]]*(PROVEEDORES[[#This Row],[SUBTOTAL]]-PROVEEDORES[[#This Row],[descuento sobre subtotal]])</f>
        <v>0</v>
      </c>
      <c r="R1147" s="21">
        <f>+PROVEEDORES[[#This Row],[SUBTOTAL]]+PROVEEDORES[[#This Row],[IVA 19%]]-PROVEEDORES[[#This Row],[descuento sobre subtotal]]-PROVEEDORES[[#This Row],[Descuento sobre subtotal $2]]-PROVEEDORES[[#This Row],[Rete Fuente $]]</f>
        <v>1883000</v>
      </c>
      <c r="S11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63">
        <f ca="1">IF(PROVEEDORES[[#This Row],[FECHA DE PAGO]]=0,TODAY()-PROVEEDORES[[#This Row],[FECHA DE FACTURACIÓN]]-PROVEEDORES[[#This Row],[PLAZO Días]],0)</f>
        <v>0</v>
      </c>
      <c r="U1147" s="104">
        <f>+VLOOKUP(PROVEEDORES[[#This Row],[PROVEEDOR]],Terceros!$A:$D,4,FALSE)</f>
        <v>0</v>
      </c>
      <c r="V1147" s="105">
        <f>+YEAR(PROVEEDORES[[#This Row],[FECHA DE FACTURACIÓN]])</f>
        <v>2023</v>
      </c>
      <c r="W1147" s="105">
        <f>+MATCH(PROVEEDORES[[#This Row],[año facturado]],Retenciones!$1:$1,0)</f>
        <v>6</v>
      </c>
      <c r="X1147" s="106">
        <f>+VLOOKUP(PROVEEDORES[[#This Row],[ID RETENCION]],Retenciones!$A$1:$O$25,PROVEEDORES[[#This Row],[indicador de columna]],FALSE)</f>
        <v>0</v>
      </c>
      <c r="Y1147" s="107">
        <f>+VLOOKUP(PROVEEDORES[[#This Row],[ID RETENCION]],Retenciones!$A$1:$O$25,2,FALSE)</f>
        <v>0</v>
      </c>
      <c r="Z1147" s="116" t="b">
        <f>OR(COUNTIF(PROVEEDORES[[#This Row],[PROVEEDOR]],"*"&amp;'Palabra no opera'!$A$2&amp;"*"))</f>
        <v>0</v>
      </c>
    </row>
    <row r="1148" spans="1:26" ht="22.35" customHeight="1" x14ac:dyDescent="0.3">
      <c r="A1148" s="252" t="str">
        <f>+IF(PROVEEDORES[[#This Row],[FECHA DE PAGO]]=PROVEEDORES[[#This Row],[FECHA DE FACTURACIÓN]],"DE CONTADO","CRÉDITO")</f>
        <v>CRÉDITO</v>
      </c>
      <c r="B1148" s="38" t="str">
        <f>+IF((PROVEEDORES[[#This Row],[FECHA DE PAGO]]-PROVEEDORES[[#This Row],[FECHA DE FACTURACIÓN]])&gt;PROVEEDORES[[#This Row],[PLAZO Días]],"PAGO VENCIDO")</f>
        <v>PAGO VENCIDO</v>
      </c>
      <c r="C1148" s="20">
        <f>+VLOOKUP(PROVEEDORES[[#This Row],[PROVEEDOR]],TERCEROS_INFO[#All],2,FALSE)</f>
        <v>30</v>
      </c>
      <c r="D1148" s="25">
        <f>+SUMIFS(PROVEEDORES[Total],PROVEEDORES[PROVEEDOR],PROVEEDORES[[#This Row],[PROVEEDOR]],PROVEEDORES[FECHA DE PAGO],"")</f>
        <v>0</v>
      </c>
      <c r="E1148" s="25"/>
      <c r="F1148" s="56" t="str">
        <f>+VLOOKUP(PROVEEDORES[[#This Row],[PROVEEDOR]],
                       Terceros!$A:$F,
                       5,
                       FALSE)</f>
        <v/>
      </c>
      <c r="G1148" s="68">
        <v>44949</v>
      </c>
      <c r="H1148" s="26" t="s">
        <v>401</v>
      </c>
      <c r="I1148" s="68">
        <v>44904</v>
      </c>
      <c r="J1148" s="35">
        <v>2705</v>
      </c>
      <c r="K1148" s="21">
        <v>947500</v>
      </c>
      <c r="L1148" s="21"/>
      <c r="M1148" s="22">
        <f>(PROVEEDORES[[#This Row],[SUBTOTAL]]-PROVEEDORES[[#This Row],[descuento sobre subtotal]])*VLOOKUP(PROVEEDORES[[#This Row],[PROVEEDOR]],TERCEROS_INFO[#All],3,FALSE)</f>
        <v>0</v>
      </c>
      <c r="N1148" s="23"/>
      <c r="O1148" s="22">
        <f>+PROVEEDORES[[#This Row],[Descuento sobre subtotal %]]*(PROVEEDORES[[#This Row],[SUBTOTAL]]-PROVEEDORES[[#This Row],[descuento sobre subtotal]])</f>
        <v>0</v>
      </c>
      <c r="P1148" s="74">
        <f>+IF(PROVEEDORES[[#This Row],[SUBTOTAL]]&lt;PROVEEDORES[[#This Row],[base retencion]],0,PROVEEDORES[[#This Row],[retención aplicada]])</f>
        <v>0</v>
      </c>
      <c r="Q1148" s="22">
        <f>+PROVEEDORES[[#This Row],[Rete Fuente %]]*(PROVEEDORES[[#This Row],[SUBTOTAL]]-PROVEEDORES[[#This Row],[descuento sobre subtotal]])</f>
        <v>0</v>
      </c>
      <c r="R1148" s="21">
        <f>+PROVEEDORES[[#This Row],[SUBTOTAL]]+PROVEEDORES[[#This Row],[IVA 19%]]-PROVEEDORES[[#This Row],[descuento sobre subtotal]]-PROVEEDORES[[#This Row],[Descuento sobre subtotal $2]]-PROVEEDORES[[#This Row],[Rete Fuente $]]</f>
        <v>947500</v>
      </c>
      <c r="S1148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63">
        <f ca="1">IF(PROVEEDORES[[#This Row],[FECHA DE PAGO]]=0,TODAY()-PROVEEDORES[[#This Row],[FECHA DE FACTURACIÓN]]-PROVEEDORES[[#This Row],[PLAZO Días]],0)</f>
        <v>0</v>
      </c>
      <c r="U1148" s="104">
        <f>+VLOOKUP(PROVEEDORES[[#This Row],[PROVEEDOR]],Terceros!$A:$D,4,FALSE)</f>
        <v>0</v>
      </c>
      <c r="V1148" s="105">
        <f>+YEAR(PROVEEDORES[[#This Row],[FECHA DE FACTURACIÓN]])</f>
        <v>2022</v>
      </c>
      <c r="W1148" s="105">
        <f>+MATCH(PROVEEDORES[[#This Row],[año facturado]],Retenciones!$1:$1,0)</f>
        <v>5</v>
      </c>
      <c r="X1148" s="106">
        <f>+VLOOKUP(PROVEEDORES[[#This Row],[ID RETENCION]],Retenciones!$A$1:$O$25,PROVEEDORES[[#This Row],[indicador de columna]],FALSE)</f>
        <v>0</v>
      </c>
      <c r="Y1148" s="107">
        <f>+VLOOKUP(PROVEEDORES[[#This Row],[ID RETENCION]],Retenciones!$A$1:$O$25,2,FALSE)</f>
        <v>0</v>
      </c>
      <c r="Z1148" s="116" t="b">
        <f>OR(COUNTIF(PROVEEDORES[[#This Row],[PROVEEDOR]],"*"&amp;'Palabra no opera'!$A$2&amp;"*"))</f>
        <v>0</v>
      </c>
    </row>
    <row r="1149" spans="1:26" ht="22.35" customHeight="1" x14ac:dyDescent="0.3">
      <c r="A1149" s="67" t="str">
        <f>+IF(PROVEEDORES[[#This Row],[FECHA DE PAGO]]=PROVEEDORES[[#This Row],[FECHA DE FACTURACIÓN]],"DE CONTADO","CRÉDITO")</f>
        <v>DE CONTADO</v>
      </c>
      <c r="B1149" s="38" t="b">
        <f>+IF((PROVEEDORES[[#This Row],[FECHA DE PAGO]]-PROVEEDORES[[#This Row],[FECHA DE FACTURACIÓN]])&gt;PROVEEDORES[[#This Row],[PLAZO Días]],"PAGO VENCIDO")</f>
        <v>0</v>
      </c>
      <c r="C1149" s="20">
        <f>+VLOOKUP(PROVEEDORES[[#This Row],[PROVEEDOR]],TERCEROS_INFO[#All],2,FALSE)</f>
        <v>30</v>
      </c>
      <c r="D1149" s="25">
        <f>+SUMIFS(PROVEEDORES[Total],PROVEEDORES[PROVEEDOR],PROVEEDORES[[#This Row],[PROVEEDOR]],PROVEEDORES[FECHA DE PAGO],"")</f>
        <v>0</v>
      </c>
      <c r="E1149" s="25"/>
      <c r="F114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149" s="68">
        <v>44949</v>
      </c>
      <c r="H1149" s="26" t="s">
        <v>227</v>
      </c>
      <c r="I1149" s="68">
        <v>44949</v>
      </c>
      <c r="J1149" s="35" t="s">
        <v>1396</v>
      </c>
      <c r="K1149" s="21">
        <v>2110000</v>
      </c>
      <c r="L1149" s="21"/>
      <c r="M1149" s="22">
        <f>(PROVEEDORES[[#This Row],[SUBTOTAL]]-PROVEEDORES[[#This Row],[descuento sobre subtotal]])*VLOOKUP(PROVEEDORES[[#This Row],[PROVEEDOR]],TERCEROS_INFO[#All],3,FALSE)</f>
        <v>0</v>
      </c>
      <c r="N1149" s="23"/>
      <c r="O1149" s="22">
        <f>+PROVEEDORES[[#This Row],[Descuento sobre subtotal %]]*(PROVEEDORES[[#This Row],[SUBTOTAL]]-PROVEEDORES[[#This Row],[descuento sobre subtotal]])</f>
        <v>0</v>
      </c>
      <c r="P1149" s="74">
        <f>+IF(PROVEEDORES[[#This Row],[SUBTOTAL]]&lt;PROVEEDORES[[#This Row],[base retencion]],0,PROVEEDORES[[#This Row],[retención aplicada]])</f>
        <v>0</v>
      </c>
      <c r="Q1149" s="22">
        <f>+PROVEEDORES[[#This Row],[Rete Fuente %]]*(PROVEEDORES[[#This Row],[SUBTOTAL]]-PROVEEDORES[[#This Row],[descuento sobre subtotal]])</f>
        <v>0</v>
      </c>
      <c r="R1149" s="21">
        <f>+PROVEEDORES[[#This Row],[SUBTOTAL]]+PROVEEDORES[[#This Row],[IVA 19%]]-PROVEEDORES[[#This Row],[descuento sobre subtotal]]-PROVEEDORES[[#This Row],[Descuento sobre subtotal $2]]-PROVEEDORES[[#This Row],[Rete Fuente $]]</f>
        <v>2110000</v>
      </c>
      <c r="S11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63">
        <f ca="1">IF(PROVEEDORES[[#This Row],[FECHA DE PAGO]]=0,TODAY()-PROVEEDORES[[#This Row],[FECHA DE FACTURACIÓN]]-PROVEEDORES[[#This Row],[PLAZO Días]],0)</f>
        <v>0</v>
      </c>
      <c r="U1149" s="104">
        <f>+VLOOKUP(PROVEEDORES[[#This Row],[PROVEEDOR]],Terceros!$A:$D,4,FALSE)</f>
        <v>0</v>
      </c>
      <c r="V1149" s="105">
        <f>+YEAR(PROVEEDORES[[#This Row],[FECHA DE FACTURACIÓN]])</f>
        <v>2023</v>
      </c>
      <c r="W1149" s="105">
        <f>+MATCH(PROVEEDORES[[#This Row],[año facturado]],Retenciones!$1:$1,0)</f>
        <v>6</v>
      </c>
      <c r="X1149" s="106">
        <f>+VLOOKUP(PROVEEDORES[[#This Row],[ID RETENCION]],Retenciones!$A$1:$O$25,PROVEEDORES[[#This Row],[indicador de columna]],FALSE)</f>
        <v>0</v>
      </c>
      <c r="Y1149" s="107">
        <f>+VLOOKUP(PROVEEDORES[[#This Row],[ID RETENCION]],Retenciones!$A$1:$O$25,2,FALSE)</f>
        <v>0</v>
      </c>
      <c r="Z1149" s="116" t="b">
        <f>OR(COUNTIF(PROVEEDORES[[#This Row],[PROVEEDOR]],"*"&amp;'Palabra no opera'!$A$2&amp;"*"))</f>
        <v>0</v>
      </c>
    </row>
    <row r="1150" spans="1:26" ht="22.35" customHeight="1" x14ac:dyDescent="0.3">
      <c r="A1150" s="249" t="str">
        <f>+IF(PROVEEDORES[[#This Row],[FECHA DE PAGO]]=PROVEEDORES[[#This Row],[FECHA DE FACTURACIÓN]],"DE CONTADO","CRÉDITO")</f>
        <v>CRÉDITO</v>
      </c>
      <c r="B1150" s="38" t="str">
        <f>+IF((PROVEEDORES[[#This Row],[FECHA DE PAGO]]-PROVEEDORES[[#This Row],[FECHA DE FACTURACIÓN]])&gt;PROVEEDORES[[#This Row],[PLAZO Días]],"PAGO VENCIDO")</f>
        <v>PAGO VENCIDO</v>
      </c>
      <c r="C1150" s="20">
        <f>+VLOOKUP(PROVEEDORES[[#This Row],[PROVEEDOR]],TERCEROS_INFO[#All],2,FALSE)</f>
        <v>30</v>
      </c>
      <c r="D1150" s="25">
        <f>+SUMIFS(PROVEEDORES[Total],PROVEEDORES[PROVEEDOR],PROVEEDORES[[#This Row],[PROVEEDOR]],PROVEEDORES[FECHA DE PAGO],"")</f>
        <v>0</v>
      </c>
      <c r="E1150" s="25"/>
      <c r="F1150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150" s="68">
        <v>44949</v>
      </c>
      <c r="H1150" s="26" t="s">
        <v>248</v>
      </c>
      <c r="I1150" s="68">
        <v>44901</v>
      </c>
      <c r="J1150" s="35">
        <v>237697</v>
      </c>
      <c r="K1150" s="21">
        <v>2928624</v>
      </c>
      <c r="L1150" s="21"/>
      <c r="M1150" s="22">
        <f>(PROVEEDORES[[#This Row],[SUBTOTAL]]-PROVEEDORES[[#This Row],[descuento sobre subtotal]])*VLOOKUP(PROVEEDORES[[#This Row],[PROVEEDOR]],TERCEROS_INFO[#All],3,FALSE)</f>
        <v>556438.56000000006</v>
      </c>
      <c r="N1150" s="23"/>
      <c r="O1150" s="22">
        <f>+PROVEEDORES[[#This Row],[Descuento sobre subtotal %]]*(PROVEEDORES[[#This Row],[SUBTOTAL]]-PROVEEDORES[[#This Row],[descuento sobre subtotal]])</f>
        <v>0</v>
      </c>
      <c r="P1150" s="74">
        <f>+IF(PROVEEDORES[[#This Row],[SUBTOTAL]]&lt;PROVEEDORES[[#This Row],[base retencion]],0,PROVEEDORES[[#This Row],[retención aplicada]])</f>
        <v>0</v>
      </c>
      <c r="Q1150" s="22">
        <f>+PROVEEDORES[[#This Row],[Rete Fuente %]]*(PROVEEDORES[[#This Row],[SUBTOTAL]]-PROVEEDORES[[#This Row],[descuento sobre subtotal]])</f>
        <v>0</v>
      </c>
      <c r="R1150" s="21">
        <f>+PROVEEDORES[[#This Row],[SUBTOTAL]]+PROVEEDORES[[#This Row],[IVA 19%]]-PROVEEDORES[[#This Row],[descuento sobre subtotal]]-PROVEEDORES[[#This Row],[Descuento sobre subtotal $2]]-PROVEEDORES[[#This Row],[Rete Fuente $]]</f>
        <v>3485062.56</v>
      </c>
      <c r="S1150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63">
        <f ca="1">IF(PROVEEDORES[[#This Row],[FECHA DE PAGO]]=0,TODAY()-PROVEEDORES[[#This Row],[FECHA DE FACTURACIÓN]]-PROVEEDORES[[#This Row],[PLAZO Días]],0)</f>
        <v>0</v>
      </c>
      <c r="U1150" s="104">
        <f>+VLOOKUP(PROVEEDORES[[#This Row],[PROVEEDOR]],Terceros!$A:$D,4,FALSE)</f>
        <v>0</v>
      </c>
      <c r="V1150" s="105">
        <f>+YEAR(PROVEEDORES[[#This Row],[FECHA DE FACTURACIÓN]])</f>
        <v>2022</v>
      </c>
      <c r="W1150" s="105">
        <f>+MATCH(PROVEEDORES[[#This Row],[año facturado]],Retenciones!$1:$1,0)</f>
        <v>5</v>
      </c>
      <c r="X1150" s="106">
        <f>+VLOOKUP(PROVEEDORES[[#This Row],[ID RETENCION]],Retenciones!$A$1:$O$25,PROVEEDORES[[#This Row],[indicador de columna]],FALSE)</f>
        <v>0</v>
      </c>
      <c r="Y1150" s="107">
        <f>+VLOOKUP(PROVEEDORES[[#This Row],[ID RETENCION]],Retenciones!$A$1:$O$25,2,FALSE)</f>
        <v>0</v>
      </c>
      <c r="Z1150" s="116" t="b">
        <f>OR(COUNTIF(PROVEEDORES[[#This Row],[PROVEEDOR]],"*"&amp;'Palabra no opera'!$A$2&amp;"*"))</f>
        <v>0</v>
      </c>
    </row>
    <row r="1151" spans="1:26" ht="22.35" customHeight="1" x14ac:dyDescent="0.3">
      <c r="A1151" s="67" t="str">
        <f>+IF(PROVEEDORES[[#This Row],[FECHA DE PAGO]]=PROVEEDORES[[#This Row],[FECHA DE FACTURACIÓN]],"DE CONTADO","CRÉDITO")</f>
        <v>CRÉDITO</v>
      </c>
      <c r="B1151" s="38" t="str">
        <f>+IF((PROVEEDORES[[#This Row],[FECHA DE PAGO]]-PROVEEDORES[[#This Row],[FECHA DE FACTURACIÓN]])&gt;PROVEEDORES[[#This Row],[PLAZO Días]],"PAGO VENCIDO")</f>
        <v>PAGO VENCIDO</v>
      </c>
      <c r="C1151" s="20">
        <f>+VLOOKUP(PROVEEDORES[[#This Row],[PROVEEDOR]],TERCEROS_INFO[#All],2,FALSE)</f>
        <v>30</v>
      </c>
      <c r="D1151" s="25">
        <f>+SUMIFS(PROVEEDORES[Total],PROVEEDORES[PROVEEDOR],PROVEEDORES[[#This Row],[PROVEEDOR]],PROVEEDORES[FECHA DE PAGO],"")</f>
        <v>380979.69</v>
      </c>
      <c r="E1151" s="25"/>
      <c r="F115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151" s="68">
        <v>44950</v>
      </c>
      <c r="H1151" s="231" t="s">
        <v>615</v>
      </c>
      <c r="I1151" s="68">
        <v>44888</v>
      </c>
      <c r="J1151" s="245" t="s">
        <v>1314</v>
      </c>
      <c r="K1151" s="21">
        <v>3213448</v>
      </c>
      <c r="L1151" s="21"/>
      <c r="M1151" s="22">
        <f>(PROVEEDORES[[#This Row],[SUBTOTAL]]-PROVEEDORES[[#This Row],[descuento sobre subtotal]])*VLOOKUP(PROVEEDORES[[#This Row],[PROVEEDOR]],TERCEROS_INFO[#All],3,FALSE)</f>
        <v>610555.12</v>
      </c>
      <c r="N1151" s="23"/>
      <c r="O1151" s="22">
        <f>+PROVEEDORES[[#This Row],[Descuento sobre subtotal %]]*(PROVEEDORES[[#This Row],[SUBTOTAL]]-PROVEEDORES[[#This Row],[descuento sobre subtotal]])</f>
        <v>0</v>
      </c>
      <c r="P1151" s="74">
        <f>+IF(PROVEEDORES[[#This Row],[SUBTOTAL]]&lt;PROVEEDORES[[#This Row],[base retencion]],0,PROVEEDORES[[#This Row],[retención aplicada]])</f>
        <v>0</v>
      </c>
      <c r="Q1151" s="22">
        <f>+PROVEEDORES[[#This Row],[Rete Fuente %]]*(PROVEEDORES[[#This Row],[SUBTOTAL]]-PROVEEDORES[[#This Row],[descuento sobre subtotal]])</f>
        <v>0</v>
      </c>
      <c r="R1151" s="21">
        <f>+PROVEEDORES[[#This Row],[SUBTOTAL]]+PROVEEDORES[[#This Row],[IVA 19%]]-PROVEEDORES[[#This Row],[descuento sobre subtotal]]-PROVEEDORES[[#This Row],[Descuento sobre subtotal $2]]-PROVEEDORES[[#This Row],[Rete Fuente $]]</f>
        <v>3824003.12</v>
      </c>
      <c r="S11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63">
        <f ca="1">IF(PROVEEDORES[[#This Row],[FECHA DE PAGO]]=0,TODAY()-PROVEEDORES[[#This Row],[FECHA DE FACTURACIÓN]]-PROVEEDORES[[#This Row],[PLAZO Días]],0)</f>
        <v>0</v>
      </c>
      <c r="U1151" s="104">
        <f>+VLOOKUP(PROVEEDORES[[#This Row],[PROVEEDOR]],Terceros!$A:$D,4,FALSE)</f>
        <v>0</v>
      </c>
      <c r="V1151" s="105">
        <f>+YEAR(PROVEEDORES[[#This Row],[FECHA DE FACTURACIÓN]])</f>
        <v>2022</v>
      </c>
      <c r="W1151" s="105">
        <f>+MATCH(PROVEEDORES[[#This Row],[año facturado]],Retenciones!$1:$1,0)</f>
        <v>5</v>
      </c>
      <c r="X1151" s="106">
        <f>+VLOOKUP(PROVEEDORES[[#This Row],[ID RETENCION]],Retenciones!$A$1:$O$25,PROVEEDORES[[#This Row],[indicador de columna]],FALSE)</f>
        <v>0</v>
      </c>
      <c r="Y1151" s="107">
        <f>+VLOOKUP(PROVEEDORES[[#This Row],[ID RETENCION]],Retenciones!$A$1:$O$25,2,FALSE)</f>
        <v>0</v>
      </c>
      <c r="Z1151" s="116" t="b">
        <f>OR(COUNTIF(PROVEEDORES[[#This Row],[PROVEEDOR]],"*"&amp;'Palabra no opera'!$A$2&amp;"*"))</f>
        <v>1</v>
      </c>
    </row>
    <row r="1152" spans="1:26" ht="22.35" customHeight="1" x14ac:dyDescent="0.3">
      <c r="A1152" s="67" t="str">
        <f>+IF(PROVEEDORES[[#This Row],[FECHA DE PAGO]]=PROVEEDORES[[#This Row],[FECHA DE FACTURACIÓN]],"DE CONTADO","CRÉDITO")</f>
        <v>CRÉDITO</v>
      </c>
      <c r="B1152" s="38" t="str">
        <f>+IF((PROVEEDORES[[#This Row],[FECHA DE PAGO]]-PROVEEDORES[[#This Row],[FECHA DE FACTURACIÓN]])&gt;PROVEEDORES[[#This Row],[PLAZO Días]],"PAGO VENCIDO")</f>
        <v>PAGO VENCIDO</v>
      </c>
      <c r="C1152" s="20">
        <f>+VLOOKUP(PROVEEDORES[[#This Row],[PROVEEDOR]],TERCEROS_INFO[#All],2,FALSE)</f>
        <v>30</v>
      </c>
      <c r="D1152" s="25">
        <f>+SUMIFS(PROVEEDORES[Total],PROVEEDORES[PROVEEDOR],PROVEEDORES[[#This Row],[PROVEEDOR]],PROVEEDORES[FECHA DE PAGO],"")</f>
        <v>380979.69</v>
      </c>
      <c r="E1152" s="25"/>
      <c r="F115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152" s="68">
        <v>44950</v>
      </c>
      <c r="H1152" s="231" t="s">
        <v>1295</v>
      </c>
      <c r="I1152" s="68">
        <v>44893</v>
      </c>
      <c r="J1152" s="245" t="s">
        <v>1315</v>
      </c>
      <c r="K1152" s="21">
        <v>3213448</v>
      </c>
      <c r="L1152" s="21"/>
      <c r="M1152" s="22">
        <f>(PROVEEDORES[[#This Row],[SUBTOTAL]]-PROVEEDORES[[#This Row],[descuento sobre subtotal]])*VLOOKUP(PROVEEDORES[[#This Row],[PROVEEDOR]],TERCEROS_INFO[#All],3,FALSE)</f>
        <v>610555.12</v>
      </c>
      <c r="N1152" s="23"/>
      <c r="O1152" s="22">
        <f>+PROVEEDORES[[#This Row],[Descuento sobre subtotal %]]*(PROVEEDORES[[#This Row],[SUBTOTAL]]-PROVEEDORES[[#This Row],[descuento sobre subtotal]])</f>
        <v>0</v>
      </c>
      <c r="P1152" s="74">
        <f>+IF(PROVEEDORES[[#This Row],[SUBTOTAL]]&lt;PROVEEDORES[[#This Row],[base retencion]],0,PROVEEDORES[[#This Row],[retención aplicada]])</f>
        <v>0</v>
      </c>
      <c r="Q1152" s="22">
        <f>+PROVEEDORES[[#This Row],[Rete Fuente %]]*(PROVEEDORES[[#This Row],[SUBTOTAL]]-PROVEEDORES[[#This Row],[descuento sobre subtotal]])</f>
        <v>0</v>
      </c>
      <c r="R1152" s="21">
        <f>+PROVEEDORES[[#This Row],[SUBTOTAL]]+PROVEEDORES[[#This Row],[IVA 19%]]-PROVEEDORES[[#This Row],[descuento sobre subtotal]]-PROVEEDORES[[#This Row],[Descuento sobre subtotal $2]]-PROVEEDORES[[#This Row],[Rete Fuente $]]</f>
        <v>3824003.12</v>
      </c>
      <c r="S115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63">
        <f ca="1">IF(PROVEEDORES[[#This Row],[FECHA DE PAGO]]=0,TODAY()-PROVEEDORES[[#This Row],[FECHA DE FACTURACIÓN]]-PROVEEDORES[[#This Row],[PLAZO Días]],0)</f>
        <v>0</v>
      </c>
      <c r="U1152" s="104">
        <f>+VLOOKUP(PROVEEDORES[[#This Row],[PROVEEDOR]],Terceros!$A:$D,4,FALSE)</f>
        <v>0</v>
      </c>
      <c r="V1152" s="105">
        <f>+YEAR(PROVEEDORES[[#This Row],[FECHA DE FACTURACIÓN]])</f>
        <v>2022</v>
      </c>
      <c r="W1152" s="105">
        <f>+MATCH(PROVEEDORES[[#This Row],[año facturado]],Retenciones!$1:$1,0)</f>
        <v>5</v>
      </c>
      <c r="X1152" s="106">
        <f>+VLOOKUP(PROVEEDORES[[#This Row],[ID RETENCION]],Retenciones!$A$1:$O$25,PROVEEDORES[[#This Row],[indicador de columna]],FALSE)</f>
        <v>0</v>
      </c>
      <c r="Y1152" s="107">
        <f>+VLOOKUP(PROVEEDORES[[#This Row],[ID RETENCION]],Retenciones!$A$1:$O$25,2,FALSE)</f>
        <v>0</v>
      </c>
      <c r="Z1152" s="116" t="b">
        <f>OR(COUNTIF(PROVEEDORES[[#This Row],[PROVEEDOR]],"*"&amp;'Palabra no opera'!$A$2&amp;"*"))</f>
        <v>1</v>
      </c>
    </row>
    <row r="1153" spans="1:26" ht="22.35" customHeight="1" x14ac:dyDescent="0.3">
      <c r="A1153" s="249" t="str">
        <f>+IF(PROVEEDORES[[#This Row],[FECHA DE PAGO]]=PROVEEDORES[[#This Row],[FECHA DE FACTURACIÓN]],"DE CONTADO","CRÉDITO")</f>
        <v>CRÉDITO</v>
      </c>
      <c r="B1153" s="38" t="str">
        <f>+IF((PROVEEDORES[[#This Row],[FECHA DE PAGO]]-PROVEEDORES[[#This Row],[FECHA DE FACTURACIÓN]])&gt;PROVEEDORES[[#This Row],[PLAZO Días]],"PAGO VENCIDO")</f>
        <v>PAGO VENCIDO</v>
      </c>
      <c r="C1153" s="20">
        <f>+VLOOKUP(PROVEEDORES[[#This Row],[PROVEEDOR]],TERCEROS_INFO[#All],2,FALSE)</f>
        <v>30</v>
      </c>
      <c r="D1153" s="25">
        <f>+SUMIFS(PROVEEDORES[Total],PROVEEDORES[PROVEEDOR],PROVEEDORES[[#This Row],[PROVEEDOR]],PROVEEDORES[FECHA DE PAGO],"")</f>
        <v>0</v>
      </c>
      <c r="E1153" s="25"/>
      <c r="F1153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153" s="68">
        <v>44951</v>
      </c>
      <c r="H1153" s="26" t="s">
        <v>964</v>
      </c>
      <c r="I1153" s="68">
        <v>44908</v>
      </c>
      <c r="J1153" s="35">
        <v>39131</v>
      </c>
      <c r="K1153" s="21">
        <v>3980400</v>
      </c>
      <c r="L1153" s="21"/>
      <c r="M1153" s="22">
        <f>(PROVEEDORES[[#This Row],[SUBTOTAL]]-PROVEEDORES[[#This Row],[descuento sobre subtotal]])*VLOOKUP(PROVEEDORES[[#This Row],[PROVEEDOR]],TERCEROS_INFO[#All],3,FALSE)</f>
        <v>756276</v>
      </c>
      <c r="N1153" s="23"/>
      <c r="O1153" s="22">
        <f>+PROVEEDORES[[#This Row],[Descuento sobre subtotal %]]*(PROVEEDORES[[#This Row],[SUBTOTAL]]-PROVEEDORES[[#This Row],[descuento sobre subtotal]])</f>
        <v>0</v>
      </c>
      <c r="P1153" s="74">
        <f>+IF(PROVEEDORES[[#This Row],[SUBTOTAL]]&lt;PROVEEDORES[[#This Row],[base retencion]],0,PROVEEDORES[[#This Row],[retención aplicada]])</f>
        <v>0</v>
      </c>
      <c r="Q1153" s="22">
        <f>+PROVEEDORES[[#This Row],[Rete Fuente %]]*(PROVEEDORES[[#This Row],[SUBTOTAL]]-PROVEEDORES[[#This Row],[descuento sobre subtotal]])</f>
        <v>0</v>
      </c>
      <c r="R1153" s="21">
        <f>+PROVEEDORES[[#This Row],[SUBTOTAL]]+PROVEEDORES[[#This Row],[IVA 19%]]-PROVEEDORES[[#This Row],[descuento sobre subtotal]]-PROVEEDORES[[#This Row],[Descuento sobre subtotal $2]]-PROVEEDORES[[#This Row],[Rete Fuente $]]</f>
        <v>4736676</v>
      </c>
      <c r="S1153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63">
        <f ca="1">IF(PROVEEDORES[[#This Row],[FECHA DE PAGO]]=0,TODAY()-PROVEEDORES[[#This Row],[FECHA DE FACTURACIÓN]]-PROVEEDORES[[#This Row],[PLAZO Días]],0)</f>
        <v>0</v>
      </c>
      <c r="U1153" s="104">
        <f>+VLOOKUP(PROVEEDORES[[#This Row],[PROVEEDOR]],Terceros!$A:$D,4,FALSE)</f>
        <v>0</v>
      </c>
      <c r="V1153" s="105">
        <f>+YEAR(PROVEEDORES[[#This Row],[FECHA DE FACTURACIÓN]])</f>
        <v>2022</v>
      </c>
      <c r="W1153" s="105">
        <f>+MATCH(PROVEEDORES[[#This Row],[año facturado]],Retenciones!$1:$1,0)</f>
        <v>5</v>
      </c>
      <c r="X1153" s="106">
        <f>+VLOOKUP(PROVEEDORES[[#This Row],[ID RETENCION]],Retenciones!$A$1:$O$25,PROVEEDORES[[#This Row],[indicador de columna]],FALSE)</f>
        <v>0</v>
      </c>
      <c r="Y1153" s="107">
        <f>+VLOOKUP(PROVEEDORES[[#This Row],[ID RETENCION]],Retenciones!$A$1:$O$25,2,FALSE)</f>
        <v>0</v>
      </c>
      <c r="Z1153" s="116" t="b">
        <f>OR(COUNTIF(PROVEEDORES[[#This Row],[PROVEEDOR]],"*"&amp;'Palabra no opera'!$A$2&amp;"*"))</f>
        <v>0</v>
      </c>
    </row>
    <row r="1154" spans="1:26" ht="22.35" customHeight="1" x14ac:dyDescent="0.3">
      <c r="A1154" s="67" t="str">
        <f>+IF(PROVEEDORES[[#This Row],[FECHA DE PAGO]]=PROVEEDORES[[#This Row],[FECHA DE FACTURACIÓN]],"DE CONTADO","CRÉDITO")</f>
        <v>DE CONTADO</v>
      </c>
      <c r="B1154" s="38" t="b">
        <f>+IF((PROVEEDORES[[#This Row],[FECHA DE PAGO]]-PROVEEDORES[[#This Row],[FECHA DE FACTURACIÓN]])&gt;PROVEEDORES[[#This Row],[PLAZO Días]],"PAGO VENCIDO")</f>
        <v>0</v>
      </c>
      <c r="C1154" s="20">
        <f>+VLOOKUP(PROVEEDORES[[#This Row],[PROVEEDOR]],TERCEROS_INFO[#All],2,FALSE)</f>
        <v>30</v>
      </c>
      <c r="D1154" s="25">
        <f>+SUMIFS(PROVEEDORES[Total],PROVEEDORES[PROVEEDOR],PROVEEDORES[[#This Row],[PROVEEDOR]],PROVEEDORES[FECHA DE PAGO],"")</f>
        <v>0</v>
      </c>
      <c r="E1154" s="25"/>
      <c r="F1154" s="56" t="str">
        <f>+VLOOKUP(PROVEEDORES[[#This Row],[PROVEEDOR]],
                       Terceros!$A:$F,
                       5,
                       FALSE)</f>
        <v/>
      </c>
      <c r="G1154" s="68">
        <v>44952</v>
      </c>
      <c r="H1154" s="26" t="s">
        <v>356</v>
      </c>
      <c r="I1154" s="68">
        <v>44952</v>
      </c>
      <c r="J1154" s="35" t="s">
        <v>1398</v>
      </c>
      <c r="K1154" s="21">
        <v>1193000</v>
      </c>
      <c r="L1154" s="21"/>
      <c r="M1154" s="22">
        <f>(PROVEEDORES[[#This Row],[SUBTOTAL]]-PROVEEDORES[[#This Row],[descuento sobre subtotal]])*VLOOKUP(PROVEEDORES[[#This Row],[PROVEEDOR]],TERCEROS_INFO[#All],3,FALSE)</f>
        <v>0</v>
      </c>
      <c r="N1154" s="23"/>
      <c r="O1154" s="22">
        <f>+PROVEEDORES[[#This Row],[Descuento sobre subtotal %]]*(PROVEEDORES[[#This Row],[SUBTOTAL]]-PROVEEDORES[[#This Row],[descuento sobre subtotal]])</f>
        <v>0</v>
      </c>
      <c r="P1154" s="74">
        <f>+IF(PROVEEDORES[[#This Row],[SUBTOTAL]]&lt;PROVEEDORES[[#This Row],[base retencion]],0,PROVEEDORES[[#This Row],[retención aplicada]])</f>
        <v>0</v>
      </c>
      <c r="Q1154" s="22">
        <f>+PROVEEDORES[[#This Row],[Rete Fuente %]]*(PROVEEDORES[[#This Row],[SUBTOTAL]]-PROVEEDORES[[#This Row],[descuento sobre subtotal]])</f>
        <v>0</v>
      </c>
      <c r="R1154" s="21">
        <f>+PROVEEDORES[[#This Row],[SUBTOTAL]]+PROVEEDORES[[#This Row],[IVA 19%]]-PROVEEDORES[[#This Row],[descuento sobre subtotal]]-PROVEEDORES[[#This Row],[Descuento sobre subtotal $2]]-PROVEEDORES[[#This Row],[Rete Fuente $]]</f>
        <v>1193000</v>
      </c>
      <c r="S11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63">
        <f ca="1">IF(PROVEEDORES[[#This Row],[FECHA DE PAGO]]=0,TODAY()-PROVEEDORES[[#This Row],[FECHA DE FACTURACIÓN]]-PROVEEDORES[[#This Row],[PLAZO Días]],0)</f>
        <v>0</v>
      </c>
      <c r="U1154" s="104">
        <f>+VLOOKUP(PROVEEDORES[[#This Row],[PROVEEDOR]],Terceros!$A:$D,4,FALSE)</f>
        <v>0</v>
      </c>
      <c r="V1154" s="105">
        <f>+YEAR(PROVEEDORES[[#This Row],[FECHA DE FACTURACIÓN]])</f>
        <v>2023</v>
      </c>
      <c r="W1154" s="105">
        <f>+MATCH(PROVEEDORES[[#This Row],[año facturado]],Retenciones!$1:$1,0)</f>
        <v>6</v>
      </c>
      <c r="X1154" s="106">
        <f>+VLOOKUP(PROVEEDORES[[#This Row],[ID RETENCION]],Retenciones!$A$1:$O$25,PROVEEDORES[[#This Row],[indicador de columna]],FALSE)</f>
        <v>0</v>
      </c>
      <c r="Y1154" s="107">
        <f>+VLOOKUP(PROVEEDORES[[#This Row],[ID RETENCION]],Retenciones!$A$1:$O$25,2,FALSE)</f>
        <v>0</v>
      </c>
      <c r="Z1154" s="116" t="b">
        <f>OR(COUNTIF(PROVEEDORES[[#This Row],[PROVEEDOR]],"*"&amp;'Palabra no opera'!$A$2&amp;"*"))</f>
        <v>0</v>
      </c>
    </row>
    <row r="1155" spans="1:26" ht="22.35" customHeight="1" x14ac:dyDescent="0.3">
      <c r="A1155" s="67" t="str">
        <f>+IF(PROVEEDORES[[#This Row],[FECHA DE PAGO]]=PROVEEDORES[[#This Row],[FECHA DE FACTURACIÓN]],"DE CONTADO","CRÉDITO")</f>
        <v>CRÉDITO</v>
      </c>
      <c r="B1155" s="38" t="b">
        <f>+IF((PROVEEDORES[[#This Row],[FECHA DE PAGO]]-PROVEEDORES[[#This Row],[FECHA DE FACTURACIÓN]])&gt;PROVEEDORES[[#This Row],[PLAZO Días]],"PAGO VENCIDO")</f>
        <v>0</v>
      </c>
      <c r="C1155" s="20">
        <f>+VLOOKUP(PROVEEDORES[[#This Row],[PROVEEDOR]],TERCEROS_INFO[#All],2,FALSE)</f>
        <v>30</v>
      </c>
      <c r="D1155" s="25">
        <f>+SUMIFS(PROVEEDORES[Total],PROVEEDORES[PROVEEDOR],PROVEEDORES[[#This Row],[PROVEEDOR]],PROVEEDORES[FECHA DE PAGO],"")</f>
        <v>0</v>
      </c>
      <c r="E1155" s="25"/>
      <c r="F115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55" s="68">
        <v>44952</v>
      </c>
      <c r="H1155" s="26" t="s">
        <v>966</v>
      </c>
      <c r="I1155" s="68">
        <v>44945</v>
      </c>
      <c r="J1155" s="35">
        <v>394</v>
      </c>
      <c r="K1155" s="21">
        <v>300000</v>
      </c>
      <c r="L1155" s="21"/>
      <c r="M1155" s="22">
        <f>(PROVEEDORES[[#This Row],[SUBTOTAL]]-PROVEEDORES[[#This Row],[descuento sobre subtotal]])*VLOOKUP(PROVEEDORES[[#This Row],[PROVEEDOR]],TERCEROS_INFO[#All],3,FALSE)</f>
        <v>0</v>
      </c>
      <c r="N1155" s="23"/>
      <c r="O1155" s="22">
        <f>+PROVEEDORES[[#This Row],[Descuento sobre subtotal %]]*(PROVEEDORES[[#This Row],[SUBTOTAL]]-PROVEEDORES[[#This Row],[descuento sobre subtotal]])</f>
        <v>0</v>
      </c>
      <c r="P1155" s="74">
        <f>+IF(PROVEEDORES[[#This Row],[SUBTOTAL]]&lt;PROVEEDORES[[#This Row],[base retencion]],0,PROVEEDORES[[#This Row],[retención aplicada]])</f>
        <v>0</v>
      </c>
      <c r="Q1155" s="22">
        <f>+PROVEEDORES[[#This Row],[Rete Fuente %]]*(PROVEEDORES[[#This Row],[SUBTOTAL]]-PROVEEDORES[[#This Row],[descuento sobre subtotal]])</f>
        <v>0</v>
      </c>
      <c r="R1155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15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63">
        <f ca="1">IF(PROVEEDORES[[#This Row],[FECHA DE PAGO]]=0,TODAY()-PROVEEDORES[[#This Row],[FECHA DE FACTURACIÓN]]-PROVEEDORES[[#This Row],[PLAZO Días]],0)</f>
        <v>0</v>
      </c>
      <c r="U1155" s="104">
        <f>+VLOOKUP(PROVEEDORES[[#This Row],[PROVEEDOR]],Terceros!$A:$D,4,FALSE)</f>
        <v>0</v>
      </c>
      <c r="V1155" s="105">
        <f>+YEAR(PROVEEDORES[[#This Row],[FECHA DE FACTURACIÓN]])</f>
        <v>2023</v>
      </c>
      <c r="W1155" s="105">
        <f>+MATCH(PROVEEDORES[[#This Row],[año facturado]],Retenciones!$1:$1,0)</f>
        <v>6</v>
      </c>
      <c r="X1155" s="106">
        <f>+VLOOKUP(PROVEEDORES[[#This Row],[ID RETENCION]],Retenciones!$A$1:$O$25,PROVEEDORES[[#This Row],[indicador de columna]],FALSE)</f>
        <v>0</v>
      </c>
      <c r="Y1155" s="107">
        <f>+VLOOKUP(PROVEEDORES[[#This Row],[ID RETENCION]],Retenciones!$A$1:$O$25,2,FALSE)</f>
        <v>0</v>
      </c>
      <c r="Z1155" s="116" t="b">
        <f>OR(COUNTIF(PROVEEDORES[[#This Row],[PROVEEDOR]],"*"&amp;'Palabra no opera'!$A$2&amp;"*"))</f>
        <v>0</v>
      </c>
    </row>
    <row r="1156" spans="1:26" ht="22.35" customHeight="1" x14ac:dyDescent="0.3">
      <c r="A1156" s="67" t="str">
        <f>+IF(PROVEEDORES[[#This Row],[FECHA DE PAGO]]=PROVEEDORES[[#This Row],[FECHA DE FACTURACIÓN]],"DE CONTADO","CRÉDITO")</f>
        <v>CRÉDITO</v>
      </c>
      <c r="B1156" s="38" t="b">
        <f>+IF((PROVEEDORES[[#This Row],[FECHA DE PAGO]]-PROVEEDORES[[#This Row],[FECHA DE FACTURACIÓN]])&gt;PROVEEDORES[[#This Row],[PLAZO Días]],"PAGO VENCIDO")</f>
        <v>0</v>
      </c>
      <c r="C1156" s="20">
        <f>+VLOOKUP(PROVEEDORES[[#This Row],[PROVEEDOR]],TERCEROS_INFO[#All],2,FALSE)</f>
        <v>30</v>
      </c>
      <c r="D1156" s="25">
        <f>+SUMIFS(PROVEEDORES[Total],PROVEEDORES[PROVEEDOR],PROVEEDORES[[#This Row],[PROVEEDOR]],PROVEEDORES[FECHA DE PAGO],"")</f>
        <v>0</v>
      </c>
      <c r="E1156" s="25"/>
      <c r="F115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56" s="68">
        <v>44952</v>
      </c>
      <c r="H1156" s="26" t="s">
        <v>623</v>
      </c>
      <c r="I1156" s="68">
        <v>44931</v>
      </c>
      <c r="J1156" s="35" t="s">
        <v>1621</v>
      </c>
      <c r="K1156" s="21">
        <v>895663</v>
      </c>
      <c r="L1156" s="21"/>
      <c r="M1156" s="22">
        <f>(PROVEEDORES[[#This Row],[SUBTOTAL]]-PROVEEDORES[[#This Row],[descuento sobre subtotal]])*VLOOKUP(PROVEEDORES[[#This Row],[PROVEEDOR]],TERCEROS_INFO[#All],3,FALSE)</f>
        <v>170175.97</v>
      </c>
      <c r="N1156" s="23"/>
      <c r="O1156" s="22">
        <f>+PROVEEDORES[[#This Row],[Descuento sobre subtotal %]]*(PROVEEDORES[[#This Row],[SUBTOTAL]]-PROVEEDORES[[#This Row],[descuento sobre subtotal]])</f>
        <v>0</v>
      </c>
      <c r="P1156" s="74">
        <f>+IF(PROVEEDORES[[#This Row],[SUBTOTAL]]&lt;PROVEEDORES[[#This Row],[base retencion]],0,PROVEEDORES[[#This Row],[retención aplicada]])</f>
        <v>0.04</v>
      </c>
      <c r="Q1156" s="22">
        <f>+PROVEEDORES[[#This Row],[Rete Fuente %]]*(PROVEEDORES[[#This Row],[SUBTOTAL]]-PROVEEDORES[[#This Row],[descuento sobre subtotal]])</f>
        <v>35826.520000000004</v>
      </c>
      <c r="R1156" s="21">
        <f>+PROVEEDORES[[#This Row],[SUBTOTAL]]+PROVEEDORES[[#This Row],[IVA 19%]]-PROVEEDORES[[#This Row],[descuento sobre subtotal]]-PROVEEDORES[[#This Row],[Descuento sobre subtotal $2]]-PROVEEDORES[[#This Row],[Rete Fuente $]]</f>
        <v>1030012.45</v>
      </c>
      <c r="S11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63">
        <f ca="1">IF(PROVEEDORES[[#This Row],[FECHA DE PAGO]]=0,TODAY()-PROVEEDORES[[#This Row],[FECHA DE FACTURACIÓN]]-PROVEEDORES[[#This Row],[PLAZO Días]],0)</f>
        <v>0</v>
      </c>
      <c r="U1156" s="104" t="str">
        <f>+VLOOKUP(PROVEEDORES[[#This Row],[PROVEEDOR]],Terceros!$A:$D,4,FALSE)</f>
        <v>4% sin base</v>
      </c>
      <c r="V1156" s="105">
        <f>+YEAR(PROVEEDORES[[#This Row],[FECHA DE FACTURACIÓN]])</f>
        <v>2023</v>
      </c>
      <c r="W1156" s="105">
        <f>+MATCH(PROVEEDORES[[#This Row],[año facturado]],Retenciones!$1:$1,0)</f>
        <v>6</v>
      </c>
      <c r="X1156" s="106">
        <f>+VLOOKUP(PROVEEDORES[[#This Row],[ID RETENCION]],Retenciones!$A$1:$O$25,PROVEEDORES[[#This Row],[indicador de columna]],FALSE)</f>
        <v>0</v>
      </c>
      <c r="Y1156" s="107">
        <f>+VLOOKUP(PROVEEDORES[[#This Row],[ID RETENCION]],Retenciones!$A$1:$O$25,2,FALSE)</f>
        <v>0.04</v>
      </c>
      <c r="Z1156" s="116" t="b">
        <f>OR(COUNTIF(PROVEEDORES[[#This Row],[PROVEEDOR]],"*"&amp;'Palabra no opera'!$A$2&amp;"*"))</f>
        <v>1</v>
      </c>
    </row>
    <row r="1157" spans="1:26" ht="22.35" customHeight="1" x14ac:dyDescent="0.3">
      <c r="A1157" s="67" t="str">
        <f>+IF(PROVEEDORES[[#This Row],[FECHA DE PAGO]]=PROVEEDORES[[#This Row],[FECHA DE FACTURACIÓN]],"DE CONTADO","CRÉDITO")</f>
        <v>CRÉDITO</v>
      </c>
      <c r="B1157" s="38" t="b">
        <f>+IF((PROVEEDORES[[#This Row],[FECHA DE PAGO]]-PROVEEDORES[[#This Row],[FECHA DE FACTURACIÓN]])&gt;PROVEEDORES[[#This Row],[PLAZO Días]],"PAGO VENCIDO")</f>
        <v>0</v>
      </c>
      <c r="C1157" s="20">
        <f>+VLOOKUP(PROVEEDORES[[#This Row],[PROVEEDOR]],TERCEROS_INFO[#All],2,FALSE)</f>
        <v>30</v>
      </c>
      <c r="D1157" s="25">
        <f>+SUMIFS(PROVEEDORES[Total],PROVEEDORES[PROVEEDOR],PROVEEDORES[[#This Row],[PROVEEDOR]],PROVEEDORES[FECHA DE PAGO],"")</f>
        <v>0</v>
      </c>
      <c r="E1157" s="25"/>
      <c r="F1157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57" s="68">
        <v>44952</v>
      </c>
      <c r="H1157" s="26" t="s">
        <v>967</v>
      </c>
      <c r="I1157" s="68">
        <v>44945</v>
      </c>
      <c r="J1157" s="35" t="s">
        <v>1390</v>
      </c>
      <c r="K1157" s="21">
        <v>276000</v>
      </c>
      <c r="L1157" s="21"/>
      <c r="M1157" s="22">
        <f>(PROVEEDORES[[#This Row],[SUBTOTAL]]-PROVEEDORES[[#This Row],[descuento sobre subtotal]])*VLOOKUP(PROVEEDORES[[#This Row],[PROVEEDOR]],TERCEROS_INFO[#All],3,FALSE)</f>
        <v>0</v>
      </c>
      <c r="N1157" s="23"/>
      <c r="O1157" s="22">
        <f>+PROVEEDORES[[#This Row],[Descuento sobre subtotal %]]*(PROVEEDORES[[#This Row],[SUBTOTAL]]-PROVEEDORES[[#This Row],[descuento sobre subtotal]])</f>
        <v>0</v>
      </c>
      <c r="P1157" s="74">
        <f>+IF(PROVEEDORES[[#This Row],[SUBTOTAL]]&lt;PROVEEDORES[[#This Row],[base retencion]],0,PROVEEDORES[[#This Row],[retención aplicada]])</f>
        <v>0.01</v>
      </c>
      <c r="Q1157" s="22">
        <f>+PROVEEDORES[[#This Row],[Rete Fuente %]]*(PROVEEDORES[[#This Row],[SUBTOTAL]]-PROVEEDORES[[#This Row],[descuento sobre subtotal]])</f>
        <v>2760</v>
      </c>
      <c r="R1157" s="21">
        <f>+PROVEEDORES[[#This Row],[SUBTOTAL]]+PROVEEDORES[[#This Row],[IVA 19%]]-PROVEEDORES[[#This Row],[descuento sobre subtotal]]-PROVEEDORES[[#This Row],[Descuento sobre subtotal $2]]-PROVEEDORES[[#This Row],[Rete Fuente $]]</f>
        <v>273240</v>
      </c>
      <c r="S11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63">
        <f ca="1">IF(PROVEEDORES[[#This Row],[FECHA DE PAGO]]=0,TODAY()-PROVEEDORES[[#This Row],[FECHA DE FACTURACIÓN]]-PROVEEDORES[[#This Row],[PLAZO Días]],0)</f>
        <v>0</v>
      </c>
      <c r="U1157" s="104" t="str">
        <f>+VLOOKUP(PROVEEDORES[[#This Row],[PROVEEDOR]],Terceros!$A:$D,4,FALSE)</f>
        <v>1% con base</v>
      </c>
      <c r="V1157" s="105">
        <f>+YEAR(PROVEEDORES[[#This Row],[FECHA DE FACTURACIÓN]])</f>
        <v>2023</v>
      </c>
      <c r="W1157" s="105">
        <f>+MATCH(PROVEEDORES[[#This Row],[año facturado]],Retenciones!$1:$1,0)</f>
        <v>6</v>
      </c>
      <c r="X1157" s="106">
        <f>+VLOOKUP(PROVEEDORES[[#This Row],[ID RETENCION]],Retenciones!$A$1:$O$25,PROVEEDORES[[#This Row],[indicador de columna]],FALSE)</f>
        <v>170000</v>
      </c>
      <c r="Y1157" s="107">
        <f>+VLOOKUP(PROVEEDORES[[#This Row],[ID RETENCION]],Retenciones!$A$1:$O$25,2,FALSE)</f>
        <v>0.01</v>
      </c>
      <c r="Z1157" s="116" t="b">
        <f>OR(COUNTIF(PROVEEDORES[[#This Row],[PROVEEDOR]],"*"&amp;'Palabra no opera'!$A$2&amp;"*"))</f>
        <v>0</v>
      </c>
    </row>
    <row r="1158" spans="1:26" ht="22.35" customHeight="1" x14ac:dyDescent="0.3">
      <c r="A1158" s="67" t="str">
        <f>+IF(PROVEEDORES[[#This Row],[FECHA DE PAGO]]=PROVEEDORES[[#This Row],[FECHA DE FACTURACIÓN]],"DE CONTADO","CRÉDITO")</f>
        <v>CRÉDITO</v>
      </c>
      <c r="B1158" s="38" t="b">
        <f>+IF((PROVEEDORES[[#This Row],[FECHA DE PAGO]]-PROVEEDORES[[#This Row],[FECHA DE FACTURACIÓN]])&gt;PROVEEDORES[[#This Row],[PLAZO Días]],"PAGO VENCIDO")</f>
        <v>0</v>
      </c>
      <c r="C1158" s="20">
        <f>+VLOOKUP(PROVEEDORES[[#This Row],[PROVEEDOR]],TERCEROS_INFO[#All],2,FALSE)</f>
        <v>30</v>
      </c>
      <c r="D1158" s="25">
        <f>+SUMIFS(PROVEEDORES[Total],PROVEEDORES[PROVEEDOR],PROVEEDORES[[#This Row],[PROVEEDOR]],PROVEEDORES[FECHA DE PAGO],"")</f>
        <v>0</v>
      </c>
      <c r="E1158" s="25"/>
      <c r="F1158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158" s="68">
        <v>44952</v>
      </c>
      <c r="H1158" s="26" t="s">
        <v>635</v>
      </c>
      <c r="I1158" s="68">
        <v>44944</v>
      </c>
      <c r="J1158" s="35">
        <v>5652</v>
      </c>
      <c r="K1158" s="21">
        <v>3002200</v>
      </c>
      <c r="L1158" s="21"/>
      <c r="M1158" s="22">
        <f>(PROVEEDORES[[#This Row],[SUBTOTAL]]-PROVEEDORES[[#This Row],[descuento sobre subtotal]])*VLOOKUP(PROVEEDORES[[#This Row],[PROVEEDOR]],TERCEROS_INFO[#All],3,FALSE)</f>
        <v>0</v>
      </c>
      <c r="N1158" s="23"/>
      <c r="O1158" s="22">
        <f>+PROVEEDORES[[#This Row],[Descuento sobre subtotal %]]*(PROVEEDORES[[#This Row],[SUBTOTAL]]-PROVEEDORES[[#This Row],[descuento sobre subtotal]])</f>
        <v>0</v>
      </c>
      <c r="P1158" s="74">
        <f>+IF(PROVEEDORES[[#This Row],[SUBTOTAL]]&lt;PROVEEDORES[[#This Row],[base retencion]],0,PROVEEDORES[[#This Row],[retención aplicada]])</f>
        <v>3.5000000000000003E-2</v>
      </c>
      <c r="Q1158" s="22">
        <f>+PROVEEDORES[[#This Row],[Rete Fuente %]]*(PROVEEDORES[[#This Row],[SUBTOTAL]]-PROVEEDORES[[#This Row],[descuento sobre subtotal]])</f>
        <v>105077.00000000001</v>
      </c>
      <c r="R1158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1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63">
        <f ca="1">IF(PROVEEDORES[[#This Row],[FECHA DE PAGO]]=0,TODAY()-PROVEEDORES[[#This Row],[FECHA DE FACTURACIÓN]]-PROVEEDORES[[#This Row],[PLAZO Días]],0)</f>
        <v>0</v>
      </c>
      <c r="U1158" s="104" t="str">
        <f>+VLOOKUP(PROVEEDORES[[#This Row],[PROVEEDOR]],Terceros!$A:$D,4,FALSE)</f>
        <v>3,5% sin base</v>
      </c>
      <c r="V1158" s="105">
        <f>+YEAR(PROVEEDORES[[#This Row],[FECHA DE FACTURACIÓN]])</f>
        <v>2023</v>
      </c>
      <c r="W1158" s="105">
        <f>+MATCH(PROVEEDORES[[#This Row],[año facturado]],Retenciones!$1:$1,0)</f>
        <v>6</v>
      </c>
      <c r="X1158" s="106">
        <f>+VLOOKUP(PROVEEDORES[[#This Row],[ID RETENCION]],Retenciones!$A$1:$O$25,PROVEEDORES[[#This Row],[indicador de columna]],FALSE)</f>
        <v>0</v>
      </c>
      <c r="Y1158" s="107">
        <f>+VLOOKUP(PROVEEDORES[[#This Row],[ID RETENCION]],Retenciones!$A$1:$O$25,2,FALSE)</f>
        <v>3.5000000000000003E-2</v>
      </c>
      <c r="Z1158" s="116" t="b">
        <f>OR(COUNTIF(PROVEEDORES[[#This Row],[PROVEEDOR]],"*"&amp;'Palabra no opera'!$A$2&amp;"*"))</f>
        <v>1</v>
      </c>
    </row>
    <row r="1159" spans="1:26" ht="22.35" customHeight="1" x14ac:dyDescent="0.3">
      <c r="A1159" s="67" t="str">
        <f>+IF(PROVEEDORES[[#This Row],[FECHA DE PAGO]]=PROVEEDORES[[#This Row],[FECHA DE FACTURACIÓN]],"DE CONTADO","CRÉDITO")</f>
        <v>CRÉDITO</v>
      </c>
      <c r="B1159" s="38" t="b">
        <f>+IF((PROVEEDORES[[#This Row],[FECHA DE PAGO]]-PROVEEDORES[[#This Row],[FECHA DE FACTURACIÓN]])&gt;PROVEEDORES[[#This Row],[PLAZO Días]],"PAGO VENCIDO")</f>
        <v>0</v>
      </c>
      <c r="C1159" s="20">
        <f>+VLOOKUP(PROVEEDORES[[#This Row],[PROVEEDOR]],TERCEROS_INFO[#All],2,FALSE)</f>
        <v>30</v>
      </c>
      <c r="D1159" s="25">
        <f>+SUMIFS(PROVEEDORES[Total],PROVEEDORES[PROVEEDOR],PROVEEDORES[[#This Row],[PROVEEDOR]],PROVEEDORES[FECHA DE PAGO],"")</f>
        <v>0</v>
      </c>
      <c r="E1159" s="25"/>
      <c r="F115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59" s="68">
        <v>44952</v>
      </c>
      <c r="H1159" s="26" t="s">
        <v>637</v>
      </c>
      <c r="I1159" s="68">
        <v>44930</v>
      </c>
      <c r="J1159" s="35" t="s">
        <v>1386</v>
      </c>
      <c r="K1159" s="21">
        <v>949891</v>
      </c>
      <c r="L1159" s="21"/>
      <c r="M1159" s="22">
        <f>(PROVEEDORES[[#This Row],[SUBTOTAL]]-PROVEEDORES[[#This Row],[descuento sobre subtotal]])*VLOOKUP(PROVEEDORES[[#This Row],[PROVEEDOR]],TERCEROS_INFO[#All],3,FALSE)</f>
        <v>0</v>
      </c>
      <c r="N1159" s="23"/>
      <c r="O1159" s="22">
        <f>+PROVEEDORES[[#This Row],[Descuento sobre subtotal %]]*(PROVEEDORES[[#This Row],[SUBTOTAL]]-PROVEEDORES[[#This Row],[descuento sobre subtotal]])</f>
        <v>0</v>
      </c>
      <c r="P1159" s="74">
        <f>+IF(PROVEEDORES[[#This Row],[SUBTOTAL]]&lt;PROVEEDORES[[#This Row],[base retencion]],0,PROVEEDORES[[#This Row],[retención aplicada]])</f>
        <v>0</v>
      </c>
      <c r="Q1159" s="22">
        <f>+PROVEEDORES[[#This Row],[Rete Fuente %]]*(PROVEEDORES[[#This Row],[SUBTOTAL]]-PROVEEDORES[[#This Row],[descuento sobre subtotal]])</f>
        <v>0</v>
      </c>
      <c r="R1159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11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63">
        <f ca="1">IF(PROVEEDORES[[#This Row],[FECHA DE PAGO]]=0,TODAY()-PROVEEDORES[[#This Row],[FECHA DE FACTURACIÓN]]-PROVEEDORES[[#This Row],[PLAZO Días]],0)</f>
        <v>0</v>
      </c>
      <c r="U1159" s="104">
        <f>+VLOOKUP(PROVEEDORES[[#This Row],[PROVEEDOR]],Terceros!$A:$D,4,FALSE)</f>
        <v>0</v>
      </c>
      <c r="V1159" s="105">
        <f>+YEAR(PROVEEDORES[[#This Row],[FECHA DE FACTURACIÓN]])</f>
        <v>2023</v>
      </c>
      <c r="W1159" s="105">
        <f>+MATCH(PROVEEDORES[[#This Row],[año facturado]],Retenciones!$1:$1,0)</f>
        <v>6</v>
      </c>
      <c r="X1159" s="106">
        <f>+VLOOKUP(PROVEEDORES[[#This Row],[ID RETENCION]],Retenciones!$A$1:$O$25,PROVEEDORES[[#This Row],[indicador de columna]],FALSE)</f>
        <v>0</v>
      </c>
      <c r="Y1159" s="107">
        <f>+VLOOKUP(PROVEEDORES[[#This Row],[ID RETENCION]],Retenciones!$A$1:$O$25,2,FALSE)</f>
        <v>0</v>
      </c>
      <c r="Z1159" s="116" t="b">
        <f>OR(COUNTIF(PROVEEDORES[[#This Row],[PROVEEDOR]],"*"&amp;'Palabra no opera'!$A$2&amp;"*"))</f>
        <v>1</v>
      </c>
    </row>
    <row r="1160" spans="1:26" ht="22.35" customHeight="1" x14ac:dyDescent="0.3">
      <c r="A1160" s="67" t="str">
        <f>+IF(PROVEEDORES[[#This Row],[FECHA DE PAGO]]=PROVEEDORES[[#This Row],[FECHA DE FACTURACIÓN]],"DE CONTADO","CRÉDITO")</f>
        <v>CRÉDITO</v>
      </c>
      <c r="B1160" s="38" t="b">
        <f>+IF((PROVEEDORES[[#This Row],[FECHA DE PAGO]]-PROVEEDORES[[#This Row],[FECHA DE FACTURACIÓN]])&gt;PROVEEDORES[[#This Row],[PLAZO Días]],"PAGO VENCIDO")</f>
        <v>0</v>
      </c>
      <c r="C1160" s="20">
        <f>+VLOOKUP(PROVEEDORES[[#This Row],[PROVEEDOR]],TERCEROS_INFO[#All],2,FALSE)</f>
        <v>30</v>
      </c>
      <c r="D1160" s="25">
        <f>+SUMIFS(PROVEEDORES[Total],PROVEEDORES[PROVEEDOR],PROVEEDORES[[#This Row],[PROVEEDOR]],PROVEEDORES[FECHA DE PAGO],"")</f>
        <v>0</v>
      </c>
      <c r="E1160" s="25"/>
      <c r="F116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60" s="68">
        <v>44952</v>
      </c>
      <c r="H1160" s="26" t="s">
        <v>637</v>
      </c>
      <c r="I1160" s="68">
        <v>44930</v>
      </c>
      <c r="J1160" s="35" t="s">
        <v>1388</v>
      </c>
      <c r="K1160" s="21">
        <v>928304</v>
      </c>
      <c r="L1160" s="21"/>
      <c r="M1160" s="22">
        <f>(PROVEEDORES[[#This Row],[SUBTOTAL]]-PROVEEDORES[[#This Row],[descuento sobre subtotal]])*VLOOKUP(PROVEEDORES[[#This Row],[PROVEEDOR]],TERCEROS_INFO[#All],3,FALSE)</f>
        <v>0</v>
      </c>
      <c r="N1160" s="23"/>
      <c r="O1160" s="22">
        <f>+PROVEEDORES[[#This Row],[Descuento sobre subtotal %]]*(PROVEEDORES[[#This Row],[SUBTOTAL]]-PROVEEDORES[[#This Row],[descuento sobre subtotal]])</f>
        <v>0</v>
      </c>
      <c r="P1160" s="74">
        <f>+IF(PROVEEDORES[[#This Row],[SUBTOTAL]]&lt;PROVEEDORES[[#This Row],[base retencion]],0,PROVEEDORES[[#This Row],[retención aplicada]])</f>
        <v>0</v>
      </c>
      <c r="Q1160" s="22">
        <f>+PROVEEDORES[[#This Row],[Rete Fuente %]]*(PROVEEDORES[[#This Row],[SUBTOTAL]]-PROVEEDORES[[#This Row],[descuento sobre subtotal]])</f>
        <v>0</v>
      </c>
      <c r="R1160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116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63">
        <f ca="1">IF(PROVEEDORES[[#This Row],[FECHA DE PAGO]]=0,TODAY()-PROVEEDORES[[#This Row],[FECHA DE FACTURACIÓN]]-PROVEEDORES[[#This Row],[PLAZO Días]],0)</f>
        <v>0</v>
      </c>
      <c r="U1160" s="104">
        <f>+VLOOKUP(PROVEEDORES[[#This Row],[PROVEEDOR]],Terceros!$A:$D,4,FALSE)</f>
        <v>0</v>
      </c>
      <c r="V1160" s="105">
        <f>+YEAR(PROVEEDORES[[#This Row],[FECHA DE FACTURACIÓN]])</f>
        <v>2023</v>
      </c>
      <c r="W1160" s="105">
        <f>+MATCH(PROVEEDORES[[#This Row],[año facturado]],Retenciones!$1:$1,0)</f>
        <v>6</v>
      </c>
      <c r="X1160" s="106">
        <f>+VLOOKUP(PROVEEDORES[[#This Row],[ID RETENCION]],Retenciones!$A$1:$O$25,PROVEEDORES[[#This Row],[indicador de columna]],FALSE)</f>
        <v>0</v>
      </c>
      <c r="Y1160" s="107">
        <f>+VLOOKUP(PROVEEDORES[[#This Row],[ID RETENCION]],Retenciones!$A$1:$O$25,2,FALSE)</f>
        <v>0</v>
      </c>
      <c r="Z1160" s="116" t="b">
        <f>OR(COUNTIF(PROVEEDORES[[#This Row],[PROVEEDOR]],"*"&amp;'Palabra no opera'!$A$2&amp;"*"))</f>
        <v>1</v>
      </c>
    </row>
    <row r="1161" spans="1:26" ht="22.35" customHeight="1" x14ac:dyDescent="0.3">
      <c r="A1161" s="67" t="str">
        <f>+IF(PROVEEDORES[[#This Row],[FECHA DE PAGO]]=PROVEEDORES[[#This Row],[FECHA DE FACTURACIÓN]],"DE CONTADO","CRÉDITO")</f>
        <v>CRÉDITO</v>
      </c>
      <c r="B1161" s="38" t="b">
        <f>+IF((PROVEEDORES[[#This Row],[FECHA DE PAGO]]-PROVEEDORES[[#This Row],[FECHA DE FACTURACIÓN]])&gt;PROVEEDORES[[#This Row],[PLAZO Días]],"PAGO VENCIDO")</f>
        <v>0</v>
      </c>
      <c r="C1161" s="20">
        <f>+VLOOKUP(PROVEEDORES[[#This Row],[PROVEEDOR]],TERCEROS_INFO[#All],2,FALSE)</f>
        <v>30</v>
      </c>
      <c r="D1161" s="25">
        <f>+SUMIFS(PROVEEDORES[Total],PROVEEDORES[PROVEEDOR],PROVEEDORES[[#This Row],[PROVEEDOR]],PROVEEDORES[FECHA DE PAGO],"")</f>
        <v>0</v>
      </c>
      <c r="E1161" s="25"/>
      <c r="F116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61" s="68">
        <v>44952</v>
      </c>
      <c r="H1161" s="26" t="s">
        <v>637</v>
      </c>
      <c r="I1161" s="68">
        <v>44931</v>
      </c>
      <c r="J1161" s="35" t="s">
        <v>1387</v>
      </c>
      <c r="K1161" s="21">
        <v>68166</v>
      </c>
      <c r="L1161" s="21"/>
      <c r="M1161" s="22">
        <f>(PROVEEDORES[[#This Row],[SUBTOTAL]]-PROVEEDORES[[#This Row],[descuento sobre subtotal]])*VLOOKUP(PROVEEDORES[[#This Row],[PROVEEDOR]],TERCEROS_INFO[#All],3,FALSE)</f>
        <v>0</v>
      </c>
      <c r="N1161" s="23"/>
      <c r="O1161" s="22">
        <f>+PROVEEDORES[[#This Row],[Descuento sobre subtotal %]]*(PROVEEDORES[[#This Row],[SUBTOTAL]]-PROVEEDORES[[#This Row],[descuento sobre subtotal]])</f>
        <v>0</v>
      </c>
      <c r="P1161" s="74">
        <f>+IF(PROVEEDORES[[#This Row],[SUBTOTAL]]&lt;PROVEEDORES[[#This Row],[base retencion]],0,PROVEEDORES[[#This Row],[retención aplicada]])</f>
        <v>0</v>
      </c>
      <c r="Q1161" s="22">
        <f>+PROVEEDORES[[#This Row],[Rete Fuente %]]*(PROVEEDORES[[#This Row],[SUBTOTAL]]-PROVEEDORES[[#This Row],[descuento sobre subtotal]])</f>
        <v>0</v>
      </c>
      <c r="R1161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1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63">
        <f ca="1">IF(PROVEEDORES[[#This Row],[FECHA DE PAGO]]=0,TODAY()-PROVEEDORES[[#This Row],[FECHA DE FACTURACIÓN]]-PROVEEDORES[[#This Row],[PLAZO Días]],0)</f>
        <v>0</v>
      </c>
      <c r="U1161" s="104">
        <f>+VLOOKUP(PROVEEDORES[[#This Row],[PROVEEDOR]],Terceros!$A:$D,4,FALSE)</f>
        <v>0</v>
      </c>
      <c r="V1161" s="105">
        <f>+YEAR(PROVEEDORES[[#This Row],[FECHA DE FACTURACIÓN]])</f>
        <v>2023</v>
      </c>
      <c r="W1161" s="105">
        <f>+MATCH(PROVEEDORES[[#This Row],[año facturado]],Retenciones!$1:$1,0)</f>
        <v>6</v>
      </c>
      <c r="X1161" s="106">
        <f>+VLOOKUP(PROVEEDORES[[#This Row],[ID RETENCION]],Retenciones!$A$1:$O$25,PROVEEDORES[[#This Row],[indicador de columna]],FALSE)</f>
        <v>0</v>
      </c>
      <c r="Y1161" s="107">
        <f>+VLOOKUP(PROVEEDORES[[#This Row],[ID RETENCION]],Retenciones!$A$1:$O$25,2,FALSE)</f>
        <v>0</v>
      </c>
      <c r="Z1161" s="116" t="b">
        <f>OR(COUNTIF(PROVEEDORES[[#This Row],[PROVEEDOR]],"*"&amp;'Palabra no opera'!$A$2&amp;"*"))</f>
        <v>1</v>
      </c>
    </row>
    <row r="1162" spans="1:26" ht="22.35" customHeight="1" x14ac:dyDescent="0.3">
      <c r="A1162" s="67" t="str">
        <f>+IF(PROVEEDORES[[#This Row],[FECHA DE PAGO]]=PROVEEDORES[[#This Row],[FECHA DE FACTURACIÓN]],"DE CONTADO","CRÉDITO")</f>
        <v>CRÉDITO</v>
      </c>
      <c r="B1162" s="38" t="b">
        <f>+IF((PROVEEDORES[[#This Row],[FECHA DE PAGO]]-PROVEEDORES[[#This Row],[FECHA DE FACTURACIÓN]])&gt;PROVEEDORES[[#This Row],[PLAZO Días]],"PAGO VENCIDO")</f>
        <v>0</v>
      </c>
      <c r="C1162" s="20">
        <f>+VLOOKUP(PROVEEDORES[[#This Row],[PROVEEDOR]],TERCEROS_INFO[#All],2,FALSE)</f>
        <v>30</v>
      </c>
      <c r="D1162" s="25">
        <f>+SUMIFS(PROVEEDORES[Total],PROVEEDORES[PROVEEDOR],PROVEEDORES[[#This Row],[PROVEEDOR]],PROVEEDORES[FECHA DE PAGO],"")</f>
        <v>0</v>
      </c>
      <c r="E1162" s="25"/>
      <c r="F116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62" s="68">
        <v>44952</v>
      </c>
      <c r="H1162" s="26" t="s">
        <v>637</v>
      </c>
      <c r="I1162" s="68">
        <v>44931</v>
      </c>
      <c r="J1162" s="35" t="s">
        <v>1389</v>
      </c>
      <c r="K1162" s="21">
        <v>59583</v>
      </c>
      <c r="L1162" s="21"/>
      <c r="M1162" s="22">
        <f>(PROVEEDORES[[#This Row],[SUBTOTAL]]-PROVEEDORES[[#This Row],[descuento sobre subtotal]])*VLOOKUP(PROVEEDORES[[#This Row],[PROVEEDOR]],TERCEROS_INFO[#All],3,FALSE)</f>
        <v>0</v>
      </c>
      <c r="N1162" s="23"/>
      <c r="O1162" s="22">
        <f>+PROVEEDORES[[#This Row],[Descuento sobre subtotal %]]*(PROVEEDORES[[#This Row],[SUBTOTAL]]-PROVEEDORES[[#This Row],[descuento sobre subtotal]])</f>
        <v>0</v>
      </c>
      <c r="P1162" s="74">
        <f>+IF(PROVEEDORES[[#This Row],[SUBTOTAL]]&lt;PROVEEDORES[[#This Row],[base retencion]],0,PROVEEDORES[[#This Row],[retención aplicada]])</f>
        <v>0</v>
      </c>
      <c r="Q1162" s="22">
        <f>+PROVEEDORES[[#This Row],[Rete Fuente %]]*(PROVEEDORES[[#This Row],[SUBTOTAL]]-PROVEEDORES[[#This Row],[descuento sobre subtotal]])</f>
        <v>0</v>
      </c>
      <c r="R1162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1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63">
        <f ca="1">IF(PROVEEDORES[[#This Row],[FECHA DE PAGO]]=0,TODAY()-PROVEEDORES[[#This Row],[FECHA DE FACTURACIÓN]]-PROVEEDORES[[#This Row],[PLAZO Días]],0)</f>
        <v>0</v>
      </c>
      <c r="U1162" s="104">
        <f>+VLOOKUP(PROVEEDORES[[#This Row],[PROVEEDOR]],Terceros!$A:$D,4,FALSE)</f>
        <v>0</v>
      </c>
      <c r="V1162" s="105">
        <f>+YEAR(PROVEEDORES[[#This Row],[FECHA DE FACTURACIÓN]])</f>
        <v>2023</v>
      </c>
      <c r="W1162" s="105">
        <f>+MATCH(PROVEEDORES[[#This Row],[año facturado]],Retenciones!$1:$1,0)</f>
        <v>6</v>
      </c>
      <c r="X1162" s="106">
        <f>+VLOOKUP(PROVEEDORES[[#This Row],[ID RETENCION]],Retenciones!$A$1:$O$25,PROVEEDORES[[#This Row],[indicador de columna]],FALSE)</f>
        <v>0</v>
      </c>
      <c r="Y1162" s="107">
        <f>+VLOOKUP(PROVEEDORES[[#This Row],[ID RETENCION]],Retenciones!$A$1:$O$25,2,FALSE)</f>
        <v>0</v>
      </c>
      <c r="Z1162" s="116" t="b">
        <f>OR(COUNTIF(PROVEEDORES[[#This Row],[PROVEEDOR]],"*"&amp;'Palabra no opera'!$A$2&amp;"*"))</f>
        <v>1</v>
      </c>
    </row>
    <row r="1163" spans="1:26" ht="22.35" customHeight="1" x14ac:dyDescent="0.3">
      <c r="A1163" s="67" t="str">
        <f>+IF(PROVEEDORES[[#This Row],[FECHA DE PAGO]]=PROVEEDORES[[#This Row],[FECHA DE FACTURACIÓN]],"DE CONTADO","CRÉDITO")</f>
        <v>CRÉDITO</v>
      </c>
      <c r="B1163" s="38" t="b">
        <f>+IF((PROVEEDORES[[#This Row],[FECHA DE PAGO]]-PROVEEDORES[[#This Row],[FECHA DE FACTURACIÓN]])&gt;PROVEEDORES[[#This Row],[PLAZO Días]],"PAGO VENCIDO")</f>
        <v>0</v>
      </c>
      <c r="C1163" s="20">
        <f>+VLOOKUP(PROVEEDORES[[#This Row],[PROVEEDOR]],TERCEROS_INFO[#All],2,FALSE)</f>
        <v>30</v>
      </c>
      <c r="D1163" s="25">
        <f>+SUMIFS(PROVEEDORES[Total],PROVEEDORES[PROVEEDOR],PROVEEDORES[[#This Row],[PROVEEDOR]],PROVEEDORES[FECHA DE PAGO],"")</f>
        <v>0</v>
      </c>
      <c r="E1163" s="25"/>
      <c r="F1163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63" s="68">
        <v>44952</v>
      </c>
      <c r="H1163" s="26" t="s">
        <v>651</v>
      </c>
      <c r="I1163" s="68">
        <v>44928</v>
      </c>
      <c r="J1163" s="35" t="s">
        <v>1391</v>
      </c>
      <c r="K1163" s="21">
        <v>242340</v>
      </c>
      <c r="L1163" s="21"/>
      <c r="M1163" s="22">
        <f>(PROVEEDORES[[#This Row],[SUBTOTAL]]-PROVEEDORES[[#This Row],[descuento sobre subtotal]])*VLOOKUP(PROVEEDORES[[#This Row],[PROVEEDOR]],TERCEROS_INFO[#All],3,FALSE)</f>
        <v>46044.6</v>
      </c>
      <c r="N1163" s="23"/>
      <c r="O1163" s="22">
        <f>+PROVEEDORES[[#This Row],[Descuento sobre subtotal %]]*(PROVEEDORES[[#This Row],[SUBTOTAL]]-PROVEEDORES[[#This Row],[descuento sobre subtotal]])</f>
        <v>0</v>
      </c>
      <c r="P1163" s="74">
        <f>+IF(PROVEEDORES[[#This Row],[SUBTOTAL]]&lt;PROVEEDORES[[#This Row],[base retencion]],0,PROVEEDORES[[#This Row],[retención aplicada]])</f>
        <v>3.5000000000000003E-2</v>
      </c>
      <c r="Q1163" s="22">
        <f>+PROVEEDORES[[#This Row],[Rete Fuente %]]*(PROVEEDORES[[#This Row],[SUBTOTAL]]-PROVEEDORES[[#This Row],[descuento sobre subtotal]])</f>
        <v>8481.9000000000015</v>
      </c>
      <c r="R1163" s="21">
        <f>+PROVEEDORES[[#This Row],[SUBTOTAL]]+PROVEEDORES[[#This Row],[IVA 19%]]-PROVEEDORES[[#This Row],[descuento sobre subtotal]]-PROVEEDORES[[#This Row],[Descuento sobre subtotal $2]]-PROVEEDORES[[#This Row],[Rete Fuente $]]</f>
        <v>279902.69999999995</v>
      </c>
      <c r="S116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63">
        <f ca="1">IF(PROVEEDORES[[#This Row],[FECHA DE PAGO]]=0,TODAY()-PROVEEDORES[[#This Row],[FECHA DE FACTURACIÓN]]-PROVEEDORES[[#This Row],[PLAZO Días]],0)</f>
        <v>0</v>
      </c>
      <c r="U1163" s="104" t="str">
        <f>+VLOOKUP(PROVEEDORES[[#This Row],[PROVEEDOR]],Terceros!$A:$D,4,FALSE)</f>
        <v>3,5% sin base</v>
      </c>
      <c r="V1163" s="105">
        <f>+YEAR(PROVEEDORES[[#This Row],[FECHA DE FACTURACIÓN]])</f>
        <v>2023</v>
      </c>
      <c r="W1163" s="105">
        <f>+MATCH(PROVEEDORES[[#This Row],[año facturado]],Retenciones!$1:$1,0)</f>
        <v>6</v>
      </c>
      <c r="X1163" s="106">
        <f>+VLOOKUP(PROVEEDORES[[#This Row],[ID RETENCION]],Retenciones!$A$1:$O$25,PROVEEDORES[[#This Row],[indicador de columna]],FALSE)</f>
        <v>0</v>
      </c>
      <c r="Y1163" s="107">
        <f>+VLOOKUP(PROVEEDORES[[#This Row],[ID RETENCION]],Retenciones!$A$1:$O$25,2,FALSE)</f>
        <v>3.5000000000000003E-2</v>
      </c>
      <c r="Z1163" s="116" t="b">
        <f>OR(COUNTIF(PROVEEDORES[[#This Row],[PROVEEDOR]],"*"&amp;'Palabra no opera'!$A$2&amp;"*"))</f>
        <v>1</v>
      </c>
    </row>
    <row r="1164" spans="1:26" ht="22.35" customHeight="1" x14ac:dyDescent="0.3">
      <c r="A1164" s="269" t="str">
        <f>+IF(PROVEEDORES[[#This Row],[FECHA DE PAGO]]=PROVEEDORES[[#This Row],[FECHA DE FACTURACIÓN]],"DE CONTADO","CRÉDITO")</f>
        <v>CRÉDITO</v>
      </c>
      <c r="B1164" s="38" t="b">
        <f>+IF((PROVEEDORES[[#This Row],[FECHA DE PAGO]]-PROVEEDORES[[#This Row],[FECHA DE FACTURACIÓN]])&gt;PROVEEDORES[[#This Row],[PLAZO Días]],"PAGO VENCIDO")</f>
        <v>0</v>
      </c>
      <c r="C1164" s="20">
        <f>+VLOOKUP(PROVEEDORES[[#This Row],[PROVEEDOR]],TERCEROS_INFO[#All],2,FALSE)</f>
        <v>30</v>
      </c>
      <c r="D1164" s="25">
        <f>+SUMIFS(PROVEEDORES[Total],PROVEEDORES[PROVEEDOR],PROVEEDORES[[#This Row],[PROVEEDOR]],PROVEEDORES[FECHA DE PAGO],"")</f>
        <v>0</v>
      </c>
      <c r="E1164" s="25"/>
      <c r="F1164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64" s="68">
        <v>44953</v>
      </c>
      <c r="H1164" s="26" t="s">
        <v>966</v>
      </c>
      <c r="I1164" s="68">
        <v>44976</v>
      </c>
      <c r="J1164" s="35">
        <v>402</v>
      </c>
      <c r="K1164" s="21">
        <v>400000</v>
      </c>
      <c r="L1164" s="21"/>
      <c r="M1164" s="22">
        <f>(PROVEEDORES[[#This Row],[SUBTOTAL]]-PROVEEDORES[[#This Row],[descuento sobre subtotal]])*VLOOKUP(PROVEEDORES[[#This Row],[PROVEEDOR]],TERCEROS_INFO[#All],3,FALSE)</f>
        <v>0</v>
      </c>
      <c r="N1164" s="23"/>
      <c r="O1164" s="22">
        <f>+PROVEEDORES[[#This Row],[Descuento sobre subtotal %]]*(PROVEEDORES[[#This Row],[SUBTOTAL]]-PROVEEDORES[[#This Row],[descuento sobre subtotal]])</f>
        <v>0</v>
      </c>
      <c r="P1164" s="74">
        <f>+IF(PROVEEDORES[[#This Row],[SUBTOTAL]]&lt;PROVEEDORES[[#This Row],[base retencion]],0,PROVEEDORES[[#This Row],[retención aplicada]])</f>
        <v>0</v>
      </c>
      <c r="Q1164" s="22">
        <f>+PROVEEDORES[[#This Row],[Rete Fuente %]]*(PROVEEDORES[[#This Row],[SUBTOTAL]]-PROVEEDORES[[#This Row],[descuento sobre subtotal]])</f>
        <v>0</v>
      </c>
      <c r="R1164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1164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63">
        <f ca="1">IF(PROVEEDORES[[#This Row],[FECHA DE PAGO]]=0,TODAY()-PROVEEDORES[[#This Row],[FECHA DE FACTURACIÓN]]-PROVEEDORES[[#This Row],[PLAZO Días]],0)</f>
        <v>0</v>
      </c>
      <c r="U1164" s="104">
        <f>+VLOOKUP(PROVEEDORES[[#This Row],[PROVEEDOR]],Terceros!$A:$D,4,FALSE)</f>
        <v>0</v>
      </c>
      <c r="V1164" s="105">
        <f>+YEAR(PROVEEDORES[[#This Row],[FECHA DE FACTURACIÓN]])</f>
        <v>2023</v>
      </c>
      <c r="W1164" s="105">
        <f>+MATCH(PROVEEDORES[[#This Row],[año facturado]],Retenciones!$1:$1,0)</f>
        <v>6</v>
      </c>
      <c r="X1164" s="106">
        <f>+VLOOKUP(PROVEEDORES[[#This Row],[ID RETENCION]],Retenciones!$A$1:$O$25,PROVEEDORES[[#This Row],[indicador de columna]],FALSE)</f>
        <v>0</v>
      </c>
      <c r="Y1164" s="107">
        <f>+VLOOKUP(PROVEEDORES[[#This Row],[ID RETENCION]],Retenciones!$A$1:$O$25,2,FALSE)</f>
        <v>0</v>
      </c>
      <c r="Z1164" s="116" t="b">
        <f>OR(COUNTIF(PROVEEDORES[[#This Row],[PROVEEDOR]],"*"&amp;'Palabra no opera'!$A$2&amp;"*"))</f>
        <v>0</v>
      </c>
    </row>
    <row r="1165" spans="1:26" ht="22.35" customHeight="1" x14ac:dyDescent="0.3">
      <c r="A1165" s="259" t="str">
        <f>+IF(PROVEEDORES[[#This Row],[FECHA DE PAGO]]=PROVEEDORES[[#This Row],[FECHA DE FACTURACIÓN]],"DE CONTADO","CRÉDITO")</f>
        <v>CRÉDITO</v>
      </c>
      <c r="B1165" s="38" t="b">
        <f>+IF((PROVEEDORES[[#This Row],[FECHA DE PAGO]]-PROVEEDORES[[#This Row],[FECHA DE FACTURACIÓN]])&gt;PROVEEDORES[[#This Row],[PLAZO Días]],"PAGO VENCIDO")</f>
        <v>0</v>
      </c>
      <c r="C1165" s="20">
        <f>+VLOOKUP(PROVEEDORES[[#This Row],[PROVEEDOR]],TERCEROS_INFO[#All],2,FALSE)</f>
        <v>30</v>
      </c>
      <c r="D1165" s="25">
        <f>+SUMIFS(PROVEEDORES[Total],PROVEEDORES[PROVEEDOR],PROVEEDORES[[#This Row],[PROVEEDOR]],PROVEEDORES[FECHA DE PAGO],"")</f>
        <v>0</v>
      </c>
      <c r="E1165" s="25"/>
      <c r="F116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65" s="68">
        <v>44953</v>
      </c>
      <c r="H1165" s="26" t="s">
        <v>623</v>
      </c>
      <c r="I1165" s="68">
        <v>44927</v>
      </c>
      <c r="J1165" s="35" t="s">
        <v>1393</v>
      </c>
      <c r="K1165" s="21">
        <v>3294426</v>
      </c>
      <c r="L1165" s="21"/>
      <c r="M1165" s="22">
        <f>(PROVEEDORES[[#This Row],[SUBTOTAL]]-PROVEEDORES[[#This Row],[descuento sobre subtotal]])*VLOOKUP(PROVEEDORES[[#This Row],[PROVEEDOR]],TERCEROS_INFO[#All],3,FALSE)</f>
        <v>625940.94000000006</v>
      </c>
      <c r="N1165" s="23"/>
      <c r="O1165" s="22">
        <f>+PROVEEDORES[[#This Row],[Descuento sobre subtotal %]]*(PROVEEDORES[[#This Row],[SUBTOTAL]]-PROVEEDORES[[#This Row],[descuento sobre subtotal]])</f>
        <v>0</v>
      </c>
      <c r="P1165" s="74">
        <v>0</v>
      </c>
      <c r="Q1165" s="22">
        <f>+PROVEEDORES[[#This Row],[Rete Fuente %]]*(PROVEEDORES[[#This Row],[SUBTOTAL]]-PROVEEDORES[[#This Row],[descuento sobre subtotal]])</f>
        <v>0</v>
      </c>
      <c r="R1165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165" s="2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63">
        <f ca="1">IF(PROVEEDORES[[#This Row],[FECHA DE PAGO]]=0,TODAY()-PROVEEDORES[[#This Row],[FECHA DE FACTURACIÓN]]-PROVEEDORES[[#This Row],[PLAZO Días]],0)</f>
        <v>0</v>
      </c>
      <c r="U1165" s="104" t="str">
        <f>+VLOOKUP(PROVEEDORES[[#This Row],[PROVEEDOR]],Terceros!$A:$D,4,FALSE)</f>
        <v>4% sin base</v>
      </c>
      <c r="V1165" s="105">
        <f>+YEAR(PROVEEDORES[[#This Row],[FECHA DE FACTURACIÓN]])</f>
        <v>2023</v>
      </c>
      <c r="W1165" s="105">
        <f>+MATCH(PROVEEDORES[[#This Row],[año facturado]],Retenciones!$1:$1,0)</f>
        <v>6</v>
      </c>
      <c r="X1165" s="106">
        <f>+VLOOKUP(PROVEEDORES[[#This Row],[ID RETENCION]],Retenciones!$A$1:$O$25,PROVEEDORES[[#This Row],[indicador de columna]],FALSE)</f>
        <v>0</v>
      </c>
      <c r="Y1165" s="107">
        <f>+VLOOKUP(PROVEEDORES[[#This Row],[ID RETENCION]],Retenciones!$A$1:$O$25,2,FALSE)</f>
        <v>0.04</v>
      </c>
      <c r="Z1165" s="116" t="b">
        <f>OR(COUNTIF(PROVEEDORES[[#This Row],[PROVEEDOR]],"*"&amp;'Palabra no opera'!$A$2&amp;"*"))</f>
        <v>1</v>
      </c>
    </row>
    <row r="1166" spans="1:26" ht="22.35" customHeight="1" x14ac:dyDescent="0.3">
      <c r="A1166" s="269" t="str">
        <f>+IF(PROVEEDORES[[#This Row],[FECHA DE PAGO]]=PROVEEDORES[[#This Row],[FECHA DE FACTURACIÓN]],"DE CONTADO","CRÉDITO")</f>
        <v>CRÉDITO</v>
      </c>
      <c r="B1166" s="38" t="b">
        <f>+IF((PROVEEDORES[[#This Row],[FECHA DE PAGO]]-PROVEEDORES[[#This Row],[FECHA DE FACTURACIÓN]])&gt;PROVEEDORES[[#This Row],[PLAZO Días]],"PAGO VENCIDO")</f>
        <v>0</v>
      </c>
      <c r="C1166" s="20">
        <f>+VLOOKUP(PROVEEDORES[[#This Row],[PROVEEDOR]],TERCEROS_INFO[#All],2,FALSE)</f>
        <v>30</v>
      </c>
      <c r="D1166" s="25">
        <f>+SUMIFS(PROVEEDORES[Total],PROVEEDORES[PROVEEDOR],PROVEEDORES[[#This Row],[PROVEEDOR]],PROVEEDORES[FECHA DE PAGO],"")</f>
        <v>0</v>
      </c>
      <c r="E1166" s="25"/>
      <c r="F1166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166" s="68">
        <v>44953</v>
      </c>
      <c r="H1166" s="26" t="s">
        <v>967</v>
      </c>
      <c r="I1166" s="68">
        <v>44976</v>
      </c>
      <c r="J1166" s="35" t="s">
        <v>1463</v>
      </c>
      <c r="K1166" s="21">
        <v>330000</v>
      </c>
      <c r="L1166" s="21"/>
      <c r="M1166" s="22">
        <f>(PROVEEDORES[[#This Row],[SUBTOTAL]]-PROVEEDORES[[#This Row],[descuento sobre subtotal]])*VLOOKUP(PROVEEDORES[[#This Row],[PROVEEDOR]],TERCEROS_INFO[#All],3,FALSE)</f>
        <v>0</v>
      </c>
      <c r="N1166" s="23"/>
      <c r="O1166" s="22">
        <f>+PROVEEDORES[[#This Row],[Descuento sobre subtotal %]]*(PROVEEDORES[[#This Row],[SUBTOTAL]]-PROVEEDORES[[#This Row],[descuento sobre subtotal]])</f>
        <v>0</v>
      </c>
      <c r="P1166" s="74">
        <f>+IF(PROVEEDORES[[#This Row],[SUBTOTAL]]&lt;PROVEEDORES[[#This Row],[base retencion]],0,PROVEEDORES[[#This Row],[retención aplicada]])</f>
        <v>0.01</v>
      </c>
      <c r="Q1166" s="22">
        <f>+PROVEEDORES[[#This Row],[Rete Fuente %]]*(PROVEEDORES[[#This Row],[SUBTOTAL]]-PROVEEDORES[[#This Row],[descuento sobre subtotal]])</f>
        <v>3300</v>
      </c>
      <c r="R1166" s="21">
        <f>+PROVEEDORES[[#This Row],[SUBTOTAL]]+PROVEEDORES[[#This Row],[IVA 19%]]-PROVEEDORES[[#This Row],[descuento sobre subtotal]]-PROVEEDORES[[#This Row],[Descuento sobre subtotal $2]]-PROVEEDORES[[#This Row],[Rete Fuente $]]</f>
        <v>326700</v>
      </c>
      <c r="S1166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63">
        <f ca="1">IF(PROVEEDORES[[#This Row],[FECHA DE PAGO]]=0,TODAY()-PROVEEDORES[[#This Row],[FECHA DE FACTURACIÓN]]-PROVEEDORES[[#This Row],[PLAZO Días]],0)</f>
        <v>0</v>
      </c>
      <c r="U1166" s="104" t="str">
        <f>+VLOOKUP(PROVEEDORES[[#This Row],[PROVEEDOR]],Terceros!$A:$D,4,FALSE)</f>
        <v>1% con base</v>
      </c>
      <c r="V1166" s="105">
        <f>+YEAR(PROVEEDORES[[#This Row],[FECHA DE FACTURACIÓN]])</f>
        <v>2023</v>
      </c>
      <c r="W1166" s="105">
        <f>+MATCH(PROVEEDORES[[#This Row],[año facturado]],Retenciones!$1:$1,0)</f>
        <v>6</v>
      </c>
      <c r="X1166" s="106">
        <f>+VLOOKUP(PROVEEDORES[[#This Row],[ID RETENCION]],Retenciones!$A$1:$O$25,PROVEEDORES[[#This Row],[indicador de columna]],FALSE)</f>
        <v>170000</v>
      </c>
      <c r="Y1166" s="107">
        <f>+VLOOKUP(PROVEEDORES[[#This Row],[ID RETENCION]],Retenciones!$A$1:$O$25,2,FALSE)</f>
        <v>0.01</v>
      </c>
      <c r="Z1166" s="116" t="b">
        <f>OR(COUNTIF(PROVEEDORES[[#This Row],[PROVEEDOR]],"*"&amp;'Palabra no opera'!$A$2&amp;"*"))</f>
        <v>0</v>
      </c>
    </row>
    <row r="1167" spans="1:26" ht="22.35" customHeight="1" x14ac:dyDescent="0.3">
      <c r="A1167" s="259" t="str">
        <f>+IF(PROVEEDORES[[#This Row],[FECHA DE PAGO]]=PROVEEDORES[[#This Row],[FECHA DE FACTURACIÓN]],"DE CONTADO","CRÉDITO")</f>
        <v>CRÉDITO</v>
      </c>
      <c r="B1167" s="38" t="b">
        <f>+IF((PROVEEDORES[[#This Row],[FECHA DE PAGO]]-PROVEEDORES[[#This Row],[FECHA DE FACTURACIÓN]])&gt;PROVEEDORES[[#This Row],[PLAZO Días]],"PAGO VENCIDO")</f>
        <v>0</v>
      </c>
      <c r="C1167" s="20">
        <f>+VLOOKUP(PROVEEDORES[[#This Row],[PROVEEDOR]],TERCEROS_INFO[#All],2,FALSE)</f>
        <v>30</v>
      </c>
      <c r="D1167" s="25">
        <f>+SUMIFS(PROVEEDORES[Total],PROVEEDORES[PROVEEDOR],PROVEEDORES[[#This Row],[PROVEEDOR]],PROVEEDORES[FECHA DE PAGO],"")</f>
        <v>0</v>
      </c>
      <c r="E1167" s="25"/>
      <c r="F1167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167" s="68">
        <v>44953</v>
      </c>
      <c r="H1167" s="26" t="s">
        <v>638</v>
      </c>
      <c r="I1167" s="68">
        <v>44928</v>
      </c>
      <c r="J1167" s="35" t="s">
        <v>1394</v>
      </c>
      <c r="K1167" s="21">
        <v>3891260</v>
      </c>
      <c r="L1167" s="21"/>
      <c r="M1167" s="22">
        <f>(PROVEEDORES[[#This Row],[SUBTOTAL]]-PROVEEDORES[[#This Row],[descuento sobre subtotal]])*VLOOKUP(PROVEEDORES[[#This Row],[PROVEEDOR]],TERCEROS_INFO[#All],3,FALSE)</f>
        <v>739339.4</v>
      </c>
      <c r="N1167" s="23"/>
      <c r="O1167" s="22">
        <f>+PROVEEDORES[[#This Row],[Descuento sobre subtotal %]]*(PROVEEDORES[[#This Row],[SUBTOTAL]]-PROVEEDORES[[#This Row],[descuento sobre subtotal]])</f>
        <v>0</v>
      </c>
      <c r="P1167" s="74">
        <f>+IF(PROVEEDORES[[#This Row],[SUBTOTAL]]&lt;PROVEEDORES[[#This Row],[base retencion]],0,PROVEEDORES[[#This Row],[retención aplicada]])</f>
        <v>3.5000000000000003E-2</v>
      </c>
      <c r="Q1167" s="22">
        <f>+PROVEEDORES[[#This Row],[Rete Fuente %]]*(PROVEEDORES[[#This Row],[SUBTOTAL]]-PROVEEDORES[[#This Row],[descuento sobre subtotal]])</f>
        <v>136194.1</v>
      </c>
      <c r="R1167" s="21">
        <f>+PROVEEDORES[[#This Row],[SUBTOTAL]]+PROVEEDORES[[#This Row],[IVA 19%]]-PROVEEDORES[[#This Row],[descuento sobre subtotal]]-PROVEEDORES[[#This Row],[Descuento sobre subtotal $2]]-PROVEEDORES[[#This Row],[Rete Fuente $]]</f>
        <v>4494405.3000000007</v>
      </c>
      <c r="S1167" s="2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63">
        <f ca="1">IF(PROVEEDORES[[#This Row],[FECHA DE PAGO]]=0,TODAY()-PROVEEDORES[[#This Row],[FECHA DE FACTURACIÓN]]-PROVEEDORES[[#This Row],[PLAZO Días]],0)</f>
        <v>0</v>
      </c>
      <c r="U1167" s="104" t="str">
        <f>+VLOOKUP(PROVEEDORES[[#This Row],[PROVEEDOR]],Terceros!$A:$D,4,FALSE)</f>
        <v>3,5% sin base</v>
      </c>
      <c r="V1167" s="105">
        <f>+YEAR(PROVEEDORES[[#This Row],[FECHA DE FACTURACIÓN]])</f>
        <v>2023</v>
      </c>
      <c r="W1167" s="105">
        <f>+MATCH(PROVEEDORES[[#This Row],[año facturado]],Retenciones!$1:$1,0)</f>
        <v>6</v>
      </c>
      <c r="X1167" s="106">
        <f>+VLOOKUP(PROVEEDORES[[#This Row],[ID RETENCION]],Retenciones!$A$1:$O$25,PROVEEDORES[[#This Row],[indicador de columna]],FALSE)</f>
        <v>0</v>
      </c>
      <c r="Y1167" s="107">
        <f>+VLOOKUP(PROVEEDORES[[#This Row],[ID RETENCION]],Retenciones!$A$1:$O$25,2,FALSE)</f>
        <v>3.5000000000000003E-2</v>
      </c>
      <c r="Z1167" s="116" t="b">
        <f>OR(COUNTIF(PROVEEDORES[[#This Row],[PROVEEDOR]],"*"&amp;'Palabra no opera'!$A$2&amp;"*"))</f>
        <v>1</v>
      </c>
    </row>
    <row r="1168" spans="1:26" ht="22.35" customHeight="1" x14ac:dyDescent="0.3">
      <c r="A1168" s="259" t="str">
        <f>+IF(PROVEEDORES[[#This Row],[FECHA DE PAGO]]=PROVEEDORES[[#This Row],[FECHA DE FACTURACIÓN]],"DE CONTADO","CRÉDITO")</f>
        <v>CRÉDITO</v>
      </c>
      <c r="B1168" s="38" t="str">
        <f>+IF((PROVEEDORES[[#This Row],[FECHA DE PAGO]]-PROVEEDORES[[#This Row],[FECHA DE FACTURACIÓN]])&gt;PROVEEDORES[[#This Row],[PLAZO Días]],"PAGO VENCIDO")</f>
        <v>PAGO VENCIDO</v>
      </c>
      <c r="C1168" s="20">
        <f>+VLOOKUP(PROVEEDORES[[#This Row],[PROVEEDOR]],TERCEROS_INFO[#All],2,FALSE)</f>
        <v>10</v>
      </c>
      <c r="D1168" s="25">
        <f>+SUMIFS(PROVEEDORES[Total],PROVEEDORES[PROVEEDOR],PROVEEDORES[[#This Row],[PROVEEDOR]],PROVEEDORES[FECHA DE PAGO],"")</f>
        <v>0</v>
      </c>
      <c r="E1168" s="25"/>
      <c r="F1168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68" s="68">
        <v>44953</v>
      </c>
      <c r="H1168" s="26" t="s">
        <v>1202</v>
      </c>
      <c r="I1168" s="68">
        <v>44928</v>
      </c>
      <c r="J1168" s="35" t="s">
        <v>1395</v>
      </c>
      <c r="K1168" s="21">
        <v>4730000</v>
      </c>
      <c r="L1168" s="21"/>
      <c r="M1168" s="22">
        <v>898700</v>
      </c>
      <c r="N1168" s="23"/>
      <c r="O1168" s="22">
        <f>+PROVEEDORES[[#This Row],[Descuento sobre subtotal %]]*(PROVEEDORES[[#This Row],[SUBTOTAL]]-PROVEEDORES[[#This Row],[descuento sobre subtotal]])</f>
        <v>0</v>
      </c>
      <c r="P1168" s="74">
        <f>+IF(PROVEEDORES[[#This Row],[SUBTOTAL]]&lt;PROVEEDORES[[#This Row],[base retencion]],0,PROVEEDORES[[#This Row],[retención aplicada]])</f>
        <v>0</v>
      </c>
      <c r="Q1168" s="22">
        <f>+PROVEEDORES[[#This Row],[Rete Fuente %]]*(PROVEEDORES[[#This Row],[SUBTOTAL]]-PROVEEDORES[[#This Row],[descuento sobre subtotal]])</f>
        <v>0</v>
      </c>
      <c r="R1168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168" s="2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63">
        <f ca="1">IF(PROVEEDORES[[#This Row],[FECHA DE PAGO]]=0,TODAY()-PROVEEDORES[[#This Row],[FECHA DE FACTURACIÓN]]-PROVEEDORES[[#This Row],[PLAZO Días]],0)</f>
        <v>0</v>
      </c>
      <c r="U1168" s="104">
        <f>+VLOOKUP(PROVEEDORES[[#This Row],[PROVEEDOR]],Terceros!$A:$D,4,FALSE)</f>
        <v>0</v>
      </c>
      <c r="V1168" s="105">
        <f>+YEAR(PROVEEDORES[[#This Row],[FECHA DE FACTURACIÓN]])</f>
        <v>2023</v>
      </c>
      <c r="W1168" s="105">
        <f>+MATCH(PROVEEDORES[[#This Row],[año facturado]],Retenciones!$1:$1,0)</f>
        <v>6</v>
      </c>
      <c r="X1168" s="106">
        <f>+VLOOKUP(PROVEEDORES[[#This Row],[ID RETENCION]],Retenciones!$A$1:$O$25,PROVEEDORES[[#This Row],[indicador de columna]],FALSE)</f>
        <v>0</v>
      </c>
      <c r="Y1168" s="107">
        <f>+VLOOKUP(PROVEEDORES[[#This Row],[ID RETENCION]],Retenciones!$A$1:$O$25,2,FALSE)</f>
        <v>0</v>
      </c>
      <c r="Z1168" s="116" t="b">
        <f>OR(COUNTIF(PROVEEDORES[[#This Row],[PROVEEDOR]],"*"&amp;'Palabra no opera'!$A$2&amp;"*"))</f>
        <v>1</v>
      </c>
    </row>
    <row r="1169" spans="1:26" ht="22.35" customHeight="1" x14ac:dyDescent="0.3">
      <c r="A1169" s="67" t="str">
        <f>+IF(PROVEEDORES[[#This Row],[FECHA DE PAGO]]=PROVEEDORES[[#This Row],[FECHA DE FACTURACIÓN]],"DE CONTADO","CRÉDITO")</f>
        <v>DE CONTADO</v>
      </c>
      <c r="B1169" s="38" t="b">
        <f>+IF((PROVEEDORES[[#This Row],[FECHA DE PAGO]]-PROVEEDORES[[#This Row],[FECHA DE FACTURACIÓN]])&gt;PROVEEDORES[[#This Row],[PLAZO Días]],"PAGO VENCIDO")</f>
        <v>0</v>
      </c>
      <c r="C1169" s="20">
        <f>+VLOOKUP(PROVEEDORES[[#This Row],[PROVEEDOR]],TERCEROS_INFO[#All],2,FALSE)</f>
        <v>30</v>
      </c>
      <c r="D1169" s="25">
        <f>+SUMIFS(PROVEEDORES[Total],PROVEEDORES[PROVEEDOR],PROVEEDORES[[#This Row],[PROVEEDOR]],PROVEEDORES[FECHA DE PAGO],"")</f>
        <v>0</v>
      </c>
      <c r="E1169" s="25"/>
      <c r="F1169" s="56" t="str">
        <f>+VLOOKUP(PROVEEDORES[[#This Row],[PROVEEDOR]],
                       Terceros!$A:$F,
                       5,
                       FALSE)</f>
        <v/>
      </c>
      <c r="G1169" s="68">
        <v>44954</v>
      </c>
      <c r="H1169" s="26" t="s">
        <v>362</v>
      </c>
      <c r="I1169" s="68">
        <v>44954</v>
      </c>
      <c r="J1169" s="35" t="s">
        <v>1406</v>
      </c>
      <c r="K1169" s="21">
        <v>771400</v>
      </c>
      <c r="L1169" s="21"/>
      <c r="M1169" s="22">
        <f>(PROVEEDORES[[#This Row],[SUBTOTAL]]-PROVEEDORES[[#This Row],[descuento sobre subtotal]])*VLOOKUP(PROVEEDORES[[#This Row],[PROVEEDOR]],TERCEROS_INFO[#All],3,FALSE)</f>
        <v>0</v>
      </c>
      <c r="N1169" s="23"/>
      <c r="O1169" s="22">
        <f>+PROVEEDORES[[#This Row],[Descuento sobre subtotal %]]*(PROVEEDORES[[#This Row],[SUBTOTAL]]-PROVEEDORES[[#This Row],[descuento sobre subtotal]])</f>
        <v>0</v>
      </c>
      <c r="P1169" s="74">
        <f>+IF(PROVEEDORES[[#This Row],[SUBTOTAL]]&lt;PROVEEDORES[[#This Row],[base retencion]],0,PROVEEDORES[[#This Row],[retención aplicada]])</f>
        <v>0</v>
      </c>
      <c r="Q1169" s="22">
        <f>+PROVEEDORES[[#This Row],[Rete Fuente %]]*(PROVEEDORES[[#This Row],[SUBTOTAL]]-PROVEEDORES[[#This Row],[descuento sobre subtotal]])</f>
        <v>0</v>
      </c>
      <c r="R1169" s="21">
        <f>+PROVEEDORES[[#This Row],[SUBTOTAL]]+PROVEEDORES[[#This Row],[IVA 19%]]-PROVEEDORES[[#This Row],[descuento sobre subtotal]]-PROVEEDORES[[#This Row],[Descuento sobre subtotal $2]]-PROVEEDORES[[#This Row],[Rete Fuente $]]</f>
        <v>771400</v>
      </c>
      <c r="S11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63">
        <f ca="1">IF(PROVEEDORES[[#This Row],[FECHA DE PAGO]]=0,TODAY()-PROVEEDORES[[#This Row],[FECHA DE FACTURACIÓN]]-PROVEEDORES[[#This Row],[PLAZO Días]],0)</f>
        <v>0</v>
      </c>
      <c r="U1169" s="104">
        <f>+VLOOKUP(PROVEEDORES[[#This Row],[PROVEEDOR]],Terceros!$A:$D,4,FALSE)</f>
        <v>0</v>
      </c>
      <c r="V1169" s="105">
        <f>+YEAR(PROVEEDORES[[#This Row],[FECHA DE FACTURACIÓN]])</f>
        <v>2023</v>
      </c>
      <c r="W1169" s="105">
        <f>+MATCH(PROVEEDORES[[#This Row],[año facturado]],Retenciones!$1:$1,0)</f>
        <v>6</v>
      </c>
      <c r="X1169" s="106">
        <f>+VLOOKUP(PROVEEDORES[[#This Row],[ID RETENCION]],Retenciones!$A$1:$O$25,PROVEEDORES[[#This Row],[indicador de columna]],FALSE)</f>
        <v>0</v>
      </c>
      <c r="Y1169" s="107">
        <f>+VLOOKUP(PROVEEDORES[[#This Row],[ID RETENCION]],Retenciones!$A$1:$O$25,2,FALSE)</f>
        <v>0</v>
      </c>
      <c r="Z1169" s="116" t="b">
        <f>OR(COUNTIF(PROVEEDORES[[#This Row],[PROVEEDOR]],"*"&amp;'Palabra no opera'!$A$2&amp;"*"))</f>
        <v>0</v>
      </c>
    </row>
    <row r="1170" spans="1:26" ht="22.35" customHeight="1" x14ac:dyDescent="0.3">
      <c r="A1170" s="252" t="str">
        <f>+IF(PROVEEDORES[[#This Row],[FECHA DE PAGO]]=PROVEEDORES[[#This Row],[FECHA DE FACTURACIÓN]],"DE CONTADO","CRÉDITO")</f>
        <v>CRÉDITO</v>
      </c>
      <c r="B1170" s="38" t="str">
        <f>+IF((PROVEEDORES[[#This Row],[FECHA DE PAGO]]-PROVEEDORES[[#This Row],[FECHA DE FACTURACIÓN]])&gt;PROVEEDORES[[#This Row],[PLAZO Días]],"PAGO VENCIDO")</f>
        <v>PAGO VENCIDO</v>
      </c>
      <c r="C1170" s="20">
        <f>+VLOOKUP(PROVEEDORES[[#This Row],[PROVEEDOR]],TERCEROS_INFO[#All],2,FALSE)</f>
        <v>30</v>
      </c>
      <c r="D1170" s="25">
        <f>+SUMIFS(PROVEEDORES[Total],PROVEEDORES[PROVEEDOR],PROVEEDORES[[#This Row],[PROVEEDOR]],PROVEEDORES[FECHA DE PAGO],"")</f>
        <v>4248480.9550000001</v>
      </c>
      <c r="E1170" s="25"/>
      <c r="F1170" s="56" t="str">
        <f>+VLOOKUP(PROVEEDORES[[#This Row],[PROVEEDOR]],
                       Terceros!$A:$F,
                       5,
                       FALSE)</f>
        <v/>
      </c>
      <c r="G1170" s="68">
        <v>44956</v>
      </c>
      <c r="H1170" s="26" t="s">
        <v>78</v>
      </c>
      <c r="I1170" s="68">
        <v>44880</v>
      </c>
      <c r="J1170" s="35" t="s">
        <v>1374</v>
      </c>
      <c r="K1170" s="21">
        <v>-168066</v>
      </c>
      <c r="L1170" s="21"/>
      <c r="M1170" s="22">
        <f>(PROVEEDORES[[#This Row],[SUBTOTAL]]-PROVEEDORES[[#This Row],[descuento sobre subtotal]])*VLOOKUP(PROVEEDORES[[#This Row],[PROVEEDOR]],TERCEROS_INFO[#All],3,FALSE)</f>
        <v>-31932.54</v>
      </c>
      <c r="N1170" s="23"/>
      <c r="O1170" s="22">
        <f>+PROVEEDORES[[#This Row],[Descuento sobre subtotal %]]*(PROVEEDORES[[#This Row],[SUBTOTAL]]-PROVEEDORES[[#This Row],[descuento sobre subtotal]])</f>
        <v>0</v>
      </c>
      <c r="P1170" s="74">
        <f>+IF(PROVEEDORES[[#This Row],[SUBTOTAL]]&lt;PROVEEDORES[[#This Row],[base retencion]],0,PROVEEDORES[[#This Row],[retención aplicada]])</f>
        <v>0</v>
      </c>
      <c r="Q1170" s="22">
        <f>+PROVEEDORES[[#This Row],[Rete Fuente %]]*(PROVEEDORES[[#This Row],[SUBTOTAL]]-PROVEEDORES[[#This Row],[descuento sobre subtotal]])</f>
        <v>0</v>
      </c>
      <c r="R1170" s="21">
        <f>+PROVEEDORES[[#This Row],[SUBTOTAL]]+PROVEEDORES[[#This Row],[IVA 19%]]-PROVEEDORES[[#This Row],[descuento sobre subtotal]]-PROVEEDORES[[#This Row],[Descuento sobre subtotal $2]]-PROVEEDORES[[#This Row],[Rete Fuente $]]</f>
        <v>-199998.54</v>
      </c>
      <c r="S1170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63">
        <f ca="1">IF(PROVEEDORES[[#This Row],[FECHA DE PAGO]]=0,TODAY()-PROVEEDORES[[#This Row],[FECHA DE FACTURACIÓN]]-PROVEEDORES[[#This Row],[PLAZO Días]],0)</f>
        <v>0</v>
      </c>
      <c r="U1170" s="104" t="str">
        <f>+VLOOKUP(PROVEEDORES[[#This Row],[PROVEEDOR]],Terceros!$A:$D,4,FALSE)</f>
        <v>2,5% con base</v>
      </c>
      <c r="V1170" s="105">
        <f>+YEAR(PROVEEDORES[[#This Row],[FECHA DE FACTURACIÓN]])</f>
        <v>2022</v>
      </c>
      <c r="W1170" s="105">
        <f>+MATCH(PROVEEDORES[[#This Row],[año facturado]],Retenciones!$1:$1,0)</f>
        <v>5</v>
      </c>
      <c r="X1170" s="106">
        <f>+VLOOKUP(PROVEEDORES[[#This Row],[ID RETENCION]],Retenciones!$A$1:$O$25,PROVEEDORES[[#This Row],[indicador de columna]],FALSE)</f>
        <v>1026000</v>
      </c>
      <c r="Y1170" s="107">
        <f>+VLOOKUP(PROVEEDORES[[#This Row],[ID RETENCION]],Retenciones!$A$1:$O$25,2,FALSE)</f>
        <v>2.5000000000000001E-2</v>
      </c>
      <c r="Z1170" s="116" t="b">
        <f>OR(COUNTIF(PROVEEDORES[[#This Row],[PROVEEDOR]],"*"&amp;'Palabra no opera'!$A$2&amp;"*"))</f>
        <v>0</v>
      </c>
    </row>
    <row r="1171" spans="1:26" ht="22.35" customHeight="1" x14ac:dyDescent="0.3">
      <c r="A1171" s="249" t="str">
        <f>+IF(PROVEEDORES[[#This Row],[FECHA DE PAGO]]=PROVEEDORES[[#This Row],[FECHA DE FACTURACIÓN]],"DE CONTADO","CRÉDITO")</f>
        <v>CRÉDITO</v>
      </c>
      <c r="B1171" s="38" t="str">
        <f>+IF((PROVEEDORES[[#This Row],[FECHA DE PAGO]]-PROVEEDORES[[#This Row],[FECHA DE FACTURACIÓN]])&gt;PROVEEDORES[[#This Row],[PLAZO Días]],"PAGO VENCIDO")</f>
        <v>PAGO VENCIDO</v>
      </c>
      <c r="C1171" s="20">
        <f>+VLOOKUP(PROVEEDORES[[#This Row],[PROVEEDOR]],TERCEROS_INFO[#All],2,FALSE)</f>
        <v>30</v>
      </c>
      <c r="D1171" s="25">
        <f>+SUMIFS(PROVEEDORES[Total],PROVEEDORES[PROVEEDOR],PROVEEDORES[[#This Row],[PROVEEDOR]],PROVEEDORES[FECHA DE PAGO],"")</f>
        <v>4248480.9550000001</v>
      </c>
      <c r="E1171" s="25"/>
      <c r="F1171" s="56" t="str">
        <f>+VLOOKUP(PROVEEDORES[[#This Row],[PROVEEDOR]],
                       Terceros!$A:$F,
                       5,
                       FALSE)</f>
        <v/>
      </c>
      <c r="G1171" s="68">
        <v>44956</v>
      </c>
      <c r="H1171" s="26" t="s">
        <v>78</v>
      </c>
      <c r="I1171" s="68">
        <v>44916</v>
      </c>
      <c r="J1171" s="35" t="s">
        <v>1346</v>
      </c>
      <c r="K1171" s="21">
        <v>1802000</v>
      </c>
      <c r="L1171" s="21"/>
      <c r="M1171" s="22">
        <f>(PROVEEDORES[[#This Row],[SUBTOTAL]]-PROVEEDORES[[#This Row],[descuento sobre subtotal]])*VLOOKUP(PROVEEDORES[[#This Row],[PROVEEDOR]],TERCEROS_INFO[#All],3,FALSE)</f>
        <v>342380</v>
      </c>
      <c r="N1171" s="23"/>
      <c r="O1171" s="22">
        <f>+PROVEEDORES[[#This Row],[Descuento sobre subtotal %]]*(PROVEEDORES[[#This Row],[SUBTOTAL]]-PROVEEDORES[[#This Row],[descuento sobre subtotal]])</f>
        <v>0</v>
      </c>
      <c r="P1171" s="74">
        <f>+IF(PROVEEDORES[[#This Row],[SUBTOTAL]]&lt;PROVEEDORES[[#This Row],[base retencion]],0,PROVEEDORES[[#This Row],[retención aplicada]])</f>
        <v>2.5000000000000001E-2</v>
      </c>
      <c r="Q1171" s="22">
        <f>+PROVEEDORES[[#This Row],[Rete Fuente %]]*(PROVEEDORES[[#This Row],[SUBTOTAL]]-PROVEEDORES[[#This Row],[descuento sobre subtotal]])</f>
        <v>45050</v>
      </c>
      <c r="R1171" s="21">
        <f>+PROVEEDORES[[#This Row],[SUBTOTAL]]+PROVEEDORES[[#This Row],[IVA 19%]]-PROVEEDORES[[#This Row],[descuento sobre subtotal]]-PROVEEDORES[[#This Row],[Descuento sobre subtotal $2]]-PROVEEDORES[[#This Row],[Rete Fuente $]]</f>
        <v>2099330</v>
      </c>
      <c r="S117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63">
        <f ca="1">IF(PROVEEDORES[[#This Row],[FECHA DE PAGO]]=0,TODAY()-PROVEEDORES[[#This Row],[FECHA DE FACTURACIÓN]]-PROVEEDORES[[#This Row],[PLAZO Días]],0)</f>
        <v>0</v>
      </c>
      <c r="U1171" s="104" t="str">
        <f>+VLOOKUP(PROVEEDORES[[#This Row],[PROVEEDOR]],Terceros!$A:$D,4,FALSE)</f>
        <v>2,5% con base</v>
      </c>
      <c r="V1171" s="105">
        <f>+YEAR(PROVEEDORES[[#This Row],[FECHA DE FACTURACIÓN]])</f>
        <v>2022</v>
      </c>
      <c r="W1171" s="105">
        <f>+MATCH(PROVEEDORES[[#This Row],[año facturado]],Retenciones!$1:$1,0)</f>
        <v>5</v>
      </c>
      <c r="X1171" s="106">
        <f>+VLOOKUP(PROVEEDORES[[#This Row],[ID RETENCION]],Retenciones!$A$1:$O$25,PROVEEDORES[[#This Row],[indicador de columna]],FALSE)</f>
        <v>1026000</v>
      </c>
      <c r="Y1171" s="107">
        <f>+VLOOKUP(PROVEEDORES[[#This Row],[ID RETENCION]],Retenciones!$A$1:$O$25,2,FALSE)</f>
        <v>2.5000000000000001E-2</v>
      </c>
      <c r="Z1171" s="116" t="b">
        <f>OR(COUNTIF(PROVEEDORES[[#This Row],[PROVEEDOR]],"*"&amp;'Palabra no opera'!$A$2&amp;"*"))</f>
        <v>0</v>
      </c>
    </row>
    <row r="1172" spans="1:26" ht="22.35" customHeight="1" x14ac:dyDescent="0.3">
      <c r="A1172" s="252" t="str">
        <f>+IF(PROVEEDORES[[#This Row],[FECHA DE PAGO]]=PROVEEDORES[[#This Row],[FECHA DE FACTURACIÓN]],"DE CONTADO","CRÉDITO")</f>
        <v>CRÉDITO</v>
      </c>
      <c r="B1172" s="38" t="str">
        <f>+IF((PROVEEDORES[[#This Row],[FECHA DE PAGO]]-PROVEEDORES[[#This Row],[FECHA DE FACTURACIÓN]])&gt;PROVEEDORES[[#This Row],[PLAZO Días]],"PAGO VENCIDO")</f>
        <v>PAGO VENCIDO</v>
      </c>
      <c r="C1172" s="20">
        <f>+VLOOKUP(PROVEEDORES[[#This Row],[PROVEEDOR]],TERCEROS_INFO[#All],2,FALSE)</f>
        <v>30</v>
      </c>
      <c r="D1172" s="25">
        <f>+SUMIFS(PROVEEDORES[Total],PROVEEDORES[PROVEEDOR],PROVEEDORES[[#This Row],[PROVEEDOR]],PROVEEDORES[FECHA DE PAGO],"")</f>
        <v>4248480.9550000001</v>
      </c>
      <c r="E1172" s="25"/>
      <c r="F1172" s="56" t="str">
        <f>+VLOOKUP(PROVEEDORES[[#This Row],[PROVEEDOR]],
                       Terceros!$A:$F,
                       5,
                       FALSE)</f>
        <v/>
      </c>
      <c r="G1172" s="68">
        <v>44956</v>
      </c>
      <c r="H1172" s="26" t="s">
        <v>78</v>
      </c>
      <c r="I1172" s="68">
        <v>44916</v>
      </c>
      <c r="J1172" s="35">
        <v>8806</v>
      </c>
      <c r="K1172" s="21">
        <v>2923</v>
      </c>
      <c r="L1172" s="21"/>
      <c r="M1172" s="22">
        <f>(PROVEEDORES[[#This Row],[SUBTOTAL]]-PROVEEDORES[[#This Row],[descuento sobre subtotal]])*VLOOKUP(PROVEEDORES[[#This Row],[PROVEEDOR]],TERCEROS_INFO[#All],3,FALSE)</f>
        <v>555.37</v>
      </c>
      <c r="N1172" s="23"/>
      <c r="O1172" s="22">
        <f>+PROVEEDORES[[#This Row],[Descuento sobre subtotal %]]*(PROVEEDORES[[#This Row],[SUBTOTAL]]-PROVEEDORES[[#This Row],[descuento sobre subtotal]])</f>
        <v>0</v>
      </c>
      <c r="P1172" s="74">
        <f>+IF(PROVEEDORES[[#This Row],[SUBTOTAL]]&lt;PROVEEDORES[[#This Row],[base retencion]],0,PROVEEDORES[[#This Row],[retención aplicada]])</f>
        <v>0</v>
      </c>
      <c r="Q1172" s="22">
        <f>+PROVEEDORES[[#This Row],[Rete Fuente %]]*(PROVEEDORES[[#This Row],[SUBTOTAL]]-PROVEEDORES[[#This Row],[descuento sobre subtotal]])</f>
        <v>0</v>
      </c>
      <c r="R1172" s="21">
        <f>+PROVEEDORES[[#This Row],[SUBTOTAL]]+PROVEEDORES[[#This Row],[IVA 19%]]-PROVEEDORES[[#This Row],[descuento sobre subtotal]]-PROVEEDORES[[#This Row],[Descuento sobre subtotal $2]]-PROVEEDORES[[#This Row],[Rete Fuente $]]</f>
        <v>3478.37</v>
      </c>
      <c r="S1172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63">
        <f ca="1">IF(PROVEEDORES[[#This Row],[FECHA DE PAGO]]=0,TODAY()-PROVEEDORES[[#This Row],[FECHA DE FACTURACIÓN]]-PROVEEDORES[[#This Row],[PLAZO Días]],0)</f>
        <v>0</v>
      </c>
      <c r="U1172" s="104" t="str">
        <f>+VLOOKUP(PROVEEDORES[[#This Row],[PROVEEDOR]],Terceros!$A:$D,4,FALSE)</f>
        <v>2,5% con base</v>
      </c>
      <c r="V1172" s="105">
        <f>+YEAR(PROVEEDORES[[#This Row],[FECHA DE FACTURACIÓN]])</f>
        <v>2022</v>
      </c>
      <c r="W1172" s="105">
        <f>+MATCH(PROVEEDORES[[#This Row],[año facturado]],Retenciones!$1:$1,0)</f>
        <v>5</v>
      </c>
      <c r="X1172" s="106">
        <f>+VLOOKUP(PROVEEDORES[[#This Row],[ID RETENCION]],Retenciones!$A$1:$O$25,PROVEEDORES[[#This Row],[indicador de columna]],FALSE)</f>
        <v>1026000</v>
      </c>
      <c r="Y1172" s="107">
        <f>+VLOOKUP(PROVEEDORES[[#This Row],[ID RETENCION]],Retenciones!$A$1:$O$25,2,FALSE)</f>
        <v>2.5000000000000001E-2</v>
      </c>
      <c r="Z1172" s="116" t="b">
        <f>OR(COUNTIF(PROVEEDORES[[#This Row],[PROVEEDOR]],"*"&amp;'Palabra no opera'!$A$2&amp;"*"))</f>
        <v>0</v>
      </c>
    </row>
    <row r="1173" spans="1:26" ht="22.35" customHeight="1" x14ac:dyDescent="0.3">
      <c r="A1173" s="252" t="str">
        <f>+IF(PROVEEDORES[[#This Row],[FECHA DE PAGO]]=PROVEEDORES[[#This Row],[FECHA DE FACTURACIÓN]],"DE CONTADO","CRÉDITO")</f>
        <v>CRÉDITO</v>
      </c>
      <c r="B1173" s="38" t="str">
        <f>+IF((PROVEEDORES[[#This Row],[FECHA DE PAGO]]-PROVEEDORES[[#This Row],[FECHA DE FACTURACIÓN]])&gt;PROVEEDORES[[#This Row],[PLAZO Días]],"PAGO VENCIDO")</f>
        <v>PAGO VENCIDO</v>
      </c>
      <c r="C1173" s="20">
        <f>+VLOOKUP(PROVEEDORES[[#This Row],[PROVEEDOR]],TERCEROS_INFO[#All],2,FALSE)</f>
        <v>30</v>
      </c>
      <c r="D1173" s="25">
        <f>+SUMIFS(PROVEEDORES[Total],PROVEEDORES[PROVEEDOR],PROVEEDORES[[#This Row],[PROVEEDOR]],PROVEEDORES[FECHA DE PAGO],"")</f>
        <v>4248480.9550000001</v>
      </c>
      <c r="E1173" s="25"/>
      <c r="F1173" s="56" t="str">
        <f>+VLOOKUP(PROVEEDORES[[#This Row],[PROVEEDOR]],
                       Terceros!$A:$F,
                       5,
                       FALSE)</f>
        <v/>
      </c>
      <c r="G1173" s="68">
        <v>44956</v>
      </c>
      <c r="H1173" s="26" t="s">
        <v>78</v>
      </c>
      <c r="I1173" s="68">
        <v>44916</v>
      </c>
      <c r="J1173" s="35">
        <v>8803</v>
      </c>
      <c r="K1173" s="21">
        <v>123950</v>
      </c>
      <c r="L1173" s="21"/>
      <c r="M1173" s="22">
        <f>(PROVEEDORES[[#This Row],[SUBTOTAL]]-PROVEEDORES[[#This Row],[descuento sobre subtotal]])*VLOOKUP(PROVEEDORES[[#This Row],[PROVEEDOR]],TERCEROS_INFO[#All],3,FALSE)</f>
        <v>23550.5</v>
      </c>
      <c r="N1173" s="23"/>
      <c r="O1173" s="22">
        <f>+PROVEEDORES[[#This Row],[Descuento sobre subtotal %]]*(PROVEEDORES[[#This Row],[SUBTOTAL]]-PROVEEDORES[[#This Row],[descuento sobre subtotal]])</f>
        <v>0</v>
      </c>
      <c r="P1173" s="74">
        <f>+IF(PROVEEDORES[[#This Row],[SUBTOTAL]]&lt;PROVEEDORES[[#This Row],[base retencion]],0,PROVEEDORES[[#This Row],[retención aplicada]])</f>
        <v>0</v>
      </c>
      <c r="Q1173" s="22">
        <f>+PROVEEDORES[[#This Row],[Rete Fuente %]]*(PROVEEDORES[[#This Row],[SUBTOTAL]]-PROVEEDORES[[#This Row],[descuento sobre subtotal]])</f>
        <v>0</v>
      </c>
      <c r="R1173" s="21">
        <f>+PROVEEDORES[[#This Row],[SUBTOTAL]]+PROVEEDORES[[#This Row],[IVA 19%]]-PROVEEDORES[[#This Row],[descuento sobre subtotal]]-PROVEEDORES[[#This Row],[Descuento sobre subtotal $2]]-PROVEEDORES[[#This Row],[Rete Fuente $]]</f>
        <v>147500.5</v>
      </c>
      <c r="S1173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63">
        <f ca="1">IF(PROVEEDORES[[#This Row],[FECHA DE PAGO]]=0,TODAY()-PROVEEDORES[[#This Row],[FECHA DE FACTURACIÓN]]-PROVEEDORES[[#This Row],[PLAZO Días]],0)</f>
        <v>0</v>
      </c>
      <c r="U1173" s="104" t="str">
        <f>+VLOOKUP(PROVEEDORES[[#This Row],[PROVEEDOR]],Terceros!$A:$D,4,FALSE)</f>
        <v>2,5% con base</v>
      </c>
      <c r="V1173" s="105">
        <f>+YEAR(PROVEEDORES[[#This Row],[FECHA DE FACTURACIÓN]])</f>
        <v>2022</v>
      </c>
      <c r="W1173" s="105">
        <f>+MATCH(PROVEEDORES[[#This Row],[año facturado]],Retenciones!$1:$1,0)</f>
        <v>5</v>
      </c>
      <c r="X1173" s="106">
        <f>+VLOOKUP(PROVEEDORES[[#This Row],[ID RETENCION]],Retenciones!$A$1:$O$25,PROVEEDORES[[#This Row],[indicador de columna]],FALSE)</f>
        <v>1026000</v>
      </c>
      <c r="Y1173" s="107">
        <f>+VLOOKUP(PROVEEDORES[[#This Row],[ID RETENCION]],Retenciones!$A$1:$O$25,2,FALSE)</f>
        <v>2.5000000000000001E-2</v>
      </c>
      <c r="Z1173" s="116" t="b">
        <f>OR(COUNTIF(PROVEEDORES[[#This Row],[PROVEEDOR]],"*"&amp;'Palabra no opera'!$A$2&amp;"*"))</f>
        <v>0</v>
      </c>
    </row>
    <row r="1174" spans="1:26" ht="22.35" customHeight="1" x14ac:dyDescent="0.3">
      <c r="A1174" s="252" t="str">
        <f>+IF(PROVEEDORES[[#This Row],[FECHA DE PAGO]]=PROVEEDORES[[#This Row],[FECHA DE FACTURACIÓN]],"DE CONTADO","CRÉDITO")</f>
        <v>CRÉDITO</v>
      </c>
      <c r="B1174" s="38" t="b">
        <f>+IF((PROVEEDORES[[#This Row],[FECHA DE PAGO]]-PROVEEDORES[[#This Row],[FECHA DE FACTURACIÓN]])&gt;PROVEEDORES[[#This Row],[PLAZO Días]],"PAGO VENCIDO")</f>
        <v>0</v>
      </c>
      <c r="C1174" s="20">
        <f>+VLOOKUP(PROVEEDORES[[#This Row],[PROVEEDOR]],TERCEROS_INFO[#All],2,FALSE)</f>
        <v>180</v>
      </c>
      <c r="D1174" s="25">
        <f>+SUMIFS(PROVEEDORES[Total],PROVEEDORES[PROVEEDOR],PROVEEDORES[[#This Row],[PROVEEDOR]],PROVEEDORES[FECHA DE PAGO],"")</f>
        <v>0</v>
      </c>
      <c r="E1174" s="25"/>
      <c r="F1174" s="56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1174" s="68">
        <v>44956</v>
      </c>
      <c r="H1174" s="26" t="s">
        <v>625</v>
      </c>
      <c r="I1174" s="68">
        <v>44922</v>
      </c>
      <c r="J1174" s="35">
        <v>309747</v>
      </c>
      <c r="K1174" s="21">
        <v>288144</v>
      </c>
      <c r="L1174" s="21"/>
      <c r="M1174" s="22">
        <v>14407</v>
      </c>
      <c r="N1174" s="23"/>
      <c r="O1174" s="22">
        <f>+PROVEEDORES[[#This Row],[Descuento sobre subtotal %]]*(PROVEEDORES[[#This Row],[SUBTOTAL]]-PROVEEDORES[[#This Row],[descuento sobre subtotal]])</f>
        <v>0</v>
      </c>
      <c r="P1174" s="74">
        <f>+IF(PROVEEDORES[[#This Row],[SUBTOTAL]]&lt;PROVEEDORES[[#This Row],[base retencion]],0,PROVEEDORES[[#This Row],[retención aplicada]])</f>
        <v>0</v>
      </c>
      <c r="Q1174" s="22">
        <f>+PROVEEDORES[[#This Row],[Rete Fuente %]]*(PROVEEDORES[[#This Row],[SUBTOTAL]]-PROVEEDORES[[#This Row],[descuento sobre subtotal]])</f>
        <v>0</v>
      </c>
      <c r="R1174" s="21">
        <f>+PROVEEDORES[[#This Row],[SUBTOTAL]]+PROVEEDORES[[#This Row],[IVA 19%]]-PROVEEDORES[[#This Row],[descuento sobre subtotal]]-PROVEEDORES[[#This Row],[Descuento sobre subtotal $2]]-PROVEEDORES[[#This Row],[Rete Fuente $]]</f>
        <v>302551</v>
      </c>
      <c r="S1174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63">
        <f ca="1">IF(PROVEEDORES[[#This Row],[FECHA DE PAGO]]=0,TODAY()-PROVEEDORES[[#This Row],[FECHA DE FACTURACIÓN]]-PROVEEDORES[[#This Row],[PLAZO Días]],0)</f>
        <v>0</v>
      </c>
      <c r="U1174" s="104" t="str">
        <f>+VLOOKUP(PROVEEDORES[[#This Row],[PROVEEDOR]],Terceros!$A:$D,4,FALSE)</f>
        <v>2,5% con base</v>
      </c>
      <c r="V1174" s="105">
        <f>+YEAR(PROVEEDORES[[#This Row],[FECHA DE FACTURACIÓN]])</f>
        <v>2022</v>
      </c>
      <c r="W1174" s="105">
        <f>+MATCH(PROVEEDORES[[#This Row],[año facturado]],Retenciones!$1:$1,0)</f>
        <v>5</v>
      </c>
      <c r="X1174" s="106">
        <f>+VLOOKUP(PROVEEDORES[[#This Row],[ID RETENCION]],Retenciones!$A$1:$O$25,PROVEEDORES[[#This Row],[indicador de columna]],FALSE)</f>
        <v>1026000</v>
      </c>
      <c r="Y1174" s="107">
        <f>+VLOOKUP(PROVEEDORES[[#This Row],[ID RETENCION]],Retenciones!$A$1:$O$25,2,FALSE)</f>
        <v>2.5000000000000001E-2</v>
      </c>
      <c r="Z1174" s="116" t="b">
        <f>OR(COUNTIF(PROVEEDORES[[#This Row],[PROVEEDOR]],"*"&amp;'Palabra no opera'!$A$2&amp;"*"))</f>
        <v>1</v>
      </c>
    </row>
    <row r="1175" spans="1:26" ht="22.35" customHeight="1" x14ac:dyDescent="0.3">
      <c r="A1175" s="67" t="str">
        <f>+IF(PROVEEDORES[[#This Row],[FECHA DE PAGO]]=PROVEEDORES[[#This Row],[FECHA DE FACTURACIÓN]],"DE CONTADO","CRÉDITO")</f>
        <v>DE CONTADO</v>
      </c>
      <c r="B1175" s="38" t="b">
        <f>+IF((PROVEEDORES[[#This Row],[FECHA DE PAGO]]-PROVEEDORES[[#This Row],[FECHA DE FACTURACIÓN]])&gt;PROVEEDORES[[#This Row],[PLAZO Días]],"PAGO VENCIDO")</f>
        <v>0</v>
      </c>
      <c r="C1175" s="20">
        <f>+VLOOKUP(PROVEEDORES[[#This Row],[PROVEEDOR]],TERCEROS_INFO[#All],2,FALSE)</f>
        <v>30</v>
      </c>
      <c r="D1175" s="25">
        <f>+SUMIFS(PROVEEDORES[Total],PROVEEDORES[PROVEEDOR],PROVEEDORES[[#This Row],[PROVEEDOR]],PROVEEDORES[FECHA DE PAGO],"")</f>
        <v>0</v>
      </c>
      <c r="E1175" s="25"/>
      <c r="F1175" s="56" t="str">
        <f>+VLOOKUP(PROVEEDORES[[#This Row],[PROVEEDOR]],
                       Terceros!$A:$F,
                       5,
                       FALSE)</f>
        <v/>
      </c>
      <c r="G1175" s="68">
        <v>44957</v>
      </c>
      <c r="H1175" s="26" t="s">
        <v>362</v>
      </c>
      <c r="I1175" s="68">
        <v>44957</v>
      </c>
      <c r="J1175" s="35" t="s">
        <v>1177</v>
      </c>
      <c r="K1175" s="21">
        <v>1979300</v>
      </c>
      <c r="L1175" s="21"/>
      <c r="M1175" s="22">
        <f>(PROVEEDORES[[#This Row],[SUBTOTAL]]-PROVEEDORES[[#This Row],[descuento sobre subtotal]])*VLOOKUP(PROVEEDORES[[#This Row],[PROVEEDOR]],TERCEROS_INFO[#All],3,FALSE)</f>
        <v>0</v>
      </c>
      <c r="N1175" s="23"/>
      <c r="O1175" s="22">
        <f>+PROVEEDORES[[#This Row],[Descuento sobre subtotal %]]*(PROVEEDORES[[#This Row],[SUBTOTAL]]-PROVEEDORES[[#This Row],[descuento sobre subtotal]])</f>
        <v>0</v>
      </c>
      <c r="P1175" s="74">
        <f>+IF(PROVEEDORES[[#This Row],[SUBTOTAL]]&lt;PROVEEDORES[[#This Row],[base retencion]],0,PROVEEDORES[[#This Row],[retención aplicada]])</f>
        <v>0</v>
      </c>
      <c r="Q1175" s="22">
        <f>+PROVEEDORES[[#This Row],[Rete Fuente %]]*(PROVEEDORES[[#This Row],[SUBTOTAL]]-PROVEEDORES[[#This Row],[descuento sobre subtotal]])</f>
        <v>0</v>
      </c>
      <c r="R1175" s="21">
        <f>+PROVEEDORES[[#This Row],[SUBTOTAL]]+PROVEEDORES[[#This Row],[IVA 19%]]-PROVEEDORES[[#This Row],[descuento sobre subtotal]]-PROVEEDORES[[#This Row],[Descuento sobre subtotal $2]]-PROVEEDORES[[#This Row],[Rete Fuente $]]</f>
        <v>1979300</v>
      </c>
      <c r="S11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63">
        <f ca="1">IF(PROVEEDORES[[#This Row],[FECHA DE PAGO]]=0,TODAY()-PROVEEDORES[[#This Row],[FECHA DE FACTURACIÓN]]-PROVEEDORES[[#This Row],[PLAZO Días]],0)</f>
        <v>0</v>
      </c>
      <c r="U1175" s="104">
        <f>+VLOOKUP(PROVEEDORES[[#This Row],[PROVEEDOR]],Terceros!$A:$D,4,FALSE)</f>
        <v>0</v>
      </c>
      <c r="V1175" s="105">
        <f>+YEAR(PROVEEDORES[[#This Row],[FECHA DE FACTURACIÓN]])</f>
        <v>2023</v>
      </c>
      <c r="W1175" s="105">
        <f>+MATCH(PROVEEDORES[[#This Row],[año facturado]],Retenciones!$1:$1,0)</f>
        <v>6</v>
      </c>
      <c r="X1175" s="106">
        <f>+VLOOKUP(PROVEEDORES[[#This Row],[ID RETENCION]],Retenciones!$A$1:$O$25,PROVEEDORES[[#This Row],[indicador de columna]],FALSE)</f>
        <v>0</v>
      </c>
      <c r="Y1175" s="107">
        <f>+VLOOKUP(PROVEEDORES[[#This Row],[ID RETENCION]],Retenciones!$A$1:$O$25,2,FALSE)</f>
        <v>0</v>
      </c>
      <c r="Z1175" s="116" t="b">
        <f>OR(COUNTIF(PROVEEDORES[[#This Row],[PROVEEDOR]],"*"&amp;'Palabra no opera'!$A$2&amp;"*"))</f>
        <v>0</v>
      </c>
    </row>
    <row r="1176" spans="1:26" ht="22.35" customHeight="1" x14ac:dyDescent="0.3">
      <c r="A1176" s="67" t="str">
        <f>+IF(PROVEEDORES[[#This Row],[FECHA DE PAGO]]=PROVEEDORES[[#This Row],[FECHA DE FACTURACIÓN]],"DE CONTADO","CRÉDITO")</f>
        <v>DE CONTADO</v>
      </c>
      <c r="B1176" s="38" t="b">
        <f>+IF((PROVEEDORES[[#This Row],[FECHA DE PAGO]]-PROVEEDORES[[#This Row],[FECHA DE FACTURACIÓN]])&gt;PROVEEDORES[[#This Row],[PLAZO Días]],"PAGO VENCIDO")</f>
        <v>0</v>
      </c>
      <c r="C1176" s="20">
        <f>+VLOOKUP(PROVEEDORES[[#This Row],[PROVEEDOR]],TERCEROS_INFO[#All],2,FALSE)</f>
        <v>30</v>
      </c>
      <c r="D1176" s="25">
        <f>+SUMIFS(PROVEEDORES[Total],PROVEEDORES[PROVEEDOR],PROVEEDORES[[#This Row],[PROVEEDOR]],PROVEEDORES[FECHA DE PAGO],"")</f>
        <v>0</v>
      </c>
      <c r="E1176" s="25"/>
      <c r="F1176" s="56" t="str">
        <f>+VLOOKUP(PROVEEDORES[[#This Row],[PROVEEDOR]],
                       Terceros!$A:$F,
                       5,
                       FALSE)</f>
        <v/>
      </c>
      <c r="G1176" s="68">
        <v>44957</v>
      </c>
      <c r="H1176" s="26" t="s">
        <v>362</v>
      </c>
      <c r="I1176" s="68">
        <v>44957</v>
      </c>
      <c r="J1176" s="35" t="s">
        <v>1378</v>
      </c>
      <c r="K1176" s="21">
        <v>115930</v>
      </c>
      <c r="L1176" s="21"/>
      <c r="M1176" s="22">
        <f>(PROVEEDORES[[#This Row],[SUBTOTAL]]-PROVEEDORES[[#This Row],[descuento sobre subtotal]])*VLOOKUP(PROVEEDORES[[#This Row],[PROVEEDOR]],TERCEROS_INFO[#All],3,FALSE)</f>
        <v>0</v>
      </c>
      <c r="N1176" s="23"/>
      <c r="O1176" s="22">
        <f>+PROVEEDORES[[#This Row],[Descuento sobre subtotal %]]*(PROVEEDORES[[#This Row],[SUBTOTAL]]-PROVEEDORES[[#This Row],[descuento sobre subtotal]])</f>
        <v>0</v>
      </c>
      <c r="P1176" s="74">
        <f>+IF(PROVEEDORES[[#This Row],[SUBTOTAL]]&lt;PROVEEDORES[[#This Row],[base retencion]],0,PROVEEDORES[[#This Row],[retención aplicada]])</f>
        <v>0</v>
      </c>
      <c r="Q1176" s="22">
        <f>+PROVEEDORES[[#This Row],[Rete Fuente %]]*(PROVEEDORES[[#This Row],[SUBTOTAL]]-PROVEEDORES[[#This Row],[descuento sobre subtotal]])</f>
        <v>0</v>
      </c>
      <c r="R1176" s="21">
        <f>+PROVEEDORES[[#This Row],[SUBTOTAL]]+PROVEEDORES[[#This Row],[IVA 19%]]-PROVEEDORES[[#This Row],[descuento sobre subtotal]]-PROVEEDORES[[#This Row],[Descuento sobre subtotal $2]]-PROVEEDORES[[#This Row],[Rete Fuente $]]</f>
        <v>115930</v>
      </c>
      <c r="S11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63">
        <f ca="1">IF(PROVEEDORES[[#This Row],[FECHA DE PAGO]]=0,TODAY()-PROVEEDORES[[#This Row],[FECHA DE FACTURACIÓN]]-PROVEEDORES[[#This Row],[PLAZO Días]],0)</f>
        <v>0</v>
      </c>
      <c r="U1176" s="104">
        <f>+VLOOKUP(PROVEEDORES[[#This Row],[PROVEEDOR]],Terceros!$A:$D,4,FALSE)</f>
        <v>0</v>
      </c>
      <c r="V1176" s="105">
        <f>+YEAR(PROVEEDORES[[#This Row],[FECHA DE FACTURACIÓN]])</f>
        <v>2023</v>
      </c>
      <c r="W1176" s="105">
        <f>+MATCH(PROVEEDORES[[#This Row],[año facturado]],Retenciones!$1:$1,0)</f>
        <v>6</v>
      </c>
      <c r="X1176" s="106">
        <f>+VLOOKUP(PROVEEDORES[[#This Row],[ID RETENCION]],Retenciones!$A$1:$O$25,PROVEEDORES[[#This Row],[indicador de columna]],FALSE)</f>
        <v>0</v>
      </c>
      <c r="Y1176" s="107">
        <f>+VLOOKUP(PROVEEDORES[[#This Row],[ID RETENCION]],Retenciones!$A$1:$O$25,2,FALSE)</f>
        <v>0</v>
      </c>
      <c r="Z1176" s="116" t="b">
        <f>OR(COUNTIF(PROVEEDORES[[#This Row],[PROVEEDOR]],"*"&amp;'Palabra no opera'!$A$2&amp;"*"))</f>
        <v>0</v>
      </c>
    </row>
    <row r="1177" spans="1:26" ht="22.35" customHeight="1" x14ac:dyDescent="0.3">
      <c r="A1177" s="67" t="str">
        <f>+IF(PROVEEDORES[[#This Row],[FECHA DE PAGO]]=PROVEEDORES[[#This Row],[FECHA DE FACTURACIÓN]],"DE CONTADO","CRÉDITO")</f>
        <v>DE CONTADO</v>
      </c>
      <c r="B1177" s="38" t="b">
        <f>+IF((PROVEEDORES[[#This Row],[FECHA DE PAGO]]-PROVEEDORES[[#This Row],[FECHA DE FACTURACIÓN]])&gt;PROVEEDORES[[#This Row],[PLAZO Días]],"PAGO VENCIDO")</f>
        <v>0</v>
      </c>
      <c r="C1177" s="20">
        <f>+VLOOKUP(PROVEEDORES[[#This Row],[PROVEEDOR]],TERCEROS_INFO[#All],2,FALSE)</f>
        <v>30</v>
      </c>
      <c r="D1177" s="25">
        <f>+SUMIFS(PROVEEDORES[Total],PROVEEDORES[PROVEEDOR],PROVEEDORES[[#This Row],[PROVEEDOR]],PROVEEDORES[FECHA DE PAGO],"")</f>
        <v>0</v>
      </c>
      <c r="E1177" s="25"/>
      <c r="F1177" s="56" t="str">
        <f>+VLOOKUP(PROVEEDORES[[#This Row],[PROVEEDOR]],
                       Terceros!$A:$F,
                       5,
                       FALSE)</f>
        <v/>
      </c>
      <c r="G1177" s="68">
        <v>44957</v>
      </c>
      <c r="H1177" s="26" t="s">
        <v>362</v>
      </c>
      <c r="I1177" s="68">
        <v>44957</v>
      </c>
      <c r="J1177" s="35" t="s">
        <v>1178</v>
      </c>
      <c r="K1177" s="21">
        <v>177600</v>
      </c>
      <c r="L1177" s="21"/>
      <c r="M1177" s="22">
        <f>(PROVEEDORES[[#This Row],[SUBTOTAL]]-PROVEEDORES[[#This Row],[descuento sobre subtotal]])*VLOOKUP(PROVEEDORES[[#This Row],[PROVEEDOR]],TERCEROS_INFO[#All],3,FALSE)</f>
        <v>0</v>
      </c>
      <c r="N1177" s="23"/>
      <c r="O1177" s="22">
        <f>+PROVEEDORES[[#This Row],[Descuento sobre subtotal %]]*(PROVEEDORES[[#This Row],[SUBTOTAL]]-PROVEEDORES[[#This Row],[descuento sobre subtotal]])</f>
        <v>0</v>
      </c>
      <c r="P1177" s="74">
        <f>+IF(PROVEEDORES[[#This Row],[SUBTOTAL]]&lt;PROVEEDORES[[#This Row],[base retencion]],0,PROVEEDORES[[#This Row],[retención aplicada]])</f>
        <v>0</v>
      </c>
      <c r="Q1177" s="22">
        <f>+PROVEEDORES[[#This Row],[Rete Fuente %]]*(PROVEEDORES[[#This Row],[SUBTOTAL]]-PROVEEDORES[[#This Row],[descuento sobre subtotal]])</f>
        <v>0</v>
      </c>
      <c r="R1177" s="21">
        <f>+PROVEEDORES[[#This Row],[SUBTOTAL]]+PROVEEDORES[[#This Row],[IVA 19%]]-PROVEEDORES[[#This Row],[descuento sobre subtotal]]-PROVEEDORES[[#This Row],[Descuento sobre subtotal $2]]-PROVEEDORES[[#This Row],[Rete Fuente $]]</f>
        <v>177600</v>
      </c>
      <c r="S11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63">
        <f ca="1">IF(PROVEEDORES[[#This Row],[FECHA DE PAGO]]=0,TODAY()-PROVEEDORES[[#This Row],[FECHA DE FACTURACIÓN]]-PROVEEDORES[[#This Row],[PLAZO Días]],0)</f>
        <v>0</v>
      </c>
      <c r="U1177" s="104">
        <f>+VLOOKUP(PROVEEDORES[[#This Row],[PROVEEDOR]],Terceros!$A:$D,4,FALSE)</f>
        <v>0</v>
      </c>
      <c r="V1177" s="105">
        <f>+YEAR(PROVEEDORES[[#This Row],[FECHA DE FACTURACIÓN]])</f>
        <v>2023</v>
      </c>
      <c r="W1177" s="105">
        <f>+MATCH(PROVEEDORES[[#This Row],[año facturado]],Retenciones!$1:$1,0)</f>
        <v>6</v>
      </c>
      <c r="X1177" s="106">
        <f>+VLOOKUP(PROVEEDORES[[#This Row],[ID RETENCION]],Retenciones!$A$1:$O$25,PROVEEDORES[[#This Row],[indicador de columna]],FALSE)</f>
        <v>0</v>
      </c>
      <c r="Y1177" s="107">
        <f>+VLOOKUP(PROVEEDORES[[#This Row],[ID RETENCION]],Retenciones!$A$1:$O$25,2,FALSE)</f>
        <v>0</v>
      </c>
      <c r="Z1177" s="116" t="b">
        <f>OR(COUNTIF(PROVEEDORES[[#This Row],[PROVEEDOR]],"*"&amp;'Palabra no opera'!$A$2&amp;"*"))</f>
        <v>0</v>
      </c>
    </row>
    <row r="1178" spans="1:26" ht="22.35" customHeight="1" x14ac:dyDescent="0.3">
      <c r="A1178" s="67" t="str">
        <f>+IF(PROVEEDORES[[#This Row],[FECHA DE PAGO]]=PROVEEDORES[[#This Row],[FECHA DE FACTURACIÓN]],"DE CONTADO","CRÉDITO")</f>
        <v>DE CONTADO</v>
      </c>
      <c r="B1178" s="38" t="b">
        <f>+IF((PROVEEDORES[[#This Row],[FECHA DE PAGO]]-PROVEEDORES[[#This Row],[FECHA DE FACTURACIÓN]])&gt;PROVEEDORES[[#This Row],[PLAZO Días]],"PAGO VENCIDO")</f>
        <v>0</v>
      </c>
      <c r="C1178" s="20">
        <f>+VLOOKUP(PROVEEDORES[[#This Row],[PROVEEDOR]],TERCEROS_INFO[#All],2,FALSE)</f>
        <v>30</v>
      </c>
      <c r="D1178" s="25">
        <f>+SUMIFS(PROVEEDORES[Total],PROVEEDORES[PROVEEDOR],PROVEEDORES[[#This Row],[PROVEEDOR]],PROVEEDORES[FECHA DE PAGO],"")</f>
        <v>0</v>
      </c>
      <c r="E1178" s="25"/>
      <c r="F1178" s="56" t="str">
        <f>+VLOOKUP(PROVEEDORES[[#This Row],[PROVEEDOR]],
                       Terceros!$A:$F,
                       5,
                       FALSE)</f>
        <v/>
      </c>
      <c r="G1178" s="68">
        <v>44957</v>
      </c>
      <c r="H1178" s="26" t="s">
        <v>362</v>
      </c>
      <c r="I1178" s="68">
        <v>44957</v>
      </c>
      <c r="J1178" s="35" t="s">
        <v>1377</v>
      </c>
      <c r="K1178" s="21">
        <v>56000</v>
      </c>
      <c r="L1178" s="21"/>
      <c r="M1178" s="22">
        <f>(PROVEEDORES[[#This Row],[SUBTOTAL]]-PROVEEDORES[[#This Row],[descuento sobre subtotal]])*VLOOKUP(PROVEEDORES[[#This Row],[PROVEEDOR]],TERCEROS_INFO[#All],3,FALSE)</f>
        <v>0</v>
      </c>
      <c r="N1178" s="23"/>
      <c r="O1178" s="22">
        <f>+PROVEEDORES[[#This Row],[Descuento sobre subtotal %]]*(PROVEEDORES[[#This Row],[SUBTOTAL]]-PROVEEDORES[[#This Row],[descuento sobre subtotal]])</f>
        <v>0</v>
      </c>
      <c r="P1178" s="74">
        <f>+IF(PROVEEDORES[[#This Row],[SUBTOTAL]]&lt;PROVEEDORES[[#This Row],[base retencion]],0,PROVEEDORES[[#This Row],[retención aplicada]])</f>
        <v>0</v>
      </c>
      <c r="Q1178" s="22">
        <f>+PROVEEDORES[[#This Row],[Rete Fuente %]]*(PROVEEDORES[[#This Row],[SUBTOTAL]]-PROVEEDORES[[#This Row],[descuento sobre subtotal]])</f>
        <v>0</v>
      </c>
      <c r="R1178" s="21">
        <f>+PROVEEDORES[[#This Row],[SUBTOTAL]]+PROVEEDORES[[#This Row],[IVA 19%]]-PROVEEDORES[[#This Row],[descuento sobre subtotal]]-PROVEEDORES[[#This Row],[Descuento sobre subtotal $2]]-PROVEEDORES[[#This Row],[Rete Fuente $]]</f>
        <v>56000</v>
      </c>
      <c r="S11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63">
        <f ca="1">IF(PROVEEDORES[[#This Row],[FECHA DE PAGO]]=0,TODAY()-PROVEEDORES[[#This Row],[FECHA DE FACTURACIÓN]]-PROVEEDORES[[#This Row],[PLAZO Días]],0)</f>
        <v>0</v>
      </c>
      <c r="U1178" s="104">
        <f>+VLOOKUP(PROVEEDORES[[#This Row],[PROVEEDOR]],Terceros!$A:$D,4,FALSE)</f>
        <v>0</v>
      </c>
      <c r="V1178" s="105">
        <f>+YEAR(PROVEEDORES[[#This Row],[FECHA DE FACTURACIÓN]])</f>
        <v>2023</v>
      </c>
      <c r="W1178" s="105">
        <f>+MATCH(PROVEEDORES[[#This Row],[año facturado]],Retenciones!$1:$1,0)</f>
        <v>6</v>
      </c>
      <c r="X1178" s="106">
        <f>+VLOOKUP(PROVEEDORES[[#This Row],[ID RETENCION]],Retenciones!$A$1:$O$25,PROVEEDORES[[#This Row],[indicador de columna]],FALSE)</f>
        <v>0</v>
      </c>
      <c r="Y1178" s="107">
        <f>+VLOOKUP(PROVEEDORES[[#This Row],[ID RETENCION]],Retenciones!$A$1:$O$25,2,FALSE)</f>
        <v>0</v>
      </c>
      <c r="Z1178" s="116" t="b">
        <f>OR(COUNTIF(PROVEEDORES[[#This Row],[PROVEEDOR]],"*"&amp;'Palabra no opera'!$A$2&amp;"*"))</f>
        <v>0</v>
      </c>
    </row>
    <row r="1179" spans="1:26" ht="22.35" customHeight="1" x14ac:dyDescent="0.3">
      <c r="A1179" s="67" t="str">
        <f>+IF(PROVEEDORES[[#This Row],[FECHA DE PAGO]]=PROVEEDORES[[#This Row],[FECHA DE FACTURACIÓN]],"DE CONTADO","CRÉDITO")</f>
        <v>DE CONTADO</v>
      </c>
      <c r="B1179" s="38" t="b">
        <f>+IF((PROVEEDORES[[#This Row],[FECHA DE PAGO]]-PROVEEDORES[[#This Row],[FECHA DE FACTURACIÓN]])&gt;PROVEEDORES[[#This Row],[PLAZO Días]],"PAGO VENCIDO")</f>
        <v>0</v>
      </c>
      <c r="C1179" s="20">
        <f>+VLOOKUP(PROVEEDORES[[#This Row],[PROVEEDOR]],TERCEROS_INFO[#All],2,FALSE)</f>
        <v>30</v>
      </c>
      <c r="D1179" s="25">
        <f>+SUMIFS(PROVEEDORES[Total],PROVEEDORES[PROVEEDOR],PROVEEDORES[[#This Row],[PROVEEDOR]],PROVEEDORES[FECHA DE PAGO],"")</f>
        <v>0</v>
      </c>
      <c r="E1179" s="25"/>
      <c r="F1179" s="56" t="str">
        <f>+VLOOKUP(PROVEEDORES[[#This Row],[PROVEEDOR]],
                       Terceros!$A:$F,
                       5,
                       FALSE)</f>
        <v/>
      </c>
      <c r="G1179" s="68">
        <v>44957</v>
      </c>
      <c r="H1179" s="26" t="s">
        <v>362</v>
      </c>
      <c r="I1179" s="68">
        <v>44957</v>
      </c>
      <c r="J1179" s="35" t="s">
        <v>1176</v>
      </c>
      <c r="K1179" s="21">
        <v>586500</v>
      </c>
      <c r="L1179" s="21"/>
      <c r="M1179" s="22">
        <f>(PROVEEDORES[[#This Row],[SUBTOTAL]]-PROVEEDORES[[#This Row],[descuento sobre subtotal]])*VLOOKUP(PROVEEDORES[[#This Row],[PROVEEDOR]],TERCEROS_INFO[#All],3,FALSE)</f>
        <v>0</v>
      </c>
      <c r="N1179" s="23"/>
      <c r="O1179" s="22">
        <f>+PROVEEDORES[[#This Row],[Descuento sobre subtotal %]]*(PROVEEDORES[[#This Row],[SUBTOTAL]]-PROVEEDORES[[#This Row],[descuento sobre subtotal]])</f>
        <v>0</v>
      </c>
      <c r="P1179" s="74">
        <f>+IF(PROVEEDORES[[#This Row],[SUBTOTAL]]&lt;PROVEEDORES[[#This Row],[base retencion]],0,PROVEEDORES[[#This Row],[retención aplicada]])</f>
        <v>0</v>
      </c>
      <c r="Q1179" s="22">
        <f>+PROVEEDORES[[#This Row],[Rete Fuente %]]*(PROVEEDORES[[#This Row],[SUBTOTAL]]-PROVEEDORES[[#This Row],[descuento sobre subtotal]])</f>
        <v>0</v>
      </c>
      <c r="R1179" s="21">
        <f>+PROVEEDORES[[#This Row],[SUBTOTAL]]+PROVEEDORES[[#This Row],[IVA 19%]]-PROVEEDORES[[#This Row],[descuento sobre subtotal]]-PROVEEDORES[[#This Row],[Descuento sobre subtotal $2]]-PROVEEDORES[[#This Row],[Rete Fuente $]]</f>
        <v>586500</v>
      </c>
      <c r="S11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9" s="63">
        <f ca="1">IF(PROVEEDORES[[#This Row],[FECHA DE PAGO]]=0,TODAY()-PROVEEDORES[[#This Row],[FECHA DE FACTURACIÓN]]-PROVEEDORES[[#This Row],[PLAZO Días]],0)</f>
        <v>0</v>
      </c>
      <c r="U1179" s="104">
        <f>+VLOOKUP(PROVEEDORES[[#This Row],[PROVEEDOR]],Terceros!$A:$D,4,FALSE)</f>
        <v>0</v>
      </c>
      <c r="V1179" s="105">
        <f>+YEAR(PROVEEDORES[[#This Row],[FECHA DE FACTURACIÓN]])</f>
        <v>2023</v>
      </c>
      <c r="W1179" s="105">
        <f>+MATCH(PROVEEDORES[[#This Row],[año facturado]],Retenciones!$1:$1,0)</f>
        <v>6</v>
      </c>
      <c r="X1179" s="106">
        <f>+VLOOKUP(PROVEEDORES[[#This Row],[ID RETENCION]],Retenciones!$A$1:$O$25,PROVEEDORES[[#This Row],[indicador de columna]],FALSE)</f>
        <v>0</v>
      </c>
      <c r="Y1179" s="107">
        <f>+VLOOKUP(PROVEEDORES[[#This Row],[ID RETENCION]],Retenciones!$A$1:$O$25,2,FALSE)</f>
        <v>0</v>
      </c>
      <c r="Z1179" s="116" t="b">
        <f>OR(COUNTIF(PROVEEDORES[[#This Row],[PROVEEDOR]],"*"&amp;'Palabra no opera'!$A$2&amp;"*"))</f>
        <v>0</v>
      </c>
    </row>
    <row r="1180" spans="1:26" ht="22.35" customHeight="1" x14ac:dyDescent="0.3">
      <c r="A1180" s="67" t="str">
        <f>+IF(PROVEEDORES[[#This Row],[FECHA DE PAGO]]=PROVEEDORES[[#This Row],[FECHA DE FACTURACIÓN]],"DE CONTADO","CRÉDITO")</f>
        <v>DE CONTADO</v>
      </c>
      <c r="B1180" s="38" t="b">
        <f>+IF((PROVEEDORES[[#This Row],[FECHA DE PAGO]]-PROVEEDORES[[#This Row],[FECHA DE FACTURACIÓN]])&gt;PROVEEDORES[[#This Row],[PLAZO Días]],"PAGO VENCIDO")</f>
        <v>0</v>
      </c>
      <c r="C1180" s="20">
        <f>+VLOOKUP(PROVEEDORES[[#This Row],[PROVEEDOR]],TERCEROS_INFO[#All],2,FALSE)</f>
        <v>30</v>
      </c>
      <c r="D1180" s="25">
        <f>+SUMIFS(PROVEEDORES[Total],PROVEEDORES[PROVEEDOR],PROVEEDORES[[#This Row],[PROVEEDOR]],PROVEEDORES[FECHA DE PAGO],"")</f>
        <v>0</v>
      </c>
      <c r="E1180" s="25"/>
      <c r="F1180" s="56" t="str">
        <f>+VLOOKUP(PROVEEDORES[[#This Row],[PROVEEDOR]],
                       Terceros!$A:$F,
                       5,
                       FALSE)</f>
        <v/>
      </c>
      <c r="G1180" s="68">
        <v>44957</v>
      </c>
      <c r="H1180" s="26" t="s">
        <v>362</v>
      </c>
      <c r="I1180" s="68">
        <v>44957</v>
      </c>
      <c r="J1180" s="35" t="s">
        <v>1379</v>
      </c>
      <c r="K1180" s="21">
        <v>0</v>
      </c>
      <c r="L1180" s="21"/>
      <c r="M1180" s="22">
        <f>(PROVEEDORES[[#This Row],[SUBTOTAL]]-PROVEEDORES[[#This Row],[descuento sobre subtotal]])*VLOOKUP(PROVEEDORES[[#This Row],[PROVEEDOR]],TERCEROS_INFO[#All],3,FALSE)</f>
        <v>0</v>
      </c>
      <c r="N1180" s="23"/>
      <c r="O1180" s="22">
        <f>+PROVEEDORES[[#This Row],[Descuento sobre subtotal %]]*(PROVEEDORES[[#This Row],[SUBTOTAL]]-PROVEEDORES[[#This Row],[descuento sobre subtotal]])</f>
        <v>0</v>
      </c>
      <c r="P1180" s="74">
        <f>+IF(PROVEEDORES[[#This Row],[SUBTOTAL]]&lt;PROVEEDORES[[#This Row],[base retencion]],0,PROVEEDORES[[#This Row],[retención aplicada]])</f>
        <v>0</v>
      </c>
      <c r="Q1180" s="22">
        <f>+PROVEEDORES[[#This Row],[Rete Fuente %]]*(PROVEEDORES[[#This Row],[SUBTOTAL]]-PROVEEDORES[[#This Row],[descuento sobre subtotal]])</f>
        <v>0</v>
      </c>
      <c r="R1180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1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63">
        <f ca="1">IF(PROVEEDORES[[#This Row],[FECHA DE PAGO]]=0,TODAY()-PROVEEDORES[[#This Row],[FECHA DE FACTURACIÓN]]-PROVEEDORES[[#This Row],[PLAZO Días]],0)</f>
        <v>0</v>
      </c>
      <c r="U1180" s="104">
        <f>+VLOOKUP(PROVEEDORES[[#This Row],[PROVEEDOR]],Terceros!$A:$D,4,FALSE)</f>
        <v>0</v>
      </c>
      <c r="V1180" s="105">
        <f>+YEAR(PROVEEDORES[[#This Row],[FECHA DE FACTURACIÓN]])</f>
        <v>2023</v>
      </c>
      <c r="W1180" s="105">
        <f>+MATCH(PROVEEDORES[[#This Row],[año facturado]],Retenciones!$1:$1,0)</f>
        <v>6</v>
      </c>
      <c r="X1180" s="106">
        <f>+VLOOKUP(PROVEEDORES[[#This Row],[ID RETENCION]],Retenciones!$A$1:$O$25,PROVEEDORES[[#This Row],[indicador de columna]],FALSE)</f>
        <v>0</v>
      </c>
      <c r="Y1180" s="107">
        <f>+VLOOKUP(PROVEEDORES[[#This Row],[ID RETENCION]],Retenciones!$A$1:$O$25,2,FALSE)</f>
        <v>0</v>
      </c>
      <c r="Z1180" s="116" t="b">
        <f>OR(COUNTIF(PROVEEDORES[[#This Row],[PROVEEDOR]],"*"&amp;'Palabra no opera'!$A$2&amp;"*"))</f>
        <v>0</v>
      </c>
    </row>
    <row r="1181" spans="1:26" ht="22.35" customHeight="1" x14ac:dyDescent="0.3">
      <c r="A1181" s="249" t="str">
        <f>+IF(PROVEEDORES[[#This Row],[FECHA DE PAGO]]=PROVEEDORES[[#This Row],[FECHA DE FACTURACIÓN]],"DE CONTADO","CRÉDITO")</f>
        <v>CRÉDITO</v>
      </c>
      <c r="B1181" s="38" t="str">
        <f>+IF((PROVEEDORES[[#This Row],[FECHA DE PAGO]]-PROVEEDORES[[#This Row],[FECHA DE FACTURACIÓN]])&gt;PROVEEDORES[[#This Row],[PLAZO Días]],"PAGO VENCIDO")</f>
        <v>PAGO VENCIDO</v>
      </c>
      <c r="C1181" s="20">
        <f>+VLOOKUP(PROVEEDORES[[#This Row],[PROVEEDOR]],TERCEROS_INFO[#All],2,FALSE)</f>
        <v>30</v>
      </c>
      <c r="D1181" s="25">
        <f>+SUMIFS(PROVEEDORES[Total],PROVEEDORES[PROVEEDOR],PROVEEDORES[[#This Row],[PROVEEDOR]],PROVEEDORES[FECHA DE PAGO],"")</f>
        <v>2773899.95</v>
      </c>
      <c r="E1181" s="25"/>
      <c r="F1181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81" s="68">
        <v>44957</v>
      </c>
      <c r="H1181" s="26" t="s">
        <v>20</v>
      </c>
      <c r="I1181" s="68">
        <v>44907</v>
      </c>
      <c r="J1181" s="35" t="s">
        <v>1355</v>
      </c>
      <c r="K1181" s="21">
        <v>607380</v>
      </c>
      <c r="L1181" s="21"/>
      <c r="M1181" s="22">
        <f>(PROVEEDORES[[#This Row],[SUBTOTAL]]-PROVEEDORES[[#This Row],[descuento sobre subtotal]])*VLOOKUP(PROVEEDORES[[#This Row],[PROVEEDOR]],TERCEROS_INFO[#All],3,FALSE)</f>
        <v>115402.2</v>
      </c>
      <c r="N1181" s="23"/>
      <c r="O1181" s="22">
        <f>+PROVEEDORES[[#This Row],[Descuento sobre subtotal %]]*(PROVEEDORES[[#This Row],[SUBTOTAL]]-PROVEEDORES[[#This Row],[descuento sobre subtotal]])</f>
        <v>0</v>
      </c>
      <c r="P1181" s="74">
        <f>+IF(PROVEEDORES[[#This Row],[SUBTOTAL]]&lt;PROVEEDORES[[#This Row],[base retencion]],0,PROVEEDORES[[#This Row],[retención aplicada]])</f>
        <v>0</v>
      </c>
      <c r="Q1181" s="22">
        <f>+PROVEEDORES[[#This Row],[Rete Fuente %]]*(PROVEEDORES[[#This Row],[SUBTOTAL]]-PROVEEDORES[[#This Row],[descuento sobre subtotal]])</f>
        <v>0</v>
      </c>
      <c r="R1181" s="21">
        <f>+PROVEEDORES[[#This Row],[SUBTOTAL]]+PROVEEDORES[[#This Row],[IVA 19%]]-PROVEEDORES[[#This Row],[descuento sobre subtotal]]-PROVEEDORES[[#This Row],[Descuento sobre subtotal $2]]-PROVEEDORES[[#This Row],[Rete Fuente $]]</f>
        <v>722782.2</v>
      </c>
      <c r="S118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63">
        <f ca="1">IF(PROVEEDORES[[#This Row],[FECHA DE PAGO]]=0,TODAY()-PROVEEDORES[[#This Row],[FECHA DE FACTURACIÓN]]-PROVEEDORES[[#This Row],[PLAZO Días]],0)</f>
        <v>0</v>
      </c>
      <c r="U1181" s="104" t="str">
        <f>+VLOOKUP(PROVEEDORES[[#This Row],[PROVEEDOR]],Terceros!$A:$D,4,FALSE)</f>
        <v>2,5% con base</v>
      </c>
      <c r="V1181" s="105">
        <f>+YEAR(PROVEEDORES[[#This Row],[FECHA DE FACTURACIÓN]])</f>
        <v>2022</v>
      </c>
      <c r="W1181" s="105">
        <f>+MATCH(PROVEEDORES[[#This Row],[año facturado]],Retenciones!$1:$1,0)</f>
        <v>5</v>
      </c>
      <c r="X1181" s="106">
        <f>+VLOOKUP(PROVEEDORES[[#This Row],[ID RETENCION]],Retenciones!$A$1:$O$25,PROVEEDORES[[#This Row],[indicador de columna]],FALSE)</f>
        <v>1026000</v>
      </c>
      <c r="Y1181" s="107">
        <f>+VLOOKUP(PROVEEDORES[[#This Row],[ID RETENCION]],Retenciones!$A$1:$O$25,2,FALSE)</f>
        <v>2.5000000000000001E-2</v>
      </c>
      <c r="Z1181" s="116" t="b">
        <f>OR(COUNTIF(PROVEEDORES[[#This Row],[PROVEEDOR]],"*"&amp;'Palabra no opera'!$A$2&amp;"*"))</f>
        <v>0</v>
      </c>
    </row>
    <row r="1182" spans="1:26" ht="22.35" customHeight="1" x14ac:dyDescent="0.3">
      <c r="A1182" s="67" t="str">
        <f>+IF(PROVEEDORES[[#This Row],[FECHA DE PAGO]]=PROVEEDORES[[#This Row],[FECHA DE FACTURACIÓN]],"DE CONTADO","CRÉDITO")</f>
        <v>CRÉDITO</v>
      </c>
      <c r="B1182" s="38" t="str">
        <f>+IF((PROVEEDORES[[#This Row],[FECHA DE PAGO]]-PROVEEDORES[[#This Row],[FECHA DE FACTURACIÓN]])&gt;PROVEEDORES[[#This Row],[PLAZO Días]],"PAGO VENCIDO")</f>
        <v>PAGO VENCIDO</v>
      </c>
      <c r="C1182" s="20">
        <f>+VLOOKUP(PROVEEDORES[[#This Row],[PROVEEDOR]],TERCEROS_INFO[#All],2,FALSE)</f>
        <v>30</v>
      </c>
      <c r="D1182" s="25">
        <f>+SUMIFS(PROVEEDORES[Total],PROVEEDORES[PROVEEDOR],PROVEEDORES[[#This Row],[PROVEEDOR]],PROVEEDORES[FECHA DE PAGO],"")</f>
        <v>3669750</v>
      </c>
      <c r="E1182" s="25"/>
      <c r="F1182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182" s="68">
        <v>44957</v>
      </c>
      <c r="H1182" s="231" t="s">
        <v>24</v>
      </c>
      <c r="I1182" s="68">
        <v>44882</v>
      </c>
      <c r="J1182" s="245" t="s">
        <v>1297</v>
      </c>
      <c r="K1182" s="21">
        <v>6174000</v>
      </c>
      <c r="L1182" s="21"/>
      <c r="M1182" s="22">
        <f>(PROVEEDORES[[#This Row],[SUBTOTAL]]-PROVEEDORES[[#This Row],[descuento sobre subtotal]])*VLOOKUP(PROVEEDORES[[#This Row],[PROVEEDOR]],TERCEROS_INFO[#All],3,FALSE)</f>
        <v>1173060</v>
      </c>
      <c r="N1182" s="23"/>
      <c r="O1182" s="22">
        <f>+PROVEEDORES[[#This Row],[Descuento sobre subtotal %]]*(PROVEEDORES[[#This Row],[SUBTOTAL]]-PROVEEDORES[[#This Row],[descuento sobre subtotal]])</f>
        <v>0</v>
      </c>
      <c r="P1182" s="74">
        <f>+IF(PROVEEDORES[[#This Row],[SUBTOTAL]]&lt;PROVEEDORES[[#This Row],[base retencion]],0,PROVEEDORES[[#This Row],[retención aplicada]])</f>
        <v>2.5000000000000001E-2</v>
      </c>
      <c r="Q1182" s="22">
        <f>+PROVEEDORES[[#This Row],[Rete Fuente %]]*(PROVEEDORES[[#This Row],[SUBTOTAL]]-PROVEEDORES[[#This Row],[descuento sobre subtotal]])</f>
        <v>154350</v>
      </c>
      <c r="R1182" s="21">
        <f>+PROVEEDORES[[#This Row],[SUBTOTAL]]+PROVEEDORES[[#This Row],[IVA 19%]]-PROVEEDORES[[#This Row],[descuento sobre subtotal]]-PROVEEDORES[[#This Row],[Descuento sobre subtotal $2]]-PROVEEDORES[[#This Row],[Rete Fuente $]]</f>
        <v>7192710</v>
      </c>
      <c r="S11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63">
        <f ca="1">IF(PROVEEDORES[[#This Row],[FECHA DE PAGO]]=0,TODAY()-PROVEEDORES[[#This Row],[FECHA DE FACTURACIÓN]]-PROVEEDORES[[#This Row],[PLAZO Días]],0)</f>
        <v>0</v>
      </c>
      <c r="U1182" s="104" t="str">
        <f>+VLOOKUP(PROVEEDORES[[#This Row],[PROVEEDOR]],Terceros!$A:$D,4,FALSE)</f>
        <v>2,5% con base</v>
      </c>
      <c r="V1182" s="105">
        <f>+YEAR(PROVEEDORES[[#This Row],[FECHA DE FACTURACIÓN]])</f>
        <v>2022</v>
      </c>
      <c r="W1182" s="105">
        <f>+MATCH(PROVEEDORES[[#This Row],[año facturado]],Retenciones!$1:$1,0)</f>
        <v>5</v>
      </c>
      <c r="X1182" s="106">
        <f>+VLOOKUP(PROVEEDORES[[#This Row],[ID RETENCION]],Retenciones!$A$1:$O$25,PROVEEDORES[[#This Row],[indicador de columna]],FALSE)</f>
        <v>1026000</v>
      </c>
      <c r="Y1182" s="107">
        <f>+VLOOKUP(PROVEEDORES[[#This Row],[ID RETENCION]],Retenciones!$A$1:$O$25,2,FALSE)</f>
        <v>2.5000000000000001E-2</v>
      </c>
      <c r="Z1182" s="116" t="b">
        <f>OR(COUNTIF(PROVEEDORES[[#This Row],[PROVEEDOR]],"*"&amp;'Palabra no opera'!$A$2&amp;"*"))</f>
        <v>0</v>
      </c>
    </row>
    <row r="1183" spans="1:26" ht="22.35" customHeight="1" x14ac:dyDescent="0.3">
      <c r="A1183" s="67" t="str">
        <f>+IF(PROVEEDORES[[#This Row],[FECHA DE PAGO]]=PROVEEDORES[[#This Row],[FECHA DE FACTURACIÓN]],"DE CONTADO","CRÉDITO")</f>
        <v>CRÉDITO</v>
      </c>
      <c r="B1183" s="38" t="str">
        <f>+IF((PROVEEDORES[[#This Row],[FECHA DE PAGO]]-PROVEEDORES[[#This Row],[FECHA DE FACTURACIÓN]])&gt;PROVEEDORES[[#This Row],[PLAZO Días]],"PAGO VENCIDO")</f>
        <v>PAGO VENCIDO</v>
      </c>
      <c r="C1183" s="20">
        <f>+VLOOKUP(PROVEEDORES[[#This Row],[PROVEEDOR]],TERCEROS_INFO[#All],2,FALSE)</f>
        <v>30</v>
      </c>
      <c r="D1183" s="25">
        <f>+SUMIFS(PROVEEDORES[Total],PROVEEDORES[PROVEEDOR],PROVEEDORES[[#This Row],[PROVEEDOR]],PROVEEDORES[FECHA DE PAGO],"")</f>
        <v>3669750</v>
      </c>
      <c r="E1183" s="25"/>
      <c r="F1183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183" s="68">
        <v>44957</v>
      </c>
      <c r="H1183" s="231" t="s">
        <v>24</v>
      </c>
      <c r="I1183" s="68">
        <v>44889</v>
      </c>
      <c r="J1183" s="245" t="s">
        <v>1298</v>
      </c>
      <c r="K1183" s="21">
        <v>1364000</v>
      </c>
      <c r="L1183" s="21"/>
      <c r="M1183" s="22">
        <f>(PROVEEDORES[[#This Row],[SUBTOTAL]]-PROVEEDORES[[#This Row],[descuento sobre subtotal]])*VLOOKUP(PROVEEDORES[[#This Row],[PROVEEDOR]],TERCEROS_INFO[#All],3,FALSE)</f>
        <v>259160</v>
      </c>
      <c r="N1183" s="23"/>
      <c r="O1183" s="22">
        <f>+PROVEEDORES[[#This Row],[Descuento sobre subtotal %]]*(PROVEEDORES[[#This Row],[SUBTOTAL]]-PROVEEDORES[[#This Row],[descuento sobre subtotal]])</f>
        <v>0</v>
      </c>
      <c r="P1183" s="74">
        <f>+IF(PROVEEDORES[[#This Row],[SUBTOTAL]]&lt;PROVEEDORES[[#This Row],[base retencion]],0,PROVEEDORES[[#This Row],[retención aplicada]])</f>
        <v>2.5000000000000001E-2</v>
      </c>
      <c r="Q1183" s="22">
        <f>+PROVEEDORES[[#This Row],[Rete Fuente %]]*(PROVEEDORES[[#This Row],[SUBTOTAL]]-PROVEEDORES[[#This Row],[descuento sobre subtotal]])</f>
        <v>34100</v>
      </c>
      <c r="R1183" s="21">
        <f>+PROVEEDORES[[#This Row],[SUBTOTAL]]+PROVEEDORES[[#This Row],[IVA 19%]]-PROVEEDORES[[#This Row],[descuento sobre subtotal]]-PROVEEDORES[[#This Row],[Descuento sobre subtotal $2]]-PROVEEDORES[[#This Row],[Rete Fuente $]]</f>
        <v>1589060</v>
      </c>
      <c r="S11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3" s="63">
        <f ca="1">IF(PROVEEDORES[[#This Row],[FECHA DE PAGO]]=0,TODAY()-PROVEEDORES[[#This Row],[FECHA DE FACTURACIÓN]]-PROVEEDORES[[#This Row],[PLAZO Días]],0)</f>
        <v>0</v>
      </c>
      <c r="U1183" s="104" t="str">
        <f>+VLOOKUP(PROVEEDORES[[#This Row],[PROVEEDOR]],Terceros!$A:$D,4,FALSE)</f>
        <v>2,5% con base</v>
      </c>
      <c r="V1183" s="105">
        <f>+YEAR(PROVEEDORES[[#This Row],[FECHA DE FACTURACIÓN]])</f>
        <v>2022</v>
      </c>
      <c r="W1183" s="105">
        <f>+MATCH(PROVEEDORES[[#This Row],[año facturado]],Retenciones!$1:$1,0)</f>
        <v>5</v>
      </c>
      <c r="X1183" s="106">
        <f>+VLOOKUP(PROVEEDORES[[#This Row],[ID RETENCION]],Retenciones!$A$1:$O$25,PROVEEDORES[[#This Row],[indicador de columna]],FALSE)</f>
        <v>1026000</v>
      </c>
      <c r="Y1183" s="107">
        <f>+VLOOKUP(PROVEEDORES[[#This Row],[ID RETENCION]],Retenciones!$A$1:$O$25,2,FALSE)</f>
        <v>2.5000000000000001E-2</v>
      </c>
      <c r="Z1183" s="116" t="b">
        <f>OR(COUNTIF(PROVEEDORES[[#This Row],[PROVEEDOR]],"*"&amp;'Palabra no opera'!$A$2&amp;"*"))</f>
        <v>0</v>
      </c>
    </row>
    <row r="1184" spans="1:26" ht="22.35" customHeight="1" x14ac:dyDescent="0.3">
      <c r="A1184" s="67" t="str">
        <f>+IF(PROVEEDORES[[#This Row],[FECHA DE PAGO]]=PROVEEDORES[[#This Row],[FECHA DE FACTURACIÓN]],"DE CONTADO","CRÉDITO")</f>
        <v>CRÉDITO</v>
      </c>
      <c r="B1184" s="38" t="str">
        <f>+IF((PROVEEDORES[[#This Row],[FECHA DE PAGO]]-PROVEEDORES[[#This Row],[FECHA DE FACTURACIÓN]])&gt;PROVEEDORES[[#This Row],[PLAZO Días]],"PAGO VENCIDO")</f>
        <v>PAGO VENCIDO</v>
      </c>
      <c r="C1184" s="20">
        <f>+VLOOKUP(PROVEEDORES[[#This Row],[PROVEEDOR]],TERCEROS_INFO[#All],2,FALSE)</f>
        <v>30</v>
      </c>
      <c r="D1184" s="25">
        <f>+SUMIFS(PROVEEDORES[Total],PROVEEDORES[PROVEEDOR],PROVEEDORES[[#This Row],[PROVEEDOR]],PROVEEDORES[FECHA DE PAGO],"")</f>
        <v>3669750</v>
      </c>
      <c r="E1184" s="25"/>
      <c r="F1184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184" s="68">
        <v>44957</v>
      </c>
      <c r="H1184" s="231" t="s">
        <v>24</v>
      </c>
      <c r="I1184" s="68">
        <v>44889</v>
      </c>
      <c r="J1184" s="245" t="s">
        <v>1299</v>
      </c>
      <c r="K1184" s="21">
        <v>308150</v>
      </c>
      <c r="L1184" s="21"/>
      <c r="M1184" s="22">
        <f>(PROVEEDORES[[#This Row],[SUBTOTAL]]-PROVEEDORES[[#This Row],[descuento sobre subtotal]])*VLOOKUP(PROVEEDORES[[#This Row],[PROVEEDOR]],TERCEROS_INFO[#All],3,FALSE)</f>
        <v>58548.5</v>
      </c>
      <c r="N1184" s="23"/>
      <c r="O1184" s="22">
        <f>+PROVEEDORES[[#This Row],[Descuento sobre subtotal %]]*(PROVEEDORES[[#This Row],[SUBTOTAL]]-PROVEEDORES[[#This Row],[descuento sobre subtotal]])</f>
        <v>0</v>
      </c>
      <c r="P1184" s="74">
        <f>+IF(PROVEEDORES[[#This Row],[SUBTOTAL]]&lt;PROVEEDORES[[#This Row],[base retencion]],0,PROVEEDORES[[#This Row],[retención aplicada]])</f>
        <v>0</v>
      </c>
      <c r="Q1184" s="22">
        <v>7703.75</v>
      </c>
      <c r="R1184" s="21">
        <f>+PROVEEDORES[[#This Row],[SUBTOTAL]]+PROVEEDORES[[#This Row],[IVA 19%]]-PROVEEDORES[[#This Row],[descuento sobre subtotal]]-PROVEEDORES[[#This Row],[Descuento sobre subtotal $2]]-PROVEEDORES[[#This Row],[Rete Fuente $]]</f>
        <v>358994.75</v>
      </c>
      <c r="S11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63">
        <f ca="1">IF(PROVEEDORES[[#This Row],[FECHA DE PAGO]]=0,TODAY()-PROVEEDORES[[#This Row],[FECHA DE FACTURACIÓN]]-PROVEEDORES[[#This Row],[PLAZO Días]],0)</f>
        <v>0</v>
      </c>
      <c r="U1184" s="104" t="str">
        <f>+VLOOKUP(PROVEEDORES[[#This Row],[PROVEEDOR]],Terceros!$A:$D,4,FALSE)</f>
        <v>2,5% con base</v>
      </c>
      <c r="V1184" s="105">
        <f>+YEAR(PROVEEDORES[[#This Row],[FECHA DE FACTURACIÓN]])</f>
        <v>2022</v>
      </c>
      <c r="W1184" s="105">
        <f>+MATCH(PROVEEDORES[[#This Row],[año facturado]],Retenciones!$1:$1,0)</f>
        <v>5</v>
      </c>
      <c r="X1184" s="106">
        <f>+VLOOKUP(PROVEEDORES[[#This Row],[ID RETENCION]],Retenciones!$A$1:$O$25,PROVEEDORES[[#This Row],[indicador de columna]],FALSE)</f>
        <v>1026000</v>
      </c>
      <c r="Y1184" s="107">
        <f>+VLOOKUP(PROVEEDORES[[#This Row],[ID RETENCION]],Retenciones!$A$1:$O$25,2,FALSE)</f>
        <v>2.5000000000000001E-2</v>
      </c>
      <c r="Z1184" s="116" t="b">
        <f>OR(COUNTIF(PROVEEDORES[[#This Row],[PROVEEDOR]],"*"&amp;'Palabra no opera'!$A$2&amp;"*"))</f>
        <v>0</v>
      </c>
    </row>
    <row r="1185" spans="1:26" ht="22.35" customHeight="1" x14ac:dyDescent="0.3">
      <c r="A1185" s="249" t="str">
        <f>+IF(PROVEEDORES[[#This Row],[FECHA DE PAGO]]=PROVEEDORES[[#This Row],[FECHA DE FACTURACIÓN]],"DE CONTADO","CRÉDITO")</f>
        <v>CRÉDITO</v>
      </c>
      <c r="B1185" s="38" t="str">
        <f>+IF((PROVEEDORES[[#This Row],[FECHA DE PAGO]]-PROVEEDORES[[#This Row],[FECHA DE FACTURACIÓN]])&gt;PROVEEDORES[[#This Row],[PLAZO Días]],"PAGO VENCIDO")</f>
        <v>PAGO VENCIDO</v>
      </c>
      <c r="C1185" s="20">
        <f>+VLOOKUP(PROVEEDORES[[#This Row],[PROVEEDOR]],TERCEROS_INFO[#All],2,FALSE)</f>
        <v>30</v>
      </c>
      <c r="D1185" s="25">
        <f>+SUMIFS(PROVEEDORES[Total],PROVEEDORES[PROVEEDOR],PROVEEDORES[[#This Row],[PROVEEDOR]],PROVEEDORES[FECHA DE PAGO],"")</f>
        <v>0</v>
      </c>
      <c r="E1185" s="25"/>
      <c r="F1185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185" s="68">
        <v>44957</v>
      </c>
      <c r="H1185" s="26" t="s">
        <v>857</v>
      </c>
      <c r="I1185" s="68">
        <v>44914</v>
      </c>
      <c r="J1185" s="35" t="s">
        <v>1352</v>
      </c>
      <c r="K1185" s="21">
        <v>1579832</v>
      </c>
      <c r="L1185" s="21"/>
      <c r="M1185" s="22">
        <f>(PROVEEDORES[[#This Row],[SUBTOTAL]]-PROVEEDORES[[#This Row],[descuento sobre subtotal]])*VLOOKUP(PROVEEDORES[[#This Row],[PROVEEDOR]],TERCEROS_INFO[#All],3,FALSE)</f>
        <v>300168.08</v>
      </c>
      <c r="N1185" s="23"/>
      <c r="O1185" s="22">
        <f>+PROVEEDORES[[#This Row],[Descuento sobre subtotal %]]*(PROVEEDORES[[#This Row],[SUBTOTAL]]-PROVEEDORES[[#This Row],[descuento sobre subtotal]])</f>
        <v>0</v>
      </c>
      <c r="P1185" s="74">
        <f>+IF(PROVEEDORES[[#This Row],[SUBTOTAL]]&lt;PROVEEDORES[[#This Row],[base retencion]],0,PROVEEDORES[[#This Row],[retención aplicada]])</f>
        <v>2.5000000000000001E-2</v>
      </c>
      <c r="Q1185" s="22">
        <f>+PROVEEDORES[[#This Row],[Rete Fuente %]]*(PROVEEDORES[[#This Row],[SUBTOTAL]]-PROVEEDORES[[#This Row],[descuento sobre subtotal]])</f>
        <v>39495.800000000003</v>
      </c>
      <c r="R1185" s="21">
        <f>+PROVEEDORES[[#This Row],[SUBTOTAL]]+PROVEEDORES[[#This Row],[IVA 19%]]-PROVEEDORES[[#This Row],[descuento sobre subtotal]]-PROVEEDORES[[#This Row],[Descuento sobre subtotal $2]]-PROVEEDORES[[#This Row],[Rete Fuente $]]</f>
        <v>1840504.28</v>
      </c>
      <c r="S1185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63">
        <f ca="1">IF(PROVEEDORES[[#This Row],[FECHA DE PAGO]]=0,TODAY()-PROVEEDORES[[#This Row],[FECHA DE FACTURACIÓN]]-PROVEEDORES[[#This Row],[PLAZO Días]],0)</f>
        <v>0</v>
      </c>
      <c r="U1185" s="104" t="str">
        <f>+VLOOKUP(PROVEEDORES[[#This Row],[PROVEEDOR]],Terceros!$A:$D,4,FALSE)</f>
        <v>2,5% con base</v>
      </c>
      <c r="V1185" s="105">
        <f>+YEAR(PROVEEDORES[[#This Row],[FECHA DE FACTURACIÓN]])</f>
        <v>2022</v>
      </c>
      <c r="W1185" s="105">
        <f>+MATCH(PROVEEDORES[[#This Row],[año facturado]],Retenciones!$1:$1,0)</f>
        <v>5</v>
      </c>
      <c r="X1185" s="106">
        <f>+VLOOKUP(PROVEEDORES[[#This Row],[ID RETENCION]],Retenciones!$A$1:$O$25,PROVEEDORES[[#This Row],[indicador de columna]],FALSE)</f>
        <v>1026000</v>
      </c>
      <c r="Y1185" s="107">
        <f>+VLOOKUP(PROVEEDORES[[#This Row],[ID RETENCION]],Retenciones!$A$1:$O$25,2,FALSE)</f>
        <v>2.5000000000000001E-2</v>
      </c>
      <c r="Z1185" s="116" t="b">
        <f>OR(COUNTIF(PROVEEDORES[[#This Row],[PROVEEDOR]],"*"&amp;'Palabra no opera'!$A$2&amp;"*"))</f>
        <v>0</v>
      </c>
    </row>
    <row r="1186" spans="1:26" ht="22.35" customHeight="1" x14ac:dyDescent="0.3">
      <c r="A1186" s="252" t="str">
        <f>+IF(PROVEEDORES[[#This Row],[FECHA DE PAGO]]=PROVEEDORES[[#This Row],[FECHA DE FACTURACIÓN]],"DE CONTADO","CRÉDITO")</f>
        <v>CRÉDITO</v>
      </c>
      <c r="B1186" s="38" t="str">
        <f>+IF((PROVEEDORES[[#This Row],[FECHA DE PAGO]]-PROVEEDORES[[#This Row],[FECHA DE FACTURACIÓN]])&gt;PROVEEDORES[[#This Row],[PLAZO Días]],"PAGO VENCIDO")</f>
        <v>PAGO VENCIDO</v>
      </c>
      <c r="C1186" s="20">
        <f>+VLOOKUP(PROVEEDORES[[#This Row],[PROVEEDOR]],TERCEROS_INFO[#All],2,FALSE)</f>
        <v>30</v>
      </c>
      <c r="D1186" s="25">
        <f>+SUMIFS(PROVEEDORES[Total],PROVEEDORES[PROVEEDOR],PROVEEDORES[[#This Row],[PROVEEDOR]],PROVEEDORES[FECHA DE PAGO],"")</f>
        <v>342000</v>
      </c>
      <c r="E1186" s="25"/>
      <c r="F1186" s="56" t="str">
        <f>+VLOOKUP(PROVEEDORES[[#This Row],[PROVEEDOR]],
                       Terceros!$A:$F,
                       5,
                       FALSE)</f>
        <v/>
      </c>
      <c r="G1186" s="68">
        <v>44958</v>
      </c>
      <c r="H1186" s="26" t="s">
        <v>495</v>
      </c>
      <c r="I1186" s="68">
        <v>44916</v>
      </c>
      <c r="J1186" s="35">
        <v>57589</v>
      </c>
      <c r="K1186" s="21">
        <v>370000</v>
      </c>
      <c r="L1186" s="21"/>
      <c r="M1186" s="22">
        <f>(PROVEEDORES[[#This Row],[SUBTOTAL]]-PROVEEDORES[[#This Row],[descuento sobre subtotal]])*VLOOKUP(PROVEEDORES[[#This Row],[PROVEEDOR]],TERCEROS_INFO[#All],3,FALSE)</f>
        <v>0</v>
      </c>
      <c r="N1186" s="23"/>
      <c r="O1186" s="22">
        <f>+PROVEEDORES[[#This Row],[Descuento sobre subtotal %]]*(PROVEEDORES[[#This Row],[SUBTOTAL]]-PROVEEDORES[[#This Row],[descuento sobre subtotal]])</f>
        <v>0</v>
      </c>
      <c r="P1186" s="74">
        <f>+IF(PROVEEDORES[[#This Row],[SUBTOTAL]]&lt;PROVEEDORES[[#This Row],[base retencion]],0,PROVEEDORES[[#This Row],[retención aplicada]])</f>
        <v>0</v>
      </c>
      <c r="Q1186" s="22">
        <f>+PROVEEDORES[[#This Row],[Rete Fuente %]]*(PROVEEDORES[[#This Row],[SUBTOTAL]]-PROVEEDORES[[#This Row],[descuento sobre subtotal]])</f>
        <v>0</v>
      </c>
      <c r="R1186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1186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63">
        <f ca="1">IF(PROVEEDORES[[#This Row],[FECHA DE PAGO]]=0,TODAY()-PROVEEDORES[[#This Row],[FECHA DE FACTURACIÓN]]-PROVEEDORES[[#This Row],[PLAZO Días]],0)</f>
        <v>0</v>
      </c>
      <c r="U1186" s="104">
        <f>+VLOOKUP(PROVEEDORES[[#This Row],[PROVEEDOR]],Terceros!$A:$D,4,FALSE)</f>
        <v>0</v>
      </c>
      <c r="V1186" s="105">
        <f>+YEAR(PROVEEDORES[[#This Row],[FECHA DE FACTURACIÓN]])</f>
        <v>2022</v>
      </c>
      <c r="W1186" s="105">
        <f>+MATCH(PROVEEDORES[[#This Row],[año facturado]],Retenciones!$1:$1,0)</f>
        <v>5</v>
      </c>
      <c r="X1186" s="106">
        <f>+VLOOKUP(PROVEEDORES[[#This Row],[ID RETENCION]],Retenciones!$A$1:$O$25,PROVEEDORES[[#This Row],[indicador de columna]],FALSE)</f>
        <v>0</v>
      </c>
      <c r="Y1186" s="107">
        <f>+VLOOKUP(PROVEEDORES[[#This Row],[ID RETENCION]],Retenciones!$A$1:$O$25,2,FALSE)</f>
        <v>0</v>
      </c>
      <c r="Z1186" s="116" t="b">
        <f>OR(COUNTIF(PROVEEDORES[[#This Row],[PROVEEDOR]],"*"&amp;'Palabra no opera'!$A$2&amp;"*"))</f>
        <v>0</v>
      </c>
    </row>
    <row r="1187" spans="1:26" ht="22.35" customHeight="1" x14ac:dyDescent="0.3">
      <c r="A1187" s="67" t="str">
        <f>+IF(PROVEEDORES[[#This Row],[FECHA DE PAGO]]=PROVEEDORES[[#This Row],[FECHA DE FACTURACIÓN]],"DE CONTADO","CRÉDITO")</f>
        <v>CRÉDITO</v>
      </c>
      <c r="B1187" s="38" t="b">
        <f>+IF((PROVEEDORES[[#This Row],[FECHA DE PAGO]]-PROVEEDORES[[#This Row],[FECHA DE FACTURACIÓN]])&gt;PROVEEDORES[[#This Row],[PLAZO Días]],"PAGO VENCIDO")</f>
        <v>0</v>
      </c>
      <c r="C1187" s="20">
        <f>+VLOOKUP(PROVEEDORES[[#This Row],[PROVEEDOR]],TERCEROS_INFO[#All],2,FALSE)</f>
        <v>30</v>
      </c>
      <c r="D1187" s="25">
        <f>+SUMIFS(PROVEEDORES[Total],PROVEEDORES[PROVEEDOR],PROVEEDORES[[#This Row],[PROVEEDOR]],PROVEEDORES[FECHA DE PAGO],"")</f>
        <v>0</v>
      </c>
      <c r="E1187" s="25"/>
      <c r="F1187" s="56" t="str">
        <f>+VLOOKUP(PROVEEDORES[[#This Row],[PROVEEDOR]],
                       Terceros!$A:$F,
                       5,
                       FALSE)</f>
        <v>PSE</v>
      </c>
      <c r="G1187" s="68">
        <v>44958</v>
      </c>
      <c r="H1187" s="26" t="s">
        <v>643</v>
      </c>
      <c r="I1187" s="68">
        <v>44931</v>
      </c>
      <c r="J1187" s="35" t="s">
        <v>1392</v>
      </c>
      <c r="K1187" s="21">
        <v>398800</v>
      </c>
      <c r="L1187" s="21"/>
      <c r="M1187" s="22">
        <f>(PROVEEDORES[[#This Row],[SUBTOTAL]]-PROVEEDORES[[#This Row],[descuento sobre subtotal]])*VLOOKUP(PROVEEDORES[[#This Row],[PROVEEDOR]],TERCEROS_INFO[#All],3,FALSE)</f>
        <v>75772</v>
      </c>
      <c r="N1187" s="23"/>
      <c r="O1187" s="22">
        <f>+PROVEEDORES[[#This Row],[Descuento sobre subtotal %]]*(PROVEEDORES[[#This Row],[SUBTOTAL]]-PROVEEDORES[[#This Row],[descuento sobre subtotal]])</f>
        <v>0</v>
      </c>
      <c r="P1187" s="74">
        <f>+IF(PROVEEDORES[[#This Row],[SUBTOTAL]]&lt;PROVEEDORES[[#This Row],[base retencion]],0,PROVEEDORES[[#This Row],[retención aplicada]])</f>
        <v>0</v>
      </c>
      <c r="Q1187" s="22">
        <f>+PROVEEDORES[[#This Row],[Rete Fuente %]]*(PROVEEDORES[[#This Row],[SUBTOTAL]]-PROVEEDORES[[#This Row],[descuento sobre subtotal]])</f>
        <v>0</v>
      </c>
      <c r="R1187" s="21">
        <f>+PROVEEDORES[[#This Row],[SUBTOTAL]]+PROVEEDORES[[#This Row],[IVA 19%]]-PROVEEDORES[[#This Row],[descuento sobre subtotal]]-PROVEEDORES[[#This Row],[Descuento sobre subtotal $2]]-PROVEEDORES[[#This Row],[Rete Fuente $]]</f>
        <v>474572</v>
      </c>
      <c r="S11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63">
        <f ca="1">IF(PROVEEDORES[[#This Row],[FECHA DE PAGO]]=0,TODAY()-PROVEEDORES[[#This Row],[FECHA DE FACTURACIÓN]]-PROVEEDORES[[#This Row],[PLAZO Días]],0)</f>
        <v>0</v>
      </c>
      <c r="U1187" s="104">
        <f>+VLOOKUP(PROVEEDORES[[#This Row],[PROVEEDOR]],Terceros!$A:$D,4,FALSE)</f>
        <v>0</v>
      </c>
      <c r="V1187" s="105">
        <f>+YEAR(PROVEEDORES[[#This Row],[FECHA DE FACTURACIÓN]])</f>
        <v>2023</v>
      </c>
      <c r="W1187" s="105">
        <f>+MATCH(PROVEEDORES[[#This Row],[año facturado]],Retenciones!$1:$1,0)</f>
        <v>6</v>
      </c>
      <c r="X1187" s="106">
        <f>+VLOOKUP(PROVEEDORES[[#This Row],[ID RETENCION]],Retenciones!$A$1:$O$25,PROVEEDORES[[#This Row],[indicador de columna]],FALSE)</f>
        <v>0</v>
      </c>
      <c r="Y1187" s="107">
        <f>+VLOOKUP(PROVEEDORES[[#This Row],[ID RETENCION]],Retenciones!$A$1:$O$25,2,FALSE)</f>
        <v>0</v>
      </c>
      <c r="Z1187" s="116" t="b">
        <f>OR(COUNTIF(PROVEEDORES[[#This Row],[PROVEEDOR]],"*"&amp;'Palabra no opera'!$A$2&amp;"*"))</f>
        <v>1</v>
      </c>
    </row>
    <row r="1188" spans="1:26" ht="22.35" customHeight="1" x14ac:dyDescent="0.3">
      <c r="A1188" s="269" t="str">
        <f>+IF(PROVEEDORES[[#This Row],[FECHA DE PAGO]]=PROVEEDORES[[#This Row],[FECHA DE FACTURACIÓN]],"DE CONTADO","CRÉDITO")</f>
        <v>CRÉDITO</v>
      </c>
      <c r="B1188" s="38" t="str">
        <f>+IF((PROVEEDORES[[#This Row],[FECHA DE PAGO]]-PROVEEDORES[[#This Row],[FECHA DE FACTURACIÓN]])&gt;PROVEEDORES[[#This Row],[PLAZO Días]],"PAGO VENCIDO")</f>
        <v>PAGO VENCIDO</v>
      </c>
      <c r="C1188" s="20">
        <f>+VLOOKUP(PROVEEDORES[[#This Row],[PROVEEDOR]],TERCEROS_INFO[#All],2,FALSE)</f>
        <v>30</v>
      </c>
      <c r="D1188" s="25">
        <f>+SUMIFS(PROVEEDORES[Total],PROVEEDORES[PROVEEDOR],PROVEEDORES[[#This Row],[PROVEEDOR]],PROVEEDORES[FECHA DE PAGO],"")</f>
        <v>27189617.395</v>
      </c>
      <c r="E1188" s="25"/>
      <c r="F1188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1188" s="68">
        <v>45036</v>
      </c>
      <c r="H1188" s="26" t="s">
        <v>77</v>
      </c>
      <c r="I1188" s="68">
        <v>44974</v>
      </c>
      <c r="J1188" s="35" t="s">
        <v>1466</v>
      </c>
      <c r="K1188" s="21">
        <v>4204800</v>
      </c>
      <c r="L1188" s="21"/>
      <c r="M1188" s="22">
        <f>(PROVEEDORES[[#This Row],[SUBTOTAL]]-PROVEEDORES[[#This Row],[descuento sobre subtotal]])*VLOOKUP(PROVEEDORES[[#This Row],[PROVEEDOR]],TERCEROS_INFO[#All],3,FALSE)</f>
        <v>798912</v>
      </c>
      <c r="N1188" s="23"/>
      <c r="O1188" s="22">
        <f>+PROVEEDORES[[#This Row],[Descuento sobre subtotal %]]*(PROVEEDORES[[#This Row],[SUBTOTAL]]-PROVEEDORES[[#This Row],[descuento sobre subtotal]])</f>
        <v>0</v>
      </c>
      <c r="P1188" s="74">
        <f>+IF(PROVEEDORES[[#This Row],[SUBTOTAL]]&lt;PROVEEDORES[[#This Row],[base retencion]],0,PROVEEDORES[[#This Row],[retención aplicada]])</f>
        <v>2.5000000000000001E-2</v>
      </c>
      <c r="Q1188" s="22">
        <f>+PROVEEDORES[[#This Row],[Rete Fuente %]]*(PROVEEDORES[[#This Row],[SUBTOTAL]]-PROVEEDORES[[#This Row],[descuento sobre subtotal]])</f>
        <v>105120</v>
      </c>
      <c r="R1188" s="21">
        <f>+PROVEEDORES[[#This Row],[SUBTOTAL]]+PROVEEDORES[[#This Row],[IVA 19%]]-PROVEEDORES[[#This Row],[descuento sobre subtotal]]-PROVEEDORES[[#This Row],[Descuento sobre subtotal $2]]-PROVEEDORES[[#This Row],[Rete Fuente $]]</f>
        <v>4898592</v>
      </c>
      <c r="S118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63">
        <f ca="1">IF(PROVEEDORES[[#This Row],[FECHA DE PAGO]]=0,TODAY()-PROVEEDORES[[#This Row],[FECHA DE FACTURACIÓN]]-PROVEEDORES[[#This Row],[PLAZO Días]],0)</f>
        <v>0</v>
      </c>
      <c r="U1188" s="104" t="str">
        <f>+VLOOKUP(PROVEEDORES[[#This Row],[PROVEEDOR]],Terceros!$A:$D,4,FALSE)</f>
        <v>2,5% con base</v>
      </c>
      <c r="V1188" s="105">
        <f>+YEAR(PROVEEDORES[[#This Row],[FECHA DE FACTURACIÓN]])</f>
        <v>2023</v>
      </c>
      <c r="W1188" s="105">
        <f>+MATCH(PROVEEDORES[[#This Row],[año facturado]],Retenciones!$1:$1,0)</f>
        <v>6</v>
      </c>
      <c r="X1188" s="106">
        <f>+VLOOKUP(PROVEEDORES[[#This Row],[ID RETENCION]],Retenciones!$A$1:$O$25,PROVEEDORES[[#This Row],[indicador de columna]],FALSE)</f>
        <v>1145000</v>
      </c>
      <c r="Y1188" s="107">
        <f>+VLOOKUP(PROVEEDORES[[#This Row],[ID RETENCION]],Retenciones!$A$1:$O$25,2,FALSE)</f>
        <v>2.5000000000000001E-2</v>
      </c>
      <c r="Z1188" s="116" t="b">
        <f>OR(COUNTIF(PROVEEDORES[[#This Row],[PROVEEDOR]],"*"&amp;'Palabra no opera'!$A$2&amp;"*"))</f>
        <v>0</v>
      </c>
    </row>
    <row r="1189" spans="1:26" ht="22.35" customHeight="1" x14ac:dyDescent="0.3">
      <c r="A1189" s="252" t="str">
        <f>+IF(PROVEEDORES[[#This Row],[FECHA DE PAGO]]=PROVEEDORES[[#This Row],[FECHA DE FACTURACIÓN]],"DE CONTADO","CRÉDITO")</f>
        <v>CRÉDITO</v>
      </c>
      <c r="B1189" s="38" t="str">
        <f>+IF((PROVEEDORES[[#This Row],[FECHA DE PAGO]]-PROVEEDORES[[#This Row],[FECHA DE FACTURACIÓN]])&gt;PROVEEDORES[[#This Row],[PLAZO Días]],"PAGO VENCIDO")</f>
        <v>PAGO VENCIDO</v>
      </c>
      <c r="C1189" s="20">
        <f>+VLOOKUP(PROVEEDORES[[#This Row],[PROVEEDOR]],TERCEROS_INFO[#All],2,FALSE)</f>
        <v>30</v>
      </c>
      <c r="D1189" s="25">
        <f>+SUMIFS(PROVEEDORES[Total],PROVEEDORES[PROVEEDOR],PROVEEDORES[[#This Row],[PROVEEDOR]],PROVEEDORES[FECHA DE PAGO],"")</f>
        <v>-139600.09</v>
      </c>
      <c r="E1189" s="25"/>
      <c r="F1189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189" s="68">
        <v>44959</v>
      </c>
      <c r="H1189" s="26" t="s">
        <v>32</v>
      </c>
      <c r="I1189" s="68">
        <v>44902</v>
      </c>
      <c r="J1189" s="35">
        <v>10945</v>
      </c>
      <c r="K1189" s="21">
        <v>1031932</v>
      </c>
      <c r="L1189" s="21"/>
      <c r="M1189" s="22">
        <f>(PROVEEDORES[[#This Row],[SUBTOTAL]]-PROVEEDORES[[#This Row],[descuento sobre subtotal]])*VLOOKUP(PROVEEDORES[[#This Row],[PROVEEDOR]],TERCEROS_INFO[#All],3,FALSE)</f>
        <v>196067.08000000002</v>
      </c>
      <c r="N1189" s="23"/>
      <c r="O1189" s="22">
        <f>+PROVEEDORES[[#This Row],[Descuento sobre subtotal %]]*(PROVEEDORES[[#This Row],[SUBTOTAL]]-PROVEEDORES[[#This Row],[descuento sobre subtotal]])</f>
        <v>0</v>
      </c>
      <c r="P1189" s="74">
        <f>+IF(PROVEEDORES[[#This Row],[SUBTOTAL]]&lt;PROVEEDORES[[#This Row],[base retencion]],0,PROVEEDORES[[#This Row],[retención aplicada]])</f>
        <v>2.5000000000000001E-2</v>
      </c>
      <c r="Q1189" s="22">
        <f>+PROVEEDORES[[#This Row],[Rete Fuente %]]*(PROVEEDORES[[#This Row],[SUBTOTAL]]-PROVEEDORES[[#This Row],[descuento sobre subtotal]])</f>
        <v>25798.300000000003</v>
      </c>
      <c r="R1189" s="21">
        <f>+PROVEEDORES[[#This Row],[SUBTOTAL]]+PROVEEDORES[[#This Row],[IVA 19%]]-PROVEEDORES[[#This Row],[descuento sobre subtotal]]-PROVEEDORES[[#This Row],[Descuento sobre subtotal $2]]-PROVEEDORES[[#This Row],[Rete Fuente $]]</f>
        <v>1202200.78</v>
      </c>
      <c r="S1189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63">
        <f ca="1">IF(PROVEEDORES[[#This Row],[FECHA DE PAGO]]=0,TODAY()-PROVEEDORES[[#This Row],[FECHA DE FACTURACIÓN]]-PROVEEDORES[[#This Row],[PLAZO Días]],0)</f>
        <v>0</v>
      </c>
      <c r="U1189" s="104" t="str">
        <f>+VLOOKUP(PROVEEDORES[[#This Row],[PROVEEDOR]],Terceros!$A:$D,4,FALSE)</f>
        <v>2,5% con base</v>
      </c>
      <c r="V1189" s="105">
        <f>+YEAR(PROVEEDORES[[#This Row],[FECHA DE FACTURACIÓN]])</f>
        <v>2022</v>
      </c>
      <c r="W1189" s="105">
        <f>+MATCH(PROVEEDORES[[#This Row],[año facturado]],Retenciones!$1:$1,0)</f>
        <v>5</v>
      </c>
      <c r="X1189" s="106">
        <f>+VLOOKUP(PROVEEDORES[[#This Row],[ID RETENCION]],Retenciones!$A$1:$O$25,PROVEEDORES[[#This Row],[indicador de columna]],FALSE)</f>
        <v>1026000</v>
      </c>
      <c r="Y1189" s="107">
        <f>+VLOOKUP(PROVEEDORES[[#This Row],[ID RETENCION]],Retenciones!$A$1:$O$25,2,FALSE)</f>
        <v>2.5000000000000001E-2</v>
      </c>
      <c r="Z1189" s="116" t="b">
        <f>OR(COUNTIF(PROVEEDORES[[#This Row],[PROVEEDOR]],"*"&amp;'Palabra no opera'!$A$2&amp;"*"))</f>
        <v>0</v>
      </c>
    </row>
    <row r="1190" spans="1:26" ht="22.35" customHeight="1" x14ac:dyDescent="0.3">
      <c r="A1190" s="252" t="str">
        <f>+IF(PROVEEDORES[[#This Row],[FECHA DE PAGO]]=PROVEEDORES[[#This Row],[FECHA DE FACTURACIÓN]],"DE CONTADO","CRÉDITO")</f>
        <v>CRÉDITO</v>
      </c>
      <c r="B1190" s="38" t="str">
        <f>+IF((PROVEEDORES[[#This Row],[FECHA DE PAGO]]-PROVEEDORES[[#This Row],[FECHA DE FACTURACIÓN]])&gt;PROVEEDORES[[#This Row],[PLAZO Días]],"PAGO VENCIDO")</f>
        <v>PAGO VENCIDO</v>
      </c>
      <c r="C1190" s="20">
        <f>+VLOOKUP(PROVEEDORES[[#This Row],[PROVEEDOR]],TERCEROS_INFO[#All],2,FALSE)</f>
        <v>30</v>
      </c>
      <c r="D1190" s="25">
        <f>+SUMIFS(PROVEEDORES[Total],PROVEEDORES[PROVEEDOR],PROVEEDORES[[#This Row],[PROVEEDOR]],PROVEEDORES[FECHA DE PAGO],"")</f>
        <v>-139600.09</v>
      </c>
      <c r="E1190" s="25"/>
      <c r="F1190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190" s="68">
        <v>44959</v>
      </c>
      <c r="H1190" s="26" t="s">
        <v>32</v>
      </c>
      <c r="I1190" s="68">
        <v>44924</v>
      </c>
      <c r="J1190" s="35">
        <v>11123</v>
      </c>
      <c r="K1190" s="21">
        <v>931512</v>
      </c>
      <c r="L1190" s="21"/>
      <c r="M1190" s="22">
        <f>(PROVEEDORES[[#This Row],[SUBTOTAL]]-PROVEEDORES[[#This Row],[descuento sobre subtotal]])*VLOOKUP(PROVEEDORES[[#This Row],[PROVEEDOR]],TERCEROS_INFO[#All],3,FALSE)</f>
        <v>176987.28</v>
      </c>
      <c r="N1190" s="23"/>
      <c r="O1190" s="22">
        <f>+PROVEEDORES[[#This Row],[Descuento sobre subtotal %]]*(PROVEEDORES[[#This Row],[SUBTOTAL]]-PROVEEDORES[[#This Row],[descuento sobre subtotal]])</f>
        <v>0</v>
      </c>
      <c r="P1190" s="74">
        <f>+IF(PROVEEDORES[[#This Row],[SUBTOTAL]]&lt;PROVEEDORES[[#This Row],[base retencion]],0,PROVEEDORES[[#This Row],[retención aplicada]])</f>
        <v>0</v>
      </c>
      <c r="Q1190" s="22">
        <f>+PROVEEDORES[[#This Row],[Rete Fuente %]]*(PROVEEDORES[[#This Row],[SUBTOTAL]]-PROVEEDORES[[#This Row],[descuento sobre subtotal]])</f>
        <v>0</v>
      </c>
      <c r="R1190" s="21">
        <f>+PROVEEDORES[[#This Row],[SUBTOTAL]]+PROVEEDORES[[#This Row],[IVA 19%]]-PROVEEDORES[[#This Row],[descuento sobre subtotal]]-PROVEEDORES[[#This Row],[Descuento sobre subtotal $2]]-PROVEEDORES[[#This Row],[Rete Fuente $]]</f>
        <v>1108499.28</v>
      </c>
      <c r="S1190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63">
        <f ca="1">IF(PROVEEDORES[[#This Row],[FECHA DE PAGO]]=0,TODAY()-PROVEEDORES[[#This Row],[FECHA DE FACTURACIÓN]]-PROVEEDORES[[#This Row],[PLAZO Días]],0)</f>
        <v>0</v>
      </c>
      <c r="U1190" s="104" t="str">
        <f>+VLOOKUP(PROVEEDORES[[#This Row],[PROVEEDOR]],Terceros!$A:$D,4,FALSE)</f>
        <v>2,5% con base</v>
      </c>
      <c r="V1190" s="105">
        <f>+YEAR(PROVEEDORES[[#This Row],[FECHA DE FACTURACIÓN]])</f>
        <v>2022</v>
      </c>
      <c r="W1190" s="105">
        <f>+MATCH(PROVEEDORES[[#This Row],[año facturado]],Retenciones!$1:$1,0)</f>
        <v>5</v>
      </c>
      <c r="X1190" s="106">
        <f>+VLOOKUP(PROVEEDORES[[#This Row],[ID RETENCION]],Retenciones!$A$1:$O$25,PROVEEDORES[[#This Row],[indicador de columna]],FALSE)</f>
        <v>1026000</v>
      </c>
      <c r="Y1190" s="107">
        <f>+VLOOKUP(PROVEEDORES[[#This Row],[ID RETENCION]],Retenciones!$A$1:$O$25,2,FALSE)</f>
        <v>2.5000000000000001E-2</v>
      </c>
      <c r="Z1190" s="116" t="b">
        <f>OR(COUNTIF(PROVEEDORES[[#This Row],[PROVEEDOR]],"*"&amp;'Palabra no opera'!$A$2&amp;"*"))</f>
        <v>0</v>
      </c>
    </row>
    <row r="1191" spans="1:26" ht="22.35" customHeight="1" x14ac:dyDescent="0.3">
      <c r="A1191" s="249" t="str">
        <f>+IF(PROVEEDORES[[#This Row],[FECHA DE PAGO]]=PROVEEDORES[[#This Row],[FECHA DE FACTURACIÓN]],"DE CONTADO","CRÉDITO")</f>
        <v>CRÉDITO</v>
      </c>
      <c r="B1191" s="38" t="str">
        <f>+IF((PROVEEDORES[[#This Row],[FECHA DE PAGO]]-PROVEEDORES[[#This Row],[FECHA DE FACTURACIÓN]])&gt;PROVEEDORES[[#This Row],[PLAZO Días]],"PAGO VENCIDO")</f>
        <v>PAGO VENCIDO</v>
      </c>
      <c r="C1191" s="20">
        <f>+VLOOKUP(PROVEEDORES[[#This Row],[PROVEEDOR]],TERCEROS_INFO[#All],2,FALSE)</f>
        <v>45</v>
      </c>
      <c r="D1191" s="25">
        <f>+SUMIFS(PROVEEDORES[Total],PROVEEDORES[PROVEEDOR],PROVEEDORES[[#This Row],[PROVEEDOR]],PROVEEDORES[FECHA DE PAGO],"")</f>
        <v>15770594</v>
      </c>
      <c r="E1191" s="25"/>
      <c r="F119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191" s="68">
        <v>44959</v>
      </c>
      <c r="H1191" s="26" t="s">
        <v>19</v>
      </c>
      <c r="I1191" s="68">
        <v>44901</v>
      </c>
      <c r="J1191" s="35">
        <v>60275</v>
      </c>
      <c r="K1191" s="21">
        <v>11385600</v>
      </c>
      <c r="L1191" s="21"/>
      <c r="M1191" s="22">
        <f>(PROVEEDORES[[#This Row],[SUBTOTAL]]-PROVEEDORES[[#This Row],[descuento sobre subtotal]])*VLOOKUP(PROVEEDORES[[#This Row],[PROVEEDOR]],TERCEROS_INFO[#All],3,FALSE)</f>
        <v>2163264</v>
      </c>
      <c r="N1191" s="23"/>
      <c r="O1191" s="22">
        <f>+PROVEEDORES[[#This Row],[Descuento sobre subtotal %]]*(PROVEEDORES[[#This Row],[SUBTOTAL]]-PROVEEDORES[[#This Row],[descuento sobre subtotal]])</f>
        <v>0</v>
      </c>
      <c r="P1191" s="74">
        <f>+IF(PROVEEDORES[[#This Row],[SUBTOTAL]]&lt;PROVEEDORES[[#This Row],[base retencion]],0,PROVEEDORES[[#This Row],[retención aplicada]])</f>
        <v>0</v>
      </c>
      <c r="Q1191" s="22">
        <f>+PROVEEDORES[[#This Row],[Rete Fuente %]]*(PROVEEDORES[[#This Row],[SUBTOTAL]]-PROVEEDORES[[#This Row],[descuento sobre subtotal]])</f>
        <v>0</v>
      </c>
      <c r="R1191" s="21">
        <f>+PROVEEDORES[[#This Row],[SUBTOTAL]]+PROVEEDORES[[#This Row],[IVA 19%]]-PROVEEDORES[[#This Row],[descuento sobre subtotal]]-PROVEEDORES[[#This Row],[Descuento sobre subtotal $2]]-PROVEEDORES[[#This Row],[Rete Fuente $]]</f>
        <v>13548864</v>
      </c>
      <c r="S119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63">
        <f ca="1">IF(PROVEEDORES[[#This Row],[FECHA DE PAGO]]=0,TODAY()-PROVEEDORES[[#This Row],[FECHA DE FACTURACIÓN]]-PROVEEDORES[[#This Row],[PLAZO Días]],0)</f>
        <v>0</v>
      </c>
      <c r="U1191" s="104">
        <f>+VLOOKUP(PROVEEDORES[[#This Row],[PROVEEDOR]],Terceros!$A:$D,4,FALSE)</f>
        <v>0</v>
      </c>
      <c r="V1191" s="105">
        <f>+YEAR(PROVEEDORES[[#This Row],[FECHA DE FACTURACIÓN]])</f>
        <v>2022</v>
      </c>
      <c r="W1191" s="105">
        <f>+MATCH(PROVEEDORES[[#This Row],[año facturado]],Retenciones!$1:$1,0)</f>
        <v>5</v>
      </c>
      <c r="X1191" s="106">
        <f>+VLOOKUP(PROVEEDORES[[#This Row],[ID RETENCION]],Retenciones!$A$1:$O$25,PROVEEDORES[[#This Row],[indicador de columna]],FALSE)</f>
        <v>0</v>
      </c>
      <c r="Y1191" s="107">
        <f>+VLOOKUP(PROVEEDORES[[#This Row],[ID RETENCION]],Retenciones!$A$1:$O$25,2,FALSE)</f>
        <v>0</v>
      </c>
      <c r="Z1191" s="116" t="b">
        <f>OR(COUNTIF(PROVEEDORES[[#This Row],[PROVEEDOR]],"*"&amp;'Palabra no opera'!$A$2&amp;"*"))</f>
        <v>0</v>
      </c>
    </row>
    <row r="1192" spans="1:26" ht="22.35" customHeight="1" x14ac:dyDescent="0.3">
      <c r="A1192" s="67" t="str">
        <f>+IF(PROVEEDORES[[#This Row],[FECHA DE PAGO]]=PROVEEDORES[[#This Row],[FECHA DE FACTURACIÓN]],"DE CONTADO","CRÉDITO")</f>
        <v>CRÉDITO</v>
      </c>
      <c r="B1192" s="38" t="str">
        <f>+IF((PROVEEDORES[[#This Row],[FECHA DE PAGO]]-PROVEEDORES[[#This Row],[FECHA DE FACTURACIÓN]])&gt;PROVEEDORES[[#This Row],[PLAZO Días]],"PAGO VENCIDO")</f>
        <v>PAGO VENCIDO</v>
      </c>
      <c r="C1192" s="20">
        <f>+VLOOKUP(PROVEEDORES[[#This Row],[PROVEEDOR]],TERCEROS_INFO[#All],2,FALSE)</f>
        <v>45</v>
      </c>
      <c r="D1192" s="25">
        <f>+SUMIFS(PROVEEDORES[Total],PROVEEDORES[PROVEEDOR],PROVEEDORES[[#This Row],[PROVEEDOR]],PROVEEDORES[FECHA DE PAGO],"")</f>
        <v>8072960</v>
      </c>
      <c r="E1192" s="25"/>
      <c r="F119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2" s="68">
        <v>44959</v>
      </c>
      <c r="H1192" s="231" t="s">
        <v>10</v>
      </c>
      <c r="I1192" s="68">
        <v>44882</v>
      </c>
      <c r="J1192" s="245" t="s">
        <v>1309</v>
      </c>
      <c r="K1192" s="21">
        <v>1867920</v>
      </c>
      <c r="L1192" s="21"/>
      <c r="M1192" s="22">
        <f>(PROVEEDORES[[#This Row],[SUBTOTAL]]-PROVEEDORES[[#This Row],[descuento sobre subtotal]])*VLOOKUP(PROVEEDORES[[#This Row],[PROVEEDOR]],TERCEROS_INFO[#All],3,FALSE)</f>
        <v>354904.8</v>
      </c>
      <c r="N1192" s="23"/>
      <c r="O1192" s="22">
        <f>+PROVEEDORES[[#This Row],[Descuento sobre subtotal %]]*(PROVEEDORES[[#This Row],[SUBTOTAL]]-PROVEEDORES[[#This Row],[descuento sobre subtotal]])</f>
        <v>0</v>
      </c>
      <c r="P1192" s="74">
        <f>+IF(PROVEEDORES[[#This Row],[SUBTOTAL]]&lt;PROVEEDORES[[#This Row],[base retencion]],0,PROVEEDORES[[#This Row],[retención aplicada]])</f>
        <v>0</v>
      </c>
      <c r="Q1192" s="22">
        <f>+PROVEEDORES[[#This Row],[Rete Fuente %]]*(PROVEEDORES[[#This Row],[SUBTOTAL]]-PROVEEDORES[[#This Row],[descuento sobre subtotal]])</f>
        <v>0</v>
      </c>
      <c r="R1192" s="21">
        <f>+PROVEEDORES[[#This Row],[SUBTOTAL]]+PROVEEDORES[[#This Row],[IVA 19%]]-PROVEEDORES[[#This Row],[descuento sobre subtotal]]-PROVEEDORES[[#This Row],[Descuento sobre subtotal $2]]-PROVEEDORES[[#This Row],[Rete Fuente $]]</f>
        <v>2222824.7999999998</v>
      </c>
      <c r="S119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63">
        <f ca="1">IF(PROVEEDORES[[#This Row],[FECHA DE PAGO]]=0,TODAY()-PROVEEDORES[[#This Row],[FECHA DE FACTURACIÓN]]-PROVEEDORES[[#This Row],[PLAZO Días]],0)</f>
        <v>0</v>
      </c>
      <c r="U1192" s="104">
        <f>+VLOOKUP(PROVEEDORES[[#This Row],[PROVEEDOR]],Terceros!$A:$D,4,FALSE)</f>
        <v>0</v>
      </c>
      <c r="V1192" s="105">
        <f>+YEAR(PROVEEDORES[[#This Row],[FECHA DE FACTURACIÓN]])</f>
        <v>2022</v>
      </c>
      <c r="W1192" s="105">
        <f>+MATCH(PROVEEDORES[[#This Row],[año facturado]],Retenciones!$1:$1,0)</f>
        <v>5</v>
      </c>
      <c r="X1192" s="106">
        <f>+VLOOKUP(PROVEEDORES[[#This Row],[ID RETENCION]],Retenciones!$A$1:$O$25,PROVEEDORES[[#This Row],[indicador de columna]],FALSE)</f>
        <v>0</v>
      </c>
      <c r="Y1192" s="107">
        <f>+VLOOKUP(PROVEEDORES[[#This Row],[ID RETENCION]],Retenciones!$A$1:$O$25,2,FALSE)</f>
        <v>0</v>
      </c>
      <c r="Z1192" s="116" t="b">
        <f>OR(COUNTIF(PROVEEDORES[[#This Row],[PROVEEDOR]],"*"&amp;'Palabra no opera'!$A$2&amp;"*"))</f>
        <v>0</v>
      </c>
    </row>
    <row r="1193" spans="1:26" ht="22.35" customHeight="1" x14ac:dyDescent="0.3">
      <c r="A1193" s="242" t="str">
        <f>+IF(PROVEEDORES[[#This Row],[FECHA DE PAGO]]=PROVEEDORES[[#This Row],[FECHA DE FACTURACIÓN]],"DE CONTADO","CRÉDITO")</f>
        <v>CRÉDITO</v>
      </c>
      <c r="B1193" s="38" t="str">
        <f>+IF((PROVEEDORES[[#This Row],[FECHA DE PAGO]]-PROVEEDORES[[#This Row],[FECHA DE FACTURACIÓN]])&gt;PROVEEDORES[[#This Row],[PLAZO Días]],"PAGO VENCIDO")</f>
        <v>PAGO VENCIDO</v>
      </c>
      <c r="C1193" s="20">
        <f>+VLOOKUP(PROVEEDORES[[#This Row],[PROVEEDOR]],TERCEROS_INFO[#All],2,FALSE)</f>
        <v>45</v>
      </c>
      <c r="D1193" s="25">
        <f>+SUMIFS(PROVEEDORES[Total],PROVEEDORES[PROVEEDOR],PROVEEDORES[[#This Row],[PROVEEDOR]],PROVEEDORES[FECHA DE PAGO],"")</f>
        <v>8072960</v>
      </c>
      <c r="E1193" s="25"/>
      <c r="F119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3" s="68">
        <v>44959</v>
      </c>
      <c r="H1193" s="231" t="s">
        <v>10</v>
      </c>
      <c r="I1193" s="68">
        <v>44900</v>
      </c>
      <c r="J1193" s="245" t="s">
        <v>1318</v>
      </c>
      <c r="K1193" s="21">
        <v>757600</v>
      </c>
      <c r="L1193" s="21"/>
      <c r="M1193" s="22">
        <f>(PROVEEDORES[[#This Row],[SUBTOTAL]]-PROVEEDORES[[#This Row],[descuento sobre subtotal]])*VLOOKUP(PROVEEDORES[[#This Row],[PROVEEDOR]],TERCEROS_INFO[#All],3,FALSE)</f>
        <v>143944</v>
      </c>
      <c r="N1193" s="23"/>
      <c r="O1193" s="22">
        <f>+PROVEEDORES[[#This Row],[Descuento sobre subtotal %]]*(PROVEEDORES[[#This Row],[SUBTOTAL]]-PROVEEDORES[[#This Row],[descuento sobre subtotal]])</f>
        <v>0</v>
      </c>
      <c r="P1193" s="74">
        <f>+IF(PROVEEDORES[[#This Row],[SUBTOTAL]]&lt;PROVEEDORES[[#This Row],[base retencion]],0,PROVEEDORES[[#This Row],[retención aplicada]])</f>
        <v>0</v>
      </c>
      <c r="Q1193" s="22">
        <f>+PROVEEDORES[[#This Row],[Rete Fuente %]]*(PROVEEDORES[[#This Row],[SUBTOTAL]]-PROVEEDORES[[#This Row],[descuento sobre subtotal]])</f>
        <v>0</v>
      </c>
      <c r="R1193" s="21">
        <f>+PROVEEDORES[[#This Row],[SUBTOTAL]]+PROVEEDORES[[#This Row],[IVA 19%]]-PROVEEDORES[[#This Row],[descuento sobre subtotal]]-PROVEEDORES[[#This Row],[Descuento sobre subtotal $2]]-PROVEEDORES[[#This Row],[Rete Fuente $]]</f>
        <v>901544</v>
      </c>
      <c r="S1193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63">
        <f ca="1">IF(PROVEEDORES[[#This Row],[FECHA DE PAGO]]=0,TODAY()-PROVEEDORES[[#This Row],[FECHA DE FACTURACIÓN]]-PROVEEDORES[[#This Row],[PLAZO Días]],0)</f>
        <v>0</v>
      </c>
      <c r="U1193" s="104">
        <f>+VLOOKUP(PROVEEDORES[[#This Row],[PROVEEDOR]],Terceros!$A:$D,4,FALSE)</f>
        <v>0</v>
      </c>
      <c r="V1193" s="105">
        <f>+YEAR(PROVEEDORES[[#This Row],[FECHA DE FACTURACIÓN]])</f>
        <v>2022</v>
      </c>
      <c r="W1193" s="105">
        <f>+MATCH(PROVEEDORES[[#This Row],[año facturado]],Retenciones!$1:$1,0)</f>
        <v>5</v>
      </c>
      <c r="X1193" s="106">
        <f>+VLOOKUP(PROVEEDORES[[#This Row],[ID RETENCION]],Retenciones!$A$1:$O$25,PROVEEDORES[[#This Row],[indicador de columna]],FALSE)</f>
        <v>0</v>
      </c>
      <c r="Y1193" s="107">
        <f>+VLOOKUP(PROVEEDORES[[#This Row],[ID RETENCION]],Retenciones!$A$1:$O$25,2,FALSE)</f>
        <v>0</v>
      </c>
      <c r="Z1193" s="116" t="b">
        <f>OR(COUNTIF(PROVEEDORES[[#This Row],[PROVEEDOR]],"*"&amp;'Palabra no opera'!$A$2&amp;"*"))</f>
        <v>0</v>
      </c>
    </row>
    <row r="1194" spans="1:26" ht="22.35" customHeight="1" x14ac:dyDescent="0.3">
      <c r="A1194" s="247" t="str">
        <f>+IF(PROVEEDORES[[#This Row],[FECHA DE PAGO]]=PROVEEDORES[[#This Row],[FECHA DE FACTURACIÓN]],"DE CONTADO","CRÉDITO")</f>
        <v>CRÉDITO</v>
      </c>
      <c r="B1194" s="38" t="b">
        <f>+IF((PROVEEDORES[[#This Row],[FECHA DE PAGO]]-PROVEEDORES[[#This Row],[FECHA DE FACTURACIÓN]])&gt;PROVEEDORES[[#This Row],[PLAZO Días]],"PAGO VENCIDO")</f>
        <v>0</v>
      </c>
      <c r="C1194" s="20">
        <f>+VLOOKUP(PROVEEDORES[[#This Row],[PROVEEDOR]],TERCEROS_INFO[#All],2,FALSE)</f>
        <v>45</v>
      </c>
      <c r="D1194" s="25">
        <f>+SUMIFS(PROVEEDORES[Total],PROVEEDORES[PROVEEDOR],PROVEEDORES[[#This Row],[PROVEEDOR]],PROVEEDORES[FECHA DE PAGO],"")</f>
        <v>8072960</v>
      </c>
      <c r="E1194" s="25"/>
      <c r="F119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4" s="68">
        <v>44959</v>
      </c>
      <c r="H1194" s="26" t="s">
        <v>10</v>
      </c>
      <c r="I1194" s="68">
        <v>44915</v>
      </c>
      <c r="J1194" s="35" t="s">
        <v>322</v>
      </c>
      <c r="K1194" s="21">
        <v>-2189000</v>
      </c>
      <c r="L1194" s="21"/>
      <c r="M1194" s="22">
        <f>(PROVEEDORES[[#This Row],[SUBTOTAL]]-PROVEEDORES[[#This Row],[descuento sobre subtotal]])*VLOOKUP(PROVEEDORES[[#This Row],[PROVEEDOR]],TERCEROS_INFO[#All],3,FALSE)</f>
        <v>-415910</v>
      </c>
      <c r="N1194" s="23"/>
      <c r="O1194" s="22">
        <f>+PROVEEDORES[[#This Row],[Descuento sobre subtotal %]]*(PROVEEDORES[[#This Row],[SUBTOTAL]]-PROVEEDORES[[#This Row],[descuento sobre subtotal]])</f>
        <v>0</v>
      </c>
      <c r="P1194" s="74">
        <f>+IF(PROVEEDORES[[#This Row],[SUBTOTAL]]&lt;PROVEEDORES[[#This Row],[base retencion]],0,PROVEEDORES[[#This Row],[retención aplicada]])</f>
        <v>0</v>
      </c>
      <c r="Q1194" s="22">
        <f>+PROVEEDORES[[#This Row],[Rete Fuente %]]*(PROVEEDORES[[#This Row],[SUBTOTAL]]-PROVEEDORES[[#This Row],[descuento sobre subtotal]])</f>
        <v>0</v>
      </c>
      <c r="R1194" s="21">
        <f>+PROVEEDORES[[#This Row],[SUBTOTAL]]+PROVEEDORES[[#This Row],[IVA 19%]]-PROVEEDORES[[#This Row],[descuento sobre subtotal]]-PROVEEDORES[[#This Row],[Descuento sobre subtotal $2]]-PROVEEDORES[[#This Row],[Rete Fuente $]]</f>
        <v>-2604910</v>
      </c>
      <c r="S1194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63">
        <f ca="1">IF(PROVEEDORES[[#This Row],[FECHA DE PAGO]]=0,TODAY()-PROVEEDORES[[#This Row],[FECHA DE FACTURACIÓN]]-PROVEEDORES[[#This Row],[PLAZO Días]],0)</f>
        <v>0</v>
      </c>
      <c r="U1194" s="104">
        <f>+VLOOKUP(PROVEEDORES[[#This Row],[PROVEEDOR]],Terceros!$A:$D,4,FALSE)</f>
        <v>0</v>
      </c>
      <c r="V1194" s="105">
        <f>+YEAR(PROVEEDORES[[#This Row],[FECHA DE FACTURACIÓN]])</f>
        <v>2022</v>
      </c>
      <c r="W1194" s="105">
        <f>+MATCH(PROVEEDORES[[#This Row],[año facturado]],Retenciones!$1:$1,0)</f>
        <v>5</v>
      </c>
      <c r="X1194" s="106">
        <f>+VLOOKUP(PROVEEDORES[[#This Row],[ID RETENCION]],Retenciones!$A$1:$O$25,PROVEEDORES[[#This Row],[indicador de columna]],FALSE)</f>
        <v>0</v>
      </c>
      <c r="Y1194" s="107">
        <f>+VLOOKUP(PROVEEDORES[[#This Row],[ID RETENCION]],Retenciones!$A$1:$O$25,2,FALSE)</f>
        <v>0</v>
      </c>
      <c r="Z1194" s="116" t="b">
        <f>OR(COUNTIF(PROVEEDORES[[#This Row],[PROVEEDOR]],"*"&amp;'Palabra no opera'!$A$2&amp;"*"))</f>
        <v>0</v>
      </c>
    </row>
    <row r="1195" spans="1:26" ht="22.35" customHeight="1" x14ac:dyDescent="0.3">
      <c r="A1195" s="265" t="str">
        <f>+IF(PROVEEDORES[[#This Row],[FECHA DE PAGO]]=PROVEEDORES[[#This Row],[FECHA DE FACTURACIÓN]],"DE CONTADO","CRÉDITO")</f>
        <v>CRÉDITO</v>
      </c>
      <c r="B1195" s="38" t="b">
        <f>+IF((PROVEEDORES[[#This Row],[FECHA DE PAGO]]-PROVEEDORES[[#This Row],[FECHA DE FACTURACIÓN]])&gt;PROVEEDORES[[#This Row],[PLAZO Días]],"PAGO VENCIDO")</f>
        <v>0</v>
      </c>
      <c r="C1195" s="20">
        <f>+VLOOKUP(PROVEEDORES[[#This Row],[PROVEEDOR]],TERCEROS_INFO[#All],2,FALSE)</f>
        <v>30</v>
      </c>
      <c r="D1195" s="25">
        <f>+SUMIFS(PROVEEDORES[Total],PROVEEDORES[PROVEEDOR],PROVEEDORES[[#This Row],[PROVEEDOR]],PROVEEDORES[FECHA DE PAGO],"")</f>
        <v>0</v>
      </c>
      <c r="E1195" s="25"/>
      <c r="F1195" s="56" t="str">
        <f>+VLOOKUP(PROVEEDORES[[#This Row],[PROVEEDOR]],
                       Terceros!$A:$F,
                       5,
                       FALSE)</f>
        <v/>
      </c>
      <c r="G1195" s="68">
        <v>44960</v>
      </c>
      <c r="H1195" s="26" t="s">
        <v>356</v>
      </c>
      <c r="I1195" s="68">
        <v>44959</v>
      </c>
      <c r="J1195" s="35">
        <v>2785</v>
      </c>
      <c r="K1195" s="21">
        <v>1814000</v>
      </c>
      <c r="L1195" s="21"/>
      <c r="M1195" s="22">
        <f>(PROVEEDORES[[#This Row],[SUBTOTAL]]-PROVEEDORES[[#This Row],[descuento sobre subtotal]])*VLOOKUP(PROVEEDORES[[#This Row],[PROVEEDOR]],TERCEROS_INFO[#All],3,FALSE)</f>
        <v>0</v>
      </c>
      <c r="N1195" s="23"/>
      <c r="O1195" s="22">
        <f>+PROVEEDORES[[#This Row],[Descuento sobre subtotal %]]*(PROVEEDORES[[#This Row],[SUBTOTAL]]-PROVEEDORES[[#This Row],[descuento sobre subtotal]])</f>
        <v>0</v>
      </c>
      <c r="P1195" s="74">
        <f>+IF(PROVEEDORES[[#This Row],[SUBTOTAL]]&lt;PROVEEDORES[[#This Row],[base retencion]],0,PROVEEDORES[[#This Row],[retención aplicada]])</f>
        <v>0</v>
      </c>
      <c r="Q1195" s="22">
        <f>+PROVEEDORES[[#This Row],[Rete Fuente %]]*(PROVEEDORES[[#This Row],[SUBTOTAL]]-PROVEEDORES[[#This Row],[descuento sobre subtotal]])</f>
        <v>0</v>
      </c>
      <c r="R1195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1195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63">
        <f ca="1">IF(PROVEEDORES[[#This Row],[FECHA DE PAGO]]=0,TODAY()-PROVEEDORES[[#This Row],[FECHA DE FACTURACIÓN]]-PROVEEDORES[[#This Row],[PLAZO Días]],0)</f>
        <v>0</v>
      </c>
      <c r="U1195" s="104">
        <f>+VLOOKUP(PROVEEDORES[[#This Row],[PROVEEDOR]],Terceros!$A:$D,4,FALSE)</f>
        <v>0</v>
      </c>
      <c r="V1195" s="105">
        <f>+YEAR(PROVEEDORES[[#This Row],[FECHA DE FACTURACIÓN]])</f>
        <v>2023</v>
      </c>
      <c r="W1195" s="105">
        <f>+MATCH(PROVEEDORES[[#This Row],[año facturado]],Retenciones!$1:$1,0)</f>
        <v>6</v>
      </c>
      <c r="X1195" s="106">
        <f>+VLOOKUP(PROVEEDORES[[#This Row],[ID RETENCION]],Retenciones!$A$1:$O$25,PROVEEDORES[[#This Row],[indicador de columna]],FALSE)</f>
        <v>0</v>
      </c>
      <c r="Y1195" s="107">
        <f>+VLOOKUP(PROVEEDORES[[#This Row],[ID RETENCION]],Retenciones!$A$1:$O$25,2,FALSE)</f>
        <v>0</v>
      </c>
      <c r="Z1195" s="116" t="b">
        <f>OR(COUNTIF(PROVEEDORES[[#This Row],[PROVEEDOR]],"*"&amp;'Palabra no opera'!$A$2&amp;"*"))</f>
        <v>0</v>
      </c>
    </row>
    <row r="1196" spans="1:26" ht="22.35" customHeight="1" x14ac:dyDescent="0.3">
      <c r="A1196" s="252" t="str">
        <f>+IF(PROVEEDORES[[#This Row],[FECHA DE PAGO]]=PROVEEDORES[[#This Row],[FECHA DE FACTURACIÓN]],"DE CONTADO","CRÉDITO")</f>
        <v>CRÉDITO</v>
      </c>
      <c r="B1196" s="38" t="str">
        <f>+IF((PROVEEDORES[[#This Row],[FECHA DE PAGO]]-PROVEEDORES[[#This Row],[FECHA DE FACTURACIÓN]])&gt;PROVEEDORES[[#This Row],[PLAZO Días]],"PAGO VENCIDO")</f>
        <v>PAGO VENCIDO</v>
      </c>
      <c r="C1196" s="20">
        <f>+VLOOKUP(PROVEEDORES[[#This Row],[PROVEEDOR]],TERCEROS_INFO[#All],2,FALSE)</f>
        <v>30</v>
      </c>
      <c r="D1196" s="25">
        <f>+SUMIFS(PROVEEDORES[Total],PROVEEDORES[PROVEEDOR],PROVEEDORES[[#This Row],[PROVEEDOR]],PROVEEDORES[FECHA DE PAGO],"")</f>
        <v>2100000</v>
      </c>
      <c r="E1196" s="25"/>
      <c r="F1196" s="56" t="str">
        <f>+VLOOKUP(PROVEEDORES[[#This Row],[PROVEEDOR]],
                       Terceros!$A:$F,
                       5,
                       FALSE)</f>
        <v/>
      </c>
      <c r="G1196" s="68">
        <v>44963</v>
      </c>
      <c r="H1196" s="26" t="s">
        <v>349</v>
      </c>
      <c r="I1196" s="68">
        <v>44917</v>
      </c>
      <c r="J1196" s="35">
        <v>2710</v>
      </c>
      <c r="K1196" s="21">
        <v>500000</v>
      </c>
      <c r="L1196" s="21"/>
      <c r="M1196" s="22">
        <f>(PROVEEDORES[[#This Row],[SUBTOTAL]]-PROVEEDORES[[#This Row],[descuento sobre subtotal]])*VLOOKUP(PROVEEDORES[[#This Row],[PROVEEDOR]],TERCEROS_INFO[#All],3,FALSE)</f>
        <v>0</v>
      </c>
      <c r="N1196" s="23"/>
      <c r="O1196" s="22">
        <f>+PROVEEDORES[[#This Row],[Descuento sobre subtotal %]]*(PROVEEDORES[[#This Row],[SUBTOTAL]]-PROVEEDORES[[#This Row],[descuento sobre subtotal]])</f>
        <v>0</v>
      </c>
      <c r="P1196" s="74">
        <f>+IF(PROVEEDORES[[#This Row],[SUBTOTAL]]&lt;PROVEEDORES[[#This Row],[base retencion]],0,PROVEEDORES[[#This Row],[retención aplicada]])</f>
        <v>0</v>
      </c>
      <c r="Q1196" s="22">
        <f>+PROVEEDORES[[#This Row],[Rete Fuente %]]*(PROVEEDORES[[#This Row],[SUBTOTAL]]-PROVEEDORES[[#This Row],[descuento sobre subtotal]])</f>
        <v>0</v>
      </c>
      <c r="R1196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1196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63">
        <f ca="1">IF(PROVEEDORES[[#This Row],[FECHA DE PAGO]]=0,TODAY()-PROVEEDORES[[#This Row],[FECHA DE FACTURACIÓN]]-PROVEEDORES[[#This Row],[PLAZO Días]],0)</f>
        <v>0</v>
      </c>
      <c r="U1196" s="104">
        <f>+VLOOKUP(PROVEEDORES[[#This Row],[PROVEEDOR]],Terceros!$A:$D,4,FALSE)</f>
        <v>0</v>
      </c>
      <c r="V1196" s="105">
        <f>+YEAR(PROVEEDORES[[#This Row],[FECHA DE FACTURACIÓN]])</f>
        <v>2022</v>
      </c>
      <c r="W1196" s="105">
        <f>+MATCH(PROVEEDORES[[#This Row],[año facturado]],Retenciones!$1:$1,0)</f>
        <v>5</v>
      </c>
      <c r="X1196" s="106">
        <f>+VLOOKUP(PROVEEDORES[[#This Row],[ID RETENCION]],Retenciones!$A$1:$O$25,PROVEEDORES[[#This Row],[indicador de columna]],FALSE)</f>
        <v>0</v>
      </c>
      <c r="Y1196" s="107">
        <f>+VLOOKUP(PROVEEDORES[[#This Row],[ID RETENCION]],Retenciones!$A$1:$O$25,2,FALSE)</f>
        <v>0</v>
      </c>
      <c r="Z1196" s="116" t="b">
        <f>OR(COUNTIF(PROVEEDORES[[#This Row],[PROVEEDOR]],"*"&amp;'Palabra no opera'!$A$2&amp;"*"))</f>
        <v>0</v>
      </c>
    </row>
    <row r="1197" spans="1:26" ht="22.35" customHeight="1" x14ac:dyDescent="0.3">
      <c r="A1197" s="252" t="str">
        <f>+IF(PROVEEDORES[[#This Row],[FECHA DE PAGO]]=PROVEEDORES[[#This Row],[FECHA DE FACTURACIÓN]],"DE CONTADO","CRÉDITO")</f>
        <v>CRÉDITO</v>
      </c>
      <c r="B1197" s="38" t="str">
        <f>+IF((PROVEEDORES[[#This Row],[FECHA DE PAGO]]-PROVEEDORES[[#This Row],[FECHA DE FACTURACIÓN]])&gt;PROVEEDORES[[#This Row],[PLAZO Días]],"PAGO VENCIDO")</f>
        <v>PAGO VENCIDO</v>
      </c>
      <c r="C1197" s="20">
        <f>+VLOOKUP(PROVEEDORES[[#This Row],[PROVEEDOR]],TERCEROS_INFO[#All],2,FALSE)</f>
        <v>30</v>
      </c>
      <c r="D1197" s="25">
        <f>+SUMIFS(PROVEEDORES[Total],PROVEEDORES[PROVEEDOR],PROVEEDORES[[#This Row],[PROVEEDOR]],PROVEEDORES[FECHA DE PAGO],"")</f>
        <v>0</v>
      </c>
      <c r="E1197" s="25"/>
      <c r="F1197" s="56" t="str">
        <f>+VLOOKUP(PROVEEDORES[[#This Row],[PROVEEDOR]],
                       Terceros!$A:$F,
                       5,
                       FALSE)</f>
        <v/>
      </c>
      <c r="G1197" s="68">
        <v>44963</v>
      </c>
      <c r="H1197" s="26" t="s">
        <v>362</v>
      </c>
      <c r="I1197" s="68">
        <v>44914</v>
      </c>
      <c r="J1197" s="35" t="s">
        <v>1361</v>
      </c>
      <c r="K1197" s="21">
        <v>189000</v>
      </c>
      <c r="L1197" s="21"/>
      <c r="M1197" s="22">
        <f>(PROVEEDORES[[#This Row],[SUBTOTAL]]-PROVEEDORES[[#This Row],[descuento sobre subtotal]])*VLOOKUP(PROVEEDORES[[#This Row],[PROVEEDOR]],TERCEROS_INFO[#All],3,FALSE)</f>
        <v>0</v>
      </c>
      <c r="N1197" s="23"/>
      <c r="O1197" s="22">
        <f>+PROVEEDORES[[#This Row],[Descuento sobre subtotal %]]*(PROVEEDORES[[#This Row],[SUBTOTAL]]-PROVEEDORES[[#This Row],[descuento sobre subtotal]])</f>
        <v>0</v>
      </c>
      <c r="P1197" s="74">
        <f>+IF(PROVEEDORES[[#This Row],[SUBTOTAL]]&lt;PROVEEDORES[[#This Row],[base retencion]],0,PROVEEDORES[[#This Row],[retención aplicada]])</f>
        <v>0</v>
      </c>
      <c r="Q1197" s="22">
        <f>+PROVEEDORES[[#This Row],[Rete Fuente %]]*(PROVEEDORES[[#This Row],[SUBTOTAL]]-PROVEEDORES[[#This Row],[descuento sobre subtotal]])</f>
        <v>0</v>
      </c>
      <c r="R1197" s="21">
        <f>+PROVEEDORES[[#This Row],[SUBTOTAL]]+PROVEEDORES[[#This Row],[IVA 19%]]-PROVEEDORES[[#This Row],[descuento sobre subtotal]]-PROVEEDORES[[#This Row],[Descuento sobre subtotal $2]]-PROVEEDORES[[#This Row],[Rete Fuente $]]</f>
        <v>189000</v>
      </c>
      <c r="S1197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63">
        <f ca="1">IF(PROVEEDORES[[#This Row],[FECHA DE PAGO]]=0,TODAY()-PROVEEDORES[[#This Row],[FECHA DE FACTURACIÓN]]-PROVEEDORES[[#This Row],[PLAZO Días]],0)</f>
        <v>0</v>
      </c>
      <c r="U1197" s="104">
        <f>+VLOOKUP(PROVEEDORES[[#This Row],[PROVEEDOR]],Terceros!$A:$D,4,FALSE)</f>
        <v>0</v>
      </c>
      <c r="V1197" s="105">
        <f>+YEAR(PROVEEDORES[[#This Row],[FECHA DE FACTURACIÓN]])</f>
        <v>2022</v>
      </c>
      <c r="W1197" s="105">
        <f>+MATCH(PROVEEDORES[[#This Row],[año facturado]],Retenciones!$1:$1,0)</f>
        <v>5</v>
      </c>
      <c r="X1197" s="106">
        <f>+VLOOKUP(PROVEEDORES[[#This Row],[ID RETENCION]],Retenciones!$A$1:$O$25,PROVEEDORES[[#This Row],[indicador de columna]],FALSE)</f>
        <v>0</v>
      </c>
      <c r="Y1197" s="107">
        <f>+VLOOKUP(PROVEEDORES[[#This Row],[ID RETENCION]],Retenciones!$A$1:$O$25,2,FALSE)</f>
        <v>0</v>
      </c>
      <c r="Z1197" s="116" t="b">
        <f>OR(COUNTIF(PROVEEDORES[[#This Row],[PROVEEDOR]],"*"&amp;'Palabra no opera'!$A$2&amp;"*"))</f>
        <v>0</v>
      </c>
    </row>
    <row r="1198" spans="1:26" ht="22.35" customHeight="1" x14ac:dyDescent="0.3">
      <c r="A1198" s="265" t="str">
        <f>+IF(PROVEEDORES[[#This Row],[FECHA DE PAGO]]=PROVEEDORES[[#This Row],[FECHA DE FACTURACIÓN]],"DE CONTADO","CRÉDITO")</f>
        <v>CRÉDITO</v>
      </c>
      <c r="B1198" s="38" t="b">
        <f>+IF((PROVEEDORES[[#This Row],[FECHA DE PAGO]]-PROVEEDORES[[#This Row],[FECHA DE FACTURACIÓN]])&gt;PROVEEDORES[[#This Row],[PLAZO Días]],"PAGO VENCIDO")</f>
        <v>0</v>
      </c>
      <c r="C1198" s="20">
        <f>+VLOOKUP(PROVEEDORES[[#This Row],[PROVEEDOR]],TERCEROS_INFO[#All],2,FALSE)</f>
        <v>30</v>
      </c>
      <c r="D1198" s="25">
        <f>+SUMIFS(PROVEEDORES[Total],PROVEEDORES[PROVEEDOR],PROVEEDORES[[#This Row],[PROVEEDOR]],PROVEEDORES[FECHA DE PAGO],"")</f>
        <v>0</v>
      </c>
      <c r="E1198" s="25"/>
      <c r="F1198" s="56" t="str">
        <f>+VLOOKUP(PROVEEDORES[[#This Row],[PROVEEDOR]],
                       Terceros!$A:$F,
                       5,
                       FALSE)</f>
        <v/>
      </c>
      <c r="G1198" s="68">
        <v>44964</v>
      </c>
      <c r="H1198" s="26" t="s">
        <v>356</v>
      </c>
      <c r="I1198" s="68">
        <v>44963</v>
      </c>
      <c r="J1198" s="35">
        <v>2791</v>
      </c>
      <c r="K1198" s="21">
        <v>2470000</v>
      </c>
      <c r="L1198" s="21"/>
      <c r="M1198" s="22">
        <f>(PROVEEDORES[[#This Row],[SUBTOTAL]]-PROVEEDORES[[#This Row],[descuento sobre subtotal]])*VLOOKUP(PROVEEDORES[[#This Row],[PROVEEDOR]],TERCEROS_INFO[#All],3,FALSE)</f>
        <v>0</v>
      </c>
      <c r="N1198" s="23"/>
      <c r="O1198" s="22">
        <f>+PROVEEDORES[[#This Row],[Descuento sobre subtotal %]]*(PROVEEDORES[[#This Row],[SUBTOTAL]]-PROVEEDORES[[#This Row],[descuento sobre subtotal]])</f>
        <v>0</v>
      </c>
      <c r="P1198" s="74">
        <f>+IF(PROVEEDORES[[#This Row],[SUBTOTAL]]&lt;PROVEEDORES[[#This Row],[base retencion]],0,PROVEEDORES[[#This Row],[retención aplicada]])</f>
        <v>0</v>
      </c>
      <c r="Q1198" s="22">
        <f>+PROVEEDORES[[#This Row],[Rete Fuente %]]*(PROVEEDORES[[#This Row],[SUBTOTAL]]-PROVEEDORES[[#This Row],[descuento sobre subtotal]])</f>
        <v>0</v>
      </c>
      <c r="R1198" s="21">
        <f>+PROVEEDORES[[#This Row],[SUBTOTAL]]+PROVEEDORES[[#This Row],[IVA 19%]]-PROVEEDORES[[#This Row],[descuento sobre subtotal]]-PROVEEDORES[[#This Row],[Descuento sobre subtotal $2]]-PROVEEDORES[[#This Row],[Rete Fuente $]]</f>
        <v>2470000</v>
      </c>
      <c r="S1198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63">
        <f ca="1">IF(PROVEEDORES[[#This Row],[FECHA DE PAGO]]=0,TODAY()-PROVEEDORES[[#This Row],[FECHA DE FACTURACIÓN]]-PROVEEDORES[[#This Row],[PLAZO Días]],0)</f>
        <v>0</v>
      </c>
      <c r="U1198" s="104">
        <f>+VLOOKUP(PROVEEDORES[[#This Row],[PROVEEDOR]],Terceros!$A:$D,4,FALSE)</f>
        <v>0</v>
      </c>
      <c r="V1198" s="105">
        <f>+YEAR(PROVEEDORES[[#This Row],[FECHA DE FACTURACIÓN]])</f>
        <v>2023</v>
      </c>
      <c r="W1198" s="105">
        <f>+MATCH(PROVEEDORES[[#This Row],[año facturado]],Retenciones!$1:$1,0)</f>
        <v>6</v>
      </c>
      <c r="X1198" s="106">
        <f>+VLOOKUP(PROVEEDORES[[#This Row],[ID RETENCION]],Retenciones!$A$1:$O$25,PROVEEDORES[[#This Row],[indicador de columna]],FALSE)</f>
        <v>0</v>
      </c>
      <c r="Y1198" s="107">
        <f>+VLOOKUP(PROVEEDORES[[#This Row],[ID RETENCION]],Retenciones!$A$1:$O$25,2,FALSE)</f>
        <v>0</v>
      </c>
      <c r="Z1198" s="116" t="b">
        <f>OR(COUNTIF(PROVEEDORES[[#This Row],[PROVEEDOR]],"*"&amp;'Palabra no opera'!$A$2&amp;"*"))</f>
        <v>0</v>
      </c>
    </row>
    <row r="1199" spans="1:26" ht="22.35" customHeight="1" x14ac:dyDescent="0.3">
      <c r="A1199" s="269" t="str">
        <f>+IF(PROVEEDORES[[#This Row],[FECHA DE PAGO]]=PROVEEDORES[[#This Row],[FECHA DE FACTURACIÓN]],"DE CONTADO","CRÉDITO")</f>
        <v>CRÉDITO</v>
      </c>
      <c r="B1199" s="38" t="b">
        <f>+IF((PROVEEDORES[[#This Row],[FECHA DE PAGO]]-PROVEEDORES[[#This Row],[FECHA DE FACTURACIÓN]])&gt;PROVEEDORES[[#This Row],[PLAZO Días]],"PAGO VENCIDO")</f>
        <v>0</v>
      </c>
      <c r="C1199" s="20">
        <f>+VLOOKUP(PROVEEDORES[[#This Row],[PROVEEDOR]],TERCEROS_INFO[#All],2,FALSE)</f>
        <v>30</v>
      </c>
      <c r="D1199" s="25">
        <f>+SUMIFS(PROVEEDORES[Total],PROVEEDORES[PROVEEDOR],PROVEEDORES[[#This Row],[PROVEEDOR]],PROVEEDORES[FECHA DE PAGO],"")</f>
        <v>0</v>
      </c>
      <c r="E1199" s="25"/>
      <c r="F1199" s="56" t="str">
        <f>+VLOOKUP(PROVEEDORES[[#This Row],[PROVEEDOR]],
                       Terceros!$A:$F,
                       5,
                       FALSE)</f>
        <v/>
      </c>
      <c r="G1199" s="68">
        <v>44966</v>
      </c>
      <c r="H1199" s="26" t="s">
        <v>356</v>
      </c>
      <c r="I1199" s="68">
        <v>44965</v>
      </c>
      <c r="J1199" s="35" t="s">
        <v>1473</v>
      </c>
      <c r="K1199" s="21">
        <v>2710000</v>
      </c>
      <c r="L1199" s="21"/>
      <c r="M1199" s="22">
        <f>(PROVEEDORES[[#This Row],[SUBTOTAL]]-PROVEEDORES[[#This Row],[descuento sobre subtotal]])*VLOOKUP(PROVEEDORES[[#This Row],[PROVEEDOR]],TERCEROS_INFO[#All],3,FALSE)</f>
        <v>0</v>
      </c>
      <c r="N1199" s="23"/>
      <c r="O1199" s="22">
        <f>+PROVEEDORES[[#This Row],[Descuento sobre subtotal %]]*(PROVEEDORES[[#This Row],[SUBTOTAL]]-PROVEEDORES[[#This Row],[descuento sobre subtotal]])</f>
        <v>0</v>
      </c>
      <c r="P1199" s="74">
        <f>+IF(PROVEEDORES[[#This Row],[SUBTOTAL]]&lt;PROVEEDORES[[#This Row],[base retencion]],0,PROVEEDORES[[#This Row],[retención aplicada]])</f>
        <v>0</v>
      </c>
      <c r="Q1199" s="22">
        <f>+PROVEEDORES[[#This Row],[Rete Fuente %]]*(PROVEEDORES[[#This Row],[SUBTOTAL]]-PROVEEDORES[[#This Row],[descuento sobre subtotal]])</f>
        <v>0</v>
      </c>
      <c r="R1199" s="21">
        <f>+PROVEEDORES[[#This Row],[SUBTOTAL]]+PROVEEDORES[[#This Row],[IVA 19%]]-PROVEEDORES[[#This Row],[descuento sobre subtotal]]-PROVEEDORES[[#This Row],[Descuento sobre subtotal $2]]-PROVEEDORES[[#This Row],[Rete Fuente $]]</f>
        <v>2710000</v>
      </c>
      <c r="S119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63">
        <f ca="1">IF(PROVEEDORES[[#This Row],[FECHA DE PAGO]]=0,TODAY()-PROVEEDORES[[#This Row],[FECHA DE FACTURACIÓN]]-PROVEEDORES[[#This Row],[PLAZO Días]],0)</f>
        <v>0</v>
      </c>
      <c r="U1199" s="104">
        <f>+VLOOKUP(PROVEEDORES[[#This Row],[PROVEEDOR]],Terceros!$A:$D,4,FALSE)</f>
        <v>0</v>
      </c>
      <c r="V1199" s="105">
        <f>+YEAR(PROVEEDORES[[#This Row],[FECHA DE FACTURACIÓN]])</f>
        <v>2023</v>
      </c>
      <c r="W1199" s="105">
        <f>+MATCH(PROVEEDORES[[#This Row],[año facturado]],Retenciones!$1:$1,0)</f>
        <v>6</v>
      </c>
      <c r="X1199" s="106">
        <f>+VLOOKUP(PROVEEDORES[[#This Row],[ID RETENCION]],Retenciones!$A$1:$O$25,PROVEEDORES[[#This Row],[indicador de columna]],FALSE)</f>
        <v>0</v>
      </c>
      <c r="Y1199" s="107">
        <f>+VLOOKUP(PROVEEDORES[[#This Row],[ID RETENCION]],Retenciones!$A$1:$O$25,2,FALSE)</f>
        <v>0</v>
      </c>
      <c r="Z1199" s="116" t="b">
        <f>OR(COUNTIF(PROVEEDORES[[#This Row],[PROVEEDOR]],"*"&amp;'Palabra no opera'!$A$2&amp;"*"))</f>
        <v>0</v>
      </c>
    </row>
    <row r="1200" spans="1:26" ht="22.35" customHeight="1" x14ac:dyDescent="0.3">
      <c r="A1200" s="67" t="str">
        <f>+IF(PROVEEDORES[[#This Row],[FECHA DE PAGO]]=PROVEEDORES[[#This Row],[FECHA DE FACTURACIÓN]],"DE CONTADO","CRÉDITO")</f>
        <v>CRÉDITO</v>
      </c>
      <c r="B1200" s="38" t="str">
        <f>+IF((PROVEEDORES[[#This Row],[FECHA DE PAGO]]-PROVEEDORES[[#This Row],[FECHA DE FACTURACIÓN]])&gt;PROVEEDORES[[#This Row],[PLAZO Días]],"PAGO VENCIDO")</f>
        <v>PAGO VENCIDO</v>
      </c>
      <c r="C1200" s="20">
        <f>+VLOOKUP(PROVEEDORES[[#This Row],[PROVEEDOR]],TERCEROS_INFO[#All],2,FALSE)</f>
        <v>0</v>
      </c>
      <c r="D1200" s="25">
        <f>+SUMIFS(PROVEEDORES[Total],PROVEEDORES[PROVEEDOR],PROVEEDORES[[#This Row],[PROVEEDOR]],PROVEEDORES[FECHA DE PAGO],"")</f>
        <v>0</v>
      </c>
      <c r="E1200" s="25"/>
      <c r="F1200" s="56" t="str">
        <f>+VLOOKUP(PROVEEDORES[[#This Row],[PROVEEDOR]],
                       Terceros!$A:$F,
                       5,
                       FALSE)</f>
        <v>contabilidad@comercialweb.com.co;info@servipilas.com</v>
      </c>
      <c r="G1200" s="68">
        <v>44966</v>
      </c>
      <c r="H1200" s="26" t="s">
        <v>1438</v>
      </c>
      <c r="I1200" s="68">
        <v>44958</v>
      </c>
      <c r="J1200" s="35">
        <v>1536</v>
      </c>
      <c r="K1200" s="21">
        <v>600000</v>
      </c>
      <c r="L1200" s="21"/>
      <c r="M1200" s="22">
        <v>0</v>
      </c>
      <c r="N1200" s="23"/>
      <c r="O1200" s="22">
        <f>+PROVEEDORES[[#This Row],[Descuento sobre subtotal %]]*(PROVEEDORES[[#This Row],[SUBTOTAL]]-PROVEEDORES[[#This Row],[descuento sobre subtotal]])</f>
        <v>0</v>
      </c>
      <c r="P1200" s="74">
        <f>+IF(PROVEEDORES[[#This Row],[SUBTOTAL]]&lt;PROVEEDORES[[#This Row],[base retencion]],0,PROVEEDORES[[#This Row],[retención aplicada]])</f>
        <v>0</v>
      </c>
      <c r="Q1200" s="22">
        <f>+PROVEEDORES[[#This Row],[Rete Fuente %]]*(PROVEEDORES[[#This Row],[SUBTOTAL]]-PROVEEDORES[[#This Row],[descuento sobre subtotal]])</f>
        <v>0</v>
      </c>
      <c r="R1200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2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63">
        <f ca="1">IF(PROVEEDORES[[#This Row],[FECHA DE PAGO]]=0,TODAY()-PROVEEDORES[[#This Row],[FECHA DE FACTURACIÓN]]-PROVEEDORES[[#This Row],[PLAZO Días]],0)</f>
        <v>0</v>
      </c>
      <c r="U1200" s="104">
        <f>+VLOOKUP(PROVEEDORES[[#This Row],[PROVEEDOR]],Terceros!$A:$D,4,FALSE)</f>
        <v>0</v>
      </c>
      <c r="V1200" s="105">
        <f>+YEAR(PROVEEDORES[[#This Row],[FECHA DE FACTURACIÓN]])</f>
        <v>2023</v>
      </c>
      <c r="W1200" s="105">
        <f>+MATCH(PROVEEDORES[[#This Row],[año facturado]],Retenciones!$1:$1,0)</f>
        <v>6</v>
      </c>
      <c r="X1200" s="106">
        <f>+VLOOKUP(PROVEEDORES[[#This Row],[ID RETENCION]],Retenciones!$A$1:$O$25,PROVEEDORES[[#This Row],[indicador de columna]],FALSE)</f>
        <v>0</v>
      </c>
      <c r="Y1200" s="107">
        <f>+VLOOKUP(PROVEEDORES[[#This Row],[ID RETENCION]],Retenciones!$A$1:$O$25,2,FALSE)</f>
        <v>0</v>
      </c>
      <c r="Z1200" s="116" t="b">
        <f>OR(COUNTIF(PROVEEDORES[[#This Row],[PROVEEDOR]],"*"&amp;'Palabra no opera'!$A$2&amp;"*"))</f>
        <v>1</v>
      </c>
    </row>
    <row r="1201" spans="1:26" ht="22.35" customHeight="1" x14ac:dyDescent="0.3">
      <c r="A1201" s="67" t="str">
        <f>+IF(PROVEEDORES[[#This Row],[FECHA DE PAGO]]=PROVEEDORES[[#This Row],[FECHA DE FACTURACIÓN]],"DE CONTADO","CRÉDITO")</f>
        <v>DE CONTADO</v>
      </c>
      <c r="B1201" s="38" t="b">
        <f>+IF((PROVEEDORES[[#This Row],[FECHA DE PAGO]]-PROVEEDORES[[#This Row],[FECHA DE FACTURACIÓN]])&gt;PROVEEDORES[[#This Row],[PLAZO Días]],"PAGO VENCIDO")</f>
        <v>0</v>
      </c>
      <c r="C1201" s="20">
        <f>+VLOOKUP(PROVEEDORES[[#This Row],[PROVEEDOR]],TERCEROS_INFO[#All],2,FALSE)</f>
        <v>30</v>
      </c>
      <c r="D1201" s="25">
        <f>+SUMIFS(PROVEEDORES[Total],PROVEEDORES[PROVEEDOR],PROVEEDORES[[#This Row],[PROVEEDOR]],PROVEEDORES[FECHA DE PAGO],"")</f>
        <v>0</v>
      </c>
      <c r="E1201" s="25"/>
      <c r="F1201" s="56" t="str">
        <f>+VLOOKUP(PROVEEDORES[[#This Row],[PROVEEDOR]],
                       Terceros!$A:$F,
                       5,
                       FALSE)</f>
        <v/>
      </c>
      <c r="G1201" s="68">
        <v>44967</v>
      </c>
      <c r="H1201" s="26" t="s">
        <v>1401</v>
      </c>
      <c r="I1201" s="68">
        <v>44967</v>
      </c>
      <c r="J1201" s="35" t="s">
        <v>1479</v>
      </c>
      <c r="K1201" s="21">
        <v>578000</v>
      </c>
      <c r="L1201" s="21"/>
      <c r="M1201" s="22">
        <f>(PROVEEDORES[[#This Row],[SUBTOTAL]]-PROVEEDORES[[#This Row],[descuento sobre subtotal]])*VLOOKUP(PROVEEDORES[[#This Row],[PROVEEDOR]],TERCEROS_INFO[#All],3,FALSE)</f>
        <v>0</v>
      </c>
      <c r="N1201" s="23"/>
      <c r="O1201" s="22">
        <f>+PROVEEDORES[[#This Row],[Descuento sobre subtotal %]]*(PROVEEDORES[[#This Row],[SUBTOTAL]]-PROVEEDORES[[#This Row],[descuento sobre subtotal]])</f>
        <v>0</v>
      </c>
      <c r="P1201" s="74">
        <f>+IF(PROVEEDORES[[#This Row],[SUBTOTAL]]&lt;PROVEEDORES[[#This Row],[base retencion]],0,PROVEEDORES[[#This Row],[retención aplicada]])</f>
        <v>0</v>
      </c>
      <c r="Q1201" s="22">
        <f>+PROVEEDORES[[#This Row],[Rete Fuente %]]*(PROVEEDORES[[#This Row],[SUBTOTAL]]-PROVEEDORES[[#This Row],[descuento sobre subtotal]])</f>
        <v>0</v>
      </c>
      <c r="R1201" s="21">
        <f>+PROVEEDORES[[#This Row],[SUBTOTAL]]+PROVEEDORES[[#This Row],[IVA 19%]]-PROVEEDORES[[#This Row],[descuento sobre subtotal]]-PROVEEDORES[[#This Row],[Descuento sobre subtotal $2]]-PROVEEDORES[[#This Row],[Rete Fuente $]]</f>
        <v>578000</v>
      </c>
      <c r="S12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63">
        <f ca="1">IF(PROVEEDORES[[#This Row],[FECHA DE PAGO]]=0,TODAY()-PROVEEDORES[[#This Row],[FECHA DE FACTURACIÓN]]-PROVEEDORES[[#This Row],[PLAZO Días]],0)</f>
        <v>0</v>
      </c>
      <c r="U1201" s="104">
        <f>+VLOOKUP(PROVEEDORES[[#This Row],[PROVEEDOR]],Terceros!$A:$D,4,FALSE)</f>
        <v>0</v>
      </c>
      <c r="V1201" s="105">
        <f>+YEAR(PROVEEDORES[[#This Row],[FECHA DE FACTURACIÓN]])</f>
        <v>2023</v>
      </c>
      <c r="W1201" s="105">
        <f>+MATCH(PROVEEDORES[[#This Row],[año facturado]],Retenciones!$1:$1,0)</f>
        <v>6</v>
      </c>
      <c r="X1201" s="106">
        <f>+VLOOKUP(PROVEEDORES[[#This Row],[ID RETENCION]],Retenciones!$A$1:$O$25,PROVEEDORES[[#This Row],[indicador de columna]],FALSE)</f>
        <v>0</v>
      </c>
      <c r="Y1201" s="107">
        <f>+VLOOKUP(PROVEEDORES[[#This Row],[ID RETENCION]],Retenciones!$A$1:$O$25,2,FALSE)</f>
        <v>0</v>
      </c>
      <c r="Z1201" s="116" t="b">
        <f>OR(COUNTIF(PROVEEDORES[[#This Row],[PROVEEDOR]],"*"&amp;'Palabra no opera'!$A$2&amp;"*"))</f>
        <v>0</v>
      </c>
    </row>
    <row r="1202" spans="1:26" ht="22.35" customHeight="1" x14ac:dyDescent="0.3">
      <c r="A1202" s="252" t="str">
        <f>+IF(PROVEEDORES[[#This Row],[FECHA DE PAGO]]=PROVEEDORES[[#This Row],[FECHA DE FACTURACIÓN]],"DE CONTADO","CRÉDITO")</f>
        <v>CRÉDITO</v>
      </c>
      <c r="B1202" s="38" t="str">
        <f>+IF((PROVEEDORES[[#This Row],[FECHA DE PAGO]]-PROVEEDORES[[#This Row],[FECHA DE FACTURACIÓN]])&gt;PROVEEDORES[[#This Row],[PLAZO Días]],"PAGO VENCIDO")</f>
        <v>PAGO VENCIDO</v>
      </c>
      <c r="C1202" s="20">
        <f>+VLOOKUP(PROVEEDORES[[#This Row],[PROVEEDOR]],TERCEROS_INFO[#All],2,FALSE)</f>
        <v>30</v>
      </c>
      <c r="D1202" s="25">
        <f>+SUMIFS(PROVEEDORES[Total],PROVEEDORES[PROVEEDOR],PROVEEDORES[[#This Row],[PROVEEDOR]],PROVEEDORES[FECHA DE PAGO],"")</f>
        <v>0</v>
      </c>
      <c r="E1202" s="25"/>
      <c r="F1202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202" s="68">
        <v>44967</v>
      </c>
      <c r="H1202" s="26" t="s">
        <v>1371</v>
      </c>
      <c r="I1202" s="68">
        <v>44916</v>
      </c>
      <c r="J1202" s="35" t="s">
        <v>1372</v>
      </c>
      <c r="K1202" s="21">
        <v>906000</v>
      </c>
      <c r="L1202" s="21"/>
      <c r="M1202" s="22">
        <f>(PROVEEDORES[[#This Row],[SUBTOTAL]]-PROVEEDORES[[#This Row],[descuento sobre subtotal]])*VLOOKUP(PROVEEDORES[[#This Row],[PROVEEDOR]],TERCEROS_INFO[#All],3,FALSE)</f>
        <v>0</v>
      </c>
      <c r="N1202" s="23"/>
      <c r="O1202" s="22">
        <f>+PROVEEDORES[[#This Row],[Descuento sobre subtotal %]]*(PROVEEDORES[[#This Row],[SUBTOTAL]]-PROVEEDORES[[#This Row],[descuento sobre subtotal]])</f>
        <v>0</v>
      </c>
      <c r="P1202" s="74">
        <f>+IF(PROVEEDORES[[#This Row],[SUBTOTAL]]&lt;PROVEEDORES[[#This Row],[base retencion]],0,PROVEEDORES[[#This Row],[retención aplicada]])</f>
        <v>0</v>
      </c>
      <c r="Q1202" s="22">
        <f>+PROVEEDORES[[#This Row],[Rete Fuente %]]*(PROVEEDORES[[#This Row],[SUBTOTAL]]-PROVEEDORES[[#This Row],[descuento sobre subtotal]])</f>
        <v>0</v>
      </c>
      <c r="R1202" s="21">
        <f>+PROVEEDORES[[#This Row],[SUBTOTAL]]+PROVEEDORES[[#This Row],[IVA 19%]]-PROVEEDORES[[#This Row],[descuento sobre subtotal]]-PROVEEDORES[[#This Row],[Descuento sobre subtotal $2]]-PROVEEDORES[[#This Row],[Rete Fuente $]]</f>
        <v>906000</v>
      </c>
      <c r="S1202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63">
        <f ca="1">IF(PROVEEDORES[[#This Row],[FECHA DE PAGO]]=0,TODAY()-PROVEEDORES[[#This Row],[FECHA DE FACTURACIÓN]]-PROVEEDORES[[#This Row],[PLAZO Días]],0)</f>
        <v>0</v>
      </c>
      <c r="U1202" s="104">
        <f>+VLOOKUP(PROVEEDORES[[#This Row],[PROVEEDOR]],Terceros!$A:$D,4,FALSE)</f>
        <v>0</v>
      </c>
      <c r="V1202" s="105">
        <f>+YEAR(PROVEEDORES[[#This Row],[FECHA DE FACTURACIÓN]])</f>
        <v>2022</v>
      </c>
      <c r="W1202" s="105">
        <f>+MATCH(PROVEEDORES[[#This Row],[año facturado]],Retenciones!$1:$1,0)</f>
        <v>5</v>
      </c>
      <c r="X1202" s="106">
        <f>+VLOOKUP(PROVEEDORES[[#This Row],[ID RETENCION]],Retenciones!$A$1:$O$25,PROVEEDORES[[#This Row],[indicador de columna]],FALSE)</f>
        <v>0</v>
      </c>
      <c r="Y1202" s="107">
        <f>+VLOOKUP(PROVEEDORES[[#This Row],[ID RETENCION]],Retenciones!$A$1:$O$25,2,FALSE)</f>
        <v>0</v>
      </c>
      <c r="Z1202" s="116" t="b">
        <f>OR(COUNTIF(PROVEEDORES[[#This Row],[PROVEEDOR]],"*"&amp;'Palabra no opera'!$A$2&amp;"*"))</f>
        <v>0</v>
      </c>
    </row>
    <row r="1203" spans="1:26" ht="22.35" customHeight="1" x14ac:dyDescent="0.3">
      <c r="A1203" s="67" t="str">
        <f>+IF(PROVEEDORES[[#This Row],[FECHA DE PAGO]]=PROVEEDORES[[#This Row],[FECHA DE FACTURACIÓN]],"DE CONTADO","CRÉDITO")</f>
        <v>CRÉDITO</v>
      </c>
      <c r="B1203" s="38" t="str">
        <f>+IF((PROVEEDORES[[#This Row],[FECHA DE PAGO]]-PROVEEDORES[[#This Row],[FECHA DE FACTURACIÓN]])&gt;PROVEEDORES[[#This Row],[PLAZO Días]],"PAGO VENCIDO")</f>
        <v>PAGO VENCIDO</v>
      </c>
      <c r="C1203" s="20">
        <f>+VLOOKUP(PROVEEDORES[[#This Row],[PROVEEDOR]],TERCEROS_INFO[#All],2,FALSE)</f>
        <v>30</v>
      </c>
      <c r="D1203" s="25">
        <f>+SUMIFS(PROVEEDORES[Total],PROVEEDORES[PROVEEDOR],PROVEEDORES[[#This Row],[PROVEEDOR]],PROVEEDORES[FECHA DE PAGO],"")</f>
        <v>0</v>
      </c>
      <c r="E1203" s="25"/>
      <c r="F1203" s="56">
        <f>+VLOOKUP(PROVEEDORES[[#This Row],[PROVEEDOR]],
                       Terceros!$A:$F,
                       5,
                       FALSE)</f>
        <v>0</v>
      </c>
      <c r="G1203" s="68">
        <v>44969</v>
      </c>
      <c r="H1203" s="26" t="s">
        <v>413</v>
      </c>
      <c r="I1203" s="68">
        <v>44938</v>
      </c>
      <c r="J1203" s="35">
        <v>348</v>
      </c>
      <c r="K1203" s="21">
        <v>1044000</v>
      </c>
      <c r="L1203" s="21"/>
      <c r="M1203" s="22">
        <f>(PROVEEDORES[[#This Row],[SUBTOTAL]]-PROVEEDORES[[#This Row],[descuento sobre subtotal]])*VLOOKUP(PROVEEDORES[[#This Row],[PROVEEDOR]],TERCEROS_INFO[#All],3,FALSE)</f>
        <v>0</v>
      </c>
      <c r="N1203" s="23"/>
      <c r="O1203" s="22">
        <f>+PROVEEDORES[[#This Row],[Descuento sobre subtotal %]]*(PROVEEDORES[[#This Row],[SUBTOTAL]]-PROVEEDORES[[#This Row],[descuento sobre subtotal]])</f>
        <v>0</v>
      </c>
      <c r="P1203" s="74">
        <f>+IF(PROVEEDORES[[#This Row],[SUBTOTAL]]&lt;PROVEEDORES[[#This Row],[base retencion]],0,PROVEEDORES[[#This Row],[retención aplicada]])</f>
        <v>0</v>
      </c>
      <c r="Q1203" s="22">
        <f>+PROVEEDORES[[#This Row],[Rete Fuente %]]*(PROVEEDORES[[#This Row],[SUBTOTAL]]-PROVEEDORES[[#This Row],[descuento sobre subtotal]])</f>
        <v>0</v>
      </c>
      <c r="R1203" s="21">
        <f>+PROVEEDORES[[#This Row],[SUBTOTAL]]+PROVEEDORES[[#This Row],[IVA 19%]]-PROVEEDORES[[#This Row],[descuento sobre subtotal]]-PROVEEDORES[[#This Row],[Descuento sobre subtotal $2]]-PROVEEDORES[[#This Row],[Rete Fuente $]]</f>
        <v>1044000</v>
      </c>
      <c r="S12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63">
        <f ca="1">IF(PROVEEDORES[[#This Row],[FECHA DE PAGO]]=0,TODAY()-PROVEEDORES[[#This Row],[FECHA DE FACTURACIÓN]]-PROVEEDORES[[#This Row],[PLAZO Días]],0)</f>
        <v>0</v>
      </c>
      <c r="U1203" s="104">
        <f>+VLOOKUP(PROVEEDORES[[#This Row],[PROVEEDOR]],Terceros!$A:$D,4,FALSE)</f>
        <v>0</v>
      </c>
      <c r="V1203" s="105">
        <f>+YEAR(PROVEEDORES[[#This Row],[FECHA DE FACTURACIÓN]])</f>
        <v>2023</v>
      </c>
      <c r="W1203" s="105">
        <f>+MATCH(PROVEEDORES[[#This Row],[año facturado]],Retenciones!$1:$1,0)</f>
        <v>6</v>
      </c>
      <c r="X1203" s="106">
        <f>+VLOOKUP(PROVEEDORES[[#This Row],[ID RETENCION]],Retenciones!$A$1:$O$25,PROVEEDORES[[#This Row],[indicador de columna]],FALSE)</f>
        <v>0</v>
      </c>
      <c r="Y1203" s="107">
        <f>+VLOOKUP(PROVEEDORES[[#This Row],[ID RETENCION]],Retenciones!$A$1:$O$25,2,FALSE)</f>
        <v>0</v>
      </c>
      <c r="Z1203" s="116" t="b">
        <f>OR(COUNTIF(PROVEEDORES[[#This Row],[PROVEEDOR]],"*"&amp;'Palabra no opera'!$A$2&amp;"*"))</f>
        <v>0</v>
      </c>
    </row>
    <row r="1204" spans="1:26" ht="22.35" customHeight="1" x14ac:dyDescent="0.3">
      <c r="A1204" s="249" t="str">
        <f>+IF(PROVEEDORES[[#This Row],[FECHA DE PAGO]]=PROVEEDORES[[#This Row],[FECHA DE FACTURACIÓN]],"DE CONTADO","CRÉDITO")</f>
        <v>CRÉDITO</v>
      </c>
      <c r="B1204" s="38" t="str">
        <f>+IF((PROVEEDORES[[#This Row],[FECHA DE PAGO]]-PROVEEDORES[[#This Row],[FECHA DE FACTURACIÓN]])&gt;PROVEEDORES[[#This Row],[PLAZO Días]],"PAGO VENCIDO")</f>
        <v>PAGO VENCIDO</v>
      </c>
      <c r="C1204" s="20">
        <f>+VLOOKUP(PROVEEDORES[[#This Row],[PROVEEDOR]],TERCEROS_INFO[#All],2,FALSE)</f>
        <v>30</v>
      </c>
      <c r="D1204" s="25">
        <f>+SUMIFS(PROVEEDORES[Total],PROVEEDORES[PROVEEDOR],PROVEEDORES[[#This Row],[PROVEEDOR]],PROVEEDORES[FECHA DE PAGO],"")</f>
        <v>17870934.149999999</v>
      </c>
      <c r="E1204" s="25"/>
      <c r="F120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4" s="68">
        <v>44970</v>
      </c>
      <c r="H1204" s="26" t="s">
        <v>18</v>
      </c>
      <c r="I1204" s="68">
        <v>44907</v>
      </c>
      <c r="J1204" s="35">
        <v>1063196</v>
      </c>
      <c r="K1204" s="21">
        <v>6637080</v>
      </c>
      <c r="L1204" s="21"/>
      <c r="M1204" s="22">
        <f>(PROVEEDORES[[#This Row],[SUBTOTAL]]-PROVEEDORES[[#This Row],[descuento sobre subtotal]])*VLOOKUP(PROVEEDORES[[#This Row],[PROVEEDOR]],TERCEROS_INFO[#All],3,FALSE)</f>
        <v>1261045.2</v>
      </c>
      <c r="N1204" s="23"/>
      <c r="O1204" s="22">
        <f>+PROVEEDORES[[#This Row],[Descuento sobre subtotal %]]*(PROVEEDORES[[#This Row],[SUBTOTAL]]-PROVEEDORES[[#This Row],[descuento sobre subtotal]])</f>
        <v>0</v>
      </c>
      <c r="P1204" s="74">
        <f>+IF(PROVEEDORES[[#This Row],[SUBTOTAL]]&lt;PROVEEDORES[[#This Row],[base retencion]],0,PROVEEDORES[[#This Row],[retención aplicada]])</f>
        <v>2.5000000000000001E-2</v>
      </c>
      <c r="Q1204" s="22">
        <f>+PROVEEDORES[[#This Row],[Rete Fuente %]]*(PROVEEDORES[[#This Row],[SUBTOTAL]]-PROVEEDORES[[#This Row],[descuento sobre subtotal]])</f>
        <v>165927</v>
      </c>
      <c r="R1204" s="21">
        <f>+PROVEEDORES[[#This Row],[SUBTOTAL]]+PROVEEDORES[[#This Row],[IVA 19%]]-PROVEEDORES[[#This Row],[descuento sobre subtotal]]-PROVEEDORES[[#This Row],[Descuento sobre subtotal $2]]-PROVEEDORES[[#This Row],[Rete Fuente $]]</f>
        <v>7732198.2000000002</v>
      </c>
      <c r="S120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63">
        <f ca="1">IF(PROVEEDORES[[#This Row],[FECHA DE PAGO]]=0,TODAY()-PROVEEDORES[[#This Row],[FECHA DE FACTURACIÓN]]-PROVEEDORES[[#This Row],[PLAZO Días]],0)</f>
        <v>0</v>
      </c>
      <c r="U1204" s="104" t="str">
        <f>+VLOOKUP(PROVEEDORES[[#This Row],[PROVEEDOR]],Terceros!$A:$D,4,FALSE)</f>
        <v>2,5% con base</v>
      </c>
      <c r="V1204" s="105">
        <f>+YEAR(PROVEEDORES[[#This Row],[FECHA DE FACTURACIÓN]])</f>
        <v>2022</v>
      </c>
      <c r="W1204" s="105">
        <f>+MATCH(PROVEEDORES[[#This Row],[año facturado]],Retenciones!$1:$1,0)</f>
        <v>5</v>
      </c>
      <c r="X1204" s="106">
        <f>+VLOOKUP(PROVEEDORES[[#This Row],[ID RETENCION]],Retenciones!$A$1:$O$25,PROVEEDORES[[#This Row],[indicador de columna]],FALSE)</f>
        <v>1026000</v>
      </c>
      <c r="Y1204" s="107">
        <f>+VLOOKUP(PROVEEDORES[[#This Row],[ID RETENCION]],Retenciones!$A$1:$O$25,2,FALSE)</f>
        <v>2.5000000000000001E-2</v>
      </c>
      <c r="Z1204" s="116" t="b">
        <f>OR(COUNTIF(PROVEEDORES[[#This Row],[PROVEEDOR]],"*"&amp;'Palabra no opera'!$A$2&amp;"*"))</f>
        <v>0</v>
      </c>
    </row>
    <row r="1205" spans="1:26" ht="22.35" customHeight="1" x14ac:dyDescent="0.3">
      <c r="A1205" s="249" t="str">
        <f>+IF(PROVEEDORES[[#This Row],[FECHA DE PAGO]]=PROVEEDORES[[#This Row],[FECHA DE FACTURACIÓN]],"DE CONTADO","CRÉDITO")</f>
        <v>CRÉDITO</v>
      </c>
      <c r="B1205" s="38" t="str">
        <f>+IF((PROVEEDORES[[#This Row],[FECHA DE PAGO]]-PROVEEDORES[[#This Row],[FECHA DE FACTURACIÓN]])&gt;PROVEEDORES[[#This Row],[PLAZO Días]],"PAGO VENCIDO")</f>
        <v>PAGO VENCIDO</v>
      </c>
      <c r="C1205" s="20">
        <f>+VLOOKUP(PROVEEDORES[[#This Row],[PROVEEDOR]],TERCEROS_INFO[#All],2,FALSE)</f>
        <v>30</v>
      </c>
      <c r="D1205" s="25">
        <f>+SUMIFS(PROVEEDORES[Total],PROVEEDORES[PROVEEDOR],PROVEEDORES[[#This Row],[PROVEEDOR]],PROVEEDORES[FECHA DE PAGO],"")</f>
        <v>121187115</v>
      </c>
      <c r="E1205" s="25"/>
      <c r="F1205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205" s="68">
        <v>44971</v>
      </c>
      <c r="H1205" s="26" t="s">
        <v>31</v>
      </c>
      <c r="I1205" s="68">
        <v>44896</v>
      </c>
      <c r="J1205" s="35">
        <v>58088</v>
      </c>
      <c r="K1205" s="21">
        <v>65380700</v>
      </c>
      <c r="L1205" s="21"/>
      <c r="M1205" s="22">
        <f>(PROVEEDORES[[#This Row],[SUBTOTAL]]-PROVEEDORES[[#This Row],[descuento sobre subtotal]])*VLOOKUP(PROVEEDORES[[#This Row],[PROVEEDOR]],TERCEROS_INFO[#All],3,FALSE)</f>
        <v>0</v>
      </c>
      <c r="N1205" s="23"/>
      <c r="O1205" s="22">
        <f>+PROVEEDORES[[#This Row],[Descuento sobre subtotal %]]*(PROVEEDORES[[#This Row],[SUBTOTAL]]-PROVEEDORES[[#This Row],[descuento sobre subtotal]])</f>
        <v>0</v>
      </c>
      <c r="P1205" s="74">
        <f>+IF(PROVEEDORES[[#This Row],[SUBTOTAL]]&lt;PROVEEDORES[[#This Row],[base retencion]],0,PROVEEDORES[[#This Row],[retención aplicada]])</f>
        <v>0</v>
      </c>
      <c r="Q1205" s="22">
        <f>+PROVEEDORES[[#This Row],[Rete Fuente %]]*(PROVEEDORES[[#This Row],[SUBTOTAL]]-PROVEEDORES[[#This Row],[descuento sobre subtotal]])</f>
        <v>0</v>
      </c>
      <c r="R1205" s="21">
        <f>+PROVEEDORES[[#This Row],[SUBTOTAL]]+PROVEEDORES[[#This Row],[IVA 19%]]-PROVEEDORES[[#This Row],[descuento sobre subtotal]]-PROVEEDORES[[#This Row],[Descuento sobre subtotal $2]]-PROVEEDORES[[#This Row],[Rete Fuente $]]</f>
        <v>65380700</v>
      </c>
      <c r="S1205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63">
        <f ca="1">IF(PROVEEDORES[[#This Row],[FECHA DE PAGO]]=0,TODAY()-PROVEEDORES[[#This Row],[FECHA DE FACTURACIÓN]]-PROVEEDORES[[#This Row],[PLAZO Días]],0)</f>
        <v>0</v>
      </c>
      <c r="U1205" s="104">
        <f>+VLOOKUP(PROVEEDORES[[#This Row],[PROVEEDOR]],Terceros!$A:$D,4,FALSE)</f>
        <v>0</v>
      </c>
      <c r="V1205" s="105">
        <f>+YEAR(PROVEEDORES[[#This Row],[FECHA DE FACTURACIÓN]])</f>
        <v>2022</v>
      </c>
      <c r="W1205" s="105">
        <f>+MATCH(PROVEEDORES[[#This Row],[año facturado]],Retenciones!$1:$1,0)</f>
        <v>5</v>
      </c>
      <c r="X1205" s="106">
        <f>+VLOOKUP(PROVEEDORES[[#This Row],[ID RETENCION]],Retenciones!$A$1:$O$25,PROVEEDORES[[#This Row],[indicador de columna]],FALSE)</f>
        <v>0</v>
      </c>
      <c r="Y1205" s="107">
        <f>+VLOOKUP(PROVEEDORES[[#This Row],[ID RETENCION]],Retenciones!$A$1:$O$25,2,FALSE)</f>
        <v>0</v>
      </c>
      <c r="Z1205" s="116" t="b">
        <f>OR(COUNTIF(PROVEEDORES[[#This Row],[PROVEEDOR]],"*"&amp;'Palabra no opera'!$A$2&amp;"*"))</f>
        <v>0</v>
      </c>
    </row>
    <row r="1206" spans="1:26" ht="22.35" customHeight="1" x14ac:dyDescent="0.3">
      <c r="A1206" s="240" t="str">
        <f>+IF(PROVEEDORES[[#This Row],[FECHA DE PAGO]]=PROVEEDORES[[#This Row],[FECHA DE FACTURACIÓN]],"DE CONTADO","CRÉDITO")</f>
        <v>CRÉDITO</v>
      </c>
      <c r="B1206" s="38" t="str">
        <f>+IF((PROVEEDORES[[#This Row],[FECHA DE PAGO]]-PROVEEDORES[[#This Row],[FECHA DE FACTURACIÓN]])&gt;PROVEEDORES[[#This Row],[PLAZO Días]],"PAGO VENCIDO")</f>
        <v>PAGO VENCIDO</v>
      </c>
      <c r="C1206" s="20">
        <f>+VLOOKUP(PROVEEDORES[[#This Row],[PROVEEDOR]],TERCEROS_INFO[#All],2,FALSE)</f>
        <v>30</v>
      </c>
      <c r="D1206" s="25">
        <f>+SUMIFS(PROVEEDORES[Total],PROVEEDORES[PROVEEDOR],PROVEEDORES[[#This Row],[PROVEEDOR]],PROVEEDORES[FECHA DE PAGO],"")</f>
        <v>0</v>
      </c>
      <c r="E1206" s="25"/>
      <c r="F1206" s="56">
        <f>+VLOOKUP(PROVEEDORES[[#This Row],[PROVEEDOR]],
                       Terceros!$A:$F,
                       5,
                       FALSE)</f>
        <v>0</v>
      </c>
      <c r="G1206" s="68">
        <v>44972</v>
      </c>
      <c r="H1206" s="26" t="s">
        <v>1287</v>
      </c>
      <c r="I1206" s="68">
        <v>44882</v>
      </c>
      <c r="J1206" s="251">
        <v>2654</v>
      </c>
      <c r="K1206" s="21">
        <v>409500</v>
      </c>
      <c r="L1206" s="21"/>
      <c r="M1206" s="22">
        <f>(PROVEEDORES[[#This Row],[SUBTOTAL]]-PROVEEDORES[[#This Row],[descuento sobre subtotal]])*VLOOKUP(PROVEEDORES[[#This Row],[PROVEEDOR]],TERCEROS_INFO[#All],3,FALSE)</f>
        <v>0</v>
      </c>
      <c r="N1206" s="23"/>
      <c r="O1206" s="22">
        <f>+PROVEEDORES[[#This Row],[Descuento sobre subtotal %]]*(PROVEEDORES[[#This Row],[SUBTOTAL]]-PROVEEDORES[[#This Row],[descuento sobre subtotal]])</f>
        <v>0</v>
      </c>
      <c r="P1206" s="74">
        <f>+IF(PROVEEDORES[[#This Row],[SUBTOTAL]]&lt;PROVEEDORES[[#This Row],[base retencion]],0,PROVEEDORES[[#This Row],[retención aplicada]])</f>
        <v>0</v>
      </c>
      <c r="Q1206" s="22">
        <f>+PROVEEDORES[[#This Row],[Rete Fuente %]]*(PROVEEDORES[[#This Row],[SUBTOTAL]]-PROVEEDORES[[#This Row],[descuento sobre subtotal]])</f>
        <v>0</v>
      </c>
      <c r="R1206" s="21">
        <f>+PROVEEDORES[[#This Row],[SUBTOTAL]]+PROVEEDORES[[#This Row],[IVA 19%]]-PROVEEDORES[[#This Row],[descuento sobre subtotal]]-PROVEEDORES[[#This Row],[Descuento sobre subtotal $2]]-PROVEEDORES[[#This Row],[Rete Fuente $]]</f>
        <v>409500</v>
      </c>
      <c r="S1206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63">
        <f ca="1">IF(PROVEEDORES[[#This Row],[FECHA DE PAGO]]=0,TODAY()-PROVEEDORES[[#This Row],[FECHA DE FACTURACIÓN]]-PROVEEDORES[[#This Row],[PLAZO Días]],0)</f>
        <v>0</v>
      </c>
      <c r="U1206" s="104">
        <f>+VLOOKUP(PROVEEDORES[[#This Row],[PROVEEDOR]],Terceros!$A:$D,4,FALSE)</f>
        <v>0</v>
      </c>
      <c r="V1206" s="105">
        <f>+YEAR(PROVEEDORES[[#This Row],[FECHA DE FACTURACIÓN]])</f>
        <v>2022</v>
      </c>
      <c r="W1206" s="105">
        <f>+MATCH(PROVEEDORES[[#This Row],[año facturado]],Retenciones!$1:$1,0)</f>
        <v>5</v>
      </c>
      <c r="X1206" s="106">
        <f>+VLOOKUP(PROVEEDORES[[#This Row],[ID RETENCION]],Retenciones!$A$1:$O$25,PROVEEDORES[[#This Row],[indicador de columna]],FALSE)</f>
        <v>0</v>
      </c>
      <c r="Y1206" s="107">
        <f>+VLOOKUP(PROVEEDORES[[#This Row],[ID RETENCION]],Retenciones!$A$1:$O$25,2,FALSE)</f>
        <v>0</v>
      </c>
      <c r="Z1206" s="116" t="b">
        <f>OR(COUNTIF(PROVEEDORES[[#This Row],[PROVEEDOR]],"*"&amp;'Palabra no opera'!$A$2&amp;"*"))</f>
        <v>0</v>
      </c>
    </row>
    <row r="1207" spans="1:26" ht="22.35" customHeight="1" x14ac:dyDescent="0.3">
      <c r="A1207" s="267" t="str">
        <f>+IF(PROVEEDORES[[#This Row],[FECHA DE PAGO]]=PROVEEDORES[[#This Row],[FECHA DE FACTURACIÓN]],"DE CONTADO","CRÉDITO")</f>
        <v>DE CONTADO</v>
      </c>
      <c r="B1207" s="38" t="b">
        <f>+IF((PROVEEDORES[[#This Row],[FECHA DE PAGO]]-PROVEEDORES[[#This Row],[FECHA DE FACTURACIÓN]])&gt;PROVEEDORES[[#This Row],[PLAZO Días]],"PAGO VENCIDO")</f>
        <v>0</v>
      </c>
      <c r="C1207" s="20">
        <f>+VLOOKUP(PROVEEDORES[[#This Row],[PROVEEDOR]],TERCEROS_INFO[#All],2,FALSE)</f>
        <v>30</v>
      </c>
      <c r="D1207" s="25">
        <f>+SUMIFS(PROVEEDORES[Total],PROVEEDORES[PROVEEDOR],PROVEEDORES[[#This Row],[PROVEEDOR]],PROVEEDORES[FECHA DE PAGO],"")</f>
        <v>0</v>
      </c>
      <c r="E1207" s="25"/>
      <c r="F1207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207" s="68">
        <v>44972</v>
      </c>
      <c r="H1207" s="26" t="s">
        <v>829</v>
      </c>
      <c r="I1207" s="68">
        <v>44972</v>
      </c>
      <c r="J1207" s="35">
        <v>32185</v>
      </c>
      <c r="K1207" s="21">
        <v>1605723</v>
      </c>
      <c r="L1207" s="21"/>
      <c r="M1207" s="22">
        <v>1277</v>
      </c>
      <c r="N1207" s="23"/>
      <c r="O1207" s="22">
        <f>+PROVEEDORES[[#This Row],[Descuento sobre subtotal %]]*(PROVEEDORES[[#This Row],[SUBTOTAL]]-PROVEEDORES[[#This Row],[descuento sobre subtotal]])</f>
        <v>0</v>
      </c>
      <c r="P1207" s="74">
        <f>+IF(PROVEEDORES[[#This Row],[SUBTOTAL]]&lt;PROVEEDORES[[#This Row],[base retencion]],0,PROVEEDORES[[#This Row],[retención aplicada]])</f>
        <v>2.5000000000000001E-2</v>
      </c>
      <c r="Q1207" s="22">
        <f>+PROVEEDORES[[#This Row],[Rete Fuente %]]*(PROVEEDORES[[#This Row],[SUBTOTAL]]-PROVEEDORES[[#This Row],[descuento sobre subtotal]])</f>
        <v>40143.075000000004</v>
      </c>
      <c r="R1207" s="21">
        <f>+PROVEEDORES[[#This Row],[SUBTOTAL]]+PROVEEDORES[[#This Row],[IVA 19%]]-PROVEEDORES[[#This Row],[descuento sobre subtotal]]-PROVEEDORES[[#This Row],[Descuento sobre subtotal $2]]-PROVEEDORES[[#This Row],[Rete Fuente $]]</f>
        <v>1566856.925</v>
      </c>
      <c r="S1207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63">
        <f ca="1">IF(PROVEEDORES[[#This Row],[FECHA DE PAGO]]=0,TODAY()-PROVEEDORES[[#This Row],[FECHA DE FACTURACIÓN]]-PROVEEDORES[[#This Row],[PLAZO Días]],0)</f>
        <v>0</v>
      </c>
      <c r="U1207" s="104" t="str">
        <f>+VLOOKUP(PROVEEDORES[[#This Row],[PROVEEDOR]],Terceros!$A:$D,4,FALSE)</f>
        <v>2,5% con base</v>
      </c>
      <c r="V1207" s="105">
        <f>+YEAR(PROVEEDORES[[#This Row],[FECHA DE FACTURACIÓN]])</f>
        <v>2023</v>
      </c>
      <c r="W1207" s="105">
        <f>+MATCH(PROVEEDORES[[#This Row],[año facturado]],Retenciones!$1:$1,0)</f>
        <v>6</v>
      </c>
      <c r="X1207" s="106">
        <f>+VLOOKUP(PROVEEDORES[[#This Row],[ID RETENCION]],Retenciones!$A$1:$O$25,PROVEEDORES[[#This Row],[indicador de columna]],FALSE)</f>
        <v>1145000</v>
      </c>
      <c r="Y1207" s="107">
        <f>+VLOOKUP(PROVEEDORES[[#This Row],[ID RETENCION]],Retenciones!$A$1:$O$25,2,FALSE)</f>
        <v>2.5000000000000001E-2</v>
      </c>
      <c r="Z1207" s="116" t="b">
        <f>OR(COUNTIF(PROVEEDORES[[#This Row],[PROVEEDOR]],"*"&amp;'Palabra no opera'!$A$2&amp;"*"))</f>
        <v>1</v>
      </c>
    </row>
    <row r="1208" spans="1:26" ht="22.35" customHeight="1" x14ac:dyDescent="0.3">
      <c r="A1208" s="269" t="str">
        <f>+IF(PROVEEDORES[[#This Row],[FECHA DE PAGO]]=PROVEEDORES[[#This Row],[FECHA DE FACTURACIÓN]],"DE CONTADO","CRÉDITO")</f>
        <v>DE CONTADO</v>
      </c>
      <c r="B1208" s="38" t="b">
        <f>+IF((PROVEEDORES[[#This Row],[FECHA DE PAGO]]-PROVEEDORES[[#This Row],[FECHA DE FACTURACIÓN]])&gt;PROVEEDORES[[#This Row],[PLAZO Días]],"PAGO VENCIDO")</f>
        <v>0</v>
      </c>
      <c r="C1208" s="20">
        <f>+VLOOKUP(PROVEEDORES[[#This Row],[PROVEEDOR]],TERCEROS_INFO[#All],2,FALSE)</f>
        <v>30</v>
      </c>
      <c r="D1208" s="25">
        <f>+SUMIFS(PROVEEDORES[Total],PROVEEDORES[PROVEEDOR],PROVEEDORES[[#This Row],[PROVEEDOR]],PROVEEDORES[FECHA DE PAGO],"")</f>
        <v>3669750</v>
      </c>
      <c r="E1208" s="25"/>
      <c r="F1208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208" s="68">
        <v>44972</v>
      </c>
      <c r="H1208" s="26" t="s">
        <v>24</v>
      </c>
      <c r="I1208" s="68">
        <v>44972</v>
      </c>
      <c r="J1208" s="35" t="s">
        <v>1459</v>
      </c>
      <c r="K1208" s="21">
        <v>2122650</v>
      </c>
      <c r="L1208" s="21"/>
      <c r="M1208" s="22">
        <f>(PROVEEDORES[[#This Row],[SUBTOTAL]]-PROVEEDORES[[#This Row],[descuento sobre subtotal]])*VLOOKUP(PROVEEDORES[[#This Row],[PROVEEDOR]],TERCEROS_INFO[#All],3,FALSE)</f>
        <v>403303.5</v>
      </c>
      <c r="N1208" s="23"/>
      <c r="O1208" s="22">
        <f>+PROVEEDORES[[#This Row],[Descuento sobre subtotal %]]*(PROVEEDORES[[#This Row],[SUBTOTAL]]-PROVEEDORES[[#This Row],[descuento sobre subtotal]])</f>
        <v>0</v>
      </c>
      <c r="P1208" s="74">
        <f>+IF(PROVEEDORES[[#This Row],[SUBTOTAL]]&lt;PROVEEDORES[[#This Row],[base retencion]],0,PROVEEDORES[[#This Row],[retención aplicada]])</f>
        <v>2.5000000000000001E-2</v>
      </c>
      <c r="Q1208" s="22">
        <f>+PROVEEDORES[[#This Row],[Rete Fuente %]]*(PROVEEDORES[[#This Row],[SUBTOTAL]]-PROVEEDORES[[#This Row],[descuento sobre subtotal]])</f>
        <v>53066.25</v>
      </c>
      <c r="R1208" s="21">
        <f>+PROVEEDORES[[#This Row],[SUBTOTAL]]+PROVEEDORES[[#This Row],[IVA 19%]]-PROVEEDORES[[#This Row],[descuento sobre subtotal]]-PROVEEDORES[[#This Row],[Descuento sobre subtotal $2]]-PROVEEDORES[[#This Row],[Rete Fuente $]]</f>
        <v>2472887.25</v>
      </c>
      <c r="S120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63">
        <f ca="1">IF(PROVEEDORES[[#This Row],[FECHA DE PAGO]]=0,TODAY()-PROVEEDORES[[#This Row],[FECHA DE FACTURACIÓN]]-PROVEEDORES[[#This Row],[PLAZO Días]],0)</f>
        <v>0</v>
      </c>
      <c r="U1208" s="104" t="str">
        <f>+VLOOKUP(PROVEEDORES[[#This Row],[PROVEEDOR]],Terceros!$A:$D,4,FALSE)</f>
        <v>2,5% con base</v>
      </c>
      <c r="V1208" s="105">
        <f>+YEAR(PROVEEDORES[[#This Row],[FECHA DE FACTURACIÓN]])</f>
        <v>2023</v>
      </c>
      <c r="W1208" s="105">
        <f>+MATCH(PROVEEDORES[[#This Row],[año facturado]],Retenciones!$1:$1,0)</f>
        <v>6</v>
      </c>
      <c r="X1208" s="106">
        <f>+VLOOKUP(PROVEEDORES[[#This Row],[ID RETENCION]],Retenciones!$A$1:$O$25,PROVEEDORES[[#This Row],[indicador de columna]],FALSE)</f>
        <v>1145000</v>
      </c>
      <c r="Y1208" s="107">
        <f>+VLOOKUP(PROVEEDORES[[#This Row],[ID RETENCION]],Retenciones!$A$1:$O$25,2,FALSE)</f>
        <v>2.5000000000000001E-2</v>
      </c>
      <c r="Z1208" s="116" t="b">
        <f>OR(COUNTIF(PROVEEDORES[[#This Row],[PROVEEDOR]],"*"&amp;'Palabra no opera'!$A$2&amp;"*"))</f>
        <v>0</v>
      </c>
    </row>
    <row r="1209" spans="1:26" ht="22.35" customHeight="1" x14ac:dyDescent="0.3">
      <c r="A1209" s="269" t="str">
        <f>+IF(PROVEEDORES[[#This Row],[FECHA DE PAGO]]=PROVEEDORES[[#This Row],[FECHA DE FACTURACIÓN]],"DE CONTADO","CRÉDITO")</f>
        <v>DE CONTADO</v>
      </c>
      <c r="B1209" s="38" t="b">
        <f>+IF((PROVEEDORES[[#This Row],[FECHA DE PAGO]]-PROVEEDORES[[#This Row],[FECHA DE FACTURACIÓN]])&gt;PROVEEDORES[[#This Row],[PLAZO Días]],"PAGO VENCIDO")</f>
        <v>0</v>
      </c>
      <c r="C1209" s="20">
        <f>+VLOOKUP(PROVEEDORES[[#This Row],[PROVEEDOR]],TERCEROS_INFO[#All],2,FALSE)</f>
        <v>30</v>
      </c>
      <c r="D1209" s="25">
        <f>+SUMIFS(PROVEEDORES[Total],PROVEEDORES[PROVEEDOR],PROVEEDORES[[#This Row],[PROVEEDOR]],PROVEEDORES[FECHA DE PAGO],"")</f>
        <v>0</v>
      </c>
      <c r="E1209" s="25"/>
      <c r="F1209" s="56">
        <f>+VLOOKUP(PROVEEDORES[[#This Row],[PROVEEDOR]],
                       Terceros!$A:$F,
                       5,
                       FALSE)</f>
        <v>0</v>
      </c>
      <c r="G1209" s="68">
        <v>44973</v>
      </c>
      <c r="H1209" s="26" t="s">
        <v>1337</v>
      </c>
      <c r="I1209" s="68">
        <v>44973</v>
      </c>
      <c r="J1209" s="35">
        <v>1378</v>
      </c>
      <c r="K1209" s="21">
        <v>361345</v>
      </c>
      <c r="L1209" s="21"/>
      <c r="M1209" s="22">
        <f>(PROVEEDORES[[#This Row],[SUBTOTAL]]-PROVEEDORES[[#This Row],[descuento sobre subtotal]])*VLOOKUP(PROVEEDORES[[#This Row],[PROVEEDOR]],TERCEROS_INFO[#All],3,FALSE)</f>
        <v>68655.55</v>
      </c>
      <c r="N1209" s="23"/>
      <c r="O1209" s="22">
        <f>+PROVEEDORES[[#This Row],[Descuento sobre subtotal %]]*(PROVEEDORES[[#This Row],[SUBTOTAL]]-PROVEEDORES[[#This Row],[descuento sobre subtotal]])</f>
        <v>0</v>
      </c>
      <c r="P1209" s="74">
        <f>+IF(PROVEEDORES[[#This Row],[SUBTOTAL]]&lt;PROVEEDORES[[#This Row],[base retencion]],0,PROVEEDORES[[#This Row],[retención aplicada]])</f>
        <v>0</v>
      </c>
      <c r="Q1209" s="22">
        <f>+PROVEEDORES[[#This Row],[Rete Fuente %]]*(PROVEEDORES[[#This Row],[SUBTOTAL]]-PROVEEDORES[[#This Row],[descuento sobre subtotal]])</f>
        <v>0</v>
      </c>
      <c r="R1209" s="21">
        <f>+PROVEEDORES[[#This Row],[SUBTOTAL]]+PROVEEDORES[[#This Row],[IVA 19%]]-PROVEEDORES[[#This Row],[descuento sobre subtotal]]-PROVEEDORES[[#This Row],[Descuento sobre subtotal $2]]-PROVEEDORES[[#This Row],[Rete Fuente $]]</f>
        <v>430000.55</v>
      </c>
      <c r="S120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63">
        <f ca="1">IF(PROVEEDORES[[#This Row],[FECHA DE PAGO]]=0,TODAY()-PROVEEDORES[[#This Row],[FECHA DE FACTURACIÓN]]-PROVEEDORES[[#This Row],[PLAZO Días]],0)</f>
        <v>0</v>
      </c>
      <c r="U1209" s="104">
        <f>+VLOOKUP(PROVEEDORES[[#This Row],[PROVEEDOR]],Terceros!$A:$D,4,FALSE)</f>
        <v>0</v>
      </c>
      <c r="V1209" s="105">
        <f>+YEAR(PROVEEDORES[[#This Row],[FECHA DE FACTURACIÓN]])</f>
        <v>2023</v>
      </c>
      <c r="W1209" s="105">
        <f>+MATCH(PROVEEDORES[[#This Row],[año facturado]],Retenciones!$1:$1,0)</f>
        <v>6</v>
      </c>
      <c r="X1209" s="106">
        <f>+VLOOKUP(PROVEEDORES[[#This Row],[ID RETENCION]],Retenciones!$A$1:$O$25,PROVEEDORES[[#This Row],[indicador de columna]],FALSE)</f>
        <v>0</v>
      </c>
      <c r="Y1209" s="107">
        <f>+VLOOKUP(PROVEEDORES[[#This Row],[ID RETENCION]],Retenciones!$A$1:$O$25,2,FALSE)</f>
        <v>0</v>
      </c>
      <c r="Z1209" s="116" t="b">
        <f>OR(COUNTIF(PROVEEDORES[[#This Row],[PROVEEDOR]],"*"&amp;'Palabra no opera'!$A$2&amp;"*"))</f>
        <v>0</v>
      </c>
    </row>
    <row r="1210" spans="1:26" ht="22.35" customHeight="1" x14ac:dyDescent="0.3">
      <c r="A1210" s="67" t="str">
        <f>+IF(PROVEEDORES[[#This Row],[FECHA DE PAGO]]=PROVEEDORES[[#This Row],[FECHA DE FACTURACIÓN]],"DE CONTADO","CRÉDITO")</f>
        <v>CRÉDITO</v>
      </c>
      <c r="B1210" s="38" t="b">
        <f>+IF((PROVEEDORES[[#This Row],[FECHA DE PAGO]]-PROVEEDORES[[#This Row],[FECHA DE FACTURACIÓN]])&gt;PROVEEDORES[[#This Row],[PLAZO Días]],"PAGO VENCIDO")</f>
        <v>0</v>
      </c>
      <c r="C1210" s="20">
        <f>+VLOOKUP(PROVEEDORES[[#This Row],[PROVEEDOR]],TERCEROS_INFO[#All],2,FALSE)</f>
        <v>30</v>
      </c>
      <c r="D1210" s="25">
        <f>+SUMIFS(PROVEEDORES[Total],PROVEEDORES[PROVEEDOR],PROVEEDORES[[#This Row],[PROVEEDOR]],PROVEEDORES[FECHA DE PAGO],"")</f>
        <v>0</v>
      </c>
      <c r="E1210" s="25"/>
      <c r="F1210" s="56" t="str">
        <f>+VLOOKUP(PROVEEDORES[[#This Row],[PROVEEDOR]],
                       Terceros!$A:$F,
                       5,
                       FALSE)</f>
        <v/>
      </c>
      <c r="G1210" s="68">
        <v>44974</v>
      </c>
      <c r="H1210" s="26" t="s">
        <v>356</v>
      </c>
      <c r="I1210" s="68">
        <v>44972</v>
      </c>
      <c r="J1210" s="35" t="s">
        <v>1508</v>
      </c>
      <c r="K1210" s="21">
        <v>4760000</v>
      </c>
      <c r="L1210" s="21"/>
      <c r="M1210" s="22">
        <f>(PROVEEDORES[[#This Row],[SUBTOTAL]]-PROVEEDORES[[#This Row],[descuento sobre subtotal]])*VLOOKUP(PROVEEDORES[[#This Row],[PROVEEDOR]],TERCEROS_INFO[#All],3,FALSE)</f>
        <v>0</v>
      </c>
      <c r="N1210" s="23"/>
      <c r="O1210" s="22">
        <f>+PROVEEDORES[[#This Row],[Descuento sobre subtotal %]]*(PROVEEDORES[[#This Row],[SUBTOTAL]]-PROVEEDORES[[#This Row],[descuento sobre subtotal]])</f>
        <v>0</v>
      </c>
      <c r="P1210" s="74">
        <f>+IF(PROVEEDORES[[#This Row],[SUBTOTAL]]&lt;PROVEEDORES[[#This Row],[base retencion]],0,PROVEEDORES[[#This Row],[retención aplicada]])</f>
        <v>0</v>
      </c>
      <c r="Q1210" s="22">
        <f>+PROVEEDORES[[#This Row],[Rete Fuente %]]*(PROVEEDORES[[#This Row],[SUBTOTAL]]-PROVEEDORES[[#This Row],[descuento sobre subtotal]])</f>
        <v>0</v>
      </c>
      <c r="R1210" s="21">
        <f>+PROVEEDORES[[#This Row],[SUBTOTAL]]+PROVEEDORES[[#This Row],[IVA 19%]]-PROVEEDORES[[#This Row],[descuento sobre subtotal]]-PROVEEDORES[[#This Row],[Descuento sobre subtotal $2]]-PROVEEDORES[[#This Row],[Rete Fuente $]]</f>
        <v>4760000</v>
      </c>
      <c r="S12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63">
        <f ca="1">IF(PROVEEDORES[[#This Row],[FECHA DE PAGO]]=0,TODAY()-PROVEEDORES[[#This Row],[FECHA DE FACTURACIÓN]]-PROVEEDORES[[#This Row],[PLAZO Días]],0)</f>
        <v>0</v>
      </c>
      <c r="U1210" s="104">
        <f>+VLOOKUP(PROVEEDORES[[#This Row],[PROVEEDOR]],Terceros!$A:$D,4,FALSE)</f>
        <v>0</v>
      </c>
      <c r="V1210" s="105">
        <f>+YEAR(PROVEEDORES[[#This Row],[FECHA DE FACTURACIÓN]])</f>
        <v>2023</v>
      </c>
      <c r="W1210" s="105">
        <f>+MATCH(PROVEEDORES[[#This Row],[año facturado]],Retenciones!$1:$1,0)</f>
        <v>6</v>
      </c>
      <c r="X1210" s="106">
        <f>+VLOOKUP(PROVEEDORES[[#This Row],[ID RETENCION]],Retenciones!$A$1:$O$25,PROVEEDORES[[#This Row],[indicador de columna]],FALSE)</f>
        <v>0</v>
      </c>
      <c r="Y1210" s="107">
        <f>+VLOOKUP(PROVEEDORES[[#This Row],[ID RETENCION]],Retenciones!$A$1:$O$25,2,FALSE)</f>
        <v>0</v>
      </c>
      <c r="Z1210" s="116" t="b">
        <f>OR(COUNTIF(PROVEEDORES[[#This Row],[PROVEEDOR]],"*"&amp;'Palabra no opera'!$A$2&amp;"*"))</f>
        <v>0</v>
      </c>
    </row>
    <row r="1211" spans="1:26" ht="22.35" customHeight="1" x14ac:dyDescent="0.3">
      <c r="A1211" s="249" t="str">
        <f>+IF(PROVEEDORES[[#This Row],[FECHA DE PAGO]]=PROVEEDORES[[#This Row],[FECHA DE FACTURACIÓN]],"DE CONTADO","CRÉDITO")</f>
        <v>CRÉDITO</v>
      </c>
      <c r="B1211" s="38" t="str">
        <f>+IF((PROVEEDORES[[#This Row],[FECHA DE PAGO]]-PROVEEDORES[[#This Row],[FECHA DE FACTURACIÓN]])&gt;PROVEEDORES[[#This Row],[PLAZO Días]],"PAGO VENCIDO")</f>
        <v>PAGO VENCIDO</v>
      </c>
      <c r="C1211" s="20">
        <f>+VLOOKUP(PROVEEDORES[[#This Row],[PROVEEDOR]],TERCEROS_INFO[#All],2,FALSE)</f>
        <v>30</v>
      </c>
      <c r="D1211" s="25">
        <f>+SUMIFS(PROVEEDORES[Total],PROVEEDORES[PROVEEDOR],PROVEEDORES[[#This Row],[PROVEEDOR]],PROVEEDORES[FECHA DE PAGO],"")</f>
        <v>380979.69</v>
      </c>
      <c r="E1211" s="25"/>
      <c r="F121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11" s="68">
        <v>44974</v>
      </c>
      <c r="H1211" s="26" t="s">
        <v>1295</v>
      </c>
      <c r="I1211" s="68">
        <v>44914</v>
      </c>
      <c r="J1211" s="35" t="s">
        <v>1347</v>
      </c>
      <c r="K1211" s="21">
        <v>2274460</v>
      </c>
      <c r="L1211" s="21"/>
      <c r="M1211" s="22">
        <f>(PROVEEDORES[[#This Row],[SUBTOTAL]]-PROVEEDORES[[#This Row],[descuento sobre subtotal]])*VLOOKUP(PROVEEDORES[[#This Row],[PROVEEDOR]],TERCEROS_INFO[#All],3,FALSE)</f>
        <v>432147.4</v>
      </c>
      <c r="N1211" s="23"/>
      <c r="O1211" s="22">
        <f>+PROVEEDORES[[#This Row],[Descuento sobre subtotal %]]*(PROVEEDORES[[#This Row],[SUBTOTAL]]-PROVEEDORES[[#This Row],[descuento sobre subtotal]])</f>
        <v>0</v>
      </c>
      <c r="P1211" s="74">
        <f>+IF(PROVEEDORES[[#This Row],[SUBTOTAL]]&lt;PROVEEDORES[[#This Row],[base retencion]],0,PROVEEDORES[[#This Row],[retención aplicada]])</f>
        <v>0</v>
      </c>
      <c r="Q1211" s="22">
        <f>+PROVEEDORES[[#This Row],[Rete Fuente %]]*(PROVEEDORES[[#This Row],[SUBTOTAL]]-PROVEEDORES[[#This Row],[descuento sobre subtotal]])</f>
        <v>0</v>
      </c>
      <c r="R1211" s="21">
        <f>+PROVEEDORES[[#This Row],[SUBTOTAL]]+PROVEEDORES[[#This Row],[IVA 19%]]-PROVEEDORES[[#This Row],[descuento sobre subtotal]]-PROVEEDORES[[#This Row],[Descuento sobre subtotal $2]]-PROVEEDORES[[#This Row],[Rete Fuente $]]</f>
        <v>2706607.4</v>
      </c>
      <c r="S121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63">
        <f ca="1">IF(PROVEEDORES[[#This Row],[FECHA DE PAGO]]=0,TODAY()-PROVEEDORES[[#This Row],[FECHA DE FACTURACIÓN]]-PROVEEDORES[[#This Row],[PLAZO Días]],0)</f>
        <v>0</v>
      </c>
      <c r="U1211" s="104">
        <f>+VLOOKUP(PROVEEDORES[[#This Row],[PROVEEDOR]],Terceros!$A:$D,4,FALSE)</f>
        <v>0</v>
      </c>
      <c r="V1211" s="105">
        <f>+YEAR(PROVEEDORES[[#This Row],[FECHA DE FACTURACIÓN]])</f>
        <v>2022</v>
      </c>
      <c r="W1211" s="105">
        <f>+MATCH(PROVEEDORES[[#This Row],[año facturado]],Retenciones!$1:$1,0)</f>
        <v>5</v>
      </c>
      <c r="X1211" s="106">
        <f>+VLOOKUP(PROVEEDORES[[#This Row],[ID RETENCION]],Retenciones!$A$1:$O$25,PROVEEDORES[[#This Row],[indicador de columna]],FALSE)</f>
        <v>0</v>
      </c>
      <c r="Y1211" s="107">
        <f>+VLOOKUP(PROVEEDORES[[#This Row],[ID RETENCION]],Retenciones!$A$1:$O$25,2,FALSE)</f>
        <v>0</v>
      </c>
      <c r="Z1211" s="116" t="b">
        <f>OR(COUNTIF(PROVEEDORES[[#This Row],[PROVEEDOR]],"*"&amp;'Palabra no opera'!$A$2&amp;"*"))</f>
        <v>1</v>
      </c>
    </row>
    <row r="1212" spans="1:26" ht="22.35" customHeight="1" x14ac:dyDescent="0.3">
      <c r="A1212" s="67" t="str">
        <f>+IF(PROVEEDORES[[#This Row],[FECHA DE PAGO]]=PROVEEDORES[[#This Row],[FECHA DE FACTURACIÓN]],"DE CONTADO","CRÉDITO")</f>
        <v>CRÉDITO</v>
      </c>
      <c r="B1212" s="38" t="str">
        <f>+IF((PROVEEDORES[[#This Row],[FECHA DE PAGO]]-PROVEEDORES[[#This Row],[FECHA DE FACTURACIÓN]])&gt;PROVEEDORES[[#This Row],[PLAZO Días]],"PAGO VENCIDO")</f>
        <v>PAGO VENCIDO</v>
      </c>
      <c r="C1212" s="20">
        <f>+VLOOKUP(PROVEEDORES[[#This Row],[PROVEEDOR]],TERCEROS_INFO[#All],2,FALSE)</f>
        <v>30</v>
      </c>
      <c r="D1212" s="25">
        <f>+SUMIFS(PROVEEDORES[Total],PROVEEDORES[PROVEEDOR],PROVEEDORES[[#This Row],[PROVEEDOR]],PROVEEDORES[FECHA DE PAGO],"")</f>
        <v>0</v>
      </c>
      <c r="E1212" s="25"/>
      <c r="F1212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12" s="68">
        <v>44977</v>
      </c>
      <c r="H1212" s="26" t="s">
        <v>394</v>
      </c>
      <c r="I1212" s="68">
        <v>44932</v>
      </c>
      <c r="J1212" s="35" t="s">
        <v>1409</v>
      </c>
      <c r="K1212" s="21">
        <v>2300000</v>
      </c>
      <c r="L1212" s="21"/>
      <c r="M1212" s="22">
        <f>(PROVEEDORES[[#This Row],[SUBTOTAL]]-PROVEEDORES[[#This Row],[descuento sobre subtotal]])*VLOOKUP(PROVEEDORES[[#This Row],[PROVEEDOR]],TERCEROS_INFO[#All],3,FALSE)</f>
        <v>0</v>
      </c>
      <c r="N1212" s="23"/>
      <c r="O1212" s="22">
        <f>+PROVEEDORES[[#This Row],[Descuento sobre subtotal %]]*(PROVEEDORES[[#This Row],[SUBTOTAL]]-PROVEEDORES[[#This Row],[descuento sobre subtotal]])</f>
        <v>0</v>
      </c>
      <c r="P1212" s="74">
        <f>+IF(PROVEEDORES[[#This Row],[SUBTOTAL]]&lt;PROVEEDORES[[#This Row],[base retencion]],0,PROVEEDORES[[#This Row],[retención aplicada]])</f>
        <v>0</v>
      </c>
      <c r="Q1212" s="22">
        <f>+PROVEEDORES[[#This Row],[Rete Fuente %]]*(PROVEEDORES[[#This Row],[SUBTOTAL]]-PROVEEDORES[[#This Row],[descuento sobre subtotal]])</f>
        <v>0</v>
      </c>
      <c r="R1212" s="21">
        <f>+PROVEEDORES[[#This Row],[SUBTOTAL]]+PROVEEDORES[[#This Row],[IVA 19%]]-PROVEEDORES[[#This Row],[descuento sobre subtotal]]-PROVEEDORES[[#This Row],[Descuento sobre subtotal $2]]-PROVEEDORES[[#This Row],[Rete Fuente $]]</f>
        <v>2300000</v>
      </c>
      <c r="S12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63">
        <f ca="1">IF(PROVEEDORES[[#This Row],[FECHA DE PAGO]]=0,TODAY()-PROVEEDORES[[#This Row],[FECHA DE FACTURACIÓN]]-PROVEEDORES[[#This Row],[PLAZO Días]],0)</f>
        <v>0</v>
      </c>
      <c r="U1212" s="104">
        <f>+VLOOKUP(PROVEEDORES[[#This Row],[PROVEEDOR]],Terceros!$A:$D,4,FALSE)</f>
        <v>0</v>
      </c>
      <c r="V1212" s="105">
        <f>+YEAR(PROVEEDORES[[#This Row],[FECHA DE FACTURACIÓN]])</f>
        <v>2023</v>
      </c>
      <c r="W1212" s="105">
        <f>+MATCH(PROVEEDORES[[#This Row],[año facturado]],Retenciones!$1:$1,0)</f>
        <v>6</v>
      </c>
      <c r="X1212" s="106">
        <f>+VLOOKUP(PROVEEDORES[[#This Row],[ID RETENCION]],Retenciones!$A$1:$O$25,PROVEEDORES[[#This Row],[indicador de columna]],FALSE)</f>
        <v>0</v>
      </c>
      <c r="Y1212" s="107">
        <f>+VLOOKUP(PROVEEDORES[[#This Row],[ID RETENCION]],Retenciones!$A$1:$O$25,2,FALSE)</f>
        <v>0</v>
      </c>
      <c r="Z1212" s="116" t="b">
        <f>OR(COUNTIF(PROVEEDORES[[#This Row],[PROVEEDOR]],"*"&amp;'Palabra no opera'!$A$2&amp;"*"))</f>
        <v>0</v>
      </c>
    </row>
    <row r="1213" spans="1:26" ht="22.35" customHeight="1" x14ac:dyDescent="0.3">
      <c r="A1213" s="252" t="str">
        <f>+IF(PROVEEDORES[[#This Row],[FECHA DE PAGO]]=PROVEEDORES[[#This Row],[FECHA DE FACTURACIÓN]],"DE CONTADO","CRÉDITO")</f>
        <v>CRÉDITO</v>
      </c>
      <c r="B1213" s="38" t="str">
        <f>+IF((PROVEEDORES[[#This Row],[FECHA DE PAGO]]-PROVEEDORES[[#This Row],[FECHA DE FACTURACIÓN]])&gt;PROVEEDORES[[#This Row],[PLAZO Días]],"PAGO VENCIDO")</f>
        <v>PAGO VENCIDO</v>
      </c>
      <c r="C1213" s="20">
        <f>+VLOOKUP(PROVEEDORES[[#This Row],[PROVEEDOR]],TERCEROS_INFO[#All],2,FALSE)</f>
        <v>30</v>
      </c>
      <c r="D1213" s="25">
        <f>+SUMIFS(PROVEEDORES[Total],PROVEEDORES[PROVEEDOR],PROVEEDORES[[#This Row],[PROVEEDOR]],PROVEEDORES[FECHA DE PAGO],"")</f>
        <v>0</v>
      </c>
      <c r="E1213" s="25"/>
      <c r="F1213" s="56" t="str">
        <f>+VLOOKUP(PROVEEDORES[[#This Row],[PROVEEDOR]],
                       Terceros!$A:$F,
                       5,
                       FALSE)</f>
        <v/>
      </c>
      <c r="G1213" s="68">
        <v>44977</v>
      </c>
      <c r="H1213" s="26" t="s">
        <v>409</v>
      </c>
      <c r="I1213" s="68">
        <v>44891</v>
      </c>
      <c r="J1213" s="35">
        <v>24</v>
      </c>
      <c r="K1213" s="21">
        <v>364000</v>
      </c>
      <c r="L1213" s="21"/>
      <c r="M1213" s="22">
        <f>(PROVEEDORES[[#This Row],[SUBTOTAL]]-PROVEEDORES[[#This Row],[descuento sobre subtotal]])*VLOOKUP(PROVEEDORES[[#This Row],[PROVEEDOR]],TERCEROS_INFO[#All],3,FALSE)</f>
        <v>0</v>
      </c>
      <c r="N1213" s="23"/>
      <c r="O1213" s="22">
        <f>+PROVEEDORES[[#This Row],[Descuento sobre subtotal %]]*(PROVEEDORES[[#This Row],[SUBTOTAL]]-PROVEEDORES[[#This Row],[descuento sobre subtotal]])</f>
        <v>0</v>
      </c>
      <c r="P1213" s="74">
        <f>+IF(PROVEEDORES[[#This Row],[SUBTOTAL]]&lt;PROVEEDORES[[#This Row],[base retencion]],0,PROVEEDORES[[#This Row],[retención aplicada]])</f>
        <v>0</v>
      </c>
      <c r="Q1213" s="22">
        <f>+PROVEEDORES[[#This Row],[Rete Fuente %]]*(PROVEEDORES[[#This Row],[SUBTOTAL]]-PROVEEDORES[[#This Row],[descuento sobre subtotal]])</f>
        <v>0</v>
      </c>
      <c r="R1213" s="21">
        <f>+PROVEEDORES[[#This Row],[SUBTOTAL]]+PROVEEDORES[[#This Row],[IVA 19%]]-PROVEEDORES[[#This Row],[descuento sobre subtotal]]-PROVEEDORES[[#This Row],[Descuento sobre subtotal $2]]-PROVEEDORES[[#This Row],[Rete Fuente $]]</f>
        <v>364000</v>
      </c>
      <c r="S1213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63">
        <f ca="1">IF(PROVEEDORES[[#This Row],[FECHA DE PAGO]]=0,TODAY()-PROVEEDORES[[#This Row],[FECHA DE FACTURACIÓN]]-PROVEEDORES[[#This Row],[PLAZO Días]],0)</f>
        <v>0</v>
      </c>
      <c r="U1213" s="104">
        <f>+VLOOKUP(PROVEEDORES[[#This Row],[PROVEEDOR]],Terceros!$A:$D,4,FALSE)</f>
        <v>0</v>
      </c>
      <c r="V1213" s="105">
        <f>+YEAR(PROVEEDORES[[#This Row],[FECHA DE FACTURACIÓN]])</f>
        <v>2022</v>
      </c>
      <c r="W1213" s="105">
        <f>+MATCH(PROVEEDORES[[#This Row],[año facturado]],Retenciones!$1:$1,0)</f>
        <v>5</v>
      </c>
      <c r="X1213" s="106">
        <f>+VLOOKUP(PROVEEDORES[[#This Row],[ID RETENCION]],Retenciones!$A$1:$O$25,PROVEEDORES[[#This Row],[indicador de columna]],FALSE)</f>
        <v>0</v>
      </c>
      <c r="Y1213" s="107">
        <f>+VLOOKUP(PROVEEDORES[[#This Row],[ID RETENCION]],Retenciones!$A$1:$O$25,2,FALSE)</f>
        <v>0</v>
      </c>
      <c r="Z1213" s="116" t="b">
        <f>OR(COUNTIF(PROVEEDORES[[#This Row],[PROVEEDOR]],"*"&amp;'Palabra no opera'!$A$2&amp;"*"))</f>
        <v>0</v>
      </c>
    </row>
    <row r="1214" spans="1:26" ht="22.35" customHeight="1" x14ac:dyDescent="0.3">
      <c r="A1214" s="67" t="str">
        <f>+IF(PROVEEDORES[[#This Row],[FECHA DE PAGO]]=PROVEEDORES[[#This Row],[FECHA DE FACTURACIÓN]],"DE CONTADO","CRÉDITO")</f>
        <v>CRÉDITO</v>
      </c>
      <c r="B1214" s="38" t="str">
        <f>+IF((PROVEEDORES[[#This Row],[FECHA DE PAGO]]-PROVEEDORES[[#This Row],[FECHA DE FACTURACIÓN]])&gt;PROVEEDORES[[#This Row],[PLAZO Días]],"PAGO VENCIDO")</f>
        <v>PAGO VENCIDO</v>
      </c>
      <c r="C1214" s="20">
        <f>+VLOOKUP(PROVEEDORES[[#This Row],[PROVEEDOR]],TERCEROS_INFO[#All],2,FALSE)</f>
        <v>30</v>
      </c>
      <c r="D1214" s="25">
        <f>+SUMIFS(PROVEEDORES[Total],PROVEEDORES[PROVEEDOR],PROVEEDORES[[#This Row],[PROVEEDOR]],PROVEEDORES[FECHA DE PAGO],"")</f>
        <v>0</v>
      </c>
      <c r="E1214" s="25"/>
      <c r="F1214" s="56" t="str">
        <f>+VLOOKUP(PROVEEDORES[[#This Row],[PROVEEDOR]],
                       Terceros!$A:$F,
                       5,
                       FALSE)</f>
        <v/>
      </c>
      <c r="G1214" s="68">
        <v>44977</v>
      </c>
      <c r="H1214" s="26" t="s">
        <v>1403</v>
      </c>
      <c r="I1214" s="68">
        <v>44902</v>
      </c>
      <c r="J1214" s="35">
        <v>26</v>
      </c>
      <c r="K1214" s="21">
        <v>75000</v>
      </c>
      <c r="L1214" s="21"/>
      <c r="M1214" s="22">
        <f>(PROVEEDORES[[#This Row],[SUBTOTAL]]-PROVEEDORES[[#This Row],[descuento sobre subtotal]])*VLOOKUP(PROVEEDORES[[#This Row],[PROVEEDOR]],TERCEROS_INFO[#All],3,FALSE)</f>
        <v>0</v>
      </c>
      <c r="N1214" s="23"/>
      <c r="O1214" s="22">
        <f>+PROVEEDORES[[#This Row],[Descuento sobre subtotal %]]*(PROVEEDORES[[#This Row],[SUBTOTAL]]-PROVEEDORES[[#This Row],[descuento sobre subtotal]])</f>
        <v>0</v>
      </c>
      <c r="P1214" s="74">
        <f>+IF(PROVEEDORES[[#This Row],[SUBTOTAL]]&lt;PROVEEDORES[[#This Row],[base retencion]],0,PROVEEDORES[[#This Row],[retención aplicada]])</f>
        <v>0</v>
      </c>
      <c r="Q1214" s="22">
        <f>+PROVEEDORES[[#This Row],[Rete Fuente %]]*(PROVEEDORES[[#This Row],[SUBTOTAL]]-PROVEEDORES[[#This Row],[descuento sobre subtotal]])</f>
        <v>0</v>
      </c>
      <c r="R1214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12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63">
        <f ca="1">IF(PROVEEDORES[[#This Row],[FECHA DE PAGO]]=0,TODAY()-PROVEEDORES[[#This Row],[FECHA DE FACTURACIÓN]]-PROVEEDORES[[#This Row],[PLAZO Días]],0)</f>
        <v>0</v>
      </c>
      <c r="U1214" s="104">
        <f>+VLOOKUP(PROVEEDORES[[#This Row],[PROVEEDOR]],Terceros!$A:$D,4,FALSE)</f>
        <v>0</v>
      </c>
      <c r="V1214" s="105">
        <f>+YEAR(PROVEEDORES[[#This Row],[FECHA DE FACTURACIÓN]])</f>
        <v>2022</v>
      </c>
      <c r="W1214" s="105">
        <f>+MATCH(PROVEEDORES[[#This Row],[año facturado]],Retenciones!$1:$1,0)</f>
        <v>5</v>
      </c>
      <c r="X1214" s="106">
        <f>+VLOOKUP(PROVEEDORES[[#This Row],[ID RETENCION]],Retenciones!$A$1:$O$25,PROVEEDORES[[#This Row],[indicador de columna]],FALSE)</f>
        <v>0</v>
      </c>
      <c r="Y1214" s="107">
        <f>+VLOOKUP(PROVEEDORES[[#This Row],[ID RETENCION]],Retenciones!$A$1:$O$25,2,FALSE)</f>
        <v>0</v>
      </c>
      <c r="Z1214" s="116" t="b">
        <f>OR(COUNTIF(PROVEEDORES[[#This Row],[PROVEEDOR]],"*"&amp;'Palabra no opera'!$A$2&amp;"*"))</f>
        <v>0</v>
      </c>
    </row>
    <row r="1215" spans="1:26" ht="22.35" customHeight="1" x14ac:dyDescent="0.3">
      <c r="A1215" s="67" t="str">
        <f>+IF(PROVEEDORES[[#This Row],[FECHA DE PAGO]]=PROVEEDORES[[#This Row],[FECHA DE FACTURACIÓN]],"DE CONTADO","CRÉDITO")</f>
        <v>CRÉDITO</v>
      </c>
      <c r="B1215" s="38" t="str">
        <f>+IF((PROVEEDORES[[#This Row],[FECHA DE PAGO]]-PROVEEDORES[[#This Row],[FECHA DE FACTURACIÓN]])&gt;PROVEEDORES[[#This Row],[PLAZO Días]],"PAGO VENCIDO")</f>
        <v>PAGO VENCIDO</v>
      </c>
      <c r="C1215" s="20">
        <f>+VLOOKUP(PROVEEDORES[[#This Row],[PROVEEDOR]],TERCEROS_INFO[#All],2,FALSE)</f>
        <v>30</v>
      </c>
      <c r="D1215" s="25">
        <f>+SUMIFS(PROVEEDORES[Total],PROVEEDORES[PROVEEDOR],PROVEEDORES[[#This Row],[PROVEEDOR]],PROVEEDORES[FECHA DE PAGO],"")</f>
        <v>0</v>
      </c>
      <c r="E1215" s="25"/>
      <c r="F1215" s="56" t="str">
        <f>+VLOOKUP(PROVEEDORES[[#This Row],[PROVEEDOR]],
                       Terceros!$A:$F,
                       5,
                       FALSE)</f>
        <v/>
      </c>
      <c r="G1215" s="68">
        <v>44977</v>
      </c>
      <c r="H1215" s="26" t="s">
        <v>1403</v>
      </c>
      <c r="I1215" s="68">
        <v>44916</v>
      </c>
      <c r="J1215" s="35">
        <v>27</v>
      </c>
      <c r="K1215" s="21">
        <v>143500</v>
      </c>
      <c r="L1215" s="21"/>
      <c r="M1215" s="22">
        <f>(PROVEEDORES[[#This Row],[SUBTOTAL]]-PROVEEDORES[[#This Row],[descuento sobre subtotal]])*VLOOKUP(PROVEEDORES[[#This Row],[PROVEEDOR]],TERCEROS_INFO[#All],3,FALSE)</f>
        <v>0</v>
      </c>
      <c r="N1215" s="23"/>
      <c r="O1215" s="22">
        <f>+PROVEEDORES[[#This Row],[Descuento sobre subtotal %]]*(PROVEEDORES[[#This Row],[SUBTOTAL]]-PROVEEDORES[[#This Row],[descuento sobre subtotal]])</f>
        <v>0</v>
      </c>
      <c r="P1215" s="74">
        <f>+IF(PROVEEDORES[[#This Row],[SUBTOTAL]]&lt;PROVEEDORES[[#This Row],[base retencion]],0,PROVEEDORES[[#This Row],[retención aplicada]])</f>
        <v>0</v>
      </c>
      <c r="Q1215" s="22">
        <f>+PROVEEDORES[[#This Row],[Rete Fuente %]]*(PROVEEDORES[[#This Row],[SUBTOTAL]]-PROVEEDORES[[#This Row],[descuento sobre subtotal]])</f>
        <v>0</v>
      </c>
      <c r="R1215" s="21">
        <f>+PROVEEDORES[[#This Row],[SUBTOTAL]]+PROVEEDORES[[#This Row],[IVA 19%]]-PROVEEDORES[[#This Row],[descuento sobre subtotal]]-PROVEEDORES[[#This Row],[Descuento sobre subtotal $2]]-PROVEEDORES[[#This Row],[Rete Fuente $]]</f>
        <v>143500</v>
      </c>
      <c r="S12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63">
        <f ca="1">IF(PROVEEDORES[[#This Row],[FECHA DE PAGO]]=0,TODAY()-PROVEEDORES[[#This Row],[FECHA DE FACTURACIÓN]]-PROVEEDORES[[#This Row],[PLAZO Días]],0)</f>
        <v>0</v>
      </c>
      <c r="U1215" s="104">
        <f>+VLOOKUP(PROVEEDORES[[#This Row],[PROVEEDOR]],Terceros!$A:$D,4,FALSE)</f>
        <v>0</v>
      </c>
      <c r="V1215" s="105">
        <f>+YEAR(PROVEEDORES[[#This Row],[FECHA DE FACTURACIÓN]])</f>
        <v>2022</v>
      </c>
      <c r="W1215" s="105">
        <f>+MATCH(PROVEEDORES[[#This Row],[año facturado]],Retenciones!$1:$1,0)</f>
        <v>5</v>
      </c>
      <c r="X1215" s="106">
        <f>+VLOOKUP(PROVEEDORES[[#This Row],[ID RETENCION]],Retenciones!$A$1:$O$25,PROVEEDORES[[#This Row],[indicador de columna]],FALSE)</f>
        <v>0</v>
      </c>
      <c r="Y1215" s="107">
        <f>+VLOOKUP(PROVEEDORES[[#This Row],[ID RETENCION]],Retenciones!$A$1:$O$25,2,FALSE)</f>
        <v>0</v>
      </c>
      <c r="Z1215" s="116" t="b">
        <f>OR(COUNTIF(PROVEEDORES[[#This Row],[PROVEEDOR]],"*"&amp;'Palabra no opera'!$A$2&amp;"*"))</f>
        <v>0</v>
      </c>
    </row>
    <row r="1216" spans="1:26" ht="22.35" customHeight="1" x14ac:dyDescent="0.3">
      <c r="A1216" s="67" t="str">
        <f>+IF(PROVEEDORES[[#This Row],[FECHA DE PAGO]]=PROVEEDORES[[#This Row],[FECHA DE FACTURACIÓN]],"DE CONTADO","CRÉDITO")</f>
        <v>CRÉDITO</v>
      </c>
      <c r="B1216" s="38" t="b">
        <f>+IF((PROVEEDORES[[#This Row],[FECHA DE PAGO]]-PROVEEDORES[[#This Row],[FECHA DE FACTURACIÓN]])&gt;PROVEEDORES[[#This Row],[PLAZO Días]],"PAGO VENCIDO")</f>
        <v>0</v>
      </c>
      <c r="C1216" s="20">
        <f>+VLOOKUP(PROVEEDORES[[#This Row],[PROVEEDOR]],TERCEROS_INFO[#All],2,FALSE)</f>
        <v>30</v>
      </c>
      <c r="D1216" s="25">
        <f>+SUMIFS(PROVEEDORES[Total],PROVEEDORES[PROVEEDOR],PROVEEDORES[[#This Row],[PROVEEDOR]],PROVEEDORES[FECHA DE PAGO],"")</f>
        <v>0</v>
      </c>
      <c r="E1216" s="25"/>
      <c r="F1216" s="56" t="str">
        <f>+VLOOKUP(PROVEEDORES[[#This Row],[PROVEEDOR]],
                       Terceros!$A:$F,
                       5,
                       FALSE)</f>
        <v/>
      </c>
      <c r="G1216" s="68">
        <v>44977</v>
      </c>
      <c r="H1216" s="26" t="s">
        <v>1403</v>
      </c>
      <c r="I1216" s="68">
        <v>44958</v>
      </c>
      <c r="J1216" s="35">
        <v>31</v>
      </c>
      <c r="K1216" s="21">
        <v>251000</v>
      </c>
      <c r="L1216" s="21"/>
      <c r="M1216" s="22">
        <f>(PROVEEDORES[[#This Row],[SUBTOTAL]]-PROVEEDORES[[#This Row],[descuento sobre subtotal]])*VLOOKUP(PROVEEDORES[[#This Row],[PROVEEDOR]],TERCEROS_INFO[#All],3,FALSE)</f>
        <v>0</v>
      </c>
      <c r="N1216" s="23"/>
      <c r="O1216" s="22">
        <f>+PROVEEDORES[[#This Row],[Descuento sobre subtotal %]]*(PROVEEDORES[[#This Row],[SUBTOTAL]]-PROVEEDORES[[#This Row],[descuento sobre subtotal]])</f>
        <v>0</v>
      </c>
      <c r="P1216" s="74">
        <f>+IF(PROVEEDORES[[#This Row],[SUBTOTAL]]&lt;PROVEEDORES[[#This Row],[base retencion]],0,PROVEEDORES[[#This Row],[retención aplicada]])</f>
        <v>0</v>
      </c>
      <c r="Q1216" s="22">
        <f>+PROVEEDORES[[#This Row],[Rete Fuente %]]*(PROVEEDORES[[#This Row],[SUBTOTAL]]-PROVEEDORES[[#This Row],[descuento sobre subtotal]])</f>
        <v>0</v>
      </c>
      <c r="R1216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12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63">
        <f ca="1">IF(PROVEEDORES[[#This Row],[FECHA DE PAGO]]=0,TODAY()-PROVEEDORES[[#This Row],[FECHA DE FACTURACIÓN]]-PROVEEDORES[[#This Row],[PLAZO Días]],0)</f>
        <v>0</v>
      </c>
      <c r="U1216" s="104">
        <f>+VLOOKUP(PROVEEDORES[[#This Row],[PROVEEDOR]],Terceros!$A:$D,4,FALSE)</f>
        <v>0</v>
      </c>
      <c r="V1216" s="105">
        <f>+YEAR(PROVEEDORES[[#This Row],[FECHA DE FACTURACIÓN]])</f>
        <v>2023</v>
      </c>
      <c r="W1216" s="105">
        <f>+MATCH(PROVEEDORES[[#This Row],[año facturado]],Retenciones!$1:$1,0)</f>
        <v>6</v>
      </c>
      <c r="X1216" s="106">
        <f>+VLOOKUP(PROVEEDORES[[#This Row],[ID RETENCION]],Retenciones!$A$1:$O$25,PROVEEDORES[[#This Row],[indicador de columna]],FALSE)</f>
        <v>0</v>
      </c>
      <c r="Y1216" s="107">
        <f>+VLOOKUP(PROVEEDORES[[#This Row],[ID RETENCION]],Retenciones!$A$1:$O$25,2,FALSE)</f>
        <v>0</v>
      </c>
      <c r="Z1216" s="116" t="b">
        <f>OR(COUNTIF(PROVEEDORES[[#This Row],[PROVEEDOR]],"*"&amp;'Palabra no opera'!$A$2&amp;"*"))</f>
        <v>0</v>
      </c>
    </row>
    <row r="1217" spans="1:26" ht="22.35" customHeight="1" x14ac:dyDescent="0.3">
      <c r="A1217" s="67" t="str">
        <f>+IF(PROVEEDORES[[#This Row],[FECHA DE PAGO]]=PROVEEDORES[[#This Row],[FECHA DE FACTURACIÓN]],"DE CONTADO","CRÉDITO")</f>
        <v>CRÉDITO</v>
      </c>
      <c r="B1217" s="38" t="b">
        <f>+IF((PROVEEDORES[[#This Row],[FECHA DE PAGO]]-PROVEEDORES[[#This Row],[FECHA DE FACTURACIÓN]])&gt;PROVEEDORES[[#This Row],[PLAZO Días]],"PAGO VENCIDO")</f>
        <v>0</v>
      </c>
      <c r="C1217" s="20">
        <f>+VLOOKUP(PROVEEDORES[[#This Row],[PROVEEDOR]],TERCEROS_INFO[#All],2,FALSE)</f>
        <v>30</v>
      </c>
      <c r="D1217" s="25">
        <f>+SUMIFS(PROVEEDORES[Total],PROVEEDORES[PROVEEDOR],PROVEEDORES[[#This Row],[PROVEEDOR]],PROVEEDORES[FECHA DE PAGO],"")</f>
        <v>0</v>
      </c>
      <c r="E1217" s="25"/>
      <c r="F1217" s="56" t="str">
        <f>+VLOOKUP(PROVEEDORES[[#This Row],[PROVEEDOR]],
                       Terceros!$A:$F,
                       5,
                       FALSE)</f>
        <v/>
      </c>
      <c r="G1217" s="68">
        <v>44977</v>
      </c>
      <c r="H1217" s="26" t="s">
        <v>1403</v>
      </c>
      <c r="I1217" s="68">
        <v>44958</v>
      </c>
      <c r="J1217" s="35">
        <v>32</v>
      </c>
      <c r="K1217" s="21">
        <v>70000</v>
      </c>
      <c r="L1217" s="21"/>
      <c r="M1217" s="22">
        <f>(PROVEEDORES[[#This Row],[SUBTOTAL]]-PROVEEDORES[[#This Row],[descuento sobre subtotal]])*VLOOKUP(PROVEEDORES[[#This Row],[PROVEEDOR]],TERCEROS_INFO[#All],3,FALSE)</f>
        <v>0</v>
      </c>
      <c r="N1217" s="23"/>
      <c r="O1217" s="22">
        <f>+PROVEEDORES[[#This Row],[Descuento sobre subtotal %]]*(PROVEEDORES[[#This Row],[SUBTOTAL]]-PROVEEDORES[[#This Row],[descuento sobre subtotal]])</f>
        <v>0</v>
      </c>
      <c r="P1217" s="74">
        <f>+IF(PROVEEDORES[[#This Row],[SUBTOTAL]]&lt;PROVEEDORES[[#This Row],[base retencion]],0,PROVEEDORES[[#This Row],[retención aplicada]])</f>
        <v>0</v>
      </c>
      <c r="Q1217" s="22">
        <f>+PROVEEDORES[[#This Row],[Rete Fuente %]]*(PROVEEDORES[[#This Row],[SUBTOTAL]]-PROVEEDORES[[#This Row],[descuento sobre subtotal]])</f>
        <v>0</v>
      </c>
      <c r="R1217" s="21">
        <f>+PROVEEDORES[[#This Row],[SUBTOTAL]]+PROVEEDORES[[#This Row],[IVA 19%]]-PROVEEDORES[[#This Row],[descuento sobre subtotal]]-PROVEEDORES[[#This Row],[Descuento sobre subtotal $2]]-PROVEEDORES[[#This Row],[Rete Fuente $]]</f>
        <v>70000</v>
      </c>
      <c r="S121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63">
        <f ca="1">IF(PROVEEDORES[[#This Row],[FECHA DE PAGO]]=0,TODAY()-PROVEEDORES[[#This Row],[FECHA DE FACTURACIÓN]]-PROVEEDORES[[#This Row],[PLAZO Días]],0)</f>
        <v>0</v>
      </c>
      <c r="U1217" s="104">
        <f>+VLOOKUP(PROVEEDORES[[#This Row],[PROVEEDOR]],Terceros!$A:$D,4,FALSE)</f>
        <v>0</v>
      </c>
      <c r="V1217" s="105">
        <f>+YEAR(PROVEEDORES[[#This Row],[FECHA DE FACTURACIÓN]])</f>
        <v>2023</v>
      </c>
      <c r="W1217" s="105">
        <f>+MATCH(PROVEEDORES[[#This Row],[año facturado]],Retenciones!$1:$1,0)</f>
        <v>6</v>
      </c>
      <c r="X1217" s="106">
        <f>+VLOOKUP(PROVEEDORES[[#This Row],[ID RETENCION]],Retenciones!$A$1:$O$25,PROVEEDORES[[#This Row],[indicador de columna]],FALSE)</f>
        <v>0</v>
      </c>
      <c r="Y1217" s="107">
        <f>+VLOOKUP(PROVEEDORES[[#This Row],[ID RETENCION]],Retenciones!$A$1:$O$25,2,FALSE)</f>
        <v>0</v>
      </c>
      <c r="Z1217" s="116" t="b">
        <f>OR(COUNTIF(PROVEEDORES[[#This Row],[PROVEEDOR]],"*"&amp;'Palabra no opera'!$A$2&amp;"*"))</f>
        <v>0</v>
      </c>
    </row>
    <row r="1218" spans="1:26" ht="22.35" customHeight="1" x14ac:dyDescent="0.3">
      <c r="A1218" s="67" t="str">
        <f>+IF(PROVEEDORES[[#This Row],[FECHA DE PAGO]]=PROVEEDORES[[#This Row],[FECHA DE FACTURACIÓN]],"DE CONTADO","CRÉDITO")</f>
        <v>CRÉDITO</v>
      </c>
      <c r="B1218" s="38" t="b">
        <f>+IF((PROVEEDORES[[#This Row],[FECHA DE PAGO]]-PROVEEDORES[[#This Row],[FECHA DE FACTURACIÓN]])&gt;PROVEEDORES[[#This Row],[PLAZO Días]],"PAGO VENCIDO")</f>
        <v>0</v>
      </c>
      <c r="C1218" s="20">
        <f>+VLOOKUP(PROVEEDORES[[#This Row],[PROVEEDOR]],TERCEROS_INFO[#All],2,FALSE)</f>
        <v>30</v>
      </c>
      <c r="D1218" s="25">
        <f>+SUMIFS(PROVEEDORES[Total],PROVEEDORES[PROVEEDOR],PROVEEDORES[[#This Row],[PROVEEDOR]],PROVEEDORES[FECHA DE PAGO],"")</f>
        <v>0</v>
      </c>
      <c r="E1218" s="25"/>
      <c r="F1218" s="56" t="str">
        <f>+VLOOKUP(PROVEEDORES[[#This Row],[PROVEEDOR]],
                       Terceros!$A:$F,
                       5,
                       FALSE)</f>
        <v/>
      </c>
      <c r="G1218" s="68">
        <v>44977</v>
      </c>
      <c r="H1218" s="26" t="s">
        <v>1403</v>
      </c>
      <c r="I1218" s="68">
        <v>44958</v>
      </c>
      <c r="J1218" s="35">
        <v>33</v>
      </c>
      <c r="K1218" s="21">
        <v>339400</v>
      </c>
      <c r="L1218" s="21"/>
      <c r="M1218" s="22">
        <f>(PROVEEDORES[[#This Row],[SUBTOTAL]]-PROVEEDORES[[#This Row],[descuento sobre subtotal]])*VLOOKUP(PROVEEDORES[[#This Row],[PROVEEDOR]],TERCEROS_INFO[#All],3,FALSE)</f>
        <v>0</v>
      </c>
      <c r="N1218" s="23"/>
      <c r="O1218" s="22">
        <f>+PROVEEDORES[[#This Row],[Descuento sobre subtotal %]]*(PROVEEDORES[[#This Row],[SUBTOTAL]]-PROVEEDORES[[#This Row],[descuento sobre subtotal]])</f>
        <v>0</v>
      </c>
      <c r="P1218" s="74">
        <f>+IF(PROVEEDORES[[#This Row],[SUBTOTAL]]&lt;PROVEEDORES[[#This Row],[base retencion]],0,PROVEEDORES[[#This Row],[retención aplicada]])</f>
        <v>0</v>
      </c>
      <c r="Q1218" s="22">
        <f>+PROVEEDORES[[#This Row],[Rete Fuente %]]*(PROVEEDORES[[#This Row],[SUBTOTAL]]-PROVEEDORES[[#This Row],[descuento sobre subtotal]])</f>
        <v>0</v>
      </c>
      <c r="R1218" s="21">
        <f>+PROVEEDORES[[#This Row],[SUBTOTAL]]+PROVEEDORES[[#This Row],[IVA 19%]]-PROVEEDORES[[#This Row],[descuento sobre subtotal]]-PROVEEDORES[[#This Row],[Descuento sobre subtotal $2]]-PROVEEDORES[[#This Row],[Rete Fuente $]]</f>
        <v>339400</v>
      </c>
      <c r="S12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63">
        <f ca="1">IF(PROVEEDORES[[#This Row],[FECHA DE PAGO]]=0,TODAY()-PROVEEDORES[[#This Row],[FECHA DE FACTURACIÓN]]-PROVEEDORES[[#This Row],[PLAZO Días]],0)</f>
        <v>0</v>
      </c>
      <c r="U1218" s="104">
        <f>+VLOOKUP(PROVEEDORES[[#This Row],[PROVEEDOR]],Terceros!$A:$D,4,FALSE)</f>
        <v>0</v>
      </c>
      <c r="V1218" s="105">
        <f>+YEAR(PROVEEDORES[[#This Row],[FECHA DE FACTURACIÓN]])</f>
        <v>2023</v>
      </c>
      <c r="W1218" s="105">
        <f>+MATCH(PROVEEDORES[[#This Row],[año facturado]],Retenciones!$1:$1,0)</f>
        <v>6</v>
      </c>
      <c r="X1218" s="106">
        <f>+VLOOKUP(PROVEEDORES[[#This Row],[ID RETENCION]],Retenciones!$A$1:$O$25,PROVEEDORES[[#This Row],[indicador de columna]],FALSE)</f>
        <v>0</v>
      </c>
      <c r="Y1218" s="107">
        <f>+VLOOKUP(PROVEEDORES[[#This Row],[ID RETENCION]],Retenciones!$A$1:$O$25,2,FALSE)</f>
        <v>0</v>
      </c>
      <c r="Z1218" s="116" t="b">
        <f>OR(COUNTIF(PROVEEDORES[[#This Row],[PROVEEDOR]],"*"&amp;'Palabra no opera'!$A$2&amp;"*"))</f>
        <v>0</v>
      </c>
    </row>
    <row r="1219" spans="1:26" ht="22.35" customHeight="1" x14ac:dyDescent="0.3">
      <c r="A1219" s="267" t="str">
        <f>+IF(PROVEEDORES[[#This Row],[FECHA DE PAGO]]=PROVEEDORES[[#This Row],[FECHA DE FACTURACIÓN]],"DE CONTADO","CRÉDITO")</f>
        <v>CRÉDITO</v>
      </c>
      <c r="B1219" s="38" t="b">
        <f>+IF((PROVEEDORES[[#This Row],[FECHA DE PAGO]]-PROVEEDORES[[#This Row],[FECHA DE FACTURACIÓN]])&gt;PROVEEDORES[[#This Row],[PLAZO Días]],"PAGO VENCIDO")</f>
        <v>0</v>
      </c>
      <c r="C1219" s="20">
        <f>+VLOOKUP(PROVEEDORES[[#This Row],[PROVEEDOR]],TERCEROS_INFO[#All],2,FALSE)</f>
        <v>30</v>
      </c>
      <c r="D1219" s="25">
        <f>+SUMIFS(PROVEEDORES[Total],PROVEEDORES[PROVEEDOR],PROVEEDORES[[#This Row],[PROVEEDOR]],PROVEEDORES[FECHA DE PAGO],"")</f>
        <v>0</v>
      </c>
      <c r="E1219" s="25"/>
      <c r="F1219" s="56" t="str">
        <f>+VLOOKUP(PROVEEDORES[[#This Row],[PROVEEDOR]],
                       Terceros!$A:$F,
                       5,
                       FALSE)</f>
        <v/>
      </c>
      <c r="G1219" s="68">
        <v>44977</v>
      </c>
      <c r="H1219" s="26" t="s">
        <v>409</v>
      </c>
      <c r="I1219" s="68">
        <v>44959</v>
      </c>
      <c r="J1219" s="35">
        <v>25</v>
      </c>
      <c r="K1219" s="21">
        <v>87000</v>
      </c>
      <c r="L1219" s="21"/>
      <c r="M1219" s="22">
        <f>(PROVEEDORES[[#This Row],[SUBTOTAL]]-PROVEEDORES[[#This Row],[descuento sobre subtotal]])*VLOOKUP(PROVEEDORES[[#This Row],[PROVEEDOR]],TERCEROS_INFO[#All],3,FALSE)</f>
        <v>0</v>
      </c>
      <c r="N1219" s="23"/>
      <c r="O1219" s="22">
        <f>+PROVEEDORES[[#This Row],[Descuento sobre subtotal %]]*(PROVEEDORES[[#This Row],[SUBTOTAL]]-PROVEEDORES[[#This Row],[descuento sobre subtotal]])</f>
        <v>0</v>
      </c>
      <c r="P1219" s="74">
        <f>+IF(PROVEEDORES[[#This Row],[SUBTOTAL]]&lt;PROVEEDORES[[#This Row],[base retencion]],0,PROVEEDORES[[#This Row],[retención aplicada]])</f>
        <v>0</v>
      </c>
      <c r="Q1219" s="22">
        <f>+PROVEEDORES[[#This Row],[Rete Fuente %]]*(PROVEEDORES[[#This Row],[SUBTOTAL]]-PROVEEDORES[[#This Row],[descuento sobre subtotal]])</f>
        <v>0</v>
      </c>
      <c r="R1219" s="21">
        <f>+PROVEEDORES[[#This Row],[SUBTOTAL]]+PROVEEDORES[[#This Row],[IVA 19%]]-PROVEEDORES[[#This Row],[descuento sobre subtotal]]-PROVEEDORES[[#This Row],[Descuento sobre subtotal $2]]-PROVEEDORES[[#This Row],[Rete Fuente $]]</f>
        <v>87000</v>
      </c>
      <c r="S1219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63">
        <f ca="1">IF(PROVEEDORES[[#This Row],[FECHA DE PAGO]]=0,TODAY()-PROVEEDORES[[#This Row],[FECHA DE FACTURACIÓN]]-PROVEEDORES[[#This Row],[PLAZO Días]],0)</f>
        <v>0</v>
      </c>
      <c r="U1219" s="104">
        <f>+VLOOKUP(PROVEEDORES[[#This Row],[PROVEEDOR]],Terceros!$A:$D,4,FALSE)</f>
        <v>0</v>
      </c>
      <c r="V1219" s="105">
        <f>+YEAR(PROVEEDORES[[#This Row],[FECHA DE FACTURACIÓN]])</f>
        <v>2023</v>
      </c>
      <c r="W1219" s="105">
        <f>+MATCH(PROVEEDORES[[#This Row],[año facturado]],Retenciones!$1:$1,0)</f>
        <v>6</v>
      </c>
      <c r="X1219" s="106">
        <f>+VLOOKUP(PROVEEDORES[[#This Row],[ID RETENCION]],Retenciones!$A$1:$O$25,PROVEEDORES[[#This Row],[indicador de columna]],FALSE)</f>
        <v>0</v>
      </c>
      <c r="Y1219" s="107">
        <f>+VLOOKUP(PROVEEDORES[[#This Row],[ID RETENCION]],Retenciones!$A$1:$O$25,2,FALSE)</f>
        <v>0</v>
      </c>
      <c r="Z1219" s="116" t="b">
        <f>OR(COUNTIF(PROVEEDORES[[#This Row],[PROVEEDOR]],"*"&amp;'Palabra no opera'!$A$2&amp;"*"))</f>
        <v>0</v>
      </c>
    </row>
    <row r="1220" spans="1:26" ht="22.35" customHeight="1" x14ac:dyDescent="0.3">
      <c r="A1220" s="267" t="str">
        <f>+IF(PROVEEDORES[[#This Row],[FECHA DE PAGO]]=PROVEEDORES[[#This Row],[FECHA DE FACTURACIÓN]],"DE CONTADO","CRÉDITO")</f>
        <v>CRÉDITO</v>
      </c>
      <c r="B1220" s="38" t="b">
        <f>+IF((PROVEEDORES[[#This Row],[FECHA DE PAGO]]-PROVEEDORES[[#This Row],[FECHA DE FACTURACIÓN]])&gt;PROVEEDORES[[#This Row],[PLAZO Días]],"PAGO VENCIDO")</f>
        <v>0</v>
      </c>
      <c r="C1220" s="20">
        <f>+VLOOKUP(PROVEEDORES[[#This Row],[PROVEEDOR]],TERCEROS_INFO[#All],2,FALSE)</f>
        <v>30</v>
      </c>
      <c r="D1220" s="25">
        <f>+SUMIFS(PROVEEDORES[Total],PROVEEDORES[PROVEEDOR],PROVEEDORES[[#This Row],[PROVEEDOR]],PROVEEDORES[FECHA DE PAGO],"")</f>
        <v>0</v>
      </c>
      <c r="E1220" s="25"/>
      <c r="F1220" s="56" t="str">
        <f>+VLOOKUP(PROVEEDORES[[#This Row],[PROVEEDOR]],
                       Terceros!$A:$F,
                       5,
                       FALSE)</f>
        <v/>
      </c>
      <c r="G1220" s="68">
        <v>44977</v>
      </c>
      <c r="H1220" s="26" t="s">
        <v>409</v>
      </c>
      <c r="I1220" s="68">
        <v>44959</v>
      </c>
      <c r="J1220" s="35">
        <v>28</v>
      </c>
      <c r="K1220" s="21">
        <v>196500</v>
      </c>
      <c r="L1220" s="21"/>
      <c r="M1220" s="22">
        <f>(PROVEEDORES[[#This Row],[SUBTOTAL]]-PROVEEDORES[[#This Row],[descuento sobre subtotal]])*VLOOKUP(PROVEEDORES[[#This Row],[PROVEEDOR]],TERCEROS_INFO[#All],3,FALSE)</f>
        <v>0</v>
      </c>
      <c r="N1220" s="23"/>
      <c r="O1220" s="22">
        <f>+PROVEEDORES[[#This Row],[Descuento sobre subtotal %]]*(PROVEEDORES[[#This Row],[SUBTOTAL]]-PROVEEDORES[[#This Row],[descuento sobre subtotal]])</f>
        <v>0</v>
      </c>
      <c r="P1220" s="74">
        <f>+IF(PROVEEDORES[[#This Row],[SUBTOTAL]]&lt;PROVEEDORES[[#This Row],[base retencion]],0,PROVEEDORES[[#This Row],[retención aplicada]])</f>
        <v>0</v>
      </c>
      <c r="Q1220" s="22">
        <f>+PROVEEDORES[[#This Row],[Rete Fuente %]]*(PROVEEDORES[[#This Row],[SUBTOTAL]]-PROVEEDORES[[#This Row],[descuento sobre subtotal]])</f>
        <v>0</v>
      </c>
      <c r="R1220" s="21">
        <f>+PROVEEDORES[[#This Row],[SUBTOTAL]]+PROVEEDORES[[#This Row],[IVA 19%]]-PROVEEDORES[[#This Row],[descuento sobre subtotal]]-PROVEEDORES[[#This Row],[Descuento sobre subtotal $2]]-PROVEEDORES[[#This Row],[Rete Fuente $]]</f>
        <v>196500</v>
      </c>
      <c r="S1220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63">
        <f ca="1">IF(PROVEEDORES[[#This Row],[FECHA DE PAGO]]=0,TODAY()-PROVEEDORES[[#This Row],[FECHA DE FACTURACIÓN]]-PROVEEDORES[[#This Row],[PLAZO Días]],0)</f>
        <v>0</v>
      </c>
      <c r="U1220" s="104">
        <f>+VLOOKUP(PROVEEDORES[[#This Row],[PROVEEDOR]],Terceros!$A:$D,4,FALSE)</f>
        <v>0</v>
      </c>
      <c r="V1220" s="105">
        <f>+YEAR(PROVEEDORES[[#This Row],[FECHA DE FACTURACIÓN]])</f>
        <v>2023</v>
      </c>
      <c r="W1220" s="105">
        <f>+MATCH(PROVEEDORES[[#This Row],[año facturado]],Retenciones!$1:$1,0)</f>
        <v>6</v>
      </c>
      <c r="X1220" s="106">
        <f>+VLOOKUP(PROVEEDORES[[#This Row],[ID RETENCION]],Retenciones!$A$1:$O$25,PROVEEDORES[[#This Row],[indicador de columna]],FALSE)</f>
        <v>0</v>
      </c>
      <c r="Y1220" s="107">
        <f>+VLOOKUP(PROVEEDORES[[#This Row],[ID RETENCION]],Retenciones!$A$1:$O$25,2,FALSE)</f>
        <v>0</v>
      </c>
      <c r="Z1220" s="116" t="b">
        <f>OR(COUNTIF(PROVEEDORES[[#This Row],[PROVEEDOR]],"*"&amp;'Palabra no opera'!$A$2&amp;"*"))</f>
        <v>0</v>
      </c>
    </row>
    <row r="1221" spans="1:26" ht="22.35" customHeight="1" x14ac:dyDescent="0.3">
      <c r="A1221" s="267" t="str">
        <f>+IF(PROVEEDORES[[#This Row],[FECHA DE PAGO]]=PROVEEDORES[[#This Row],[FECHA DE FACTURACIÓN]],"DE CONTADO","CRÉDITO")</f>
        <v>CRÉDITO</v>
      </c>
      <c r="B1221" s="38" t="b">
        <f>+IF((PROVEEDORES[[#This Row],[FECHA DE PAGO]]-PROVEEDORES[[#This Row],[FECHA DE FACTURACIÓN]])&gt;PROVEEDORES[[#This Row],[PLAZO Días]],"PAGO VENCIDO")</f>
        <v>0</v>
      </c>
      <c r="C1221" s="20">
        <f>+VLOOKUP(PROVEEDORES[[#This Row],[PROVEEDOR]],TERCEROS_INFO[#All],2,FALSE)</f>
        <v>30</v>
      </c>
      <c r="D1221" s="25">
        <f>+SUMIFS(PROVEEDORES[Total],PROVEEDORES[PROVEEDOR],PROVEEDORES[[#This Row],[PROVEEDOR]],PROVEEDORES[FECHA DE PAGO],"")</f>
        <v>0</v>
      </c>
      <c r="E1221" s="25"/>
      <c r="F1221" s="56" t="str">
        <f>+VLOOKUP(PROVEEDORES[[#This Row],[PROVEEDOR]],
                       Terceros!$A:$F,
                       5,
                       FALSE)</f>
        <v/>
      </c>
      <c r="G1221" s="68">
        <v>44977</v>
      </c>
      <c r="H1221" s="26" t="s">
        <v>409</v>
      </c>
      <c r="I1221" s="68">
        <v>44959</v>
      </c>
      <c r="J1221" s="35">
        <v>29</v>
      </c>
      <c r="K1221" s="21">
        <v>33000</v>
      </c>
      <c r="L1221" s="21"/>
      <c r="M1221" s="22">
        <f>(PROVEEDORES[[#This Row],[SUBTOTAL]]-PROVEEDORES[[#This Row],[descuento sobre subtotal]])*VLOOKUP(PROVEEDORES[[#This Row],[PROVEEDOR]],TERCEROS_INFO[#All],3,FALSE)</f>
        <v>0</v>
      </c>
      <c r="N1221" s="23"/>
      <c r="O1221" s="22">
        <f>+PROVEEDORES[[#This Row],[Descuento sobre subtotal %]]*(PROVEEDORES[[#This Row],[SUBTOTAL]]-PROVEEDORES[[#This Row],[descuento sobre subtotal]])</f>
        <v>0</v>
      </c>
      <c r="P1221" s="74">
        <f>+IF(PROVEEDORES[[#This Row],[SUBTOTAL]]&lt;PROVEEDORES[[#This Row],[base retencion]],0,PROVEEDORES[[#This Row],[retención aplicada]])</f>
        <v>0</v>
      </c>
      <c r="Q1221" s="22">
        <f>+PROVEEDORES[[#This Row],[Rete Fuente %]]*(PROVEEDORES[[#This Row],[SUBTOTAL]]-PROVEEDORES[[#This Row],[descuento sobre subtotal]])</f>
        <v>0</v>
      </c>
      <c r="R1221" s="21">
        <f>+PROVEEDORES[[#This Row],[SUBTOTAL]]+PROVEEDORES[[#This Row],[IVA 19%]]-PROVEEDORES[[#This Row],[descuento sobre subtotal]]-PROVEEDORES[[#This Row],[Descuento sobre subtotal $2]]-PROVEEDORES[[#This Row],[Rete Fuente $]]</f>
        <v>33000</v>
      </c>
      <c r="S1221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63">
        <f ca="1">IF(PROVEEDORES[[#This Row],[FECHA DE PAGO]]=0,TODAY()-PROVEEDORES[[#This Row],[FECHA DE FACTURACIÓN]]-PROVEEDORES[[#This Row],[PLAZO Días]],0)</f>
        <v>0</v>
      </c>
      <c r="U1221" s="104">
        <f>+VLOOKUP(PROVEEDORES[[#This Row],[PROVEEDOR]],Terceros!$A:$D,4,FALSE)</f>
        <v>0</v>
      </c>
      <c r="V1221" s="105">
        <f>+YEAR(PROVEEDORES[[#This Row],[FECHA DE FACTURACIÓN]])</f>
        <v>2023</v>
      </c>
      <c r="W1221" s="105">
        <f>+MATCH(PROVEEDORES[[#This Row],[año facturado]],Retenciones!$1:$1,0)</f>
        <v>6</v>
      </c>
      <c r="X1221" s="106">
        <f>+VLOOKUP(PROVEEDORES[[#This Row],[ID RETENCION]],Retenciones!$A$1:$O$25,PROVEEDORES[[#This Row],[indicador de columna]],FALSE)</f>
        <v>0</v>
      </c>
      <c r="Y1221" s="107">
        <f>+VLOOKUP(PROVEEDORES[[#This Row],[ID RETENCION]],Retenciones!$A$1:$O$25,2,FALSE)</f>
        <v>0</v>
      </c>
      <c r="Z1221" s="116" t="b">
        <f>OR(COUNTIF(PROVEEDORES[[#This Row],[PROVEEDOR]],"*"&amp;'Palabra no opera'!$A$2&amp;"*"))</f>
        <v>0</v>
      </c>
    </row>
    <row r="1222" spans="1:26" ht="22.35" customHeight="1" x14ac:dyDescent="0.3">
      <c r="A1222" s="267" t="str">
        <f>+IF(PROVEEDORES[[#This Row],[FECHA DE PAGO]]=PROVEEDORES[[#This Row],[FECHA DE FACTURACIÓN]],"DE CONTADO","CRÉDITO")</f>
        <v>CRÉDITO</v>
      </c>
      <c r="B1222" s="38" t="b">
        <f>+IF((PROVEEDORES[[#This Row],[FECHA DE PAGO]]-PROVEEDORES[[#This Row],[FECHA DE FACTURACIÓN]])&gt;PROVEEDORES[[#This Row],[PLAZO Días]],"PAGO VENCIDO")</f>
        <v>0</v>
      </c>
      <c r="C1222" s="20">
        <f>+VLOOKUP(PROVEEDORES[[#This Row],[PROVEEDOR]],TERCEROS_INFO[#All],2,FALSE)</f>
        <v>30</v>
      </c>
      <c r="D1222" s="25">
        <f>+SUMIFS(PROVEEDORES[Total],PROVEEDORES[PROVEEDOR],PROVEEDORES[[#This Row],[PROVEEDOR]],PROVEEDORES[FECHA DE PAGO],"")</f>
        <v>0</v>
      </c>
      <c r="E1222" s="25"/>
      <c r="F1222" s="56" t="str">
        <f>+VLOOKUP(PROVEEDORES[[#This Row],[PROVEEDOR]],
                       Terceros!$A:$F,
                       5,
                       FALSE)</f>
        <v/>
      </c>
      <c r="G1222" s="68">
        <v>44977</v>
      </c>
      <c r="H1222" s="26" t="s">
        <v>409</v>
      </c>
      <c r="I1222" s="68">
        <v>44959</v>
      </c>
      <c r="J1222" s="35">
        <v>30</v>
      </c>
      <c r="K1222" s="21">
        <v>64500</v>
      </c>
      <c r="L1222" s="21"/>
      <c r="M1222" s="22">
        <f>(PROVEEDORES[[#This Row],[SUBTOTAL]]-PROVEEDORES[[#This Row],[descuento sobre subtotal]])*VLOOKUP(PROVEEDORES[[#This Row],[PROVEEDOR]],TERCEROS_INFO[#All],3,FALSE)</f>
        <v>0</v>
      </c>
      <c r="N1222" s="23"/>
      <c r="O1222" s="22">
        <f>+PROVEEDORES[[#This Row],[Descuento sobre subtotal %]]*(PROVEEDORES[[#This Row],[SUBTOTAL]]-PROVEEDORES[[#This Row],[descuento sobre subtotal]])</f>
        <v>0</v>
      </c>
      <c r="P1222" s="74">
        <f>+IF(PROVEEDORES[[#This Row],[SUBTOTAL]]&lt;PROVEEDORES[[#This Row],[base retencion]],0,PROVEEDORES[[#This Row],[retención aplicada]])</f>
        <v>0</v>
      </c>
      <c r="Q1222" s="22">
        <f>+PROVEEDORES[[#This Row],[Rete Fuente %]]*(PROVEEDORES[[#This Row],[SUBTOTAL]]-PROVEEDORES[[#This Row],[descuento sobre subtotal]])</f>
        <v>0</v>
      </c>
      <c r="R1222" s="21">
        <f>+PROVEEDORES[[#This Row],[SUBTOTAL]]+PROVEEDORES[[#This Row],[IVA 19%]]-PROVEEDORES[[#This Row],[descuento sobre subtotal]]-PROVEEDORES[[#This Row],[Descuento sobre subtotal $2]]-PROVEEDORES[[#This Row],[Rete Fuente $]]</f>
        <v>64500</v>
      </c>
      <c r="S1222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63">
        <f ca="1">IF(PROVEEDORES[[#This Row],[FECHA DE PAGO]]=0,TODAY()-PROVEEDORES[[#This Row],[FECHA DE FACTURACIÓN]]-PROVEEDORES[[#This Row],[PLAZO Días]],0)</f>
        <v>0</v>
      </c>
      <c r="U1222" s="104">
        <f>+VLOOKUP(PROVEEDORES[[#This Row],[PROVEEDOR]],Terceros!$A:$D,4,FALSE)</f>
        <v>0</v>
      </c>
      <c r="V1222" s="105">
        <f>+YEAR(PROVEEDORES[[#This Row],[FECHA DE FACTURACIÓN]])</f>
        <v>2023</v>
      </c>
      <c r="W1222" s="105">
        <f>+MATCH(PROVEEDORES[[#This Row],[año facturado]],Retenciones!$1:$1,0)</f>
        <v>6</v>
      </c>
      <c r="X1222" s="106">
        <f>+VLOOKUP(PROVEEDORES[[#This Row],[ID RETENCION]],Retenciones!$A$1:$O$25,PROVEEDORES[[#This Row],[indicador de columna]],FALSE)</f>
        <v>0</v>
      </c>
      <c r="Y1222" s="107">
        <f>+VLOOKUP(PROVEEDORES[[#This Row],[ID RETENCION]],Retenciones!$A$1:$O$25,2,FALSE)</f>
        <v>0</v>
      </c>
      <c r="Z1222" s="116" t="b">
        <f>OR(COUNTIF(PROVEEDORES[[#This Row],[PROVEEDOR]],"*"&amp;'Palabra no opera'!$A$2&amp;"*"))</f>
        <v>0</v>
      </c>
    </row>
    <row r="1223" spans="1:26" ht="22.35" customHeight="1" x14ac:dyDescent="0.3">
      <c r="A1223" s="267" t="str">
        <f>+IF(PROVEEDORES[[#This Row],[FECHA DE PAGO]]=PROVEEDORES[[#This Row],[FECHA DE FACTURACIÓN]],"DE CONTADO","CRÉDITO")</f>
        <v>CRÉDITO</v>
      </c>
      <c r="B1223" s="38" t="b">
        <f>+IF((PROVEEDORES[[#This Row],[FECHA DE PAGO]]-PROVEEDORES[[#This Row],[FECHA DE FACTURACIÓN]])&gt;PROVEEDORES[[#This Row],[PLAZO Días]],"PAGO VENCIDO")</f>
        <v>0</v>
      </c>
      <c r="C1223" s="20">
        <f>+VLOOKUP(PROVEEDORES[[#This Row],[PROVEEDOR]],TERCEROS_INFO[#All],2,FALSE)</f>
        <v>30</v>
      </c>
      <c r="D1223" s="25">
        <f>+SUMIFS(PROVEEDORES[Total],PROVEEDORES[PROVEEDOR],PROVEEDORES[[#This Row],[PROVEEDOR]],PROVEEDORES[FECHA DE PAGO],"")</f>
        <v>0</v>
      </c>
      <c r="E1223" s="25"/>
      <c r="F1223" s="56" t="str">
        <f>+VLOOKUP(PROVEEDORES[[#This Row],[PROVEEDOR]],
                       Terceros!$A:$F,
                       5,
                       FALSE)</f>
        <v/>
      </c>
      <c r="G1223" s="68">
        <v>44977</v>
      </c>
      <c r="H1223" s="26" t="s">
        <v>409</v>
      </c>
      <c r="I1223" s="68">
        <v>44959</v>
      </c>
      <c r="J1223" s="35">
        <v>34</v>
      </c>
      <c r="K1223" s="21">
        <v>411500</v>
      </c>
      <c r="L1223" s="21"/>
      <c r="M1223" s="22">
        <f>(PROVEEDORES[[#This Row],[SUBTOTAL]]-PROVEEDORES[[#This Row],[descuento sobre subtotal]])*VLOOKUP(PROVEEDORES[[#This Row],[PROVEEDOR]],TERCEROS_INFO[#All],3,FALSE)</f>
        <v>0</v>
      </c>
      <c r="N1223" s="23"/>
      <c r="O1223" s="22">
        <f>+PROVEEDORES[[#This Row],[Descuento sobre subtotal %]]*(PROVEEDORES[[#This Row],[SUBTOTAL]]-PROVEEDORES[[#This Row],[descuento sobre subtotal]])</f>
        <v>0</v>
      </c>
      <c r="P1223" s="74">
        <f>+IF(PROVEEDORES[[#This Row],[SUBTOTAL]]&lt;PROVEEDORES[[#This Row],[base retencion]],0,PROVEEDORES[[#This Row],[retención aplicada]])</f>
        <v>0</v>
      </c>
      <c r="Q1223" s="22">
        <f>+PROVEEDORES[[#This Row],[Rete Fuente %]]*(PROVEEDORES[[#This Row],[SUBTOTAL]]-PROVEEDORES[[#This Row],[descuento sobre subtotal]])</f>
        <v>0</v>
      </c>
      <c r="R1223" s="21">
        <f>+PROVEEDORES[[#This Row],[SUBTOTAL]]+PROVEEDORES[[#This Row],[IVA 19%]]-PROVEEDORES[[#This Row],[descuento sobre subtotal]]-PROVEEDORES[[#This Row],[Descuento sobre subtotal $2]]-PROVEEDORES[[#This Row],[Rete Fuente $]]</f>
        <v>411500</v>
      </c>
      <c r="S1223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63">
        <f ca="1">IF(PROVEEDORES[[#This Row],[FECHA DE PAGO]]=0,TODAY()-PROVEEDORES[[#This Row],[FECHA DE FACTURACIÓN]]-PROVEEDORES[[#This Row],[PLAZO Días]],0)</f>
        <v>0</v>
      </c>
      <c r="U1223" s="104">
        <f>+VLOOKUP(PROVEEDORES[[#This Row],[PROVEEDOR]],Terceros!$A:$D,4,FALSE)</f>
        <v>0</v>
      </c>
      <c r="V1223" s="105">
        <f>+YEAR(PROVEEDORES[[#This Row],[FECHA DE FACTURACIÓN]])</f>
        <v>2023</v>
      </c>
      <c r="W1223" s="105">
        <f>+MATCH(PROVEEDORES[[#This Row],[año facturado]],Retenciones!$1:$1,0)</f>
        <v>6</v>
      </c>
      <c r="X1223" s="106">
        <f>+VLOOKUP(PROVEEDORES[[#This Row],[ID RETENCION]],Retenciones!$A$1:$O$25,PROVEEDORES[[#This Row],[indicador de columna]],FALSE)</f>
        <v>0</v>
      </c>
      <c r="Y1223" s="107">
        <f>+VLOOKUP(PROVEEDORES[[#This Row],[ID RETENCION]],Retenciones!$A$1:$O$25,2,FALSE)</f>
        <v>0</v>
      </c>
      <c r="Z1223" s="116" t="b">
        <f>OR(COUNTIF(PROVEEDORES[[#This Row],[PROVEEDOR]],"*"&amp;'Palabra no opera'!$A$2&amp;"*"))</f>
        <v>0</v>
      </c>
    </row>
    <row r="1224" spans="1:26" ht="22.35" customHeight="1" x14ac:dyDescent="0.3">
      <c r="A1224" s="267" t="str">
        <f>+IF(PROVEEDORES[[#This Row],[FECHA DE PAGO]]=PROVEEDORES[[#This Row],[FECHA DE FACTURACIÓN]],"DE CONTADO","CRÉDITO")</f>
        <v>CRÉDITO</v>
      </c>
      <c r="B1224" s="38" t="b">
        <f>+IF((PROVEEDORES[[#This Row],[FECHA DE PAGO]]-PROVEEDORES[[#This Row],[FECHA DE FACTURACIÓN]])&gt;PROVEEDORES[[#This Row],[PLAZO Días]],"PAGO VENCIDO")</f>
        <v>0</v>
      </c>
      <c r="C1224" s="20">
        <f>+VLOOKUP(PROVEEDORES[[#This Row],[PROVEEDOR]],TERCEROS_INFO[#All],2,FALSE)</f>
        <v>30</v>
      </c>
      <c r="D1224" s="25">
        <f>+SUMIFS(PROVEEDORES[Total],PROVEEDORES[PROVEEDOR],PROVEEDORES[[#This Row],[PROVEEDOR]],PROVEEDORES[FECHA DE PAGO],"")</f>
        <v>0</v>
      </c>
      <c r="E1224" s="25"/>
      <c r="F1224" s="56" t="str">
        <f>+VLOOKUP(PROVEEDORES[[#This Row],[PROVEEDOR]],
                       Terceros!$A:$F,
                       5,
                       FALSE)</f>
        <v/>
      </c>
      <c r="G1224" s="68">
        <v>44977</v>
      </c>
      <c r="H1224" s="26" t="s">
        <v>409</v>
      </c>
      <c r="I1224" s="68">
        <v>44959</v>
      </c>
      <c r="J1224" s="35">
        <v>35</v>
      </c>
      <c r="K1224" s="21">
        <v>207000</v>
      </c>
      <c r="L1224" s="21"/>
      <c r="M1224" s="22">
        <f>(PROVEEDORES[[#This Row],[SUBTOTAL]]-PROVEEDORES[[#This Row],[descuento sobre subtotal]])*VLOOKUP(PROVEEDORES[[#This Row],[PROVEEDOR]],TERCEROS_INFO[#All],3,FALSE)</f>
        <v>0</v>
      </c>
      <c r="N1224" s="23"/>
      <c r="O1224" s="22">
        <f>+PROVEEDORES[[#This Row],[Descuento sobre subtotal %]]*(PROVEEDORES[[#This Row],[SUBTOTAL]]-PROVEEDORES[[#This Row],[descuento sobre subtotal]])</f>
        <v>0</v>
      </c>
      <c r="P1224" s="74">
        <f>+IF(PROVEEDORES[[#This Row],[SUBTOTAL]]&lt;PROVEEDORES[[#This Row],[base retencion]],0,PROVEEDORES[[#This Row],[retención aplicada]])</f>
        <v>0</v>
      </c>
      <c r="Q1224" s="22">
        <f>+PROVEEDORES[[#This Row],[Rete Fuente %]]*(PROVEEDORES[[#This Row],[SUBTOTAL]]-PROVEEDORES[[#This Row],[descuento sobre subtotal]])</f>
        <v>0</v>
      </c>
      <c r="R1224" s="21">
        <f>+PROVEEDORES[[#This Row],[SUBTOTAL]]+PROVEEDORES[[#This Row],[IVA 19%]]-PROVEEDORES[[#This Row],[descuento sobre subtotal]]-PROVEEDORES[[#This Row],[Descuento sobre subtotal $2]]-PROVEEDORES[[#This Row],[Rete Fuente $]]</f>
        <v>207000</v>
      </c>
      <c r="S1224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63">
        <f ca="1">IF(PROVEEDORES[[#This Row],[FECHA DE PAGO]]=0,TODAY()-PROVEEDORES[[#This Row],[FECHA DE FACTURACIÓN]]-PROVEEDORES[[#This Row],[PLAZO Días]],0)</f>
        <v>0</v>
      </c>
      <c r="U1224" s="104">
        <f>+VLOOKUP(PROVEEDORES[[#This Row],[PROVEEDOR]],Terceros!$A:$D,4,FALSE)</f>
        <v>0</v>
      </c>
      <c r="V1224" s="105">
        <f>+YEAR(PROVEEDORES[[#This Row],[FECHA DE FACTURACIÓN]])</f>
        <v>2023</v>
      </c>
      <c r="W1224" s="105">
        <f>+MATCH(PROVEEDORES[[#This Row],[año facturado]],Retenciones!$1:$1,0)</f>
        <v>6</v>
      </c>
      <c r="X1224" s="106">
        <f>+VLOOKUP(PROVEEDORES[[#This Row],[ID RETENCION]],Retenciones!$A$1:$O$25,PROVEEDORES[[#This Row],[indicador de columna]],FALSE)</f>
        <v>0</v>
      </c>
      <c r="Y1224" s="107">
        <f>+VLOOKUP(PROVEEDORES[[#This Row],[ID RETENCION]],Retenciones!$A$1:$O$25,2,FALSE)</f>
        <v>0</v>
      </c>
      <c r="Z1224" s="116" t="b">
        <f>OR(COUNTIF(PROVEEDORES[[#This Row],[PROVEEDOR]],"*"&amp;'Palabra no opera'!$A$2&amp;"*"))</f>
        <v>0</v>
      </c>
    </row>
    <row r="1225" spans="1:26" ht="22.35" customHeight="1" x14ac:dyDescent="0.3">
      <c r="A1225" s="267" t="str">
        <f>+IF(PROVEEDORES[[#This Row],[FECHA DE PAGO]]=PROVEEDORES[[#This Row],[FECHA DE FACTURACIÓN]],"DE CONTADO","CRÉDITO")</f>
        <v>CRÉDITO</v>
      </c>
      <c r="B1225" s="38" t="b">
        <f>+IF((PROVEEDORES[[#This Row],[FECHA DE PAGO]]-PROVEEDORES[[#This Row],[FECHA DE FACTURACIÓN]])&gt;PROVEEDORES[[#This Row],[PLAZO Días]],"PAGO VENCIDO")</f>
        <v>0</v>
      </c>
      <c r="C1225" s="20">
        <f>+VLOOKUP(PROVEEDORES[[#This Row],[PROVEEDOR]],TERCEROS_INFO[#All],2,FALSE)</f>
        <v>30</v>
      </c>
      <c r="D1225" s="25">
        <f>+SUMIFS(PROVEEDORES[Total],PROVEEDORES[PROVEEDOR],PROVEEDORES[[#This Row],[PROVEEDOR]],PROVEEDORES[FECHA DE PAGO],"")</f>
        <v>0</v>
      </c>
      <c r="E1225" s="25"/>
      <c r="F122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25" s="68">
        <v>44977</v>
      </c>
      <c r="H1225" s="26" t="s">
        <v>623</v>
      </c>
      <c r="I1225" s="68">
        <v>44958</v>
      </c>
      <c r="J1225" s="35" t="s">
        <v>1454</v>
      </c>
      <c r="K1225" s="21">
        <v>895662</v>
      </c>
      <c r="L1225" s="21"/>
      <c r="M1225" s="22">
        <f>(PROVEEDORES[[#This Row],[SUBTOTAL]]-PROVEEDORES[[#This Row],[descuento sobre subtotal]])*VLOOKUP(PROVEEDORES[[#This Row],[PROVEEDOR]],TERCEROS_INFO[#All],3,FALSE)</f>
        <v>170175.78</v>
      </c>
      <c r="N1225" s="23"/>
      <c r="O1225" s="22">
        <f>+PROVEEDORES[[#This Row],[Descuento sobre subtotal %]]*(PROVEEDORES[[#This Row],[SUBTOTAL]]-PROVEEDORES[[#This Row],[descuento sobre subtotal]])</f>
        <v>0</v>
      </c>
      <c r="P1225" s="74">
        <f>+IF(PROVEEDORES[[#This Row],[SUBTOTAL]]&lt;PROVEEDORES[[#This Row],[base retencion]],0,PROVEEDORES[[#This Row],[retención aplicada]])</f>
        <v>0.04</v>
      </c>
      <c r="Q1225" s="22">
        <f>+PROVEEDORES[[#This Row],[Rete Fuente %]]*(PROVEEDORES[[#This Row],[SUBTOTAL]]-PROVEEDORES[[#This Row],[descuento sobre subtotal]])</f>
        <v>35826.480000000003</v>
      </c>
      <c r="R1225" s="21">
        <f>+PROVEEDORES[[#This Row],[SUBTOTAL]]+PROVEEDORES[[#This Row],[IVA 19%]]-PROVEEDORES[[#This Row],[descuento sobre subtotal]]-PROVEEDORES[[#This Row],[Descuento sobre subtotal $2]]-PROVEEDORES[[#This Row],[Rete Fuente $]]</f>
        <v>1030011.3</v>
      </c>
      <c r="S1225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63">
        <f ca="1">IF(PROVEEDORES[[#This Row],[FECHA DE PAGO]]=0,TODAY()-PROVEEDORES[[#This Row],[FECHA DE FACTURACIÓN]]-PROVEEDORES[[#This Row],[PLAZO Días]],0)</f>
        <v>0</v>
      </c>
      <c r="U1225" s="104" t="str">
        <f>+VLOOKUP(PROVEEDORES[[#This Row],[PROVEEDOR]],Terceros!$A:$D,4,FALSE)</f>
        <v>4% sin base</v>
      </c>
      <c r="V1225" s="105">
        <f>+YEAR(PROVEEDORES[[#This Row],[FECHA DE FACTURACIÓN]])</f>
        <v>2023</v>
      </c>
      <c r="W1225" s="105">
        <f>+MATCH(PROVEEDORES[[#This Row],[año facturado]],Retenciones!$1:$1,0)</f>
        <v>6</v>
      </c>
      <c r="X1225" s="106">
        <f>+VLOOKUP(PROVEEDORES[[#This Row],[ID RETENCION]],Retenciones!$A$1:$O$25,PROVEEDORES[[#This Row],[indicador de columna]],FALSE)</f>
        <v>0</v>
      </c>
      <c r="Y1225" s="107">
        <f>+VLOOKUP(PROVEEDORES[[#This Row],[ID RETENCION]],Retenciones!$A$1:$O$25,2,FALSE)</f>
        <v>0.04</v>
      </c>
      <c r="Z1225" s="116" t="b">
        <f>OR(COUNTIF(PROVEEDORES[[#This Row],[PROVEEDOR]],"*"&amp;'Palabra no opera'!$A$2&amp;"*"))</f>
        <v>1</v>
      </c>
    </row>
    <row r="1226" spans="1:26" ht="22.35" customHeight="1" x14ac:dyDescent="0.3">
      <c r="A1226" s="267" t="str">
        <f>+IF(PROVEEDORES[[#This Row],[FECHA DE PAGO]]=PROVEEDORES[[#This Row],[FECHA DE FACTURACIÓN]],"DE CONTADO","CRÉDITO")</f>
        <v>CRÉDITO</v>
      </c>
      <c r="B1226" s="38" t="b">
        <f>+IF((PROVEEDORES[[#This Row],[FECHA DE PAGO]]-PROVEEDORES[[#This Row],[FECHA DE FACTURACIÓN]])&gt;PROVEEDORES[[#This Row],[PLAZO Días]],"PAGO VENCIDO")</f>
        <v>0</v>
      </c>
      <c r="C1226" s="20">
        <f>+VLOOKUP(PROVEEDORES[[#This Row],[PROVEEDOR]],TERCEROS_INFO[#All],2,FALSE)</f>
        <v>30</v>
      </c>
      <c r="D1226" s="25">
        <f>+SUMIFS(PROVEEDORES[Total],PROVEEDORES[PROVEEDOR],PROVEEDORES[[#This Row],[PROVEEDOR]],PROVEEDORES[FECHA DE PAGO],"")</f>
        <v>0</v>
      </c>
      <c r="E1226" s="25"/>
      <c r="F122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26" s="68">
        <v>44977</v>
      </c>
      <c r="H1226" s="26" t="s">
        <v>623</v>
      </c>
      <c r="I1226" s="68">
        <v>44958</v>
      </c>
      <c r="J1226" s="35" t="s">
        <v>1455</v>
      </c>
      <c r="K1226" s="21">
        <v>2196</v>
      </c>
      <c r="L1226" s="21"/>
      <c r="M1226" s="22">
        <f>(PROVEEDORES[[#This Row],[SUBTOTAL]]-PROVEEDORES[[#This Row],[descuento sobre subtotal]])*VLOOKUP(PROVEEDORES[[#This Row],[PROVEEDOR]],TERCEROS_INFO[#All],3,FALSE)</f>
        <v>417.24</v>
      </c>
      <c r="N1226" s="23"/>
      <c r="O1226" s="22">
        <f>+PROVEEDORES[[#This Row],[Descuento sobre subtotal %]]*(PROVEEDORES[[#This Row],[SUBTOTAL]]-PROVEEDORES[[#This Row],[descuento sobre subtotal]])</f>
        <v>0</v>
      </c>
      <c r="P1226" s="74">
        <v>0</v>
      </c>
      <c r="Q1226" s="22">
        <f>+PROVEEDORES[[#This Row],[Rete Fuente %]]*(PROVEEDORES[[#This Row],[SUBTOTAL]]-PROVEEDORES[[#This Row],[descuento sobre subtotal]])</f>
        <v>0</v>
      </c>
      <c r="R1226" s="21">
        <f>+PROVEEDORES[[#This Row],[SUBTOTAL]]+PROVEEDORES[[#This Row],[IVA 19%]]-PROVEEDORES[[#This Row],[descuento sobre subtotal]]-PROVEEDORES[[#This Row],[Descuento sobre subtotal $2]]-PROVEEDORES[[#This Row],[Rete Fuente $]]</f>
        <v>2613.2399999999998</v>
      </c>
      <c r="S1226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63">
        <f ca="1">IF(PROVEEDORES[[#This Row],[FECHA DE PAGO]]=0,TODAY()-PROVEEDORES[[#This Row],[FECHA DE FACTURACIÓN]]-PROVEEDORES[[#This Row],[PLAZO Días]],0)</f>
        <v>0</v>
      </c>
      <c r="U1226" s="104" t="str">
        <f>+VLOOKUP(PROVEEDORES[[#This Row],[PROVEEDOR]],Terceros!$A:$D,4,FALSE)</f>
        <v>4% sin base</v>
      </c>
      <c r="V1226" s="105">
        <f>+YEAR(PROVEEDORES[[#This Row],[FECHA DE FACTURACIÓN]])</f>
        <v>2023</v>
      </c>
      <c r="W1226" s="105">
        <f>+MATCH(PROVEEDORES[[#This Row],[año facturado]],Retenciones!$1:$1,0)</f>
        <v>6</v>
      </c>
      <c r="X1226" s="106">
        <f>+VLOOKUP(PROVEEDORES[[#This Row],[ID RETENCION]],Retenciones!$A$1:$O$25,PROVEEDORES[[#This Row],[indicador de columna]],FALSE)</f>
        <v>0</v>
      </c>
      <c r="Y1226" s="107">
        <f>+VLOOKUP(PROVEEDORES[[#This Row],[ID RETENCION]],Retenciones!$A$1:$O$25,2,FALSE)</f>
        <v>0.04</v>
      </c>
      <c r="Z1226" s="116" t="b">
        <f>OR(COUNTIF(PROVEEDORES[[#This Row],[PROVEEDOR]],"*"&amp;'Palabra no opera'!$A$2&amp;"*"))</f>
        <v>1</v>
      </c>
    </row>
    <row r="1227" spans="1:26" ht="22.35" customHeight="1" x14ac:dyDescent="0.3">
      <c r="A1227" s="267" t="str">
        <f>+IF(PROVEEDORES[[#This Row],[FECHA DE PAGO]]=PROVEEDORES[[#This Row],[FECHA DE FACTURACIÓN]],"DE CONTADO","CRÉDITO")</f>
        <v>CRÉDITO</v>
      </c>
      <c r="B1227" s="38" t="b">
        <f>+IF((PROVEEDORES[[#This Row],[FECHA DE PAGO]]-PROVEEDORES[[#This Row],[FECHA DE FACTURACIÓN]])&gt;PROVEEDORES[[#This Row],[PLAZO Días]],"PAGO VENCIDO")</f>
        <v>0</v>
      </c>
      <c r="C1227" s="20">
        <f>+VLOOKUP(PROVEEDORES[[#This Row],[PROVEEDOR]],TERCEROS_INFO[#All],2,FALSE)</f>
        <v>30</v>
      </c>
      <c r="D1227" s="25">
        <f>+SUMIFS(PROVEEDORES[Total],PROVEEDORES[PROVEEDOR],PROVEEDORES[[#This Row],[PROVEEDOR]],PROVEEDORES[FECHA DE PAGO],"")</f>
        <v>0</v>
      </c>
      <c r="E1227" s="25"/>
      <c r="F122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27" s="68">
        <v>44977</v>
      </c>
      <c r="H1227" s="26" t="s">
        <v>623</v>
      </c>
      <c r="I1227" s="68">
        <v>44958</v>
      </c>
      <c r="J1227" s="35" t="s">
        <v>1456</v>
      </c>
      <c r="K1227" s="21">
        <v>527</v>
      </c>
      <c r="L1227" s="21"/>
      <c r="M1227" s="22">
        <f>(PROVEEDORES[[#This Row],[SUBTOTAL]]-PROVEEDORES[[#This Row],[descuento sobre subtotal]])*VLOOKUP(PROVEEDORES[[#This Row],[PROVEEDOR]],TERCEROS_INFO[#All],3,FALSE)</f>
        <v>100.13</v>
      </c>
      <c r="N1227" s="23"/>
      <c r="O1227" s="22">
        <f>+PROVEEDORES[[#This Row],[Descuento sobre subtotal %]]*(PROVEEDORES[[#This Row],[SUBTOTAL]]-PROVEEDORES[[#This Row],[descuento sobre subtotal]])</f>
        <v>0</v>
      </c>
      <c r="P1227" s="74">
        <v>0</v>
      </c>
      <c r="Q1227" s="22">
        <f>+PROVEEDORES[[#This Row],[Rete Fuente %]]*(PROVEEDORES[[#This Row],[SUBTOTAL]]-PROVEEDORES[[#This Row],[descuento sobre subtotal]])</f>
        <v>0</v>
      </c>
      <c r="R1227" s="21">
        <f>+PROVEEDORES[[#This Row],[SUBTOTAL]]+PROVEEDORES[[#This Row],[IVA 19%]]-PROVEEDORES[[#This Row],[descuento sobre subtotal]]-PROVEEDORES[[#This Row],[Descuento sobre subtotal $2]]-PROVEEDORES[[#This Row],[Rete Fuente $]]</f>
        <v>627.13</v>
      </c>
      <c r="S1227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63">
        <f ca="1">IF(PROVEEDORES[[#This Row],[FECHA DE PAGO]]=0,TODAY()-PROVEEDORES[[#This Row],[FECHA DE FACTURACIÓN]]-PROVEEDORES[[#This Row],[PLAZO Días]],0)</f>
        <v>0</v>
      </c>
      <c r="U1227" s="104" t="str">
        <f>+VLOOKUP(PROVEEDORES[[#This Row],[PROVEEDOR]],Terceros!$A:$D,4,FALSE)</f>
        <v>4% sin base</v>
      </c>
      <c r="V1227" s="105">
        <f>+YEAR(PROVEEDORES[[#This Row],[FECHA DE FACTURACIÓN]])</f>
        <v>2023</v>
      </c>
      <c r="W1227" s="105">
        <f>+MATCH(PROVEEDORES[[#This Row],[año facturado]],Retenciones!$1:$1,0)</f>
        <v>6</v>
      </c>
      <c r="X1227" s="106">
        <f>+VLOOKUP(PROVEEDORES[[#This Row],[ID RETENCION]],Retenciones!$A$1:$O$25,PROVEEDORES[[#This Row],[indicador de columna]],FALSE)</f>
        <v>0</v>
      </c>
      <c r="Y1227" s="107">
        <f>+VLOOKUP(PROVEEDORES[[#This Row],[ID RETENCION]],Retenciones!$A$1:$O$25,2,FALSE)</f>
        <v>0.04</v>
      </c>
      <c r="Z1227" s="116" t="b">
        <f>OR(COUNTIF(PROVEEDORES[[#This Row],[PROVEEDOR]],"*"&amp;'Palabra no opera'!$A$2&amp;"*"))</f>
        <v>1</v>
      </c>
    </row>
    <row r="1228" spans="1:26" ht="22.35" customHeight="1" x14ac:dyDescent="0.3">
      <c r="A1228" s="267" t="str">
        <f>+IF(PROVEEDORES[[#This Row],[FECHA DE PAGO]]=PROVEEDORES[[#This Row],[FECHA DE FACTURACIÓN]],"DE CONTADO","CRÉDITO")</f>
        <v>CRÉDITO</v>
      </c>
      <c r="B1228" s="38" t="b">
        <f>+IF((PROVEEDORES[[#This Row],[FECHA DE PAGO]]-PROVEEDORES[[#This Row],[FECHA DE FACTURACIÓN]])&gt;PROVEEDORES[[#This Row],[PLAZO Días]],"PAGO VENCIDO")</f>
        <v>0</v>
      </c>
      <c r="C1228" s="20">
        <f>+VLOOKUP(PROVEEDORES[[#This Row],[PROVEEDOR]],TERCEROS_INFO[#All],2,FALSE)</f>
        <v>30</v>
      </c>
      <c r="D1228" s="25">
        <f>+SUMIFS(PROVEEDORES[Total],PROVEEDORES[PROVEEDOR],PROVEEDORES[[#This Row],[PROVEEDOR]],PROVEEDORES[FECHA DE PAGO],"")</f>
        <v>0</v>
      </c>
      <c r="E1228" s="25"/>
      <c r="F122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28" s="68">
        <v>44977</v>
      </c>
      <c r="H1228" s="26" t="s">
        <v>623</v>
      </c>
      <c r="I1228" s="68">
        <v>44958</v>
      </c>
      <c r="J1228" s="35" t="s">
        <v>1457</v>
      </c>
      <c r="K1228" s="21">
        <v>37336</v>
      </c>
      <c r="L1228" s="21"/>
      <c r="M1228" s="22">
        <f>(PROVEEDORES[[#This Row],[SUBTOTAL]]-PROVEEDORES[[#This Row],[descuento sobre subtotal]])*VLOOKUP(PROVEEDORES[[#This Row],[PROVEEDOR]],TERCEROS_INFO[#All],3,FALSE)</f>
        <v>7093.84</v>
      </c>
      <c r="N1228" s="23"/>
      <c r="O1228" s="22">
        <f>+PROVEEDORES[[#This Row],[Descuento sobre subtotal %]]*(PROVEEDORES[[#This Row],[SUBTOTAL]]-PROVEEDORES[[#This Row],[descuento sobre subtotal]])</f>
        <v>0</v>
      </c>
      <c r="P1228" s="74">
        <v>0</v>
      </c>
      <c r="Q1228" s="22">
        <f>+PROVEEDORES[[#This Row],[Rete Fuente %]]*(PROVEEDORES[[#This Row],[SUBTOTAL]]-PROVEEDORES[[#This Row],[descuento sobre subtotal]])</f>
        <v>0</v>
      </c>
      <c r="R1228" s="21">
        <f>+PROVEEDORES[[#This Row],[SUBTOTAL]]+PROVEEDORES[[#This Row],[IVA 19%]]-PROVEEDORES[[#This Row],[descuento sobre subtotal]]-PROVEEDORES[[#This Row],[Descuento sobre subtotal $2]]-PROVEEDORES[[#This Row],[Rete Fuente $]]</f>
        <v>44429.84</v>
      </c>
      <c r="S1228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63">
        <f ca="1">IF(PROVEEDORES[[#This Row],[FECHA DE PAGO]]=0,TODAY()-PROVEEDORES[[#This Row],[FECHA DE FACTURACIÓN]]-PROVEEDORES[[#This Row],[PLAZO Días]],0)</f>
        <v>0</v>
      </c>
      <c r="U1228" s="104" t="str">
        <f>+VLOOKUP(PROVEEDORES[[#This Row],[PROVEEDOR]],Terceros!$A:$D,4,FALSE)</f>
        <v>4% sin base</v>
      </c>
      <c r="V1228" s="105">
        <f>+YEAR(PROVEEDORES[[#This Row],[FECHA DE FACTURACIÓN]])</f>
        <v>2023</v>
      </c>
      <c r="W1228" s="105">
        <f>+MATCH(PROVEEDORES[[#This Row],[año facturado]],Retenciones!$1:$1,0)</f>
        <v>6</v>
      </c>
      <c r="X1228" s="106">
        <f>+VLOOKUP(PROVEEDORES[[#This Row],[ID RETENCION]],Retenciones!$A$1:$O$25,PROVEEDORES[[#This Row],[indicador de columna]],FALSE)</f>
        <v>0</v>
      </c>
      <c r="Y1228" s="107">
        <f>+VLOOKUP(PROVEEDORES[[#This Row],[ID RETENCION]],Retenciones!$A$1:$O$25,2,FALSE)</f>
        <v>0.04</v>
      </c>
      <c r="Z1228" s="116" t="b">
        <f>OR(COUNTIF(PROVEEDORES[[#This Row],[PROVEEDOR]],"*"&amp;'Palabra no opera'!$A$2&amp;"*"))</f>
        <v>1</v>
      </c>
    </row>
    <row r="1229" spans="1:26" ht="22.35" customHeight="1" x14ac:dyDescent="0.3">
      <c r="A1229" s="267" t="str">
        <f>+IF(PROVEEDORES[[#This Row],[FECHA DE PAGO]]=PROVEEDORES[[#This Row],[FECHA DE FACTURACIÓN]],"DE CONTADO","CRÉDITO")</f>
        <v>CRÉDITO</v>
      </c>
      <c r="B1229" s="38" t="b">
        <f>+IF((PROVEEDORES[[#This Row],[FECHA DE PAGO]]-PROVEEDORES[[#This Row],[FECHA DE FACTURACIÓN]])&gt;PROVEEDORES[[#This Row],[PLAZO Días]],"PAGO VENCIDO")</f>
        <v>0</v>
      </c>
      <c r="C1229" s="20">
        <f>+VLOOKUP(PROVEEDORES[[#This Row],[PROVEEDOR]],TERCEROS_INFO[#All],2,FALSE)</f>
        <v>30</v>
      </c>
      <c r="D1229" s="25">
        <f>+SUMIFS(PROVEEDORES[Total],PROVEEDORES[PROVEEDOR],PROVEEDORES[[#This Row],[PROVEEDOR]],PROVEEDORES[FECHA DE PAGO],"")</f>
        <v>0</v>
      </c>
      <c r="E1229" s="25"/>
      <c r="F1229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29" s="68">
        <v>44977</v>
      </c>
      <c r="H1229" s="26" t="s">
        <v>628</v>
      </c>
      <c r="I1229" s="68">
        <v>44963</v>
      </c>
      <c r="J1229" s="35" t="s">
        <v>1448</v>
      </c>
      <c r="K1229" s="21">
        <v>1866320</v>
      </c>
      <c r="L1229" s="21"/>
      <c r="M1229" s="22">
        <f>(PROVEEDORES[[#This Row],[SUBTOTAL]]-PROVEEDORES[[#This Row],[descuento sobre subtotal]])*VLOOKUP(PROVEEDORES[[#This Row],[PROVEEDOR]],TERCEROS_INFO[#All],3,FALSE)</f>
        <v>0</v>
      </c>
      <c r="N1229" s="23">
        <v>4.8871499999999998E-2</v>
      </c>
      <c r="O1229" s="22">
        <f>+PROVEEDORES[[#This Row],[Descuento sobre subtotal %]]*(PROVEEDORES[[#This Row],[SUBTOTAL]]-PROVEEDORES[[#This Row],[descuento sobre subtotal]])</f>
        <v>91209.857879999996</v>
      </c>
      <c r="P1229" s="74">
        <f>+IF(PROVEEDORES[[#This Row],[SUBTOTAL]]&lt;PROVEEDORES[[#This Row],[base retencion]],0,PROVEEDORES[[#This Row],[retención aplicada]])</f>
        <v>0</v>
      </c>
      <c r="Q1229" s="22">
        <f>+PROVEEDORES[[#This Row],[Rete Fuente %]]*(PROVEEDORES[[#This Row],[SUBTOTAL]]-PROVEEDORES[[#This Row],[descuento sobre subtotal]])</f>
        <v>0</v>
      </c>
      <c r="R1229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1229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63">
        <f ca="1">IF(PROVEEDORES[[#This Row],[FECHA DE PAGO]]=0,TODAY()-PROVEEDORES[[#This Row],[FECHA DE FACTURACIÓN]]-PROVEEDORES[[#This Row],[PLAZO Días]],0)</f>
        <v>0</v>
      </c>
      <c r="U1229" s="104">
        <f>+VLOOKUP(PROVEEDORES[[#This Row],[PROVEEDOR]],Terceros!$A:$D,4,FALSE)</f>
        <v>0</v>
      </c>
      <c r="V1229" s="105">
        <f>+YEAR(PROVEEDORES[[#This Row],[FECHA DE FACTURACIÓN]])</f>
        <v>2023</v>
      </c>
      <c r="W1229" s="105">
        <f>+MATCH(PROVEEDORES[[#This Row],[año facturado]],Retenciones!$1:$1,0)</f>
        <v>6</v>
      </c>
      <c r="X1229" s="106">
        <f>+VLOOKUP(PROVEEDORES[[#This Row],[ID RETENCION]],Retenciones!$A$1:$O$25,PROVEEDORES[[#This Row],[indicador de columna]],FALSE)</f>
        <v>0</v>
      </c>
      <c r="Y1229" s="107">
        <f>+VLOOKUP(PROVEEDORES[[#This Row],[ID RETENCION]],Retenciones!$A$1:$O$25,2,FALSE)</f>
        <v>0</v>
      </c>
      <c r="Z1229" s="116" t="b">
        <f>OR(COUNTIF(PROVEEDORES[[#This Row],[PROVEEDOR]],"*"&amp;'Palabra no opera'!$A$2&amp;"*"))</f>
        <v>1</v>
      </c>
    </row>
    <row r="1230" spans="1:26" ht="22.35" customHeight="1" x14ac:dyDescent="0.3">
      <c r="A1230" s="267" t="str">
        <f>+IF(PROVEEDORES[[#This Row],[FECHA DE PAGO]]=PROVEEDORES[[#This Row],[FECHA DE FACTURACIÓN]],"DE CONTADO","CRÉDITO")</f>
        <v>CRÉDITO</v>
      </c>
      <c r="B1230" s="38" t="b">
        <f>+IF((PROVEEDORES[[#This Row],[FECHA DE PAGO]]-PROVEEDORES[[#This Row],[FECHA DE FACTURACIÓN]])&gt;PROVEEDORES[[#This Row],[PLAZO Días]],"PAGO VENCIDO")</f>
        <v>0</v>
      </c>
      <c r="C1230" s="20">
        <f>+VLOOKUP(PROVEEDORES[[#This Row],[PROVEEDOR]],TERCEROS_INFO[#All],2,FALSE)</f>
        <v>30</v>
      </c>
      <c r="D1230" s="25">
        <f>+SUMIFS(PROVEEDORES[Total],PROVEEDORES[PROVEEDOR],PROVEEDORES[[#This Row],[PROVEEDOR]],PROVEEDORES[FECHA DE PAGO],"")</f>
        <v>352505.48</v>
      </c>
      <c r="E1230" s="25"/>
      <c r="F1230" s="56" t="str">
        <f>+VLOOKUP(PROVEEDORES[[#This Row],[PROVEEDOR]],
                       Terceros!$A:$F,
                       5,
                       FALSE)</f>
        <v>facturacion@losmolinos.com.co</v>
      </c>
      <c r="G1230" s="68">
        <v>44977</v>
      </c>
      <c r="H1230" s="26" t="s">
        <v>631</v>
      </c>
      <c r="I1230" s="68">
        <v>44958</v>
      </c>
      <c r="J1230" s="35" t="s">
        <v>1449</v>
      </c>
      <c r="K1230" s="21">
        <v>329981</v>
      </c>
      <c r="L1230" s="21"/>
      <c r="M1230" s="22">
        <f>(PROVEEDORES[[#This Row],[SUBTOTAL]]-PROVEEDORES[[#This Row],[descuento sobre subtotal]])*VLOOKUP(PROVEEDORES[[#This Row],[PROVEEDOR]],TERCEROS_INFO[#All],3,FALSE)</f>
        <v>0</v>
      </c>
      <c r="N1230" s="23"/>
      <c r="O1230" s="22">
        <v>9886</v>
      </c>
      <c r="P1230" s="74">
        <f>+IF(PROVEEDORES[[#This Row],[SUBTOTAL]]&lt;PROVEEDORES[[#This Row],[base retencion]],0,PROVEEDORES[[#This Row],[retención aplicada]])</f>
        <v>0</v>
      </c>
      <c r="Q1230" s="22">
        <f>+PROVEEDORES[[#This Row],[Rete Fuente %]]*(PROVEEDORES[[#This Row],[SUBTOTAL]]-PROVEEDORES[[#This Row],[descuento sobre subtotal]])</f>
        <v>0</v>
      </c>
      <c r="R1230" s="21">
        <f>+PROVEEDORES[[#This Row],[SUBTOTAL]]+PROVEEDORES[[#This Row],[IVA 19%]]-PROVEEDORES[[#This Row],[descuento sobre subtotal]]-PROVEEDORES[[#This Row],[Descuento sobre subtotal $2]]-PROVEEDORES[[#This Row],[Rete Fuente $]]</f>
        <v>320095</v>
      </c>
      <c r="S1230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63">
        <f ca="1">IF(PROVEEDORES[[#This Row],[FECHA DE PAGO]]=0,TODAY()-PROVEEDORES[[#This Row],[FECHA DE FACTURACIÓN]]-PROVEEDORES[[#This Row],[PLAZO Días]],0)</f>
        <v>0</v>
      </c>
      <c r="U1230" s="104">
        <f>+VLOOKUP(PROVEEDORES[[#This Row],[PROVEEDOR]],Terceros!$A:$D,4,FALSE)</f>
        <v>0</v>
      </c>
      <c r="V1230" s="105">
        <f>+YEAR(PROVEEDORES[[#This Row],[FECHA DE FACTURACIÓN]])</f>
        <v>2023</v>
      </c>
      <c r="W1230" s="105">
        <f>+MATCH(PROVEEDORES[[#This Row],[año facturado]],Retenciones!$1:$1,0)</f>
        <v>6</v>
      </c>
      <c r="X1230" s="106">
        <f>+VLOOKUP(PROVEEDORES[[#This Row],[ID RETENCION]],Retenciones!$A$1:$O$25,PROVEEDORES[[#This Row],[indicador de columna]],FALSE)</f>
        <v>0</v>
      </c>
      <c r="Y1230" s="107">
        <f>+VLOOKUP(PROVEEDORES[[#This Row],[ID RETENCION]],Retenciones!$A$1:$O$25,2,FALSE)</f>
        <v>0</v>
      </c>
      <c r="Z1230" s="116" t="b">
        <f>OR(COUNTIF(PROVEEDORES[[#This Row],[PROVEEDOR]],"*"&amp;'Palabra no opera'!$A$2&amp;"*"))</f>
        <v>1</v>
      </c>
    </row>
    <row r="1231" spans="1:26" ht="22.35" customHeight="1" x14ac:dyDescent="0.3">
      <c r="A1231" s="267" t="str">
        <f>+IF(PROVEEDORES[[#This Row],[FECHA DE PAGO]]=PROVEEDORES[[#This Row],[FECHA DE FACTURACIÓN]],"DE CONTADO","CRÉDITO")</f>
        <v>CRÉDITO</v>
      </c>
      <c r="B1231" s="38" t="b">
        <f>+IF((PROVEEDORES[[#This Row],[FECHA DE PAGO]]-PROVEEDORES[[#This Row],[FECHA DE FACTURACIÓN]])&gt;PROVEEDORES[[#This Row],[PLAZO Días]],"PAGO VENCIDO")</f>
        <v>0</v>
      </c>
      <c r="C1231" s="20">
        <f>+VLOOKUP(PROVEEDORES[[#This Row],[PROVEEDOR]],TERCEROS_INFO[#All],2,FALSE)</f>
        <v>30</v>
      </c>
      <c r="D1231" s="25">
        <f>+SUMIFS(PROVEEDORES[Total],PROVEEDORES[PROVEEDOR],PROVEEDORES[[#This Row],[PROVEEDOR]],PROVEEDORES[FECHA DE PAGO],"")</f>
        <v>0</v>
      </c>
      <c r="E1231" s="25"/>
      <c r="F123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31" s="68">
        <v>44977</v>
      </c>
      <c r="H1231" s="26" t="s">
        <v>637</v>
      </c>
      <c r="I1231" s="68">
        <v>44958</v>
      </c>
      <c r="J1231" s="35" t="s">
        <v>1450</v>
      </c>
      <c r="K1231" s="21">
        <v>928304</v>
      </c>
      <c r="L1231" s="21"/>
      <c r="M1231" s="22">
        <f>(PROVEEDORES[[#This Row],[SUBTOTAL]]-PROVEEDORES[[#This Row],[descuento sobre subtotal]])*VLOOKUP(PROVEEDORES[[#This Row],[PROVEEDOR]],TERCEROS_INFO[#All],3,FALSE)</f>
        <v>0</v>
      </c>
      <c r="N1231" s="23"/>
      <c r="O1231" s="22">
        <f>+PROVEEDORES[[#This Row],[Descuento sobre subtotal %]]*(PROVEEDORES[[#This Row],[SUBTOTAL]]-PROVEEDORES[[#This Row],[descuento sobre subtotal]])</f>
        <v>0</v>
      </c>
      <c r="P1231" s="74">
        <f>+IF(PROVEEDORES[[#This Row],[SUBTOTAL]]&lt;PROVEEDORES[[#This Row],[base retencion]],0,PROVEEDORES[[#This Row],[retención aplicada]])</f>
        <v>0</v>
      </c>
      <c r="Q1231" s="22">
        <f>+PROVEEDORES[[#This Row],[Rete Fuente %]]*(PROVEEDORES[[#This Row],[SUBTOTAL]]-PROVEEDORES[[#This Row],[descuento sobre subtotal]])</f>
        <v>0</v>
      </c>
      <c r="R1231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1231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63">
        <f ca="1">IF(PROVEEDORES[[#This Row],[FECHA DE PAGO]]=0,TODAY()-PROVEEDORES[[#This Row],[FECHA DE FACTURACIÓN]]-PROVEEDORES[[#This Row],[PLAZO Días]],0)</f>
        <v>0</v>
      </c>
      <c r="U1231" s="104">
        <f>+VLOOKUP(PROVEEDORES[[#This Row],[PROVEEDOR]],Terceros!$A:$D,4,FALSE)</f>
        <v>0</v>
      </c>
      <c r="V1231" s="105">
        <f>+YEAR(PROVEEDORES[[#This Row],[FECHA DE FACTURACIÓN]])</f>
        <v>2023</v>
      </c>
      <c r="W1231" s="105">
        <f>+MATCH(PROVEEDORES[[#This Row],[año facturado]],Retenciones!$1:$1,0)</f>
        <v>6</v>
      </c>
      <c r="X1231" s="106">
        <f>+VLOOKUP(PROVEEDORES[[#This Row],[ID RETENCION]],Retenciones!$A$1:$O$25,PROVEEDORES[[#This Row],[indicador de columna]],FALSE)</f>
        <v>0</v>
      </c>
      <c r="Y1231" s="107">
        <f>+VLOOKUP(PROVEEDORES[[#This Row],[ID RETENCION]],Retenciones!$A$1:$O$25,2,FALSE)</f>
        <v>0</v>
      </c>
      <c r="Z1231" s="116" t="b">
        <f>OR(COUNTIF(PROVEEDORES[[#This Row],[PROVEEDOR]],"*"&amp;'Palabra no opera'!$A$2&amp;"*"))</f>
        <v>1</v>
      </c>
    </row>
    <row r="1232" spans="1:26" ht="22.35" customHeight="1" x14ac:dyDescent="0.3">
      <c r="A1232" s="267" t="str">
        <f>+IF(PROVEEDORES[[#This Row],[FECHA DE PAGO]]=PROVEEDORES[[#This Row],[FECHA DE FACTURACIÓN]],"DE CONTADO","CRÉDITO")</f>
        <v>CRÉDITO</v>
      </c>
      <c r="B1232" s="38" t="b">
        <f>+IF((PROVEEDORES[[#This Row],[FECHA DE PAGO]]-PROVEEDORES[[#This Row],[FECHA DE FACTURACIÓN]])&gt;PROVEEDORES[[#This Row],[PLAZO Días]],"PAGO VENCIDO")</f>
        <v>0</v>
      </c>
      <c r="C1232" s="20">
        <f>+VLOOKUP(PROVEEDORES[[#This Row],[PROVEEDOR]],TERCEROS_INFO[#All],2,FALSE)</f>
        <v>30</v>
      </c>
      <c r="D1232" s="25">
        <f>+SUMIFS(PROVEEDORES[Total],PROVEEDORES[PROVEEDOR],PROVEEDORES[[#This Row],[PROVEEDOR]],PROVEEDORES[FECHA DE PAGO],"")</f>
        <v>0</v>
      </c>
      <c r="E1232" s="25"/>
      <c r="F123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32" s="68">
        <v>44977</v>
      </c>
      <c r="H1232" s="26" t="s">
        <v>637</v>
      </c>
      <c r="I1232" s="68">
        <v>44958</v>
      </c>
      <c r="J1232" s="35" t="s">
        <v>1451</v>
      </c>
      <c r="K1232" s="21">
        <v>949891</v>
      </c>
      <c r="L1232" s="21"/>
      <c r="M1232" s="22">
        <f>(PROVEEDORES[[#This Row],[SUBTOTAL]]-PROVEEDORES[[#This Row],[descuento sobre subtotal]])*VLOOKUP(PROVEEDORES[[#This Row],[PROVEEDOR]],TERCEROS_INFO[#All],3,FALSE)</f>
        <v>0</v>
      </c>
      <c r="N1232" s="23"/>
      <c r="O1232" s="22">
        <f>+PROVEEDORES[[#This Row],[Descuento sobre subtotal %]]*(PROVEEDORES[[#This Row],[SUBTOTAL]]-PROVEEDORES[[#This Row],[descuento sobre subtotal]])</f>
        <v>0</v>
      </c>
      <c r="P1232" s="74">
        <f>+IF(PROVEEDORES[[#This Row],[SUBTOTAL]]&lt;PROVEEDORES[[#This Row],[base retencion]],0,PROVEEDORES[[#This Row],[retención aplicada]])</f>
        <v>0</v>
      </c>
      <c r="Q1232" s="22">
        <f>+PROVEEDORES[[#This Row],[Rete Fuente %]]*(PROVEEDORES[[#This Row],[SUBTOTAL]]-PROVEEDORES[[#This Row],[descuento sobre subtotal]])</f>
        <v>0</v>
      </c>
      <c r="R1232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1232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63">
        <f ca="1">IF(PROVEEDORES[[#This Row],[FECHA DE PAGO]]=0,TODAY()-PROVEEDORES[[#This Row],[FECHA DE FACTURACIÓN]]-PROVEEDORES[[#This Row],[PLAZO Días]],0)</f>
        <v>0</v>
      </c>
      <c r="U1232" s="104">
        <f>+VLOOKUP(PROVEEDORES[[#This Row],[PROVEEDOR]],Terceros!$A:$D,4,FALSE)</f>
        <v>0</v>
      </c>
      <c r="V1232" s="105">
        <f>+YEAR(PROVEEDORES[[#This Row],[FECHA DE FACTURACIÓN]])</f>
        <v>2023</v>
      </c>
      <c r="W1232" s="105">
        <f>+MATCH(PROVEEDORES[[#This Row],[año facturado]],Retenciones!$1:$1,0)</f>
        <v>6</v>
      </c>
      <c r="X1232" s="106">
        <f>+VLOOKUP(PROVEEDORES[[#This Row],[ID RETENCION]],Retenciones!$A$1:$O$25,PROVEEDORES[[#This Row],[indicador de columna]],FALSE)</f>
        <v>0</v>
      </c>
      <c r="Y1232" s="107">
        <f>+VLOOKUP(PROVEEDORES[[#This Row],[ID RETENCION]],Retenciones!$A$1:$O$25,2,FALSE)</f>
        <v>0</v>
      </c>
      <c r="Z1232" s="116" t="b">
        <f>OR(COUNTIF(PROVEEDORES[[#This Row],[PROVEEDOR]],"*"&amp;'Palabra no opera'!$A$2&amp;"*"))</f>
        <v>1</v>
      </c>
    </row>
    <row r="1233" spans="1:26" ht="22.35" customHeight="1" x14ac:dyDescent="0.3">
      <c r="A1233" s="267" t="str">
        <f>+IF(PROVEEDORES[[#This Row],[FECHA DE PAGO]]=PROVEEDORES[[#This Row],[FECHA DE FACTURACIÓN]],"DE CONTADO","CRÉDITO")</f>
        <v>CRÉDITO</v>
      </c>
      <c r="B1233" s="38" t="b">
        <f>+IF((PROVEEDORES[[#This Row],[FECHA DE PAGO]]-PROVEEDORES[[#This Row],[FECHA DE FACTURACIÓN]])&gt;PROVEEDORES[[#This Row],[PLAZO Días]],"PAGO VENCIDO")</f>
        <v>0</v>
      </c>
      <c r="C1233" s="20">
        <f>+VLOOKUP(PROVEEDORES[[#This Row],[PROVEEDOR]],TERCEROS_INFO[#All],2,FALSE)</f>
        <v>30</v>
      </c>
      <c r="D1233" s="25">
        <f>+SUMIFS(PROVEEDORES[Total],PROVEEDORES[PROVEEDOR],PROVEEDORES[[#This Row],[PROVEEDOR]],PROVEEDORES[FECHA DE PAGO],"")</f>
        <v>0</v>
      </c>
      <c r="E1233" s="25"/>
      <c r="F123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33" s="68">
        <v>44977</v>
      </c>
      <c r="H1233" s="26" t="s">
        <v>637</v>
      </c>
      <c r="I1233" s="68">
        <v>44958</v>
      </c>
      <c r="J1233" s="35" t="s">
        <v>1452</v>
      </c>
      <c r="K1233" s="21">
        <v>59583</v>
      </c>
      <c r="L1233" s="21"/>
      <c r="M1233" s="22">
        <f>(PROVEEDORES[[#This Row],[SUBTOTAL]]-PROVEEDORES[[#This Row],[descuento sobre subtotal]])*VLOOKUP(PROVEEDORES[[#This Row],[PROVEEDOR]],TERCEROS_INFO[#All],3,FALSE)</f>
        <v>0</v>
      </c>
      <c r="N1233" s="23"/>
      <c r="O1233" s="22">
        <f>+PROVEEDORES[[#This Row],[Descuento sobre subtotal %]]*(PROVEEDORES[[#This Row],[SUBTOTAL]]-PROVEEDORES[[#This Row],[descuento sobre subtotal]])</f>
        <v>0</v>
      </c>
      <c r="P1233" s="74">
        <f>+IF(PROVEEDORES[[#This Row],[SUBTOTAL]]&lt;PROVEEDORES[[#This Row],[base retencion]],0,PROVEEDORES[[#This Row],[retención aplicada]])</f>
        <v>0</v>
      </c>
      <c r="Q1233" s="22">
        <f>+PROVEEDORES[[#This Row],[Rete Fuente %]]*(PROVEEDORES[[#This Row],[SUBTOTAL]]-PROVEEDORES[[#This Row],[descuento sobre subtotal]])</f>
        <v>0</v>
      </c>
      <c r="R1233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233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63">
        <f ca="1">IF(PROVEEDORES[[#This Row],[FECHA DE PAGO]]=0,TODAY()-PROVEEDORES[[#This Row],[FECHA DE FACTURACIÓN]]-PROVEEDORES[[#This Row],[PLAZO Días]],0)</f>
        <v>0</v>
      </c>
      <c r="U1233" s="104">
        <f>+VLOOKUP(PROVEEDORES[[#This Row],[PROVEEDOR]],Terceros!$A:$D,4,FALSE)</f>
        <v>0</v>
      </c>
      <c r="V1233" s="105">
        <f>+YEAR(PROVEEDORES[[#This Row],[FECHA DE FACTURACIÓN]])</f>
        <v>2023</v>
      </c>
      <c r="W1233" s="105">
        <f>+MATCH(PROVEEDORES[[#This Row],[año facturado]],Retenciones!$1:$1,0)</f>
        <v>6</v>
      </c>
      <c r="X1233" s="106">
        <f>+VLOOKUP(PROVEEDORES[[#This Row],[ID RETENCION]],Retenciones!$A$1:$O$25,PROVEEDORES[[#This Row],[indicador de columna]],FALSE)</f>
        <v>0</v>
      </c>
      <c r="Y1233" s="107">
        <f>+VLOOKUP(PROVEEDORES[[#This Row],[ID RETENCION]],Retenciones!$A$1:$O$25,2,FALSE)</f>
        <v>0</v>
      </c>
      <c r="Z1233" s="116" t="b">
        <f>OR(COUNTIF(PROVEEDORES[[#This Row],[PROVEEDOR]],"*"&amp;'Palabra no opera'!$A$2&amp;"*"))</f>
        <v>1</v>
      </c>
    </row>
    <row r="1234" spans="1:26" ht="22.35" customHeight="1" x14ac:dyDescent="0.3">
      <c r="A1234" s="267" t="str">
        <f>+IF(PROVEEDORES[[#This Row],[FECHA DE PAGO]]=PROVEEDORES[[#This Row],[FECHA DE FACTURACIÓN]],"DE CONTADO","CRÉDITO")</f>
        <v>CRÉDITO</v>
      </c>
      <c r="B1234" s="38" t="b">
        <f>+IF((PROVEEDORES[[#This Row],[FECHA DE PAGO]]-PROVEEDORES[[#This Row],[FECHA DE FACTURACIÓN]])&gt;PROVEEDORES[[#This Row],[PLAZO Días]],"PAGO VENCIDO")</f>
        <v>0</v>
      </c>
      <c r="C1234" s="20">
        <f>+VLOOKUP(PROVEEDORES[[#This Row],[PROVEEDOR]],TERCEROS_INFO[#All],2,FALSE)</f>
        <v>30</v>
      </c>
      <c r="D1234" s="25">
        <f>+SUMIFS(PROVEEDORES[Total],PROVEEDORES[PROVEEDOR],PROVEEDORES[[#This Row],[PROVEEDOR]],PROVEEDORES[FECHA DE PAGO],"")</f>
        <v>0</v>
      </c>
      <c r="E1234" s="25"/>
      <c r="F123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34" s="68">
        <v>44977</v>
      </c>
      <c r="H1234" s="26" t="s">
        <v>637</v>
      </c>
      <c r="I1234" s="68">
        <v>44958</v>
      </c>
      <c r="J1234" s="35" t="s">
        <v>1453</v>
      </c>
      <c r="K1234" s="21">
        <v>68166</v>
      </c>
      <c r="L1234" s="21"/>
      <c r="M1234" s="22">
        <f>(PROVEEDORES[[#This Row],[SUBTOTAL]]-PROVEEDORES[[#This Row],[descuento sobre subtotal]])*VLOOKUP(PROVEEDORES[[#This Row],[PROVEEDOR]],TERCEROS_INFO[#All],3,FALSE)</f>
        <v>0</v>
      </c>
      <c r="N1234" s="23"/>
      <c r="O1234" s="22">
        <f>+PROVEEDORES[[#This Row],[Descuento sobre subtotal %]]*(PROVEEDORES[[#This Row],[SUBTOTAL]]-PROVEEDORES[[#This Row],[descuento sobre subtotal]])</f>
        <v>0</v>
      </c>
      <c r="P1234" s="74">
        <f>+IF(PROVEEDORES[[#This Row],[SUBTOTAL]]&lt;PROVEEDORES[[#This Row],[base retencion]],0,PROVEEDORES[[#This Row],[retención aplicada]])</f>
        <v>0</v>
      </c>
      <c r="Q1234" s="22">
        <f>+PROVEEDORES[[#This Row],[Rete Fuente %]]*(PROVEEDORES[[#This Row],[SUBTOTAL]]-PROVEEDORES[[#This Row],[descuento sobre subtotal]])</f>
        <v>0</v>
      </c>
      <c r="R1234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234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63">
        <f ca="1">IF(PROVEEDORES[[#This Row],[FECHA DE PAGO]]=0,TODAY()-PROVEEDORES[[#This Row],[FECHA DE FACTURACIÓN]]-PROVEEDORES[[#This Row],[PLAZO Días]],0)</f>
        <v>0</v>
      </c>
      <c r="U1234" s="104">
        <f>+VLOOKUP(PROVEEDORES[[#This Row],[PROVEEDOR]],Terceros!$A:$D,4,FALSE)</f>
        <v>0</v>
      </c>
      <c r="V1234" s="105">
        <f>+YEAR(PROVEEDORES[[#This Row],[FECHA DE FACTURACIÓN]])</f>
        <v>2023</v>
      </c>
      <c r="W1234" s="105">
        <f>+MATCH(PROVEEDORES[[#This Row],[año facturado]],Retenciones!$1:$1,0)</f>
        <v>6</v>
      </c>
      <c r="X1234" s="106">
        <f>+VLOOKUP(PROVEEDORES[[#This Row],[ID RETENCION]],Retenciones!$A$1:$O$25,PROVEEDORES[[#This Row],[indicador de columna]],FALSE)</f>
        <v>0</v>
      </c>
      <c r="Y1234" s="107">
        <f>+VLOOKUP(PROVEEDORES[[#This Row],[ID RETENCION]],Retenciones!$A$1:$O$25,2,FALSE)</f>
        <v>0</v>
      </c>
      <c r="Z1234" s="116" t="b">
        <f>OR(COUNTIF(PROVEEDORES[[#This Row],[PROVEEDOR]],"*"&amp;'Palabra no opera'!$A$2&amp;"*"))</f>
        <v>1</v>
      </c>
    </row>
    <row r="1235" spans="1:26" ht="22.35" customHeight="1" x14ac:dyDescent="0.3">
      <c r="A1235" s="249" t="str">
        <f>+IF(PROVEEDORES[[#This Row],[FECHA DE PAGO]]=PROVEEDORES[[#This Row],[FECHA DE FACTURACIÓN]],"DE CONTADO","CRÉDITO")</f>
        <v>CRÉDITO</v>
      </c>
      <c r="B1235" s="38" t="str">
        <f>+IF((PROVEEDORES[[#This Row],[FECHA DE PAGO]]-PROVEEDORES[[#This Row],[FECHA DE FACTURACIÓN]])&gt;PROVEEDORES[[#This Row],[PLAZO Días]],"PAGO VENCIDO")</f>
        <v>PAGO VENCIDO</v>
      </c>
      <c r="C1235" s="20">
        <f>+VLOOKUP(PROVEEDORES[[#This Row],[PROVEEDOR]],TERCEROS_INFO[#All],2,FALSE)</f>
        <v>30</v>
      </c>
      <c r="D1235" s="25">
        <f>+SUMIFS(PROVEEDORES[Total],PROVEEDORES[PROVEEDOR],PROVEEDORES[[#This Row],[PROVEEDOR]],PROVEEDORES[FECHA DE PAGO],"")</f>
        <v>0</v>
      </c>
      <c r="E1235" s="25"/>
      <c r="F1235" s="56">
        <f>+VLOOKUP(PROVEEDORES[[#This Row],[PROVEEDOR]],
                       Terceros!$A:$F,
                       5,
                       FALSE)</f>
        <v>0</v>
      </c>
      <c r="G1235" s="68">
        <v>44977</v>
      </c>
      <c r="H1235" s="26" t="s">
        <v>1356</v>
      </c>
      <c r="I1235" s="68">
        <v>44904</v>
      </c>
      <c r="J1235" s="35">
        <v>7600</v>
      </c>
      <c r="K1235" s="21">
        <v>3800000</v>
      </c>
      <c r="L1235" s="21"/>
      <c r="M1235" s="22">
        <f>(PROVEEDORES[[#This Row],[SUBTOTAL]]-PROVEEDORES[[#This Row],[descuento sobre subtotal]])*VLOOKUP(PROVEEDORES[[#This Row],[PROVEEDOR]],TERCEROS_INFO[#All],3,FALSE)</f>
        <v>722000</v>
      </c>
      <c r="N1235" s="23"/>
      <c r="O1235" s="22">
        <f>+PROVEEDORES[[#This Row],[Descuento sobre subtotal %]]*(PROVEEDORES[[#This Row],[SUBTOTAL]]-PROVEEDORES[[#This Row],[descuento sobre subtotal]])</f>
        <v>0</v>
      </c>
      <c r="P1235" s="74">
        <f>+IF(PROVEEDORES[[#This Row],[SUBTOTAL]]&lt;PROVEEDORES[[#This Row],[base retencion]],0,PROVEEDORES[[#This Row],[retención aplicada]])</f>
        <v>2.5000000000000001E-2</v>
      </c>
      <c r="Q1235" s="22">
        <f>+PROVEEDORES[[#This Row],[Rete Fuente %]]*(PROVEEDORES[[#This Row],[SUBTOTAL]]-PROVEEDORES[[#This Row],[descuento sobre subtotal]])</f>
        <v>95000</v>
      </c>
      <c r="R1235" s="21">
        <f>+PROVEEDORES[[#This Row],[SUBTOTAL]]+PROVEEDORES[[#This Row],[IVA 19%]]-PROVEEDORES[[#This Row],[descuento sobre subtotal]]-PROVEEDORES[[#This Row],[Descuento sobre subtotal $2]]-PROVEEDORES[[#This Row],[Rete Fuente $]]</f>
        <v>4427000</v>
      </c>
      <c r="S1235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63">
        <f ca="1">IF(PROVEEDORES[[#This Row],[FECHA DE PAGO]]=0,TODAY()-PROVEEDORES[[#This Row],[FECHA DE FACTURACIÓN]]-PROVEEDORES[[#This Row],[PLAZO Días]],0)</f>
        <v>0</v>
      </c>
      <c r="U1235" s="104" t="str">
        <f>+VLOOKUP(PROVEEDORES[[#This Row],[PROVEEDOR]],Terceros!$A:$D,4,FALSE)</f>
        <v>2,5% con base</v>
      </c>
      <c r="V1235" s="105">
        <f>+YEAR(PROVEEDORES[[#This Row],[FECHA DE FACTURACIÓN]])</f>
        <v>2022</v>
      </c>
      <c r="W1235" s="105">
        <f>+MATCH(PROVEEDORES[[#This Row],[año facturado]],Retenciones!$1:$1,0)</f>
        <v>5</v>
      </c>
      <c r="X1235" s="106">
        <f>+VLOOKUP(PROVEEDORES[[#This Row],[ID RETENCION]],Retenciones!$A$1:$O$25,PROVEEDORES[[#This Row],[indicador de columna]],FALSE)</f>
        <v>1026000</v>
      </c>
      <c r="Y1235" s="107">
        <f>+VLOOKUP(PROVEEDORES[[#This Row],[ID RETENCION]],Retenciones!$A$1:$O$25,2,FALSE)</f>
        <v>2.5000000000000001E-2</v>
      </c>
      <c r="Z1235" s="116" t="b">
        <f>OR(COUNTIF(PROVEEDORES[[#This Row],[PROVEEDOR]],"*"&amp;'Palabra no opera'!$A$2&amp;"*"))</f>
        <v>0</v>
      </c>
    </row>
    <row r="1236" spans="1:26" ht="22.35" customHeight="1" x14ac:dyDescent="0.3">
      <c r="A1236" s="249" t="str">
        <f>+IF(PROVEEDORES[[#This Row],[FECHA DE PAGO]]=PROVEEDORES[[#This Row],[FECHA DE FACTURACIÓN]],"DE CONTADO","CRÉDITO")</f>
        <v>CRÉDITO</v>
      </c>
      <c r="B1236" s="38" t="str">
        <f>+IF((PROVEEDORES[[#This Row],[FECHA DE PAGO]]-PROVEEDORES[[#This Row],[FECHA DE FACTURACIÓN]])&gt;PROVEEDORES[[#This Row],[PLAZO Días]],"PAGO VENCIDO")</f>
        <v>PAGO VENCIDO</v>
      </c>
      <c r="C1236" s="20">
        <f>+VLOOKUP(PROVEEDORES[[#This Row],[PROVEEDOR]],TERCEROS_INFO[#All],2,FALSE)</f>
        <v>30</v>
      </c>
      <c r="D1236" s="25">
        <f>+SUMIFS(PROVEEDORES[Total],PROVEEDORES[PROVEEDOR],PROVEEDORES[[#This Row],[PROVEEDOR]],PROVEEDORES[FECHA DE PAGO],"")</f>
        <v>380979.69</v>
      </c>
      <c r="E1236" s="25"/>
      <c r="F1236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36" s="68">
        <v>44980</v>
      </c>
      <c r="H1236" s="26" t="s">
        <v>1295</v>
      </c>
      <c r="I1236" s="68">
        <v>44914</v>
      </c>
      <c r="J1236" s="35" t="s">
        <v>1348</v>
      </c>
      <c r="K1236" s="21">
        <v>1305384</v>
      </c>
      <c r="L1236" s="21"/>
      <c r="M1236" s="22">
        <f>(PROVEEDORES[[#This Row],[SUBTOTAL]]-PROVEEDORES[[#This Row],[descuento sobre subtotal]])*VLOOKUP(PROVEEDORES[[#This Row],[PROVEEDOR]],TERCEROS_INFO[#All],3,FALSE)</f>
        <v>248022.96</v>
      </c>
      <c r="N1236" s="23"/>
      <c r="O1236" s="22">
        <f>+PROVEEDORES[[#This Row],[Descuento sobre subtotal %]]*(PROVEEDORES[[#This Row],[SUBTOTAL]]-PROVEEDORES[[#This Row],[descuento sobre subtotal]])</f>
        <v>0</v>
      </c>
      <c r="P1236" s="74">
        <f>+IF(PROVEEDORES[[#This Row],[SUBTOTAL]]&lt;PROVEEDORES[[#This Row],[base retencion]],0,PROVEEDORES[[#This Row],[retención aplicada]])</f>
        <v>0</v>
      </c>
      <c r="Q1236" s="22">
        <f>+PROVEEDORES[[#This Row],[Rete Fuente %]]*(PROVEEDORES[[#This Row],[SUBTOTAL]]-PROVEEDORES[[#This Row],[descuento sobre subtotal]])</f>
        <v>0</v>
      </c>
      <c r="R1236" s="21">
        <f>+PROVEEDORES[[#This Row],[SUBTOTAL]]+PROVEEDORES[[#This Row],[IVA 19%]]-PROVEEDORES[[#This Row],[descuento sobre subtotal]]-PROVEEDORES[[#This Row],[Descuento sobre subtotal $2]]-PROVEEDORES[[#This Row],[Rete Fuente $]]</f>
        <v>1553406.96</v>
      </c>
      <c r="S1236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63">
        <f ca="1">IF(PROVEEDORES[[#This Row],[FECHA DE PAGO]]=0,TODAY()-PROVEEDORES[[#This Row],[FECHA DE FACTURACIÓN]]-PROVEEDORES[[#This Row],[PLAZO Días]],0)</f>
        <v>0</v>
      </c>
      <c r="U1236" s="104">
        <f>+VLOOKUP(PROVEEDORES[[#This Row],[PROVEEDOR]],Terceros!$A:$D,4,FALSE)</f>
        <v>0</v>
      </c>
      <c r="V1236" s="105">
        <f>+YEAR(PROVEEDORES[[#This Row],[FECHA DE FACTURACIÓN]])</f>
        <v>2022</v>
      </c>
      <c r="W1236" s="105">
        <f>+MATCH(PROVEEDORES[[#This Row],[año facturado]],Retenciones!$1:$1,0)</f>
        <v>5</v>
      </c>
      <c r="X1236" s="106">
        <f>+VLOOKUP(PROVEEDORES[[#This Row],[ID RETENCION]],Retenciones!$A$1:$O$25,PROVEEDORES[[#This Row],[indicador de columna]],FALSE)</f>
        <v>0</v>
      </c>
      <c r="Y1236" s="107">
        <f>+VLOOKUP(PROVEEDORES[[#This Row],[ID RETENCION]],Retenciones!$A$1:$O$25,2,FALSE)</f>
        <v>0</v>
      </c>
      <c r="Z1236" s="116" t="b">
        <f>OR(COUNTIF(PROVEEDORES[[#This Row],[PROVEEDOR]],"*"&amp;'Palabra no opera'!$A$2&amp;"*"))</f>
        <v>1</v>
      </c>
    </row>
    <row r="1237" spans="1:26" ht="22.35" customHeight="1" x14ac:dyDescent="0.3">
      <c r="A1237" s="267" t="str">
        <f>+IF(PROVEEDORES[[#This Row],[FECHA DE PAGO]]=PROVEEDORES[[#This Row],[FECHA DE FACTURACIÓN]],"DE CONTADO","CRÉDITO")</f>
        <v>CRÉDITO</v>
      </c>
      <c r="B1237" s="38" t="b">
        <f>+IF((PROVEEDORES[[#This Row],[FECHA DE PAGO]]-PROVEEDORES[[#This Row],[FECHA DE FACTURACIÓN]])&gt;PROVEEDORES[[#This Row],[PLAZO Días]],"PAGO VENCIDO")</f>
        <v>0</v>
      </c>
      <c r="C1237" s="20">
        <f>+VLOOKUP(PROVEEDORES[[#This Row],[PROVEEDOR]],TERCEROS_INFO[#All],2,FALSE)</f>
        <v>30</v>
      </c>
      <c r="D1237" s="25">
        <f>+SUMIFS(PROVEEDORES[Total],PROVEEDORES[PROVEEDOR],PROVEEDORES[[#This Row],[PROVEEDOR]],PROVEEDORES[FECHA DE PAGO],"")</f>
        <v>0</v>
      </c>
      <c r="E1237" s="25"/>
      <c r="F1237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1237" s="68">
        <v>44983</v>
      </c>
      <c r="H1237" s="26" t="s">
        <v>827</v>
      </c>
      <c r="I1237" s="68">
        <v>44965</v>
      </c>
      <c r="J1237" s="35" t="s">
        <v>1444</v>
      </c>
      <c r="K1237" s="21">
        <v>579832</v>
      </c>
      <c r="L1237" s="21"/>
      <c r="M1237" s="22">
        <f>(PROVEEDORES[[#This Row],[SUBTOTAL]]-PROVEEDORES[[#This Row],[descuento sobre subtotal]])*VLOOKUP(PROVEEDORES[[#This Row],[PROVEEDOR]],TERCEROS_INFO[#All],3,FALSE)</f>
        <v>110168.08</v>
      </c>
      <c r="N1237" s="23"/>
      <c r="O1237" s="22">
        <f>+PROVEEDORES[[#This Row],[Descuento sobre subtotal %]]*(PROVEEDORES[[#This Row],[SUBTOTAL]]-PROVEEDORES[[#This Row],[descuento sobre subtotal]])</f>
        <v>0</v>
      </c>
      <c r="P1237" s="74">
        <f>+IF(PROVEEDORES[[#This Row],[SUBTOTAL]]&lt;PROVEEDORES[[#This Row],[base retencion]],0,PROVEEDORES[[#This Row],[retención aplicada]])</f>
        <v>0</v>
      </c>
      <c r="Q1237" s="22">
        <f>+PROVEEDORES[[#This Row],[Rete Fuente %]]*(PROVEEDORES[[#This Row],[SUBTOTAL]]-PROVEEDORES[[#This Row],[descuento sobre subtotal]])</f>
        <v>0</v>
      </c>
      <c r="R1237" s="21">
        <f>+PROVEEDORES[[#This Row],[SUBTOTAL]]+PROVEEDORES[[#This Row],[IVA 19%]]-PROVEEDORES[[#This Row],[descuento sobre subtotal]]-PROVEEDORES[[#This Row],[Descuento sobre subtotal $2]]-PROVEEDORES[[#This Row],[Rete Fuente $]]</f>
        <v>690000.08</v>
      </c>
      <c r="S1237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63">
        <f ca="1">IF(PROVEEDORES[[#This Row],[FECHA DE PAGO]]=0,TODAY()-PROVEEDORES[[#This Row],[FECHA DE FACTURACIÓN]]-PROVEEDORES[[#This Row],[PLAZO Días]],0)</f>
        <v>0</v>
      </c>
      <c r="U1237" s="104">
        <f>+VLOOKUP(PROVEEDORES[[#This Row],[PROVEEDOR]],Terceros!$A:$D,4,FALSE)</f>
        <v>0</v>
      </c>
      <c r="V1237" s="105">
        <f>+YEAR(PROVEEDORES[[#This Row],[FECHA DE FACTURACIÓN]])</f>
        <v>2023</v>
      </c>
      <c r="W1237" s="105">
        <f>+MATCH(PROVEEDORES[[#This Row],[año facturado]],Retenciones!$1:$1,0)</f>
        <v>6</v>
      </c>
      <c r="X1237" s="106">
        <f>+VLOOKUP(PROVEEDORES[[#This Row],[ID RETENCION]],Retenciones!$A$1:$O$25,PROVEEDORES[[#This Row],[indicador de columna]],FALSE)</f>
        <v>0</v>
      </c>
      <c r="Y1237" s="107">
        <f>+VLOOKUP(PROVEEDORES[[#This Row],[ID RETENCION]],Retenciones!$A$1:$O$25,2,FALSE)</f>
        <v>0</v>
      </c>
      <c r="Z1237" s="116" t="b">
        <f>OR(COUNTIF(PROVEEDORES[[#This Row],[PROVEEDOR]],"*"&amp;'Palabra no opera'!$A$2&amp;"*"))</f>
        <v>0</v>
      </c>
    </row>
    <row r="1238" spans="1:26" ht="22.35" customHeight="1" x14ac:dyDescent="0.3">
      <c r="A1238" s="267" t="str">
        <f>+IF(PROVEEDORES[[#This Row],[FECHA DE PAGO]]=PROVEEDORES[[#This Row],[FECHA DE FACTURACIÓN]],"DE CONTADO","CRÉDITO")</f>
        <v>CRÉDITO</v>
      </c>
      <c r="B1238" s="38" t="b">
        <f>+IF((PROVEEDORES[[#This Row],[FECHA DE PAGO]]-PROVEEDORES[[#This Row],[FECHA DE FACTURACIÓN]])&gt;PROVEEDORES[[#This Row],[PLAZO Días]],"PAGO VENCIDO")</f>
        <v>0</v>
      </c>
      <c r="C1238" s="20">
        <f>+VLOOKUP(PROVEEDORES[[#This Row],[PROVEEDOR]],TERCEROS_INFO[#All],2,FALSE)</f>
        <v>30</v>
      </c>
      <c r="D1238" s="25">
        <f>+SUMIFS(PROVEEDORES[Total],PROVEEDORES[PROVEEDOR],PROVEEDORES[[#This Row],[PROVEEDOR]],PROVEEDORES[FECHA DE PAGO],"")</f>
        <v>0</v>
      </c>
      <c r="E1238" s="25"/>
      <c r="F1238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1238" s="68">
        <v>44983</v>
      </c>
      <c r="H1238" s="26" t="s">
        <v>827</v>
      </c>
      <c r="I1238" s="68">
        <v>44967</v>
      </c>
      <c r="J1238" s="35" t="s">
        <v>1445</v>
      </c>
      <c r="K1238" s="21">
        <v>425210</v>
      </c>
      <c r="L1238" s="21"/>
      <c r="M1238" s="22">
        <f>(PROVEEDORES[[#This Row],[SUBTOTAL]]-PROVEEDORES[[#This Row],[descuento sobre subtotal]])*VLOOKUP(PROVEEDORES[[#This Row],[PROVEEDOR]],TERCEROS_INFO[#All],3,FALSE)</f>
        <v>80789.899999999994</v>
      </c>
      <c r="N1238" s="23"/>
      <c r="O1238" s="22">
        <f>+PROVEEDORES[[#This Row],[Descuento sobre subtotal %]]*(PROVEEDORES[[#This Row],[SUBTOTAL]]-PROVEEDORES[[#This Row],[descuento sobre subtotal]])</f>
        <v>0</v>
      </c>
      <c r="P1238" s="74">
        <f>+IF(PROVEEDORES[[#This Row],[SUBTOTAL]]&lt;PROVEEDORES[[#This Row],[base retencion]],0,PROVEEDORES[[#This Row],[retención aplicada]])</f>
        <v>0</v>
      </c>
      <c r="Q1238" s="22">
        <f>+PROVEEDORES[[#This Row],[Rete Fuente %]]*(PROVEEDORES[[#This Row],[SUBTOTAL]]-PROVEEDORES[[#This Row],[descuento sobre subtotal]])</f>
        <v>0</v>
      </c>
      <c r="R1238" s="21">
        <f>+PROVEEDORES[[#This Row],[SUBTOTAL]]+PROVEEDORES[[#This Row],[IVA 19%]]-PROVEEDORES[[#This Row],[descuento sobre subtotal]]-PROVEEDORES[[#This Row],[Descuento sobre subtotal $2]]-PROVEEDORES[[#This Row],[Rete Fuente $]]</f>
        <v>505999.9</v>
      </c>
      <c r="S1238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63">
        <f ca="1">IF(PROVEEDORES[[#This Row],[FECHA DE PAGO]]=0,TODAY()-PROVEEDORES[[#This Row],[FECHA DE FACTURACIÓN]]-PROVEEDORES[[#This Row],[PLAZO Días]],0)</f>
        <v>0</v>
      </c>
      <c r="U1238" s="104">
        <f>+VLOOKUP(PROVEEDORES[[#This Row],[PROVEEDOR]],Terceros!$A:$D,4,FALSE)</f>
        <v>0</v>
      </c>
      <c r="V1238" s="105">
        <f>+YEAR(PROVEEDORES[[#This Row],[FECHA DE FACTURACIÓN]])</f>
        <v>2023</v>
      </c>
      <c r="W1238" s="105">
        <f>+MATCH(PROVEEDORES[[#This Row],[año facturado]],Retenciones!$1:$1,0)</f>
        <v>6</v>
      </c>
      <c r="X1238" s="106">
        <f>+VLOOKUP(PROVEEDORES[[#This Row],[ID RETENCION]],Retenciones!$A$1:$O$25,PROVEEDORES[[#This Row],[indicador de columna]],FALSE)</f>
        <v>0</v>
      </c>
      <c r="Y1238" s="107">
        <f>+VLOOKUP(PROVEEDORES[[#This Row],[ID RETENCION]],Retenciones!$A$1:$O$25,2,FALSE)</f>
        <v>0</v>
      </c>
      <c r="Z1238" s="116" t="b">
        <f>OR(COUNTIF(PROVEEDORES[[#This Row],[PROVEEDOR]],"*"&amp;'Palabra no opera'!$A$2&amp;"*"))</f>
        <v>0</v>
      </c>
    </row>
    <row r="1239" spans="1:26" ht="22.35" customHeight="1" x14ac:dyDescent="0.3">
      <c r="A1239" s="269" t="str">
        <f>+IF(PROVEEDORES[[#This Row],[FECHA DE PAGO]]=PROVEEDORES[[#This Row],[FECHA DE FACTURACIÓN]],"DE CONTADO","CRÉDITO")</f>
        <v>CRÉDITO</v>
      </c>
      <c r="B1239" s="38" t="b">
        <f>+IF((PROVEEDORES[[#This Row],[FECHA DE PAGO]]-PROVEEDORES[[#This Row],[FECHA DE FACTURACIÓN]])&gt;PROVEEDORES[[#This Row],[PLAZO Días]],"PAGO VENCIDO")</f>
        <v>0</v>
      </c>
      <c r="C1239" s="20">
        <f>+VLOOKUP(PROVEEDORES[[#This Row],[PROVEEDOR]],TERCEROS_INFO[#All],2,FALSE)</f>
        <v>30</v>
      </c>
      <c r="D1239" s="25">
        <f>+SUMIFS(PROVEEDORES[Total],PROVEEDORES[PROVEEDOR],PROVEEDORES[[#This Row],[PROVEEDOR]],PROVEEDORES[FECHA DE PAGO],"")</f>
        <v>0</v>
      </c>
      <c r="E1239" s="25"/>
      <c r="F1239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239" s="68">
        <v>44984</v>
      </c>
      <c r="H1239" s="26" t="s">
        <v>651</v>
      </c>
      <c r="I1239" s="68">
        <v>44958</v>
      </c>
      <c r="J1239" s="35" t="s">
        <v>1464</v>
      </c>
      <c r="K1239" s="21">
        <v>243611</v>
      </c>
      <c r="L1239" s="21"/>
      <c r="M1239" s="22">
        <f>(PROVEEDORES[[#This Row],[SUBTOTAL]]-PROVEEDORES[[#This Row],[descuento sobre subtotal]])*VLOOKUP(PROVEEDORES[[#This Row],[PROVEEDOR]],TERCEROS_INFO[#All],3,FALSE)</f>
        <v>46286.090000000004</v>
      </c>
      <c r="N1239" s="23"/>
      <c r="O1239" s="22">
        <f>+PROVEEDORES[[#This Row],[Descuento sobre subtotal %]]*(PROVEEDORES[[#This Row],[SUBTOTAL]]-PROVEEDORES[[#This Row],[descuento sobre subtotal]])</f>
        <v>0</v>
      </c>
      <c r="P1239" s="74">
        <f>+IF(PROVEEDORES[[#This Row],[SUBTOTAL]]&lt;PROVEEDORES[[#This Row],[base retencion]],0,PROVEEDORES[[#This Row],[retención aplicada]])</f>
        <v>3.5000000000000003E-2</v>
      </c>
      <c r="Q1239" s="22">
        <f>+PROVEEDORES[[#This Row],[Rete Fuente %]]*(PROVEEDORES[[#This Row],[SUBTOTAL]]-PROVEEDORES[[#This Row],[descuento sobre subtotal]])</f>
        <v>8526.3850000000002</v>
      </c>
      <c r="R1239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239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9" s="63">
        <f ca="1">IF(PROVEEDORES[[#This Row],[FECHA DE PAGO]]=0,TODAY()-PROVEEDORES[[#This Row],[FECHA DE FACTURACIÓN]]-PROVEEDORES[[#This Row],[PLAZO Días]],0)</f>
        <v>0</v>
      </c>
      <c r="U1239" s="104" t="str">
        <f>+VLOOKUP(PROVEEDORES[[#This Row],[PROVEEDOR]],Terceros!$A:$D,4,FALSE)</f>
        <v>3,5% sin base</v>
      </c>
      <c r="V1239" s="105">
        <f>+YEAR(PROVEEDORES[[#This Row],[FECHA DE FACTURACIÓN]])</f>
        <v>2023</v>
      </c>
      <c r="W1239" s="105">
        <f>+MATCH(PROVEEDORES[[#This Row],[año facturado]],Retenciones!$1:$1,0)</f>
        <v>6</v>
      </c>
      <c r="X1239" s="106">
        <f>+VLOOKUP(PROVEEDORES[[#This Row],[ID RETENCION]],Retenciones!$A$1:$O$25,PROVEEDORES[[#This Row],[indicador de columna]],FALSE)</f>
        <v>0</v>
      </c>
      <c r="Y1239" s="107">
        <f>+VLOOKUP(PROVEEDORES[[#This Row],[ID RETENCION]],Retenciones!$A$1:$O$25,2,FALSE)</f>
        <v>3.5000000000000003E-2</v>
      </c>
      <c r="Z1239" s="116" t="b">
        <f>OR(COUNTIF(PROVEEDORES[[#This Row],[PROVEEDOR]],"*"&amp;'Palabra no opera'!$A$2&amp;"*"))</f>
        <v>1</v>
      </c>
    </row>
    <row r="1240" spans="1:26" ht="22.35" customHeight="1" x14ac:dyDescent="0.3">
      <c r="A1240" s="265" t="str">
        <f>+IF(PROVEEDORES[[#This Row],[FECHA DE PAGO]]=PROVEEDORES[[#This Row],[FECHA DE FACTURACIÓN]],"DE CONTADO","CRÉDITO")</f>
        <v>CRÉDITO</v>
      </c>
      <c r="B1240" s="38" t="b">
        <f>+IF((PROVEEDORES[[#This Row],[FECHA DE PAGO]]-PROVEEDORES[[#This Row],[FECHA DE FACTURACIÓN]])&gt;PROVEEDORES[[#This Row],[PLAZO Días]],"PAGO VENCIDO")</f>
        <v>0</v>
      </c>
      <c r="C1240" s="20">
        <f>+VLOOKUP(PROVEEDORES[[#This Row],[PROVEEDOR]],TERCEROS_INFO[#All],2,FALSE)</f>
        <v>30</v>
      </c>
      <c r="D1240" s="25">
        <f>+SUMIFS(PROVEEDORES[Total],PROVEEDORES[PROVEEDOR],PROVEEDORES[[#This Row],[PROVEEDOR]],PROVEEDORES[FECHA DE PAGO],"")</f>
        <v>0</v>
      </c>
      <c r="E1240" s="25"/>
      <c r="F1240" s="56">
        <f>+VLOOKUP(PROVEEDORES[[#This Row],[PROVEEDOR]],
                       Terceros!$A:$F,
                       5,
                       FALSE)</f>
        <v>0</v>
      </c>
      <c r="G1240" s="68">
        <v>44984</v>
      </c>
      <c r="H1240" s="26" t="s">
        <v>1427</v>
      </c>
      <c r="I1240" s="68">
        <v>44965</v>
      </c>
      <c r="J1240" s="35" t="s">
        <v>1437</v>
      </c>
      <c r="K1240" s="21">
        <v>200000</v>
      </c>
      <c r="L1240" s="21"/>
      <c r="M1240" s="22">
        <f>(PROVEEDORES[[#This Row],[SUBTOTAL]]-PROVEEDORES[[#This Row],[descuento sobre subtotal]])*VLOOKUP(PROVEEDORES[[#This Row],[PROVEEDOR]],TERCEROS_INFO[#All],3,FALSE)</f>
        <v>38000</v>
      </c>
      <c r="N1240" s="23"/>
      <c r="O1240" s="22">
        <f>+PROVEEDORES[[#This Row],[Descuento sobre subtotal %]]*(PROVEEDORES[[#This Row],[SUBTOTAL]]-PROVEEDORES[[#This Row],[descuento sobre subtotal]])</f>
        <v>0</v>
      </c>
      <c r="P1240" s="74">
        <f>+IF(PROVEEDORES[[#This Row],[SUBTOTAL]]&lt;PROVEEDORES[[#This Row],[base retencion]],0,PROVEEDORES[[#This Row],[retención aplicada]])</f>
        <v>0</v>
      </c>
      <c r="Q1240" s="22">
        <f>+PROVEEDORES[[#This Row],[Rete Fuente %]]*(PROVEEDORES[[#This Row],[SUBTOTAL]]-PROVEEDORES[[#This Row],[descuento sobre subtotal]])</f>
        <v>0</v>
      </c>
      <c r="R1240" s="21">
        <f>+PROVEEDORES[[#This Row],[SUBTOTAL]]+PROVEEDORES[[#This Row],[IVA 19%]]-PROVEEDORES[[#This Row],[descuento sobre subtotal]]-PROVEEDORES[[#This Row],[Descuento sobre subtotal $2]]-PROVEEDORES[[#This Row],[Rete Fuente $]]</f>
        <v>238000</v>
      </c>
      <c r="S1240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63">
        <f ca="1">IF(PROVEEDORES[[#This Row],[FECHA DE PAGO]]=0,TODAY()-PROVEEDORES[[#This Row],[FECHA DE FACTURACIÓN]]-PROVEEDORES[[#This Row],[PLAZO Días]],0)</f>
        <v>0</v>
      </c>
      <c r="U1240" s="104" t="str">
        <f>+VLOOKUP(PROVEEDORES[[#This Row],[PROVEEDOR]],Terceros!$A:$D,4,FALSE)</f>
        <v>2,5% con base</v>
      </c>
      <c r="V1240" s="105">
        <f>+YEAR(PROVEEDORES[[#This Row],[FECHA DE FACTURACIÓN]])</f>
        <v>2023</v>
      </c>
      <c r="W1240" s="105">
        <f>+MATCH(PROVEEDORES[[#This Row],[año facturado]],Retenciones!$1:$1,0)</f>
        <v>6</v>
      </c>
      <c r="X1240" s="106">
        <f>+VLOOKUP(PROVEEDORES[[#This Row],[ID RETENCION]],Retenciones!$A$1:$O$25,PROVEEDORES[[#This Row],[indicador de columna]],FALSE)</f>
        <v>1145000</v>
      </c>
      <c r="Y1240" s="107">
        <f>+VLOOKUP(PROVEEDORES[[#This Row],[ID RETENCION]],Retenciones!$A$1:$O$25,2,FALSE)</f>
        <v>2.5000000000000001E-2</v>
      </c>
      <c r="Z1240" s="116" t="b">
        <f>OR(COUNTIF(PROVEEDORES[[#This Row],[PROVEEDOR]],"*"&amp;'Palabra no opera'!$A$2&amp;"*"))</f>
        <v>1</v>
      </c>
    </row>
    <row r="1241" spans="1:26" ht="22.35" customHeight="1" x14ac:dyDescent="0.3">
      <c r="A1241" s="67" t="str">
        <f>+IF(PROVEEDORES[[#This Row],[FECHA DE PAGO]]=PROVEEDORES[[#This Row],[FECHA DE FACTURACIÓN]],"DE CONTADO","CRÉDITO")</f>
        <v>DE CONTADO</v>
      </c>
      <c r="B1241" s="38" t="b">
        <f>+IF((PROVEEDORES[[#This Row],[FECHA DE PAGO]]-PROVEEDORES[[#This Row],[FECHA DE FACTURACIÓN]])&gt;PROVEEDORES[[#This Row],[PLAZO Días]],"PAGO VENCIDO")</f>
        <v>0</v>
      </c>
      <c r="C1241" s="20">
        <f>+VLOOKUP(PROVEEDORES[[#This Row],[PROVEEDOR]],TERCEROS_INFO[#All],2,FALSE)</f>
        <v>30</v>
      </c>
      <c r="D1241" s="25">
        <f>+SUMIFS(PROVEEDORES[Total],PROVEEDORES[PROVEEDOR],PROVEEDORES[[#This Row],[PROVEEDOR]],PROVEEDORES[FECHA DE PAGO],"")</f>
        <v>0</v>
      </c>
      <c r="E1241" s="25"/>
      <c r="F1241" s="56" t="str">
        <f>+VLOOKUP(PROVEEDORES[[#This Row],[PROVEEDOR]],
                       Terceros!$A:$F,
                       5,
                       FALSE)</f>
        <v/>
      </c>
      <c r="G1241" s="68">
        <v>44985</v>
      </c>
      <c r="H1241" s="26" t="s">
        <v>1401</v>
      </c>
      <c r="I1241" s="68">
        <v>44985</v>
      </c>
      <c r="J1241" s="35" t="s">
        <v>1178</v>
      </c>
      <c r="K1241" s="21">
        <v>203500</v>
      </c>
      <c r="L1241" s="21"/>
      <c r="M1241" s="22">
        <f>(PROVEEDORES[[#This Row],[SUBTOTAL]]-PROVEEDORES[[#This Row],[descuento sobre subtotal]])*VLOOKUP(PROVEEDORES[[#This Row],[PROVEEDOR]],TERCEROS_INFO[#All],3,FALSE)</f>
        <v>0</v>
      </c>
      <c r="N1241" s="23"/>
      <c r="O1241" s="22">
        <f>+PROVEEDORES[[#This Row],[Descuento sobre subtotal %]]*(PROVEEDORES[[#This Row],[SUBTOTAL]]-PROVEEDORES[[#This Row],[descuento sobre subtotal]])</f>
        <v>0</v>
      </c>
      <c r="P1241" s="74">
        <f>+IF(PROVEEDORES[[#This Row],[SUBTOTAL]]&lt;PROVEEDORES[[#This Row],[base retencion]],0,PROVEEDORES[[#This Row],[retención aplicada]])</f>
        <v>0</v>
      </c>
      <c r="Q1241" s="22">
        <f>+PROVEEDORES[[#This Row],[Rete Fuente %]]*(PROVEEDORES[[#This Row],[SUBTOTAL]]-PROVEEDORES[[#This Row],[descuento sobre subtotal]])</f>
        <v>0</v>
      </c>
      <c r="R1241" s="21">
        <f>+PROVEEDORES[[#This Row],[SUBTOTAL]]+PROVEEDORES[[#This Row],[IVA 19%]]-PROVEEDORES[[#This Row],[descuento sobre subtotal]]-PROVEEDORES[[#This Row],[Descuento sobre subtotal $2]]-PROVEEDORES[[#This Row],[Rete Fuente $]]</f>
        <v>203500</v>
      </c>
      <c r="S124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63">
        <f ca="1">IF(PROVEEDORES[[#This Row],[FECHA DE PAGO]]=0,TODAY()-PROVEEDORES[[#This Row],[FECHA DE FACTURACIÓN]]-PROVEEDORES[[#This Row],[PLAZO Días]],0)</f>
        <v>0</v>
      </c>
      <c r="U1241" s="104">
        <f>+VLOOKUP(PROVEEDORES[[#This Row],[PROVEEDOR]],Terceros!$A:$D,4,FALSE)</f>
        <v>0</v>
      </c>
      <c r="V1241" s="105">
        <f>+YEAR(PROVEEDORES[[#This Row],[FECHA DE FACTURACIÓN]])</f>
        <v>2023</v>
      </c>
      <c r="W1241" s="105">
        <f>+MATCH(PROVEEDORES[[#This Row],[año facturado]],Retenciones!$1:$1,0)</f>
        <v>6</v>
      </c>
      <c r="X1241" s="106">
        <f>+VLOOKUP(PROVEEDORES[[#This Row],[ID RETENCION]],Retenciones!$A$1:$O$25,PROVEEDORES[[#This Row],[indicador de columna]],FALSE)</f>
        <v>0</v>
      </c>
      <c r="Y1241" s="107">
        <f>+VLOOKUP(PROVEEDORES[[#This Row],[ID RETENCION]],Retenciones!$A$1:$O$25,2,FALSE)</f>
        <v>0</v>
      </c>
      <c r="Z1241" s="116" t="b">
        <f>OR(COUNTIF(PROVEEDORES[[#This Row],[PROVEEDOR]],"*"&amp;'Palabra no opera'!$A$2&amp;"*"))</f>
        <v>0</v>
      </c>
    </row>
    <row r="1242" spans="1:26" ht="22.35" customHeight="1" x14ac:dyDescent="0.3">
      <c r="A1242" s="67" t="str">
        <f>+IF(PROVEEDORES[[#This Row],[FECHA DE PAGO]]=PROVEEDORES[[#This Row],[FECHA DE FACTURACIÓN]],"DE CONTADO","CRÉDITO")</f>
        <v>DE CONTADO</v>
      </c>
      <c r="B1242" s="38" t="b">
        <f>+IF((PROVEEDORES[[#This Row],[FECHA DE PAGO]]-PROVEEDORES[[#This Row],[FECHA DE FACTURACIÓN]])&gt;PROVEEDORES[[#This Row],[PLAZO Días]],"PAGO VENCIDO")</f>
        <v>0</v>
      </c>
      <c r="C1242" s="20">
        <f>+VLOOKUP(PROVEEDORES[[#This Row],[PROVEEDOR]],TERCEROS_INFO[#All],2,FALSE)</f>
        <v>30</v>
      </c>
      <c r="D1242" s="25">
        <f>+SUMIFS(PROVEEDORES[Total],PROVEEDORES[PROVEEDOR],PROVEEDORES[[#This Row],[PROVEEDOR]],PROVEEDORES[FECHA DE PAGO],"")</f>
        <v>0</v>
      </c>
      <c r="E1242" s="25"/>
      <c r="F1242" s="56" t="str">
        <f>+VLOOKUP(PROVEEDORES[[#This Row],[PROVEEDOR]],
                       Terceros!$A:$F,
                       5,
                       FALSE)</f>
        <v/>
      </c>
      <c r="G1242" s="68">
        <v>44985</v>
      </c>
      <c r="H1242" s="26" t="s">
        <v>362</v>
      </c>
      <c r="I1242" s="68">
        <v>44985</v>
      </c>
      <c r="J1242" s="35" t="s">
        <v>1378</v>
      </c>
      <c r="K1242" s="21">
        <v>976000</v>
      </c>
      <c r="L1242" s="21"/>
      <c r="M1242" s="22">
        <f>(PROVEEDORES[[#This Row],[SUBTOTAL]]-PROVEEDORES[[#This Row],[descuento sobre subtotal]])*VLOOKUP(PROVEEDORES[[#This Row],[PROVEEDOR]],TERCEROS_INFO[#All],3,FALSE)</f>
        <v>0</v>
      </c>
      <c r="N1242" s="23"/>
      <c r="O1242" s="22">
        <f>+PROVEEDORES[[#This Row],[Descuento sobre subtotal %]]*(PROVEEDORES[[#This Row],[SUBTOTAL]]-PROVEEDORES[[#This Row],[descuento sobre subtotal]])</f>
        <v>0</v>
      </c>
      <c r="P1242" s="74">
        <f>+IF(PROVEEDORES[[#This Row],[SUBTOTAL]]&lt;PROVEEDORES[[#This Row],[base retencion]],0,PROVEEDORES[[#This Row],[retención aplicada]])</f>
        <v>0</v>
      </c>
      <c r="Q1242" s="22">
        <f>+PROVEEDORES[[#This Row],[Rete Fuente %]]*(PROVEEDORES[[#This Row],[SUBTOTAL]]-PROVEEDORES[[#This Row],[descuento sobre subtotal]])</f>
        <v>0</v>
      </c>
      <c r="R1242" s="21">
        <f>+PROVEEDORES[[#This Row],[SUBTOTAL]]+PROVEEDORES[[#This Row],[IVA 19%]]-PROVEEDORES[[#This Row],[descuento sobre subtotal]]-PROVEEDORES[[#This Row],[Descuento sobre subtotal $2]]-PROVEEDORES[[#This Row],[Rete Fuente $]]</f>
        <v>976000</v>
      </c>
      <c r="S12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63">
        <f ca="1">IF(PROVEEDORES[[#This Row],[FECHA DE PAGO]]=0,TODAY()-PROVEEDORES[[#This Row],[FECHA DE FACTURACIÓN]]-PROVEEDORES[[#This Row],[PLAZO Días]],0)</f>
        <v>0</v>
      </c>
      <c r="U1242" s="104">
        <f>+VLOOKUP(PROVEEDORES[[#This Row],[PROVEEDOR]],Terceros!$A:$D,4,FALSE)</f>
        <v>0</v>
      </c>
      <c r="V1242" s="105">
        <f>+YEAR(PROVEEDORES[[#This Row],[FECHA DE FACTURACIÓN]])</f>
        <v>2023</v>
      </c>
      <c r="W1242" s="105">
        <f>+MATCH(PROVEEDORES[[#This Row],[año facturado]],Retenciones!$1:$1,0)</f>
        <v>6</v>
      </c>
      <c r="X1242" s="106">
        <f>+VLOOKUP(PROVEEDORES[[#This Row],[ID RETENCION]],Retenciones!$A$1:$O$25,PROVEEDORES[[#This Row],[indicador de columna]],FALSE)</f>
        <v>0</v>
      </c>
      <c r="Y1242" s="107">
        <f>+VLOOKUP(PROVEEDORES[[#This Row],[ID RETENCION]],Retenciones!$A$1:$O$25,2,FALSE)</f>
        <v>0</v>
      </c>
      <c r="Z1242" s="116" t="b">
        <f>OR(COUNTIF(PROVEEDORES[[#This Row],[PROVEEDOR]],"*"&amp;'Palabra no opera'!$A$2&amp;"*"))</f>
        <v>0</v>
      </c>
    </row>
    <row r="1243" spans="1:26" ht="22.35" customHeight="1" x14ac:dyDescent="0.3">
      <c r="A1243" s="67" t="str">
        <f>+IF(PROVEEDORES[[#This Row],[FECHA DE PAGO]]=PROVEEDORES[[#This Row],[FECHA DE FACTURACIÓN]],"DE CONTADO","CRÉDITO")</f>
        <v>DE CONTADO</v>
      </c>
      <c r="B1243" s="38" t="b">
        <f>+IF((PROVEEDORES[[#This Row],[FECHA DE PAGO]]-PROVEEDORES[[#This Row],[FECHA DE FACTURACIÓN]])&gt;PROVEEDORES[[#This Row],[PLAZO Días]],"PAGO VENCIDO")</f>
        <v>0</v>
      </c>
      <c r="C1243" s="20">
        <f>+VLOOKUP(PROVEEDORES[[#This Row],[PROVEEDOR]],TERCEROS_INFO[#All],2,FALSE)</f>
        <v>30</v>
      </c>
      <c r="D1243" s="25">
        <f>+SUMIFS(PROVEEDORES[Total],PROVEEDORES[PROVEEDOR],PROVEEDORES[[#This Row],[PROVEEDOR]],PROVEEDORES[FECHA DE PAGO],"")</f>
        <v>0</v>
      </c>
      <c r="E1243" s="25"/>
      <c r="F1243" s="56" t="str">
        <f>+VLOOKUP(PROVEEDORES[[#This Row],[PROVEEDOR]],
                       Terceros!$A:$F,
                       5,
                       FALSE)</f>
        <v/>
      </c>
      <c r="G1243" s="68">
        <v>44985</v>
      </c>
      <c r="H1243" s="26" t="s">
        <v>362</v>
      </c>
      <c r="I1243" s="68">
        <v>44985</v>
      </c>
      <c r="J1243" s="35" t="s">
        <v>1177</v>
      </c>
      <c r="K1243" s="21">
        <v>1657000</v>
      </c>
      <c r="L1243" s="21"/>
      <c r="M1243" s="22">
        <f>(PROVEEDORES[[#This Row],[SUBTOTAL]]-PROVEEDORES[[#This Row],[descuento sobre subtotal]])*VLOOKUP(PROVEEDORES[[#This Row],[PROVEEDOR]],TERCEROS_INFO[#All],3,FALSE)</f>
        <v>0</v>
      </c>
      <c r="N1243" s="23"/>
      <c r="O1243" s="22">
        <f>+PROVEEDORES[[#This Row],[Descuento sobre subtotal %]]*(PROVEEDORES[[#This Row],[SUBTOTAL]]-PROVEEDORES[[#This Row],[descuento sobre subtotal]])</f>
        <v>0</v>
      </c>
      <c r="P1243" s="74">
        <f>+IF(PROVEEDORES[[#This Row],[SUBTOTAL]]&lt;PROVEEDORES[[#This Row],[base retencion]],0,PROVEEDORES[[#This Row],[retención aplicada]])</f>
        <v>0</v>
      </c>
      <c r="Q1243" s="22">
        <f>+PROVEEDORES[[#This Row],[Rete Fuente %]]*(PROVEEDORES[[#This Row],[SUBTOTAL]]-PROVEEDORES[[#This Row],[descuento sobre subtotal]])</f>
        <v>0</v>
      </c>
      <c r="R1243" s="21">
        <f>+PROVEEDORES[[#This Row],[SUBTOTAL]]+PROVEEDORES[[#This Row],[IVA 19%]]-PROVEEDORES[[#This Row],[descuento sobre subtotal]]-PROVEEDORES[[#This Row],[Descuento sobre subtotal $2]]-PROVEEDORES[[#This Row],[Rete Fuente $]]</f>
        <v>1657000</v>
      </c>
      <c r="S12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63">
        <f ca="1">IF(PROVEEDORES[[#This Row],[FECHA DE PAGO]]=0,TODAY()-PROVEEDORES[[#This Row],[FECHA DE FACTURACIÓN]]-PROVEEDORES[[#This Row],[PLAZO Días]],0)</f>
        <v>0</v>
      </c>
      <c r="U1243" s="104">
        <f>+VLOOKUP(PROVEEDORES[[#This Row],[PROVEEDOR]],Terceros!$A:$D,4,FALSE)</f>
        <v>0</v>
      </c>
      <c r="V1243" s="105">
        <f>+YEAR(PROVEEDORES[[#This Row],[FECHA DE FACTURACIÓN]])</f>
        <v>2023</v>
      </c>
      <c r="W1243" s="105">
        <f>+MATCH(PROVEEDORES[[#This Row],[año facturado]],Retenciones!$1:$1,0)</f>
        <v>6</v>
      </c>
      <c r="X1243" s="106">
        <f>+VLOOKUP(PROVEEDORES[[#This Row],[ID RETENCION]],Retenciones!$A$1:$O$25,PROVEEDORES[[#This Row],[indicador de columna]],FALSE)</f>
        <v>0</v>
      </c>
      <c r="Y1243" s="107">
        <f>+VLOOKUP(PROVEEDORES[[#This Row],[ID RETENCION]],Retenciones!$A$1:$O$25,2,FALSE)</f>
        <v>0</v>
      </c>
      <c r="Z1243" s="116" t="b">
        <f>OR(COUNTIF(PROVEEDORES[[#This Row],[PROVEEDOR]],"*"&amp;'Palabra no opera'!$A$2&amp;"*"))</f>
        <v>0</v>
      </c>
    </row>
    <row r="1244" spans="1:26" ht="22.35" customHeight="1" x14ac:dyDescent="0.3">
      <c r="A1244" s="67" t="str">
        <f>+IF(PROVEEDORES[[#This Row],[FECHA DE PAGO]]=PROVEEDORES[[#This Row],[FECHA DE FACTURACIÓN]],"DE CONTADO","CRÉDITO")</f>
        <v>DE CONTADO</v>
      </c>
      <c r="B1244" s="38" t="b">
        <f>+IF((PROVEEDORES[[#This Row],[FECHA DE PAGO]]-PROVEEDORES[[#This Row],[FECHA DE FACTURACIÓN]])&gt;PROVEEDORES[[#This Row],[PLAZO Días]],"PAGO VENCIDO")</f>
        <v>0</v>
      </c>
      <c r="C1244" s="20">
        <f>+VLOOKUP(PROVEEDORES[[#This Row],[PROVEEDOR]],TERCEROS_INFO[#All],2,FALSE)</f>
        <v>30</v>
      </c>
      <c r="D1244" s="25">
        <f>+SUMIFS(PROVEEDORES[Total],PROVEEDORES[PROVEEDOR],PROVEEDORES[[#This Row],[PROVEEDOR]],PROVEEDORES[FECHA DE PAGO],"")</f>
        <v>0</v>
      </c>
      <c r="E1244" s="25"/>
      <c r="F1244" s="56" t="str">
        <f>+VLOOKUP(PROVEEDORES[[#This Row],[PROVEEDOR]],
                       Terceros!$A:$F,
                       5,
                       FALSE)</f>
        <v/>
      </c>
      <c r="G1244" s="68">
        <v>44985</v>
      </c>
      <c r="H1244" s="26" t="s">
        <v>1401</v>
      </c>
      <c r="I1244" s="68">
        <v>44985</v>
      </c>
      <c r="J1244" s="35" t="s">
        <v>1176</v>
      </c>
      <c r="K1244" s="21">
        <v>385700</v>
      </c>
      <c r="L1244" s="21"/>
      <c r="M1244" s="22">
        <f>(PROVEEDORES[[#This Row],[SUBTOTAL]]-PROVEEDORES[[#This Row],[descuento sobre subtotal]])*VLOOKUP(PROVEEDORES[[#This Row],[PROVEEDOR]],TERCEROS_INFO[#All],3,FALSE)</f>
        <v>0</v>
      </c>
      <c r="N1244" s="23"/>
      <c r="O1244" s="22">
        <f>+PROVEEDORES[[#This Row],[Descuento sobre subtotal %]]*(PROVEEDORES[[#This Row],[SUBTOTAL]]-PROVEEDORES[[#This Row],[descuento sobre subtotal]])</f>
        <v>0</v>
      </c>
      <c r="P1244" s="74">
        <f>+IF(PROVEEDORES[[#This Row],[SUBTOTAL]]&lt;PROVEEDORES[[#This Row],[base retencion]],0,PROVEEDORES[[#This Row],[retención aplicada]])</f>
        <v>0</v>
      </c>
      <c r="Q1244" s="22">
        <f>+PROVEEDORES[[#This Row],[Rete Fuente %]]*(PROVEEDORES[[#This Row],[SUBTOTAL]]-PROVEEDORES[[#This Row],[descuento sobre subtotal]])</f>
        <v>0</v>
      </c>
      <c r="R1244" s="21">
        <f>+PROVEEDORES[[#This Row],[SUBTOTAL]]+PROVEEDORES[[#This Row],[IVA 19%]]-PROVEEDORES[[#This Row],[descuento sobre subtotal]]-PROVEEDORES[[#This Row],[Descuento sobre subtotal $2]]-PROVEEDORES[[#This Row],[Rete Fuente $]]</f>
        <v>385700</v>
      </c>
      <c r="S12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63">
        <f ca="1">IF(PROVEEDORES[[#This Row],[FECHA DE PAGO]]=0,TODAY()-PROVEEDORES[[#This Row],[FECHA DE FACTURACIÓN]]-PROVEEDORES[[#This Row],[PLAZO Días]],0)</f>
        <v>0</v>
      </c>
      <c r="U1244" s="104">
        <f>+VLOOKUP(PROVEEDORES[[#This Row],[PROVEEDOR]],Terceros!$A:$D,4,FALSE)</f>
        <v>0</v>
      </c>
      <c r="V1244" s="105">
        <f>+YEAR(PROVEEDORES[[#This Row],[FECHA DE FACTURACIÓN]])</f>
        <v>2023</v>
      </c>
      <c r="W1244" s="105">
        <f>+MATCH(PROVEEDORES[[#This Row],[año facturado]],Retenciones!$1:$1,0)</f>
        <v>6</v>
      </c>
      <c r="X1244" s="106">
        <f>+VLOOKUP(PROVEEDORES[[#This Row],[ID RETENCION]],Retenciones!$A$1:$O$25,PROVEEDORES[[#This Row],[indicador de columna]],FALSE)</f>
        <v>0</v>
      </c>
      <c r="Y1244" s="107">
        <f>+VLOOKUP(PROVEEDORES[[#This Row],[ID RETENCION]],Retenciones!$A$1:$O$25,2,FALSE)</f>
        <v>0</v>
      </c>
      <c r="Z1244" s="116" t="b">
        <f>OR(COUNTIF(PROVEEDORES[[#This Row],[PROVEEDOR]],"*"&amp;'Palabra no opera'!$A$2&amp;"*"))</f>
        <v>0</v>
      </c>
    </row>
    <row r="1245" spans="1:26" ht="22.35" customHeight="1" x14ac:dyDescent="0.3">
      <c r="A1245" s="67" t="str">
        <f>+IF(PROVEEDORES[[#This Row],[FECHA DE PAGO]]=PROVEEDORES[[#This Row],[FECHA DE FACTURACIÓN]],"DE CONTADO","CRÉDITO")</f>
        <v>DE CONTADO</v>
      </c>
      <c r="B1245" s="38" t="b">
        <f>+IF((PROVEEDORES[[#This Row],[FECHA DE PAGO]]-PROVEEDORES[[#This Row],[FECHA DE FACTURACIÓN]])&gt;PROVEEDORES[[#This Row],[PLAZO Días]],"PAGO VENCIDO")</f>
        <v>0</v>
      </c>
      <c r="C1245" s="20">
        <f>+VLOOKUP(PROVEEDORES[[#This Row],[PROVEEDOR]],TERCEROS_INFO[#All],2,FALSE)</f>
        <v>30</v>
      </c>
      <c r="D1245" s="25">
        <f>+SUMIFS(PROVEEDORES[Total],PROVEEDORES[PROVEEDOR],PROVEEDORES[[#This Row],[PROVEEDOR]],PROVEEDORES[FECHA DE PAGO],"")</f>
        <v>0</v>
      </c>
      <c r="E1245" s="25"/>
      <c r="F1245" s="56" t="str">
        <f>+VLOOKUP(PROVEEDORES[[#This Row],[PROVEEDOR]],
                       Terceros!$A:$F,
                       5,
                       FALSE)</f>
        <v/>
      </c>
      <c r="G1245" s="68">
        <v>44985</v>
      </c>
      <c r="H1245" s="26" t="s">
        <v>1401</v>
      </c>
      <c r="I1245" s="68">
        <v>44985</v>
      </c>
      <c r="J1245" s="35" t="s">
        <v>1377</v>
      </c>
      <c r="K1245" s="21">
        <v>0</v>
      </c>
      <c r="L1245" s="21"/>
      <c r="M1245" s="22">
        <f>(PROVEEDORES[[#This Row],[SUBTOTAL]]-PROVEEDORES[[#This Row],[descuento sobre subtotal]])*VLOOKUP(PROVEEDORES[[#This Row],[PROVEEDOR]],TERCEROS_INFO[#All],3,FALSE)</f>
        <v>0</v>
      </c>
      <c r="N1245" s="23"/>
      <c r="O1245" s="22">
        <f>+PROVEEDORES[[#This Row],[Descuento sobre subtotal %]]*(PROVEEDORES[[#This Row],[SUBTOTAL]]-PROVEEDORES[[#This Row],[descuento sobre subtotal]])</f>
        <v>0</v>
      </c>
      <c r="P1245" s="74">
        <f>+IF(PROVEEDORES[[#This Row],[SUBTOTAL]]&lt;PROVEEDORES[[#This Row],[base retencion]],0,PROVEEDORES[[#This Row],[retención aplicada]])</f>
        <v>0</v>
      </c>
      <c r="Q1245" s="22">
        <f>+PROVEEDORES[[#This Row],[Rete Fuente %]]*(PROVEEDORES[[#This Row],[SUBTOTAL]]-PROVEEDORES[[#This Row],[descuento sobre subtotal]])</f>
        <v>0</v>
      </c>
      <c r="R1245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24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63">
        <f ca="1">IF(PROVEEDORES[[#This Row],[FECHA DE PAGO]]=0,TODAY()-PROVEEDORES[[#This Row],[FECHA DE FACTURACIÓN]]-PROVEEDORES[[#This Row],[PLAZO Días]],0)</f>
        <v>0</v>
      </c>
      <c r="U1245" s="104">
        <f>+VLOOKUP(PROVEEDORES[[#This Row],[PROVEEDOR]],Terceros!$A:$D,4,FALSE)</f>
        <v>0</v>
      </c>
      <c r="V1245" s="105">
        <f>+YEAR(PROVEEDORES[[#This Row],[FECHA DE FACTURACIÓN]])</f>
        <v>2023</v>
      </c>
      <c r="W1245" s="105">
        <f>+MATCH(PROVEEDORES[[#This Row],[año facturado]],Retenciones!$1:$1,0)</f>
        <v>6</v>
      </c>
      <c r="X1245" s="106">
        <f>+VLOOKUP(PROVEEDORES[[#This Row],[ID RETENCION]],Retenciones!$A$1:$O$25,PROVEEDORES[[#This Row],[indicador de columna]],FALSE)</f>
        <v>0</v>
      </c>
      <c r="Y1245" s="107">
        <f>+VLOOKUP(PROVEEDORES[[#This Row],[ID RETENCION]],Retenciones!$A$1:$O$25,2,FALSE)</f>
        <v>0</v>
      </c>
      <c r="Z1245" s="116" t="b">
        <f>OR(COUNTIF(PROVEEDORES[[#This Row],[PROVEEDOR]],"*"&amp;'Palabra no opera'!$A$2&amp;"*"))</f>
        <v>0</v>
      </c>
    </row>
    <row r="1246" spans="1:26" ht="22.35" customHeight="1" x14ac:dyDescent="0.3">
      <c r="A1246" s="67" t="str">
        <f>+IF(PROVEEDORES[[#This Row],[FECHA DE PAGO]]=PROVEEDORES[[#This Row],[FECHA DE FACTURACIÓN]],"DE CONTADO","CRÉDITO")</f>
        <v>DE CONTADO</v>
      </c>
      <c r="B1246" s="38" t="b">
        <f>+IF((PROVEEDORES[[#This Row],[FECHA DE PAGO]]-PROVEEDORES[[#This Row],[FECHA DE FACTURACIÓN]])&gt;PROVEEDORES[[#This Row],[PLAZO Días]],"PAGO VENCIDO")</f>
        <v>0</v>
      </c>
      <c r="C1246" s="20">
        <f>+VLOOKUP(PROVEEDORES[[#This Row],[PROVEEDOR]],TERCEROS_INFO[#All],2,FALSE)</f>
        <v>30</v>
      </c>
      <c r="D1246" s="25">
        <f>+SUMIFS(PROVEEDORES[Total],PROVEEDORES[PROVEEDOR],PROVEEDORES[[#This Row],[PROVEEDOR]],PROVEEDORES[FECHA DE PAGO],"")</f>
        <v>0</v>
      </c>
      <c r="E1246" s="25"/>
      <c r="F1246" s="56" t="str">
        <f>+VLOOKUP(PROVEEDORES[[#This Row],[PROVEEDOR]],
                       Terceros!$A:$F,
                       5,
                       FALSE)</f>
        <v/>
      </c>
      <c r="G1246" s="68">
        <v>44985</v>
      </c>
      <c r="H1246" s="26" t="s">
        <v>1401</v>
      </c>
      <c r="I1246" s="68">
        <v>44985</v>
      </c>
      <c r="J1246" s="35" t="s">
        <v>1379</v>
      </c>
      <c r="K1246" s="21">
        <v>0</v>
      </c>
      <c r="L1246" s="21"/>
      <c r="M1246" s="22">
        <f>(PROVEEDORES[[#This Row],[SUBTOTAL]]-PROVEEDORES[[#This Row],[descuento sobre subtotal]])*VLOOKUP(PROVEEDORES[[#This Row],[PROVEEDOR]],TERCEROS_INFO[#All],3,FALSE)</f>
        <v>0</v>
      </c>
      <c r="N1246" s="23"/>
      <c r="O1246" s="22">
        <f>+PROVEEDORES[[#This Row],[Descuento sobre subtotal %]]*(PROVEEDORES[[#This Row],[SUBTOTAL]]-PROVEEDORES[[#This Row],[descuento sobre subtotal]])</f>
        <v>0</v>
      </c>
      <c r="P1246" s="74">
        <f>+IF(PROVEEDORES[[#This Row],[SUBTOTAL]]&lt;PROVEEDORES[[#This Row],[base retencion]],0,PROVEEDORES[[#This Row],[retención aplicada]])</f>
        <v>0</v>
      </c>
      <c r="Q1246" s="22">
        <f>+PROVEEDORES[[#This Row],[Rete Fuente %]]*(PROVEEDORES[[#This Row],[SUBTOTAL]]-PROVEEDORES[[#This Row],[descuento sobre subtotal]])</f>
        <v>0</v>
      </c>
      <c r="R124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2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6" s="63">
        <f ca="1">IF(PROVEEDORES[[#This Row],[FECHA DE PAGO]]=0,TODAY()-PROVEEDORES[[#This Row],[FECHA DE FACTURACIÓN]]-PROVEEDORES[[#This Row],[PLAZO Días]],0)</f>
        <v>0</v>
      </c>
      <c r="U1246" s="104">
        <f>+VLOOKUP(PROVEEDORES[[#This Row],[PROVEEDOR]],Terceros!$A:$D,4,FALSE)</f>
        <v>0</v>
      </c>
      <c r="V1246" s="105">
        <f>+YEAR(PROVEEDORES[[#This Row],[FECHA DE FACTURACIÓN]])</f>
        <v>2023</v>
      </c>
      <c r="W1246" s="105">
        <f>+MATCH(PROVEEDORES[[#This Row],[año facturado]],Retenciones!$1:$1,0)</f>
        <v>6</v>
      </c>
      <c r="X1246" s="106">
        <f>+VLOOKUP(PROVEEDORES[[#This Row],[ID RETENCION]],Retenciones!$A$1:$O$25,PROVEEDORES[[#This Row],[indicador de columna]],FALSE)</f>
        <v>0</v>
      </c>
      <c r="Y1246" s="107">
        <f>+VLOOKUP(PROVEEDORES[[#This Row],[ID RETENCION]],Retenciones!$A$1:$O$25,2,FALSE)</f>
        <v>0</v>
      </c>
      <c r="Z1246" s="116" t="b">
        <f>OR(COUNTIF(PROVEEDORES[[#This Row],[PROVEEDOR]],"*"&amp;'Palabra no opera'!$A$2&amp;"*"))</f>
        <v>0</v>
      </c>
    </row>
    <row r="1247" spans="1:26" ht="22.35" customHeight="1" x14ac:dyDescent="0.3">
      <c r="A1247" s="265" t="str">
        <f>+IF(PROVEEDORES[[#This Row],[FECHA DE PAGO]]=PROVEEDORES[[#This Row],[FECHA DE FACTURACIÓN]],"DE CONTADO","CRÉDITO")</f>
        <v>CRÉDITO</v>
      </c>
      <c r="B1247" s="38" t="b">
        <f>+IF((PROVEEDORES[[#This Row],[FECHA DE PAGO]]-PROVEEDORES[[#This Row],[FECHA DE FACTURACIÓN]])&gt;PROVEEDORES[[#This Row],[PLAZO Días]],"PAGO VENCIDO")</f>
        <v>0</v>
      </c>
      <c r="C1247" s="20">
        <f>+VLOOKUP(PROVEEDORES[[#This Row],[PROVEEDOR]],TERCEROS_INFO[#All],2,FALSE)</f>
        <v>30</v>
      </c>
      <c r="D1247" s="25">
        <f>+SUMIFS(PROVEEDORES[Total],PROVEEDORES[PROVEEDOR],PROVEEDORES[[#This Row],[PROVEEDOR]],PROVEEDORES[FECHA DE PAGO],"")</f>
        <v>2950000</v>
      </c>
      <c r="E1247" s="25"/>
      <c r="F1247" s="56">
        <f>+VLOOKUP(PROVEEDORES[[#This Row],[PROVEEDOR]],
                       Terceros!$A:$F,
                       5,
                       FALSE)</f>
        <v>0</v>
      </c>
      <c r="G1247" s="68">
        <v>44986</v>
      </c>
      <c r="H1247" s="26" t="s">
        <v>1152</v>
      </c>
      <c r="I1247" s="68">
        <v>44958</v>
      </c>
      <c r="J1247" s="35" t="s">
        <v>1434</v>
      </c>
      <c r="K1247" s="21">
        <v>1075000</v>
      </c>
      <c r="L1247" s="21"/>
      <c r="M1247" s="22">
        <f>(PROVEEDORES[[#This Row],[SUBTOTAL]]-PROVEEDORES[[#This Row],[descuento sobre subtotal]])*VLOOKUP(PROVEEDORES[[#This Row],[PROVEEDOR]],TERCEROS_INFO[#All],3,FALSE)</f>
        <v>0</v>
      </c>
      <c r="N1247" s="23"/>
      <c r="O1247" s="22">
        <f>+PROVEEDORES[[#This Row],[Descuento sobre subtotal %]]*(PROVEEDORES[[#This Row],[SUBTOTAL]]-PROVEEDORES[[#This Row],[descuento sobre subtotal]])</f>
        <v>0</v>
      </c>
      <c r="P1247" s="74">
        <f>+IF(PROVEEDORES[[#This Row],[SUBTOTAL]]&lt;PROVEEDORES[[#This Row],[base retencion]],0,PROVEEDORES[[#This Row],[retención aplicada]])</f>
        <v>0</v>
      </c>
      <c r="Q1247" s="22">
        <f>+PROVEEDORES[[#This Row],[Rete Fuente %]]*(PROVEEDORES[[#This Row],[SUBTOTAL]]-PROVEEDORES[[#This Row],[descuento sobre subtotal]])</f>
        <v>0</v>
      </c>
      <c r="R1247" s="21">
        <f>+PROVEEDORES[[#This Row],[SUBTOTAL]]+PROVEEDORES[[#This Row],[IVA 19%]]-PROVEEDORES[[#This Row],[descuento sobre subtotal]]-PROVEEDORES[[#This Row],[Descuento sobre subtotal $2]]-PROVEEDORES[[#This Row],[Rete Fuente $]]</f>
        <v>1075000</v>
      </c>
      <c r="S1247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63">
        <f ca="1">IF(PROVEEDORES[[#This Row],[FECHA DE PAGO]]=0,TODAY()-PROVEEDORES[[#This Row],[FECHA DE FACTURACIÓN]]-PROVEEDORES[[#This Row],[PLAZO Días]],0)</f>
        <v>0</v>
      </c>
      <c r="U1247" s="104">
        <f>+VLOOKUP(PROVEEDORES[[#This Row],[PROVEEDOR]],Terceros!$A:$D,4,FALSE)</f>
        <v>0</v>
      </c>
      <c r="V1247" s="105">
        <f>+YEAR(PROVEEDORES[[#This Row],[FECHA DE FACTURACIÓN]])</f>
        <v>2023</v>
      </c>
      <c r="W1247" s="105">
        <f>+MATCH(PROVEEDORES[[#This Row],[año facturado]],Retenciones!$1:$1,0)</f>
        <v>6</v>
      </c>
      <c r="X1247" s="106">
        <f>+VLOOKUP(PROVEEDORES[[#This Row],[ID RETENCION]],Retenciones!$A$1:$O$25,PROVEEDORES[[#This Row],[indicador de columna]],FALSE)</f>
        <v>0</v>
      </c>
      <c r="Y1247" s="107">
        <f>+VLOOKUP(PROVEEDORES[[#This Row],[ID RETENCION]],Retenciones!$A$1:$O$25,2,FALSE)</f>
        <v>0</v>
      </c>
      <c r="Z1247" s="116" t="b">
        <f>OR(COUNTIF(PROVEEDORES[[#This Row],[PROVEEDOR]],"*"&amp;'Palabra no opera'!$A$2&amp;"*"))</f>
        <v>0</v>
      </c>
    </row>
    <row r="1248" spans="1:26" ht="22.35" customHeight="1" x14ac:dyDescent="0.3">
      <c r="A1248" s="269" t="str">
        <f>+IF(PROVEEDORES[[#This Row],[FECHA DE PAGO]]=PROVEEDORES[[#This Row],[FECHA DE FACTURACIÓN]],"DE CONTADO","CRÉDITO")</f>
        <v>CRÉDITO</v>
      </c>
      <c r="B1248" s="38" t="b">
        <f>+IF((PROVEEDORES[[#This Row],[FECHA DE PAGO]]-PROVEEDORES[[#This Row],[FECHA DE FACTURACIÓN]])&gt;PROVEEDORES[[#This Row],[PLAZO Días]],"PAGO VENCIDO")</f>
        <v>0</v>
      </c>
      <c r="C1248" s="20">
        <f>+VLOOKUP(PROVEEDORES[[#This Row],[PROVEEDOR]],TERCEROS_INFO[#All],2,FALSE)</f>
        <v>30</v>
      </c>
      <c r="D1248" s="25">
        <f>+SUMIFS(PROVEEDORES[Total],PROVEEDORES[PROVEEDOR],PROVEEDORES[[#This Row],[PROVEEDOR]],PROVEEDORES[FECHA DE PAGO],"")</f>
        <v>4282200</v>
      </c>
      <c r="E1248" s="25"/>
      <c r="F1248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248" s="68">
        <v>44986</v>
      </c>
      <c r="H1248" s="26" t="s">
        <v>406</v>
      </c>
      <c r="I1248" s="68">
        <v>44972</v>
      </c>
      <c r="J1248" s="35" t="s">
        <v>1470</v>
      </c>
      <c r="K1248" s="21">
        <v>101500</v>
      </c>
      <c r="L1248" s="21"/>
      <c r="M1248" s="22">
        <f>(PROVEEDORES[[#This Row],[SUBTOTAL]]-PROVEEDORES[[#This Row],[descuento sobre subtotal]])*VLOOKUP(PROVEEDORES[[#This Row],[PROVEEDOR]],TERCEROS_INFO[#All],3,FALSE)</f>
        <v>0</v>
      </c>
      <c r="N1248" s="23"/>
      <c r="O1248" s="22">
        <f>+PROVEEDORES[[#This Row],[Descuento sobre subtotal %]]*(PROVEEDORES[[#This Row],[SUBTOTAL]]-PROVEEDORES[[#This Row],[descuento sobre subtotal]])</f>
        <v>0</v>
      </c>
      <c r="P1248" s="74">
        <f>+IF(PROVEEDORES[[#This Row],[SUBTOTAL]]&lt;PROVEEDORES[[#This Row],[base retencion]],0,PROVEEDORES[[#This Row],[retención aplicada]])</f>
        <v>0</v>
      </c>
      <c r="Q1248" s="22">
        <f>+PROVEEDORES[[#This Row],[Rete Fuente %]]*(PROVEEDORES[[#This Row],[SUBTOTAL]]-PROVEEDORES[[#This Row],[descuento sobre subtotal]])</f>
        <v>0</v>
      </c>
      <c r="R1248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124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63">
        <f ca="1">IF(PROVEEDORES[[#This Row],[FECHA DE PAGO]]=0,TODAY()-PROVEEDORES[[#This Row],[FECHA DE FACTURACIÓN]]-PROVEEDORES[[#This Row],[PLAZO Días]],0)</f>
        <v>0</v>
      </c>
      <c r="U1248" s="104">
        <f>+VLOOKUP(PROVEEDORES[[#This Row],[PROVEEDOR]],Terceros!$A:$D,4,FALSE)</f>
        <v>0</v>
      </c>
      <c r="V1248" s="105">
        <f>+YEAR(PROVEEDORES[[#This Row],[FECHA DE FACTURACIÓN]])</f>
        <v>2023</v>
      </c>
      <c r="W1248" s="105">
        <f>+MATCH(PROVEEDORES[[#This Row],[año facturado]],Retenciones!$1:$1,0)</f>
        <v>6</v>
      </c>
      <c r="X1248" s="106">
        <f>+VLOOKUP(PROVEEDORES[[#This Row],[ID RETENCION]],Retenciones!$A$1:$O$25,PROVEEDORES[[#This Row],[indicador de columna]],FALSE)</f>
        <v>0</v>
      </c>
      <c r="Y1248" s="107">
        <f>+VLOOKUP(PROVEEDORES[[#This Row],[ID RETENCION]],Retenciones!$A$1:$O$25,2,FALSE)</f>
        <v>0</v>
      </c>
      <c r="Z1248" s="116" t="b">
        <f>OR(COUNTIF(PROVEEDORES[[#This Row],[PROVEEDOR]],"*"&amp;'Palabra no opera'!$A$2&amp;"*"))</f>
        <v>0</v>
      </c>
    </row>
    <row r="1249" spans="1:26" ht="22.35" customHeight="1" x14ac:dyDescent="0.3">
      <c r="A1249" s="67" t="str">
        <f>+IF(PROVEEDORES[[#This Row],[FECHA DE PAGO]]=PROVEEDORES[[#This Row],[FECHA DE FACTURACIÓN]],"DE CONTADO","CRÉDITO")</f>
        <v>DE CONTADO</v>
      </c>
      <c r="B1249" s="38" t="b">
        <f>+IF((PROVEEDORES[[#This Row],[FECHA DE PAGO]]-PROVEEDORES[[#This Row],[FECHA DE FACTURACIÓN]])&gt;PROVEEDORES[[#This Row],[PLAZO Días]],"PAGO VENCIDO")</f>
        <v>0</v>
      </c>
      <c r="C1249" s="20">
        <f>+VLOOKUP(PROVEEDORES[[#This Row],[PROVEEDOR]],TERCEROS_INFO[#All],2,FALSE)</f>
        <v>30</v>
      </c>
      <c r="D1249" s="25">
        <f>+SUMIFS(PROVEEDORES[Total],PROVEEDORES[PROVEEDOR],PROVEEDORES[[#This Row],[PROVEEDOR]],PROVEEDORES[FECHA DE PAGO],"")</f>
        <v>0</v>
      </c>
      <c r="E1249" s="25"/>
      <c r="F1249" s="56" t="str">
        <f>+VLOOKUP(PROVEEDORES[[#This Row],[PROVEEDOR]],
                       Terceros!$A:$F,
                       5,
                       FALSE)</f>
        <v/>
      </c>
      <c r="G1249" s="68">
        <v>44988</v>
      </c>
      <c r="H1249" s="26" t="s">
        <v>832</v>
      </c>
      <c r="I1249" s="68">
        <v>44988</v>
      </c>
      <c r="J1249" s="35" t="s">
        <v>1505</v>
      </c>
      <c r="K1249" s="21">
        <v>171400</v>
      </c>
      <c r="L1249" s="21"/>
      <c r="M1249" s="22">
        <f>(PROVEEDORES[[#This Row],[SUBTOTAL]]-PROVEEDORES[[#This Row],[descuento sobre subtotal]])*VLOOKUP(PROVEEDORES[[#This Row],[PROVEEDOR]],TERCEROS_INFO[#All],3,FALSE)</f>
        <v>0</v>
      </c>
      <c r="N1249" s="23"/>
      <c r="O1249" s="22">
        <f>+PROVEEDORES[[#This Row],[Descuento sobre subtotal %]]*(PROVEEDORES[[#This Row],[SUBTOTAL]]-PROVEEDORES[[#This Row],[descuento sobre subtotal]])</f>
        <v>0</v>
      </c>
      <c r="P1249" s="74">
        <f>+IF(PROVEEDORES[[#This Row],[SUBTOTAL]]&lt;PROVEEDORES[[#This Row],[base retencion]],0,PROVEEDORES[[#This Row],[retención aplicada]])</f>
        <v>0</v>
      </c>
      <c r="Q1249" s="22">
        <f>+PROVEEDORES[[#This Row],[Rete Fuente %]]*(PROVEEDORES[[#This Row],[SUBTOTAL]]-PROVEEDORES[[#This Row],[descuento sobre subtotal]])</f>
        <v>0</v>
      </c>
      <c r="R1249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12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63">
        <f ca="1">IF(PROVEEDORES[[#This Row],[FECHA DE PAGO]]=0,TODAY()-PROVEEDORES[[#This Row],[FECHA DE FACTURACIÓN]]-PROVEEDORES[[#This Row],[PLAZO Días]],0)</f>
        <v>0</v>
      </c>
      <c r="U1249" s="104">
        <f>+VLOOKUP(PROVEEDORES[[#This Row],[PROVEEDOR]],Terceros!$A:$D,4,FALSE)</f>
        <v>0</v>
      </c>
      <c r="V1249" s="105">
        <f>+YEAR(PROVEEDORES[[#This Row],[FECHA DE FACTURACIÓN]])</f>
        <v>2023</v>
      </c>
      <c r="W1249" s="105">
        <f>+MATCH(PROVEEDORES[[#This Row],[año facturado]],Retenciones!$1:$1,0)</f>
        <v>6</v>
      </c>
      <c r="X1249" s="106">
        <f>+VLOOKUP(PROVEEDORES[[#This Row],[ID RETENCION]],Retenciones!$A$1:$O$25,PROVEEDORES[[#This Row],[indicador de columna]],FALSE)</f>
        <v>0</v>
      </c>
      <c r="Y1249" s="107">
        <f>+VLOOKUP(PROVEEDORES[[#This Row],[ID RETENCION]],Retenciones!$A$1:$O$25,2,FALSE)</f>
        <v>0</v>
      </c>
      <c r="Z1249" s="116" t="b">
        <f>OR(COUNTIF(PROVEEDORES[[#This Row],[PROVEEDOR]],"*"&amp;'Palabra no opera'!$A$2&amp;"*"))</f>
        <v>1</v>
      </c>
    </row>
    <row r="1250" spans="1:26" ht="22.35" customHeight="1" x14ac:dyDescent="0.3">
      <c r="A1250" s="269" t="str">
        <f>+IF(PROVEEDORES[[#This Row],[FECHA DE PAGO]]=PROVEEDORES[[#This Row],[FECHA DE FACTURACIÓN]],"DE CONTADO","CRÉDITO")</f>
        <v>CRÉDITO</v>
      </c>
      <c r="B1250" s="38" t="b">
        <f>+IF((PROVEEDORES[[#This Row],[FECHA DE PAGO]]-PROVEEDORES[[#This Row],[FECHA DE FACTURACIÓN]])&gt;PROVEEDORES[[#This Row],[PLAZO Días]],"PAGO VENCIDO")</f>
        <v>0</v>
      </c>
      <c r="C1250" s="20">
        <f>+VLOOKUP(PROVEEDORES[[#This Row],[PROVEEDOR]],TERCEROS_INFO[#All],2,FALSE)</f>
        <v>30</v>
      </c>
      <c r="D1250" s="25">
        <f>+SUMIFS(PROVEEDORES[Total],PROVEEDORES[PROVEEDOR],PROVEEDORES[[#This Row],[PROVEEDOR]],PROVEEDORES[FECHA DE PAGO],"")</f>
        <v>0</v>
      </c>
      <c r="E1250" s="25"/>
      <c r="F1250" s="56">
        <f>+VLOOKUP(PROVEEDORES[[#This Row],[PROVEEDOR]],
                       Terceros!$A:$F,
                       5,
                       FALSE)</f>
        <v>0</v>
      </c>
      <c r="G1250" s="68">
        <v>44988</v>
      </c>
      <c r="H1250" s="26" t="s">
        <v>413</v>
      </c>
      <c r="I1250" s="68">
        <v>44977</v>
      </c>
      <c r="J1250" s="35" t="s">
        <v>1469</v>
      </c>
      <c r="K1250" s="21">
        <v>1008000</v>
      </c>
      <c r="L1250" s="21"/>
      <c r="M1250" s="22">
        <f>(PROVEEDORES[[#This Row],[SUBTOTAL]]-PROVEEDORES[[#This Row],[descuento sobre subtotal]])*VLOOKUP(PROVEEDORES[[#This Row],[PROVEEDOR]],TERCEROS_INFO[#All],3,FALSE)</f>
        <v>0</v>
      </c>
      <c r="N1250" s="23"/>
      <c r="O1250" s="22">
        <f>+PROVEEDORES[[#This Row],[Descuento sobre subtotal %]]*(PROVEEDORES[[#This Row],[SUBTOTAL]]-PROVEEDORES[[#This Row],[descuento sobre subtotal]])</f>
        <v>0</v>
      </c>
      <c r="P1250" s="74">
        <f>+IF(PROVEEDORES[[#This Row],[SUBTOTAL]]&lt;PROVEEDORES[[#This Row],[base retencion]],0,PROVEEDORES[[#This Row],[retención aplicada]])</f>
        <v>0</v>
      </c>
      <c r="Q1250" s="22">
        <f>+PROVEEDORES[[#This Row],[Rete Fuente %]]*(PROVEEDORES[[#This Row],[SUBTOTAL]]-PROVEEDORES[[#This Row],[descuento sobre subtotal]])</f>
        <v>0</v>
      </c>
      <c r="R1250" s="21">
        <f>+PROVEEDORES[[#This Row],[SUBTOTAL]]+PROVEEDORES[[#This Row],[IVA 19%]]-PROVEEDORES[[#This Row],[descuento sobre subtotal]]-PROVEEDORES[[#This Row],[Descuento sobre subtotal $2]]-PROVEEDORES[[#This Row],[Rete Fuente $]]</f>
        <v>1008000</v>
      </c>
      <c r="S1250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63">
        <f ca="1">IF(PROVEEDORES[[#This Row],[FECHA DE PAGO]]=0,TODAY()-PROVEEDORES[[#This Row],[FECHA DE FACTURACIÓN]]-PROVEEDORES[[#This Row],[PLAZO Días]],0)</f>
        <v>0</v>
      </c>
      <c r="U1250" s="104">
        <f>+VLOOKUP(PROVEEDORES[[#This Row],[PROVEEDOR]],Terceros!$A:$D,4,FALSE)</f>
        <v>0</v>
      </c>
      <c r="V1250" s="105">
        <f>+YEAR(PROVEEDORES[[#This Row],[FECHA DE FACTURACIÓN]])</f>
        <v>2023</v>
      </c>
      <c r="W1250" s="105">
        <f>+MATCH(PROVEEDORES[[#This Row],[año facturado]],Retenciones!$1:$1,0)</f>
        <v>6</v>
      </c>
      <c r="X1250" s="106">
        <f>+VLOOKUP(PROVEEDORES[[#This Row],[ID RETENCION]],Retenciones!$A$1:$O$25,PROVEEDORES[[#This Row],[indicador de columna]],FALSE)</f>
        <v>0</v>
      </c>
      <c r="Y1250" s="107">
        <f>+VLOOKUP(PROVEEDORES[[#This Row],[ID RETENCION]],Retenciones!$A$1:$O$25,2,FALSE)</f>
        <v>0</v>
      </c>
      <c r="Z1250" s="116" t="b">
        <f>OR(COUNTIF(PROVEEDORES[[#This Row],[PROVEEDOR]],"*"&amp;'Palabra no opera'!$A$2&amp;"*"))</f>
        <v>0</v>
      </c>
    </row>
    <row r="1251" spans="1:26" ht="22.35" customHeight="1" x14ac:dyDescent="0.3">
      <c r="A1251" s="249" t="str">
        <f>+IF(PROVEEDORES[[#This Row],[FECHA DE PAGO]]=PROVEEDORES[[#This Row],[FECHA DE FACTURACIÓN]],"DE CONTADO","CRÉDITO")</f>
        <v>CRÉDITO</v>
      </c>
      <c r="B1251" s="38" t="str">
        <f>+IF((PROVEEDORES[[#This Row],[FECHA DE PAGO]]-PROVEEDORES[[#This Row],[FECHA DE FACTURACIÓN]])&gt;PROVEEDORES[[#This Row],[PLAZO Días]],"PAGO VENCIDO")</f>
        <v>PAGO VENCIDO</v>
      </c>
      <c r="C1251" s="20">
        <f>+VLOOKUP(PROVEEDORES[[#This Row],[PROVEEDOR]],TERCEROS_INFO[#All],2,FALSE)</f>
        <v>30</v>
      </c>
      <c r="D1251" s="25">
        <f>+SUMIFS(PROVEEDORES[Total],PROVEEDORES[PROVEEDOR],PROVEEDORES[[#This Row],[PROVEEDOR]],PROVEEDORES[FECHA DE PAGO],"")</f>
        <v>0</v>
      </c>
      <c r="E1251" s="25"/>
      <c r="F125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51" s="68">
        <v>44988</v>
      </c>
      <c r="H1251" s="26" t="s">
        <v>281</v>
      </c>
      <c r="I1251" s="68">
        <v>44910</v>
      </c>
      <c r="J1251" s="35" t="s">
        <v>1349</v>
      </c>
      <c r="K1251" s="21">
        <v>5335156</v>
      </c>
      <c r="L1251" s="21"/>
      <c r="M1251" s="22">
        <v>266758</v>
      </c>
      <c r="N1251" s="23"/>
      <c r="O1251" s="22">
        <f>+PROVEEDORES[[#This Row],[Descuento sobre subtotal %]]*(PROVEEDORES[[#This Row],[SUBTOTAL]]-PROVEEDORES[[#This Row],[descuento sobre subtotal]])</f>
        <v>0</v>
      </c>
      <c r="P1251" s="74">
        <f>+IF(PROVEEDORES[[#This Row],[SUBTOTAL]]&lt;PROVEEDORES[[#This Row],[base retencion]],0,PROVEEDORES[[#This Row],[retención aplicada]])</f>
        <v>0</v>
      </c>
      <c r="Q1251" s="22">
        <f>+PROVEEDORES[[#This Row],[Rete Fuente %]]*(PROVEEDORES[[#This Row],[SUBTOTAL]]-PROVEEDORES[[#This Row],[descuento sobre subtotal]])</f>
        <v>0</v>
      </c>
      <c r="R1251" s="21">
        <f>+PROVEEDORES[[#This Row],[SUBTOTAL]]+PROVEEDORES[[#This Row],[IVA 19%]]-PROVEEDORES[[#This Row],[descuento sobre subtotal]]-PROVEEDORES[[#This Row],[Descuento sobre subtotal $2]]-PROVEEDORES[[#This Row],[Rete Fuente $]]</f>
        <v>5601914</v>
      </c>
      <c r="S125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63">
        <f ca="1">IF(PROVEEDORES[[#This Row],[FECHA DE PAGO]]=0,TODAY()-PROVEEDORES[[#This Row],[FECHA DE FACTURACIÓN]]-PROVEEDORES[[#This Row],[PLAZO Días]],0)</f>
        <v>0</v>
      </c>
      <c r="U1251" s="104">
        <f>+VLOOKUP(PROVEEDORES[[#This Row],[PROVEEDOR]],Terceros!$A:$D,4,FALSE)</f>
        <v>0</v>
      </c>
      <c r="V1251" s="105">
        <f>+YEAR(PROVEEDORES[[#This Row],[FECHA DE FACTURACIÓN]])</f>
        <v>2022</v>
      </c>
      <c r="W1251" s="105">
        <f>+MATCH(PROVEEDORES[[#This Row],[año facturado]],Retenciones!$1:$1,0)</f>
        <v>5</v>
      </c>
      <c r="X1251" s="106">
        <f>+VLOOKUP(PROVEEDORES[[#This Row],[ID RETENCION]],Retenciones!$A$1:$O$25,PROVEEDORES[[#This Row],[indicador de columna]],FALSE)</f>
        <v>0</v>
      </c>
      <c r="Y1251" s="107">
        <f>+VLOOKUP(PROVEEDORES[[#This Row],[ID RETENCION]],Retenciones!$A$1:$O$25,2,FALSE)</f>
        <v>0</v>
      </c>
      <c r="Z1251" s="116" t="b">
        <f>OR(COUNTIF(PROVEEDORES[[#This Row],[PROVEEDOR]],"*"&amp;'Palabra no opera'!$A$2&amp;"*"))</f>
        <v>0</v>
      </c>
    </row>
    <row r="1252" spans="1:26" ht="22.35" customHeight="1" x14ac:dyDescent="0.3">
      <c r="A1252" s="252" t="str">
        <f>+IF(PROVEEDORES[[#This Row],[FECHA DE PAGO]]=PROVEEDORES[[#This Row],[FECHA DE FACTURACIÓN]],"DE CONTADO","CRÉDITO")</f>
        <v>CRÉDITO</v>
      </c>
      <c r="B1252" s="38" t="str">
        <f>+IF((PROVEEDORES[[#This Row],[FECHA DE PAGO]]-PROVEEDORES[[#This Row],[FECHA DE FACTURACIÓN]])&gt;PROVEEDORES[[#This Row],[PLAZO Días]],"PAGO VENCIDO")</f>
        <v>PAGO VENCIDO</v>
      </c>
      <c r="C1252" s="20">
        <f>+VLOOKUP(PROVEEDORES[[#This Row],[PROVEEDOR]],TERCEROS_INFO[#All],2,FALSE)</f>
        <v>30</v>
      </c>
      <c r="D1252" s="25">
        <f>+SUMIFS(PROVEEDORES[Total],PROVEEDORES[PROVEEDOR],PROVEEDORES[[#This Row],[PROVEEDOR]],PROVEEDORES[FECHA DE PAGO],"")</f>
        <v>0</v>
      </c>
      <c r="E1252" s="25"/>
      <c r="F125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52" s="68">
        <v>44988</v>
      </c>
      <c r="H1252" s="26" t="s">
        <v>281</v>
      </c>
      <c r="I1252" s="68">
        <v>44910</v>
      </c>
      <c r="J1252" s="35" t="s">
        <v>1349</v>
      </c>
      <c r="K1252" s="21">
        <v>-2109032</v>
      </c>
      <c r="L1252" s="21"/>
      <c r="M1252" s="22">
        <f>(PROVEEDORES[[#This Row],[SUBTOTAL]]-PROVEEDORES[[#This Row],[descuento sobre subtotal]])*VLOOKUP(PROVEEDORES[[#This Row],[PROVEEDOR]],TERCEROS_INFO[#All],3,FALSE)</f>
        <v>-400716.08</v>
      </c>
      <c r="N1252" s="23"/>
      <c r="O1252" s="22">
        <f>+PROVEEDORES[[#This Row],[Descuento sobre subtotal %]]*(PROVEEDORES[[#This Row],[SUBTOTAL]]-PROVEEDORES[[#This Row],[descuento sobre subtotal]])</f>
        <v>0</v>
      </c>
      <c r="P1252" s="74">
        <f>+IF(PROVEEDORES[[#This Row],[SUBTOTAL]]&lt;PROVEEDORES[[#This Row],[base retencion]],0,PROVEEDORES[[#This Row],[retención aplicada]])</f>
        <v>0</v>
      </c>
      <c r="Q1252" s="22">
        <f>+PROVEEDORES[[#This Row],[Rete Fuente %]]*(PROVEEDORES[[#This Row],[SUBTOTAL]]-PROVEEDORES[[#This Row],[descuento sobre subtotal]])</f>
        <v>0</v>
      </c>
      <c r="R1252" s="21">
        <f>+PROVEEDORES[[#This Row],[SUBTOTAL]]+PROVEEDORES[[#This Row],[IVA 19%]]-PROVEEDORES[[#This Row],[descuento sobre subtotal]]-PROVEEDORES[[#This Row],[Descuento sobre subtotal $2]]-PROVEEDORES[[#This Row],[Rete Fuente $]]</f>
        <v>-2509748.08</v>
      </c>
      <c r="S1252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63">
        <f ca="1">IF(PROVEEDORES[[#This Row],[FECHA DE PAGO]]=0,TODAY()-PROVEEDORES[[#This Row],[FECHA DE FACTURACIÓN]]-PROVEEDORES[[#This Row],[PLAZO Días]],0)</f>
        <v>0</v>
      </c>
      <c r="U1252" s="104">
        <f>+VLOOKUP(PROVEEDORES[[#This Row],[PROVEEDOR]],Terceros!$A:$D,4,FALSE)</f>
        <v>0</v>
      </c>
      <c r="V1252" s="105">
        <f>+YEAR(PROVEEDORES[[#This Row],[FECHA DE FACTURACIÓN]])</f>
        <v>2022</v>
      </c>
      <c r="W1252" s="105">
        <f>+MATCH(PROVEEDORES[[#This Row],[año facturado]],Retenciones!$1:$1,0)</f>
        <v>5</v>
      </c>
      <c r="X1252" s="106">
        <f>+VLOOKUP(PROVEEDORES[[#This Row],[ID RETENCION]],Retenciones!$A$1:$O$25,PROVEEDORES[[#This Row],[indicador de columna]],FALSE)</f>
        <v>0</v>
      </c>
      <c r="Y1252" s="107">
        <f>+VLOOKUP(PROVEEDORES[[#This Row],[ID RETENCION]],Retenciones!$A$1:$O$25,2,FALSE)</f>
        <v>0</v>
      </c>
      <c r="Z1252" s="116" t="b">
        <f>OR(COUNTIF(PROVEEDORES[[#This Row],[PROVEEDOR]],"*"&amp;'Palabra no opera'!$A$2&amp;"*"))</f>
        <v>0</v>
      </c>
    </row>
    <row r="1253" spans="1:26" ht="22.35" customHeight="1" x14ac:dyDescent="0.3">
      <c r="A1253" s="67" t="str">
        <f>+IF(PROVEEDORES[[#This Row],[FECHA DE PAGO]]=PROVEEDORES[[#This Row],[FECHA DE FACTURACIÓN]],"DE CONTADO","CRÉDITO")</f>
        <v>CRÉDITO</v>
      </c>
      <c r="B1253" s="38" t="str">
        <f>+IF((PROVEEDORES[[#This Row],[FECHA DE PAGO]]-PROVEEDORES[[#This Row],[FECHA DE FACTURACIÓN]])&gt;PROVEEDORES[[#This Row],[PLAZO Días]],"PAGO VENCIDO")</f>
        <v>PAGO VENCIDO</v>
      </c>
      <c r="C1253" s="20">
        <f>+VLOOKUP(PROVEEDORES[[#This Row],[PROVEEDOR]],TERCEROS_INFO[#All],2,FALSE)</f>
        <v>30</v>
      </c>
      <c r="D1253" s="25">
        <f>+SUMIFS(PROVEEDORES[Total],PROVEEDORES[PROVEEDOR],PROVEEDORES[[#This Row],[PROVEEDOR]],PROVEEDORES[FECHA DE PAGO],"")</f>
        <v>0</v>
      </c>
      <c r="E1253" s="25"/>
      <c r="F1253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53" s="68">
        <v>44988</v>
      </c>
      <c r="H1253" s="26" t="s">
        <v>281</v>
      </c>
      <c r="I1253" s="68">
        <v>44950</v>
      </c>
      <c r="J1253" s="35" t="s">
        <v>1410</v>
      </c>
      <c r="K1253" s="21">
        <v>2040000</v>
      </c>
      <c r="L1253" s="21"/>
      <c r="M1253" s="22">
        <f>(PROVEEDORES[[#This Row],[SUBTOTAL]]-PROVEEDORES[[#This Row],[descuento sobre subtotal]])*VLOOKUP(PROVEEDORES[[#This Row],[PROVEEDOR]],TERCEROS_INFO[#All],3,FALSE)</f>
        <v>387600</v>
      </c>
      <c r="N1253" s="23"/>
      <c r="O1253" s="22">
        <f>+PROVEEDORES[[#This Row],[Descuento sobre subtotal %]]*(PROVEEDORES[[#This Row],[SUBTOTAL]]-PROVEEDORES[[#This Row],[descuento sobre subtotal]])</f>
        <v>0</v>
      </c>
      <c r="P1253" s="74">
        <f>+IF(PROVEEDORES[[#This Row],[SUBTOTAL]]&lt;PROVEEDORES[[#This Row],[base retencion]],0,PROVEEDORES[[#This Row],[retención aplicada]])</f>
        <v>0</v>
      </c>
      <c r="Q1253" s="22">
        <f>+PROVEEDORES[[#This Row],[Rete Fuente %]]*(PROVEEDORES[[#This Row],[SUBTOTAL]]-PROVEEDORES[[#This Row],[descuento sobre subtotal]])</f>
        <v>0</v>
      </c>
      <c r="R1253" s="21">
        <f>+PROVEEDORES[[#This Row],[SUBTOTAL]]+PROVEEDORES[[#This Row],[IVA 19%]]-PROVEEDORES[[#This Row],[descuento sobre subtotal]]-PROVEEDORES[[#This Row],[Descuento sobre subtotal $2]]-PROVEEDORES[[#This Row],[Rete Fuente $]]</f>
        <v>2427600</v>
      </c>
      <c r="S12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63">
        <f ca="1">IF(PROVEEDORES[[#This Row],[FECHA DE PAGO]]=0,TODAY()-PROVEEDORES[[#This Row],[FECHA DE FACTURACIÓN]]-PROVEEDORES[[#This Row],[PLAZO Días]],0)</f>
        <v>0</v>
      </c>
      <c r="U1253" s="104">
        <f>+VLOOKUP(PROVEEDORES[[#This Row],[PROVEEDOR]],Terceros!$A:$D,4,FALSE)</f>
        <v>0</v>
      </c>
      <c r="V1253" s="105">
        <f>+YEAR(PROVEEDORES[[#This Row],[FECHA DE FACTURACIÓN]])</f>
        <v>2023</v>
      </c>
      <c r="W1253" s="105">
        <f>+MATCH(PROVEEDORES[[#This Row],[año facturado]],Retenciones!$1:$1,0)</f>
        <v>6</v>
      </c>
      <c r="X1253" s="106">
        <f>+VLOOKUP(PROVEEDORES[[#This Row],[ID RETENCION]],Retenciones!$A$1:$O$25,PROVEEDORES[[#This Row],[indicador de columna]],FALSE)</f>
        <v>0</v>
      </c>
      <c r="Y1253" s="107">
        <f>+VLOOKUP(PROVEEDORES[[#This Row],[ID RETENCION]],Retenciones!$A$1:$O$25,2,FALSE)</f>
        <v>0</v>
      </c>
      <c r="Z1253" s="116" t="b">
        <f>OR(COUNTIF(PROVEEDORES[[#This Row],[PROVEEDOR]],"*"&amp;'Palabra no opera'!$A$2&amp;"*"))</f>
        <v>0</v>
      </c>
    </row>
    <row r="1254" spans="1:26" ht="22.35" customHeight="1" x14ac:dyDescent="0.3">
      <c r="A1254" s="249" t="str">
        <f>+IF(PROVEEDORES[[#This Row],[FECHA DE PAGO]]=PROVEEDORES[[#This Row],[FECHA DE FACTURACIÓN]],"DE CONTADO","CRÉDITO")</f>
        <v>CRÉDITO</v>
      </c>
      <c r="B1254" s="38" t="str">
        <f>+IF((PROVEEDORES[[#This Row],[FECHA DE PAGO]]-PROVEEDORES[[#This Row],[FECHA DE FACTURACIÓN]])&gt;PROVEEDORES[[#This Row],[PLAZO Días]],"PAGO VENCIDO")</f>
        <v>PAGO VENCIDO</v>
      </c>
      <c r="C1254" s="20">
        <f>+VLOOKUP(PROVEEDORES[[#This Row],[PROVEEDOR]],TERCEROS_INFO[#All],2,FALSE)</f>
        <v>30</v>
      </c>
      <c r="D1254" s="25">
        <f>+SUMIFS(PROVEEDORES[Total],PROVEEDORES[PROVEEDOR],PROVEEDORES[[#This Row],[PROVEEDOR]],PROVEEDORES[FECHA DE PAGO],"")</f>
        <v>3209330.35</v>
      </c>
      <c r="E1254" s="25"/>
      <c r="F1254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54" s="68">
        <v>44988</v>
      </c>
      <c r="H1254" s="26" t="s">
        <v>282</v>
      </c>
      <c r="I1254" s="68">
        <v>44904</v>
      </c>
      <c r="J1254" s="35">
        <v>1591</v>
      </c>
      <c r="K1254" s="21">
        <v>285714</v>
      </c>
      <c r="L1254" s="21"/>
      <c r="M1254" s="22">
        <f>(PROVEEDORES[[#This Row],[SUBTOTAL]]-PROVEEDORES[[#This Row],[descuento sobre subtotal]])*VLOOKUP(PROVEEDORES[[#This Row],[PROVEEDOR]],TERCEROS_INFO[#All],3,FALSE)</f>
        <v>54285.66</v>
      </c>
      <c r="N1254" s="23"/>
      <c r="O1254" s="22">
        <f>+PROVEEDORES[[#This Row],[Descuento sobre subtotal %]]*(PROVEEDORES[[#This Row],[SUBTOTAL]]-PROVEEDORES[[#This Row],[descuento sobre subtotal]])</f>
        <v>0</v>
      </c>
      <c r="P1254" s="74">
        <f>+IF(PROVEEDORES[[#This Row],[SUBTOTAL]]&lt;PROVEEDORES[[#This Row],[base retencion]],0,PROVEEDORES[[#This Row],[retención aplicada]])</f>
        <v>0</v>
      </c>
      <c r="Q1254" s="22">
        <f>+PROVEEDORES[[#This Row],[Rete Fuente %]]*(PROVEEDORES[[#This Row],[SUBTOTAL]]-PROVEEDORES[[#This Row],[descuento sobre subtotal]])</f>
        <v>0</v>
      </c>
      <c r="R1254" s="21">
        <f>+PROVEEDORES[[#This Row],[SUBTOTAL]]+PROVEEDORES[[#This Row],[IVA 19%]]-PROVEEDORES[[#This Row],[descuento sobre subtotal]]-PROVEEDORES[[#This Row],[Descuento sobre subtotal $2]]-PROVEEDORES[[#This Row],[Rete Fuente $]]</f>
        <v>339999.66000000003</v>
      </c>
      <c r="S125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63">
        <f ca="1">IF(PROVEEDORES[[#This Row],[FECHA DE PAGO]]=0,TODAY()-PROVEEDORES[[#This Row],[FECHA DE FACTURACIÓN]]-PROVEEDORES[[#This Row],[PLAZO Días]],0)</f>
        <v>0</v>
      </c>
      <c r="U1254" s="104" t="str">
        <f>+VLOOKUP(PROVEEDORES[[#This Row],[PROVEEDOR]],Terceros!$A:$D,4,FALSE)</f>
        <v>2,5% con base</v>
      </c>
      <c r="V1254" s="105">
        <f>+YEAR(PROVEEDORES[[#This Row],[FECHA DE FACTURACIÓN]])</f>
        <v>2022</v>
      </c>
      <c r="W1254" s="105">
        <f>+MATCH(PROVEEDORES[[#This Row],[año facturado]],Retenciones!$1:$1,0)</f>
        <v>5</v>
      </c>
      <c r="X1254" s="106">
        <f>+VLOOKUP(PROVEEDORES[[#This Row],[ID RETENCION]],Retenciones!$A$1:$O$25,PROVEEDORES[[#This Row],[indicador de columna]],FALSE)</f>
        <v>1026000</v>
      </c>
      <c r="Y1254" s="107">
        <f>+VLOOKUP(PROVEEDORES[[#This Row],[ID RETENCION]],Retenciones!$A$1:$O$25,2,FALSE)</f>
        <v>2.5000000000000001E-2</v>
      </c>
      <c r="Z1254" s="116" t="b">
        <f>OR(COUNTIF(PROVEEDORES[[#This Row],[PROVEEDOR]],"*"&amp;'Palabra no opera'!$A$2&amp;"*"))</f>
        <v>0</v>
      </c>
    </row>
    <row r="1255" spans="1:26" ht="22.35" customHeight="1" x14ac:dyDescent="0.3">
      <c r="A1255" s="252" t="str">
        <f>+IF(PROVEEDORES[[#This Row],[FECHA DE PAGO]]=PROVEEDORES[[#This Row],[FECHA DE FACTURACIÓN]],"DE CONTADO","CRÉDITO")</f>
        <v>CRÉDITO</v>
      </c>
      <c r="B1255" s="38" t="str">
        <f>+IF((PROVEEDORES[[#This Row],[FECHA DE PAGO]]-PROVEEDORES[[#This Row],[FECHA DE FACTURACIÓN]])&gt;PROVEEDORES[[#This Row],[PLAZO Días]],"PAGO VENCIDO")</f>
        <v>PAGO VENCIDO</v>
      </c>
      <c r="C1255" s="20">
        <f>+VLOOKUP(PROVEEDORES[[#This Row],[PROVEEDOR]],TERCEROS_INFO[#All],2,FALSE)</f>
        <v>30</v>
      </c>
      <c r="D1255" s="25">
        <f>+SUMIFS(PROVEEDORES[Total],PROVEEDORES[PROVEEDOR],PROVEEDORES[[#This Row],[PROVEEDOR]],PROVEEDORES[FECHA DE PAGO],"")</f>
        <v>3209330.35</v>
      </c>
      <c r="E1255" s="25"/>
      <c r="F1255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55" s="68">
        <v>44988</v>
      </c>
      <c r="H1255" s="26" t="s">
        <v>282</v>
      </c>
      <c r="I1255" s="68">
        <v>44916</v>
      </c>
      <c r="J1255" s="35">
        <v>1622</v>
      </c>
      <c r="K1255" s="21">
        <v>635294</v>
      </c>
      <c r="L1255" s="21"/>
      <c r="M1255" s="22">
        <f>(PROVEEDORES[[#This Row],[SUBTOTAL]]-PROVEEDORES[[#This Row],[descuento sobre subtotal]])*VLOOKUP(PROVEEDORES[[#This Row],[PROVEEDOR]],TERCEROS_INFO[#All],3,FALSE)</f>
        <v>120705.86</v>
      </c>
      <c r="N1255" s="23"/>
      <c r="O1255" s="22">
        <f>+PROVEEDORES[[#This Row],[Descuento sobre subtotal %]]*(PROVEEDORES[[#This Row],[SUBTOTAL]]-PROVEEDORES[[#This Row],[descuento sobre subtotal]])</f>
        <v>0</v>
      </c>
      <c r="P1255" s="74">
        <f>+IF(PROVEEDORES[[#This Row],[SUBTOTAL]]&lt;PROVEEDORES[[#This Row],[base retencion]],0,PROVEEDORES[[#This Row],[retención aplicada]])</f>
        <v>0</v>
      </c>
      <c r="Q1255" s="22">
        <f>+PROVEEDORES[[#This Row],[Rete Fuente %]]*(PROVEEDORES[[#This Row],[SUBTOTAL]]-PROVEEDORES[[#This Row],[descuento sobre subtotal]])</f>
        <v>0</v>
      </c>
      <c r="R1255" s="21">
        <f>+PROVEEDORES[[#This Row],[SUBTOTAL]]+PROVEEDORES[[#This Row],[IVA 19%]]-PROVEEDORES[[#This Row],[descuento sobre subtotal]]-PROVEEDORES[[#This Row],[Descuento sobre subtotal $2]]-PROVEEDORES[[#This Row],[Rete Fuente $]]</f>
        <v>755999.86</v>
      </c>
      <c r="S1255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63">
        <f ca="1">IF(PROVEEDORES[[#This Row],[FECHA DE PAGO]]=0,TODAY()-PROVEEDORES[[#This Row],[FECHA DE FACTURACIÓN]]-PROVEEDORES[[#This Row],[PLAZO Días]],0)</f>
        <v>0</v>
      </c>
      <c r="U1255" s="104" t="str">
        <f>+VLOOKUP(PROVEEDORES[[#This Row],[PROVEEDOR]],Terceros!$A:$D,4,FALSE)</f>
        <v>2,5% con base</v>
      </c>
      <c r="V1255" s="105">
        <f>+YEAR(PROVEEDORES[[#This Row],[FECHA DE FACTURACIÓN]])</f>
        <v>2022</v>
      </c>
      <c r="W1255" s="105">
        <f>+MATCH(PROVEEDORES[[#This Row],[año facturado]],Retenciones!$1:$1,0)</f>
        <v>5</v>
      </c>
      <c r="X1255" s="106">
        <f>+VLOOKUP(PROVEEDORES[[#This Row],[ID RETENCION]],Retenciones!$A$1:$O$25,PROVEEDORES[[#This Row],[indicador de columna]],FALSE)</f>
        <v>1026000</v>
      </c>
      <c r="Y1255" s="107">
        <f>+VLOOKUP(PROVEEDORES[[#This Row],[ID RETENCION]],Retenciones!$A$1:$O$25,2,FALSE)</f>
        <v>2.5000000000000001E-2</v>
      </c>
      <c r="Z1255" s="116" t="b">
        <f>OR(COUNTIF(PROVEEDORES[[#This Row],[PROVEEDOR]],"*"&amp;'Palabra no opera'!$A$2&amp;"*"))</f>
        <v>0</v>
      </c>
    </row>
    <row r="1256" spans="1:26" ht="22.35" customHeight="1" x14ac:dyDescent="0.3">
      <c r="A1256" s="67" t="str">
        <f>+IF(PROVEEDORES[[#This Row],[FECHA DE PAGO]]=PROVEEDORES[[#This Row],[FECHA DE FACTURACIÓN]],"DE CONTADO","CRÉDITO")</f>
        <v>CRÉDITO</v>
      </c>
      <c r="B1256" s="38" t="str">
        <f>+IF((PROVEEDORES[[#This Row],[FECHA DE PAGO]]-PROVEEDORES[[#This Row],[FECHA DE FACTURACIÓN]])&gt;PROVEEDORES[[#This Row],[PLAZO Días]],"PAGO VENCIDO")</f>
        <v>PAGO VENCIDO</v>
      </c>
      <c r="C1256" s="20">
        <f>+VLOOKUP(PROVEEDORES[[#This Row],[PROVEEDOR]],TERCEROS_INFO[#All],2,FALSE)</f>
        <v>30</v>
      </c>
      <c r="D1256" s="25">
        <f>+SUMIFS(PROVEEDORES[Total],PROVEEDORES[PROVEEDOR],PROVEEDORES[[#This Row],[PROVEEDOR]],PROVEEDORES[FECHA DE PAGO],"")</f>
        <v>3209330.35</v>
      </c>
      <c r="E1256" s="25"/>
      <c r="F1256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56" s="68">
        <v>44988</v>
      </c>
      <c r="H1256" s="26" t="s">
        <v>282</v>
      </c>
      <c r="I1256" s="68">
        <v>44952</v>
      </c>
      <c r="J1256" s="35" t="s">
        <v>1411</v>
      </c>
      <c r="K1256" s="21">
        <v>4892185</v>
      </c>
      <c r="L1256" s="21"/>
      <c r="M1256" s="22">
        <f>(PROVEEDORES[[#This Row],[SUBTOTAL]]-PROVEEDORES[[#This Row],[descuento sobre subtotal]])*VLOOKUP(PROVEEDORES[[#This Row],[PROVEEDOR]],TERCEROS_INFO[#All],3,FALSE)</f>
        <v>929515.15</v>
      </c>
      <c r="N1256" s="23"/>
      <c r="O1256" s="22">
        <f>+PROVEEDORES[[#This Row],[Descuento sobre subtotal %]]*(PROVEEDORES[[#This Row],[SUBTOTAL]]-PROVEEDORES[[#This Row],[descuento sobre subtotal]])</f>
        <v>0</v>
      </c>
      <c r="P1256" s="74">
        <f>+IF(PROVEEDORES[[#This Row],[SUBTOTAL]]&lt;PROVEEDORES[[#This Row],[base retencion]],0,PROVEEDORES[[#This Row],[retención aplicada]])</f>
        <v>2.5000000000000001E-2</v>
      </c>
      <c r="Q1256" s="22">
        <f>+PROVEEDORES[[#This Row],[Rete Fuente %]]*(PROVEEDORES[[#This Row],[SUBTOTAL]]-PROVEEDORES[[#This Row],[descuento sobre subtotal]])</f>
        <v>122304.625</v>
      </c>
      <c r="R1256" s="21">
        <f>+PROVEEDORES[[#This Row],[SUBTOTAL]]+PROVEEDORES[[#This Row],[IVA 19%]]-PROVEEDORES[[#This Row],[descuento sobre subtotal]]-PROVEEDORES[[#This Row],[Descuento sobre subtotal $2]]-PROVEEDORES[[#This Row],[Rete Fuente $]]</f>
        <v>5699395.5250000004</v>
      </c>
      <c r="S12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63">
        <f ca="1">IF(PROVEEDORES[[#This Row],[FECHA DE PAGO]]=0,TODAY()-PROVEEDORES[[#This Row],[FECHA DE FACTURACIÓN]]-PROVEEDORES[[#This Row],[PLAZO Días]],0)</f>
        <v>0</v>
      </c>
      <c r="U1256" s="104" t="str">
        <f>+VLOOKUP(PROVEEDORES[[#This Row],[PROVEEDOR]],Terceros!$A:$D,4,FALSE)</f>
        <v>2,5% con base</v>
      </c>
      <c r="V1256" s="105">
        <f>+YEAR(PROVEEDORES[[#This Row],[FECHA DE FACTURACIÓN]])</f>
        <v>2023</v>
      </c>
      <c r="W1256" s="105">
        <f>+MATCH(PROVEEDORES[[#This Row],[año facturado]],Retenciones!$1:$1,0)</f>
        <v>6</v>
      </c>
      <c r="X1256" s="106">
        <f>+VLOOKUP(PROVEEDORES[[#This Row],[ID RETENCION]],Retenciones!$A$1:$O$25,PROVEEDORES[[#This Row],[indicador de columna]],FALSE)</f>
        <v>1145000</v>
      </c>
      <c r="Y1256" s="107">
        <f>+VLOOKUP(PROVEEDORES[[#This Row],[ID RETENCION]],Retenciones!$A$1:$O$25,2,FALSE)</f>
        <v>2.5000000000000001E-2</v>
      </c>
      <c r="Z1256" s="116" t="b">
        <f>OR(COUNTIF(PROVEEDORES[[#This Row],[PROVEEDOR]],"*"&amp;'Palabra no opera'!$A$2&amp;"*"))</f>
        <v>0</v>
      </c>
    </row>
    <row r="1257" spans="1:26" ht="22.35" customHeight="1" x14ac:dyDescent="0.3">
      <c r="A1257" s="252" t="str">
        <f>+IF(PROVEEDORES[[#This Row],[FECHA DE PAGO]]=PROVEEDORES[[#This Row],[FECHA DE FACTURACIÓN]],"DE CONTADO","CRÉDITO")</f>
        <v>CRÉDITO</v>
      </c>
      <c r="B1257" s="38" t="str">
        <f>+IF((PROVEEDORES[[#This Row],[FECHA DE PAGO]]-PROVEEDORES[[#This Row],[FECHA DE FACTURACIÓN]])&gt;PROVEEDORES[[#This Row],[PLAZO Días]],"PAGO VENCIDO")</f>
        <v>PAGO VENCIDO</v>
      </c>
      <c r="C1257" s="20">
        <f>+VLOOKUP(PROVEEDORES[[#This Row],[PROVEEDOR]],TERCEROS_INFO[#All],2,FALSE)</f>
        <v>30</v>
      </c>
      <c r="D1257" s="25">
        <f>+SUMIFS(PROVEEDORES[Total],PROVEEDORES[PROVEEDOR],PROVEEDORES[[#This Row],[PROVEEDOR]],PROVEEDORES[FECHA DE PAGO],"")</f>
        <v>0</v>
      </c>
      <c r="E1257" s="25"/>
      <c r="F1257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257" s="68">
        <v>44988</v>
      </c>
      <c r="H1257" s="26" t="s">
        <v>809</v>
      </c>
      <c r="I1257" s="68">
        <v>44917</v>
      </c>
      <c r="J1257" s="35">
        <v>2636</v>
      </c>
      <c r="K1257" s="21">
        <v>1123000</v>
      </c>
      <c r="L1257" s="21"/>
      <c r="M1257" s="22">
        <f>(PROVEEDORES[[#This Row],[SUBTOTAL]]-PROVEEDORES[[#This Row],[descuento sobre subtotal]])*VLOOKUP(PROVEEDORES[[#This Row],[PROVEEDOR]],TERCEROS_INFO[#All],3,FALSE)</f>
        <v>213370</v>
      </c>
      <c r="N1257" s="23"/>
      <c r="O1257" s="22">
        <f>+PROVEEDORES[[#This Row],[Descuento sobre subtotal %]]*(PROVEEDORES[[#This Row],[SUBTOTAL]]-PROVEEDORES[[#This Row],[descuento sobre subtotal]])</f>
        <v>0</v>
      </c>
      <c r="P1257" s="74">
        <f>+IF(PROVEEDORES[[#This Row],[SUBTOTAL]]&lt;PROVEEDORES[[#This Row],[base retencion]],0,PROVEEDORES[[#This Row],[retención aplicada]])</f>
        <v>2.5000000000000001E-2</v>
      </c>
      <c r="Q1257" s="22">
        <f>+PROVEEDORES[[#This Row],[Rete Fuente %]]*(PROVEEDORES[[#This Row],[SUBTOTAL]]-PROVEEDORES[[#This Row],[descuento sobre subtotal]])</f>
        <v>28075</v>
      </c>
      <c r="R1257" s="21">
        <f>+PROVEEDORES[[#This Row],[SUBTOTAL]]+PROVEEDORES[[#This Row],[IVA 19%]]-PROVEEDORES[[#This Row],[descuento sobre subtotal]]-PROVEEDORES[[#This Row],[Descuento sobre subtotal $2]]-PROVEEDORES[[#This Row],[Rete Fuente $]]</f>
        <v>1308295</v>
      </c>
      <c r="S1257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63">
        <f ca="1">IF(PROVEEDORES[[#This Row],[FECHA DE PAGO]]=0,TODAY()-PROVEEDORES[[#This Row],[FECHA DE FACTURACIÓN]]-PROVEEDORES[[#This Row],[PLAZO Días]],0)</f>
        <v>0</v>
      </c>
      <c r="U1257" s="104" t="str">
        <f>+VLOOKUP(PROVEEDORES[[#This Row],[PROVEEDOR]],Terceros!$A:$D,4,FALSE)</f>
        <v>2,5% con base</v>
      </c>
      <c r="V1257" s="105">
        <f>+YEAR(PROVEEDORES[[#This Row],[FECHA DE FACTURACIÓN]])</f>
        <v>2022</v>
      </c>
      <c r="W1257" s="105">
        <f>+MATCH(PROVEEDORES[[#This Row],[año facturado]],Retenciones!$1:$1,0)</f>
        <v>5</v>
      </c>
      <c r="X1257" s="106">
        <f>+VLOOKUP(PROVEEDORES[[#This Row],[ID RETENCION]],Retenciones!$A$1:$O$25,PROVEEDORES[[#This Row],[indicador de columna]],FALSE)</f>
        <v>1026000</v>
      </c>
      <c r="Y1257" s="107">
        <f>+VLOOKUP(PROVEEDORES[[#This Row],[ID RETENCION]],Retenciones!$A$1:$O$25,2,FALSE)</f>
        <v>2.5000000000000001E-2</v>
      </c>
      <c r="Z1257" s="116" t="b">
        <f>OR(COUNTIF(PROVEEDORES[[#This Row],[PROVEEDOR]],"*"&amp;'Palabra no opera'!$A$2&amp;"*"))</f>
        <v>0</v>
      </c>
    </row>
    <row r="1258" spans="1:26" ht="22.35" customHeight="1" x14ac:dyDescent="0.3">
      <c r="A1258" s="249" t="str">
        <f>+IF(PROVEEDORES[[#This Row],[FECHA DE PAGO]]=PROVEEDORES[[#This Row],[FECHA DE FACTURACIÓN]],"DE CONTADO","CRÉDITO")</f>
        <v>CRÉDITO</v>
      </c>
      <c r="B1258" s="38" t="str">
        <f>+IF((PROVEEDORES[[#This Row],[FECHA DE PAGO]]-PROVEEDORES[[#This Row],[FECHA DE FACTURACIÓN]])&gt;PROVEEDORES[[#This Row],[PLAZO Días]],"PAGO VENCIDO")</f>
        <v>PAGO VENCIDO</v>
      </c>
      <c r="C1258" s="20">
        <f>+VLOOKUP(PROVEEDORES[[#This Row],[PROVEEDOR]],TERCEROS_INFO[#All],2,FALSE)</f>
        <v>30</v>
      </c>
      <c r="D1258" s="25">
        <f>+SUMIFS(PROVEEDORES[Total],PROVEEDORES[PROVEEDOR],PROVEEDORES[[#This Row],[PROVEEDOR]],PROVEEDORES[FECHA DE PAGO],"")</f>
        <v>0</v>
      </c>
      <c r="E1258" s="25"/>
      <c r="F1258" s="56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258" s="68">
        <v>44988</v>
      </c>
      <c r="H1258" s="26" t="s">
        <v>239</v>
      </c>
      <c r="I1258" s="68">
        <v>44911</v>
      </c>
      <c r="J1258" s="35" t="s">
        <v>1354</v>
      </c>
      <c r="K1258" s="21">
        <v>5237731</v>
      </c>
      <c r="L1258" s="21"/>
      <c r="M1258" s="22">
        <f>(PROVEEDORES[[#This Row],[SUBTOTAL]]-PROVEEDORES[[#This Row],[descuento sobre subtotal]])*VLOOKUP(PROVEEDORES[[#This Row],[PROVEEDOR]],TERCEROS_INFO[#All],3,FALSE)</f>
        <v>995168.89</v>
      </c>
      <c r="N1258" s="23"/>
      <c r="O1258" s="22">
        <f>+PROVEEDORES[[#This Row],[Descuento sobre subtotal %]]*(PROVEEDORES[[#This Row],[SUBTOTAL]]-PROVEEDORES[[#This Row],[descuento sobre subtotal]])</f>
        <v>0</v>
      </c>
      <c r="P1258" s="74">
        <f>+IF(PROVEEDORES[[#This Row],[SUBTOTAL]]&lt;PROVEEDORES[[#This Row],[base retencion]],0,PROVEEDORES[[#This Row],[retención aplicada]])</f>
        <v>2.5000000000000001E-2</v>
      </c>
      <c r="Q1258" s="22">
        <f>+PROVEEDORES[[#This Row],[Rete Fuente %]]*(PROVEEDORES[[#This Row],[SUBTOTAL]]-PROVEEDORES[[#This Row],[descuento sobre subtotal]])</f>
        <v>130943.27500000001</v>
      </c>
      <c r="R1258" s="21">
        <f>+PROVEEDORES[[#This Row],[SUBTOTAL]]+PROVEEDORES[[#This Row],[IVA 19%]]-PROVEEDORES[[#This Row],[descuento sobre subtotal]]-PROVEEDORES[[#This Row],[Descuento sobre subtotal $2]]-PROVEEDORES[[#This Row],[Rete Fuente $]]</f>
        <v>6101956.6149999993</v>
      </c>
      <c r="S1258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63">
        <f ca="1">IF(PROVEEDORES[[#This Row],[FECHA DE PAGO]]=0,TODAY()-PROVEEDORES[[#This Row],[FECHA DE FACTURACIÓN]]-PROVEEDORES[[#This Row],[PLAZO Días]],0)</f>
        <v>0</v>
      </c>
      <c r="U1258" s="104" t="str">
        <f>+VLOOKUP(PROVEEDORES[[#This Row],[PROVEEDOR]],Terceros!$A:$D,4,FALSE)</f>
        <v>2,5% con base</v>
      </c>
      <c r="V1258" s="105">
        <f>+YEAR(PROVEEDORES[[#This Row],[FECHA DE FACTURACIÓN]])</f>
        <v>2022</v>
      </c>
      <c r="W1258" s="105">
        <f>+MATCH(PROVEEDORES[[#This Row],[año facturado]],Retenciones!$1:$1,0)</f>
        <v>5</v>
      </c>
      <c r="X1258" s="106">
        <f>+VLOOKUP(PROVEEDORES[[#This Row],[ID RETENCION]],Retenciones!$A$1:$O$25,PROVEEDORES[[#This Row],[indicador de columna]],FALSE)</f>
        <v>1026000</v>
      </c>
      <c r="Y1258" s="107">
        <f>+VLOOKUP(PROVEEDORES[[#This Row],[ID RETENCION]],Retenciones!$A$1:$O$25,2,FALSE)</f>
        <v>2.5000000000000001E-2</v>
      </c>
      <c r="Z1258" s="116" t="b">
        <f>OR(COUNTIF(PROVEEDORES[[#This Row],[PROVEEDOR]],"*"&amp;'Palabra no opera'!$A$2&amp;"*"))</f>
        <v>0</v>
      </c>
    </row>
    <row r="1259" spans="1:26" ht="22.35" customHeight="1" x14ac:dyDescent="0.3">
      <c r="A1259" s="247" t="str">
        <f>+IF(PROVEEDORES[[#This Row],[FECHA DE PAGO]]=PROVEEDORES[[#This Row],[FECHA DE FACTURACIÓN]],"DE CONTADO","CRÉDITO")</f>
        <v>CRÉDITO</v>
      </c>
      <c r="B1259" s="38" t="str">
        <f>+IF((PROVEEDORES[[#This Row],[FECHA DE PAGO]]-PROVEEDORES[[#This Row],[FECHA DE FACTURACIÓN]])&gt;PROVEEDORES[[#This Row],[PLAZO Días]],"PAGO VENCIDO")</f>
        <v>PAGO VENCIDO</v>
      </c>
      <c r="C1259" s="20">
        <f>+VLOOKUP(PROVEEDORES[[#This Row],[PROVEEDOR]],TERCEROS_INFO[#All],2,FALSE)</f>
        <v>30</v>
      </c>
      <c r="D1259" s="25">
        <f>+SUMIFS(PROVEEDORES[Total],PROVEEDORES[PROVEEDOR],PROVEEDORES[[#This Row],[PROVEEDOR]],PROVEEDORES[FECHA DE PAGO],"")</f>
        <v>12030261.305</v>
      </c>
      <c r="E1259" s="25"/>
      <c r="F1259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59" s="68">
        <v>44988</v>
      </c>
      <c r="H1259" s="26" t="s">
        <v>12</v>
      </c>
      <c r="I1259" s="68">
        <v>44810</v>
      </c>
      <c r="J1259" s="35" t="s">
        <v>1338</v>
      </c>
      <c r="K1259" s="21">
        <v>-130252</v>
      </c>
      <c r="L1259" s="21"/>
      <c r="M1259" s="22">
        <f>(PROVEEDORES[[#This Row],[SUBTOTAL]]-PROVEEDORES[[#This Row],[descuento sobre subtotal]])*VLOOKUP(PROVEEDORES[[#This Row],[PROVEEDOR]],TERCEROS_INFO[#All],3,FALSE)</f>
        <v>-24747.88</v>
      </c>
      <c r="N1259" s="23"/>
      <c r="O1259" s="22">
        <f>+PROVEEDORES[[#This Row],[Descuento sobre subtotal %]]*(PROVEEDORES[[#This Row],[SUBTOTAL]]-PROVEEDORES[[#This Row],[descuento sobre subtotal]])</f>
        <v>0</v>
      </c>
      <c r="P1259" s="74">
        <f>+IF(PROVEEDORES[[#This Row],[SUBTOTAL]]&lt;PROVEEDORES[[#This Row],[base retencion]],0,PROVEEDORES[[#This Row],[retención aplicada]])</f>
        <v>0</v>
      </c>
      <c r="Q1259" s="22">
        <f>+PROVEEDORES[[#This Row],[Rete Fuente %]]*(PROVEEDORES[[#This Row],[SUBTOTAL]]-PROVEEDORES[[#This Row],[descuento sobre subtotal]])</f>
        <v>0</v>
      </c>
      <c r="R1259" s="21">
        <f>+PROVEEDORES[[#This Row],[SUBTOTAL]]+PROVEEDORES[[#This Row],[IVA 19%]]-PROVEEDORES[[#This Row],[descuento sobre subtotal]]-PROVEEDORES[[#This Row],[Descuento sobre subtotal $2]]-PROVEEDORES[[#This Row],[Rete Fuente $]]</f>
        <v>-154999.88</v>
      </c>
      <c r="S1259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9" s="63">
        <f ca="1">IF(PROVEEDORES[[#This Row],[FECHA DE PAGO]]=0,TODAY()-PROVEEDORES[[#This Row],[FECHA DE FACTURACIÓN]]-PROVEEDORES[[#This Row],[PLAZO Días]],0)</f>
        <v>0</v>
      </c>
      <c r="U1259" s="104" t="str">
        <f>+VLOOKUP(PROVEEDORES[[#This Row],[PROVEEDOR]],Terceros!$A:$D,4,FALSE)</f>
        <v>2,5% con base</v>
      </c>
      <c r="V1259" s="105">
        <f>+YEAR(PROVEEDORES[[#This Row],[FECHA DE FACTURACIÓN]])</f>
        <v>2022</v>
      </c>
      <c r="W1259" s="105">
        <f>+MATCH(PROVEEDORES[[#This Row],[año facturado]],Retenciones!$1:$1,0)</f>
        <v>5</v>
      </c>
      <c r="X1259" s="106">
        <f>+VLOOKUP(PROVEEDORES[[#This Row],[ID RETENCION]],Retenciones!$A$1:$O$25,PROVEEDORES[[#This Row],[indicador de columna]],FALSE)</f>
        <v>1026000</v>
      </c>
      <c r="Y1259" s="107">
        <f>+VLOOKUP(PROVEEDORES[[#This Row],[ID RETENCION]],Retenciones!$A$1:$O$25,2,FALSE)</f>
        <v>2.5000000000000001E-2</v>
      </c>
      <c r="Z1259" s="116" t="b">
        <f>OR(COUNTIF(PROVEEDORES[[#This Row],[PROVEEDOR]],"*"&amp;'Palabra no opera'!$A$2&amp;"*"))</f>
        <v>0</v>
      </c>
    </row>
    <row r="1260" spans="1:26" ht="22.35" customHeight="1" x14ac:dyDescent="0.3">
      <c r="A1260" s="67" t="str">
        <f>+IF(PROVEEDORES[[#This Row],[FECHA DE PAGO]]=PROVEEDORES[[#This Row],[FECHA DE FACTURACIÓN]],"DE CONTADO","CRÉDITO")</f>
        <v>CRÉDITO</v>
      </c>
      <c r="B1260" s="38" t="str">
        <f>+IF((PROVEEDORES[[#This Row],[FECHA DE PAGO]]-PROVEEDORES[[#This Row],[FECHA DE FACTURACIÓN]])&gt;PROVEEDORES[[#This Row],[PLAZO Días]],"PAGO VENCIDO")</f>
        <v>PAGO VENCIDO</v>
      </c>
      <c r="C1260" s="20">
        <f>+VLOOKUP(PROVEEDORES[[#This Row],[PROVEEDOR]],TERCEROS_INFO[#All],2,FALSE)</f>
        <v>30</v>
      </c>
      <c r="D1260" s="25">
        <f>+SUMIFS(PROVEEDORES[Total],PROVEEDORES[PROVEEDOR],PROVEEDORES[[#This Row],[PROVEEDOR]],PROVEEDORES[FECHA DE PAGO],"")</f>
        <v>12030261.305</v>
      </c>
      <c r="E1260" s="25"/>
      <c r="F1260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60" s="68">
        <v>44988</v>
      </c>
      <c r="H1260" s="231" t="s">
        <v>12</v>
      </c>
      <c r="I1260" s="68">
        <v>44880</v>
      </c>
      <c r="J1260" s="245" t="s">
        <v>1301</v>
      </c>
      <c r="K1260" s="21">
        <v>10424383</v>
      </c>
      <c r="L1260" s="21"/>
      <c r="M1260" s="22">
        <f>(PROVEEDORES[[#This Row],[SUBTOTAL]]-PROVEEDORES[[#This Row],[descuento sobre subtotal]])*VLOOKUP(PROVEEDORES[[#This Row],[PROVEEDOR]],TERCEROS_INFO[#All],3,FALSE)</f>
        <v>1980632.77</v>
      </c>
      <c r="N1260" s="23"/>
      <c r="O1260" s="22">
        <f>+PROVEEDORES[[#This Row],[Descuento sobre subtotal %]]*(PROVEEDORES[[#This Row],[SUBTOTAL]]-PROVEEDORES[[#This Row],[descuento sobre subtotal]])</f>
        <v>0</v>
      </c>
      <c r="P1260" s="74">
        <f>+IF(PROVEEDORES[[#This Row],[SUBTOTAL]]&lt;PROVEEDORES[[#This Row],[base retencion]],0,PROVEEDORES[[#This Row],[retención aplicada]])</f>
        <v>2.5000000000000001E-2</v>
      </c>
      <c r="Q1260" s="22">
        <f>+PROVEEDORES[[#This Row],[Rete Fuente %]]*(PROVEEDORES[[#This Row],[SUBTOTAL]]-PROVEEDORES[[#This Row],[descuento sobre subtotal]])</f>
        <v>260609.57500000001</v>
      </c>
      <c r="R1260" s="21">
        <f>+PROVEEDORES[[#This Row],[SUBTOTAL]]+PROVEEDORES[[#This Row],[IVA 19%]]-PROVEEDORES[[#This Row],[descuento sobre subtotal]]-PROVEEDORES[[#This Row],[Descuento sobre subtotal $2]]-PROVEEDORES[[#This Row],[Rete Fuente $]]</f>
        <v>12144406.195</v>
      </c>
      <c r="S126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63">
        <f ca="1">IF(PROVEEDORES[[#This Row],[FECHA DE PAGO]]=0,TODAY()-PROVEEDORES[[#This Row],[FECHA DE FACTURACIÓN]]-PROVEEDORES[[#This Row],[PLAZO Días]],0)</f>
        <v>0</v>
      </c>
      <c r="U1260" s="104" t="str">
        <f>+VLOOKUP(PROVEEDORES[[#This Row],[PROVEEDOR]],Terceros!$A:$D,4,FALSE)</f>
        <v>2,5% con base</v>
      </c>
      <c r="V1260" s="105">
        <f>+YEAR(PROVEEDORES[[#This Row],[FECHA DE FACTURACIÓN]])</f>
        <v>2022</v>
      </c>
      <c r="W1260" s="105">
        <f>+MATCH(PROVEEDORES[[#This Row],[año facturado]],Retenciones!$1:$1,0)</f>
        <v>5</v>
      </c>
      <c r="X1260" s="106">
        <f>+VLOOKUP(PROVEEDORES[[#This Row],[ID RETENCION]],Retenciones!$A$1:$O$25,PROVEEDORES[[#This Row],[indicador de columna]],FALSE)</f>
        <v>1026000</v>
      </c>
      <c r="Y1260" s="107">
        <f>+VLOOKUP(PROVEEDORES[[#This Row],[ID RETENCION]],Retenciones!$A$1:$O$25,2,FALSE)</f>
        <v>2.5000000000000001E-2</v>
      </c>
      <c r="Z1260" s="116" t="b">
        <f>OR(COUNTIF(PROVEEDORES[[#This Row],[PROVEEDOR]],"*"&amp;'Palabra no opera'!$A$2&amp;"*"))</f>
        <v>0</v>
      </c>
    </row>
    <row r="1261" spans="1:26" ht="22.35" customHeight="1" x14ac:dyDescent="0.3">
      <c r="A1261" s="67" t="str">
        <f>+IF(PROVEEDORES[[#This Row],[FECHA DE PAGO]]=PROVEEDORES[[#This Row],[FECHA DE FACTURACIÓN]],"DE CONTADO","CRÉDITO")</f>
        <v>CRÉDITO</v>
      </c>
      <c r="B1261" s="38" t="str">
        <f>+IF((PROVEEDORES[[#This Row],[FECHA DE PAGO]]-PROVEEDORES[[#This Row],[FECHA DE FACTURACIÓN]])&gt;PROVEEDORES[[#This Row],[PLAZO Días]],"PAGO VENCIDO")</f>
        <v>PAGO VENCIDO</v>
      </c>
      <c r="C1261" s="20">
        <f>+VLOOKUP(PROVEEDORES[[#This Row],[PROVEEDOR]],TERCEROS_INFO[#All],2,FALSE)</f>
        <v>30</v>
      </c>
      <c r="D1261" s="25">
        <f>+SUMIFS(PROVEEDORES[Total],PROVEEDORES[PROVEEDOR],PROVEEDORES[[#This Row],[PROVEEDOR]],PROVEEDORES[FECHA DE PAGO],"")</f>
        <v>12030261.305</v>
      </c>
      <c r="E1261" s="25"/>
      <c r="F1261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61" s="68">
        <v>44988</v>
      </c>
      <c r="H1261" s="231" t="s">
        <v>12</v>
      </c>
      <c r="I1261" s="68">
        <v>44880</v>
      </c>
      <c r="J1261" s="245" t="s">
        <v>1302</v>
      </c>
      <c r="K1261" s="21">
        <v>11550427</v>
      </c>
      <c r="L1261" s="21"/>
      <c r="M1261" s="22">
        <f>(PROVEEDORES[[#This Row],[SUBTOTAL]]-PROVEEDORES[[#This Row],[descuento sobre subtotal]])*VLOOKUP(PROVEEDORES[[#This Row],[PROVEEDOR]],TERCEROS_INFO[#All],3,FALSE)</f>
        <v>2194581.13</v>
      </c>
      <c r="N1261" s="23"/>
      <c r="O1261" s="22">
        <f>+PROVEEDORES[[#This Row],[Descuento sobre subtotal %]]*(PROVEEDORES[[#This Row],[SUBTOTAL]]-PROVEEDORES[[#This Row],[descuento sobre subtotal]])</f>
        <v>0</v>
      </c>
      <c r="P1261" s="74">
        <f>+IF(PROVEEDORES[[#This Row],[SUBTOTAL]]&lt;PROVEEDORES[[#This Row],[base retencion]],0,PROVEEDORES[[#This Row],[retención aplicada]])</f>
        <v>2.5000000000000001E-2</v>
      </c>
      <c r="Q1261" s="22">
        <f>+PROVEEDORES[[#This Row],[Rete Fuente %]]*(PROVEEDORES[[#This Row],[SUBTOTAL]]-PROVEEDORES[[#This Row],[descuento sobre subtotal]])</f>
        <v>288760.67499999999</v>
      </c>
      <c r="R1261" s="21">
        <f>+PROVEEDORES[[#This Row],[SUBTOTAL]]+PROVEEDORES[[#This Row],[IVA 19%]]-PROVEEDORES[[#This Row],[descuento sobre subtotal]]-PROVEEDORES[[#This Row],[Descuento sobre subtotal $2]]-PROVEEDORES[[#This Row],[Rete Fuente $]]</f>
        <v>13456247.454999998</v>
      </c>
      <c r="S12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63">
        <f ca="1">IF(PROVEEDORES[[#This Row],[FECHA DE PAGO]]=0,TODAY()-PROVEEDORES[[#This Row],[FECHA DE FACTURACIÓN]]-PROVEEDORES[[#This Row],[PLAZO Días]],0)</f>
        <v>0</v>
      </c>
      <c r="U1261" s="104" t="str">
        <f>+VLOOKUP(PROVEEDORES[[#This Row],[PROVEEDOR]],Terceros!$A:$D,4,FALSE)</f>
        <v>2,5% con base</v>
      </c>
      <c r="V1261" s="105">
        <f>+YEAR(PROVEEDORES[[#This Row],[FECHA DE FACTURACIÓN]])</f>
        <v>2022</v>
      </c>
      <c r="W1261" s="105">
        <f>+MATCH(PROVEEDORES[[#This Row],[año facturado]],Retenciones!$1:$1,0)</f>
        <v>5</v>
      </c>
      <c r="X1261" s="106">
        <f>+VLOOKUP(PROVEEDORES[[#This Row],[ID RETENCION]],Retenciones!$A$1:$O$25,PROVEEDORES[[#This Row],[indicador de columna]],FALSE)</f>
        <v>1026000</v>
      </c>
      <c r="Y1261" s="107">
        <f>+VLOOKUP(PROVEEDORES[[#This Row],[ID RETENCION]],Retenciones!$A$1:$O$25,2,FALSE)</f>
        <v>2.5000000000000001E-2</v>
      </c>
      <c r="Z1261" s="116" t="b">
        <f>OR(COUNTIF(PROVEEDORES[[#This Row],[PROVEEDOR]],"*"&amp;'Palabra no opera'!$A$2&amp;"*"))</f>
        <v>0</v>
      </c>
    </row>
    <row r="1262" spans="1:26" ht="22.35" customHeight="1" x14ac:dyDescent="0.3">
      <c r="A1262" s="249" t="str">
        <f>+IF(PROVEEDORES[[#This Row],[FECHA DE PAGO]]=PROVEEDORES[[#This Row],[FECHA DE FACTURACIÓN]],"DE CONTADO","CRÉDITO")</f>
        <v>CRÉDITO</v>
      </c>
      <c r="B1262" s="38" t="str">
        <f>+IF((PROVEEDORES[[#This Row],[FECHA DE PAGO]]-PROVEEDORES[[#This Row],[FECHA DE FACTURACIÓN]])&gt;PROVEEDORES[[#This Row],[PLAZO Días]],"PAGO VENCIDO")</f>
        <v>PAGO VENCIDO</v>
      </c>
      <c r="C1262" s="20">
        <f>+VLOOKUP(PROVEEDORES[[#This Row],[PROVEEDOR]],TERCEROS_INFO[#All],2,FALSE)</f>
        <v>30</v>
      </c>
      <c r="D1262" s="25">
        <f>+SUMIFS(PROVEEDORES[Total],PROVEEDORES[PROVEEDOR],PROVEEDORES[[#This Row],[PROVEEDOR]],PROVEEDORES[FECHA DE PAGO],"")</f>
        <v>17870934.149999999</v>
      </c>
      <c r="E1262" s="25"/>
      <c r="F126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62" s="68">
        <v>44988</v>
      </c>
      <c r="H1262" s="26" t="s">
        <v>18</v>
      </c>
      <c r="I1262" s="68">
        <v>44911</v>
      </c>
      <c r="J1262" s="35">
        <v>1063523</v>
      </c>
      <c r="K1262" s="21">
        <v>2174383</v>
      </c>
      <c r="L1262" s="21"/>
      <c r="M1262" s="22">
        <f>(PROVEEDORES[[#This Row],[SUBTOTAL]]-PROVEEDORES[[#This Row],[descuento sobre subtotal]])*VLOOKUP(PROVEEDORES[[#This Row],[PROVEEDOR]],TERCEROS_INFO[#All],3,FALSE)</f>
        <v>413132.77</v>
      </c>
      <c r="N1262" s="23"/>
      <c r="O1262" s="22">
        <f>+PROVEEDORES[[#This Row],[Descuento sobre subtotal %]]*(PROVEEDORES[[#This Row],[SUBTOTAL]]-PROVEEDORES[[#This Row],[descuento sobre subtotal]])</f>
        <v>0</v>
      </c>
      <c r="P1262" s="74">
        <f>+IF(PROVEEDORES[[#This Row],[SUBTOTAL]]&lt;PROVEEDORES[[#This Row],[base retencion]],0,PROVEEDORES[[#This Row],[retención aplicada]])</f>
        <v>2.5000000000000001E-2</v>
      </c>
      <c r="Q1262" s="22">
        <f>+PROVEEDORES[[#This Row],[Rete Fuente %]]*(PROVEEDORES[[#This Row],[SUBTOTAL]]-PROVEEDORES[[#This Row],[descuento sobre subtotal]])</f>
        <v>54359.575000000004</v>
      </c>
      <c r="R1262" s="21">
        <f>+PROVEEDORES[[#This Row],[SUBTOTAL]]+PROVEEDORES[[#This Row],[IVA 19%]]-PROVEEDORES[[#This Row],[descuento sobre subtotal]]-PROVEEDORES[[#This Row],[Descuento sobre subtotal $2]]-PROVEEDORES[[#This Row],[Rete Fuente $]]</f>
        <v>2533156.1949999998</v>
      </c>
      <c r="S1262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63">
        <f ca="1">IF(PROVEEDORES[[#This Row],[FECHA DE PAGO]]=0,TODAY()-PROVEEDORES[[#This Row],[FECHA DE FACTURACIÓN]]-PROVEEDORES[[#This Row],[PLAZO Días]],0)</f>
        <v>0</v>
      </c>
      <c r="U1262" s="104" t="str">
        <f>+VLOOKUP(PROVEEDORES[[#This Row],[PROVEEDOR]],Terceros!$A:$D,4,FALSE)</f>
        <v>2,5% con base</v>
      </c>
      <c r="V1262" s="105">
        <f>+YEAR(PROVEEDORES[[#This Row],[FECHA DE FACTURACIÓN]])</f>
        <v>2022</v>
      </c>
      <c r="W1262" s="105">
        <f>+MATCH(PROVEEDORES[[#This Row],[año facturado]],Retenciones!$1:$1,0)</f>
        <v>5</v>
      </c>
      <c r="X1262" s="106">
        <f>+VLOOKUP(PROVEEDORES[[#This Row],[ID RETENCION]],Retenciones!$A$1:$O$25,PROVEEDORES[[#This Row],[indicador de columna]],FALSE)</f>
        <v>1026000</v>
      </c>
      <c r="Y1262" s="107">
        <f>+VLOOKUP(PROVEEDORES[[#This Row],[ID RETENCION]],Retenciones!$A$1:$O$25,2,FALSE)</f>
        <v>2.5000000000000001E-2</v>
      </c>
      <c r="Z1262" s="116" t="b">
        <f>OR(COUNTIF(PROVEEDORES[[#This Row],[PROVEEDOR]],"*"&amp;'Palabra no opera'!$A$2&amp;"*"))</f>
        <v>0</v>
      </c>
    </row>
    <row r="1263" spans="1:26" ht="22.35" customHeight="1" x14ac:dyDescent="0.3">
      <c r="A1263" s="252" t="str">
        <f>+IF(PROVEEDORES[[#This Row],[FECHA DE PAGO]]=PROVEEDORES[[#This Row],[FECHA DE FACTURACIÓN]],"DE CONTADO","CRÉDITO")</f>
        <v>CRÉDITO</v>
      </c>
      <c r="B1263" s="38" t="str">
        <f>+IF((PROVEEDORES[[#This Row],[FECHA DE PAGO]]-PROVEEDORES[[#This Row],[FECHA DE FACTURACIÓN]])&gt;PROVEEDORES[[#This Row],[PLAZO Días]],"PAGO VENCIDO")</f>
        <v>PAGO VENCIDO</v>
      </c>
      <c r="C1263" s="20">
        <f>+VLOOKUP(PROVEEDORES[[#This Row],[PROVEEDOR]],TERCEROS_INFO[#All],2,FALSE)</f>
        <v>30</v>
      </c>
      <c r="D1263" s="25">
        <f>+SUMIFS(PROVEEDORES[Total],PROVEEDORES[PROVEEDOR],PROVEEDORES[[#This Row],[PROVEEDOR]],PROVEEDORES[FECHA DE PAGO],"")</f>
        <v>17870934.149999999</v>
      </c>
      <c r="E1263" s="25"/>
      <c r="F126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63" s="68">
        <v>44988</v>
      </c>
      <c r="H1263" s="26" t="s">
        <v>18</v>
      </c>
      <c r="I1263" s="68">
        <v>44918</v>
      </c>
      <c r="J1263" s="35" t="s">
        <v>1360</v>
      </c>
      <c r="K1263" s="21">
        <v>4778698</v>
      </c>
      <c r="L1263" s="21"/>
      <c r="M1263" s="22">
        <f>(PROVEEDORES[[#This Row],[SUBTOTAL]]-PROVEEDORES[[#This Row],[descuento sobre subtotal]])*VLOOKUP(PROVEEDORES[[#This Row],[PROVEEDOR]],TERCEROS_INFO[#All],3,FALSE)</f>
        <v>907952.62</v>
      </c>
      <c r="N1263" s="23"/>
      <c r="O1263" s="22">
        <v>0</v>
      </c>
      <c r="P1263" s="74">
        <f>+IF(PROVEEDORES[[#This Row],[SUBTOTAL]]&lt;PROVEEDORES[[#This Row],[base retencion]],0,PROVEEDORES[[#This Row],[retención aplicada]])</f>
        <v>2.5000000000000001E-2</v>
      </c>
      <c r="Q1263" s="22">
        <f>+PROVEEDORES[[#This Row],[Rete Fuente %]]*(PROVEEDORES[[#This Row],[SUBTOTAL]]-PROVEEDORES[[#This Row],[descuento sobre subtotal]])</f>
        <v>119467.45000000001</v>
      </c>
      <c r="R1263" s="21">
        <f>+PROVEEDORES[[#This Row],[SUBTOTAL]]+PROVEEDORES[[#This Row],[IVA 19%]]-PROVEEDORES[[#This Row],[descuento sobre subtotal]]-PROVEEDORES[[#This Row],[Descuento sobre subtotal $2]]-PROVEEDORES[[#This Row],[Rete Fuente $]]</f>
        <v>5567183.1699999999</v>
      </c>
      <c r="S1263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63">
        <f ca="1">IF(PROVEEDORES[[#This Row],[FECHA DE PAGO]]=0,TODAY()-PROVEEDORES[[#This Row],[FECHA DE FACTURACIÓN]]-PROVEEDORES[[#This Row],[PLAZO Días]],0)</f>
        <v>0</v>
      </c>
      <c r="U1263" s="104" t="str">
        <f>+VLOOKUP(PROVEEDORES[[#This Row],[PROVEEDOR]],Terceros!$A:$D,4,FALSE)</f>
        <v>2,5% con base</v>
      </c>
      <c r="V1263" s="105">
        <f>+YEAR(PROVEEDORES[[#This Row],[FECHA DE FACTURACIÓN]])</f>
        <v>2022</v>
      </c>
      <c r="W1263" s="105">
        <f>+MATCH(PROVEEDORES[[#This Row],[año facturado]],Retenciones!$1:$1,0)</f>
        <v>5</v>
      </c>
      <c r="X1263" s="106">
        <f>+VLOOKUP(PROVEEDORES[[#This Row],[ID RETENCION]],Retenciones!$A$1:$O$25,PROVEEDORES[[#This Row],[indicador de columna]],FALSE)</f>
        <v>1026000</v>
      </c>
      <c r="Y1263" s="107">
        <f>+VLOOKUP(PROVEEDORES[[#This Row],[ID RETENCION]],Retenciones!$A$1:$O$25,2,FALSE)</f>
        <v>2.5000000000000001E-2</v>
      </c>
      <c r="Z1263" s="116" t="b">
        <f>OR(COUNTIF(PROVEEDORES[[#This Row],[PROVEEDOR]],"*"&amp;'Palabra no opera'!$A$2&amp;"*"))</f>
        <v>0</v>
      </c>
    </row>
    <row r="1264" spans="1:26" ht="22.35" customHeight="1" x14ac:dyDescent="0.3">
      <c r="A1264" s="252" t="str">
        <f>+IF(PROVEEDORES[[#This Row],[FECHA DE PAGO]]=PROVEEDORES[[#This Row],[FECHA DE FACTURACIÓN]],"DE CONTADO","CRÉDITO")</f>
        <v>CRÉDITO</v>
      </c>
      <c r="B1264" s="38" t="str">
        <f>+IF((PROVEEDORES[[#This Row],[FECHA DE PAGO]]-PROVEEDORES[[#This Row],[FECHA DE FACTURACIÓN]])&gt;PROVEEDORES[[#This Row],[PLAZO Días]],"PAGO VENCIDO")</f>
        <v>PAGO VENCIDO</v>
      </c>
      <c r="C1264" s="20">
        <f>+VLOOKUP(PROVEEDORES[[#This Row],[PROVEEDOR]],TERCEROS_INFO[#All],2,FALSE)</f>
        <v>30</v>
      </c>
      <c r="D1264" s="25">
        <f>+SUMIFS(PROVEEDORES[Total],PROVEEDORES[PROVEEDOR],PROVEEDORES[[#This Row],[PROVEEDOR]],PROVEEDORES[FECHA DE PAGO],"")</f>
        <v>17870934.149999999</v>
      </c>
      <c r="E1264" s="25"/>
      <c r="F126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64" s="68">
        <v>44988</v>
      </c>
      <c r="H1264" s="26" t="s">
        <v>18</v>
      </c>
      <c r="I1264" s="68">
        <v>44924</v>
      </c>
      <c r="J1264" s="35">
        <v>1064080</v>
      </c>
      <c r="K1264" s="21">
        <v>1344593</v>
      </c>
      <c r="L1264" s="21"/>
      <c r="M1264" s="22">
        <f>(PROVEEDORES[[#This Row],[SUBTOTAL]]-PROVEEDORES[[#This Row],[descuento sobre subtotal]])*VLOOKUP(PROVEEDORES[[#This Row],[PROVEEDOR]],TERCEROS_INFO[#All],3,FALSE)</f>
        <v>255472.67</v>
      </c>
      <c r="N1264" s="23"/>
      <c r="O1264" s="22">
        <f>+PROVEEDORES[[#This Row],[Descuento sobre subtotal %]]*(PROVEEDORES[[#This Row],[SUBTOTAL]]-PROVEEDORES[[#This Row],[descuento sobre subtotal]])</f>
        <v>0</v>
      </c>
      <c r="P1264" s="74">
        <f>+IF(PROVEEDORES[[#This Row],[SUBTOTAL]]&lt;PROVEEDORES[[#This Row],[base retencion]],0,PROVEEDORES[[#This Row],[retención aplicada]])</f>
        <v>2.5000000000000001E-2</v>
      </c>
      <c r="Q1264" s="22">
        <f>+PROVEEDORES[[#This Row],[Rete Fuente %]]*(PROVEEDORES[[#This Row],[SUBTOTAL]]-PROVEEDORES[[#This Row],[descuento sobre subtotal]])</f>
        <v>33614.825000000004</v>
      </c>
      <c r="R1264" s="21">
        <f>+PROVEEDORES[[#This Row],[SUBTOTAL]]+PROVEEDORES[[#This Row],[IVA 19%]]-PROVEEDORES[[#This Row],[descuento sobre subtotal]]-PROVEEDORES[[#This Row],[Descuento sobre subtotal $2]]-PROVEEDORES[[#This Row],[Rete Fuente $]]</f>
        <v>1566450.845</v>
      </c>
      <c r="S1264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63">
        <f ca="1">IF(PROVEEDORES[[#This Row],[FECHA DE PAGO]]=0,TODAY()-PROVEEDORES[[#This Row],[FECHA DE FACTURACIÓN]]-PROVEEDORES[[#This Row],[PLAZO Días]],0)</f>
        <v>0</v>
      </c>
      <c r="U1264" s="104" t="str">
        <f>+VLOOKUP(PROVEEDORES[[#This Row],[PROVEEDOR]],Terceros!$A:$D,4,FALSE)</f>
        <v>2,5% con base</v>
      </c>
      <c r="V1264" s="105">
        <f>+YEAR(PROVEEDORES[[#This Row],[FECHA DE FACTURACIÓN]])</f>
        <v>2022</v>
      </c>
      <c r="W1264" s="105">
        <f>+MATCH(PROVEEDORES[[#This Row],[año facturado]],Retenciones!$1:$1,0)</f>
        <v>5</v>
      </c>
      <c r="X1264" s="106">
        <f>+VLOOKUP(PROVEEDORES[[#This Row],[ID RETENCION]],Retenciones!$A$1:$O$25,PROVEEDORES[[#This Row],[indicador de columna]],FALSE)</f>
        <v>1026000</v>
      </c>
      <c r="Y1264" s="107">
        <f>+VLOOKUP(PROVEEDORES[[#This Row],[ID RETENCION]],Retenciones!$A$1:$O$25,2,FALSE)</f>
        <v>2.5000000000000001E-2</v>
      </c>
      <c r="Z1264" s="116" t="b">
        <f>OR(COUNTIF(PROVEEDORES[[#This Row],[PROVEEDOR]],"*"&amp;'Palabra no opera'!$A$2&amp;"*"))</f>
        <v>0</v>
      </c>
    </row>
    <row r="1265" spans="1:26" ht="22.35" customHeight="1" x14ac:dyDescent="0.3">
      <c r="A1265" s="252" t="str">
        <f>+IF(PROVEEDORES[[#This Row],[FECHA DE PAGO]]=PROVEEDORES[[#This Row],[FECHA DE FACTURACIÓN]],"DE CONTADO","CRÉDITO")</f>
        <v>CRÉDITO</v>
      </c>
      <c r="B1265" s="38" t="str">
        <f>+IF((PROVEEDORES[[#This Row],[FECHA DE PAGO]]-PROVEEDORES[[#This Row],[FECHA DE FACTURACIÓN]])&gt;PROVEEDORES[[#This Row],[PLAZO Días]],"PAGO VENCIDO")</f>
        <v>PAGO VENCIDO</v>
      </c>
      <c r="C1265" s="20">
        <f>+VLOOKUP(PROVEEDORES[[#This Row],[PROVEEDOR]],TERCEROS_INFO[#All],2,FALSE)</f>
        <v>30</v>
      </c>
      <c r="D1265" s="25">
        <f>+SUMIFS(PROVEEDORES[Total],PROVEEDORES[PROVEEDOR],PROVEEDORES[[#This Row],[PROVEEDOR]],PROVEEDORES[FECHA DE PAGO],"")</f>
        <v>17870934.149999999</v>
      </c>
      <c r="E1265" s="25"/>
      <c r="F126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65" s="68">
        <v>44988</v>
      </c>
      <c r="H1265" s="26" t="s">
        <v>18</v>
      </c>
      <c r="I1265" s="68">
        <v>44925</v>
      </c>
      <c r="J1265" s="35">
        <v>1064111</v>
      </c>
      <c r="K1265" s="21">
        <v>3954329</v>
      </c>
      <c r="L1265" s="21"/>
      <c r="M1265" s="22">
        <f>(PROVEEDORES[[#This Row],[SUBTOTAL]]-PROVEEDORES[[#This Row],[descuento sobre subtotal]])*VLOOKUP(PROVEEDORES[[#This Row],[PROVEEDOR]],TERCEROS_INFO[#All],3,FALSE)</f>
        <v>751322.51</v>
      </c>
      <c r="N1265" s="23"/>
      <c r="O1265" s="22">
        <f>+PROVEEDORES[[#This Row],[Descuento sobre subtotal %]]*(PROVEEDORES[[#This Row],[SUBTOTAL]]-PROVEEDORES[[#This Row],[descuento sobre subtotal]])</f>
        <v>0</v>
      </c>
      <c r="P1265" s="74">
        <f>+IF(PROVEEDORES[[#This Row],[SUBTOTAL]]&lt;PROVEEDORES[[#This Row],[base retencion]],0,PROVEEDORES[[#This Row],[retención aplicada]])</f>
        <v>2.5000000000000001E-2</v>
      </c>
      <c r="Q1265" s="22">
        <f>+PROVEEDORES[[#This Row],[Rete Fuente %]]*(PROVEEDORES[[#This Row],[SUBTOTAL]]-PROVEEDORES[[#This Row],[descuento sobre subtotal]])</f>
        <v>98858.225000000006</v>
      </c>
      <c r="R1265" s="21">
        <f>+PROVEEDORES[[#This Row],[SUBTOTAL]]+PROVEEDORES[[#This Row],[IVA 19%]]-PROVEEDORES[[#This Row],[descuento sobre subtotal]]-PROVEEDORES[[#This Row],[Descuento sobre subtotal $2]]-PROVEEDORES[[#This Row],[Rete Fuente $]]</f>
        <v>4606793.2850000001</v>
      </c>
      <c r="S1265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63">
        <f ca="1">IF(PROVEEDORES[[#This Row],[FECHA DE PAGO]]=0,TODAY()-PROVEEDORES[[#This Row],[FECHA DE FACTURACIÓN]]-PROVEEDORES[[#This Row],[PLAZO Días]],0)</f>
        <v>0</v>
      </c>
      <c r="U1265" s="104" t="str">
        <f>+VLOOKUP(PROVEEDORES[[#This Row],[PROVEEDOR]],Terceros!$A:$D,4,FALSE)</f>
        <v>2,5% con base</v>
      </c>
      <c r="V1265" s="105">
        <f>+YEAR(PROVEEDORES[[#This Row],[FECHA DE FACTURACIÓN]])</f>
        <v>2022</v>
      </c>
      <c r="W1265" s="105">
        <f>+MATCH(PROVEEDORES[[#This Row],[año facturado]],Retenciones!$1:$1,0)</f>
        <v>5</v>
      </c>
      <c r="X1265" s="106">
        <f>+VLOOKUP(PROVEEDORES[[#This Row],[ID RETENCION]],Retenciones!$A$1:$O$25,PROVEEDORES[[#This Row],[indicador de columna]],FALSE)</f>
        <v>1026000</v>
      </c>
      <c r="Y1265" s="107">
        <f>+VLOOKUP(PROVEEDORES[[#This Row],[ID RETENCION]],Retenciones!$A$1:$O$25,2,FALSE)</f>
        <v>2.5000000000000001E-2</v>
      </c>
      <c r="Z1265" s="116" t="b">
        <f>OR(COUNTIF(PROVEEDORES[[#This Row],[PROVEEDOR]],"*"&amp;'Palabra no opera'!$A$2&amp;"*"))</f>
        <v>0</v>
      </c>
    </row>
    <row r="1266" spans="1:26" ht="22.35" customHeight="1" x14ac:dyDescent="0.3">
      <c r="A1266" s="67" t="str">
        <f>+IF(PROVEEDORES[[#This Row],[FECHA DE PAGO]]=PROVEEDORES[[#This Row],[FECHA DE FACTURACIÓN]],"DE CONTADO","CRÉDITO")</f>
        <v>CRÉDITO</v>
      </c>
      <c r="B1266" s="38" t="str">
        <f>+IF((PROVEEDORES[[#This Row],[FECHA DE PAGO]]-PROVEEDORES[[#This Row],[FECHA DE FACTURACIÓN]])&gt;PROVEEDORES[[#This Row],[PLAZO Días]],"PAGO VENCIDO")</f>
        <v>PAGO VENCIDO</v>
      </c>
      <c r="C1266" s="20">
        <f>+VLOOKUP(PROVEEDORES[[#This Row],[PROVEEDOR]],TERCEROS_INFO[#All],2,FALSE)</f>
        <v>30</v>
      </c>
      <c r="D1266" s="25">
        <f>+SUMIFS(PROVEEDORES[Total],PROVEEDORES[PROVEEDOR],PROVEEDORES[[#This Row],[PROVEEDOR]],PROVEEDORES[FECHA DE PAGO],"")</f>
        <v>17870934.149999999</v>
      </c>
      <c r="E1266" s="25"/>
      <c r="F126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66" s="68">
        <v>44988</v>
      </c>
      <c r="H1266" s="26" t="s">
        <v>18</v>
      </c>
      <c r="I1266" s="68">
        <v>44936</v>
      </c>
      <c r="J1266" s="35" t="s">
        <v>1413</v>
      </c>
      <c r="K1266" s="21">
        <v>2030628</v>
      </c>
      <c r="L1266" s="21"/>
      <c r="M1266" s="22">
        <f>(PROVEEDORES[[#This Row],[SUBTOTAL]]-PROVEEDORES[[#This Row],[descuento sobre subtotal]])*VLOOKUP(PROVEEDORES[[#This Row],[PROVEEDOR]],TERCEROS_INFO[#All],3,FALSE)</f>
        <v>385819.32</v>
      </c>
      <c r="N1266" s="23"/>
      <c r="O1266" s="22">
        <f>+PROVEEDORES[[#This Row],[Descuento sobre subtotal %]]*(PROVEEDORES[[#This Row],[SUBTOTAL]]-PROVEEDORES[[#This Row],[descuento sobre subtotal]])</f>
        <v>0</v>
      </c>
      <c r="P1266" s="74">
        <f>+IF(PROVEEDORES[[#This Row],[SUBTOTAL]]&lt;PROVEEDORES[[#This Row],[base retencion]],0,PROVEEDORES[[#This Row],[retención aplicada]])</f>
        <v>2.5000000000000001E-2</v>
      </c>
      <c r="Q1266" s="22">
        <f>+PROVEEDORES[[#This Row],[Rete Fuente %]]*(PROVEEDORES[[#This Row],[SUBTOTAL]]-PROVEEDORES[[#This Row],[descuento sobre subtotal]])</f>
        <v>50765.700000000004</v>
      </c>
      <c r="R1266" s="21">
        <f>+PROVEEDORES[[#This Row],[SUBTOTAL]]+PROVEEDORES[[#This Row],[IVA 19%]]-PROVEEDORES[[#This Row],[descuento sobre subtotal]]-PROVEEDORES[[#This Row],[Descuento sobre subtotal $2]]-PROVEEDORES[[#This Row],[Rete Fuente $]]</f>
        <v>2365681.6199999996</v>
      </c>
      <c r="S12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6" s="63">
        <f ca="1">IF(PROVEEDORES[[#This Row],[FECHA DE PAGO]]=0,TODAY()-PROVEEDORES[[#This Row],[FECHA DE FACTURACIÓN]]-PROVEEDORES[[#This Row],[PLAZO Días]],0)</f>
        <v>0</v>
      </c>
      <c r="U1266" s="104" t="str">
        <f>+VLOOKUP(PROVEEDORES[[#This Row],[PROVEEDOR]],Terceros!$A:$D,4,FALSE)</f>
        <v>2,5% con base</v>
      </c>
      <c r="V1266" s="105">
        <f>+YEAR(PROVEEDORES[[#This Row],[FECHA DE FACTURACIÓN]])</f>
        <v>2023</v>
      </c>
      <c r="W1266" s="105">
        <f>+MATCH(PROVEEDORES[[#This Row],[año facturado]],Retenciones!$1:$1,0)</f>
        <v>6</v>
      </c>
      <c r="X1266" s="106">
        <f>+VLOOKUP(PROVEEDORES[[#This Row],[ID RETENCION]],Retenciones!$A$1:$O$25,PROVEEDORES[[#This Row],[indicador de columna]],FALSE)</f>
        <v>1145000</v>
      </c>
      <c r="Y1266" s="107">
        <f>+VLOOKUP(PROVEEDORES[[#This Row],[ID RETENCION]],Retenciones!$A$1:$O$25,2,FALSE)</f>
        <v>2.5000000000000001E-2</v>
      </c>
      <c r="Z1266" s="116" t="b">
        <f>OR(COUNTIF(PROVEEDORES[[#This Row],[PROVEEDOR]],"*"&amp;'Palabra no opera'!$A$2&amp;"*"))</f>
        <v>0</v>
      </c>
    </row>
    <row r="1267" spans="1:26" ht="22.35" customHeight="1" x14ac:dyDescent="0.3">
      <c r="A1267" s="67" t="str">
        <f>+IF(PROVEEDORES[[#This Row],[FECHA DE PAGO]]=PROVEEDORES[[#This Row],[FECHA DE FACTURACIÓN]],"DE CONTADO","CRÉDITO")</f>
        <v>CRÉDITO</v>
      </c>
      <c r="B1267" s="38" t="str">
        <f>+IF((PROVEEDORES[[#This Row],[FECHA DE PAGO]]-PROVEEDORES[[#This Row],[FECHA DE FACTURACIÓN]])&gt;PROVEEDORES[[#This Row],[PLAZO Días]],"PAGO VENCIDO")</f>
        <v>PAGO VENCIDO</v>
      </c>
      <c r="C1267" s="20">
        <f>+VLOOKUP(PROVEEDORES[[#This Row],[PROVEEDOR]],TERCEROS_INFO[#All],2,FALSE)</f>
        <v>30</v>
      </c>
      <c r="D1267" s="25">
        <f>+SUMIFS(PROVEEDORES[Total],PROVEEDORES[PROVEEDOR],PROVEEDORES[[#This Row],[PROVEEDOR]],PROVEEDORES[FECHA DE PAGO],"")</f>
        <v>17870934.149999999</v>
      </c>
      <c r="E1267" s="25"/>
      <c r="F126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67" s="68">
        <v>44988</v>
      </c>
      <c r="H1267" s="26" t="s">
        <v>18</v>
      </c>
      <c r="I1267" s="68">
        <v>44937</v>
      </c>
      <c r="J1267" s="35" t="s">
        <v>1414</v>
      </c>
      <c r="K1267" s="21">
        <v>703990</v>
      </c>
      <c r="L1267" s="21"/>
      <c r="M1267" s="22">
        <f>(PROVEEDORES[[#This Row],[SUBTOTAL]]-PROVEEDORES[[#This Row],[descuento sobre subtotal]])*VLOOKUP(PROVEEDORES[[#This Row],[PROVEEDOR]],TERCEROS_INFO[#All],3,FALSE)</f>
        <v>133758.1</v>
      </c>
      <c r="N1267" s="23"/>
      <c r="O1267" s="22">
        <f>+PROVEEDORES[[#This Row],[Descuento sobre subtotal %]]*(PROVEEDORES[[#This Row],[SUBTOTAL]]-PROVEEDORES[[#This Row],[descuento sobre subtotal]])</f>
        <v>0</v>
      </c>
      <c r="P1267" s="74">
        <f>+IF(PROVEEDORES[[#This Row],[SUBTOTAL]]&lt;PROVEEDORES[[#This Row],[base retencion]],0,PROVEEDORES[[#This Row],[retención aplicada]])</f>
        <v>0</v>
      </c>
      <c r="Q1267" s="22">
        <f>+PROVEEDORES[[#This Row],[Rete Fuente %]]*(PROVEEDORES[[#This Row],[SUBTOTAL]]-PROVEEDORES[[#This Row],[descuento sobre subtotal]])</f>
        <v>0</v>
      </c>
      <c r="R1267" s="21">
        <f>+PROVEEDORES[[#This Row],[SUBTOTAL]]+PROVEEDORES[[#This Row],[IVA 19%]]-PROVEEDORES[[#This Row],[descuento sobre subtotal]]-PROVEEDORES[[#This Row],[Descuento sobre subtotal $2]]-PROVEEDORES[[#This Row],[Rete Fuente $]]</f>
        <v>837748.1</v>
      </c>
      <c r="S12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63">
        <f ca="1">IF(PROVEEDORES[[#This Row],[FECHA DE PAGO]]=0,TODAY()-PROVEEDORES[[#This Row],[FECHA DE FACTURACIÓN]]-PROVEEDORES[[#This Row],[PLAZO Días]],0)</f>
        <v>0</v>
      </c>
      <c r="U1267" s="104" t="str">
        <f>+VLOOKUP(PROVEEDORES[[#This Row],[PROVEEDOR]],Terceros!$A:$D,4,FALSE)</f>
        <v>2,5% con base</v>
      </c>
      <c r="V1267" s="105">
        <f>+YEAR(PROVEEDORES[[#This Row],[FECHA DE FACTURACIÓN]])</f>
        <v>2023</v>
      </c>
      <c r="W1267" s="105">
        <f>+MATCH(PROVEEDORES[[#This Row],[año facturado]],Retenciones!$1:$1,0)</f>
        <v>6</v>
      </c>
      <c r="X1267" s="106">
        <f>+VLOOKUP(PROVEEDORES[[#This Row],[ID RETENCION]],Retenciones!$A$1:$O$25,PROVEEDORES[[#This Row],[indicador de columna]],FALSE)</f>
        <v>1145000</v>
      </c>
      <c r="Y1267" s="107">
        <f>+VLOOKUP(PROVEEDORES[[#This Row],[ID RETENCION]],Retenciones!$A$1:$O$25,2,FALSE)</f>
        <v>2.5000000000000001E-2</v>
      </c>
      <c r="Z1267" s="116" t="b">
        <f>OR(COUNTIF(PROVEEDORES[[#This Row],[PROVEEDOR]],"*"&amp;'Palabra no opera'!$A$2&amp;"*"))</f>
        <v>0</v>
      </c>
    </row>
    <row r="1268" spans="1:26" ht="22.35" customHeight="1" x14ac:dyDescent="0.3">
      <c r="A1268" s="67" t="str">
        <f>+IF(PROVEEDORES[[#This Row],[FECHA DE PAGO]]=PROVEEDORES[[#This Row],[FECHA DE FACTURACIÓN]],"DE CONTADO","CRÉDITO")</f>
        <v>CRÉDITO</v>
      </c>
      <c r="B1268" s="38" t="str">
        <f>+IF((PROVEEDORES[[#This Row],[FECHA DE PAGO]]-PROVEEDORES[[#This Row],[FECHA DE FACTURACIÓN]])&gt;PROVEEDORES[[#This Row],[PLAZO Días]],"PAGO VENCIDO")</f>
        <v>PAGO VENCIDO</v>
      </c>
      <c r="C1268" s="20">
        <f>+VLOOKUP(PROVEEDORES[[#This Row],[PROVEEDOR]],TERCEROS_INFO[#All],2,FALSE)</f>
        <v>30</v>
      </c>
      <c r="D1268" s="25">
        <f>+SUMIFS(PROVEEDORES[Total],PROVEEDORES[PROVEEDOR],PROVEEDORES[[#This Row],[PROVEEDOR]],PROVEEDORES[FECHA DE PAGO],"")</f>
        <v>17870934.149999999</v>
      </c>
      <c r="E1268" s="25"/>
      <c r="F126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68" s="68">
        <v>44988</v>
      </c>
      <c r="H1268" s="26" t="s">
        <v>18</v>
      </c>
      <c r="I1268" s="68">
        <v>44938</v>
      </c>
      <c r="J1268" s="35" t="s">
        <v>1412</v>
      </c>
      <c r="K1268" s="21">
        <v>12580881</v>
      </c>
      <c r="L1268" s="21"/>
      <c r="M1268" s="22">
        <f>(PROVEEDORES[[#This Row],[SUBTOTAL]]-PROVEEDORES[[#This Row],[descuento sobre subtotal]])*VLOOKUP(PROVEEDORES[[#This Row],[PROVEEDOR]],TERCEROS_INFO[#All],3,FALSE)</f>
        <v>2390367.39</v>
      </c>
      <c r="N1268" s="23"/>
      <c r="O1268" s="22">
        <f>+PROVEEDORES[[#This Row],[Descuento sobre subtotal %]]*(PROVEEDORES[[#This Row],[SUBTOTAL]]-PROVEEDORES[[#This Row],[descuento sobre subtotal]])</f>
        <v>0</v>
      </c>
      <c r="P1268" s="74">
        <f>+IF(PROVEEDORES[[#This Row],[SUBTOTAL]]&lt;PROVEEDORES[[#This Row],[base retencion]],0,PROVEEDORES[[#This Row],[retención aplicada]])</f>
        <v>2.5000000000000001E-2</v>
      </c>
      <c r="Q1268" s="22">
        <f>+PROVEEDORES[[#This Row],[Rete Fuente %]]*(PROVEEDORES[[#This Row],[SUBTOTAL]]-PROVEEDORES[[#This Row],[descuento sobre subtotal]])</f>
        <v>314522.02500000002</v>
      </c>
      <c r="R1268" s="21">
        <f>+PROVEEDORES[[#This Row],[SUBTOTAL]]+PROVEEDORES[[#This Row],[IVA 19%]]-PROVEEDORES[[#This Row],[descuento sobre subtotal]]-PROVEEDORES[[#This Row],[Descuento sobre subtotal $2]]-PROVEEDORES[[#This Row],[Rete Fuente $]]</f>
        <v>14656726.365</v>
      </c>
      <c r="S12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63">
        <f ca="1">IF(PROVEEDORES[[#This Row],[FECHA DE PAGO]]=0,TODAY()-PROVEEDORES[[#This Row],[FECHA DE FACTURACIÓN]]-PROVEEDORES[[#This Row],[PLAZO Días]],0)</f>
        <v>0</v>
      </c>
      <c r="U1268" s="104" t="str">
        <f>+VLOOKUP(PROVEEDORES[[#This Row],[PROVEEDOR]],Terceros!$A:$D,4,FALSE)</f>
        <v>2,5% con base</v>
      </c>
      <c r="V1268" s="105">
        <f>+YEAR(PROVEEDORES[[#This Row],[FECHA DE FACTURACIÓN]])</f>
        <v>2023</v>
      </c>
      <c r="W1268" s="105">
        <f>+MATCH(PROVEEDORES[[#This Row],[año facturado]],Retenciones!$1:$1,0)</f>
        <v>6</v>
      </c>
      <c r="X1268" s="106">
        <f>+VLOOKUP(PROVEEDORES[[#This Row],[ID RETENCION]],Retenciones!$A$1:$O$25,PROVEEDORES[[#This Row],[indicador de columna]],FALSE)</f>
        <v>1145000</v>
      </c>
      <c r="Y1268" s="107">
        <f>+VLOOKUP(PROVEEDORES[[#This Row],[ID RETENCION]],Retenciones!$A$1:$O$25,2,FALSE)</f>
        <v>2.5000000000000001E-2</v>
      </c>
      <c r="Z1268" s="116" t="b">
        <f>OR(COUNTIF(PROVEEDORES[[#This Row],[PROVEEDOR]],"*"&amp;'Palabra no opera'!$A$2&amp;"*"))</f>
        <v>0</v>
      </c>
    </row>
    <row r="1269" spans="1:26" ht="22.35" customHeight="1" x14ac:dyDescent="0.3">
      <c r="A1269" s="67" t="str">
        <f>+IF(PROVEEDORES[[#This Row],[FECHA DE PAGO]]=PROVEEDORES[[#This Row],[FECHA DE FACTURACIÓN]],"DE CONTADO","CRÉDITO")</f>
        <v>CRÉDITO</v>
      </c>
      <c r="B1269" s="38" t="str">
        <f>+IF((PROVEEDORES[[#This Row],[FECHA DE PAGO]]-PROVEEDORES[[#This Row],[FECHA DE FACTURACIÓN]])&gt;PROVEEDORES[[#This Row],[PLAZO Días]],"PAGO VENCIDO")</f>
        <v>PAGO VENCIDO</v>
      </c>
      <c r="C1269" s="20">
        <f>+VLOOKUP(PROVEEDORES[[#This Row],[PROVEEDOR]],TERCEROS_INFO[#All],2,FALSE)</f>
        <v>30</v>
      </c>
      <c r="D1269" s="25">
        <f>+SUMIFS(PROVEEDORES[Total],PROVEEDORES[PROVEEDOR],PROVEEDORES[[#This Row],[PROVEEDOR]],PROVEEDORES[FECHA DE PAGO],"")</f>
        <v>0</v>
      </c>
      <c r="E1269" s="25"/>
      <c r="F1269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69" s="68">
        <v>44988</v>
      </c>
      <c r="H1269" s="26" t="s">
        <v>964</v>
      </c>
      <c r="I1269" s="68">
        <v>44953</v>
      </c>
      <c r="J1269" s="35">
        <v>40466</v>
      </c>
      <c r="K1269" s="21">
        <v>1636800</v>
      </c>
      <c r="L1269" s="21"/>
      <c r="M1269" s="22">
        <f>(PROVEEDORES[[#This Row],[SUBTOTAL]]-PROVEEDORES[[#This Row],[descuento sobre subtotal]])*VLOOKUP(PROVEEDORES[[#This Row],[PROVEEDOR]],TERCEROS_INFO[#All],3,FALSE)</f>
        <v>310992</v>
      </c>
      <c r="N1269" s="23"/>
      <c r="O1269" s="22">
        <f>+PROVEEDORES[[#This Row],[Descuento sobre subtotal %]]*(PROVEEDORES[[#This Row],[SUBTOTAL]]-PROVEEDORES[[#This Row],[descuento sobre subtotal]])</f>
        <v>0</v>
      </c>
      <c r="P1269" s="74">
        <f>+IF(PROVEEDORES[[#This Row],[SUBTOTAL]]&lt;PROVEEDORES[[#This Row],[base retencion]],0,PROVEEDORES[[#This Row],[retención aplicada]])</f>
        <v>0</v>
      </c>
      <c r="Q1269" s="22">
        <f>+PROVEEDORES[[#This Row],[Rete Fuente %]]*(PROVEEDORES[[#This Row],[SUBTOTAL]]-PROVEEDORES[[#This Row],[descuento sobre subtotal]])</f>
        <v>0</v>
      </c>
      <c r="R1269" s="21">
        <f>+PROVEEDORES[[#This Row],[SUBTOTAL]]+PROVEEDORES[[#This Row],[IVA 19%]]-PROVEEDORES[[#This Row],[descuento sobre subtotal]]-PROVEEDORES[[#This Row],[Descuento sobre subtotal $2]]-PROVEEDORES[[#This Row],[Rete Fuente $]]</f>
        <v>1947792</v>
      </c>
      <c r="S12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63">
        <f ca="1">IF(PROVEEDORES[[#This Row],[FECHA DE PAGO]]=0,TODAY()-PROVEEDORES[[#This Row],[FECHA DE FACTURACIÓN]]-PROVEEDORES[[#This Row],[PLAZO Días]],0)</f>
        <v>0</v>
      </c>
      <c r="U1269" s="104">
        <f>+VLOOKUP(PROVEEDORES[[#This Row],[PROVEEDOR]],Terceros!$A:$D,4,FALSE)</f>
        <v>0</v>
      </c>
      <c r="V1269" s="105">
        <f>+YEAR(PROVEEDORES[[#This Row],[FECHA DE FACTURACIÓN]])</f>
        <v>2023</v>
      </c>
      <c r="W1269" s="105">
        <f>+MATCH(PROVEEDORES[[#This Row],[año facturado]],Retenciones!$1:$1,0)</f>
        <v>6</v>
      </c>
      <c r="X1269" s="106">
        <f>+VLOOKUP(PROVEEDORES[[#This Row],[ID RETENCION]],Retenciones!$A$1:$O$25,PROVEEDORES[[#This Row],[indicador de columna]],FALSE)</f>
        <v>0</v>
      </c>
      <c r="Y1269" s="107">
        <f>+VLOOKUP(PROVEEDORES[[#This Row],[ID RETENCION]],Retenciones!$A$1:$O$25,2,FALSE)</f>
        <v>0</v>
      </c>
      <c r="Z1269" s="116" t="b">
        <f>OR(COUNTIF(PROVEEDORES[[#This Row],[PROVEEDOR]],"*"&amp;'Palabra no opera'!$A$2&amp;"*"))</f>
        <v>0</v>
      </c>
    </row>
    <row r="1270" spans="1:26" ht="22.35" customHeight="1" x14ac:dyDescent="0.3">
      <c r="A1270" s="249" t="str">
        <f>+IF(PROVEEDORES[[#This Row],[FECHA DE PAGO]]=PROVEEDORES[[#This Row],[FECHA DE FACTURACIÓN]],"DE CONTADO","CRÉDITO")</f>
        <v>CRÉDITO</v>
      </c>
      <c r="B1270" s="38" t="str">
        <f>+IF((PROVEEDORES[[#This Row],[FECHA DE PAGO]]-PROVEEDORES[[#This Row],[FECHA DE FACTURACIÓN]])&gt;PROVEEDORES[[#This Row],[PLAZO Días]],"PAGO VENCIDO")</f>
        <v>PAGO VENCIDO</v>
      </c>
      <c r="C1270" s="20">
        <f>+VLOOKUP(PROVEEDORES[[#This Row],[PROVEEDOR]],TERCEROS_INFO[#All],2,FALSE)</f>
        <v>30</v>
      </c>
      <c r="D1270" s="25">
        <f>+SUMIFS(PROVEEDORES[Total],PROVEEDORES[PROVEEDOR],PROVEEDORES[[#This Row],[PROVEEDOR]],PROVEEDORES[FECHA DE PAGO],"")</f>
        <v>1125118.8199999998</v>
      </c>
      <c r="E1270" s="25"/>
      <c r="F1270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270" s="68">
        <v>44988</v>
      </c>
      <c r="H1270" s="26" t="s">
        <v>279</v>
      </c>
      <c r="I1270" s="68">
        <v>44904</v>
      </c>
      <c r="J1270" s="35" t="s">
        <v>1357</v>
      </c>
      <c r="K1270" s="21">
        <v>3376471</v>
      </c>
      <c r="L1270" s="21"/>
      <c r="M1270" s="22">
        <f>(PROVEEDORES[[#This Row],[SUBTOTAL]]-PROVEEDORES[[#This Row],[descuento sobre subtotal]])*VLOOKUP(PROVEEDORES[[#This Row],[PROVEEDOR]],TERCEROS_INFO[#All],3,FALSE)</f>
        <v>641529.49</v>
      </c>
      <c r="N1270" s="23"/>
      <c r="O1270" s="22">
        <f>+PROVEEDORES[[#This Row],[Descuento sobre subtotal %]]*(PROVEEDORES[[#This Row],[SUBTOTAL]]-PROVEEDORES[[#This Row],[descuento sobre subtotal]])</f>
        <v>0</v>
      </c>
      <c r="P1270" s="74">
        <f>+IF(PROVEEDORES[[#This Row],[SUBTOTAL]]&lt;PROVEEDORES[[#This Row],[base retencion]],0,PROVEEDORES[[#This Row],[retención aplicada]])</f>
        <v>2.5000000000000001E-2</v>
      </c>
      <c r="Q1270" s="22">
        <f>+PROVEEDORES[[#This Row],[Rete Fuente %]]*(PROVEEDORES[[#This Row],[SUBTOTAL]]-PROVEEDORES[[#This Row],[descuento sobre subtotal]])</f>
        <v>84411.775000000009</v>
      </c>
      <c r="R1270" s="21">
        <f>+PROVEEDORES[[#This Row],[SUBTOTAL]]+PROVEEDORES[[#This Row],[IVA 19%]]-PROVEEDORES[[#This Row],[descuento sobre subtotal]]-PROVEEDORES[[#This Row],[Descuento sobre subtotal $2]]-PROVEEDORES[[#This Row],[Rete Fuente $]]</f>
        <v>3933588.7150000003</v>
      </c>
      <c r="S1270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63">
        <f ca="1">IF(PROVEEDORES[[#This Row],[FECHA DE PAGO]]=0,TODAY()-PROVEEDORES[[#This Row],[FECHA DE FACTURACIÓN]]-PROVEEDORES[[#This Row],[PLAZO Días]],0)</f>
        <v>0</v>
      </c>
      <c r="U1270" s="104" t="str">
        <f>+VLOOKUP(PROVEEDORES[[#This Row],[PROVEEDOR]],Terceros!$A:$D,4,FALSE)</f>
        <v>2,5% con base</v>
      </c>
      <c r="V1270" s="105">
        <f>+YEAR(PROVEEDORES[[#This Row],[FECHA DE FACTURACIÓN]])</f>
        <v>2022</v>
      </c>
      <c r="W1270" s="105">
        <f>+MATCH(PROVEEDORES[[#This Row],[año facturado]],Retenciones!$1:$1,0)</f>
        <v>5</v>
      </c>
      <c r="X1270" s="106">
        <f>+VLOOKUP(PROVEEDORES[[#This Row],[ID RETENCION]],Retenciones!$A$1:$O$25,PROVEEDORES[[#This Row],[indicador de columna]],FALSE)</f>
        <v>1026000</v>
      </c>
      <c r="Y1270" s="107">
        <f>+VLOOKUP(PROVEEDORES[[#This Row],[ID RETENCION]],Retenciones!$A$1:$O$25,2,FALSE)</f>
        <v>2.5000000000000001E-2</v>
      </c>
      <c r="Z1270" s="116" t="b">
        <f>OR(COUNTIF(PROVEEDORES[[#This Row],[PROVEEDOR]],"*"&amp;'Palabra no opera'!$A$2&amp;"*"))</f>
        <v>0</v>
      </c>
    </row>
    <row r="1271" spans="1:26" ht="22.35" customHeight="1" x14ac:dyDescent="0.3">
      <c r="A1271" s="269" t="str">
        <f>+IF(PROVEEDORES[[#This Row],[FECHA DE PAGO]]=PROVEEDORES[[#This Row],[FECHA DE FACTURACIÓN]],"DE CONTADO","CRÉDITO")</f>
        <v>CRÉDITO</v>
      </c>
      <c r="B1271" s="38" t="str">
        <f>+IF((PROVEEDORES[[#This Row],[FECHA DE PAGO]]-PROVEEDORES[[#This Row],[FECHA DE FACTURACIÓN]])&gt;PROVEEDORES[[#This Row],[PLAZO Días]],"PAGO VENCIDO")</f>
        <v>PAGO VENCIDO</v>
      </c>
      <c r="C1271" s="20">
        <f>+VLOOKUP(PROVEEDORES[[#This Row],[PROVEEDOR]],TERCEROS_INFO[#All],2,FALSE)</f>
        <v>30</v>
      </c>
      <c r="D1271" s="25">
        <f>+SUMIFS(PROVEEDORES[Total],PROVEEDORES[PROVEEDOR],PROVEEDORES[[#This Row],[PROVEEDOR]],PROVEEDORES[FECHA DE PAGO],"")</f>
        <v>1316890.8900000001</v>
      </c>
      <c r="E1271" s="25"/>
      <c r="F1271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71" s="68">
        <v>44988</v>
      </c>
      <c r="H1271" s="26" t="s">
        <v>17</v>
      </c>
      <c r="I1271" s="68">
        <v>44951</v>
      </c>
      <c r="J1271" s="35" t="s">
        <v>1465</v>
      </c>
      <c r="K1271" s="21">
        <v>819316</v>
      </c>
      <c r="L1271" s="21"/>
      <c r="M1271" s="22">
        <v>0</v>
      </c>
      <c r="N1271" s="23"/>
      <c r="O1271" s="22">
        <f>+PROVEEDORES[[#This Row],[Descuento sobre subtotal %]]*(PROVEEDORES[[#This Row],[SUBTOTAL]]-PROVEEDORES[[#This Row],[descuento sobre subtotal]])</f>
        <v>0</v>
      </c>
      <c r="P1271" s="74">
        <f>+IF(PROVEEDORES[[#This Row],[SUBTOTAL]]&lt;PROVEEDORES[[#This Row],[base retencion]],0,PROVEEDORES[[#This Row],[retención aplicada]])</f>
        <v>0</v>
      </c>
      <c r="Q1271" s="22">
        <f>+PROVEEDORES[[#This Row],[Rete Fuente %]]*(PROVEEDORES[[#This Row],[SUBTOTAL]]-PROVEEDORES[[#This Row],[descuento sobre subtotal]])</f>
        <v>0</v>
      </c>
      <c r="R1271" s="21">
        <f>+PROVEEDORES[[#This Row],[SUBTOTAL]]+PROVEEDORES[[#This Row],[IVA 19%]]-PROVEEDORES[[#This Row],[descuento sobre subtotal]]-PROVEEDORES[[#This Row],[Descuento sobre subtotal $2]]-PROVEEDORES[[#This Row],[Rete Fuente $]]</f>
        <v>819316</v>
      </c>
      <c r="S1271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63">
        <f ca="1">IF(PROVEEDORES[[#This Row],[FECHA DE PAGO]]=0,TODAY()-PROVEEDORES[[#This Row],[FECHA DE FACTURACIÓN]]-PROVEEDORES[[#This Row],[PLAZO Días]],0)</f>
        <v>0</v>
      </c>
      <c r="U1271" s="104">
        <f>+VLOOKUP(PROVEEDORES[[#This Row],[PROVEEDOR]],Terceros!$A:$D,4,FALSE)</f>
        <v>0</v>
      </c>
      <c r="V1271" s="105">
        <f>+YEAR(PROVEEDORES[[#This Row],[FECHA DE FACTURACIÓN]])</f>
        <v>2023</v>
      </c>
      <c r="W1271" s="105">
        <f>+MATCH(PROVEEDORES[[#This Row],[año facturado]],Retenciones!$1:$1,0)</f>
        <v>6</v>
      </c>
      <c r="X1271" s="106">
        <f>+VLOOKUP(PROVEEDORES[[#This Row],[ID RETENCION]],Retenciones!$A$1:$O$25,PROVEEDORES[[#This Row],[indicador de columna]],FALSE)</f>
        <v>0</v>
      </c>
      <c r="Y1271" s="107">
        <f>+VLOOKUP(PROVEEDORES[[#This Row],[ID RETENCION]],Retenciones!$A$1:$O$25,2,FALSE)</f>
        <v>0</v>
      </c>
      <c r="Z1271" s="116" t="b">
        <f>OR(COUNTIF(PROVEEDORES[[#This Row],[PROVEEDOR]],"*"&amp;'Palabra no opera'!$A$2&amp;"*"))</f>
        <v>0</v>
      </c>
    </row>
    <row r="1272" spans="1:26" ht="22.35" customHeight="1" x14ac:dyDescent="0.3">
      <c r="A1272" s="263" t="str">
        <f>+IF(PROVEEDORES[[#This Row],[FECHA DE PAGO]]=PROVEEDORES[[#This Row],[FECHA DE FACTURACIÓN]],"DE CONTADO","CRÉDITO")</f>
        <v>CRÉDITO</v>
      </c>
      <c r="B1272" s="38" t="str">
        <f>+IF((PROVEEDORES[[#This Row],[FECHA DE PAGO]]-PROVEEDORES[[#This Row],[FECHA DE FACTURACIÓN]])&gt;PROVEEDORES[[#This Row],[PLAZO Días]],"PAGO VENCIDO")</f>
        <v>PAGO VENCIDO</v>
      </c>
      <c r="C1272" s="20">
        <f>+VLOOKUP(PROVEEDORES[[#This Row],[PROVEEDOR]],TERCEROS_INFO[#All],2,FALSE)</f>
        <v>30</v>
      </c>
      <c r="D1272" s="25">
        <f>+SUMIFS(PROVEEDORES[Total],PROVEEDORES[PROVEEDOR],PROVEEDORES[[#This Row],[PROVEEDOR]],PROVEEDORES[FECHA DE PAGO],"")</f>
        <v>1316890.8900000001</v>
      </c>
      <c r="E1272" s="25"/>
      <c r="F1272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72" s="68">
        <v>44988</v>
      </c>
      <c r="H1272" s="26" t="s">
        <v>17</v>
      </c>
      <c r="I1272" s="68">
        <v>44957</v>
      </c>
      <c r="J1272" s="35" t="s">
        <v>1439</v>
      </c>
      <c r="K1272" s="21">
        <v>412700</v>
      </c>
      <c r="L1272" s="21"/>
      <c r="M1272" s="22">
        <f>(PROVEEDORES[[#This Row],[SUBTOTAL]]-PROVEEDORES[[#This Row],[descuento sobre subtotal]])*VLOOKUP(PROVEEDORES[[#This Row],[PROVEEDOR]],TERCEROS_INFO[#All],3,FALSE)</f>
        <v>78413</v>
      </c>
      <c r="N1272" s="23"/>
      <c r="O1272" s="22">
        <f>+PROVEEDORES[[#This Row],[Descuento sobre subtotal %]]*(PROVEEDORES[[#This Row],[SUBTOTAL]]-PROVEEDORES[[#This Row],[descuento sobre subtotal]])</f>
        <v>0</v>
      </c>
      <c r="P1272" s="74">
        <f>+IF(PROVEEDORES[[#This Row],[SUBTOTAL]]&lt;PROVEEDORES[[#This Row],[base retencion]],0,PROVEEDORES[[#This Row],[retención aplicada]])</f>
        <v>0</v>
      </c>
      <c r="Q1272" s="22">
        <f>+PROVEEDORES[[#This Row],[Rete Fuente %]]*(PROVEEDORES[[#This Row],[SUBTOTAL]]-PROVEEDORES[[#This Row],[descuento sobre subtotal]])</f>
        <v>0</v>
      </c>
      <c r="R1272" s="21">
        <f>+PROVEEDORES[[#This Row],[SUBTOTAL]]+PROVEEDORES[[#This Row],[IVA 19%]]-PROVEEDORES[[#This Row],[descuento sobre subtotal]]-PROVEEDORES[[#This Row],[Descuento sobre subtotal $2]]-PROVEEDORES[[#This Row],[Rete Fuente $]]</f>
        <v>491113</v>
      </c>
      <c r="S1272" s="2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63">
        <f ca="1">IF(PROVEEDORES[[#This Row],[FECHA DE PAGO]]=0,TODAY()-PROVEEDORES[[#This Row],[FECHA DE FACTURACIÓN]]-PROVEEDORES[[#This Row],[PLAZO Días]],0)</f>
        <v>0</v>
      </c>
      <c r="U1272" s="104">
        <f>+VLOOKUP(PROVEEDORES[[#This Row],[PROVEEDOR]],Terceros!$A:$D,4,FALSE)</f>
        <v>0</v>
      </c>
      <c r="V1272" s="105">
        <f>+YEAR(PROVEEDORES[[#This Row],[FECHA DE FACTURACIÓN]])</f>
        <v>2023</v>
      </c>
      <c r="W1272" s="105">
        <f>+MATCH(PROVEEDORES[[#This Row],[año facturado]],Retenciones!$1:$1,0)</f>
        <v>6</v>
      </c>
      <c r="X1272" s="106">
        <f>+VLOOKUP(PROVEEDORES[[#This Row],[ID RETENCION]],Retenciones!$A$1:$O$25,PROVEEDORES[[#This Row],[indicador de columna]],FALSE)</f>
        <v>0</v>
      </c>
      <c r="Y1272" s="107">
        <f>+VLOOKUP(PROVEEDORES[[#This Row],[ID RETENCION]],Retenciones!$A$1:$O$25,2,FALSE)</f>
        <v>0</v>
      </c>
      <c r="Z1272" s="116" t="b">
        <f>OR(COUNTIF(PROVEEDORES[[#This Row],[PROVEEDOR]],"*"&amp;'Palabra no opera'!$A$2&amp;"*"))</f>
        <v>0</v>
      </c>
    </row>
    <row r="1273" spans="1:26" ht="22.35" customHeight="1" x14ac:dyDescent="0.3">
      <c r="A1273" s="265" t="str">
        <f>+IF(PROVEEDORES[[#This Row],[FECHA DE PAGO]]=PROVEEDORES[[#This Row],[FECHA DE FACTURACIÓN]],"DE CONTADO","CRÉDITO")</f>
        <v>CRÉDITO</v>
      </c>
      <c r="B1273" s="38" t="b">
        <f>+IF((PROVEEDORES[[#This Row],[FECHA DE PAGO]]-PROVEEDORES[[#This Row],[FECHA DE FACTURACIÓN]])&gt;PROVEEDORES[[#This Row],[PLAZO Días]],"PAGO VENCIDO")</f>
        <v>0</v>
      </c>
      <c r="C1273" s="20">
        <f>+VLOOKUP(PROVEEDORES[[#This Row],[PROVEEDOR]],TERCEROS_INFO[#All],2,FALSE)</f>
        <v>30</v>
      </c>
      <c r="D1273" s="25">
        <f>+SUMIFS(PROVEEDORES[Total],PROVEEDORES[PROVEEDOR],PROVEEDORES[[#This Row],[PROVEEDOR]],PROVEEDORES[FECHA DE PAGO],"")</f>
        <v>1316890.8900000001</v>
      </c>
      <c r="E1273" s="25"/>
      <c r="F127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73" s="68">
        <v>44988</v>
      </c>
      <c r="H1273" s="26" t="s">
        <v>17</v>
      </c>
      <c r="I1273" s="68">
        <v>44960</v>
      </c>
      <c r="J1273" s="35" t="s">
        <v>1440</v>
      </c>
      <c r="K1273" s="21">
        <v>2018990</v>
      </c>
      <c r="L1273" s="21"/>
      <c r="M1273" s="22">
        <v>0</v>
      </c>
      <c r="N1273" s="23"/>
      <c r="O1273" s="22">
        <f>+PROVEEDORES[[#This Row],[Descuento sobre subtotal %]]*(PROVEEDORES[[#This Row],[SUBTOTAL]]-PROVEEDORES[[#This Row],[descuento sobre subtotal]])</f>
        <v>0</v>
      </c>
      <c r="P1273" s="74">
        <f>+IF(PROVEEDORES[[#This Row],[SUBTOTAL]]&lt;PROVEEDORES[[#This Row],[base retencion]],0,PROVEEDORES[[#This Row],[retención aplicada]])</f>
        <v>0</v>
      </c>
      <c r="Q1273" s="22">
        <f>+PROVEEDORES[[#This Row],[Rete Fuente %]]*(PROVEEDORES[[#This Row],[SUBTOTAL]]-PROVEEDORES[[#This Row],[descuento sobre subtotal]])</f>
        <v>0</v>
      </c>
      <c r="R1273" s="21">
        <f>+PROVEEDORES[[#This Row],[SUBTOTAL]]+PROVEEDORES[[#This Row],[IVA 19%]]-PROVEEDORES[[#This Row],[descuento sobre subtotal]]-PROVEEDORES[[#This Row],[Descuento sobre subtotal $2]]-PROVEEDORES[[#This Row],[Rete Fuente $]]</f>
        <v>2018990</v>
      </c>
      <c r="S1273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63">
        <f ca="1">IF(PROVEEDORES[[#This Row],[FECHA DE PAGO]]=0,TODAY()-PROVEEDORES[[#This Row],[FECHA DE FACTURACIÓN]]-PROVEEDORES[[#This Row],[PLAZO Días]],0)</f>
        <v>0</v>
      </c>
      <c r="U1273" s="104">
        <f>+VLOOKUP(PROVEEDORES[[#This Row],[PROVEEDOR]],Terceros!$A:$D,4,FALSE)</f>
        <v>0</v>
      </c>
      <c r="V1273" s="105">
        <f>+YEAR(PROVEEDORES[[#This Row],[FECHA DE FACTURACIÓN]])</f>
        <v>2023</v>
      </c>
      <c r="W1273" s="105">
        <f>+MATCH(PROVEEDORES[[#This Row],[año facturado]],Retenciones!$1:$1,0)</f>
        <v>6</v>
      </c>
      <c r="X1273" s="106">
        <f>+VLOOKUP(PROVEEDORES[[#This Row],[ID RETENCION]],Retenciones!$A$1:$O$25,PROVEEDORES[[#This Row],[indicador de columna]],FALSE)</f>
        <v>0</v>
      </c>
      <c r="Y1273" s="107">
        <f>+VLOOKUP(PROVEEDORES[[#This Row],[ID RETENCION]],Retenciones!$A$1:$O$25,2,FALSE)</f>
        <v>0</v>
      </c>
      <c r="Z1273" s="116" t="b">
        <f>OR(COUNTIF(PROVEEDORES[[#This Row],[PROVEEDOR]],"*"&amp;'Palabra no opera'!$A$2&amp;"*"))</f>
        <v>0</v>
      </c>
    </row>
    <row r="1274" spans="1:26" ht="22.35" customHeight="1" x14ac:dyDescent="0.3">
      <c r="A1274" s="67" t="str">
        <f>+IF(PROVEEDORES[[#This Row],[FECHA DE PAGO]]=PROVEEDORES[[#This Row],[FECHA DE FACTURACIÓN]],"DE CONTADO","CRÉDITO")</f>
        <v>CRÉDITO</v>
      </c>
      <c r="B1274" s="38" t="str">
        <f>+IF((PROVEEDORES[[#This Row],[FECHA DE PAGO]]-PROVEEDORES[[#This Row],[FECHA DE FACTURACIÓN]])&gt;PROVEEDORES[[#This Row],[PLAZO Días]],"PAGO VENCIDO")</f>
        <v>PAGO VENCIDO</v>
      </c>
      <c r="C1274" s="20">
        <f>+VLOOKUP(PROVEEDORES[[#This Row],[PROVEEDOR]],TERCEROS_INFO[#All],2,FALSE)</f>
        <v>30</v>
      </c>
      <c r="D1274" s="25">
        <f>+SUMIFS(PROVEEDORES[Total],PROVEEDORES[PROVEEDOR],PROVEEDORES[[#This Row],[PROVEEDOR]],PROVEEDORES[FECHA DE PAGO],"")</f>
        <v>10321993.199999999</v>
      </c>
      <c r="E1274" s="25"/>
      <c r="F1274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74" s="68">
        <v>44988</v>
      </c>
      <c r="H1274" s="231" t="s">
        <v>1068</v>
      </c>
      <c r="I1274" s="68">
        <v>44881</v>
      </c>
      <c r="J1274" s="35">
        <v>28216</v>
      </c>
      <c r="K1274" s="21">
        <v>312000</v>
      </c>
      <c r="L1274" s="21"/>
      <c r="M1274" s="22">
        <f>(PROVEEDORES[[#This Row],[SUBTOTAL]]-PROVEEDORES[[#This Row],[descuento sobre subtotal]])*VLOOKUP(PROVEEDORES[[#This Row],[PROVEEDOR]],TERCEROS_INFO[#All],3,FALSE)</f>
        <v>59280</v>
      </c>
      <c r="N1274" s="23"/>
      <c r="O1274" s="22">
        <f>+PROVEEDORES[[#This Row],[Descuento sobre subtotal %]]*(PROVEEDORES[[#This Row],[SUBTOTAL]]-PROVEEDORES[[#This Row],[descuento sobre subtotal]])</f>
        <v>0</v>
      </c>
      <c r="P1274" s="74">
        <f>+IF(PROVEEDORES[[#This Row],[SUBTOTAL]]&lt;PROVEEDORES[[#This Row],[base retencion]],0,PROVEEDORES[[#This Row],[retención aplicada]])</f>
        <v>0</v>
      </c>
      <c r="Q1274" s="22">
        <f>+PROVEEDORES[[#This Row],[Rete Fuente %]]*(PROVEEDORES[[#This Row],[SUBTOTAL]]-PROVEEDORES[[#This Row],[descuento sobre subtotal]])</f>
        <v>0</v>
      </c>
      <c r="R1274" s="21">
        <f>+PROVEEDORES[[#This Row],[SUBTOTAL]]+PROVEEDORES[[#This Row],[IVA 19%]]-PROVEEDORES[[#This Row],[descuento sobre subtotal]]-PROVEEDORES[[#This Row],[Descuento sobre subtotal $2]]-PROVEEDORES[[#This Row],[Rete Fuente $]]</f>
        <v>371280</v>
      </c>
      <c r="S12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63">
        <f ca="1">IF(PROVEEDORES[[#This Row],[FECHA DE PAGO]]=0,TODAY()-PROVEEDORES[[#This Row],[FECHA DE FACTURACIÓN]]-PROVEEDORES[[#This Row],[PLAZO Días]],0)</f>
        <v>0</v>
      </c>
      <c r="U1274" s="104" t="str">
        <f>+VLOOKUP(PROVEEDORES[[#This Row],[PROVEEDOR]],Terceros!$A:$D,4,FALSE)</f>
        <v>2,5% con base</v>
      </c>
      <c r="V1274" s="105">
        <f>+YEAR(PROVEEDORES[[#This Row],[FECHA DE FACTURACIÓN]])</f>
        <v>2022</v>
      </c>
      <c r="W1274" s="105">
        <f>+MATCH(PROVEEDORES[[#This Row],[año facturado]],Retenciones!$1:$1,0)</f>
        <v>5</v>
      </c>
      <c r="X1274" s="106">
        <f>+VLOOKUP(PROVEEDORES[[#This Row],[ID RETENCION]],Retenciones!$A$1:$O$25,PROVEEDORES[[#This Row],[indicador de columna]],FALSE)</f>
        <v>1026000</v>
      </c>
      <c r="Y1274" s="107">
        <f>+VLOOKUP(PROVEEDORES[[#This Row],[ID RETENCION]],Retenciones!$A$1:$O$25,2,FALSE)</f>
        <v>2.5000000000000001E-2</v>
      </c>
      <c r="Z1274" s="116" t="b">
        <f>OR(COUNTIF(PROVEEDORES[[#This Row],[PROVEEDOR]],"*"&amp;'Palabra no opera'!$A$2&amp;"*"))</f>
        <v>0</v>
      </c>
    </row>
    <row r="1275" spans="1:26" ht="22.35" customHeight="1" x14ac:dyDescent="0.3">
      <c r="A1275" s="242" t="str">
        <f>+IF(PROVEEDORES[[#This Row],[FECHA DE PAGO]]=PROVEEDORES[[#This Row],[FECHA DE FACTURACIÓN]],"DE CONTADO","CRÉDITO")</f>
        <v>CRÉDITO</v>
      </c>
      <c r="B1275" s="38" t="str">
        <f>+IF((PROVEEDORES[[#This Row],[FECHA DE PAGO]]-PROVEEDORES[[#This Row],[FECHA DE FACTURACIÓN]])&gt;PROVEEDORES[[#This Row],[PLAZO Días]],"PAGO VENCIDO")</f>
        <v>PAGO VENCIDO</v>
      </c>
      <c r="C1275" s="20">
        <f>+VLOOKUP(PROVEEDORES[[#This Row],[PROVEEDOR]],TERCEROS_INFO[#All],2,FALSE)</f>
        <v>30</v>
      </c>
      <c r="D1275" s="25">
        <f>+SUMIFS(PROVEEDORES[Total],PROVEEDORES[PROVEEDOR],PROVEEDORES[[#This Row],[PROVEEDOR]],PROVEEDORES[FECHA DE PAGO],"")</f>
        <v>10321993.199999999</v>
      </c>
      <c r="E1275" s="25"/>
      <c r="F1275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75" s="68">
        <v>44988</v>
      </c>
      <c r="H1275" s="231" t="s">
        <v>1068</v>
      </c>
      <c r="I1275" s="68">
        <v>44897</v>
      </c>
      <c r="J1275" s="245">
        <v>28558</v>
      </c>
      <c r="K1275" s="21">
        <v>3705000</v>
      </c>
      <c r="L1275" s="21">
        <v>285000</v>
      </c>
      <c r="M1275" s="22">
        <f>(PROVEEDORES[[#This Row],[SUBTOTAL]]-PROVEEDORES[[#This Row],[descuento sobre subtotal]])*VLOOKUP(PROVEEDORES[[#This Row],[PROVEEDOR]],TERCEROS_INFO[#All],3,FALSE)</f>
        <v>649800</v>
      </c>
      <c r="N1275" s="23"/>
      <c r="O1275" s="22">
        <f>+PROVEEDORES[[#This Row],[Descuento sobre subtotal %]]*(PROVEEDORES[[#This Row],[SUBTOTAL]]-PROVEEDORES[[#This Row],[descuento sobre subtotal]])</f>
        <v>0</v>
      </c>
      <c r="P1275" s="74">
        <f>+IF(PROVEEDORES[[#This Row],[SUBTOTAL]]&lt;PROVEEDORES[[#This Row],[base retencion]],0,PROVEEDORES[[#This Row],[retención aplicada]])</f>
        <v>2.5000000000000001E-2</v>
      </c>
      <c r="Q1275" s="22">
        <f>+PROVEEDORES[[#This Row],[Rete Fuente %]]*(PROVEEDORES[[#This Row],[SUBTOTAL]]-PROVEEDORES[[#This Row],[descuento sobre subtotal]])</f>
        <v>85500</v>
      </c>
      <c r="R1275" s="21">
        <f>+PROVEEDORES[[#This Row],[SUBTOTAL]]+PROVEEDORES[[#This Row],[IVA 19%]]-PROVEEDORES[[#This Row],[descuento sobre subtotal]]-PROVEEDORES[[#This Row],[Descuento sobre subtotal $2]]-PROVEEDORES[[#This Row],[Rete Fuente $]]</f>
        <v>3984300</v>
      </c>
      <c r="S1275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63">
        <f ca="1">IF(PROVEEDORES[[#This Row],[FECHA DE PAGO]]=0,TODAY()-PROVEEDORES[[#This Row],[FECHA DE FACTURACIÓN]]-PROVEEDORES[[#This Row],[PLAZO Días]],0)</f>
        <v>0</v>
      </c>
      <c r="U1275" s="104" t="str">
        <f>+VLOOKUP(PROVEEDORES[[#This Row],[PROVEEDOR]],Terceros!$A:$D,4,FALSE)</f>
        <v>2,5% con base</v>
      </c>
      <c r="V1275" s="105">
        <f>+YEAR(PROVEEDORES[[#This Row],[FECHA DE FACTURACIÓN]])</f>
        <v>2022</v>
      </c>
      <c r="W1275" s="105">
        <f>+MATCH(PROVEEDORES[[#This Row],[año facturado]],Retenciones!$1:$1,0)</f>
        <v>5</v>
      </c>
      <c r="X1275" s="106">
        <f>+VLOOKUP(PROVEEDORES[[#This Row],[ID RETENCION]],Retenciones!$A$1:$O$25,PROVEEDORES[[#This Row],[indicador de columna]],FALSE)</f>
        <v>1026000</v>
      </c>
      <c r="Y1275" s="107">
        <f>+VLOOKUP(PROVEEDORES[[#This Row],[ID RETENCION]],Retenciones!$A$1:$O$25,2,FALSE)</f>
        <v>2.5000000000000001E-2</v>
      </c>
      <c r="Z1275" s="116" t="b">
        <f>OR(COUNTIF(PROVEEDORES[[#This Row],[PROVEEDOR]],"*"&amp;'Palabra no opera'!$A$2&amp;"*"))</f>
        <v>0</v>
      </c>
    </row>
    <row r="1276" spans="1:26" ht="22.35" customHeight="1" x14ac:dyDescent="0.3">
      <c r="A1276" s="252" t="str">
        <f>+IF(PROVEEDORES[[#This Row],[FECHA DE PAGO]]=PROVEEDORES[[#This Row],[FECHA DE FACTURACIÓN]],"DE CONTADO","CRÉDITO")</f>
        <v>CRÉDITO</v>
      </c>
      <c r="B1276" s="38" t="str">
        <f>+IF((PROVEEDORES[[#This Row],[FECHA DE PAGO]]-PROVEEDORES[[#This Row],[FECHA DE FACTURACIÓN]])&gt;PROVEEDORES[[#This Row],[PLAZO Días]],"PAGO VENCIDO")</f>
        <v>PAGO VENCIDO</v>
      </c>
      <c r="C1276" s="20">
        <f>+VLOOKUP(PROVEEDORES[[#This Row],[PROVEEDOR]],TERCEROS_INFO[#All],2,FALSE)</f>
        <v>45</v>
      </c>
      <c r="D1276" s="25">
        <f>+SUMIFS(PROVEEDORES[Total],PROVEEDORES[PROVEEDOR],PROVEEDORES[[#This Row],[PROVEEDOR]],PROVEEDORES[FECHA DE PAGO],"")</f>
        <v>15770594</v>
      </c>
      <c r="E1276" s="25"/>
      <c r="F1276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76" s="68">
        <v>44988</v>
      </c>
      <c r="H1276" s="26" t="s">
        <v>19</v>
      </c>
      <c r="I1276" s="68">
        <v>44917</v>
      </c>
      <c r="J1276" s="35">
        <v>61219</v>
      </c>
      <c r="K1276" s="21">
        <v>2249600</v>
      </c>
      <c r="L1276" s="21"/>
      <c r="M1276" s="22">
        <f>(PROVEEDORES[[#This Row],[SUBTOTAL]]-PROVEEDORES[[#This Row],[descuento sobre subtotal]])*VLOOKUP(PROVEEDORES[[#This Row],[PROVEEDOR]],TERCEROS_INFO[#All],3,FALSE)</f>
        <v>427424</v>
      </c>
      <c r="N1276" s="23"/>
      <c r="O1276" s="22">
        <f>+PROVEEDORES[[#This Row],[Descuento sobre subtotal %]]*(PROVEEDORES[[#This Row],[SUBTOTAL]]-PROVEEDORES[[#This Row],[descuento sobre subtotal]])</f>
        <v>0</v>
      </c>
      <c r="P1276" s="74">
        <f>+IF(PROVEEDORES[[#This Row],[SUBTOTAL]]&lt;PROVEEDORES[[#This Row],[base retencion]],0,PROVEEDORES[[#This Row],[retención aplicada]])</f>
        <v>0</v>
      </c>
      <c r="Q1276" s="22">
        <f>+PROVEEDORES[[#This Row],[Rete Fuente %]]*(PROVEEDORES[[#This Row],[SUBTOTAL]]-PROVEEDORES[[#This Row],[descuento sobre subtotal]])</f>
        <v>0</v>
      </c>
      <c r="R1276" s="21">
        <f>+PROVEEDORES[[#This Row],[SUBTOTAL]]+PROVEEDORES[[#This Row],[IVA 19%]]-PROVEEDORES[[#This Row],[descuento sobre subtotal]]-PROVEEDORES[[#This Row],[Descuento sobre subtotal $2]]-PROVEEDORES[[#This Row],[Rete Fuente $]]</f>
        <v>2677024</v>
      </c>
      <c r="S1276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63">
        <f ca="1">IF(PROVEEDORES[[#This Row],[FECHA DE PAGO]]=0,TODAY()-PROVEEDORES[[#This Row],[FECHA DE FACTURACIÓN]]-PROVEEDORES[[#This Row],[PLAZO Días]],0)</f>
        <v>0</v>
      </c>
      <c r="U1276" s="104">
        <f>+VLOOKUP(PROVEEDORES[[#This Row],[PROVEEDOR]],Terceros!$A:$D,4,FALSE)</f>
        <v>0</v>
      </c>
      <c r="V1276" s="105">
        <f>+YEAR(PROVEEDORES[[#This Row],[FECHA DE FACTURACIÓN]])</f>
        <v>2022</v>
      </c>
      <c r="W1276" s="105">
        <f>+MATCH(PROVEEDORES[[#This Row],[año facturado]],Retenciones!$1:$1,0)</f>
        <v>5</v>
      </c>
      <c r="X1276" s="106">
        <f>+VLOOKUP(PROVEEDORES[[#This Row],[ID RETENCION]],Retenciones!$A$1:$O$25,PROVEEDORES[[#This Row],[indicador de columna]],FALSE)</f>
        <v>0</v>
      </c>
      <c r="Y1276" s="107">
        <f>+VLOOKUP(PROVEEDORES[[#This Row],[ID RETENCION]],Retenciones!$A$1:$O$25,2,FALSE)</f>
        <v>0</v>
      </c>
      <c r="Z1276" s="116" t="b">
        <f>OR(COUNTIF(PROVEEDORES[[#This Row],[PROVEEDOR]],"*"&amp;'Palabra no opera'!$A$2&amp;"*"))</f>
        <v>0</v>
      </c>
    </row>
    <row r="1277" spans="1:26" ht="22.35" customHeight="1" x14ac:dyDescent="0.3">
      <c r="A1277" s="252" t="str">
        <f>+IF(PROVEEDORES[[#This Row],[FECHA DE PAGO]]=PROVEEDORES[[#This Row],[FECHA DE FACTURACIÓN]],"DE CONTADO","CRÉDITO")</f>
        <v>CRÉDITO</v>
      </c>
      <c r="B1277" s="38" t="str">
        <f>+IF((PROVEEDORES[[#This Row],[FECHA DE PAGO]]-PROVEEDORES[[#This Row],[FECHA DE FACTURACIÓN]])&gt;PROVEEDORES[[#This Row],[PLAZO Días]],"PAGO VENCIDO")</f>
        <v>PAGO VENCIDO</v>
      </c>
      <c r="C1277" s="20">
        <f>+VLOOKUP(PROVEEDORES[[#This Row],[PROVEEDOR]],TERCEROS_INFO[#All],2,FALSE)</f>
        <v>45</v>
      </c>
      <c r="D1277" s="25">
        <f>+SUMIFS(PROVEEDORES[Total],PROVEEDORES[PROVEEDOR],PROVEEDORES[[#This Row],[PROVEEDOR]],PROVEEDORES[FECHA DE PAGO],"")</f>
        <v>15770594</v>
      </c>
      <c r="E1277" s="25"/>
      <c r="F127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77" s="68">
        <v>44988</v>
      </c>
      <c r="H1277" s="26" t="s">
        <v>19</v>
      </c>
      <c r="I1277" s="68">
        <v>44921</v>
      </c>
      <c r="J1277" s="35">
        <v>61245</v>
      </c>
      <c r="K1277" s="21">
        <v>851598</v>
      </c>
      <c r="L1277" s="21"/>
      <c r="M1277" s="22">
        <f>(PROVEEDORES[[#This Row],[SUBTOTAL]]-PROVEEDORES[[#This Row],[descuento sobre subtotal]])*VLOOKUP(PROVEEDORES[[#This Row],[PROVEEDOR]],TERCEROS_INFO[#All],3,FALSE)</f>
        <v>161803.62</v>
      </c>
      <c r="N1277" s="23"/>
      <c r="O1277" s="22">
        <f>+PROVEEDORES[[#This Row],[Descuento sobre subtotal %]]*(PROVEEDORES[[#This Row],[SUBTOTAL]]-PROVEEDORES[[#This Row],[descuento sobre subtotal]])</f>
        <v>0</v>
      </c>
      <c r="P1277" s="74">
        <f>+IF(PROVEEDORES[[#This Row],[SUBTOTAL]]&lt;PROVEEDORES[[#This Row],[base retencion]],0,PROVEEDORES[[#This Row],[retención aplicada]])</f>
        <v>0</v>
      </c>
      <c r="Q1277" s="22">
        <f>+PROVEEDORES[[#This Row],[Rete Fuente %]]*(PROVEEDORES[[#This Row],[SUBTOTAL]]-PROVEEDORES[[#This Row],[descuento sobre subtotal]])</f>
        <v>0</v>
      </c>
      <c r="R1277" s="21">
        <f>+PROVEEDORES[[#This Row],[SUBTOTAL]]+PROVEEDORES[[#This Row],[IVA 19%]]-PROVEEDORES[[#This Row],[descuento sobre subtotal]]-PROVEEDORES[[#This Row],[Descuento sobre subtotal $2]]-PROVEEDORES[[#This Row],[Rete Fuente $]]</f>
        <v>1013401.62</v>
      </c>
      <c r="S1277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63">
        <f ca="1">IF(PROVEEDORES[[#This Row],[FECHA DE PAGO]]=0,TODAY()-PROVEEDORES[[#This Row],[FECHA DE FACTURACIÓN]]-PROVEEDORES[[#This Row],[PLAZO Días]],0)</f>
        <v>0</v>
      </c>
      <c r="U1277" s="104">
        <f>+VLOOKUP(PROVEEDORES[[#This Row],[PROVEEDOR]],Terceros!$A:$D,4,FALSE)</f>
        <v>0</v>
      </c>
      <c r="V1277" s="105">
        <f>+YEAR(PROVEEDORES[[#This Row],[FECHA DE FACTURACIÓN]])</f>
        <v>2022</v>
      </c>
      <c r="W1277" s="105">
        <f>+MATCH(PROVEEDORES[[#This Row],[año facturado]],Retenciones!$1:$1,0)</f>
        <v>5</v>
      </c>
      <c r="X1277" s="106">
        <f>+VLOOKUP(PROVEEDORES[[#This Row],[ID RETENCION]],Retenciones!$A$1:$O$25,PROVEEDORES[[#This Row],[indicador de columna]],FALSE)</f>
        <v>0</v>
      </c>
      <c r="Y1277" s="107">
        <f>+VLOOKUP(PROVEEDORES[[#This Row],[ID RETENCION]],Retenciones!$A$1:$O$25,2,FALSE)</f>
        <v>0</v>
      </c>
      <c r="Z1277" s="116" t="b">
        <f>OR(COUNTIF(PROVEEDORES[[#This Row],[PROVEEDOR]],"*"&amp;'Palabra no opera'!$A$2&amp;"*"))</f>
        <v>0</v>
      </c>
    </row>
    <row r="1278" spans="1:26" ht="22.35" customHeight="1" x14ac:dyDescent="0.3">
      <c r="A1278" s="265" t="str">
        <f>+IF(PROVEEDORES[[#This Row],[FECHA DE PAGO]]=PROVEEDORES[[#This Row],[FECHA DE FACTURACIÓN]],"DE CONTADO","CRÉDITO")</f>
        <v>CRÉDITO</v>
      </c>
      <c r="B1278" s="38" t="b">
        <f>+IF((PROVEEDORES[[#This Row],[FECHA DE PAGO]]-PROVEEDORES[[#This Row],[FECHA DE FACTURACIÓN]])&gt;PROVEEDORES[[#This Row],[PLAZO Días]],"PAGO VENCIDO")</f>
        <v>0</v>
      </c>
      <c r="C1278" s="20">
        <f>+VLOOKUP(PROVEEDORES[[#This Row],[PROVEEDOR]],TERCEROS_INFO[#All],2,FALSE)</f>
        <v>45</v>
      </c>
      <c r="D1278" s="25">
        <f>+SUMIFS(PROVEEDORES[Total],PROVEEDORES[PROVEEDOR],PROVEEDORES[[#This Row],[PROVEEDOR]],PROVEEDORES[FECHA DE PAGO],"")</f>
        <v>15770594</v>
      </c>
      <c r="E1278" s="25"/>
      <c r="F127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78" s="68">
        <v>44988</v>
      </c>
      <c r="H1278" s="26" t="s">
        <v>19</v>
      </c>
      <c r="I1278" s="68">
        <v>44960</v>
      </c>
      <c r="J1278" s="35" t="s">
        <v>1430</v>
      </c>
      <c r="K1278" s="21">
        <v>8219280</v>
      </c>
      <c r="L1278" s="21"/>
      <c r="M1278" s="22">
        <f>(PROVEEDORES[[#This Row],[SUBTOTAL]]-PROVEEDORES[[#This Row],[descuento sobre subtotal]])*VLOOKUP(PROVEEDORES[[#This Row],[PROVEEDOR]],TERCEROS_INFO[#All],3,FALSE)</f>
        <v>1561663.2</v>
      </c>
      <c r="N1278" s="23"/>
      <c r="O1278" s="22">
        <f>+PROVEEDORES[[#This Row],[Descuento sobre subtotal %]]*(PROVEEDORES[[#This Row],[SUBTOTAL]]-PROVEEDORES[[#This Row],[descuento sobre subtotal]])</f>
        <v>0</v>
      </c>
      <c r="P1278" s="74">
        <f>+IF(PROVEEDORES[[#This Row],[SUBTOTAL]]&lt;PROVEEDORES[[#This Row],[base retencion]],0,PROVEEDORES[[#This Row],[retención aplicada]])</f>
        <v>0</v>
      </c>
      <c r="Q1278" s="22">
        <f>+PROVEEDORES[[#This Row],[Rete Fuente %]]*(PROVEEDORES[[#This Row],[SUBTOTAL]]-PROVEEDORES[[#This Row],[descuento sobre subtotal]])</f>
        <v>0</v>
      </c>
      <c r="R1278" s="21">
        <f>+PROVEEDORES[[#This Row],[SUBTOTAL]]+PROVEEDORES[[#This Row],[IVA 19%]]-PROVEEDORES[[#This Row],[descuento sobre subtotal]]-PROVEEDORES[[#This Row],[Descuento sobre subtotal $2]]-PROVEEDORES[[#This Row],[Rete Fuente $]]</f>
        <v>9780943.1999999993</v>
      </c>
      <c r="S1278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63">
        <f ca="1">IF(PROVEEDORES[[#This Row],[FECHA DE PAGO]]=0,TODAY()-PROVEEDORES[[#This Row],[FECHA DE FACTURACIÓN]]-PROVEEDORES[[#This Row],[PLAZO Días]],0)</f>
        <v>0</v>
      </c>
      <c r="U1278" s="104">
        <f>+VLOOKUP(PROVEEDORES[[#This Row],[PROVEEDOR]],Terceros!$A:$D,4,FALSE)</f>
        <v>0</v>
      </c>
      <c r="V1278" s="105">
        <f>+YEAR(PROVEEDORES[[#This Row],[FECHA DE FACTURACIÓN]])</f>
        <v>2023</v>
      </c>
      <c r="W1278" s="105">
        <f>+MATCH(PROVEEDORES[[#This Row],[año facturado]],Retenciones!$1:$1,0)</f>
        <v>6</v>
      </c>
      <c r="X1278" s="106">
        <f>+VLOOKUP(PROVEEDORES[[#This Row],[ID RETENCION]],Retenciones!$A$1:$O$25,PROVEEDORES[[#This Row],[indicador de columna]],FALSE)</f>
        <v>0</v>
      </c>
      <c r="Y1278" s="107">
        <f>+VLOOKUP(PROVEEDORES[[#This Row],[ID RETENCION]],Retenciones!$A$1:$O$25,2,FALSE)</f>
        <v>0</v>
      </c>
      <c r="Z1278" s="116" t="b">
        <f>OR(COUNTIF(PROVEEDORES[[#This Row],[PROVEEDOR]],"*"&amp;'Palabra no opera'!$A$2&amp;"*"))</f>
        <v>0</v>
      </c>
    </row>
    <row r="1279" spans="1:26" ht="22.35" customHeight="1" x14ac:dyDescent="0.3">
      <c r="A1279" s="67" t="str">
        <f>+IF(PROVEEDORES[[#This Row],[FECHA DE PAGO]]=PROVEEDORES[[#This Row],[FECHA DE FACTURACIÓN]],"DE CONTADO","CRÉDITO")</f>
        <v>CRÉDITO</v>
      </c>
      <c r="B1279" s="38" t="str">
        <f>+IF((PROVEEDORES[[#This Row],[FECHA DE PAGO]]-PROVEEDORES[[#This Row],[FECHA DE FACTURACIÓN]])&gt;PROVEEDORES[[#This Row],[PLAZO Días]],"PAGO VENCIDO")</f>
        <v>PAGO VENCIDO</v>
      </c>
      <c r="C1279" s="20">
        <f>+VLOOKUP(PROVEEDORES[[#This Row],[PROVEEDOR]],TERCEROS_INFO[#All],2,FALSE)</f>
        <v>30</v>
      </c>
      <c r="D1279" s="25">
        <f>+SUMIFS(PROVEEDORES[Total],PROVEEDORES[PROVEEDOR],PROVEEDORES[[#This Row],[PROVEEDOR]],PROVEEDORES[FECHA DE PAGO],"")</f>
        <v>0</v>
      </c>
      <c r="E1279" s="25"/>
      <c r="F1279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279" s="68">
        <v>44988</v>
      </c>
      <c r="H1279" s="26" t="s">
        <v>26</v>
      </c>
      <c r="I1279" s="68">
        <v>44951</v>
      </c>
      <c r="J1279" s="35" t="s">
        <v>1419</v>
      </c>
      <c r="K1279" s="21">
        <v>3088000</v>
      </c>
      <c r="L1279" s="21"/>
      <c r="M1279" s="22">
        <f>(PROVEEDORES[[#This Row],[SUBTOTAL]]-PROVEEDORES[[#This Row],[descuento sobre subtotal]])*VLOOKUP(PROVEEDORES[[#This Row],[PROVEEDOR]],TERCEROS_INFO[#All],3,FALSE)</f>
        <v>586720</v>
      </c>
      <c r="N1279" s="23"/>
      <c r="O1279" s="22">
        <f>+PROVEEDORES[[#This Row],[Descuento sobre subtotal %]]*(PROVEEDORES[[#This Row],[SUBTOTAL]]-PROVEEDORES[[#This Row],[descuento sobre subtotal]])</f>
        <v>0</v>
      </c>
      <c r="P1279" s="74">
        <f>+IF(PROVEEDORES[[#This Row],[SUBTOTAL]]&lt;PROVEEDORES[[#This Row],[base retencion]],0,PROVEEDORES[[#This Row],[retención aplicada]])</f>
        <v>2.5000000000000001E-2</v>
      </c>
      <c r="Q1279" s="22">
        <f>+PROVEEDORES[[#This Row],[Rete Fuente %]]*(PROVEEDORES[[#This Row],[SUBTOTAL]]-PROVEEDORES[[#This Row],[descuento sobre subtotal]])</f>
        <v>77200</v>
      </c>
      <c r="R1279" s="21">
        <f>+PROVEEDORES[[#This Row],[SUBTOTAL]]+PROVEEDORES[[#This Row],[IVA 19%]]-PROVEEDORES[[#This Row],[descuento sobre subtotal]]-PROVEEDORES[[#This Row],[Descuento sobre subtotal $2]]-PROVEEDORES[[#This Row],[Rete Fuente $]]</f>
        <v>3597520</v>
      </c>
      <c r="S12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63">
        <f ca="1">IF(PROVEEDORES[[#This Row],[FECHA DE PAGO]]=0,TODAY()-PROVEEDORES[[#This Row],[FECHA DE FACTURACIÓN]]-PROVEEDORES[[#This Row],[PLAZO Días]],0)</f>
        <v>0</v>
      </c>
      <c r="U1279" s="104" t="str">
        <f>+VLOOKUP(PROVEEDORES[[#This Row],[PROVEEDOR]],Terceros!$A:$D,4,FALSE)</f>
        <v>2,5% con base</v>
      </c>
      <c r="V1279" s="105">
        <f>+YEAR(PROVEEDORES[[#This Row],[FECHA DE FACTURACIÓN]])</f>
        <v>2023</v>
      </c>
      <c r="W1279" s="105">
        <f>+MATCH(PROVEEDORES[[#This Row],[año facturado]],Retenciones!$1:$1,0)</f>
        <v>6</v>
      </c>
      <c r="X1279" s="106">
        <f>+VLOOKUP(PROVEEDORES[[#This Row],[ID RETENCION]],Retenciones!$A$1:$O$25,PROVEEDORES[[#This Row],[indicador de columna]],FALSE)</f>
        <v>1145000</v>
      </c>
      <c r="Y1279" s="107">
        <f>+VLOOKUP(PROVEEDORES[[#This Row],[ID RETENCION]],Retenciones!$A$1:$O$25,2,FALSE)</f>
        <v>2.5000000000000001E-2</v>
      </c>
      <c r="Z1279" s="116" t="b">
        <f>OR(COUNTIF(PROVEEDORES[[#This Row],[PROVEEDOR]],"*"&amp;'Palabra no opera'!$A$2&amp;"*"))</f>
        <v>0</v>
      </c>
    </row>
    <row r="1280" spans="1:26" ht="22.35" customHeight="1" x14ac:dyDescent="0.3">
      <c r="A1280" s="249" t="str">
        <f>+IF(PROVEEDORES[[#This Row],[FECHA DE PAGO]]=PROVEEDORES[[#This Row],[FECHA DE FACTURACIÓN]],"DE CONTADO","CRÉDITO")</f>
        <v>CRÉDITO</v>
      </c>
      <c r="B1280" s="38" t="str">
        <f>+IF((PROVEEDORES[[#This Row],[FECHA DE PAGO]]-PROVEEDORES[[#This Row],[FECHA DE FACTURACIÓN]])&gt;PROVEEDORES[[#This Row],[PLAZO Días]],"PAGO VENCIDO")</f>
        <v>PAGO VENCIDO</v>
      </c>
      <c r="C1280" s="20">
        <f>+VLOOKUP(PROVEEDORES[[#This Row],[PROVEEDOR]],TERCEROS_INFO[#All],2,FALSE)</f>
        <v>30</v>
      </c>
      <c r="D1280" s="25">
        <f>+SUMIFS(PROVEEDORES[Total],PROVEEDORES[PROVEEDOR],PROVEEDORES[[#This Row],[PROVEEDOR]],PROVEEDORES[FECHA DE PAGO],"")</f>
        <v>5537221.7000000002</v>
      </c>
      <c r="E1280" s="25"/>
      <c r="F1280" s="56" t="s">
        <v>1363</v>
      </c>
      <c r="G1280" s="68">
        <v>44988</v>
      </c>
      <c r="H1280" s="26" t="s">
        <v>293</v>
      </c>
      <c r="I1280" s="68">
        <v>44909</v>
      </c>
      <c r="J1280" s="35" t="s">
        <v>1353</v>
      </c>
      <c r="K1280" s="21">
        <v>2791822</v>
      </c>
      <c r="L1280" s="21"/>
      <c r="M1280" s="22">
        <f>(PROVEEDORES[[#This Row],[SUBTOTAL]]-PROVEEDORES[[#This Row],[descuento sobre subtotal]])*VLOOKUP(PROVEEDORES[[#This Row],[PROVEEDOR]],TERCEROS_INFO[#All],3,FALSE)</f>
        <v>530446.18000000005</v>
      </c>
      <c r="N1280" s="23"/>
      <c r="O1280" s="22">
        <f>+PROVEEDORES[[#This Row],[Descuento sobre subtotal %]]*(PROVEEDORES[[#This Row],[SUBTOTAL]]-PROVEEDORES[[#This Row],[descuento sobre subtotal]])</f>
        <v>0</v>
      </c>
      <c r="P1280" s="74">
        <f>+IF(PROVEEDORES[[#This Row],[SUBTOTAL]]&lt;PROVEEDORES[[#This Row],[base retencion]],0,PROVEEDORES[[#This Row],[retención aplicada]])</f>
        <v>2.5000000000000001E-2</v>
      </c>
      <c r="Q1280" s="22">
        <f>+PROVEEDORES[[#This Row],[Rete Fuente %]]*(PROVEEDORES[[#This Row],[SUBTOTAL]]-PROVEEDORES[[#This Row],[descuento sobre subtotal]])</f>
        <v>69795.55</v>
      </c>
      <c r="R1280" s="21">
        <f>+PROVEEDORES[[#This Row],[SUBTOTAL]]+PROVEEDORES[[#This Row],[IVA 19%]]-PROVEEDORES[[#This Row],[descuento sobre subtotal]]-PROVEEDORES[[#This Row],[Descuento sobre subtotal $2]]-PROVEEDORES[[#This Row],[Rete Fuente $]]</f>
        <v>3252472.6300000004</v>
      </c>
      <c r="S1280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63">
        <f ca="1">IF(PROVEEDORES[[#This Row],[FECHA DE PAGO]]=0,TODAY()-PROVEEDORES[[#This Row],[FECHA DE FACTURACIÓN]]-PROVEEDORES[[#This Row],[PLAZO Días]],0)</f>
        <v>0</v>
      </c>
      <c r="U1280" s="104" t="str">
        <f>+VLOOKUP(PROVEEDORES[[#This Row],[PROVEEDOR]],Terceros!$A:$D,4,FALSE)</f>
        <v>2,5% con base</v>
      </c>
      <c r="V1280" s="105">
        <f>+YEAR(PROVEEDORES[[#This Row],[FECHA DE FACTURACIÓN]])</f>
        <v>2022</v>
      </c>
      <c r="W1280" s="105">
        <f>+MATCH(PROVEEDORES[[#This Row],[año facturado]],Retenciones!$1:$1,0)</f>
        <v>5</v>
      </c>
      <c r="X1280" s="106">
        <f>+VLOOKUP(PROVEEDORES[[#This Row],[ID RETENCION]],Retenciones!$A$1:$O$25,PROVEEDORES[[#This Row],[indicador de columna]],FALSE)</f>
        <v>1026000</v>
      </c>
      <c r="Y1280" s="107">
        <f>+VLOOKUP(PROVEEDORES[[#This Row],[ID RETENCION]],Retenciones!$A$1:$O$25,2,FALSE)</f>
        <v>2.5000000000000001E-2</v>
      </c>
      <c r="Z1280" s="116" t="b">
        <f>OR(COUNTIF(PROVEEDORES[[#This Row],[PROVEEDOR]],"*"&amp;'Palabra no opera'!$A$2&amp;"*"))</f>
        <v>0</v>
      </c>
    </row>
    <row r="1281" spans="1:26" ht="22.35" customHeight="1" x14ac:dyDescent="0.3">
      <c r="A1281" s="67" t="str">
        <f>+IF(PROVEEDORES[[#This Row],[FECHA DE PAGO]]=PROVEEDORES[[#This Row],[FECHA DE FACTURACIÓN]],"DE CONTADO","CRÉDITO")</f>
        <v>CRÉDITO</v>
      </c>
      <c r="B1281" s="38" t="str">
        <f>+IF((PROVEEDORES[[#This Row],[FECHA DE PAGO]]-PROVEEDORES[[#This Row],[FECHA DE FACTURACIÓN]])&gt;PROVEEDORES[[#This Row],[PLAZO Días]],"PAGO VENCIDO")</f>
        <v>PAGO VENCIDO</v>
      </c>
      <c r="C1281" s="20">
        <f>+VLOOKUP(PROVEEDORES[[#This Row],[PROVEEDOR]],TERCEROS_INFO[#All],2,FALSE)</f>
        <v>30</v>
      </c>
      <c r="D1281" s="25">
        <f>+SUMIFS(PROVEEDORES[Total],PROVEEDORES[PROVEEDOR],PROVEEDORES[[#This Row],[PROVEEDOR]],PROVEEDORES[FECHA DE PAGO],"")</f>
        <v>5537221.7000000002</v>
      </c>
      <c r="E1281" s="25"/>
      <c r="F1281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81" s="68">
        <v>44988</v>
      </c>
      <c r="H1281" s="26" t="s">
        <v>293</v>
      </c>
      <c r="I1281" s="68">
        <v>44949</v>
      </c>
      <c r="J1281" s="35" t="s">
        <v>1415</v>
      </c>
      <c r="K1281" s="21">
        <v>732750</v>
      </c>
      <c r="L1281" s="21"/>
      <c r="M1281" s="22">
        <f>(PROVEEDORES[[#This Row],[SUBTOTAL]]-PROVEEDORES[[#This Row],[descuento sobre subtotal]])*VLOOKUP(PROVEEDORES[[#This Row],[PROVEEDOR]],TERCEROS_INFO[#All],3,FALSE)</f>
        <v>139222.5</v>
      </c>
      <c r="N1281" s="23"/>
      <c r="O1281" s="22">
        <f>+PROVEEDORES[[#This Row],[Descuento sobre subtotal %]]*(PROVEEDORES[[#This Row],[SUBTOTAL]]-PROVEEDORES[[#This Row],[descuento sobre subtotal]])</f>
        <v>0</v>
      </c>
      <c r="P1281" s="74">
        <f>+IF(PROVEEDORES[[#This Row],[SUBTOTAL]]&lt;PROVEEDORES[[#This Row],[base retencion]],0,PROVEEDORES[[#This Row],[retención aplicada]])</f>
        <v>0</v>
      </c>
      <c r="Q1281" s="22">
        <f>+PROVEEDORES[[#This Row],[Rete Fuente %]]*(PROVEEDORES[[#This Row],[SUBTOTAL]]-PROVEEDORES[[#This Row],[descuento sobre subtotal]])</f>
        <v>0</v>
      </c>
      <c r="R1281" s="21">
        <f>+PROVEEDORES[[#This Row],[SUBTOTAL]]+PROVEEDORES[[#This Row],[IVA 19%]]-PROVEEDORES[[#This Row],[descuento sobre subtotal]]-PROVEEDORES[[#This Row],[Descuento sobre subtotal $2]]-PROVEEDORES[[#This Row],[Rete Fuente $]]</f>
        <v>871972.5</v>
      </c>
      <c r="S12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63">
        <f ca="1">IF(PROVEEDORES[[#This Row],[FECHA DE PAGO]]=0,TODAY()-PROVEEDORES[[#This Row],[FECHA DE FACTURACIÓN]]-PROVEEDORES[[#This Row],[PLAZO Días]],0)</f>
        <v>0</v>
      </c>
      <c r="U1281" s="104" t="str">
        <f>+VLOOKUP(PROVEEDORES[[#This Row],[PROVEEDOR]],Terceros!$A:$D,4,FALSE)</f>
        <v>2,5% con base</v>
      </c>
      <c r="V1281" s="105">
        <f>+YEAR(PROVEEDORES[[#This Row],[FECHA DE FACTURACIÓN]])</f>
        <v>2023</v>
      </c>
      <c r="W1281" s="105">
        <f>+MATCH(PROVEEDORES[[#This Row],[año facturado]],Retenciones!$1:$1,0)</f>
        <v>6</v>
      </c>
      <c r="X1281" s="106">
        <f>+VLOOKUP(PROVEEDORES[[#This Row],[ID RETENCION]],Retenciones!$A$1:$O$25,PROVEEDORES[[#This Row],[indicador de columna]],FALSE)</f>
        <v>1145000</v>
      </c>
      <c r="Y1281" s="107">
        <f>+VLOOKUP(PROVEEDORES[[#This Row],[ID RETENCION]],Retenciones!$A$1:$O$25,2,FALSE)</f>
        <v>2.5000000000000001E-2</v>
      </c>
      <c r="Z1281" s="116" t="b">
        <f>OR(COUNTIF(PROVEEDORES[[#This Row],[PROVEEDOR]],"*"&amp;'Palabra no opera'!$A$2&amp;"*"))</f>
        <v>0</v>
      </c>
    </row>
    <row r="1282" spans="1:26" ht="22.35" customHeight="1" x14ac:dyDescent="0.3">
      <c r="A1282" s="67" t="str">
        <f>+IF(PROVEEDORES[[#This Row],[FECHA DE PAGO]]=PROVEEDORES[[#This Row],[FECHA DE FACTURACIÓN]],"DE CONTADO","CRÉDITO")</f>
        <v>CRÉDITO</v>
      </c>
      <c r="B1282" s="38" t="str">
        <f>+IF((PROVEEDORES[[#This Row],[FECHA DE PAGO]]-PROVEEDORES[[#This Row],[FECHA DE FACTURACIÓN]])&gt;PROVEEDORES[[#This Row],[PLAZO Días]],"PAGO VENCIDO")</f>
        <v>PAGO VENCIDO</v>
      </c>
      <c r="C1282" s="20">
        <f>+VLOOKUP(PROVEEDORES[[#This Row],[PROVEEDOR]],TERCEROS_INFO[#All],2,FALSE)</f>
        <v>30</v>
      </c>
      <c r="D1282" s="25">
        <f>+SUMIFS(PROVEEDORES[Total],PROVEEDORES[PROVEEDOR],PROVEEDORES[[#This Row],[PROVEEDOR]],PROVEEDORES[FECHA DE PAGO],"")</f>
        <v>1034000.52</v>
      </c>
      <c r="E1282" s="25"/>
      <c r="F128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82" s="68">
        <v>44988</v>
      </c>
      <c r="H1282" s="26" t="s">
        <v>168</v>
      </c>
      <c r="I1282" s="68">
        <v>44951</v>
      </c>
      <c r="J1282" s="35" t="s">
        <v>1416</v>
      </c>
      <c r="K1282" s="21">
        <v>1216808</v>
      </c>
      <c r="L1282" s="21"/>
      <c r="M1282" s="22">
        <f>(PROVEEDORES[[#This Row],[SUBTOTAL]]-PROVEEDORES[[#This Row],[descuento sobre subtotal]])*VLOOKUP(PROVEEDORES[[#This Row],[PROVEEDOR]],TERCEROS_INFO[#All],3,FALSE)</f>
        <v>231193.52</v>
      </c>
      <c r="N1282" s="23"/>
      <c r="O1282" s="22">
        <f>+PROVEEDORES[[#This Row],[Descuento sobre subtotal %]]*(PROVEEDORES[[#This Row],[SUBTOTAL]]-PROVEEDORES[[#This Row],[descuento sobre subtotal]])</f>
        <v>0</v>
      </c>
      <c r="P1282" s="74">
        <f>+IF(PROVEEDORES[[#This Row],[SUBTOTAL]]&lt;PROVEEDORES[[#This Row],[base retencion]],0,PROVEEDORES[[#This Row],[retención aplicada]])</f>
        <v>2.5000000000000001E-2</v>
      </c>
      <c r="Q1282" s="22">
        <f>+PROVEEDORES[[#This Row],[Rete Fuente %]]*(PROVEEDORES[[#This Row],[SUBTOTAL]]-PROVEEDORES[[#This Row],[descuento sobre subtotal]])</f>
        <v>30420.2</v>
      </c>
      <c r="R1282" s="21">
        <f>+PROVEEDORES[[#This Row],[SUBTOTAL]]+PROVEEDORES[[#This Row],[IVA 19%]]-PROVEEDORES[[#This Row],[descuento sobre subtotal]]-PROVEEDORES[[#This Row],[Descuento sobre subtotal $2]]-PROVEEDORES[[#This Row],[Rete Fuente $]]</f>
        <v>1417581.32</v>
      </c>
      <c r="S12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63">
        <f ca="1">IF(PROVEEDORES[[#This Row],[FECHA DE PAGO]]=0,TODAY()-PROVEEDORES[[#This Row],[FECHA DE FACTURACIÓN]]-PROVEEDORES[[#This Row],[PLAZO Días]],0)</f>
        <v>0</v>
      </c>
      <c r="U1282" s="104" t="str">
        <f>+VLOOKUP(PROVEEDORES[[#This Row],[PROVEEDOR]],Terceros!$A:$D,4,FALSE)</f>
        <v>2,5% con base</v>
      </c>
      <c r="V1282" s="105">
        <f>+YEAR(PROVEEDORES[[#This Row],[FECHA DE FACTURACIÓN]])</f>
        <v>2023</v>
      </c>
      <c r="W1282" s="105">
        <f>+MATCH(PROVEEDORES[[#This Row],[año facturado]],Retenciones!$1:$1,0)</f>
        <v>6</v>
      </c>
      <c r="X1282" s="106">
        <f>+VLOOKUP(PROVEEDORES[[#This Row],[ID RETENCION]],Retenciones!$A$1:$O$25,PROVEEDORES[[#This Row],[indicador de columna]],FALSE)</f>
        <v>1145000</v>
      </c>
      <c r="Y1282" s="107">
        <f>+VLOOKUP(PROVEEDORES[[#This Row],[ID RETENCION]],Retenciones!$A$1:$O$25,2,FALSE)</f>
        <v>2.5000000000000001E-2</v>
      </c>
      <c r="Z1282" s="116" t="b">
        <f>OR(COUNTIF(PROVEEDORES[[#This Row],[PROVEEDOR]],"*"&amp;'Palabra no opera'!$A$2&amp;"*"))</f>
        <v>0</v>
      </c>
    </row>
    <row r="1283" spans="1:26" ht="22.35" customHeight="1" x14ac:dyDescent="0.3">
      <c r="A1283" s="67" t="str">
        <f>+IF(PROVEEDORES[[#This Row],[FECHA DE PAGO]]=PROVEEDORES[[#This Row],[FECHA DE FACTURACIÓN]],"DE CONTADO","CRÉDITO")</f>
        <v>CRÉDITO</v>
      </c>
      <c r="B1283" s="38" t="str">
        <f>+IF((PROVEEDORES[[#This Row],[FECHA DE PAGO]]-PROVEEDORES[[#This Row],[FECHA DE FACTURACIÓN]])&gt;PROVEEDORES[[#This Row],[PLAZO Días]],"PAGO VENCIDO")</f>
        <v>PAGO VENCIDO</v>
      </c>
      <c r="C1283" s="20">
        <f>+VLOOKUP(PROVEEDORES[[#This Row],[PROVEEDOR]],TERCEROS_INFO[#All],2,FALSE)</f>
        <v>30</v>
      </c>
      <c r="D1283" s="25">
        <f>+SUMIFS(PROVEEDORES[Total],PROVEEDORES[PROVEEDOR],PROVEEDORES[[#This Row],[PROVEEDOR]],PROVEEDORES[FECHA DE PAGO],"")</f>
        <v>1034000.52</v>
      </c>
      <c r="E1283" s="25"/>
      <c r="F128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83" s="68">
        <v>44988</v>
      </c>
      <c r="H1283" s="26" t="s">
        <v>168</v>
      </c>
      <c r="I1283" s="68">
        <v>44957</v>
      </c>
      <c r="J1283" s="35" t="s">
        <v>1420</v>
      </c>
      <c r="K1283" s="21">
        <v>262185</v>
      </c>
      <c r="L1283" s="21"/>
      <c r="M1283" s="22">
        <f>(PROVEEDORES[[#This Row],[SUBTOTAL]]-PROVEEDORES[[#This Row],[descuento sobre subtotal]])*VLOOKUP(PROVEEDORES[[#This Row],[PROVEEDOR]],TERCEROS_INFO[#All],3,FALSE)</f>
        <v>49815.15</v>
      </c>
      <c r="N1283" s="23"/>
      <c r="O1283" s="22">
        <f>+PROVEEDORES[[#This Row],[Descuento sobre subtotal %]]*(PROVEEDORES[[#This Row],[SUBTOTAL]]-PROVEEDORES[[#This Row],[descuento sobre subtotal]])</f>
        <v>0</v>
      </c>
      <c r="P1283" s="74">
        <f>+IF(PROVEEDORES[[#This Row],[SUBTOTAL]]&lt;PROVEEDORES[[#This Row],[base retencion]],0,PROVEEDORES[[#This Row],[retención aplicada]])</f>
        <v>0</v>
      </c>
      <c r="Q1283" s="22">
        <f>+PROVEEDORES[[#This Row],[Rete Fuente %]]*(PROVEEDORES[[#This Row],[SUBTOTAL]]-PROVEEDORES[[#This Row],[descuento sobre subtotal]])</f>
        <v>0</v>
      </c>
      <c r="R1283" s="21">
        <f>+PROVEEDORES[[#This Row],[SUBTOTAL]]+PROVEEDORES[[#This Row],[IVA 19%]]-PROVEEDORES[[#This Row],[descuento sobre subtotal]]-PROVEEDORES[[#This Row],[Descuento sobre subtotal $2]]-PROVEEDORES[[#This Row],[Rete Fuente $]]</f>
        <v>312000.15000000002</v>
      </c>
      <c r="S12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63">
        <f ca="1">IF(PROVEEDORES[[#This Row],[FECHA DE PAGO]]=0,TODAY()-PROVEEDORES[[#This Row],[FECHA DE FACTURACIÓN]]-PROVEEDORES[[#This Row],[PLAZO Días]],0)</f>
        <v>0</v>
      </c>
      <c r="U1283" s="104" t="str">
        <f>+VLOOKUP(PROVEEDORES[[#This Row],[PROVEEDOR]],Terceros!$A:$D,4,FALSE)</f>
        <v>2,5% con base</v>
      </c>
      <c r="V1283" s="105">
        <f>+YEAR(PROVEEDORES[[#This Row],[FECHA DE FACTURACIÓN]])</f>
        <v>2023</v>
      </c>
      <c r="W1283" s="105">
        <f>+MATCH(PROVEEDORES[[#This Row],[año facturado]],Retenciones!$1:$1,0)</f>
        <v>6</v>
      </c>
      <c r="X1283" s="106">
        <f>+VLOOKUP(PROVEEDORES[[#This Row],[ID RETENCION]],Retenciones!$A$1:$O$25,PROVEEDORES[[#This Row],[indicador de columna]],FALSE)</f>
        <v>1145000</v>
      </c>
      <c r="Y1283" s="107">
        <f>+VLOOKUP(PROVEEDORES[[#This Row],[ID RETENCION]],Retenciones!$A$1:$O$25,2,FALSE)</f>
        <v>2.5000000000000001E-2</v>
      </c>
      <c r="Z1283" s="116" t="b">
        <f>OR(COUNTIF(PROVEEDORES[[#This Row],[PROVEEDOR]],"*"&amp;'Palabra no opera'!$A$2&amp;"*"))</f>
        <v>0</v>
      </c>
    </row>
    <row r="1284" spans="1:26" ht="22.35" customHeight="1" x14ac:dyDescent="0.3">
      <c r="A1284" s="232" t="str">
        <f>+IF(PROVEEDORES[[#This Row],[FECHA DE PAGO]]=PROVEEDORES[[#This Row],[FECHA DE FACTURACIÓN]],"DE CONTADO","CRÉDITO")</f>
        <v>CRÉDITO</v>
      </c>
      <c r="B1284" s="38" t="str">
        <f>+IF((PROVEEDORES[[#This Row],[FECHA DE PAGO]]-PROVEEDORES[[#This Row],[FECHA DE FACTURACIÓN]])&gt;PROVEEDORES[[#This Row],[PLAZO Días]],"PAGO VENCIDO")</f>
        <v>PAGO VENCIDO</v>
      </c>
      <c r="C1284" s="20">
        <f>+VLOOKUP(PROVEEDORES[[#This Row],[PROVEEDOR]],TERCEROS_INFO[#All],2,FALSE)</f>
        <v>30</v>
      </c>
      <c r="D1284" s="25">
        <f>+SUMIFS(PROVEEDORES[Total],PROVEEDORES[PROVEEDOR],PROVEEDORES[[#This Row],[PROVEEDOR]],PROVEEDORES[FECHA DE PAGO],"")</f>
        <v>22881826.27</v>
      </c>
      <c r="E1284" s="25"/>
      <c r="F1284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284" s="68">
        <v>44988</v>
      </c>
      <c r="H1284" s="231" t="s">
        <v>9</v>
      </c>
      <c r="I1284" s="68">
        <v>44866</v>
      </c>
      <c r="J1284" s="245" t="s">
        <v>1271</v>
      </c>
      <c r="K1284" s="21">
        <v>2358003</v>
      </c>
      <c r="L1284" s="21"/>
      <c r="M1284" s="22">
        <f>(PROVEEDORES[[#This Row],[SUBTOTAL]]-PROVEEDORES[[#This Row],[descuento sobre subtotal]])*VLOOKUP(PROVEEDORES[[#This Row],[PROVEEDOR]],TERCEROS_INFO[#All],3,FALSE)</f>
        <v>448020.57</v>
      </c>
      <c r="N1284" s="23"/>
      <c r="O1284" s="22">
        <f>+PROVEEDORES[[#This Row],[Descuento sobre subtotal %]]*(PROVEEDORES[[#This Row],[SUBTOTAL]]-PROVEEDORES[[#This Row],[descuento sobre subtotal]])</f>
        <v>0</v>
      </c>
      <c r="P1284" s="74">
        <f>+IF(PROVEEDORES[[#This Row],[SUBTOTAL]]&lt;PROVEEDORES[[#This Row],[base retencion]],0,PROVEEDORES[[#This Row],[retención aplicada]])</f>
        <v>2.5000000000000001E-2</v>
      </c>
      <c r="Q1284" s="22">
        <f>+PROVEEDORES[[#This Row],[Rete Fuente %]]*(PROVEEDORES[[#This Row],[SUBTOTAL]]-PROVEEDORES[[#This Row],[descuento sobre subtotal]])</f>
        <v>58950.075000000004</v>
      </c>
      <c r="R1284" s="21">
        <f>+PROVEEDORES[[#This Row],[SUBTOTAL]]+PROVEEDORES[[#This Row],[IVA 19%]]-PROVEEDORES[[#This Row],[descuento sobre subtotal]]-PROVEEDORES[[#This Row],[Descuento sobre subtotal $2]]-PROVEEDORES[[#This Row],[Rete Fuente $]]</f>
        <v>2747073.4949999996</v>
      </c>
      <c r="S1284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63">
        <f ca="1">IF(PROVEEDORES[[#This Row],[FECHA DE PAGO]]=0,TODAY()-PROVEEDORES[[#This Row],[FECHA DE FACTURACIÓN]]-PROVEEDORES[[#This Row],[PLAZO Días]],0)</f>
        <v>0</v>
      </c>
      <c r="U1284" s="104" t="str">
        <f>+VLOOKUP(PROVEEDORES[[#This Row],[PROVEEDOR]],Terceros!$A:$D,4,FALSE)</f>
        <v>2,5% con base</v>
      </c>
      <c r="V1284" s="105">
        <f>+YEAR(PROVEEDORES[[#This Row],[FECHA DE FACTURACIÓN]])</f>
        <v>2022</v>
      </c>
      <c r="W1284" s="105">
        <f>+MATCH(PROVEEDORES[[#This Row],[año facturado]],Retenciones!$1:$1,0)</f>
        <v>5</v>
      </c>
      <c r="X1284" s="106">
        <f>+VLOOKUP(PROVEEDORES[[#This Row],[ID RETENCION]],Retenciones!$A$1:$O$25,PROVEEDORES[[#This Row],[indicador de columna]],FALSE)</f>
        <v>1026000</v>
      </c>
      <c r="Y1284" s="107">
        <f>+VLOOKUP(PROVEEDORES[[#This Row],[ID RETENCION]],Retenciones!$A$1:$O$25,2,FALSE)</f>
        <v>2.5000000000000001E-2</v>
      </c>
      <c r="Z1284" s="116" t="b">
        <f>OR(COUNTIF(PROVEEDORES[[#This Row],[PROVEEDOR]],"*"&amp;'Palabra no opera'!$A$2&amp;"*"))</f>
        <v>0</v>
      </c>
    </row>
    <row r="1285" spans="1:26" ht="22.35" customHeight="1" x14ac:dyDescent="0.3">
      <c r="A1285" s="67" t="str">
        <f>+IF(PROVEEDORES[[#This Row],[FECHA DE PAGO]]=PROVEEDORES[[#This Row],[FECHA DE FACTURACIÓN]],"DE CONTADO","CRÉDITO")</f>
        <v>CRÉDITO</v>
      </c>
      <c r="B1285" s="38" t="str">
        <f>+IF((PROVEEDORES[[#This Row],[FECHA DE PAGO]]-PROVEEDORES[[#This Row],[FECHA DE FACTURACIÓN]])&gt;PROVEEDORES[[#This Row],[PLAZO Días]],"PAGO VENCIDO")</f>
        <v>PAGO VENCIDO</v>
      </c>
      <c r="C1285" s="20">
        <f>+VLOOKUP(PROVEEDORES[[#This Row],[PROVEEDOR]],TERCEROS_INFO[#All],2,FALSE)</f>
        <v>30</v>
      </c>
      <c r="D1285" s="25">
        <f>+SUMIFS(PROVEEDORES[Total],PROVEEDORES[PROVEEDOR],PROVEEDORES[[#This Row],[PROVEEDOR]],PROVEEDORES[FECHA DE PAGO],"")</f>
        <v>22881826.27</v>
      </c>
      <c r="E1285" s="25"/>
      <c r="F1285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285" s="68">
        <v>44988</v>
      </c>
      <c r="H1285" s="231" t="s">
        <v>9</v>
      </c>
      <c r="I1285" s="68">
        <v>44882</v>
      </c>
      <c r="J1285" s="245" t="s">
        <v>1308</v>
      </c>
      <c r="K1285" s="21">
        <v>-64735</v>
      </c>
      <c r="L1285" s="21"/>
      <c r="M1285" s="22">
        <f>(PROVEEDORES[[#This Row],[SUBTOTAL]]-PROVEEDORES[[#This Row],[descuento sobre subtotal]])*VLOOKUP(PROVEEDORES[[#This Row],[PROVEEDOR]],TERCEROS_INFO[#All],3,FALSE)</f>
        <v>-12299.65</v>
      </c>
      <c r="N1285" s="23"/>
      <c r="O1285" s="22">
        <f>+PROVEEDORES[[#This Row],[Descuento sobre subtotal %]]*(PROVEEDORES[[#This Row],[SUBTOTAL]]-PROVEEDORES[[#This Row],[descuento sobre subtotal]])</f>
        <v>0</v>
      </c>
      <c r="P1285" s="74">
        <f>+IF(PROVEEDORES[[#This Row],[SUBTOTAL]]&lt;PROVEEDORES[[#This Row],[base retencion]],0,PROVEEDORES[[#This Row],[retención aplicada]])</f>
        <v>0</v>
      </c>
      <c r="Q1285" s="22">
        <v>-1618</v>
      </c>
      <c r="R1285" s="21">
        <f>+PROVEEDORES[[#This Row],[SUBTOTAL]]+PROVEEDORES[[#This Row],[IVA 19%]]-PROVEEDORES[[#This Row],[descuento sobre subtotal]]-PROVEEDORES[[#This Row],[Descuento sobre subtotal $2]]-PROVEEDORES[[#This Row],[Rete Fuente $]]</f>
        <v>-75416.649999999994</v>
      </c>
      <c r="S128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63">
        <f ca="1">IF(PROVEEDORES[[#This Row],[FECHA DE PAGO]]=0,TODAY()-PROVEEDORES[[#This Row],[FECHA DE FACTURACIÓN]]-PROVEEDORES[[#This Row],[PLAZO Días]],0)</f>
        <v>0</v>
      </c>
      <c r="U1285" s="104" t="str">
        <f>+VLOOKUP(PROVEEDORES[[#This Row],[PROVEEDOR]],Terceros!$A:$D,4,FALSE)</f>
        <v>2,5% con base</v>
      </c>
      <c r="V1285" s="105">
        <f>+YEAR(PROVEEDORES[[#This Row],[FECHA DE FACTURACIÓN]])</f>
        <v>2022</v>
      </c>
      <c r="W1285" s="105">
        <f>+MATCH(PROVEEDORES[[#This Row],[año facturado]],Retenciones!$1:$1,0)</f>
        <v>5</v>
      </c>
      <c r="X1285" s="106">
        <f>+VLOOKUP(PROVEEDORES[[#This Row],[ID RETENCION]],Retenciones!$A$1:$O$25,PROVEEDORES[[#This Row],[indicador de columna]],FALSE)</f>
        <v>1026000</v>
      </c>
      <c r="Y1285" s="107">
        <f>+VLOOKUP(PROVEEDORES[[#This Row],[ID RETENCION]],Retenciones!$A$1:$O$25,2,FALSE)</f>
        <v>2.5000000000000001E-2</v>
      </c>
      <c r="Z1285" s="116" t="b">
        <f>OR(COUNTIF(PROVEEDORES[[#This Row],[PROVEEDOR]],"*"&amp;'Palabra no opera'!$A$2&amp;"*"))</f>
        <v>0</v>
      </c>
    </row>
    <row r="1286" spans="1:26" ht="22.35" customHeight="1" x14ac:dyDescent="0.3">
      <c r="A1286" s="67" t="str">
        <f>+IF(PROVEEDORES[[#This Row],[FECHA DE PAGO]]=PROVEEDORES[[#This Row],[FECHA DE FACTURACIÓN]],"DE CONTADO","CRÉDITO")</f>
        <v>CRÉDITO</v>
      </c>
      <c r="B1286" s="38" t="str">
        <f>+IF((PROVEEDORES[[#This Row],[FECHA DE PAGO]]-PROVEEDORES[[#This Row],[FECHA DE FACTURACIÓN]])&gt;PROVEEDORES[[#This Row],[PLAZO Días]],"PAGO VENCIDO")</f>
        <v>PAGO VENCIDO</v>
      </c>
      <c r="C1286" s="20">
        <f>+VLOOKUP(PROVEEDORES[[#This Row],[PROVEEDOR]],TERCEROS_INFO[#All],2,FALSE)</f>
        <v>30</v>
      </c>
      <c r="D1286" s="25">
        <f>+SUMIFS(PROVEEDORES[Total],PROVEEDORES[PROVEEDOR],PROVEEDORES[[#This Row],[PROVEEDOR]],PROVEEDORES[FECHA DE PAGO],"")</f>
        <v>22881826.27</v>
      </c>
      <c r="E1286" s="25"/>
      <c r="F1286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286" s="68">
        <v>44988</v>
      </c>
      <c r="H1286" s="26" t="s">
        <v>9</v>
      </c>
      <c r="I1286" s="68">
        <v>44937</v>
      </c>
      <c r="J1286" s="35" t="s">
        <v>1417</v>
      </c>
      <c r="K1286" s="21">
        <v>612179</v>
      </c>
      <c r="L1286" s="21"/>
      <c r="M1286" s="22">
        <f>(PROVEEDORES[[#This Row],[SUBTOTAL]]-PROVEEDORES[[#This Row],[descuento sobre subtotal]])*VLOOKUP(PROVEEDORES[[#This Row],[PROVEEDOR]],TERCEROS_INFO[#All],3,FALSE)</f>
        <v>116314.01</v>
      </c>
      <c r="N1286" s="23"/>
      <c r="O1286" s="22">
        <f>+PROVEEDORES[[#This Row],[Descuento sobre subtotal %]]*(PROVEEDORES[[#This Row],[SUBTOTAL]]-PROVEEDORES[[#This Row],[descuento sobre subtotal]])</f>
        <v>0</v>
      </c>
      <c r="P1286" s="74">
        <f>+IF(PROVEEDORES[[#This Row],[SUBTOTAL]]&lt;PROVEEDORES[[#This Row],[base retencion]],0,PROVEEDORES[[#This Row],[retención aplicada]])</f>
        <v>0</v>
      </c>
      <c r="Q1286" s="22">
        <f>+PROVEEDORES[[#This Row],[Rete Fuente %]]*(PROVEEDORES[[#This Row],[SUBTOTAL]]-PROVEEDORES[[#This Row],[descuento sobre subtotal]])</f>
        <v>0</v>
      </c>
      <c r="R1286" s="21">
        <f>+PROVEEDORES[[#This Row],[SUBTOTAL]]+PROVEEDORES[[#This Row],[IVA 19%]]-PROVEEDORES[[#This Row],[descuento sobre subtotal]]-PROVEEDORES[[#This Row],[Descuento sobre subtotal $2]]-PROVEEDORES[[#This Row],[Rete Fuente $]]</f>
        <v>728493.01</v>
      </c>
      <c r="S128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63">
        <f ca="1">IF(PROVEEDORES[[#This Row],[FECHA DE PAGO]]=0,TODAY()-PROVEEDORES[[#This Row],[FECHA DE FACTURACIÓN]]-PROVEEDORES[[#This Row],[PLAZO Días]],0)</f>
        <v>0</v>
      </c>
      <c r="U1286" s="104" t="str">
        <f>+VLOOKUP(PROVEEDORES[[#This Row],[PROVEEDOR]],Terceros!$A:$D,4,FALSE)</f>
        <v>2,5% con base</v>
      </c>
      <c r="V1286" s="105">
        <f>+YEAR(PROVEEDORES[[#This Row],[FECHA DE FACTURACIÓN]])</f>
        <v>2023</v>
      </c>
      <c r="W1286" s="105">
        <f>+MATCH(PROVEEDORES[[#This Row],[año facturado]],Retenciones!$1:$1,0)</f>
        <v>6</v>
      </c>
      <c r="X1286" s="106">
        <f>+VLOOKUP(PROVEEDORES[[#This Row],[ID RETENCION]],Retenciones!$A$1:$O$25,PROVEEDORES[[#This Row],[indicador de columna]],FALSE)</f>
        <v>1145000</v>
      </c>
      <c r="Y1286" s="107">
        <f>+VLOOKUP(PROVEEDORES[[#This Row],[ID RETENCION]],Retenciones!$A$1:$O$25,2,FALSE)</f>
        <v>2.5000000000000001E-2</v>
      </c>
      <c r="Z1286" s="116" t="b">
        <f>OR(COUNTIF(PROVEEDORES[[#This Row],[PROVEEDOR]],"*"&amp;'Palabra no opera'!$A$2&amp;"*"))</f>
        <v>0</v>
      </c>
    </row>
    <row r="1287" spans="1:26" ht="22.35" customHeight="1" x14ac:dyDescent="0.3">
      <c r="A1287" s="249" t="str">
        <f>+IF(PROVEEDORES[[#This Row],[FECHA DE PAGO]]=PROVEEDORES[[#This Row],[FECHA DE FACTURACIÓN]],"DE CONTADO","CRÉDITO")</f>
        <v>CRÉDITO</v>
      </c>
      <c r="B1287" s="38" t="str">
        <f>+IF((PROVEEDORES[[#This Row],[FECHA DE PAGO]]-PROVEEDORES[[#This Row],[FECHA DE FACTURACIÓN]])&gt;PROVEEDORES[[#This Row],[PLAZO Días]],"PAGO VENCIDO")</f>
        <v>PAGO VENCIDO</v>
      </c>
      <c r="C1287" s="20">
        <f>+VLOOKUP(PROVEEDORES[[#This Row],[PROVEEDOR]],TERCEROS_INFO[#All],2,FALSE)</f>
        <v>30</v>
      </c>
      <c r="D1287" s="25">
        <f>+SUMIFS(PROVEEDORES[Total],PROVEEDORES[PROVEEDOR],PROVEEDORES[[#This Row],[PROVEEDOR]],PROVEEDORES[FECHA DE PAGO],"")</f>
        <v>0</v>
      </c>
      <c r="E1287" s="25"/>
      <c r="F1287" s="56">
        <f>+VLOOKUP(PROVEEDORES[[#This Row],[PROVEEDOR]],
                       Terceros!$A:$F,
                       5,
                       FALSE)</f>
        <v>0</v>
      </c>
      <c r="G1287" s="68">
        <v>44988</v>
      </c>
      <c r="H1287" s="26" t="s">
        <v>1356</v>
      </c>
      <c r="I1287" s="68">
        <v>44907</v>
      </c>
      <c r="J1287" s="35">
        <v>7614</v>
      </c>
      <c r="K1287" s="21">
        <v>7600000</v>
      </c>
      <c r="L1287" s="21"/>
      <c r="M1287" s="22">
        <f>(PROVEEDORES[[#This Row],[SUBTOTAL]]-PROVEEDORES[[#This Row],[descuento sobre subtotal]])*VLOOKUP(PROVEEDORES[[#This Row],[PROVEEDOR]],TERCEROS_INFO[#All],3,FALSE)</f>
        <v>1444000</v>
      </c>
      <c r="N1287" s="23"/>
      <c r="O1287" s="22">
        <f>+PROVEEDORES[[#This Row],[Descuento sobre subtotal %]]*(PROVEEDORES[[#This Row],[SUBTOTAL]]-PROVEEDORES[[#This Row],[descuento sobre subtotal]])</f>
        <v>0</v>
      </c>
      <c r="P1287" s="74">
        <f>+IF(PROVEEDORES[[#This Row],[SUBTOTAL]]&lt;PROVEEDORES[[#This Row],[base retencion]],0,PROVEEDORES[[#This Row],[retención aplicada]])</f>
        <v>2.5000000000000001E-2</v>
      </c>
      <c r="Q1287" s="22">
        <f>+PROVEEDORES[[#This Row],[Rete Fuente %]]*(PROVEEDORES[[#This Row],[SUBTOTAL]]-PROVEEDORES[[#This Row],[descuento sobre subtotal]])</f>
        <v>190000</v>
      </c>
      <c r="R1287" s="21">
        <f>+PROVEEDORES[[#This Row],[SUBTOTAL]]+PROVEEDORES[[#This Row],[IVA 19%]]-PROVEEDORES[[#This Row],[descuento sobre subtotal]]-PROVEEDORES[[#This Row],[Descuento sobre subtotal $2]]-PROVEEDORES[[#This Row],[Rete Fuente $]]</f>
        <v>8854000</v>
      </c>
      <c r="S1287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63">
        <f ca="1">IF(PROVEEDORES[[#This Row],[FECHA DE PAGO]]=0,TODAY()-PROVEEDORES[[#This Row],[FECHA DE FACTURACIÓN]]-PROVEEDORES[[#This Row],[PLAZO Días]],0)</f>
        <v>0</v>
      </c>
      <c r="U1287" s="104" t="str">
        <f>+VLOOKUP(PROVEEDORES[[#This Row],[PROVEEDOR]],Terceros!$A:$D,4,FALSE)</f>
        <v>2,5% con base</v>
      </c>
      <c r="V1287" s="105">
        <f>+YEAR(PROVEEDORES[[#This Row],[FECHA DE FACTURACIÓN]])</f>
        <v>2022</v>
      </c>
      <c r="W1287" s="105">
        <f>+MATCH(PROVEEDORES[[#This Row],[año facturado]],Retenciones!$1:$1,0)</f>
        <v>5</v>
      </c>
      <c r="X1287" s="106">
        <f>+VLOOKUP(PROVEEDORES[[#This Row],[ID RETENCION]],Retenciones!$A$1:$O$25,PROVEEDORES[[#This Row],[indicador de columna]],FALSE)</f>
        <v>1026000</v>
      </c>
      <c r="Y1287" s="107">
        <f>+VLOOKUP(PROVEEDORES[[#This Row],[ID RETENCION]],Retenciones!$A$1:$O$25,2,FALSE)</f>
        <v>2.5000000000000001E-2</v>
      </c>
      <c r="Z1287" s="116" t="b">
        <f>OR(COUNTIF(PROVEEDORES[[#This Row],[PROVEEDOR]],"*"&amp;'Palabra no opera'!$A$2&amp;"*"))</f>
        <v>0</v>
      </c>
    </row>
    <row r="1288" spans="1:26" ht="22.35" customHeight="1" x14ac:dyDescent="0.3">
      <c r="A1288" s="249" t="str">
        <f>+IF(PROVEEDORES[[#This Row],[FECHA DE PAGO]]=PROVEEDORES[[#This Row],[FECHA DE FACTURACIÓN]],"DE CONTADO","CRÉDITO")</f>
        <v>CRÉDITO</v>
      </c>
      <c r="B1288" s="38" t="str">
        <f>+IF((PROVEEDORES[[#This Row],[FECHA DE PAGO]]-PROVEEDORES[[#This Row],[FECHA DE FACTURACIÓN]])&gt;PROVEEDORES[[#This Row],[PLAZO Días]],"PAGO VENCIDO")</f>
        <v>PAGO VENCIDO</v>
      </c>
      <c r="C1288" s="20">
        <f>+VLOOKUP(PROVEEDORES[[#This Row],[PROVEEDOR]],TERCEROS_INFO[#All],2,FALSE)</f>
        <v>45</v>
      </c>
      <c r="D1288" s="25">
        <f>+SUMIFS(PROVEEDORES[Total],PROVEEDORES[PROVEEDOR],PROVEEDORES[[#This Row],[PROVEEDOR]],PROVEEDORES[FECHA DE PAGO],"")</f>
        <v>8072960</v>
      </c>
      <c r="E1288" s="25"/>
      <c r="F1288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88" s="68">
        <v>44988</v>
      </c>
      <c r="H1288" s="26" t="s">
        <v>10</v>
      </c>
      <c r="I1288" s="68">
        <v>44915</v>
      </c>
      <c r="J1288" s="35" t="s">
        <v>1351</v>
      </c>
      <c r="K1288" s="21">
        <v>1524700</v>
      </c>
      <c r="L1288" s="21"/>
      <c r="M1288" s="22">
        <f>(PROVEEDORES[[#This Row],[SUBTOTAL]]-PROVEEDORES[[#This Row],[descuento sobre subtotal]])*VLOOKUP(PROVEEDORES[[#This Row],[PROVEEDOR]],TERCEROS_INFO[#All],3,FALSE)</f>
        <v>289693</v>
      </c>
      <c r="N1288" s="23"/>
      <c r="O1288" s="22">
        <f>+PROVEEDORES[[#This Row],[Descuento sobre subtotal %]]*(PROVEEDORES[[#This Row],[SUBTOTAL]]-PROVEEDORES[[#This Row],[descuento sobre subtotal]])</f>
        <v>0</v>
      </c>
      <c r="P1288" s="74">
        <f>+IF(PROVEEDORES[[#This Row],[SUBTOTAL]]&lt;PROVEEDORES[[#This Row],[base retencion]],0,PROVEEDORES[[#This Row],[retención aplicada]])</f>
        <v>0</v>
      </c>
      <c r="Q1288" s="22">
        <f>+PROVEEDORES[[#This Row],[Rete Fuente %]]*(PROVEEDORES[[#This Row],[SUBTOTAL]]-PROVEEDORES[[#This Row],[descuento sobre subtotal]])</f>
        <v>0</v>
      </c>
      <c r="R1288" s="21">
        <f>+PROVEEDORES[[#This Row],[SUBTOTAL]]+PROVEEDORES[[#This Row],[IVA 19%]]-PROVEEDORES[[#This Row],[descuento sobre subtotal]]-PROVEEDORES[[#This Row],[Descuento sobre subtotal $2]]-PROVEEDORES[[#This Row],[Rete Fuente $]]</f>
        <v>1814393</v>
      </c>
      <c r="S1288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63">
        <f ca="1">IF(PROVEEDORES[[#This Row],[FECHA DE PAGO]]=0,TODAY()-PROVEEDORES[[#This Row],[FECHA DE FACTURACIÓN]]-PROVEEDORES[[#This Row],[PLAZO Días]],0)</f>
        <v>0</v>
      </c>
      <c r="U1288" s="104">
        <f>+VLOOKUP(PROVEEDORES[[#This Row],[PROVEEDOR]],Terceros!$A:$D,4,FALSE)</f>
        <v>0</v>
      </c>
      <c r="V1288" s="105">
        <f>+YEAR(PROVEEDORES[[#This Row],[FECHA DE FACTURACIÓN]])</f>
        <v>2022</v>
      </c>
      <c r="W1288" s="105">
        <f>+MATCH(PROVEEDORES[[#This Row],[año facturado]],Retenciones!$1:$1,0)</f>
        <v>5</v>
      </c>
      <c r="X1288" s="106">
        <f>+VLOOKUP(PROVEEDORES[[#This Row],[ID RETENCION]],Retenciones!$A$1:$O$25,PROVEEDORES[[#This Row],[indicador de columna]],FALSE)</f>
        <v>0</v>
      </c>
      <c r="Y1288" s="107">
        <f>+VLOOKUP(PROVEEDORES[[#This Row],[ID RETENCION]],Retenciones!$A$1:$O$25,2,FALSE)</f>
        <v>0</v>
      </c>
      <c r="Z1288" s="116" t="b">
        <f>OR(COUNTIF(PROVEEDORES[[#This Row],[PROVEEDOR]],"*"&amp;'Palabra no opera'!$A$2&amp;"*"))</f>
        <v>0</v>
      </c>
    </row>
    <row r="1289" spans="1:26" ht="22.35" customHeight="1" x14ac:dyDescent="0.3">
      <c r="A1289" s="67" t="str">
        <f>+IF(PROVEEDORES[[#This Row],[FECHA DE PAGO]]=PROVEEDORES[[#This Row],[FECHA DE FACTURACIÓN]],"DE CONTADO","CRÉDITO")</f>
        <v>CRÉDITO</v>
      </c>
      <c r="B1289" s="38" t="str">
        <f>+IF((PROVEEDORES[[#This Row],[FECHA DE PAGO]]-PROVEEDORES[[#This Row],[FECHA DE FACTURACIÓN]])&gt;PROVEEDORES[[#This Row],[PLAZO Días]],"PAGO VENCIDO")</f>
        <v>PAGO VENCIDO</v>
      </c>
      <c r="C1289" s="20">
        <f>+VLOOKUP(PROVEEDORES[[#This Row],[PROVEEDOR]],TERCEROS_INFO[#All],2,FALSE)</f>
        <v>30</v>
      </c>
      <c r="D1289" s="25">
        <f>+SUMIFS(PROVEEDORES[Total],PROVEEDORES[PROVEEDOR],PROVEEDORES[[#This Row],[PROVEEDOR]],PROVEEDORES[FECHA DE PAGO],"")</f>
        <v>0</v>
      </c>
      <c r="E1289" s="25"/>
      <c r="F1289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289" s="68">
        <v>44988</v>
      </c>
      <c r="H1289" s="26" t="s">
        <v>1069</v>
      </c>
      <c r="I1289" s="68">
        <v>44952</v>
      </c>
      <c r="J1289" s="35" t="s">
        <v>1421</v>
      </c>
      <c r="K1289" s="21">
        <v>1278410</v>
      </c>
      <c r="L1289" s="21"/>
      <c r="M1289" s="22">
        <f>(PROVEEDORES[[#This Row],[SUBTOTAL]]-PROVEEDORES[[#This Row],[descuento sobre subtotal]])*VLOOKUP(PROVEEDORES[[#This Row],[PROVEEDOR]],TERCEROS_INFO[#All],3,FALSE)</f>
        <v>242897.9</v>
      </c>
      <c r="N1289" s="23"/>
      <c r="O1289" s="22">
        <f>+PROVEEDORES[[#This Row],[Descuento sobre subtotal %]]*(PROVEEDORES[[#This Row],[SUBTOTAL]]-PROVEEDORES[[#This Row],[descuento sobre subtotal]])</f>
        <v>0</v>
      </c>
      <c r="P1289" s="74">
        <f>+IF(PROVEEDORES[[#This Row],[SUBTOTAL]]&lt;PROVEEDORES[[#This Row],[base retencion]],0,PROVEEDORES[[#This Row],[retención aplicada]])</f>
        <v>2.5000000000000001E-2</v>
      </c>
      <c r="Q1289" s="22">
        <f>+PROVEEDORES[[#This Row],[Rete Fuente %]]*(PROVEEDORES[[#This Row],[SUBTOTAL]]-PROVEEDORES[[#This Row],[descuento sobre subtotal]])</f>
        <v>31960.25</v>
      </c>
      <c r="R1289" s="21">
        <f>+PROVEEDORES[[#This Row],[SUBTOTAL]]+PROVEEDORES[[#This Row],[IVA 19%]]-PROVEEDORES[[#This Row],[descuento sobre subtotal]]-PROVEEDORES[[#This Row],[Descuento sobre subtotal $2]]-PROVEEDORES[[#This Row],[Rete Fuente $]]</f>
        <v>1489347.65</v>
      </c>
      <c r="S12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63">
        <f ca="1">IF(PROVEEDORES[[#This Row],[FECHA DE PAGO]]=0,TODAY()-PROVEEDORES[[#This Row],[FECHA DE FACTURACIÓN]]-PROVEEDORES[[#This Row],[PLAZO Días]],0)</f>
        <v>0</v>
      </c>
      <c r="U1289" s="104" t="str">
        <f>+VLOOKUP(PROVEEDORES[[#This Row],[PROVEEDOR]],Terceros!$A:$D,4,FALSE)</f>
        <v>2,5% con base</v>
      </c>
      <c r="V1289" s="105">
        <f>+YEAR(PROVEEDORES[[#This Row],[FECHA DE FACTURACIÓN]])</f>
        <v>2023</v>
      </c>
      <c r="W1289" s="105">
        <f>+MATCH(PROVEEDORES[[#This Row],[año facturado]],Retenciones!$1:$1,0)</f>
        <v>6</v>
      </c>
      <c r="X1289" s="106">
        <f>+VLOOKUP(PROVEEDORES[[#This Row],[ID RETENCION]],Retenciones!$A$1:$O$25,PROVEEDORES[[#This Row],[indicador de columna]],FALSE)</f>
        <v>1145000</v>
      </c>
      <c r="Y1289" s="107">
        <f>+VLOOKUP(PROVEEDORES[[#This Row],[ID RETENCION]],Retenciones!$A$1:$O$25,2,FALSE)</f>
        <v>2.5000000000000001E-2</v>
      </c>
      <c r="Z1289" s="116" t="b">
        <f>OR(COUNTIF(PROVEEDORES[[#This Row],[PROVEEDOR]],"*"&amp;'Palabra no opera'!$A$2&amp;"*"))</f>
        <v>0</v>
      </c>
    </row>
    <row r="1290" spans="1:26" ht="22.35" customHeight="1" x14ac:dyDescent="0.3">
      <c r="A1290" s="265" t="str">
        <f>+IF(PROVEEDORES[[#This Row],[FECHA DE PAGO]]=PROVEEDORES[[#This Row],[FECHA DE FACTURACIÓN]],"DE CONTADO","CRÉDITO")</f>
        <v>CRÉDITO</v>
      </c>
      <c r="B1290" s="38" t="b">
        <f>+IF((PROVEEDORES[[#This Row],[FECHA DE PAGO]]-PROVEEDORES[[#This Row],[FECHA DE FACTURACIÓN]])&gt;PROVEEDORES[[#This Row],[PLAZO Días]],"PAGO VENCIDO")</f>
        <v>0</v>
      </c>
      <c r="C1290" s="20">
        <f>+VLOOKUP(PROVEEDORES[[#This Row],[PROVEEDOR]],TERCEROS_INFO[#All],2,FALSE)</f>
        <v>30</v>
      </c>
      <c r="D1290" s="25">
        <f>+SUMIFS(PROVEEDORES[Total],PROVEEDORES[PROVEEDOR],PROVEEDORES[[#This Row],[PROVEEDOR]],PROVEEDORES[FECHA DE PAGO],"")</f>
        <v>1316890.8900000001</v>
      </c>
      <c r="E1290" s="25"/>
      <c r="F129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90" s="68">
        <v>44988</v>
      </c>
      <c r="H1290" s="26" t="s">
        <v>17</v>
      </c>
      <c r="I1290" s="68">
        <v>44960</v>
      </c>
      <c r="J1290" s="35" t="s">
        <v>1429</v>
      </c>
      <c r="K1290" s="21">
        <v>-14300</v>
      </c>
      <c r="L1290" s="21"/>
      <c r="M1290" s="22">
        <f>(PROVEEDORES[[#This Row],[SUBTOTAL]]-PROVEEDORES[[#This Row],[descuento sobre subtotal]])*VLOOKUP(PROVEEDORES[[#This Row],[PROVEEDOR]],TERCEROS_INFO[#All],3,FALSE)</f>
        <v>-2717</v>
      </c>
      <c r="N1290" s="23"/>
      <c r="O1290" s="22">
        <f>+PROVEEDORES[[#This Row],[Descuento sobre subtotal %]]*(PROVEEDORES[[#This Row],[SUBTOTAL]]-PROVEEDORES[[#This Row],[descuento sobre subtotal]])</f>
        <v>0</v>
      </c>
      <c r="P1290" s="74">
        <f>+IF(PROVEEDORES[[#This Row],[SUBTOTAL]]&lt;PROVEEDORES[[#This Row],[base retencion]],0,PROVEEDORES[[#This Row],[retención aplicada]])</f>
        <v>0</v>
      </c>
      <c r="Q1290" s="22">
        <f>+PROVEEDORES[[#This Row],[Rete Fuente %]]*(PROVEEDORES[[#This Row],[SUBTOTAL]]-PROVEEDORES[[#This Row],[descuento sobre subtotal]])</f>
        <v>0</v>
      </c>
      <c r="R1290" s="21">
        <f>+PROVEEDORES[[#This Row],[SUBTOTAL]]+PROVEEDORES[[#This Row],[IVA 19%]]-PROVEEDORES[[#This Row],[descuento sobre subtotal]]-PROVEEDORES[[#This Row],[Descuento sobre subtotal $2]]-PROVEEDORES[[#This Row],[Rete Fuente $]]</f>
        <v>-17017</v>
      </c>
      <c r="S1290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63">
        <f ca="1">IF(PROVEEDORES[[#This Row],[FECHA DE PAGO]]=0,TODAY()-PROVEEDORES[[#This Row],[FECHA DE FACTURACIÓN]]-PROVEEDORES[[#This Row],[PLAZO Días]],0)</f>
        <v>0</v>
      </c>
      <c r="U1290" s="104">
        <f>+VLOOKUP(PROVEEDORES[[#This Row],[PROVEEDOR]],Terceros!$A:$D,4,FALSE)</f>
        <v>0</v>
      </c>
      <c r="V1290" s="105">
        <f>+YEAR(PROVEEDORES[[#This Row],[FECHA DE FACTURACIÓN]])</f>
        <v>2023</v>
      </c>
      <c r="W1290" s="105">
        <f>+MATCH(PROVEEDORES[[#This Row],[año facturado]],Retenciones!$1:$1,0)</f>
        <v>6</v>
      </c>
      <c r="X1290" s="106">
        <f>+VLOOKUP(PROVEEDORES[[#This Row],[ID RETENCION]],Retenciones!$A$1:$O$25,PROVEEDORES[[#This Row],[indicador de columna]],FALSE)</f>
        <v>0</v>
      </c>
      <c r="Y1290" s="107">
        <f>+VLOOKUP(PROVEEDORES[[#This Row],[ID RETENCION]],Retenciones!$A$1:$O$25,2,FALSE)</f>
        <v>0</v>
      </c>
      <c r="Z1290" s="116" t="b">
        <f>OR(COUNTIF(PROVEEDORES[[#This Row],[PROVEEDOR]],"*"&amp;'Palabra no opera'!$A$2&amp;"*"))</f>
        <v>0</v>
      </c>
    </row>
    <row r="1291" spans="1:26" ht="22.35" customHeight="1" x14ac:dyDescent="0.3">
      <c r="A1291" s="67" t="str">
        <f>+IF(PROVEEDORES[[#This Row],[FECHA DE PAGO]]=PROVEEDORES[[#This Row],[FECHA DE FACTURACIÓN]],"DE CONTADO","CRÉDITO")</f>
        <v>DE CONTADO</v>
      </c>
      <c r="B1291" s="38" t="b">
        <f>+IF((PROVEEDORES[[#This Row],[FECHA DE PAGO]]-PROVEEDORES[[#This Row],[FECHA DE FACTURACIÓN]])&gt;PROVEEDORES[[#This Row],[PLAZO Días]],"PAGO VENCIDO")</f>
        <v>0</v>
      </c>
      <c r="C1291" s="20">
        <f>+VLOOKUP(PROVEEDORES[[#This Row],[PROVEEDOR]],TERCEROS_INFO[#All],2,FALSE)</f>
        <v>30</v>
      </c>
      <c r="D1291" s="25">
        <f>+SUMIFS(PROVEEDORES[Total],PROVEEDORES[PROVEEDOR],PROVEEDORES[[#This Row],[PROVEEDOR]],PROVEEDORES[FECHA DE PAGO],"")</f>
        <v>0</v>
      </c>
      <c r="E1291" s="25"/>
      <c r="F1291" s="56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1291" s="68">
        <v>44991</v>
      </c>
      <c r="H1291" s="26" t="s">
        <v>341</v>
      </c>
      <c r="I1291" s="68">
        <v>44991</v>
      </c>
      <c r="J1291" s="35" t="s">
        <v>1553</v>
      </c>
      <c r="K1291" s="21">
        <v>430000</v>
      </c>
      <c r="L1291" s="21"/>
      <c r="M1291" s="22">
        <f>(PROVEEDORES[[#This Row],[SUBTOTAL]]-PROVEEDORES[[#This Row],[descuento sobre subtotal]])*VLOOKUP(PROVEEDORES[[#This Row],[PROVEEDOR]],TERCEROS_INFO[#All],3,FALSE)</f>
        <v>0</v>
      </c>
      <c r="N1291" s="23"/>
      <c r="O1291" s="22">
        <f>+PROVEEDORES[[#This Row],[Descuento sobre subtotal %]]*(PROVEEDORES[[#This Row],[SUBTOTAL]]-PROVEEDORES[[#This Row],[descuento sobre subtotal]])</f>
        <v>0</v>
      </c>
      <c r="P1291" s="74">
        <f>+IF(PROVEEDORES[[#This Row],[SUBTOTAL]]&lt;PROVEEDORES[[#This Row],[base retencion]],0,PROVEEDORES[[#This Row],[retención aplicada]])</f>
        <v>0</v>
      </c>
      <c r="Q1291" s="22">
        <f>+PROVEEDORES[[#This Row],[Rete Fuente %]]*(PROVEEDORES[[#This Row],[SUBTOTAL]]-PROVEEDORES[[#This Row],[descuento sobre subtotal]])</f>
        <v>0</v>
      </c>
      <c r="R1291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12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63">
        <f ca="1">IF(PROVEEDORES[[#This Row],[FECHA DE PAGO]]=0,TODAY()-PROVEEDORES[[#This Row],[FECHA DE FACTURACIÓN]]-PROVEEDORES[[#This Row],[PLAZO Días]],0)</f>
        <v>0</v>
      </c>
      <c r="U1291" s="104">
        <f>+VLOOKUP(PROVEEDORES[[#This Row],[PROVEEDOR]],Terceros!$A:$D,4,FALSE)</f>
        <v>0</v>
      </c>
      <c r="V1291" s="105">
        <f>+YEAR(PROVEEDORES[[#This Row],[FECHA DE FACTURACIÓN]])</f>
        <v>2023</v>
      </c>
      <c r="W1291" s="105">
        <f>+MATCH(PROVEEDORES[[#This Row],[año facturado]],Retenciones!$1:$1,0)</f>
        <v>6</v>
      </c>
      <c r="X1291" s="106">
        <f>+VLOOKUP(PROVEEDORES[[#This Row],[ID RETENCION]],Retenciones!$A$1:$O$25,PROVEEDORES[[#This Row],[indicador de columna]],FALSE)</f>
        <v>0</v>
      </c>
      <c r="Y1291" s="107">
        <f>+VLOOKUP(PROVEEDORES[[#This Row],[ID RETENCION]],Retenciones!$A$1:$O$25,2,FALSE)</f>
        <v>0</v>
      </c>
      <c r="Z1291" s="116" t="b">
        <f>OR(COUNTIF(PROVEEDORES[[#This Row],[PROVEEDOR]],"*"&amp;'Palabra no opera'!$A$2&amp;"*"))</f>
        <v>0</v>
      </c>
    </row>
    <row r="1292" spans="1:26" ht="22.35" customHeight="1" x14ac:dyDescent="0.3">
      <c r="A1292" s="252" t="str">
        <f>+IF(PROVEEDORES[[#This Row],[FECHA DE PAGO]]=PROVEEDORES[[#This Row],[FECHA DE FACTURACIÓN]],"DE CONTADO","CRÉDITO")</f>
        <v>CRÉDITO</v>
      </c>
      <c r="B1292" s="38" t="str">
        <f>+IF((PROVEEDORES[[#This Row],[FECHA DE PAGO]]-PROVEEDORES[[#This Row],[FECHA DE FACTURACIÓN]])&gt;PROVEEDORES[[#This Row],[PLAZO Días]],"PAGO VENCIDO")</f>
        <v>PAGO VENCIDO</v>
      </c>
      <c r="C1292" s="20">
        <f>+VLOOKUP(PROVEEDORES[[#This Row],[PROVEEDOR]],TERCEROS_INFO[#All],2,FALSE)</f>
        <v>30</v>
      </c>
      <c r="D1292" s="25">
        <f>+SUMIFS(PROVEEDORES[Total],PROVEEDORES[PROVEEDOR],PROVEEDORES[[#This Row],[PROVEEDOR]],PROVEEDORES[FECHA DE PAGO],"")</f>
        <v>0</v>
      </c>
      <c r="E1292" s="25"/>
      <c r="F1292" s="56" t="str">
        <f>+VLOOKUP(PROVEEDORES[[#This Row],[PROVEEDOR]],
                       Terceros!$A:$F,
                       5,
                       FALSE)</f>
        <v/>
      </c>
      <c r="G1292" s="68">
        <v>44991</v>
      </c>
      <c r="H1292" s="26" t="s">
        <v>1358</v>
      </c>
      <c r="I1292" s="68">
        <v>44902</v>
      </c>
      <c r="J1292" s="35">
        <v>2678</v>
      </c>
      <c r="K1292" s="21">
        <v>7820000</v>
      </c>
      <c r="L1292" s="21"/>
      <c r="M1292" s="22">
        <f>(PROVEEDORES[[#This Row],[SUBTOTAL]]-PROVEEDORES[[#This Row],[descuento sobre subtotal]])*VLOOKUP(PROVEEDORES[[#This Row],[PROVEEDOR]],TERCEROS_INFO[#All],3,FALSE)</f>
        <v>0</v>
      </c>
      <c r="N1292" s="23"/>
      <c r="O1292" s="22">
        <f>+PROVEEDORES[[#This Row],[Descuento sobre subtotal %]]*(PROVEEDORES[[#This Row],[SUBTOTAL]]-PROVEEDORES[[#This Row],[descuento sobre subtotal]])</f>
        <v>0</v>
      </c>
      <c r="P1292" s="74">
        <f>+IF(PROVEEDORES[[#This Row],[SUBTOTAL]]&lt;PROVEEDORES[[#This Row],[base retencion]],0,PROVEEDORES[[#This Row],[retención aplicada]])</f>
        <v>0</v>
      </c>
      <c r="Q1292" s="22">
        <f>+PROVEEDORES[[#This Row],[Rete Fuente %]]*(PROVEEDORES[[#This Row],[SUBTOTAL]]-PROVEEDORES[[#This Row],[descuento sobre subtotal]])</f>
        <v>0</v>
      </c>
      <c r="R1292" s="21">
        <f>+PROVEEDORES[[#This Row],[SUBTOTAL]]+PROVEEDORES[[#This Row],[IVA 19%]]-PROVEEDORES[[#This Row],[descuento sobre subtotal]]-PROVEEDORES[[#This Row],[Descuento sobre subtotal $2]]-PROVEEDORES[[#This Row],[Rete Fuente $]]</f>
        <v>7820000</v>
      </c>
      <c r="S1292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63">
        <f ca="1">IF(PROVEEDORES[[#This Row],[FECHA DE PAGO]]=0,TODAY()-PROVEEDORES[[#This Row],[FECHA DE FACTURACIÓN]]-PROVEEDORES[[#This Row],[PLAZO Días]],0)</f>
        <v>0</v>
      </c>
      <c r="U1292" s="104">
        <f>+VLOOKUP(PROVEEDORES[[#This Row],[PROVEEDOR]],Terceros!$A:$D,4,FALSE)</f>
        <v>0</v>
      </c>
      <c r="V1292" s="105">
        <f>+YEAR(PROVEEDORES[[#This Row],[FECHA DE FACTURACIÓN]])</f>
        <v>2022</v>
      </c>
      <c r="W1292" s="105">
        <f>+MATCH(PROVEEDORES[[#This Row],[año facturado]],Retenciones!$1:$1,0)</f>
        <v>5</v>
      </c>
      <c r="X1292" s="106">
        <f>+VLOOKUP(PROVEEDORES[[#This Row],[ID RETENCION]],Retenciones!$A$1:$O$25,PROVEEDORES[[#This Row],[indicador de columna]],FALSE)</f>
        <v>0</v>
      </c>
      <c r="Y1292" s="107">
        <f>+VLOOKUP(PROVEEDORES[[#This Row],[ID RETENCION]],Retenciones!$A$1:$O$25,2,FALSE)</f>
        <v>0</v>
      </c>
      <c r="Z1292" s="116" t="b">
        <f>OR(COUNTIF(PROVEEDORES[[#This Row],[PROVEEDOR]],"*"&amp;'Palabra no opera'!$A$2&amp;"*"))</f>
        <v>0</v>
      </c>
    </row>
    <row r="1293" spans="1:26" ht="22.35" customHeight="1" x14ac:dyDescent="0.3">
      <c r="A1293" s="67" t="str">
        <f>+IF(PROVEEDORES[[#This Row],[FECHA DE PAGO]]=PROVEEDORES[[#This Row],[FECHA DE FACTURACIÓN]],"DE CONTADO","CRÉDITO")</f>
        <v>DE CONTADO</v>
      </c>
      <c r="B1293" s="38" t="b">
        <f>+IF((PROVEEDORES[[#This Row],[FECHA DE PAGO]]-PROVEEDORES[[#This Row],[FECHA DE FACTURACIÓN]])&gt;PROVEEDORES[[#This Row],[PLAZO Días]],"PAGO VENCIDO")</f>
        <v>0</v>
      </c>
      <c r="C1293" s="20">
        <f>+VLOOKUP(PROVEEDORES[[#This Row],[PROVEEDOR]],TERCEROS_INFO[#All],2,FALSE)</f>
        <v>30</v>
      </c>
      <c r="D1293" s="25">
        <f>+SUMIFS(PROVEEDORES[Total],PROVEEDORES[PROVEEDOR],PROVEEDORES[[#This Row],[PROVEEDOR]],PROVEEDORES[FECHA DE PAGO],"")</f>
        <v>229206</v>
      </c>
      <c r="E1293" s="25"/>
      <c r="F129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93" s="68">
        <v>44991</v>
      </c>
      <c r="H1293" s="26" t="s">
        <v>95</v>
      </c>
      <c r="I1293" s="68">
        <v>44991</v>
      </c>
      <c r="J1293" s="35" t="s">
        <v>1583</v>
      </c>
      <c r="K1293" s="21">
        <v>1930000</v>
      </c>
      <c r="L1293" s="21"/>
      <c r="M1293" s="22">
        <f>(PROVEEDORES[[#This Row],[SUBTOTAL]]-PROVEEDORES[[#This Row],[descuento sobre subtotal]])*VLOOKUP(PROVEEDORES[[#This Row],[PROVEEDOR]],TERCEROS_INFO[#All],3,FALSE)</f>
        <v>0</v>
      </c>
      <c r="N1293" s="23"/>
      <c r="O1293" s="22">
        <f>+PROVEEDORES[[#This Row],[Descuento sobre subtotal %]]*(PROVEEDORES[[#This Row],[SUBTOTAL]]-PROVEEDORES[[#This Row],[descuento sobre subtotal]])</f>
        <v>0</v>
      </c>
      <c r="P1293" s="74">
        <f>+IF(PROVEEDORES[[#This Row],[SUBTOTAL]]&lt;PROVEEDORES[[#This Row],[base retencion]],0,PROVEEDORES[[#This Row],[retención aplicada]])</f>
        <v>0</v>
      </c>
      <c r="Q1293" s="22">
        <f>+PROVEEDORES[[#This Row],[Rete Fuente %]]*(PROVEEDORES[[#This Row],[SUBTOTAL]]-PROVEEDORES[[#This Row],[descuento sobre subtotal]])</f>
        <v>0</v>
      </c>
      <c r="R1293" s="21">
        <f>+PROVEEDORES[[#This Row],[SUBTOTAL]]+PROVEEDORES[[#This Row],[IVA 19%]]-PROVEEDORES[[#This Row],[descuento sobre subtotal]]-PROVEEDORES[[#This Row],[Descuento sobre subtotal $2]]-PROVEEDORES[[#This Row],[Rete Fuente $]]</f>
        <v>1930000</v>
      </c>
      <c r="S129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63">
        <f ca="1">IF(PROVEEDORES[[#This Row],[FECHA DE PAGO]]=0,TODAY()-PROVEEDORES[[#This Row],[FECHA DE FACTURACIÓN]]-PROVEEDORES[[#This Row],[PLAZO Días]],0)</f>
        <v>0</v>
      </c>
      <c r="U1293" s="104">
        <f>+VLOOKUP(PROVEEDORES[[#This Row],[PROVEEDOR]],Terceros!$A:$D,4,FALSE)</f>
        <v>0</v>
      </c>
      <c r="V1293" s="105">
        <f>+YEAR(PROVEEDORES[[#This Row],[FECHA DE FACTURACIÓN]])</f>
        <v>2023</v>
      </c>
      <c r="W1293" s="105">
        <f>+MATCH(PROVEEDORES[[#This Row],[año facturado]],Retenciones!$1:$1,0)</f>
        <v>6</v>
      </c>
      <c r="X1293" s="106">
        <f>+VLOOKUP(PROVEEDORES[[#This Row],[ID RETENCION]],Retenciones!$A$1:$O$25,PROVEEDORES[[#This Row],[indicador de columna]],FALSE)</f>
        <v>0</v>
      </c>
      <c r="Y1293" s="107">
        <f>+VLOOKUP(PROVEEDORES[[#This Row],[ID RETENCION]],Retenciones!$A$1:$O$25,2,FALSE)</f>
        <v>0</v>
      </c>
      <c r="Z1293" s="116" t="b">
        <f>OR(COUNTIF(PROVEEDORES[[#This Row],[PROVEEDOR]],"*"&amp;'Palabra no opera'!$A$2&amp;"*"))</f>
        <v>0</v>
      </c>
    </row>
    <row r="1294" spans="1:26" ht="22.35" customHeight="1" x14ac:dyDescent="0.3">
      <c r="A1294" s="67" t="str">
        <f>+IF(PROVEEDORES[[#This Row],[FECHA DE PAGO]]=PROVEEDORES[[#This Row],[FECHA DE FACTURACIÓN]],"DE CONTADO","CRÉDITO")</f>
        <v>CRÉDITO</v>
      </c>
      <c r="B1294" s="38" t="str">
        <f>+IF((PROVEEDORES[[#This Row],[FECHA DE PAGO]]-PROVEEDORES[[#This Row],[FECHA DE FACTURACIÓN]])&gt;PROVEEDORES[[#This Row],[PLAZO Días]],"PAGO VENCIDO")</f>
        <v>PAGO VENCIDO</v>
      </c>
      <c r="C1294" s="20">
        <f>+VLOOKUP(PROVEEDORES[[#This Row],[PROVEEDOR]],TERCEROS_INFO[#All],2,FALSE)</f>
        <v>30</v>
      </c>
      <c r="D1294" s="25">
        <f>+SUMIFS(PROVEEDORES[Total],PROVEEDORES[PROVEEDOR],PROVEEDORES[[#This Row],[PROVEEDOR]],PROVEEDORES[FECHA DE PAGO],"")</f>
        <v>0</v>
      </c>
      <c r="E1294" s="25"/>
      <c r="F1294" s="56">
        <f>+VLOOKUP(PROVEEDORES[[#This Row],[PROVEEDOR]],
                       Terceros!$A:$F,
                       5,
                       FALSE)</f>
        <v>0</v>
      </c>
      <c r="G1294" s="68">
        <v>44991</v>
      </c>
      <c r="H1294" s="26" t="s">
        <v>1423</v>
      </c>
      <c r="I1294" s="68">
        <v>44957</v>
      </c>
      <c r="J1294" s="35" t="s">
        <v>1424</v>
      </c>
      <c r="K1294" s="21">
        <v>430000</v>
      </c>
      <c r="L1294" s="21"/>
      <c r="M1294" s="22">
        <f>(PROVEEDORES[[#This Row],[SUBTOTAL]]-PROVEEDORES[[#This Row],[descuento sobre subtotal]])*VLOOKUP(PROVEEDORES[[#This Row],[PROVEEDOR]],TERCEROS_INFO[#All],3,FALSE)</f>
        <v>81700</v>
      </c>
      <c r="N1294" s="23"/>
      <c r="O1294" s="22">
        <f>+PROVEEDORES[[#This Row],[Descuento sobre subtotal %]]*(PROVEEDORES[[#This Row],[SUBTOTAL]]-PROVEEDORES[[#This Row],[descuento sobre subtotal]])</f>
        <v>0</v>
      </c>
      <c r="P1294" s="74">
        <f>+IF(PROVEEDORES[[#This Row],[SUBTOTAL]]&lt;PROVEEDORES[[#This Row],[base retencion]],0,PROVEEDORES[[#This Row],[retención aplicada]])</f>
        <v>0</v>
      </c>
      <c r="Q1294" s="22">
        <f>+PROVEEDORES[[#This Row],[Rete Fuente %]]*(PROVEEDORES[[#This Row],[SUBTOTAL]]-PROVEEDORES[[#This Row],[descuento sobre subtotal]])</f>
        <v>0</v>
      </c>
      <c r="R1294" s="21">
        <f>+PROVEEDORES[[#This Row],[SUBTOTAL]]+PROVEEDORES[[#This Row],[IVA 19%]]-PROVEEDORES[[#This Row],[descuento sobre subtotal]]-PROVEEDORES[[#This Row],[Descuento sobre subtotal $2]]-PROVEEDORES[[#This Row],[Rete Fuente $]]</f>
        <v>511700</v>
      </c>
      <c r="S12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63">
        <f ca="1">IF(PROVEEDORES[[#This Row],[FECHA DE PAGO]]=0,TODAY()-PROVEEDORES[[#This Row],[FECHA DE FACTURACIÓN]]-PROVEEDORES[[#This Row],[PLAZO Días]],0)</f>
        <v>0</v>
      </c>
      <c r="U1294" s="104" t="str">
        <f>+VLOOKUP(PROVEEDORES[[#This Row],[PROVEEDOR]],Terceros!$A:$D,4,FALSE)</f>
        <v>2,5% con base</v>
      </c>
      <c r="V1294" s="105">
        <f>+YEAR(PROVEEDORES[[#This Row],[FECHA DE FACTURACIÓN]])</f>
        <v>2023</v>
      </c>
      <c r="W1294" s="105">
        <f>+MATCH(PROVEEDORES[[#This Row],[año facturado]],Retenciones!$1:$1,0)</f>
        <v>6</v>
      </c>
      <c r="X1294" s="106">
        <f>+VLOOKUP(PROVEEDORES[[#This Row],[ID RETENCION]],Retenciones!$A$1:$O$25,PROVEEDORES[[#This Row],[indicador de columna]],FALSE)</f>
        <v>1145000</v>
      </c>
      <c r="Y1294" s="107">
        <f>+VLOOKUP(PROVEEDORES[[#This Row],[ID RETENCION]],Retenciones!$A$1:$O$25,2,FALSE)</f>
        <v>2.5000000000000001E-2</v>
      </c>
      <c r="Z1294" s="116" t="b">
        <f>OR(COUNTIF(PROVEEDORES[[#This Row],[PROVEEDOR]],"*"&amp;'Palabra no opera'!$A$2&amp;"*"))</f>
        <v>0</v>
      </c>
    </row>
    <row r="1295" spans="1:26" ht="22.35" customHeight="1" x14ac:dyDescent="0.3">
      <c r="A1295" s="271" t="str">
        <f>+IF(PROVEEDORES[[#This Row],[FECHA DE PAGO]]=PROVEEDORES[[#This Row],[FECHA DE FACTURACIÓN]],"DE CONTADO","CRÉDITO")</f>
        <v>DE CONTADO</v>
      </c>
      <c r="B1295" s="38" t="b">
        <f>+IF((PROVEEDORES[[#This Row],[FECHA DE PAGO]]-PROVEEDORES[[#This Row],[FECHA DE FACTURACIÓN]])&gt;PROVEEDORES[[#This Row],[PLAZO Días]],"PAGO VENCIDO")</f>
        <v>0</v>
      </c>
      <c r="C1295" s="20">
        <f>+VLOOKUP(PROVEEDORES[[#This Row],[PROVEEDOR]],TERCEROS_INFO[#All],2,FALSE)</f>
        <v>30</v>
      </c>
      <c r="D1295" s="25">
        <f>+SUMIFS(PROVEEDORES[Total],PROVEEDORES[PROVEEDOR],PROVEEDORES[[#This Row],[PROVEEDOR]],PROVEEDORES[FECHA DE PAGO],"")</f>
        <v>0</v>
      </c>
      <c r="E1295" s="25"/>
      <c r="F1295" s="56">
        <f>+VLOOKUP(PROVEEDORES[[#This Row],[PROVEEDOR]],
                       Terceros!$A:$F,
                       5,
                       FALSE)</f>
        <v>0</v>
      </c>
      <c r="G1295" s="68">
        <v>44991</v>
      </c>
      <c r="H1295" s="26" t="s">
        <v>471</v>
      </c>
      <c r="I1295" s="68">
        <v>44991</v>
      </c>
      <c r="J1295" s="35" t="s">
        <v>1480</v>
      </c>
      <c r="K1295" s="21">
        <v>1682849</v>
      </c>
      <c r="L1295" s="21"/>
      <c r="M1295" s="22">
        <f>(PROVEEDORES[[#This Row],[SUBTOTAL]]-PROVEEDORES[[#This Row],[descuento sobre subtotal]])*VLOOKUP(PROVEEDORES[[#This Row],[PROVEEDOR]],TERCEROS_INFO[#All],3,FALSE)</f>
        <v>319741.31</v>
      </c>
      <c r="N1295" s="23"/>
      <c r="O1295" s="22">
        <f>+PROVEEDORES[[#This Row],[Descuento sobre subtotal %]]*(PROVEEDORES[[#This Row],[SUBTOTAL]]-PROVEEDORES[[#This Row],[descuento sobre subtotal]])</f>
        <v>0</v>
      </c>
      <c r="P1295" s="74">
        <f>+IF(PROVEEDORES[[#This Row],[SUBTOTAL]]&lt;PROVEEDORES[[#This Row],[base retencion]],0,PROVEEDORES[[#This Row],[retención aplicada]])</f>
        <v>2.5000000000000001E-2</v>
      </c>
      <c r="Q1295" s="22">
        <f>+PROVEEDORES[[#This Row],[Rete Fuente %]]*(PROVEEDORES[[#This Row],[SUBTOTAL]]-PROVEEDORES[[#This Row],[descuento sobre subtotal]])</f>
        <v>42071.225000000006</v>
      </c>
      <c r="R1295" s="21">
        <f>+PROVEEDORES[[#This Row],[SUBTOTAL]]+PROVEEDORES[[#This Row],[IVA 19%]]-PROVEEDORES[[#This Row],[descuento sobre subtotal]]-PROVEEDORES[[#This Row],[Descuento sobre subtotal $2]]-PROVEEDORES[[#This Row],[Rete Fuente $]]</f>
        <v>1960519.085</v>
      </c>
      <c r="S1295" s="2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63">
        <f ca="1">IF(PROVEEDORES[[#This Row],[FECHA DE PAGO]]=0,TODAY()-PROVEEDORES[[#This Row],[FECHA DE FACTURACIÓN]]-PROVEEDORES[[#This Row],[PLAZO Días]],0)</f>
        <v>0</v>
      </c>
      <c r="U1295" s="104" t="str">
        <f>+VLOOKUP(PROVEEDORES[[#This Row],[PROVEEDOR]],Terceros!$A:$D,4,FALSE)</f>
        <v>2,5% con base</v>
      </c>
      <c r="V1295" s="105">
        <f>+YEAR(PROVEEDORES[[#This Row],[FECHA DE FACTURACIÓN]])</f>
        <v>2023</v>
      </c>
      <c r="W1295" s="105">
        <f>+MATCH(PROVEEDORES[[#This Row],[año facturado]],Retenciones!$1:$1,0)</f>
        <v>6</v>
      </c>
      <c r="X1295" s="106">
        <f>+VLOOKUP(PROVEEDORES[[#This Row],[ID RETENCION]],Retenciones!$A$1:$O$25,PROVEEDORES[[#This Row],[indicador de columna]],FALSE)</f>
        <v>1145000</v>
      </c>
      <c r="Y1295" s="107">
        <f>+VLOOKUP(PROVEEDORES[[#This Row],[ID RETENCION]],Retenciones!$A$1:$O$25,2,FALSE)</f>
        <v>2.5000000000000001E-2</v>
      </c>
      <c r="Z1295" s="116" t="b">
        <f>OR(COUNTIF(PROVEEDORES[[#This Row],[PROVEEDOR]],"*"&amp;'Palabra no opera'!$A$2&amp;"*"))</f>
        <v>0</v>
      </c>
    </row>
    <row r="1296" spans="1:26" ht="22.35" customHeight="1" x14ac:dyDescent="0.3">
      <c r="A1296" s="265" t="str">
        <f>+IF(PROVEEDORES[[#This Row],[FECHA DE PAGO]]=PROVEEDORES[[#This Row],[FECHA DE FACTURACIÓN]],"DE CONTADO","CRÉDITO")</f>
        <v>CRÉDITO</v>
      </c>
      <c r="B1296" s="38" t="b">
        <f>+IF((PROVEEDORES[[#This Row],[FECHA DE PAGO]]-PROVEEDORES[[#This Row],[FECHA DE FACTURACIÓN]])&gt;PROVEEDORES[[#This Row],[PLAZO Días]],"PAGO VENCIDO")</f>
        <v>0</v>
      </c>
      <c r="C1296" s="20">
        <f>+VLOOKUP(PROVEEDORES[[#This Row],[PROVEEDOR]],TERCEROS_INFO[#All],2,FALSE)</f>
        <v>30</v>
      </c>
      <c r="D1296" s="25">
        <f>+SUMIFS(PROVEEDORES[Total],PROVEEDORES[PROVEEDOR],PROVEEDORES[[#This Row],[PROVEEDOR]],PROVEEDORES[FECHA DE PAGO],"")</f>
        <v>0</v>
      </c>
      <c r="E1296" s="25"/>
      <c r="F1296" s="56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296" s="68">
        <v>44991</v>
      </c>
      <c r="H1296" s="26" t="s">
        <v>640</v>
      </c>
      <c r="I1296" s="68">
        <v>44966</v>
      </c>
      <c r="J1296" s="35" t="s">
        <v>1426</v>
      </c>
      <c r="K1296" s="21">
        <v>1520000</v>
      </c>
      <c r="L1296" s="21"/>
      <c r="M1296" s="22">
        <f>(PROVEEDORES[[#This Row],[SUBTOTAL]]-PROVEEDORES[[#This Row],[descuento sobre subtotal]])*VLOOKUP(PROVEEDORES[[#This Row],[PROVEEDOR]],TERCEROS_INFO[#All],3,FALSE)</f>
        <v>0</v>
      </c>
      <c r="N1296" s="23"/>
      <c r="O1296" s="22">
        <f>+PROVEEDORES[[#This Row],[Descuento sobre subtotal %]]*(PROVEEDORES[[#This Row],[SUBTOTAL]]-PROVEEDORES[[#This Row],[descuento sobre subtotal]])</f>
        <v>0</v>
      </c>
      <c r="P1296" s="74"/>
      <c r="Q1296" s="22">
        <f>+PROVEEDORES[[#This Row],[Rete Fuente %]]*(PROVEEDORES[[#This Row],[SUBTOTAL]]-PROVEEDORES[[#This Row],[descuento sobre subtotal]])</f>
        <v>0</v>
      </c>
      <c r="R1296" s="21">
        <f>+PROVEEDORES[[#This Row],[SUBTOTAL]]+PROVEEDORES[[#This Row],[IVA 19%]]-PROVEEDORES[[#This Row],[descuento sobre subtotal]]-PROVEEDORES[[#This Row],[Descuento sobre subtotal $2]]-PROVEEDORES[[#This Row],[Rete Fuente $]]</f>
        <v>1520000</v>
      </c>
      <c r="S1296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63">
        <f ca="1">IF(PROVEEDORES[[#This Row],[FECHA DE PAGO]]=0,TODAY()-PROVEEDORES[[#This Row],[FECHA DE FACTURACIÓN]]-PROVEEDORES[[#This Row],[PLAZO Días]],0)</f>
        <v>0</v>
      </c>
      <c r="U1296" s="104" t="str">
        <f>+VLOOKUP(PROVEEDORES[[#This Row],[PROVEEDOR]],Terceros!$A:$D,4,FALSE)</f>
        <v>3,5% sin base</v>
      </c>
      <c r="V1296" s="105">
        <f>+YEAR(PROVEEDORES[[#This Row],[FECHA DE FACTURACIÓN]])</f>
        <v>2023</v>
      </c>
      <c r="W1296" s="105">
        <f>+MATCH(PROVEEDORES[[#This Row],[año facturado]],Retenciones!$1:$1,0)</f>
        <v>6</v>
      </c>
      <c r="X1296" s="106">
        <f>+VLOOKUP(PROVEEDORES[[#This Row],[ID RETENCION]],Retenciones!$A$1:$O$25,PROVEEDORES[[#This Row],[indicador de columna]],FALSE)</f>
        <v>0</v>
      </c>
      <c r="Y1296" s="107">
        <f>+VLOOKUP(PROVEEDORES[[#This Row],[ID RETENCION]],Retenciones!$A$1:$O$25,2,FALSE)</f>
        <v>3.5000000000000003E-2</v>
      </c>
      <c r="Z1296" s="116" t="b">
        <f>OR(COUNTIF(PROVEEDORES[[#This Row],[PROVEEDOR]],"*"&amp;'Palabra no opera'!$A$2&amp;"*"))</f>
        <v>1</v>
      </c>
    </row>
    <row r="1297" spans="1:26" ht="22.35" customHeight="1" x14ac:dyDescent="0.3">
      <c r="A1297" s="271" t="str">
        <f>+IF(PROVEEDORES[[#This Row],[FECHA DE PAGO]]=PROVEEDORES[[#This Row],[FECHA DE FACTURACIÓN]],"DE CONTADO","CRÉDITO")</f>
        <v>DE CONTADO</v>
      </c>
      <c r="B1297" s="38" t="b">
        <f>+IF((PROVEEDORES[[#This Row],[FECHA DE PAGO]]-PROVEEDORES[[#This Row],[FECHA DE FACTURACIÓN]])&gt;PROVEEDORES[[#This Row],[PLAZO Días]],"PAGO VENCIDO")</f>
        <v>0</v>
      </c>
      <c r="C1297" s="20">
        <f>+VLOOKUP(PROVEEDORES[[#This Row],[PROVEEDOR]],TERCEROS_INFO[#All],2,FALSE)</f>
        <v>30</v>
      </c>
      <c r="D1297" s="25">
        <f>+SUMIFS(PROVEEDORES[Total],PROVEEDORES[PROVEEDOR],PROVEEDORES[[#This Row],[PROVEEDOR]],PROVEEDORES[FECHA DE PAGO],"")</f>
        <v>0</v>
      </c>
      <c r="E1297" s="25"/>
      <c r="F1297" s="56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297" s="68">
        <v>44991</v>
      </c>
      <c r="H1297" s="26" t="s">
        <v>253</v>
      </c>
      <c r="I1297" s="68">
        <v>44991</v>
      </c>
      <c r="J1297" s="35">
        <v>6922</v>
      </c>
      <c r="K1297" s="21">
        <v>4100000</v>
      </c>
      <c r="L1297" s="21"/>
      <c r="M1297" s="22">
        <f>(PROVEEDORES[[#This Row],[SUBTOTAL]]-PROVEEDORES[[#This Row],[descuento sobre subtotal]])*VLOOKUP(PROVEEDORES[[#This Row],[PROVEEDOR]],TERCEROS_INFO[#All],3,FALSE)</f>
        <v>779000</v>
      </c>
      <c r="N1297" s="23"/>
      <c r="O1297" s="22">
        <f>+PROVEEDORES[[#This Row],[Descuento sobre subtotal %]]*(PROVEEDORES[[#This Row],[SUBTOTAL]]-PROVEEDORES[[#This Row],[descuento sobre subtotal]])</f>
        <v>0</v>
      </c>
      <c r="P1297" s="74">
        <f>+IF(PROVEEDORES[[#This Row],[SUBTOTAL]]&lt;PROVEEDORES[[#This Row],[base retencion]],0,PROVEEDORES[[#This Row],[retención aplicada]])</f>
        <v>2.5000000000000001E-2</v>
      </c>
      <c r="Q1297" s="22">
        <f>+PROVEEDORES[[#This Row],[Rete Fuente %]]*(PROVEEDORES[[#This Row],[SUBTOTAL]]-PROVEEDORES[[#This Row],[descuento sobre subtotal]])</f>
        <v>102500</v>
      </c>
      <c r="R1297" s="21">
        <f>+PROVEEDORES[[#This Row],[SUBTOTAL]]+PROVEEDORES[[#This Row],[IVA 19%]]-PROVEEDORES[[#This Row],[descuento sobre subtotal]]-PROVEEDORES[[#This Row],[Descuento sobre subtotal $2]]-PROVEEDORES[[#This Row],[Rete Fuente $]]</f>
        <v>4776500</v>
      </c>
      <c r="S1297" s="2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7" s="63">
        <f ca="1">IF(PROVEEDORES[[#This Row],[FECHA DE PAGO]]=0,TODAY()-PROVEEDORES[[#This Row],[FECHA DE FACTURACIÓN]]-PROVEEDORES[[#This Row],[PLAZO Días]],0)</f>
        <v>0</v>
      </c>
      <c r="U1297" s="104" t="str">
        <f>+VLOOKUP(PROVEEDORES[[#This Row],[PROVEEDOR]],Terceros!$A:$D,4,FALSE)</f>
        <v>2,5% con base</v>
      </c>
      <c r="V1297" s="105">
        <f>+YEAR(PROVEEDORES[[#This Row],[FECHA DE FACTURACIÓN]])</f>
        <v>2023</v>
      </c>
      <c r="W1297" s="105">
        <f>+MATCH(PROVEEDORES[[#This Row],[año facturado]],Retenciones!$1:$1,0)</f>
        <v>6</v>
      </c>
      <c r="X1297" s="106">
        <f>+VLOOKUP(PROVEEDORES[[#This Row],[ID RETENCION]],Retenciones!$A$1:$O$25,PROVEEDORES[[#This Row],[indicador de columna]],FALSE)</f>
        <v>1145000</v>
      </c>
      <c r="Y1297" s="107">
        <f>+VLOOKUP(PROVEEDORES[[#This Row],[ID RETENCION]],Retenciones!$A$1:$O$25,2,FALSE)</f>
        <v>2.5000000000000001E-2</v>
      </c>
      <c r="Z1297" s="116" t="b">
        <f>OR(COUNTIF(PROVEEDORES[[#This Row],[PROVEEDOR]],"*"&amp;'Palabra no opera'!$A$2&amp;"*"))</f>
        <v>0</v>
      </c>
    </row>
    <row r="1298" spans="1:26" ht="22.35" customHeight="1" x14ac:dyDescent="0.3">
      <c r="A1298" s="67" t="str">
        <f>+IF(PROVEEDORES[[#This Row],[FECHA DE PAGO]]=PROVEEDORES[[#This Row],[FECHA DE FACTURACIÓN]],"DE CONTADO","CRÉDITO")</f>
        <v>DE CONTADO</v>
      </c>
      <c r="B1298" s="38" t="b">
        <f>+IF((PROVEEDORES[[#This Row],[FECHA DE PAGO]]-PROVEEDORES[[#This Row],[FECHA DE FACTURACIÓN]])&gt;PROVEEDORES[[#This Row],[PLAZO Días]],"PAGO VENCIDO")</f>
        <v>0</v>
      </c>
      <c r="C1298" s="20">
        <f>+VLOOKUP(PROVEEDORES[[#This Row],[PROVEEDOR]],TERCEROS_INFO[#All],2,FALSE)</f>
        <v>30</v>
      </c>
      <c r="D1298" s="25">
        <f>+SUMIFS(PROVEEDORES[Total],PROVEEDORES[PROVEEDOR],PROVEEDORES[[#This Row],[PROVEEDOR]],PROVEEDORES[FECHA DE PAGO],"")</f>
        <v>18444236.894999996</v>
      </c>
      <c r="E1298" s="25"/>
      <c r="F129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98" s="68">
        <v>44991</v>
      </c>
      <c r="H1298" s="26" t="s">
        <v>11</v>
      </c>
      <c r="I1298" s="68">
        <v>44991</v>
      </c>
      <c r="J1298" s="35" t="s">
        <v>1496</v>
      </c>
      <c r="K1298" s="21">
        <v>350379</v>
      </c>
      <c r="L1298" s="21"/>
      <c r="M1298" s="22">
        <f>(PROVEEDORES[[#This Row],[SUBTOTAL]]-PROVEEDORES[[#This Row],[descuento sobre subtotal]])*VLOOKUP(PROVEEDORES[[#This Row],[PROVEEDOR]],TERCEROS_INFO[#All],3,FALSE)</f>
        <v>66572.009999999995</v>
      </c>
      <c r="N1298" s="23"/>
      <c r="O1298" s="22">
        <f>+PROVEEDORES[[#This Row],[Descuento sobre subtotal %]]*(PROVEEDORES[[#This Row],[SUBTOTAL]]-PROVEEDORES[[#This Row],[descuento sobre subtotal]])</f>
        <v>0</v>
      </c>
      <c r="P1298" s="74">
        <f>+IF(PROVEEDORES[[#This Row],[SUBTOTAL]]&lt;PROVEEDORES[[#This Row],[base retencion]],0,PROVEEDORES[[#This Row],[retención aplicada]])</f>
        <v>0</v>
      </c>
      <c r="Q1298" s="22">
        <f>+PROVEEDORES[[#This Row],[Rete Fuente %]]*(PROVEEDORES[[#This Row],[SUBTOTAL]]-PROVEEDORES[[#This Row],[descuento sobre subtotal]])</f>
        <v>0</v>
      </c>
      <c r="R1298" s="21">
        <f>+PROVEEDORES[[#This Row],[SUBTOTAL]]+PROVEEDORES[[#This Row],[IVA 19%]]-PROVEEDORES[[#This Row],[descuento sobre subtotal]]-PROVEEDORES[[#This Row],[Descuento sobre subtotal $2]]-PROVEEDORES[[#This Row],[Rete Fuente $]]</f>
        <v>416951.01</v>
      </c>
      <c r="S12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8" s="63">
        <f ca="1">IF(PROVEEDORES[[#This Row],[FECHA DE PAGO]]=0,TODAY()-PROVEEDORES[[#This Row],[FECHA DE FACTURACIÓN]]-PROVEEDORES[[#This Row],[PLAZO Días]],0)</f>
        <v>0</v>
      </c>
      <c r="U1298" s="104" t="str">
        <f>+VLOOKUP(PROVEEDORES[[#This Row],[PROVEEDOR]],Terceros!$A:$D,4,FALSE)</f>
        <v>2,5% con base</v>
      </c>
      <c r="V1298" s="105">
        <f>+YEAR(PROVEEDORES[[#This Row],[FECHA DE FACTURACIÓN]])</f>
        <v>2023</v>
      </c>
      <c r="W1298" s="105">
        <f>+MATCH(PROVEEDORES[[#This Row],[año facturado]],Retenciones!$1:$1,0)</f>
        <v>6</v>
      </c>
      <c r="X1298" s="106">
        <f>+VLOOKUP(PROVEEDORES[[#This Row],[ID RETENCION]],Retenciones!$A$1:$O$25,PROVEEDORES[[#This Row],[indicador de columna]],FALSE)</f>
        <v>1145000</v>
      </c>
      <c r="Y1298" s="107">
        <f>+VLOOKUP(PROVEEDORES[[#This Row],[ID RETENCION]],Retenciones!$A$1:$O$25,2,FALSE)</f>
        <v>2.5000000000000001E-2</v>
      </c>
      <c r="Z1298" s="116" t="b">
        <f>OR(COUNTIF(PROVEEDORES[[#This Row],[PROVEEDOR]],"*"&amp;'Palabra no opera'!$A$2&amp;"*"))</f>
        <v>0</v>
      </c>
    </row>
    <row r="1299" spans="1:26" ht="22.35" customHeight="1" x14ac:dyDescent="0.3">
      <c r="A1299" s="67" t="str">
        <f>+IF(PROVEEDORES[[#This Row],[FECHA DE PAGO]]=PROVEEDORES[[#This Row],[FECHA DE FACTURACIÓN]],"DE CONTADO","CRÉDITO")</f>
        <v>CRÉDITO</v>
      </c>
      <c r="B1299" s="38" t="str">
        <f>+IF((PROVEEDORES[[#This Row],[FECHA DE PAGO]]-PROVEEDORES[[#This Row],[FECHA DE FACTURACIÓN]])&gt;PROVEEDORES[[#This Row],[PLAZO Días]],"PAGO VENCIDO")</f>
        <v>PAGO VENCIDO</v>
      </c>
      <c r="C1299" s="20">
        <f>+VLOOKUP(PROVEEDORES[[#This Row],[PROVEEDOR]],TERCEROS_INFO[#All],2,FALSE)</f>
        <v>60</v>
      </c>
      <c r="D1299" s="25">
        <f>+SUMIFS(PROVEEDORES[Total],PROVEEDORES[PROVEEDOR],PROVEEDORES[[#This Row],[PROVEEDOR]],PROVEEDORES[FECHA DE PAGO],"")</f>
        <v>0</v>
      </c>
      <c r="E1299" s="25"/>
      <c r="F1299" s="56" t="str">
        <f>+VLOOKUP(PROVEEDORES[[#This Row],[PROVEEDOR]],
                       Terceros!$A:$F,
                       5,
                       FALSE)</f>
        <v>gloritasz@gmail.com;girlesa.ruiz@servipilas.com;joriescobar64@gmail.com</v>
      </c>
      <c r="G1299" s="68">
        <v>44992</v>
      </c>
      <c r="H1299" s="26" t="s">
        <v>377</v>
      </c>
      <c r="I1299" s="68">
        <v>44877</v>
      </c>
      <c r="J1299" s="251" t="s">
        <v>1289</v>
      </c>
      <c r="K1299" s="21">
        <v>1845000</v>
      </c>
      <c r="L1299" s="21"/>
      <c r="M1299" s="22">
        <f>(PROVEEDORES[[#This Row],[SUBTOTAL]]-PROVEEDORES[[#This Row],[descuento sobre subtotal]])*VLOOKUP(PROVEEDORES[[#This Row],[PROVEEDOR]],TERCEROS_INFO[#All],3,FALSE)</f>
        <v>0</v>
      </c>
      <c r="N1299" s="23"/>
      <c r="O1299" s="22">
        <f>+PROVEEDORES[[#This Row],[Descuento sobre subtotal %]]*(PROVEEDORES[[#This Row],[SUBTOTAL]]-PROVEEDORES[[#This Row],[descuento sobre subtotal]])</f>
        <v>0</v>
      </c>
      <c r="P1299" s="74">
        <f>+IF(PROVEEDORES[[#This Row],[SUBTOTAL]]&lt;PROVEEDORES[[#This Row],[base retencion]],0,PROVEEDORES[[#This Row],[retención aplicada]])</f>
        <v>0</v>
      </c>
      <c r="Q1299" s="22">
        <f>+PROVEEDORES[[#This Row],[Rete Fuente %]]*(PROVEEDORES[[#This Row],[SUBTOTAL]]-PROVEEDORES[[#This Row],[descuento sobre subtotal]])</f>
        <v>0</v>
      </c>
      <c r="R1299" s="21">
        <f>+PROVEEDORES[[#This Row],[SUBTOTAL]]+PROVEEDORES[[#This Row],[IVA 19%]]-PROVEEDORES[[#This Row],[descuento sobre subtotal]]-PROVEEDORES[[#This Row],[Descuento sobre subtotal $2]]-PROVEEDORES[[#This Row],[Rete Fuente $]]</f>
        <v>1845000</v>
      </c>
      <c r="S12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63">
        <f ca="1">IF(PROVEEDORES[[#This Row],[FECHA DE PAGO]]=0,TODAY()-PROVEEDORES[[#This Row],[FECHA DE FACTURACIÓN]]-PROVEEDORES[[#This Row],[PLAZO Días]],0)</f>
        <v>0</v>
      </c>
      <c r="U1299" s="104">
        <f>+VLOOKUP(PROVEEDORES[[#This Row],[PROVEEDOR]],Terceros!$A:$D,4,FALSE)</f>
        <v>0</v>
      </c>
      <c r="V1299" s="105">
        <f>+YEAR(PROVEEDORES[[#This Row],[FECHA DE FACTURACIÓN]])</f>
        <v>2022</v>
      </c>
      <c r="W1299" s="105">
        <f>+MATCH(PROVEEDORES[[#This Row],[año facturado]],Retenciones!$1:$1,0)</f>
        <v>5</v>
      </c>
      <c r="X1299" s="106">
        <f>+VLOOKUP(PROVEEDORES[[#This Row],[ID RETENCION]],Retenciones!$A$1:$O$25,PROVEEDORES[[#This Row],[indicador de columna]],FALSE)</f>
        <v>0</v>
      </c>
      <c r="Y1299" s="107">
        <f>+VLOOKUP(PROVEEDORES[[#This Row],[ID RETENCION]],Retenciones!$A$1:$O$25,2,FALSE)</f>
        <v>0</v>
      </c>
      <c r="Z1299" s="116" t="b">
        <f>OR(COUNTIF(PROVEEDORES[[#This Row],[PROVEEDOR]],"*"&amp;'Palabra no opera'!$A$2&amp;"*"))</f>
        <v>0</v>
      </c>
    </row>
    <row r="1300" spans="1:26" ht="22.35" customHeight="1" x14ac:dyDescent="0.3">
      <c r="A1300" s="67" t="str">
        <f>+IF(PROVEEDORES[[#This Row],[FECHA DE PAGO]]=PROVEEDORES[[#This Row],[FECHA DE FACTURACIÓN]],"DE CONTADO","CRÉDITO")</f>
        <v>CRÉDITO</v>
      </c>
      <c r="B1300" s="38" t="str">
        <f>+IF((PROVEEDORES[[#This Row],[FECHA DE PAGO]]-PROVEEDORES[[#This Row],[FECHA DE FACTURACIÓN]])&gt;PROVEEDORES[[#This Row],[PLAZO Días]],"PAGO VENCIDO")</f>
        <v>PAGO VENCIDO</v>
      </c>
      <c r="C1300" s="20">
        <f>+VLOOKUP(PROVEEDORES[[#This Row],[PROVEEDOR]],TERCEROS_INFO[#All],2,FALSE)</f>
        <v>60</v>
      </c>
      <c r="D1300" s="25">
        <f>+SUMIFS(PROVEEDORES[Total],PROVEEDORES[PROVEEDOR],PROVEEDORES[[#This Row],[PROVEEDOR]],PROVEEDORES[FECHA DE PAGO],"")</f>
        <v>0</v>
      </c>
      <c r="E1300" s="25"/>
      <c r="F1300" s="56" t="str">
        <f>+VLOOKUP(PROVEEDORES[[#This Row],[PROVEEDOR]],
                       Terceros!$A:$F,
                       5,
                       FALSE)</f>
        <v>gloritasz@gmail.com;girlesa.ruiz@servipilas.com;joriescobar64@gmail.com</v>
      </c>
      <c r="G1300" s="68">
        <v>44992</v>
      </c>
      <c r="H1300" s="26" t="s">
        <v>377</v>
      </c>
      <c r="I1300" s="68">
        <v>44877</v>
      </c>
      <c r="J1300" s="251" t="s">
        <v>1290</v>
      </c>
      <c r="K1300" s="21">
        <v>3529000</v>
      </c>
      <c r="L1300" s="21"/>
      <c r="M1300" s="22">
        <f>(PROVEEDORES[[#This Row],[SUBTOTAL]]-PROVEEDORES[[#This Row],[descuento sobre subtotal]])*VLOOKUP(PROVEEDORES[[#This Row],[PROVEEDOR]],TERCEROS_INFO[#All],3,FALSE)</f>
        <v>0</v>
      </c>
      <c r="N1300" s="23"/>
      <c r="O1300" s="22">
        <f>+PROVEEDORES[[#This Row],[Descuento sobre subtotal %]]*(PROVEEDORES[[#This Row],[SUBTOTAL]]-PROVEEDORES[[#This Row],[descuento sobre subtotal]])</f>
        <v>0</v>
      </c>
      <c r="P1300" s="74">
        <f>+IF(PROVEEDORES[[#This Row],[SUBTOTAL]]&lt;PROVEEDORES[[#This Row],[base retencion]],0,PROVEEDORES[[#This Row],[retención aplicada]])</f>
        <v>0</v>
      </c>
      <c r="Q1300" s="22">
        <f>+PROVEEDORES[[#This Row],[Rete Fuente %]]*(PROVEEDORES[[#This Row],[SUBTOTAL]]-PROVEEDORES[[#This Row],[descuento sobre subtotal]])</f>
        <v>0</v>
      </c>
      <c r="R1300" s="21">
        <f>+PROVEEDORES[[#This Row],[SUBTOTAL]]+PROVEEDORES[[#This Row],[IVA 19%]]-PROVEEDORES[[#This Row],[descuento sobre subtotal]]-PROVEEDORES[[#This Row],[Descuento sobre subtotal $2]]-PROVEEDORES[[#This Row],[Rete Fuente $]]</f>
        <v>3529000</v>
      </c>
      <c r="S13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63">
        <f ca="1">IF(PROVEEDORES[[#This Row],[FECHA DE PAGO]]=0,TODAY()-PROVEEDORES[[#This Row],[FECHA DE FACTURACIÓN]]-PROVEEDORES[[#This Row],[PLAZO Días]],0)</f>
        <v>0</v>
      </c>
      <c r="U1300" s="104">
        <f>+VLOOKUP(PROVEEDORES[[#This Row],[PROVEEDOR]],Terceros!$A:$D,4,FALSE)</f>
        <v>0</v>
      </c>
      <c r="V1300" s="105">
        <f>+YEAR(PROVEEDORES[[#This Row],[FECHA DE FACTURACIÓN]])</f>
        <v>2022</v>
      </c>
      <c r="W1300" s="105">
        <f>+MATCH(PROVEEDORES[[#This Row],[año facturado]],Retenciones!$1:$1,0)</f>
        <v>5</v>
      </c>
      <c r="X1300" s="106">
        <f>+VLOOKUP(PROVEEDORES[[#This Row],[ID RETENCION]],Retenciones!$A$1:$O$25,PROVEEDORES[[#This Row],[indicador de columna]],FALSE)</f>
        <v>0</v>
      </c>
      <c r="Y1300" s="107">
        <f>+VLOOKUP(PROVEEDORES[[#This Row],[ID RETENCION]],Retenciones!$A$1:$O$25,2,FALSE)</f>
        <v>0</v>
      </c>
      <c r="Z1300" s="116" t="b">
        <f>OR(COUNTIF(PROVEEDORES[[#This Row],[PROVEEDOR]],"*"&amp;'Palabra no opera'!$A$2&amp;"*"))</f>
        <v>0</v>
      </c>
    </row>
    <row r="1301" spans="1:26" ht="22.35" customHeight="1" x14ac:dyDescent="0.3">
      <c r="A1301" s="252" t="str">
        <f>+IF(PROVEEDORES[[#This Row],[FECHA DE PAGO]]=PROVEEDORES[[#This Row],[FECHA DE FACTURACIÓN]],"DE CONTADO","CRÉDITO")</f>
        <v>CRÉDITO</v>
      </c>
      <c r="B1301" s="38" t="str">
        <f>+IF((PROVEEDORES[[#This Row],[FECHA DE PAGO]]-PROVEEDORES[[#This Row],[FECHA DE FACTURACIÓN]])&gt;PROVEEDORES[[#This Row],[PLAZO Días]],"PAGO VENCIDO")</f>
        <v>PAGO VENCIDO</v>
      </c>
      <c r="C1301" s="20">
        <f>+VLOOKUP(PROVEEDORES[[#This Row],[PROVEEDOR]],TERCEROS_INFO[#All],2,FALSE)</f>
        <v>60</v>
      </c>
      <c r="D1301" s="25">
        <f>+SUMIFS(PROVEEDORES[Total],PROVEEDORES[PROVEEDOR],PROVEEDORES[[#This Row],[PROVEEDOR]],PROVEEDORES[FECHA DE PAGO],"")</f>
        <v>395600</v>
      </c>
      <c r="E1301" s="25"/>
      <c r="F130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1" s="68">
        <v>44992</v>
      </c>
      <c r="H1301" s="26" t="s">
        <v>287</v>
      </c>
      <c r="I1301" s="68">
        <v>44914</v>
      </c>
      <c r="J1301" s="35">
        <v>1566</v>
      </c>
      <c r="K1301" s="21">
        <v>192000</v>
      </c>
      <c r="L1301" s="21"/>
      <c r="M1301" s="22">
        <f>(PROVEEDORES[[#This Row],[SUBTOTAL]]-PROVEEDORES[[#This Row],[descuento sobre subtotal]])*VLOOKUP(PROVEEDORES[[#This Row],[PROVEEDOR]],TERCEROS_INFO[#All],3,FALSE)</f>
        <v>0</v>
      </c>
      <c r="N1301" s="23"/>
      <c r="O1301" s="22">
        <f>+PROVEEDORES[[#This Row],[Descuento sobre subtotal %]]*(PROVEEDORES[[#This Row],[SUBTOTAL]]-PROVEEDORES[[#This Row],[descuento sobre subtotal]])</f>
        <v>0</v>
      </c>
      <c r="P1301" s="74">
        <f>+IF(PROVEEDORES[[#This Row],[SUBTOTAL]]&lt;PROVEEDORES[[#This Row],[base retencion]],0,PROVEEDORES[[#This Row],[retención aplicada]])</f>
        <v>0</v>
      </c>
      <c r="Q1301" s="22">
        <f>+PROVEEDORES[[#This Row],[Rete Fuente %]]*(PROVEEDORES[[#This Row],[SUBTOTAL]]-PROVEEDORES[[#This Row],[descuento sobre subtotal]])</f>
        <v>0</v>
      </c>
      <c r="R1301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1301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63">
        <f ca="1">IF(PROVEEDORES[[#This Row],[FECHA DE PAGO]]=0,TODAY()-PROVEEDORES[[#This Row],[FECHA DE FACTURACIÓN]]-PROVEEDORES[[#This Row],[PLAZO Días]],0)</f>
        <v>0</v>
      </c>
      <c r="U1301" s="104">
        <f>+VLOOKUP(PROVEEDORES[[#This Row],[PROVEEDOR]],Terceros!$A:$D,4,FALSE)</f>
        <v>0</v>
      </c>
      <c r="V1301" s="105">
        <f>+YEAR(PROVEEDORES[[#This Row],[FECHA DE FACTURACIÓN]])</f>
        <v>2022</v>
      </c>
      <c r="W1301" s="105">
        <f>+MATCH(PROVEEDORES[[#This Row],[año facturado]],Retenciones!$1:$1,0)</f>
        <v>5</v>
      </c>
      <c r="X1301" s="106">
        <f>+VLOOKUP(PROVEEDORES[[#This Row],[ID RETENCION]],Retenciones!$A$1:$O$25,PROVEEDORES[[#This Row],[indicador de columna]],FALSE)</f>
        <v>0</v>
      </c>
      <c r="Y1301" s="107">
        <f>+VLOOKUP(PROVEEDORES[[#This Row],[ID RETENCION]],Retenciones!$A$1:$O$25,2,FALSE)</f>
        <v>0</v>
      </c>
      <c r="Z1301" s="116" t="b">
        <f>OR(COUNTIF(PROVEEDORES[[#This Row],[PROVEEDOR]],"*"&amp;'Palabra no opera'!$A$2&amp;"*"))</f>
        <v>0</v>
      </c>
    </row>
    <row r="1302" spans="1:26" ht="22.35" customHeight="1" x14ac:dyDescent="0.3">
      <c r="A1302" s="252" t="str">
        <f>+IF(PROVEEDORES[[#This Row],[FECHA DE PAGO]]=PROVEEDORES[[#This Row],[FECHA DE FACTURACIÓN]],"DE CONTADO","CRÉDITO")</f>
        <v>CRÉDITO</v>
      </c>
      <c r="B1302" s="38" t="str">
        <f>+IF((PROVEEDORES[[#This Row],[FECHA DE PAGO]]-PROVEEDORES[[#This Row],[FECHA DE FACTURACIÓN]])&gt;PROVEEDORES[[#This Row],[PLAZO Días]],"PAGO VENCIDO")</f>
        <v>PAGO VENCIDO</v>
      </c>
      <c r="C1302" s="20">
        <f>+VLOOKUP(PROVEEDORES[[#This Row],[PROVEEDOR]],TERCEROS_INFO[#All],2,FALSE)</f>
        <v>60</v>
      </c>
      <c r="D1302" s="25">
        <f>+SUMIFS(PROVEEDORES[Total],PROVEEDORES[PROVEEDOR],PROVEEDORES[[#This Row],[PROVEEDOR]],PROVEEDORES[FECHA DE PAGO],"")</f>
        <v>395600</v>
      </c>
      <c r="E1302" s="25"/>
      <c r="F130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2" s="68">
        <v>44992</v>
      </c>
      <c r="H1302" s="26" t="s">
        <v>287</v>
      </c>
      <c r="I1302" s="69">
        <v>44922</v>
      </c>
      <c r="J1302" s="35">
        <v>1567</v>
      </c>
      <c r="K1302" s="21">
        <v>192000</v>
      </c>
      <c r="L1302" s="21"/>
      <c r="M1302" s="22">
        <f>(PROVEEDORES[[#This Row],[SUBTOTAL]]-PROVEEDORES[[#This Row],[descuento sobre subtotal]])*VLOOKUP(PROVEEDORES[[#This Row],[PROVEEDOR]],TERCEROS_INFO[#All],3,FALSE)</f>
        <v>0</v>
      </c>
      <c r="N1302" s="23"/>
      <c r="O1302" s="22">
        <f>+PROVEEDORES[[#This Row],[Descuento sobre subtotal %]]*(PROVEEDORES[[#This Row],[SUBTOTAL]]-PROVEEDORES[[#This Row],[descuento sobre subtotal]])</f>
        <v>0</v>
      </c>
      <c r="P1302" s="74">
        <f>+IF(PROVEEDORES[[#This Row],[SUBTOTAL]]&lt;PROVEEDORES[[#This Row],[base retencion]],0,PROVEEDORES[[#This Row],[retención aplicada]])</f>
        <v>0</v>
      </c>
      <c r="Q1302" s="22">
        <f>+PROVEEDORES[[#This Row],[Rete Fuente %]]*(PROVEEDORES[[#This Row],[SUBTOTAL]]-PROVEEDORES[[#This Row],[descuento sobre subtotal]])</f>
        <v>0</v>
      </c>
      <c r="R1302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1302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63">
        <f ca="1">IF(PROVEEDORES[[#This Row],[FECHA DE PAGO]]=0,TODAY()-PROVEEDORES[[#This Row],[FECHA DE FACTURACIÓN]]-PROVEEDORES[[#This Row],[PLAZO Días]],0)</f>
        <v>0</v>
      </c>
      <c r="U1302" s="104">
        <f>+VLOOKUP(PROVEEDORES[[#This Row],[PROVEEDOR]],Terceros!$A:$D,4,FALSE)</f>
        <v>0</v>
      </c>
      <c r="V1302" s="105">
        <f>+YEAR(PROVEEDORES[[#This Row],[FECHA DE FACTURACIÓN]])</f>
        <v>2022</v>
      </c>
      <c r="W1302" s="105">
        <f>+MATCH(PROVEEDORES[[#This Row],[año facturado]],Retenciones!$1:$1,0)</f>
        <v>5</v>
      </c>
      <c r="X1302" s="106">
        <f>+VLOOKUP(PROVEEDORES[[#This Row],[ID RETENCION]],Retenciones!$A$1:$O$25,PROVEEDORES[[#This Row],[indicador de columna]],FALSE)</f>
        <v>0</v>
      </c>
      <c r="Y1302" s="107">
        <f>+VLOOKUP(PROVEEDORES[[#This Row],[ID RETENCION]],Retenciones!$A$1:$O$25,2,FALSE)</f>
        <v>0</v>
      </c>
      <c r="Z1302" s="116" t="b">
        <f>OR(COUNTIF(PROVEEDORES[[#This Row],[PROVEEDOR]],"*"&amp;'Palabra no opera'!$A$2&amp;"*"))</f>
        <v>0</v>
      </c>
    </row>
    <row r="1303" spans="1:26" ht="22.35" customHeight="1" x14ac:dyDescent="0.3">
      <c r="A1303" s="252" t="str">
        <f>+IF(PROVEEDORES[[#This Row],[FECHA DE PAGO]]=PROVEEDORES[[#This Row],[FECHA DE FACTURACIÓN]],"DE CONTADO","CRÉDITO")</f>
        <v>CRÉDITO</v>
      </c>
      <c r="B1303" s="38" t="str">
        <f>+IF((PROVEEDORES[[#This Row],[FECHA DE PAGO]]-PROVEEDORES[[#This Row],[FECHA DE FACTURACIÓN]])&gt;PROVEEDORES[[#This Row],[PLAZO Días]],"PAGO VENCIDO")</f>
        <v>PAGO VENCIDO</v>
      </c>
      <c r="C1303" s="20">
        <f>+VLOOKUP(PROVEEDORES[[#This Row],[PROVEEDOR]],TERCEROS_INFO[#All],2,FALSE)</f>
        <v>60</v>
      </c>
      <c r="D1303" s="25">
        <f>+SUMIFS(PROVEEDORES[Total],PROVEEDORES[PROVEEDOR],PROVEEDORES[[#This Row],[PROVEEDOR]],PROVEEDORES[FECHA DE PAGO],"")</f>
        <v>395600</v>
      </c>
      <c r="E1303" s="25"/>
      <c r="F130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3" s="68">
        <v>44992</v>
      </c>
      <c r="H1303" s="26" t="s">
        <v>287</v>
      </c>
      <c r="I1303" s="69">
        <v>44922</v>
      </c>
      <c r="J1303" s="35">
        <v>1568</v>
      </c>
      <c r="K1303" s="21">
        <v>211200</v>
      </c>
      <c r="L1303" s="21"/>
      <c r="M1303" s="22">
        <f>(PROVEEDORES[[#This Row],[SUBTOTAL]]-PROVEEDORES[[#This Row],[descuento sobre subtotal]])*VLOOKUP(PROVEEDORES[[#This Row],[PROVEEDOR]],TERCEROS_INFO[#All],3,FALSE)</f>
        <v>0</v>
      </c>
      <c r="N1303" s="23"/>
      <c r="O1303" s="22">
        <f>+PROVEEDORES[[#This Row],[Descuento sobre subtotal %]]*(PROVEEDORES[[#This Row],[SUBTOTAL]]-PROVEEDORES[[#This Row],[descuento sobre subtotal]])</f>
        <v>0</v>
      </c>
      <c r="P1303" s="74">
        <f>+IF(PROVEEDORES[[#This Row],[SUBTOTAL]]&lt;PROVEEDORES[[#This Row],[base retencion]],0,PROVEEDORES[[#This Row],[retención aplicada]])</f>
        <v>0</v>
      </c>
      <c r="Q1303" s="22">
        <f>+PROVEEDORES[[#This Row],[Rete Fuente %]]*(PROVEEDORES[[#This Row],[SUBTOTAL]]-PROVEEDORES[[#This Row],[descuento sobre subtotal]])</f>
        <v>0</v>
      </c>
      <c r="R1303" s="21">
        <f>+PROVEEDORES[[#This Row],[SUBTOTAL]]+PROVEEDORES[[#This Row],[IVA 19%]]-PROVEEDORES[[#This Row],[descuento sobre subtotal]]-PROVEEDORES[[#This Row],[Descuento sobre subtotal $2]]-PROVEEDORES[[#This Row],[Rete Fuente $]]</f>
        <v>211200</v>
      </c>
      <c r="S1303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63">
        <f ca="1">IF(PROVEEDORES[[#This Row],[FECHA DE PAGO]]=0,TODAY()-PROVEEDORES[[#This Row],[FECHA DE FACTURACIÓN]]-PROVEEDORES[[#This Row],[PLAZO Días]],0)</f>
        <v>0</v>
      </c>
      <c r="U1303" s="104">
        <f>+VLOOKUP(PROVEEDORES[[#This Row],[PROVEEDOR]],Terceros!$A:$D,4,FALSE)</f>
        <v>0</v>
      </c>
      <c r="V1303" s="105">
        <f>+YEAR(PROVEEDORES[[#This Row],[FECHA DE FACTURACIÓN]])</f>
        <v>2022</v>
      </c>
      <c r="W1303" s="105">
        <f>+MATCH(PROVEEDORES[[#This Row],[año facturado]],Retenciones!$1:$1,0)</f>
        <v>5</v>
      </c>
      <c r="X1303" s="106">
        <f>+VLOOKUP(PROVEEDORES[[#This Row],[ID RETENCION]],Retenciones!$A$1:$O$25,PROVEEDORES[[#This Row],[indicador de columna]],FALSE)</f>
        <v>0</v>
      </c>
      <c r="Y1303" s="107">
        <f>+VLOOKUP(PROVEEDORES[[#This Row],[ID RETENCION]],Retenciones!$A$1:$O$25,2,FALSE)</f>
        <v>0</v>
      </c>
      <c r="Z1303" s="116" t="b">
        <f>OR(COUNTIF(PROVEEDORES[[#This Row],[PROVEEDOR]],"*"&amp;'Palabra no opera'!$A$2&amp;"*"))</f>
        <v>0</v>
      </c>
    </row>
    <row r="1304" spans="1:26" ht="22.35" customHeight="1" x14ac:dyDescent="0.3">
      <c r="A1304" s="67" t="str">
        <f>+IF(PROVEEDORES[[#This Row],[FECHA DE PAGO]]=PROVEEDORES[[#This Row],[FECHA DE FACTURACIÓN]],"DE CONTADO","CRÉDITO")</f>
        <v>CRÉDITO</v>
      </c>
      <c r="B1304" s="38" t="str">
        <f>+IF((PROVEEDORES[[#This Row],[FECHA DE PAGO]]-PROVEEDORES[[#This Row],[FECHA DE FACTURACIÓN]])&gt;PROVEEDORES[[#This Row],[PLAZO Días]],"PAGO VENCIDO")</f>
        <v>PAGO VENCIDO</v>
      </c>
      <c r="C1304" s="20">
        <f>+VLOOKUP(PROVEEDORES[[#This Row],[PROVEEDOR]],TERCEROS_INFO[#All],2,FALSE)</f>
        <v>60</v>
      </c>
      <c r="D1304" s="25">
        <f>+SUMIFS(PROVEEDORES[Total],PROVEEDORES[PROVEEDOR],PROVEEDORES[[#This Row],[PROVEEDOR]],PROVEEDORES[FECHA DE PAGO],"")</f>
        <v>395600</v>
      </c>
      <c r="E1304" s="25"/>
      <c r="F130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4" s="68">
        <v>44992</v>
      </c>
      <c r="H1304" s="26" t="s">
        <v>287</v>
      </c>
      <c r="I1304" s="68">
        <v>44922</v>
      </c>
      <c r="J1304" s="35">
        <v>1570</v>
      </c>
      <c r="K1304" s="21">
        <v>192000</v>
      </c>
      <c r="L1304" s="21"/>
      <c r="M1304" s="22">
        <f>(PROVEEDORES[[#This Row],[SUBTOTAL]]-PROVEEDORES[[#This Row],[descuento sobre subtotal]])*VLOOKUP(PROVEEDORES[[#This Row],[PROVEEDOR]],TERCEROS_INFO[#All],3,FALSE)</f>
        <v>0</v>
      </c>
      <c r="N1304" s="23"/>
      <c r="O1304" s="22">
        <f>+PROVEEDORES[[#This Row],[Descuento sobre subtotal %]]*(PROVEEDORES[[#This Row],[SUBTOTAL]]-PROVEEDORES[[#This Row],[descuento sobre subtotal]])</f>
        <v>0</v>
      </c>
      <c r="P1304" s="74">
        <f>+IF(PROVEEDORES[[#This Row],[SUBTOTAL]]&lt;PROVEEDORES[[#This Row],[base retencion]],0,PROVEEDORES[[#This Row],[retención aplicada]])</f>
        <v>0</v>
      </c>
      <c r="Q1304" s="22">
        <f>+PROVEEDORES[[#This Row],[Rete Fuente %]]*(PROVEEDORES[[#This Row],[SUBTOTAL]]-PROVEEDORES[[#This Row],[descuento sobre subtotal]])</f>
        <v>0</v>
      </c>
      <c r="R1304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13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63">
        <f ca="1">IF(PROVEEDORES[[#This Row],[FECHA DE PAGO]]=0,TODAY()-PROVEEDORES[[#This Row],[FECHA DE FACTURACIÓN]]-PROVEEDORES[[#This Row],[PLAZO Días]],0)</f>
        <v>0</v>
      </c>
      <c r="U1304" s="104">
        <f>+VLOOKUP(PROVEEDORES[[#This Row],[PROVEEDOR]],Terceros!$A:$D,4,FALSE)</f>
        <v>0</v>
      </c>
      <c r="V1304" s="105">
        <f>+YEAR(PROVEEDORES[[#This Row],[FECHA DE FACTURACIÓN]])</f>
        <v>2022</v>
      </c>
      <c r="W1304" s="105">
        <f>+MATCH(PROVEEDORES[[#This Row],[año facturado]],Retenciones!$1:$1,0)</f>
        <v>5</v>
      </c>
      <c r="X1304" s="106">
        <f>+VLOOKUP(PROVEEDORES[[#This Row],[ID RETENCION]],Retenciones!$A$1:$O$25,PROVEEDORES[[#This Row],[indicador de columna]],FALSE)</f>
        <v>0</v>
      </c>
      <c r="Y1304" s="107">
        <f>+VLOOKUP(PROVEEDORES[[#This Row],[ID RETENCION]],Retenciones!$A$1:$O$25,2,FALSE)</f>
        <v>0</v>
      </c>
      <c r="Z1304" s="116" t="b">
        <f>OR(COUNTIF(PROVEEDORES[[#This Row],[PROVEEDOR]],"*"&amp;'Palabra no opera'!$A$2&amp;"*"))</f>
        <v>0</v>
      </c>
    </row>
    <row r="1305" spans="1:26" ht="22.35" customHeight="1" x14ac:dyDescent="0.3">
      <c r="A1305" s="67" t="str">
        <f>+IF(PROVEEDORES[[#This Row],[FECHA DE PAGO]]=PROVEEDORES[[#This Row],[FECHA DE FACTURACIÓN]],"DE CONTADO","CRÉDITO")</f>
        <v>CRÉDITO</v>
      </c>
      <c r="B1305" s="38" t="str">
        <f>+IF((PROVEEDORES[[#This Row],[FECHA DE PAGO]]-PROVEEDORES[[#This Row],[FECHA DE FACTURACIÓN]])&gt;PROVEEDORES[[#This Row],[PLAZO Días]],"PAGO VENCIDO")</f>
        <v>PAGO VENCIDO</v>
      </c>
      <c r="C1305" s="20">
        <f>+VLOOKUP(PROVEEDORES[[#This Row],[PROVEEDOR]],TERCEROS_INFO[#All],2,FALSE)</f>
        <v>60</v>
      </c>
      <c r="D1305" s="25">
        <f>+SUMIFS(PROVEEDORES[Total],PROVEEDORES[PROVEEDOR],PROVEEDORES[[#This Row],[PROVEEDOR]],PROVEEDORES[FECHA DE PAGO],"")</f>
        <v>395600</v>
      </c>
      <c r="E1305" s="25"/>
      <c r="F130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5" s="68">
        <v>44992</v>
      </c>
      <c r="H1305" s="26" t="s">
        <v>287</v>
      </c>
      <c r="I1305" s="68">
        <v>44924</v>
      </c>
      <c r="J1305" s="35">
        <v>1575</v>
      </c>
      <c r="K1305" s="21">
        <v>307200</v>
      </c>
      <c r="L1305" s="21"/>
      <c r="M1305" s="22">
        <f>(PROVEEDORES[[#This Row],[SUBTOTAL]]-PROVEEDORES[[#This Row],[descuento sobre subtotal]])*VLOOKUP(PROVEEDORES[[#This Row],[PROVEEDOR]],TERCEROS_INFO[#All],3,FALSE)</f>
        <v>0</v>
      </c>
      <c r="N1305" s="23"/>
      <c r="O1305" s="22">
        <f>+PROVEEDORES[[#This Row],[Descuento sobre subtotal %]]*(PROVEEDORES[[#This Row],[SUBTOTAL]]-PROVEEDORES[[#This Row],[descuento sobre subtotal]])</f>
        <v>0</v>
      </c>
      <c r="P1305" s="74">
        <f>+IF(PROVEEDORES[[#This Row],[SUBTOTAL]]&lt;PROVEEDORES[[#This Row],[base retencion]],0,PROVEEDORES[[#This Row],[retención aplicada]])</f>
        <v>0</v>
      </c>
      <c r="Q1305" s="22">
        <f>+PROVEEDORES[[#This Row],[Rete Fuente %]]*(PROVEEDORES[[#This Row],[SUBTOTAL]]-PROVEEDORES[[#This Row],[descuento sobre subtotal]])</f>
        <v>0</v>
      </c>
      <c r="R1305" s="21">
        <f>+PROVEEDORES[[#This Row],[SUBTOTAL]]+PROVEEDORES[[#This Row],[IVA 19%]]-PROVEEDORES[[#This Row],[descuento sobre subtotal]]-PROVEEDORES[[#This Row],[Descuento sobre subtotal $2]]-PROVEEDORES[[#This Row],[Rete Fuente $]]</f>
        <v>307200</v>
      </c>
      <c r="S13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5" s="63">
        <f ca="1">IF(PROVEEDORES[[#This Row],[FECHA DE PAGO]]=0,TODAY()-PROVEEDORES[[#This Row],[FECHA DE FACTURACIÓN]]-PROVEEDORES[[#This Row],[PLAZO Días]],0)</f>
        <v>0</v>
      </c>
      <c r="U1305" s="104">
        <f>+VLOOKUP(PROVEEDORES[[#This Row],[PROVEEDOR]],Terceros!$A:$D,4,FALSE)</f>
        <v>0</v>
      </c>
      <c r="V1305" s="105">
        <f>+YEAR(PROVEEDORES[[#This Row],[FECHA DE FACTURACIÓN]])</f>
        <v>2022</v>
      </c>
      <c r="W1305" s="105">
        <f>+MATCH(PROVEEDORES[[#This Row],[año facturado]],Retenciones!$1:$1,0)</f>
        <v>5</v>
      </c>
      <c r="X1305" s="106">
        <f>+VLOOKUP(PROVEEDORES[[#This Row],[ID RETENCION]],Retenciones!$A$1:$O$25,PROVEEDORES[[#This Row],[indicador de columna]],FALSE)</f>
        <v>0</v>
      </c>
      <c r="Y1305" s="107">
        <f>+VLOOKUP(PROVEEDORES[[#This Row],[ID RETENCION]],Retenciones!$A$1:$O$25,2,FALSE)</f>
        <v>0</v>
      </c>
      <c r="Z1305" s="116" t="b">
        <f>OR(COUNTIF(PROVEEDORES[[#This Row],[PROVEEDOR]],"*"&amp;'Palabra no opera'!$A$2&amp;"*"))</f>
        <v>0</v>
      </c>
    </row>
    <row r="1306" spans="1:26" ht="22.35" customHeight="1" x14ac:dyDescent="0.3">
      <c r="A1306" s="67" t="str">
        <f>+IF(PROVEEDORES[[#This Row],[FECHA DE PAGO]]=PROVEEDORES[[#This Row],[FECHA DE FACTURACIÓN]],"DE CONTADO","CRÉDITO")</f>
        <v>CRÉDITO</v>
      </c>
      <c r="B1306" s="38" t="str">
        <f>+IF((PROVEEDORES[[#This Row],[FECHA DE PAGO]]-PROVEEDORES[[#This Row],[FECHA DE FACTURACIÓN]])&gt;PROVEEDORES[[#This Row],[PLAZO Días]],"PAGO VENCIDO")</f>
        <v>PAGO VENCIDO</v>
      </c>
      <c r="C1306" s="20">
        <f>+VLOOKUP(PROVEEDORES[[#This Row],[PROVEEDOR]],TERCEROS_INFO[#All],2,FALSE)</f>
        <v>60</v>
      </c>
      <c r="D1306" s="25">
        <f>+SUMIFS(PROVEEDORES[Total],PROVEEDORES[PROVEEDOR],PROVEEDORES[[#This Row],[PROVEEDOR]],PROVEEDORES[FECHA DE PAGO],"")</f>
        <v>395600</v>
      </c>
      <c r="E1306" s="25"/>
      <c r="F130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6" s="68">
        <v>44992</v>
      </c>
      <c r="H1306" s="26" t="s">
        <v>287</v>
      </c>
      <c r="I1306" s="68">
        <v>44924</v>
      </c>
      <c r="J1306" s="35">
        <v>1576</v>
      </c>
      <c r="K1306" s="21">
        <v>249600</v>
      </c>
      <c r="L1306" s="21"/>
      <c r="M1306" s="22">
        <f>(PROVEEDORES[[#This Row],[SUBTOTAL]]-PROVEEDORES[[#This Row],[descuento sobre subtotal]])*VLOOKUP(PROVEEDORES[[#This Row],[PROVEEDOR]],TERCEROS_INFO[#All],3,FALSE)</f>
        <v>0</v>
      </c>
      <c r="N1306" s="23"/>
      <c r="O1306" s="22">
        <f>+PROVEEDORES[[#This Row],[Descuento sobre subtotal %]]*(PROVEEDORES[[#This Row],[SUBTOTAL]]-PROVEEDORES[[#This Row],[descuento sobre subtotal]])</f>
        <v>0</v>
      </c>
      <c r="P1306" s="74">
        <f>+IF(PROVEEDORES[[#This Row],[SUBTOTAL]]&lt;PROVEEDORES[[#This Row],[base retencion]],0,PROVEEDORES[[#This Row],[retención aplicada]])</f>
        <v>0</v>
      </c>
      <c r="Q1306" s="22">
        <f>+PROVEEDORES[[#This Row],[Rete Fuente %]]*(PROVEEDORES[[#This Row],[SUBTOTAL]]-PROVEEDORES[[#This Row],[descuento sobre subtotal]])</f>
        <v>0</v>
      </c>
      <c r="R1306" s="21">
        <f>+PROVEEDORES[[#This Row],[SUBTOTAL]]+PROVEEDORES[[#This Row],[IVA 19%]]-PROVEEDORES[[#This Row],[descuento sobre subtotal]]-PROVEEDORES[[#This Row],[Descuento sobre subtotal $2]]-PROVEEDORES[[#This Row],[Rete Fuente $]]</f>
        <v>249600</v>
      </c>
      <c r="S13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63">
        <f ca="1">IF(PROVEEDORES[[#This Row],[FECHA DE PAGO]]=0,TODAY()-PROVEEDORES[[#This Row],[FECHA DE FACTURACIÓN]]-PROVEEDORES[[#This Row],[PLAZO Días]],0)</f>
        <v>0</v>
      </c>
      <c r="U1306" s="104">
        <f>+VLOOKUP(PROVEEDORES[[#This Row],[PROVEEDOR]],Terceros!$A:$D,4,FALSE)</f>
        <v>0</v>
      </c>
      <c r="V1306" s="105">
        <f>+YEAR(PROVEEDORES[[#This Row],[FECHA DE FACTURACIÓN]])</f>
        <v>2022</v>
      </c>
      <c r="W1306" s="105">
        <f>+MATCH(PROVEEDORES[[#This Row],[año facturado]],Retenciones!$1:$1,0)</f>
        <v>5</v>
      </c>
      <c r="X1306" s="106">
        <f>+VLOOKUP(PROVEEDORES[[#This Row],[ID RETENCION]],Retenciones!$A$1:$O$25,PROVEEDORES[[#This Row],[indicador de columna]],FALSE)</f>
        <v>0</v>
      </c>
      <c r="Y1306" s="107">
        <f>+VLOOKUP(PROVEEDORES[[#This Row],[ID RETENCION]],Retenciones!$A$1:$O$25,2,FALSE)</f>
        <v>0</v>
      </c>
      <c r="Z1306" s="116" t="b">
        <f>OR(COUNTIF(PROVEEDORES[[#This Row],[PROVEEDOR]],"*"&amp;'Palabra no opera'!$A$2&amp;"*"))</f>
        <v>0</v>
      </c>
    </row>
    <row r="1307" spans="1:26" ht="22.35" customHeight="1" x14ac:dyDescent="0.3">
      <c r="A1307" s="257" t="str">
        <f>+IF(PROVEEDORES[[#This Row],[FECHA DE PAGO]]=PROVEEDORES[[#This Row],[FECHA DE FACTURACIÓN]],"DE CONTADO","CRÉDITO")</f>
        <v>CRÉDITO</v>
      </c>
      <c r="B1307" s="38" t="str">
        <f>+IF((PROVEEDORES[[#This Row],[FECHA DE PAGO]]-PROVEEDORES[[#This Row],[FECHA DE FACTURACIÓN]])&gt;PROVEEDORES[[#This Row],[PLAZO Días]],"PAGO VENCIDO")</f>
        <v>PAGO VENCIDO</v>
      </c>
      <c r="C1307" s="20">
        <f>+VLOOKUP(PROVEEDORES[[#This Row],[PROVEEDOR]],TERCEROS_INFO[#All],2,FALSE)</f>
        <v>60</v>
      </c>
      <c r="D1307" s="25">
        <f>+SUMIFS(PROVEEDORES[Total],PROVEEDORES[PROVEEDOR],PROVEEDORES[[#This Row],[PROVEEDOR]],PROVEEDORES[FECHA DE PAGO],"")</f>
        <v>395600</v>
      </c>
      <c r="E1307" s="25"/>
      <c r="F130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7" s="68">
        <v>44992</v>
      </c>
      <c r="H1307" s="26" t="s">
        <v>287</v>
      </c>
      <c r="I1307" s="68">
        <v>44927</v>
      </c>
      <c r="J1307" s="35">
        <v>1585</v>
      </c>
      <c r="K1307" s="21">
        <v>192000</v>
      </c>
      <c r="L1307" s="21"/>
      <c r="M1307" s="22">
        <f>(PROVEEDORES[[#This Row],[SUBTOTAL]]-PROVEEDORES[[#This Row],[descuento sobre subtotal]])*VLOOKUP(PROVEEDORES[[#This Row],[PROVEEDOR]],TERCEROS_INFO[#All],3,FALSE)</f>
        <v>0</v>
      </c>
      <c r="N1307" s="23"/>
      <c r="O1307" s="22">
        <f>+PROVEEDORES[[#This Row],[Descuento sobre subtotal %]]*(PROVEEDORES[[#This Row],[SUBTOTAL]]-PROVEEDORES[[#This Row],[descuento sobre subtotal]])</f>
        <v>0</v>
      </c>
      <c r="P1307" s="74">
        <f>+IF(PROVEEDORES[[#This Row],[SUBTOTAL]]&lt;PROVEEDORES[[#This Row],[base retencion]],0,PROVEEDORES[[#This Row],[retención aplicada]])</f>
        <v>0</v>
      </c>
      <c r="Q1307" s="22">
        <f>+PROVEEDORES[[#This Row],[Rete Fuente %]]*(PROVEEDORES[[#This Row],[SUBTOTAL]]-PROVEEDORES[[#This Row],[descuento sobre subtotal]])</f>
        <v>0</v>
      </c>
      <c r="R1307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1307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63">
        <f ca="1">IF(PROVEEDORES[[#This Row],[FECHA DE PAGO]]=0,TODAY()-PROVEEDORES[[#This Row],[FECHA DE FACTURACIÓN]]-PROVEEDORES[[#This Row],[PLAZO Días]],0)</f>
        <v>0</v>
      </c>
      <c r="U1307" s="104">
        <f>+VLOOKUP(PROVEEDORES[[#This Row],[PROVEEDOR]],Terceros!$A:$D,4,FALSE)</f>
        <v>0</v>
      </c>
      <c r="V1307" s="105">
        <f>+YEAR(PROVEEDORES[[#This Row],[FECHA DE FACTURACIÓN]])</f>
        <v>2023</v>
      </c>
      <c r="W1307" s="105">
        <f>+MATCH(PROVEEDORES[[#This Row],[año facturado]],Retenciones!$1:$1,0)</f>
        <v>6</v>
      </c>
      <c r="X1307" s="106">
        <f>+VLOOKUP(PROVEEDORES[[#This Row],[ID RETENCION]],Retenciones!$A$1:$O$25,PROVEEDORES[[#This Row],[indicador de columna]],FALSE)</f>
        <v>0</v>
      </c>
      <c r="Y1307" s="107">
        <f>+VLOOKUP(PROVEEDORES[[#This Row],[ID RETENCION]],Retenciones!$A$1:$O$25,2,FALSE)</f>
        <v>0</v>
      </c>
      <c r="Z1307" s="116" t="b">
        <f>OR(COUNTIF(PROVEEDORES[[#This Row],[PROVEEDOR]],"*"&amp;'Palabra no opera'!$A$2&amp;"*"))</f>
        <v>0</v>
      </c>
    </row>
    <row r="1308" spans="1:26" ht="22.35" customHeight="1" x14ac:dyDescent="0.3">
      <c r="A1308" s="257" t="str">
        <f>+IF(PROVEEDORES[[#This Row],[FECHA DE PAGO]]=PROVEEDORES[[#This Row],[FECHA DE FACTURACIÓN]],"DE CONTADO","CRÉDITO")</f>
        <v>CRÉDITO</v>
      </c>
      <c r="B1308" s="38" t="str">
        <f>+IF((PROVEEDORES[[#This Row],[FECHA DE PAGO]]-PROVEEDORES[[#This Row],[FECHA DE FACTURACIÓN]])&gt;PROVEEDORES[[#This Row],[PLAZO Días]],"PAGO VENCIDO")</f>
        <v>PAGO VENCIDO</v>
      </c>
      <c r="C1308" s="20">
        <f>+VLOOKUP(PROVEEDORES[[#This Row],[PROVEEDOR]],TERCEROS_INFO[#All],2,FALSE)</f>
        <v>60</v>
      </c>
      <c r="D1308" s="25">
        <f>+SUMIFS(PROVEEDORES[Total],PROVEEDORES[PROVEEDOR],PROVEEDORES[[#This Row],[PROVEEDOR]],PROVEEDORES[FECHA DE PAGO],"")</f>
        <v>395600</v>
      </c>
      <c r="E1308" s="25"/>
      <c r="F130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8" s="68">
        <v>44992</v>
      </c>
      <c r="H1308" s="26" t="s">
        <v>287</v>
      </c>
      <c r="I1308" s="68">
        <v>44927</v>
      </c>
      <c r="J1308" s="35">
        <v>1586</v>
      </c>
      <c r="K1308" s="21">
        <v>192000</v>
      </c>
      <c r="L1308" s="21"/>
      <c r="M1308" s="22">
        <f>(PROVEEDORES[[#This Row],[SUBTOTAL]]-PROVEEDORES[[#This Row],[descuento sobre subtotal]])*VLOOKUP(PROVEEDORES[[#This Row],[PROVEEDOR]],TERCEROS_INFO[#All],3,FALSE)</f>
        <v>0</v>
      </c>
      <c r="N1308" s="23"/>
      <c r="O1308" s="22">
        <f>+PROVEEDORES[[#This Row],[Descuento sobre subtotal %]]*(PROVEEDORES[[#This Row],[SUBTOTAL]]-PROVEEDORES[[#This Row],[descuento sobre subtotal]])</f>
        <v>0</v>
      </c>
      <c r="P1308" s="74">
        <f>+IF(PROVEEDORES[[#This Row],[SUBTOTAL]]&lt;PROVEEDORES[[#This Row],[base retencion]],0,PROVEEDORES[[#This Row],[retención aplicada]])</f>
        <v>0</v>
      </c>
      <c r="Q1308" s="22">
        <f>+PROVEEDORES[[#This Row],[Rete Fuente %]]*(PROVEEDORES[[#This Row],[SUBTOTAL]]-PROVEEDORES[[#This Row],[descuento sobre subtotal]])</f>
        <v>0</v>
      </c>
      <c r="R1308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1308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63">
        <f ca="1">IF(PROVEEDORES[[#This Row],[FECHA DE PAGO]]=0,TODAY()-PROVEEDORES[[#This Row],[FECHA DE FACTURACIÓN]]-PROVEEDORES[[#This Row],[PLAZO Días]],0)</f>
        <v>0</v>
      </c>
      <c r="U1308" s="104">
        <f>+VLOOKUP(PROVEEDORES[[#This Row],[PROVEEDOR]],Terceros!$A:$D,4,FALSE)</f>
        <v>0</v>
      </c>
      <c r="V1308" s="105">
        <f>+YEAR(PROVEEDORES[[#This Row],[FECHA DE FACTURACIÓN]])</f>
        <v>2023</v>
      </c>
      <c r="W1308" s="105">
        <f>+MATCH(PROVEEDORES[[#This Row],[año facturado]],Retenciones!$1:$1,0)</f>
        <v>6</v>
      </c>
      <c r="X1308" s="106">
        <f>+VLOOKUP(PROVEEDORES[[#This Row],[ID RETENCION]],Retenciones!$A$1:$O$25,PROVEEDORES[[#This Row],[indicador de columna]],FALSE)</f>
        <v>0</v>
      </c>
      <c r="Y1308" s="107">
        <f>+VLOOKUP(PROVEEDORES[[#This Row],[ID RETENCION]],Retenciones!$A$1:$O$25,2,FALSE)</f>
        <v>0</v>
      </c>
      <c r="Z1308" s="116" t="b">
        <f>OR(COUNTIF(PROVEEDORES[[#This Row],[PROVEEDOR]],"*"&amp;'Palabra no opera'!$A$2&amp;"*"))</f>
        <v>0</v>
      </c>
    </row>
    <row r="1309" spans="1:26" ht="22.35" customHeight="1" x14ac:dyDescent="0.3">
      <c r="A1309" s="67" t="str">
        <f>+IF(PROVEEDORES[[#This Row],[FECHA DE PAGO]]=PROVEEDORES[[#This Row],[FECHA DE FACTURACIÓN]],"DE CONTADO","CRÉDITO")</f>
        <v>CRÉDITO</v>
      </c>
      <c r="B1309" s="38" t="b">
        <f>+IF((PROVEEDORES[[#This Row],[FECHA DE PAGO]]-PROVEEDORES[[#This Row],[FECHA DE FACTURACIÓN]])&gt;PROVEEDORES[[#This Row],[PLAZO Días]],"PAGO VENCIDO")</f>
        <v>0</v>
      </c>
      <c r="C1309" s="20">
        <f>+VLOOKUP(PROVEEDORES[[#This Row],[PROVEEDOR]],TERCEROS_INFO[#All],2,FALSE)</f>
        <v>60</v>
      </c>
      <c r="D1309" s="25">
        <f>+SUMIFS(PROVEEDORES[Total],PROVEEDORES[PROVEEDOR],PROVEEDORES[[#This Row],[PROVEEDOR]],PROVEEDORES[FECHA DE PAGO],"")</f>
        <v>395600</v>
      </c>
      <c r="E1309" s="25"/>
      <c r="F130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09" s="68">
        <v>44992</v>
      </c>
      <c r="H1309" s="26" t="s">
        <v>287</v>
      </c>
      <c r="I1309" s="68">
        <v>44949</v>
      </c>
      <c r="J1309" s="35">
        <v>1591</v>
      </c>
      <c r="K1309" s="21">
        <v>519340</v>
      </c>
      <c r="L1309" s="21"/>
      <c r="M1309" s="22">
        <f>(PROVEEDORES[[#This Row],[SUBTOTAL]]-PROVEEDORES[[#This Row],[descuento sobre subtotal]])*VLOOKUP(PROVEEDORES[[#This Row],[PROVEEDOR]],TERCEROS_INFO[#All],3,FALSE)</f>
        <v>0</v>
      </c>
      <c r="N1309" s="23"/>
      <c r="O1309" s="22">
        <f>+PROVEEDORES[[#This Row],[Descuento sobre subtotal %]]*(PROVEEDORES[[#This Row],[SUBTOTAL]]-PROVEEDORES[[#This Row],[descuento sobre subtotal]])</f>
        <v>0</v>
      </c>
      <c r="P1309" s="74">
        <f>+IF(PROVEEDORES[[#This Row],[SUBTOTAL]]&lt;PROVEEDORES[[#This Row],[base retencion]],0,PROVEEDORES[[#This Row],[retención aplicada]])</f>
        <v>0</v>
      </c>
      <c r="Q1309" s="22">
        <f>+PROVEEDORES[[#This Row],[Rete Fuente %]]*(PROVEEDORES[[#This Row],[SUBTOTAL]]-PROVEEDORES[[#This Row],[descuento sobre subtotal]])</f>
        <v>0</v>
      </c>
      <c r="R1309" s="21">
        <f>+PROVEEDORES[[#This Row],[SUBTOTAL]]+PROVEEDORES[[#This Row],[IVA 19%]]-PROVEEDORES[[#This Row],[descuento sobre subtotal]]-PROVEEDORES[[#This Row],[Descuento sobre subtotal $2]]-PROVEEDORES[[#This Row],[Rete Fuente $]]</f>
        <v>519340</v>
      </c>
      <c r="S13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63">
        <f ca="1">IF(PROVEEDORES[[#This Row],[FECHA DE PAGO]]=0,TODAY()-PROVEEDORES[[#This Row],[FECHA DE FACTURACIÓN]]-PROVEEDORES[[#This Row],[PLAZO Días]],0)</f>
        <v>0</v>
      </c>
      <c r="U1309" s="104">
        <f>+VLOOKUP(PROVEEDORES[[#This Row],[PROVEEDOR]],Terceros!$A:$D,4,FALSE)</f>
        <v>0</v>
      </c>
      <c r="V1309" s="105">
        <f>+YEAR(PROVEEDORES[[#This Row],[FECHA DE FACTURACIÓN]])</f>
        <v>2023</v>
      </c>
      <c r="W1309" s="105">
        <f>+MATCH(PROVEEDORES[[#This Row],[año facturado]],Retenciones!$1:$1,0)</f>
        <v>6</v>
      </c>
      <c r="X1309" s="106">
        <f>+VLOOKUP(PROVEEDORES[[#This Row],[ID RETENCION]],Retenciones!$A$1:$O$25,PROVEEDORES[[#This Row],[indicador de columna]],FALSE)</f>
        <v>0</v>
      </c>
      <c r="Y1309" s="107">
        <f>+VLOOKUP(PROVEEDORES[[#This Row],[ID RETENCION]],Retenciones!$A$1:$O$25,2,FALSE)</f>
        <v>0</v>
      </c>
      <c r="Z1309" s="116" t="b">
        <f>OR(COUNTIF(PROVEEDORES[[#This Row],[PROVEEDOR]],"*"&amp;'Palabra no opera'!$A$2&amp;"*"))</f>
        <v>0</v>
      </c>
    </row>
    <row r="1310" spans="1:26" ht="22.35" customHeight="1" x14ac:dyDescent="0.3">
      <c r="A1310" s="261" t="str">
        <f>+IF(PROVEEDORES[[#This Row],[FECHA DE PAGO]]=PROVEEDORES[[#This Row],[FECHA DE FACTURACIÓN]],"DE CONTADO","CRÉDITO")</f>
        <v>CRÉDITO</v>
      </c>
      <c r="B1310" s="38" t="b">
        <f>+IF((PROVEEDORES[[#This Row],[FECHA DE PAGO]]-PROVEEDORES[[#This Row],[FECHA DE FACTURACIÓN]])&gt;PROVEEDORES[[#This Row],[PLAZO Días]],"PAGO VENCIDO")</f>
        <v>0</v>
      </c>
      <c r="C1310" s="20">
        <f>+VLOOKUP(PROVEEDORES[[#This Row],[PROVEEDOR]],TERCEROS_INFO[#All],2,FALSE)</f>
        <v>60</v>
      </c>
      <c r="D1310" s="25">
        <f>+SUMIFS(PROVEEDORES[Total],PROVEEDORES[PROVEEDOR],PROVEEDORES[[#This Row],[PROVEEDOR]],PROVEEDORES[FECHA DE PAGO],"")</f>
        <v>395600</v>
      </c>
      <c r="E1310" s="25"/>
      <c r="F131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10" s="68">
        <v>44992</v>
      </c>
      <c r="H1310" s="26" t="s">
        <v>287</v>
      </c>
      <c r="I1310" s="68">
        <v>44949</v>
      </c>
      <c r="J1310" s="35">
        <v>1598</v>
      </c>
      <c r="K1310" s="21">
        <v>184000</v>
      </c>
      <c r="L1310" s="21"/>
      <c r="M1310" s="22">
        <f>(PROVEEDORES[[#This Row],[SUBTOTAL]]-PROVEEDORES[[#This Row],[descuento sobre subtotal]])*VLOOKUP(PROVEEDORES[[#This Row],[PROVEEDOR]],TERCEROS_INFO[#All],3,FALSE)</f>
        <v>0</v>
      </c>
      <c r="N1310" s="23"/>
      <c r="O1310" s="22">
        <f>+PROVEEDORES[[#This Row],[Descuento sobre subtotal %]]*(PROVEEDORES[[#This Row],[SUBTOTAL]]-PROVEEDORES[[#This Row],[descuento sobre subtotal]])</f>
        <v>0</v>
      </c>
      <c r="P1310" s="74">
        <f>+IF(PROVEEDORES[[#This Row],[SUBTOTAL]]&lt;PROVEEDORES[[#This Row],[base retencion]],0,PROVEEDORES[[#This Row],[retención aplicada]])</f>
        <v>0</v>
      </c>
      <c r="Q1310" s="22">
        <f>+PROVEEDORES[[#This Row],[Rete Fuente %]]*(PROVEEDORES[[#This Row],[SUBTOTAL]]-PROVEEDORES[[#This Row],[descuento sobre subtotal]])</f>
        <v>0</v>
      </c>
      <c r="R1310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1310" s="2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0" s="63">
        <f ca="1">IF(PROVEEDORES[[#This Row],[FECHA DE PAGO]]=0,TODAY()-PROVEEDORES[[#This Row],[FECHA DE FACTURACIÓN]]-PROVEEDORES[[#This Row],[PLAZO Días]],0)</f>
        <v>0</v>
      </c>
      <c r="U1310" s="104">
        <f>+VLOOKUP(PROVEEDORES[[#This Row],[PROVEEDOR]],Terceros!$A:$D,4,FALSE)</f>
        <v>0</v>
      </c>
      <c r="V1310" s="105">
        <f>+YEAR(PROVEEDORES[[#This Row],[FECHA DE FACTURACIÓN]])</f>
        <v>2023</v>
      </c>
      <c r="W1310" s="105">
        <f>+MATCH(PROVEEDORES[[#This Row],[año facturado]],Retenciones!$1:$1,0)</f>
        <v>6</v>
      </c>
      <c r="X1310" s="106">
        <f>+VLOOKUP(PROVEEDORES[[#This Row],[ID RETENCION]],Retenciones!$A$1:$O$25,PROVEEDORES[[#This Row],[indicador de columna]],FALSE)</f>
        <v>0</v>
      </c>
      <c r="Y1310" s="107">
        <f>+VLOOKUP(PROVEEDORES[[#This Row],[ID RETENCION]],Retenciones!$A$1:$O$25,2,FALSE)</f>
        <v>0</v>
      </c>
      <c r="Z1310" s="116" t="b">
        <f>OR(COUNTIF(PROVEEDORES[[#This Row],[PROVEEDOR]],"*"&amp;'Palabra no opera'!$A$2&amp;"*"))</f>
        <v>0</v>
      </c>
    </row>
    <row r="1311" spans="1:26" ht="22.35" customHeight="1" x14ac:dyDescent="0.3">
      <c r="A1311" s="265" t="str">
        <f>+IF(PROVEEDORES[[#This Row],[FECHA DE PAGO]]=PROVEEDORES[[#This Row],[FECHA DE FACTURACIÓN]],"DE CONTADO","CRÉDITO")</f>
        <v>CRÉDITO</v>
      </c>
      <c r="B1311" s="38" t="b">
        <f>+IF((PROVEEDORES[[#This Row],[FECHA DE PAGO]]-PROVEEDORES[[#This Row],[FECHA DE FACTURACIÓN]])&gt;PROVEEDORES[[#This Row],[PLAZO Días]],"PAGO VENCIDO")</f>
        <v>0</v>
      </c>
      <c r="C1311" s="20">
        <f>+VLOOKUP(PROVEEDORES[[#This Row],[PROVEEDOR]],TERCEROS_INFO[#All],2,FALSE)</f>
        <v>60</v>
      </c>
      <c r="D1311" s="25">
        <f>+SUMIFS(PROVEEDORES[Total],PROVEEDORES[PROVEEDOR],PROVEEDORES[[#This Row],[PROVEEDOR]],PROVEEDORES[FECHA DE PAGO],"")</f>
        <v>395600</v>
      </c>
      <c r="E1311" s="25"/>
      <c r="F131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11" s="68">
        <v>44992</v>
      </c>
      <c r="H1311" s="26" t="s">
        <v>287</v>
      </c>
      <c r="I1311" s="68">
        <v>44963</v>
      </c>
      <c r="J1311" s="35">
        <v>1607</v>
      </c>
      <c r="K1311" s="21">
        <v>191200</v>
      </c>
      <c r="L1311" s="21"/>
      <c r="M1311" s="22">
        <f>(PROVEEDORES[[#This Row],[SUBTOTAL]]-PROVEEDORES[[#This Row],[descuento sobre subtotal]])*VLOOKUP(PROVEEDORES[[#This Row],[PROVEEDOR]],TERCEROS_INFO[#All],3,FALSE)</f>
        <v>0</v>
      </c>
      <c r="N1311" s="23"/>
      <c r="O1311" s="22">
        <f>+PROVEEDORES[[#This Row],[Descuento sobre subtotal %]]*(PROVEEDORES[[#This Row],[SUBTOTAL]]-PROVEEDORES[[#This Row],[descuento sobre subtotal]])</f>
        <v>0</v>
      </c>
      <c r="P1311" s="74">
        <f>+IF(PROVEEDORES[[#This Row],[SUBTOTAL]]&lt;PROVEEDORES[[#This Row],[base retencion]],0,PROVEEDORES[[#This Row],[retención aplicada]])</f>
        <v>0</v>
      </c>
      <c r="Q1311" s="22">
        <f>+PROVEEDORES[[#This Row],[Rete Fuente %]]*(PROVEEDORES[[#This Row],[SUBTOTAL]]-PROVEEDORES[[#This Row],[descuento sobre subtotal]])</f>
        <v>0</v>
      </c>
      <c r="R1311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1311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63">
        <f ca="1">IF(PROVEEDORES[[#This Row],[FECHA DE PAGO]]=0,TODAY()-PROVEEDORES[[#This Row],[FECHA DE FACTURACIÓN]]-PROVEEDORES[[#This Row],[PLAZO Días]],0)</f>
        <v>0</v>
      </c>
      <c r="U1311" s="104">
        <f>+VLOOKUP(PROVEEDORES[[#This Row],[PROVEEDOR]],Terceros!$A:$D,4,FALSE)</f>
        <v>0</v>
      </c>
      <c r="V1311" s="105">
        <f>+YEAR(PROVEEDORES[[#This Row],[FECHA DE FACTURACIÓN]])</f>
        <v>2023</v>
      </c>
      <c r="W1311" s="105">
        <f>+MATCH(PROVEEDORES[[#This Row],[año facturado]],Retenciones!$1:$1,0)</f>
        <v>6</v>
      </c>
      <c r="X1311" s="106">
        <f>+VLOOKUP(PROVEEDORES[[#This Row],[ID RETENCION]],Retenciones!$A$1:$O$25,PROVEEDORES[[#This Row],[indicador de columna]],FALSE)</f>
        <v>0</v>
      </c>
      <c r="Y1311" s="107">
        <f>+VLOOKUP(PROVEEDORES[[#This Row],[ID RETENCION]],Retenciones!$A$1:$O$25,2,FALSE)</f>
        <v>0</v>
      </c>
      <c r="Z1311" s="116" t="b">
        <f>OR(COUNTIF(PROVEEDORES[[#This Row],[PROVEEDOR]],"*"&amp;'Palabra no opera'!$A$2&amp;"*"))</f>
        <v>0</v>
      </c>
    </row>
    <row r="1312" spans="1:26" ht="22.35" customHeight="1" x14ac:dyDescent="0.3">
      <c r="A1312" s="265" t="str">
        <f>+IF(PROVEEDORES[[#This Row],[FECHA DE PAGO]]=PROVEEDORES[[#This Row],[FECHA DE FACTURACIÓN]],"DE CONTADO","CRÉDITO")</f>
        <v>CRÉDITO</v>
      </c>
      <c r="B1312" s="38" t="b">
        <f>+IF((PROVEEDORES[[#This Row],[FECHA DE PAGO]]-PROVEEDORES[[#This Row],[FECHA DE FACTURACIÓN]])&gt;PROVEEDORES[[#This Row],[PLAZO Días]],"PAGO VENCIDO")</f>
        <v>0</v>
      </c>
      <c r="C1312" s="20">
        <f>+VLOOKUP(PROVEEDORES[[#This Row],[PROVEEDOR]],TERCEROS_INFO[#All],2,FALSE)</f>
        <v>60</v>
      </c>
      <c r="D1312" s="25">
        <f>+SUMIFS(PROVEEDORES[Total],PROVEEDORES[PROVEEDOR],PROVEEDORES[[#This Row],[PROVEEDOR]],PROVEEDORES[FECHA DE PAGO],"")</f>
        <v>395600</v>
      </c>
      <c r="E1312" s="25"/>
      <c r="F131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12" s="68">
        <v>44992</v>
      </c>
      <c r="H1312" s="26" t="s">
        <v>287</v>
      </c>
      <c r="I1312" s="68">
        <v>44963</v>
      </c>
      <c r="J1312" s="35">
        <v>1608</v>
      </c>
      <c r="K1312" s="21">
        <v>191200</v>
      </c>
      <c r="L1312" s="21"/>
      <c r="M1312" s="22">
        <f>(PROVEEDORES[[#This Row],[SUBTOTAL]]-PROVEEDORES[[#This Row],[descuento sobre subtotal]])*VLOOKUP(PROVEEDORES[[#This Row],[PROVEEDOR]],TERCEROS_INFO[#All],3,FALSE)</f>
        <v>0</v>
      </c>
      <c r="N1312" s="23"/>
      <c r="O1312" s="22">
        <f>+PROVEEDORES[[#This Row],[Descuento sobre subtotal %]]*(PROVEEDORES[[#This Row],[SUBTOTAL]]-PROVEEDORES[[#This Row],[descuento sobre subtotal]])</f>
        <v>0</v>
      </c>
      <c r="P1312" s="74">
        <f>+IF(PROVEEDORES[[#This Row],[SUBTOTAL]]&lt;PROVEEDORES[[#This Row],[base retencion]],0,PROVEEDORES[[#This Row],[retención aplicada]])</f>
        <v>0</v>
      </c>
      <c r="Q1312" s="22">
        <f>+PROVEEDORES[[#This Row],[Rete Fuente %]]*(PROVEEDORES[[#This Row],[SUBTOTAL]]-PROVEEDORES[[#This Row],[descuento sobre subtotal]])</f>
        <v>0</v>
      </c>
      <c r="R1312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1312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63">
        <f ca="1">IF(PROVEEDORES[[#This Row],[FECHA DE PAGO]]=0,TODAY()-PROVEEDORES[[#This Row],[FECHA DE FACTURACIÓN]]-PROVEEDORES[[#This Row],[PLAZO Días]],0)</f>
        <v>0</v>
      </c>
      <c r="U1312" s="104">
        <f>+VLOOKUP(PROVEEDORES[[#This Row],[PROVEEDOR]],Terceros!$A:$D,4,FALSE)</f>
        <v>0</v>
      </c>
      <c r="V1312" s="105">
        <f>+YEAR(PROVEEDORES[[#This Row],[FECHA DE FACTURACIÓN]])</f>
        <v>2023</v>
      </c>
      <c r="W1312" s="105">
        <f>+MATCH(PROVEEDORES[[#This Row],[año facturado]],Retenciones!$1:$1,0)</f>
        <v>6</v>
      </c>
      <c r="X1312" s="106">
        <f>+VLOOKUP(PROVEEDORES[[#This Row],[ID RETENCION]],Retenciones!$A$1:$O$25,PROVEEDORES[[#This Row],[indicador de columna]],FALSE)</f>
        <v>0</v>
      </c>
      <c r="Y1312" s="107">
        <f>+VLOOKUP(PROVEEDORES[[#This Row],[ID RETENCION]],Retenciones!$A$1:$O$25,2,FALSE)</f>
        <v>0</v>
      </c>
      <c r="Z1312" s="116" t="b">
        <f>OR(COUNTIF(PROVEEDORES[[#This Row],[PROVEEDOR]],"*"&amp;'Palabra no opera'!$A$2&amp;"*"))</f>
        <v>0</v>
      </c>
    </row>
    <row r="1313" spans="1:26" ht="22.35" customHeight="1" x14ac:dyDescent="0.3">
      <c r="A1313" s="271" t="str">
        <f>+IF(PROVEEDORES[[#This Row],[FECHA DE PAGO]]=PROVEEDORES[[#This Row],[FECHA DE FACTURACIÓN]],"DE CONTADO","CRÉDITO")</f>
        <v>CRÉDITO</v>
      </c>
      <c r="B1313" s="38" t="b">
        <f>+IF((PROVEEDORES[[#This Row],[FECHA DE PAGO]]-PROVEEDORES[[#This Row],[FECHA DE FACTURACIÓN]])&gt;PROVEEDORES[[#This Row],[PLAZO Días]],"PAGO VENCIDO")</f>
        <v>0</v>
      </c>
      <c r="C1313" s="20">
        <f>+VLOOKUP(PROVEEDORES[[#This Row],[PROVEEDOR]],TERCEROS_INFO[#All],2,FALSE)</f>
        <v>60</v>
      </c>
      <c r="D1313" s="25">
        <f>+SUMIFS(PROVEEDORES[Total],PROVEEDORES[PROVEEDOR],PROVEEDORES[[#This Row],[PROVEEDOR]],PROVEEDORES[FECHA DE PAGO],"")</f>
        <v>395600</v>
      </c>
      <c r="E1313" s="25"/>
      <c r="F131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13" s="68">
        <v>44992</v>
      </c>
      <c r="H1313" s="26" t="s">
        <v>287</v>
      </c>
      <c r="I1313" s="68">
        <v>44963</v>
      </c>
      <c r="J1313" s="35">
        <v>1624</v>
      </c>
      <c r="K1313" s="21">
        <v>1178064</v>
      </c>
      <c r="L1313" s="21"/>
      <c r="M1313" s="22">
        <f>(PROVEEDORES[[#This Row],[SUBTOTAL]]-PROVEEDORES[[#This Row],[descuento sobre subtotal]])*VLOOKUP(PROVEEDORES[[#This Row],[PROVEEDOR]],TERCEROS_INFO[#All],3,FALSE)</f>
        <v>0</v>
      </c>
      <c r="N1313" s="23"/>
      <c r="O1313" s="22">
        <f>+PROVEEDORES[[#This Row],[Descuento sobre subtotal %]]*(PROVEEDORES[[#This Row],[SUBTOTAL]]-PROVEEDORES[[#This Row],[descuento sobre subtotal]])</f>
        <v>0</v>
      </c>
      <c r="P1313" s="74">
        <f>+IF(PROVEEDORES[[#This Row],[SUBTOTAL]]&lt;PROVEEDORES[[#This Row],[base retencion]],0,PROVEEDORES[[#This Row],[retención aplicada]])</f>
        <v>0</v>
      </c>
      <c r="Q1313" s="22">
        <f>+PROVEEDORES[[#This Row],[Rete Fuente %]]*(PROVEEDORES[[#This Row],[SUBTOTAL]]-PROVEEDORES[[#This Row],[descuento sobre subtotal]])</f>
        <v>0</v>
      </c>
      <c r="R1313" s="21">
        <f>+PROVEEDORES[[#This Row],[SUBTOTAL]]+PROVEEDORES[[#This Row],[IVA 19%]]-PROVEEDORES[[#This Row],[descuento sobre subtotal]]-PROVEEDORES[[#This Row],[Descuento sobre subtotal $2]]-PROVEEDORES[[#This Row],[Rete Fuente $]]</f>
        <v>1178064</v>
      </c>
      <c r="S1313" s="2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63">
        <f ca="1">IF(PROVEEDORES[[#This Row],[FECHA DE PAGO]]=0,TODAY()-PROVEEDORES[[#This Row],[FECHA DE FACTURACIÓN]]-PROVEEDORES[[#This Row],[PLAZO Días]],0)</f>
        <v>0</v>
      </c>
      <c r="U1313" s="104">
        <f>+VLOOKUP(PROVEEDORES[[#This Row],[PROVEEDOR]],Terceros!$A:$D,4,FALSE)</f>
        <v>0</v>
      </c>
      <c r="V1313" s="105">
        <f>+YEAR(PROVEEDORES[[#This Row],[FECHA DE FACTURACIÓN]])</f>
        <v>2023</v>
      </c>
      <c r="W1313" s="105">
        <f>+MATCH(PROVEEDORES[[#This Row],[año facturado]],Retenciones!$1:$1,0)</f>
        <v>6</v>
      </c>
      <c r="X1313" s="106">
        <f>+VLOOKUP(PROVEEDORES[[#This Row],[ID RETENCION]],Retenciones!$A$1:$O$25,PROVEEDORES[[#This Row],[indicador de columna]],FALSE)</f>
        <v>0</v>
      </c>
      <c r="Y1313" s="107">
        <f>+VLOOKUP(PROVEEDORES[[#This Row],[ID RETENCION]],Retenciones!$A$1:$O$25,2,FALSE)</f>
        <v>0</v>
      </c>
      <c r="Z1313" s="116" t="b">
        <f>OR(COUNTIF(PROVEEDORES[[#This Row],[PROVEEDOR]],"*"&amp;'Palabra no opera'!$A$2&amp;"*"))</f>
        <v>0</v>
      </c>
    </row>
    <row r="1314" spans="1:26" ht="22.35" customHeight="1" x14ac:dyDescent="0.3">
      <c r="A1314" s="271" t="str">
        <f>+IF(PROVEEDORES[[#This Row],[FECHA DE PAGO]]=PROVEEDORES[[#This Row],[FECHA DE FACTURACIÓN]],"DE CONTADO","CRÉDITO")</f>
        <v>CRÉDITO</v>
      </c>
      <c r="B1314" s="38" t="b">
        <f>+IF((PROVEEDORES[[#This Row],[FECHA DE PAGO]]-PROVEEDORES[[#This Row],[FECHA DE FACTURACIÓN]])&gt;PROVEEDORES[[#This Row],[PLAZO Días]],"PAGO VENCIDO")</f>
        <v>0</v>
      </c>
      <c r="C1314" s="20">
        <f>+VLOOKUP(PROVEEDORES[[#This Row],[PROVEEDOR]],TERCEROS_INFO[#All],2,FALSE)</f>
        <v>60</v>
      </c>
      <c r="D1314" s="25">
        <f>+SUMIFS(PROVEEDORES[Total],PROVEEDORES[PROVEEDOR],PROVEEDORES[[#This Row],[PROVEEDOR]],PROVEEDORES[FECHA DE PAGO],"")</f>
        <v>395600</v>
      </c>
      <c r="E1314" s="25"/>
      <c r="F131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14" s="68">
        <v>44992</v>
      </c>
      <c r="H1314" s="26" t="s">
        <v>287</v>
      </c>
      <c r="I1314" s="68">
        <v>44963</v>
      </c>
      <c r="J1314" s="35">
        <v>1623</v>
      </c>
      <c r="K1314" s="21">
        <v>349920</v>
      </c>
      <c r="L1314" s="21"/>
      <c r="M1314" s="22">
        <f>(PROVEEDORES[[#This Row],[SUBTOTAL]]-PROVEEDORES[[#This Row],[descuento sobre subtotal]])*VLOOKUP(PROVEEDORES[[#This Row],[PROVEEDOR]],TERCEROS_INFO[#All],3,FALSE)</f>
        <v>0</v>
      </c>
      <c r="N1314" s="23"/>
      <c r="O1314" s="22">
        <f>+PROVEEDORES[[#This Row],[Descuento sobre subtotal %]]*(PROVEEDORES[[#This Row],[SUBTOTAL]]-PROVEEDORES[[#This Row],[descuento sobre subtotal]])</f>
        <v>0</v>
      </c>
      <c r="P1314" s="74">
        <f>+IF(PROVEEDORES[[#This Row],[SUBTOTAL]]&lt;PROVEEDORES[[#This Row],[base retencion]],0,PROVEEDORES[[#This Row],[retención aplicada]])</f>
        <v>0</v>
      </c>
      <c r="Q1314" s="22">
        <f>+PROVEEDORES[[#This Row],[Rete Fuente %]]*(PROVEEDORES[[#This Row],[SUBTOTAL]]-PROVEEDORES[[#This Row],[descuento sobre subtotal]])</f>
        <v>0</v>
      </c>
      <c r="R1314" s="21">
        <f>+PROVEEDORES[[#This Row],[SUBTOTAL]]+PROVEEDORES[[#This Row],[IVA 19%]]-PROVEEDORES[[#This Row],[descuento sobre subtotal]]-PROVEEDORES[[#This Row],[Descuento sobre subtotal $2]]-PROVEEDORES[[#This Row],[Rete Fuente $]]</f>
        <v>349920</v>
      </c>
      <c r="S1314" s="27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63">
        <f ca="1">IF(PROVEEDORES[[#This Row],[FECHA DE PAGO]]=0,TODAY()-PROVEEDORES[[#This Row],[FECHA DE FACTURACIÓN]]-PROVEEDORES[[#This Row],[PLAZO Días]],0)</f>
        <v>0</v>
      </c>
      <c r="U1314" s="104">
        <f>+VLOOKUP(PROVEEDORES[[#This Row],[PROVEEDOR]],Terceros!$A:$D,4,FALSE)</f>
        <v>0</v>
      </c>
      <c r="V1314" s="105">
        <f>+YEAR(PROVEEDORES[[#This Row],[FECHA DE FACTURACIÓN]])</f>
        <v>2023</v>
      </c>
      <c r="W1314" s="105">
        <f>+MATCH(PROVEEDORES[[#This Row],[año facturado]],Retenciones!$1:$1,0)</f>
        <v>6</v>
      </c>
      <c r="X1314" s="106">
        <f>+VLOOKUP(PROVEEDORES[[#This Row],[ID RETENCION]],Retenciones!$A$1:$O$25,PROVEEDORES[[#This Row],[indicador de columna]],FALSE)</f>
        <v>0</v>
      </c>
      <c r="Y1314" s="107">
        <f>+VLOOKUP(PROVEEDORES[[#This Row],[ID RETENCION]],Retenciones!$A$1:$O$25,2,FALSE)</f>
        <v>0</v>
      </c>
      <c r="Z1314" s="116" t="b">
        <f>OR(COUNTIF(PROVEEDORES[[#This Row],[PROVEEDOR]],"*"&amp;'Palabra no opera'!$A$2&amp;"*"))</f>
        <v>0</v>
      </c>
    </row>
    <row r="1315" spans="1:26" ht="22.35" customHeight="1" x14ac:dyDescent="0.3">
      <c r="A1315" s="67" t="str">
        <f>+IF(PROVEEDORES[[#This Row],[FECHA DE PAGO]]=PROVEEDORES[[#This Row],[FECHA DE FACTURACIÓN]],"DE CONTADO","CRÉDITO")</f>
        <v>CRÉDITO</v>
      </c>
      <c r="B1315" s="38" t="b">
        <f>+IF((PROVEEDORES[[#This Row],[FECHA DE PAGO]]-PROVEEDORES[[#This Row],[FECHA DE FACTURACIÓN]])&gt;PROVEEDORES[[#This Row],[PLAZO Días]],"PAGO VENCIDO")</f>
        <v>0</v>
      </c>
      <c r="C1315" s="20">
        <f>+VLOOKUP(PROVEEDORES[[#This Row],[PROVEEDOR]],TERCEROS_INFO[#All],2,FALSE)</f>
        <v>45</v>
      </c>
      <c r="D1315" s="25">
        <f>+SUMIFS(PROVEEDORES[Total],PROVEEDORES[PROVEEDOR],PROVEEDORES[[#This Row],[PROVEEDOR]],PROVEEDORES[FECHA DE PAGO],"")</f>
        <v>3074500</v>
      </c>
      <c r="E1315" s="25"/>
      <c r="F131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15" s="68">
        <v>44992</v>
      </c>
      <c r="H1315" s="26" t="s">
        <v>289</v>
      </c>
      <c r="I1315" s="68">
        <v>44949</v>
      </c>
      <c r="J1315" s="35">
        <v>1589</v>
      </c>
      <c r="K1315" s="21">
        <v>2299080</v>
      </c>
      <c r="L1315" s="21"/>
      <c r="M1315" s="22">
        <f>(PROVEEDORES[[#This Row],[SUBTOTAL]]-PROVEEDORES[[#This Row],[descuento sobre subtotal]])*VLOOKUP(PROVEEDORES[[#This Row],[PROVEEDOR]],TERCEROS_INFO[#All],3,FALSE)</f>
        <v>0</v>
      </c>
      <c r="N1315" s="23"/>
      <c r="O1315" s="22">
        <f>+PROVEEDORES[[#This Row],[Descuento sobre subtotal %]]*(PROVEEDORES[[#This Row],[SUBTOTAL]]-PROVEEDORES[[#This Row],[descuento sobre subtotal]])</f>
        <v>0</v>
      </c>
      <c r="P1315" s="74">
        <f>+IF(PROVEEDORES[[#This Row],[SUBTOTAL]]&lt;PROVEEDORES[[#This Row],[base retencion]],0,PROVEEDORES[[#This Row],[retención aplicada]])</f>
        <v>0</v>
      </c>
      <c r="Q1315" s="22">
        <f>+PROVEEDORES[[#This Row],[Rete Fuente %]]*(PROVEEDORES[[#This Row],[SUBTOTAL]]-PROVEEDORES[[#This Row],[descuento sobre subtotal]])</f>
        <v>0</v>
      </c>
      <c r="R1315" s="21">
        <f>+PROVEEDORES[[#This Row],[SUBTOTAL]]+PROVEEDORES[[#This Row],[IVA 19%]]-PROVEEDORES[[#This Row],[descuento sobre subtotal]]-PROVEEDORES[[#This Row],[Descuento sobre subtotal $2]]-PROVEEDORES[[#This Row],[Rete Fuente $]]</f>
        <v>2299080</v>
      </c>
      <c r="S13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63">
        <f ca="1">IF(PROVEEDORES[[#This Row],[FECHA DE PAGO]]=0,TODAY()-PROVEEDORES[[#This Row],[FECHA DE FACTURACIÓN]]-PROVEEDORES[[#This Row],[PLAZO Días]],0)</f>
        <v>0</v>
      </c>
      <c r="U1315" s="104">
        <f>+VLOOKUP(PROVEEDORES[[#This Row],[PROVEEDOR]],Terceros!$A:$D,4,FALSE)</f>
        <v>0</v>
      </c>
      <c r="V1315" s="105">
        <f>+YEAR(PROVEEDORES[[#This Row],[FECHA DE FACTURACIÓN]])</f>
        <v>2023</v>
      </c>
      <c r="W1315" s="105">
        <f>+MATCH(PROVEEDORES[[#This Row],[año facturado]],Retenciones!$1:$1,0)</f>
        <v>6</v>
      </c>
      <c r="X1315" s="106">
        <f>+VLOOKUP(PROVEEDORES[[#This Row],[ID RETENCION]],Retenciones!$A$1:$O$25,PROVEEDORES[[#This Row],[indicador de columna]],FALSE)</f>
        <v>0</v>
      </c>
      <c r="Y1315" s="107">
        <f>+VLOOKUP(PROVEEDORES[[#This Row],[ID RETENCION]],Retenciones!$A$1:$O$25,2,FALSE)</f>
        <v>0</v>
      </c>
      <c r="Z1315" s="116" t="b">
        <f>OR(COUNTIF(PROVEEDORES[[#This Row],[PROVEEDOR]],"*"&amp;'Palabra no opera'!$A$2&amp;"*"))</f>
        <v>0</v>
      </c>
    </row>
    <row r="1316" spans="1:26" ht="22.35" customHeight="1" x14ac:dyDescent="0.3">
      <c r="A1316" s="67" t="str">
        <f>+IF(PROVEEDORES[[#This Row],[FECHA DE PAGO]]=PROVEEDORES[[#This Row],[FECHA DE FACTURACIÓN]],"DE CONTADO","CRÉDITO")</f>
        <v>DE CONTADO</v>
      </c>
      <c r="B1316" s="38" t="b">
        <f>+IF((PROVEEDORES[[#This Row],[FECHA DE PAGO]]-PROVEEDORES[[#This Row],[FECHA DE FACTURACIÓN]])&gt;PROVEEDORES[[#This Row],[PLAZO Días]],"PAGO VENCIDO")</f>
        <v>0</v>
      </c>
      <c r="C1316" s="20">
        <f>+VLOOKUP(PROVEEDORES[[#This Row],[PROVEEDOR]],TERCEROS_INFO[#All],2,FALSE)</f>
        <v>30</v>
      </c>
      <c r="D1316" s="25">
        <f>+SUMIFS(PROVEEDORES[Total],PROVEEDORES[PROVEEDOR],PROVEEDORES[[#This Row],[PROVEEDOR]],PROVEEDORES[FECHA DE PAGO],"")</f>
        <v>0</v>
      </c>
      <c r="E1316" s="25"/>
      <c r="F1316" s="56" t="str">
        <f>+VLOOKUP(PROVEEDORES[[#This Row],[PROVEEDOR]],
                       Terceros!$A:$F,
                       5,
                       FALSE)</f>
        <v/>
      </c>
      <c r="G1316" s="68">
        <v>44993</v>
      </c>
      <c r="H1316" s="26" t="s">
        <v>356</v>
      </c>
      <c r="I1316" s="68">
        <v>44993</v>
      </c>
      <c r="J1316" s="35" t="s">
        <v>1506</v>
      </c>
      <c r="K1316" s="21">
        <v>5386000</v>
      </c>
      <c r="L1316" s="21"/>
      <c r="M1316" s="22">
        <f>(PROVEEDORES[[#This Row],[SUBTOTAL]]-PROVEEDORES[[#This Row],[descuento sobre subtotal]])*VLOOKUP(PROVEEDORES[[#This Row],[PROVEEDOR]],TERCEROS_INFO[#All],3,FALSE)</f>
        <v>0</v>
      </c>
      <c r="N1316" s="23"/>
      <c r="O1316" s="22">
        <f>+PROVEEDORES[[#This Row],[Descuento sobre subtotal %]]*(PROVEEDORES[[#This Row],[SUBTOTAL]]-PROVEEDORES[[#This Row],[descuento sobre subtotal]])</f>
        <v>0</v>
      </c>
      <c r="P1316" s="74">
        <f>+IF(PROVEEDORES[[#This Row],[SUBTOTAL]]&lt;PROVEEDORES[[#This Row],[base retencion]],0,PROVEEDORES[[#This Row],[retención aplicada]])</f>
        <v>0</v>
      </c>
      <c r="Q1316" s="22">
        <f>+PROVEEDORES[[#This Row],[Rete Fuente %]]*(PROVEEDORES[[#This Row],[SUBTOTAL]]-PROVEEDORES[[#This Row],[descuento sobre subtotal]])</f>
        <v>0</v>
      </c>
      <c r="R1316" s="21">
        <f>+PROVEEDORES[[#This Row],[SUBTOTAL]]+PROVEEDORES[[#This Row],[IVA 19%]]-PROVEEDORES[[#This Row],[descuento sobre subtotal]]-PROVEEDORES[[#This Row],[Descuento sobre subtotal $2]]-PROVEEDORES[[#This Row],[Rete Fuente $]]</f>
        <v>5386000</v>
      </c>
      <c r="S13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63">
        <f ca="1">IF(PROVEEDORES[[#This Row],[FECHA DE PAGO]]=0,TODAY()-PROVEEDORES[[#This Row],[FECHA DE FACTURACIÓN]]-PROVEEDORES[[#This Row],[PLAZO Días]],0)</f>
        <v>0</v>
      </c>
      <c r="U1316" s="104">
        <f>+VLOOKUP(PROVEEDORES[[#This Row],[PROVEEDOR]],Terceros!$A:$D,4,FALSE)</f>
        <v>0</v>
      </c>
      <c r="V1316" s="105">
        <f>+YEAR(PROVEEDORES[[#This Row],[FECHA DE FACTURACIÓN]])</f>
        <v>2023</v>
      </c>
      <c r="W1316" s="105">
        <f>+MATCH(PROVEEDORES[[#This Row],[año facturado]],Retenciones!$1:$1,0)</f>
        <v>6</v>
      </c>
      <c r="X1316" s="106">
        <f>+VLOOKUP(PROVEEDORES[[#This Row],[ID RETENCION]],Retenciones!$A$1:$O$25,PROVEEDORES[[#This Row],[indicador de columna]],FALSE)</f>
        <v>0</v>
      </c>
      <c r="Y1316" s="107">
        <f>+VLOOKUP(PROVEEDORES[[#This Row],[ID RETENCION]],Retenciones!$A$1:$O$25,2,FALSE)</f>
        <v>0</v>
      </c>
      <c r="Z1316" s="116" t="b">
        <f>OR(COUNTIF(PROVEEDORES[[#This Row],[PROVEEDOR]],"*"&amp;'Palabra no opera'!$A$2&amp;"*"))</f>
        <v>0</v>
      </c>
    </row>
    <row r="1317" spans="1:26" ht="22.35" customHeight="1" x14ac:dyDescent="0.3">
      <c r="A1317" s="67" t="str">
        <f>+IF(PROVEEDORES[[#This Row],[FECHA DE PAGO]]=PROVEEDORES[[#This Row],[FECHA DE FACTURACIÓN]],"DE CONTADO","CRÉDITO")</f>
        <v>DE CONTADO</v>
      </c>
      <c r="B1317" s="38" t="b">
        <f>+IF((PROVEEDORES[[#This Row],[FECHA DE PAGO]]-PROVEEDORES[[#This Row],[FECHA DE FACTURACIÓN]])&gt;PROVEEDORES[[#This Row],[PLAZO Días]],"PAGO VENCIDO")</f>
        <v>0</v>
      </c>
      <c r="C1317" s="20">
        <f>+VLOOKUP(PROVEEDORES[[#This Row],[PROVEEDOR]],TERCEROS_INFO[#All],2,FALSE)</f>
        <v>30</v>
      </c>
      <c r="D1317" s="25">
        <f>+SUMIFS(PROVEEDORES[Total],PROVEEDORES[PROVEEDOR],PROVEEDORES[[#This Row],[PROVEEDOR]],PROVEEDORES[FECHA DE PAGO],"")</f>
        <v>559000</v>
      </c>
      <c r="E1317" s="25"/>
      <c r="F1317" s="56" t="str">
        <f>+VLOOKUP(PROVEEDORES[[#This Row],[PROVEEDOR]],
                       Terceros!$A:$F,
                       5,
                       FALSE)</f>
        <v/>
      </c>
      <c r="G1317" s="68">
        <v>44993</v>
      </c>
      <c r="H1317" s="26" t="s">
        <v>1554</v>
      </c>
      <c r="I1317" s="68">
        <v>44993</v>
      </c>
      <c r="J1317" s="35" t="s">
        <v>1555</v>
      </c>
      <c r="K1317" s="21">
        <v>330000</v>
      </c>
      <c r="L1317" s="21"/>
      <c r="M1317" s="22">
        <f>(PROVEEDORES[[#This Row],[SUBTOTAL]]-PROVEEDORES[[#This Row],[descuento sobre subtotal]])*VLOOKUP(PROVEEDORES[[#This Row],[PROVEEDOR]],TERCEROS_INFO[#All],3,FALSE)</f>
        <v>0</v>
      </c>
      <c r="N1317" s="23"/>
      <c r="O1317" s="22">
        <f>+PROVEEDORES[[#This Row],[Descuento sobre subtotal %]]*(PROVEEDORES[[#This Row],[SUBTOTAL]]-PROVEEDORES[[#This Row],[descuento sobre subtotal]])</f>
        <v>0</v>
      </c>
      <c r="P1317" s="74">
        <f>+IF(PROVEEDORES[[#This Row],[SUBTOTAL]]&lt;PROVEEDORES[[#This Row],[base retencion]],0,PROVEEDORES[[#This Row],[retención aplicada]])</f>
        <v>0</v>
      </c>
      <c r="Q1317" s="22">
        <f>+PROVEEDORES[[#This Row],[Rete Fuente %]]*(PROVEEDORES[[#This Row],[SUBTOTAL]]-PROVEEDORES[[#This Row],[descuento sobre subtotal]])</f>
        <v>0</v>
      </c>
      <c r="R1317" s="21">
        <f>+PROVEEDORES[[#This Row],[SUBTOTAL]]+PROVEEDORES[[#This Row],[IVA 19%]]-PROVEEDORES[[#This Row],[descuento sobre subtotal]]-PROVEEDORES[[#This Row],[Descuento sobre subtotal $2]]-PROVEEDORES[[#This Row],[Rete Fuente $]]</f>
        <v>330000</v>
      </c>
      <c r="S131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63">
        <f ca="1">IF(PROVEEDORES[[#This Row],[FECHA DE PAGO]]=0,TODAY()-PROVEEDORES[[#This Row],[FECHA DE FACTURACIÓN]]-PROVEEDORES[[#This Row],[PLAZO Días]],0)</f>
        <v>0</v>
      </c>
      <c r="U1317" s="104">
        <f>+VLOOKUP(PROVEEDORES[[#This Row],[PROVEEDOR]],Terceros!$A:$D,4,FALSE)</f>
        <v>0</v>
      </c>
      <c r="V1317" s="105">
        <f>+YEAR(PROVEEDORES[[#This Row],[FECHA DE FACTURACIÓN]])</f>
        <v>2023</v>
      </c>
      <c r="W1317" s="105">
        <f>+MATCH(PROVEEDORES[[#This Row],[año facturado]],Retenciones!$1:$1,0)</f>
        <v>6</v>
      </c>
      <c r="X1317" s="106">
        <f>+VLOOKUP(PROVEEDORES[[#This Row],[ID RETENCION]],Retenciones!$A$1:$O$25,PROVEEDORES[[#This Row],[indicador de columna]],FALSE)</f>
        <v>0</v>
      </c>
      <c r="Y1317" s="107">
        <f>+VLOOKUP(PROVEEDORES[[#This Row],[ID RETENCION]],Retenciones!$A$1:$O$25,2,FALSE)</f>
        <v>0</v>
      </c>
      <c r="Z1317" s="116" t="b">
        <f>OR(COUNTIF(PROVEEDORES[[#This Row],[PROVEEDOR]],"*"&amp;'Palabra no opera'!$A$2&amp;"*"))</f>
        <v>0</v>
      </c>
    </row>
    <row r="1318" spans="1:26" ht="22.35" customHeight="1" x14ac:dyDescent="0.3">
      <c r="A1318" s="273" t="str">
        <f>+IF(PROVEEDORES[[#This Row],[FECHA DE PAGO]]=PROVEEDORES[[#This Row],[FECHA DE FACTURACIÓN]],"DE CONTADO","CRÉDITO")</f>
        <v>CRÉDITO</v>
      </c>
      <c r="B1318" s="38" t="str">
        <f>+IF((PROVEEDORES[[#This Row],[FECHA DE PAGO]]-PROVEEDORES[[#This Row],[FECHA DE FACTURACIÓN]])&gt;PROVEEDORES[[#This Row],[PLAZO Días]],"PAGO VENCIDO")</f>
        <v>PAGO VENCIDO</v>
      </c>
      <c r="C1318" s="20">
        <f>+VLOOKUP(PROVEEDORES[[#This Row],[PROVEEDOR]],TERCEROS_INFO[#All],2,FALSE)</f>
        <v>30</v>
      </c>
      <c r="D1318" s="25">
        <f>+SUMIFS(PROVEEDORES[Total],PROVEEDORES[PROVEEDOR],PROVEEDORES[[#This Row],[PROVEEDOR]],PROVEEDORES[FECHA DE PAGO],"")</f>
        <v>0</v>
      </c>
      <c r="E1318" s="25"/>
      <c r="F131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18" s="68">
        <v>44995</v>
      </c>
      <c r="H1318" s="26" t="s">
        <v>623</v>
      </c>
      <c r="I1318" s="68">
        <v>44958</v>
      </c>
      <c r="J1318" s="35" t="s">
        <v>1490</v>
      </c>
      <c r="K1318" s="21">
        <v>3294426</v>
      </c>
      <c r="L1318" s="21"/>
      <c r="M1318" s="22">
        <f>(PROVEEDORES[[#This Row],[SUBTOTAL]]-PROVEEDORES[[#This Row],[descuento sobre subtotal]])*VLOOKUP(PROVEEDORES[[#This Row],[PROVEEDOR]],TERCEROS_INFO[#All],3,FALSE)</f>
        <v>625940.94000000006</v>
      </c>
      <c r="N1318" s="23"/>
      <c r="O1318" s="22">
        <f>+PROVEEDORES[[#This Row],[Descuento sobre subtotal %]]*(PROVEEDORES[[#This Row],[SUBTOTAL]]-PROVEEDORES[[#This Row],[descuento sobre subtotal]])</f>
        <v>0</v>
      </c>
      <c r="P1318" s="74">
        <v>0</v>
      </c>
      <c r="Q1318" s="22">
        <f>+PROVEEDORES[[#This Row],[Rete Fuente %]]*(PROVEEDORES[[#This Row],[SUBTOTAL]]-PROVEEDORES[[#This Row],[descuento sobre subtotal]])</f>
        <v>0</v>
      </c>
      <c r="R1318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318" s="27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63">
        <f ca="1">IF(PROVEEDORES[[#This Row],[FECHA DE PAGO]]=0,TODAY()-PROVEEDORES[[#This Row],[FECHA DE FACTURACIÓN]]-PROVEEDORES[[#This Row],[PLAZO Días]],0)</f>
        <v>0</v>
      </c>
      <c r="U1318" s="104" t="str">
        <f>+VLOOKUP(PROVEEDORES[[#This Row],[PROVEEDOR]],Terceros!$A:$D,4,FALSE)</f>
        <v>4% sin base</v>
      </c>
      <c r="V1318" s="105">
        <f>+YEAR(PROVEEDORES[[#This Row],[FECHA DE FACTURACIÓN]])</f>
        <v>2023</v>
      </c>
      <c r="W1318" s="105">
        <f>+MATCH(PROVEEDORES[[#This Row],[año facturado]],Retenciones!$1:$1,0)</f>
        <v>6</v>
      </c>
      <c r="X1318" s="106">
        <f>+VLOOKUP(PROVEEDORES[[#This Row],[ID RETENCION]],Retenciones!$A$1:$O$25,PROVEEDORES[[#This Row],[indicador de columna]],FALSE)</f>
        <v>0</v>
      </c>
      <c r="Y1318" s="107">
        <f>+VLOOKUP(PROVEEDORES[[#This Row],[ID RETENCION]],Retenciones!$A$1:$O$25,2,FALSE)</f>
        <v>0.04</v>
      </c>
      <c r="Z1318" s="116" t="b">
        <f>OR(COUNTIF(PROVEEDORES[[#This Row],[PROVEEDOR]],"*"&amp;'Palabra no opera'!$A$2&amp;"*"))</f>
        <v>1</v>
      </c>
    </row>
    <row r="1319" spans="1:26" ht="22.35" customHeight="1" x14ac:dyDescent="0.3">
      <c r="A1319" s="273" t="str">
        <f>+IF(PROVEEDORES[[#This Row],[FECHA DE PAGO]]=PROVEEDORES[[#This Row],[FECHA DE FACTURACIÓN]],"DE CONTADO","CRÉDITO")</f>
        <v>CRÉDITO</v>
      </c>
      <c r="B1319" s="38" t="str">
        <f>+IF((PROVEEDORES[[#This Row],[FECHA DE PAGO]]-PROVEEDORES[[#This Row],[FECHA DE FACTURACIÓN]])&gt;PROVEEDORES[[#This Row],[PLAZO Días]],"PAGO VENCIDO")</f>
        <v>PAGO VENCIDO</v>
      </c>
      <c r="C1319" s="20">
        <f>+VLOOKUP(PROVEEDORES[[#This Row],[PROVEEDOR]],TERCEROS_INFO[#All],2,FALSE)</f>
        <v>30</v>
      </c>
      <c r="D1319" s="25">
        <f>+SUMIFS(PROVEEDORES[Total],PROVEEDORES[PROVEEDOR],PROVEEDORES[[#This Row],[PROVEEDOR]],PROVEEDORES[FECHA DE PAGO],"")</f>
        <v>0</v>
      </c>
      <c r="E1319" s="25"/>
      <c r="F1319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319" s="68">
        <v>44995</v>
      </c>
      <c r="H1319" s="26" t="s">
        <v>635</v>
      </c>
      <c r="I1319" s="68">
        <v>44958</v>
      </c>
      <c r="J1319" s="35" t="s">
        <v>1491</v>
      </c>
      <c r="K1319" s="21">
        <v>3002200</v>
      </c>
      <c r="L1319" s="21"/>
      <c r="M1319" s="22">
        <f>(PROVEEDORES[[#This Row],[SUBTOTAL]]-PROVEEDORES[[#This Row],[descuento sobre subtotal]])*VLOOKUP(PROVEEDORES[[#This Row],[PROVEEDOR]],TERCEROS_INFO[#All],3,FALSE)</f>
        <v>0</v>
      </c>
      <c r="N1319" s="23"/>
      <c r="O1319" s="22">
        <f>+PROVEEDORES[[#This Row],[Descuento sobre subtotal %]]*(PROVEEDORES[[#This Row],[SUBTOTAL]]-PROVEEDORES[[#This Row],[descuento sobre subtotal]])</f>
        <v>0</v>
      </c>
      <c r="P1319" s="74">
        <f>+IF(PROVEEDORES[[#This Row],[SUBTOTAL]]&lt;PROVEEDORES[[#This Row],[base retencion]],0,PROVEEDORES[[#This Row],[retención aplicada]])</f>
        <v>3.5000000000000003E-2</v>
      </c>
      <c r="Q1319" s="22">
        <f>+PROVEEDORES[[#This Row],[Rete Fuente %]]*(PROVEEDORES[[#This Row],[SUBTOTAL]]-PROVEEDORES[[#This Row],[descuento sobre subtotal]])</f>
        <v>105077.00000000001</v>
      </c>
      <c r="R1319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319" s="27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63">
        <f ca="1">IF(PROVEEDORES[[#This Row],[FECHA DE PAGO]]=0,TODAY()-PROVEEDORES[[#This Row],[FECHA DE FACTURACIÓN]]-PROVEEDORES[[#This Row],[PLAZO Días]],0)</f>
        <v>0</v>
      </c>
      <c r="U1319" s="104" t="str">
        <f>+VLOOKUP(PROVEEDORES[[#This Row],[PROVEEDOR]],Terceros!$A:$D,4,FALSE)</f>
        <v>3,5% sin base</v>
      </c>
      <c r="V1319" s="105">
        <f>+YEAR(PROVEEDORES[[#This Row],[FECHA DE FACTURACIÓN]])</f>
        <v>2023</v>
      </c>
      <c r="W1319" s="105">
        <f>+MATCH(PROVEEDORES[[#This Row],[año facturado]],Retenciones!$1:$1,0)</f>
        <v>6</v>
      </c>
      <c r="X1319" s="106">
        <f>+VLOOKUP(PROVEEDORES[[#This Row],[ID RETENCION]],Retenciones!$A$1:$O$25,PROVEEDORES[[#This Row],[indicador de columna]],FALSE)</f>
        <v>0</v>
      </c>
      <c r="Y1319" s="107">
        <f>+VLOOKUP(PROVEEDORES[[#This Row],[ID RETENCION]],Retenciones!$A$1:$O$25,2,FALSE)</f>
        <v>3.5000000000000003E-2</v>
      </c>
      <c r="Z1319" s="116" t="b">
        <f>OR(COUNTIF(PROVEEDORES[[#This Row],[PROVEEDOR]],"*"&amp;'Palabra no opera'!$A$2&amp;"*"))</f>
        <v>1</v>
      </c>
    </row>
    <row r="1320" spans="1:26" ht="22.35" customHeight="1" x14ac:dyDescent="0.3">
      <c r="A1320" s="273" t="str">
        <f>+IF(PROVEEDORES[[#This Row],[FECHA DE PAGO]]=PROVEEDORES[[#This Row],[FECHA DE FACTURACIÓN]],"DE CONTADO","CRÉDITO")</f>
        <v>CRÉDITO</v>
      </c>
      <c r="B1320" s="38" t="str">
        <f>+IF((PROVEEDORES[[#This Row],[FECHA DE PAGO]]-PROVEEDORES[[#This Row],[FECHA DE FACTURACIÓN]])&gt;PROVEEDORES[[#This Row],[PLAZO Días]],"PAGO VENCIDO")</f>
        <v>PAGO VENCIDO</v>
      </c>
      <c r="C1320" s="20">
        <f>+VLOOKUP(PROVEEDORES[[#This Row],[PROVEEDOR]],TERCEROS_INFO[#All],2,FALSE)</f>
        <v>10</v>
      </c>
      <c r="D1320" s="25">
        <f>+SUMIFS(PROVEEDORES[Total],PROVEEDORES[PROVEEDOR],PROVEEDORES[[#This Row],[PROVEEDOR]],PROVEEDORES[FECHA DE PAGO],"")</f>
        <v>0</v>
      </c>
      <c r="E1320" s="25"/>
      <c r="F1320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320" s="68">
        <v>44995</v>
      </c>
      <c r="H1320" s="26" t="s">
        <v>1202</v>
      </c>
      <c r="I1320" s="68">
        <v>44959</v>
      </c>
      <c r="J1320" s="35" t="s">
        <v>1492</v>
      </c>
      <c r="K1320" s="21">
        <v>4730000</v>
      </c>
      <c r="L1320" s="21"/>
      <c r="M1320" s="22">
        <v>898700</v>
      </c>
      <c r="N1320" s="23"/>
      <c r="O1320" s="22">
        <f>+PROVEEDORES[[#This Row],[Descuento sobre subtotal %]]*(PROVEEDORES[[#This Row],[SUBTOTAL]]-PROVEEDORES[[#This Row],[descuento sobre subtotal]])</f>
        <v>0</v>
      </c>
      <c r="P1320" s="74">
        <f>+IF(PROVEEDORES[[#This Row],[SUBTOTAL]]&lt;PROVEEDORES[[#This Row],[base retencion]],0,PROVEEDORES[[#This Row],[retención aplicada]])</f>
        <v>0</v>
      </c>
      <c r="Q1320" s="22">
        <f>+PROVEEDORES[[#This Row],[Rete Fuente %]]*(PROVEEDORES[[#This Row],[SUBTOTAL]]-PROVEEDORES[[#This Row],[descuento sobre subtotal]])</f>
        <v>0</v>
      </c>
      <c r="R1320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320" s="27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63">
        <f ca="1">IF(PROVEEDORES[[#This Row],[FECHA DE PAGO]]=0,TODAY()-PROVEEDORES[[#This Row],[FECHA DE FACTURACIÓN]]-PROVEEDORES[[#This Row],[PLAZO Días]],0)</f>
        <v>0</v>
      </c>
      <c r="U1320" s="104">
        <f>+VLOOKUP(PROVEEDORES[[#This Row],[PROVEEDOR]],Terceros!$A:$D,4,FALSE)</f>
        <v>0</v>
      </c>
      <c r="V1320" s="105">
        <f>+YEAR(PROVEEDORES[[#This Row],[FECHA DE FACTURACIÓN]])</f>
        <v>2023</v>
      </c>
      <c r="W1320" s="105">
        <f>+MATCH(PROVEEDORES[[#This Row],[año facturado]],Retenciones!$1:$1,0)</f>
        <v>6</v>
      </c>
      <c r="X1320" s="106">
        <f>+VLOOKUP(PROVEEDORES[[#This Row],[ID RETENCION]],Retenciones!$A$1:$O$25,PROVEEDORES[[#This Row],[indicador de columna]],FALSE)</f>
        <v>0</v>
      </c>
      <c r="Y1320" s="107">
        <f>+VLOOKUP(PROVEEDORES[[#This Row],[ID RETENCION]],Retenciones!$A$1:$O$25,2,FALSE)</f>
        <v>0</v>
      </c>
      <c r="Z1320" s="116" t="b">
        <f>OR(COUNTIF(PROVEEDORES[[#This Row],[PROVEEDOR]],"*"&amp;'Palabra no opera'!$A$2&amp;"*"))</f>
        <v>1</v>
      </c>
    </row>
    <row r="1321" spans="1:26" ht="22.35" customHeight="1" x14ac:dyDescent="0.3">
      <c r="A1321" s="67" t="str">
        <f>+IF(PROVEEDORES[[#This Row],[FECHA DE PAGO]]=PROVEEDORES[[#This Row],[FECHA DE FACTURACIÓN]],"DE CONTADO","CRÉDITO")</f>
        <v>DE CONTADO</v>
      </c>
      <c r="B1321" s="38" t="b">
        <f>+IF((PROVEEDORES[[#This Row],[FECHA DE PAGO]]-PROVEEDORES[[#This Row],[FECHA DE FACTURACIÓN]])&gt;PROVEEDORES[[#This Row],[PLAZO Días]],"PAGO VENCIDO")</f>
        <v>0</v>
      </c>
      <c r="C1321" s="20">
        <f>+VLOOKUP(PROVEEDORES[[#This Row],[PROVEEDOR]],TERCEROS_INFO[#All],2,FALSE)</f>
        <v>30</v>
      </c>
      <c r="D1321" s="25">
        <f>+SUMIFS(PROVEEDORES[Total],PROVEEDORES[PROVEEDOR],PROVEEDORES[[#This Row],[PROVEEDOR]],PROVEEDORES[FECHA DE PAGO],"")</f>
        <v>0</v>
      </c>
      <c r="E1321" s="25"/>
      <c r="F1321" s="56" t="str">
        <f>+VLOOKUP(PROVEEDORES[[#This Row],[PROVEEDOR]],
                       Terceros!$A:$F,
                       5,
                       FALSE)</f>
        <v/>
      </c>
      <c r="G1321" s="68">
        <v>44998</v>
      </c>
      <c r="H1321" s="26" t="s">
        <v>356</v>
      </c>
      <c r="I1321" s="68">
        <v>44998</v>
      </c>
      <c r="J1321" s="35" t="s">
        <v>1507</v>
      </c>
      <c r="K1321" s="21">
        <v>2077000</v>
      </c>
      <c r="L1321" s="21"/>
      <c r="M1321" s="22">
        <f>(PROVEEDORES[[#This Row],[SUBTOTAL]]-PROVEEDORES[[#This Row],[descuento sobre subtotal]])*VLOOKUP(PROVEEDORES[[#This Row],[PROVEEDOR]],TERCEROS_INFO[#All],3,FALSE)</f>
        <v>0</v>
      </c>
      <c r="N1321" s="23"/>
      <c r="O1321" s="22">
        <f>+PROVEEDORES[[#This Row],[Descuento sobre subtotal %]]*(PROVEEDORES[[#This Row],[SUBTOTAL]]-PROVEEDORES[[#This Row],[descuento sobre subtotal]])</f>
        <v>0</v>
      </c>
      <c r="P1321" s="74">
        <f>+IF(PROVEEDORES[[#This Row],[SUBTOTAL]]&lt;PROVEEDORES[[#This Row],[base retencion]],0,PROVEEDORES[[#This Row],[retención aplicada]])</f>
        <v>0</v>
      </c>
      <c r="Q1321" s="22">
        <f>+PROVEEDORES[[#This Row],[Rete Fuente %]]*(PROVEEDORES[[#This Row],[SUBTOTAL]]-PROVEEDORES[[#This Row],[descuento sobre subtotal]])</f>
        <v>0</v>
      </c>
      <c r="R1321" s="21">
        <f>+PROVEEDORES[[#This Row],[SUBTOTAL]]+PROVEEDORES[[#This Row],[IVA 19%]]-PROVEEDORES[[#This Row],[descuento sobre subtotal]]-PROVEEDORES[[#This Row],[Descuento sobre subtotal $2]]-PROVEEDORES[[#This Row],[Rete Fuente $]]</f>
        <v>2077000</v>
      </c>
      <c r="S13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63">
        <f ca="1">IF(PROVEEDORES[[#This Row],[FECHA DE PAGO]]=0,TODAY()-PROVEEDORES[[#This Row],[FECHA DE FACTURACIÓN]]-PROVEEDORES[[#This Row],[PLAZO Días]],0)</f>
        <v>0</v>
      </c>
      <c r="U1321" s="104">
        <f>+VLOOKUP(PROVEEDORES[[#This Row],[PROVEEDOR]],Terceros!$A:$D,4,FALSE)</f>
        <v>0</v>
      </c>
      <c r="V1321" s="105">
        <f>+YEAR(PROVEEDORES[[#This Row],[FECHA DE FACTURACIÓN]])</f>
        <v>2023</v>
      </c>
      <c r="W1321" s="105">
        <f>+MATCH(PROVEEDORES[[#This Row],[año facturado]],Retenciones!$1:$1,0)</f>
        <v>6</v>
      </c>
      <c r="X1321" s="106">
        <f>+VLOOKUP(PROVEEDORES[[#This Row],[ID RETENCION]],Retenciones!$A$1:$O$25,PROVEEDORES[[#This Row],[indicador de columna]],FALSE)</f>
        <v>0</v>
      </c>
      <c r="Y1321" s="107">
        <f>+VLOOKUP(PROVEEDORES[[#This Row],[ID RETENCION]],Retenciones!$A$1:$O$25,2,FALSE)</f>
        <v>0</v>
      </c>
      <c r="Z1321" s="116" t="b">
        <f>OR(COUNTIF(PROVEEDORES[[#This Row],[PROVEEDOR]],"*"&amp;'Palabra no opera'!$A$2&amp;"*"))</f>
        <v>0</v>
      </c>
    </row>
    <row r="1322" spans="1:26" ht="22.35" customHeight="1" x14ac:dyDescent="0.3">
      <c r="A1322" s="269" t="str">
        <f>+IF(PROVEEDORES[[#This Row],[FECHA DE PAGO]]=PROVEEDORES[[#This Row],[FECHA DE FACTURACIÓN]],"DE CONTADO","CRÉDITO")</f>
        <v>CRÉDITO</v>
      </c>
      <c r="B1322" s="38" t="b">
        <f>+IF((PROVEEDORES[[#This Row],[FECHA DE PAGO]]-PROVEEDORES[[#This Row],[FECHA DE FACTURACIÓN]])&gt;PROVEEDORES[[#This Row],[PLAZO Días]],"PAGO VENCIDO")</f>
        <v>0</v>
      </c>
      <c r="C1322" s="20">
        <f>+VLOOKUP(PROVEEDORES[[#This Row],[PROVEEDOR]],TERCEROS_INFO[#All],2,FALSE)</f>
        <v>30</v>
      </c>
      <c r="D1322" s="25">
        <f>+SUMIFS(PROVEEDORES[Total],PROVEEDORES[PROVEEDOR],PROVEEDORES[[#This Row],[PROVEEDOR]],PROVEEDORES[FECHA DE PAGO],"")</f>
        <v>3669750</v>
      </c>
      <c r="E1322" s="25"/>
      <c r="F1322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322" s="68">
        <v>44998</v>
      </c>
      <c r="H1322" s="26" t="s">
        <v>24</v>
      </c>
      <c r="I1322" s="68">
        <v>44973</v>
      </c>
      <c r="J1322" s="35" t="s">
        <v>1458</v>
      </c>
      <c r="K1322" s="21">
        <v>16645788</v>
      </c>
      <c r="L1322" s="21"/>
      <c r="M1322" s="22">
        <f>(PROVEEDORES[[#This Row],[SUBTOTAL]]-PROVEEDORES[[#This Row],[descuento sobre subtotal]])*VLOOKUP(PROVEEDORES[[#This Row],[PROVEEDOR]],TERCEROS_INFO[#All],3,FALSE)</f>
        <v>3162699.72</v>
      </c>
      <c r="N1322" s="23"/>
      <c r="O1322" s="22">
        <f>+PROVEEDORES[[#This Row],[Descuento sobre subtotal %]]*(PROVEEDORES[[#This Row],[SUBTOTAL]]-PROVEEDORES[[#This Row],[descuento sobre subtotal]])</f>
        <v>0</v>
      </c>
      <c r="P1322" s="74">
        <f>+IF(PROVEEDORES[[#This Row],[SUBTOTAL]]&lt;PROVEEDORES[[#This Row],[base retencion]],0,PROVEEDORES[[#This Row],[retención aplicada]])</f>
        <v>2.5000000000000001E-2</v>
      </c>
      <c r="Q1322" s="22">
        <f>+PROVEEDORES[[#This Row],[Rete Fuente %]]*(PROVEEDORES[[#This Row],[SUBTOTAL]]-PROVEEDORES[[#This Row],[descuento sobre subtotal]])</f>
        <v>416144.7</v>
      </c>
      <c r="R1322" s="21">
        <f>+PROVEEDORES[[#This Row],[SUBTOTAL]]+PROVEEDORES[[#This Row],[IVA 19%]]-PROVEEDORES[[#This Row],[descuento sobre subtotal]]-PROVEEDORES[[#This Row],[Descuento sobre subtotal $2]]-PROVEEDORES[[#This Row],[Rete Fuente $]]</f>
        <v>19392343.02</v>
      </c>
      <c r="S1322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63">
        <f ca="1">IF(PROVEEDORES[[#This Row],[FECHA DE PAGO]]=0,TODAY()-PROVEEDORES[[#This Row],[FECHA DE FACTURACIÓN]]-PROVEEDORES[[#This Row],[PLAZO Días]],0)</f>
        <v>0</v>
      </c>
      <c r="U1322" s="104" t="str">
        <f>+VLOOKUP(PROVEEDORES[[#This Row],[PROVEEDOR]],Terceros!$A:$D,4,FALSE)</f>
        <v>2,5% con base</v>
      </c>
      <c r="V1322" s="105">
        <f>+YEAR(PROVEEDORES[[#This Row],[FECHA DE FACTURACIÓN]])</f>
        <v>2023</v>
      </c>
      <c r="W1322" s="105">
        <f>+MATCH(PROVEEDORES[[#This Row],[año facturado]],Retenciones!$1:$1,0)</f>
        <v>6</v>
      </c>
      <c r="X1322" s="106">
        <f>+VLOOKUP(PROVEEDORES[[#This Row],[ID RETENCION]],Retenciones!$A$1:$O$25,PROVEEDORES[[#This Row],[indicador de columna]],FALSE)</f>
        <v>1145000</v>
      </c>
      <c r="Y1322" s="107">
        <f>+VLOOKUP(PROVEEDORES[[#This Row],[ID RETENCION]],Retenciones!$A$1:$O$25,2,FALSE)</f>
        <v>2.5000000000000001E-2</v>
      </c>
      <c r="Z1322" s="116" t="b">
        <f>OR(COUNTIF(PROVEEDORES[[#This Row],[PROVEEDOR]],"*"&amp;'Palabra no opera'!$A$2&amp;"*"))</f>
        <v>0</v>
      </c>
    </row>
    <row r="1323" spans="1:26" ht="22.35" customHeight="1" x14ac:dyDescent="0.3">
      <c r="A1323" s="269" t="str">
        <f>+IF(PROVEEDORES[[#This Row],[FECHA DE PAGO]]=PROVEEDORES[[#This Row],[FECHA DE FACTURACIÓN]],"DE CONTADO","CRÉDITO")</f>
        <v>CRÉDITO</v>
      </c>
      <c r="B1323" s="38" t="b">
        <f>+IF((PROVEEDORES[[#This Row],[FECHA DE PAGO]]-PROVEEDORES[[#This Row],[FECHA DE FACTURACIÓN]])&gt;PROVEEDORES[[#This Row],[PLAZO Días]],"PAGO VENCIDO")</f>
        <v>0</v>
      </c>
      <c r="C1323" s="20">
        <f>+VLOOKUP(PROVEEDORES[[#This Row],[PROVEEDOR]],TERCEROS_INFO[#All],2,FALSE)</f>
        <v>30</v>
      </c>
      <c r="D1323" s="25">
        <f>+SUMIFS(PROVEEDORES[Total],PROVEEDORES[PROVEEDOR],PROVEEDORES[[#This Row],[PROVEEDOR]],PROVEEDORES[FECHA DE PAGO],"")</f>
        <v>3669750</v>
      </c>
      <c r="E1323" s="25"/>
      <c r="F1323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323" s="68">
        <v>44998</v>
      </c>
      <c r="H1323" s="26" t="s">
        <v>24</v>
      </c>
      <c r="I1323" s="68">
        <v>44985</v>
      </c>
      <c r="J1323" s="35" t="s">
        <v>1476</v>
      </c>
      <c r="K1323" s="21">
        <v>-8403361</v>
      </c>
      <c r="L1323" s="21"/>
      <c r="M1323" s="22">
        <f>(PROVEEDORES[[#This Row],[SUBTOTAL]]-PROVEEDORES[[#This Row],[descuento sobre subtotal]])*VLOOKUP(PROVEEDORES[[#This Row],[PROVEEDOR]],TERCEROS_INFO[#All],3,FALSE)</f>
        <v>-1596638.59</v>
      </c>
      <c r="N1323" s="23"/>
      <c r="O1323" s="22">
        <f>+PROVEEDORES[[#This Row],[Descuento sobre subtotal %]]*(PROVEEDORES[[#This Row],[SUBTOTAL]]-PROVEEDORES[[#This Row],[descuento sobre subtotal]])</f>
        <v>0</v>
      </c>
      <c r="P1323" s="74">
        <f>+IF(PROVEEDORES[[#This Row],[SUBTOTAL]]&lt;PROVEEDORES[[#This Row],[base retencion]],0,PROVEEDORES[[#This Row],[retención aplicada]])</f>
        <v>0</v>
      </c>
      <c r="Q1323" s="22">
        <f>+PROVEEDORES[[#This Row],[Rete Fuente %]]*(PROVEEDORES[[#This Row],[SUBTOTAL]]-PROVEEDORES[[#This Row],[descuento sobre subtotal]])</f>
        <v>0</v>
      </c>
      <c r="R1323" s="21">
        <f>+PROVEEDORES[[#This Row],[SUBTOTAL]]+PROVEEDORES[[#This Row],[IVA 19%]]-PROVEEDORES[[#This Row],[descuento sobre subtotal]]-PROVEEDORES[[#This Row],[Descuento sobre subtotal $2]]-PROVEEDORES[[#This Row],[Rete Fuente $]]</f>
        <v>-9999999.5899999999</v>
      </c>
      <c r="S1323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63">
        <f ca="1">IF(PROVEEDORES[[#This Row],[FECHA DE PAGO]]=0,TODAY()-PROVEEDORES[[#This Row],[FECHA DE FACTURACIÓN]]-PROVEEDORES[[#This Row],[PLAZO Días]],0)</f>
        <v>0</v>
      </c>
      <c r="U1323" s="104" t="str">
        <f>+VLOOKUP(PROVEEDORES[[#This Row],[PROVEEDOR]],Terceros!$A:$D,4,FALSE)</f>
        <v>2,5% con base</v>
      </c>
      <c r="V1323" s="105">
        <f>+YEAR(PROVEEDORES[[#This Row],[FECHA DE FACTURACIÓN]])</f>
        <v>2023</v>
      </c>
      <c r="W1323" s="105">
        <f>+MATCH(PROVEEDORES[[#This Row],[año facturado]],Retenciones!$1:$1,0)</f>
        <v>6</v>
      </c>
      <c r="X1323" s="106">
        <f>+VLOOKUP(PROVEEDORES[[#This Row],[ID RETENCION]],Retenciones!$A$1:$O$25,PROVEEDORES[[#This Row],[indicador de columna]],FALSE)</f>
        <v>1145000</v>
      </c>
      <c r="Y1323" s="107">
        <f>+VLOOKUP(PROVEEDORES[[#This Row],[ID RETENCION]],Retenciones!$A$1:$O$25,2,FALSE)</f>
        <v>2.5000000000000001E-2</v>
      </c>
      <c r="Z1323" s="116" t="b">
        <f>OR(COUNTIF(PROVEEDORES[[#This Row],[PROVEEDOR]],"*"&amp;'Palabra no opera'!$A$2&amp;"*"))</f>
        <v>0</v>
      </c>
    </row>
    <row r="1324" spans="1:26" ht="22.35" customHeight="1" x14ac:dyDescent="0.3">
      <c r="A1324" s="273" t="str">
        <f>+IF(PROVEEDORES[[#This Row],[FECHA DE PAGO]]=PROVEEDORES[[#This Row],[FECHA DE FACTURACIÓN]],"DE CONTADO","CRÉDITO")</f>
        <v>CRÉDITO</v>
      </c>
      <c r="B1324" s="38" t="b">
        <f>+IF((PROVEEDORES[[#This Row],[FECHA DE PAGO]]-PROVEEDORES[[#This Row],[FECHA DE FACTURACIÓN]])&gt;PROVEEDORES[[#This Row],[PLAZO Días]],"PAGO VENCIDO")</f>
        <v>0</v>
      </c>
      <c r="C1324" s="20">
        <f>+VLOOKUP(PROVEEDORES[[#This Row],[PROVEEDOR]],TERCEROS_INFO[#All],2,FALSE)</f>
        <v>30</v>
      </c>
      <c r="D1324" s="25">
        <f>+SUMIFS(PROVEEDORES[Total],PROVEEDORES[PROVEEDOR],PROVEEDORES[[#This Row],[PROVEEDOR]],PROVEEDORES[FECHA DE PAGO],"")</f>
        <v>10321993.199999999</v>
      </c>
      <c r="E1324" s="25"/>
      <c r="F1324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24" s="68">
        <v>44998</v>
      </c>
      <c r="H1324" s="26" t="s">
        <v>1068</v>
      </c>
      <c r="I1324" s="68">
        <v>44993</v>
      </c>
      <c r="J1324" s="35">
        <v>29650</v>
      </c>
      <c r="K1324" s="21">
        <v>740000</v>
      </c>
      <c r="L1324" s="21"/>
      <c r="M1324" s="22">
        <f>(PROVEEDORES[[#This Row],[SUBTOTAL]]-PROVEEDORES[[#This Row],[descuento sobre subtotal]])*VLOOKUP(PROVEEDORES[[#This Row],[PROVEEDOR]],TERCEROS_INFO[#All],3,FALSE)</f>
        <v>140600</v>
      </c>
      <c r="N1324" s="23">
        <v>0.04</v>
      </c>
      <c r="O1324" s="22">
        <f>+PROVEEDORES[[#This Row],[Descuento sobre subtotal %]]*(PROVEEDORES[[#This Row],[SUBTOTAL]]-PROVEEDORES[[#This Row],[descuento sobre subtotal]])</f>
        <v>29600</v>
      </c>
      <c r="P1324" s="74">
        <f>+IF(PROVEEDORES[[#This Row],[SUBTOTAL]]&lt;PROVEEDORES[[#This Row],[base retencion]],0,PROVEEDORES[[#This Row],[retención aplicada]])</f>
        <v>0</v>
      </c>
      <c r="Q1324" s="22">
        <f>+PROVEEDORES[[#This Row],[Rete Fuente %]]*(PROVEEDORES[[#This Row],[SUBTOTAL]]-PROVEEDORES[[#This Row],[descuento sobre subtotal]])</f>
        <v>0</v>
      </c>
      <c r="R1324" s="21">
        <f>+PROVEEDORES[[#This Row],[SUBTOTAL]]+PROVEEDORES[[#This Row],[IVA 19%]]-PROVEEDORES[[#This Row],[descuento sobre subtotal]]-PROVEEDORES[[#This Row],[Descuento sobre subtotal $2]]-PROVEEDORES[[#This Row],[Rete Fuente $]]</f>
        <v>851000</v>
      </c>
      <c r="S1324" s="27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63">
        <f ca="1">IF(PROVEEDORES[[#This Row],[FECHA DE PAGO]]=0,TODAY()-PROVEEDORES[[#This Row],[FECHA DE FACTURACIÓN]]-PROVEEDORES[[#This Row],[PLAZO Días]],0)</f>
        <v>0</v>
      </c>
      <c r="U1324" s="104" t="str">
        <f>+VLOOKUP(PROVEEDORES[[#This Row],[PROVEEDOR]],Terceros!$A:$D,4,FALSE)</f>
        <v>2,5% con base</v>
      </c>
      <c r="V1324" s="105">
        <f>+YEAR(PROVEEDORES[[#This Row],[FECHA DE FACTURACIÓN]])</f>
        <v>2023</v>
      </c>
      <c r="W1324" s="105">
        <f>+MATCH(PROVEEDORES[[#This Row],[año facturado]],Retenciones!$1:$1,0)</f>
        <v>6</v>
      </c>
      <c r="X1324" s="106">
        <f>+VLOOKUP(PROVEEDORES[[#This Row],[ID RETENCION]],Retenciones!$A$1:$O$25,PROVEEDORES[[#This Row],[indicador de columna]],FALSE)</f>
        <v>1145000</v>
      </c>
      <c r="Y1324" s="107">
        <f>+VLOOKUP(PROVEEDORES[[#This Row],[ID RETENCION]],Retenciones!$A$1:$O$25,2,FALSE)</f>
        <v>2.5000000000000001E-2</v>
      </c>
      <c r="Z1324" s="116" t="b">
        <f>OR(COUNTIF(PROVEEDORES[[#This Row],[PROVEEDOR]],"*"&amp;'Palabra no opera'!$A$2&amp;"*"))</f>
        <v>0</v>
      </c>
    </row>
    <row r="1325" spans="1:26" ht="22.35" customHeight="1" x14ac:dyDescent="0.3">
      <c r="A1325" s="257" t="str">
        <f>+IF(PROVEEDORES[[#This Row],[FECHA DE PAGO]]=PROVEEDORES[[#This Row],[FECHA DE FACTURACIÓN]],"DE CONTADO","CRÉDITO")</f>
        <v>CRÉDITO</v>
      </c>
      <c r="B1325" s="38" t="str">
        <f>+IF((PROVEEDORES[[#This Row],[FECHA DE PAGO]]-PROVEEDORES[[#This Row],[FECHA DE FACTURACIÓN]])&gt;PROVEEDORES[[#This Row],[PLAZO Días]],"PAGO VENCIDO")</f>
        <v>PAGO VENCIDO</v>
      </c>
      <c r="C1325" s="20">
        <f>+VLOOKUP(PROVEEDORES[[#This Row],[PROVEEDOR]],TERCEROS_INFO[#All],2,FALSE)</f>
        <v>30</v>
      </c>
      <c r="D1325" s="25">
        <f>+SUMIFS(PROVEEDORES[Total],PROVEEDORES[PROVEEDOR],PROVEEDORES[[#This Row],[PROVEEDOR]],PROVEEDORES[FECHA DE PAGO],"")</f>
        <v>18444236.894999996</v>
      </c>
      <c r="E1325" s="25"/>
      <c r="F1325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25" s="68">
        <v>44998</v>
      </c>
      <c r="H1325" s="26" t="s">
        <v>11</v>
      </c>
      <c r="I1325" s="68">
        <v>44937</v>
      </c>
      <c r="J1325" s="35" t="s">
        <v>1380</v>
      </c>
      <c r="K1325" s="21">
        <v>-153013</v>
      </c>
      <c r="L1325" s="21"/>
      <c r="M1325" s="22">
        <f>(PROVEEDORES[[#This Row],[SUBTOTAL]]-PROVEEDORES[[#This Row],[descuento sobre subtotal]])*VLOOKUP(PROVEEDORES[[#This Row],[PROVEEDOR]],TERCEROS_INFO[#All],3,FALSE)</f>
        <v>-29072.47</v>
      </c>
      <c r="N1325" s="23"/>
      <c r="O1325" s="22">
        <f>+PROVEEDORES[[#This Row],[Descuento sobre subtotal %]]*(PROVEEDORES[[#This Row],[SUBTOTAL]]-PROVEEDORES[[#This Row],[descuento sobre subtotal]])</f>
        <v>0</v>
      </c>
      <c r="P1325" s="74">
        <f>+IF(PROVEEDORES[[#This Row],[SUBTOTAL]]&lt;PROVEEDORES[[#This Row],[base retencion]],0,PROVEEDORES[[#This Row],[retención aplicada]])</f>
        <v>0</v>
      </c>
      <c r="Q1325" s="22">
        <f>+PROVEEDORES[[#This Row],[Rete Fuente %]]*(PROVEEDORES[[#This Row],[SUBTOTAL]]-PROVEEDORES[[#This Row],[descuento sobre subtotal]])</f>
        <v>0</v>
      </c>
      <c r="R1325" s="21">
        <f>+PROVEEDORES[[#This Row],[SUBTOTAL]]+PROVEEDORES[[#This Row],[IVA 19%]]-PROVEEDORES[[#This Row],[descuento sobre subtotal]]-PROVEEDORES[[#This Row],[Descuento sobre subtotal $2]]-PROVEEDORES[[#This Row],[Rete Fuente $]]</f>
        <v>-182085.47</v>
      </c>
      <c r="S1325" s="2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63">
        <f ca="1">IF(PROVEEDORES[[#This Row],[FECHA DE PAGO]]=0,TODAY()-PROVEEDORES[[#This Row],[FECHA DE FACTURACIÓN]]-PROVEEDORES[[#This Row],[PLAZO Días]],0)</f>
        <v>0</v>
      </c>
      <c r="U1325" s="104" t="str">
        <f>+VLOOKUP(PROVEEDORES[[#This Row],[PROVEEDOR]],Terceros!$A:$D,4,FALSE)</f>
        <v>2,5% con base</v>
      </c>
      <c r="V1325" s="105">
        <f>+YEAR(PROVEEDORES[[#This Row],[FECHA DE FACTURACIÓN]])</f>
        <v>2023</v>
      </c>
      <c r="W1325" s="105">
        <f>+MATCH(PROVEEDORES[[#This Row],[año facturado]],Retenciones!$1:$1,0)</f>
        <v>6</v>
      </c>
      <c r="X1325" s="106">
        <f>+VLOOKUP(PROVEEDORES[[#This Row],[ID RETENCION]],Retenciones!$A$1:$O$25,PROVEEDORES[[#This Row],[indicador de columna]],FALSE)</f>
        <v>1145000</v>
      </c>
      <c r="Y1325" s="107">
        <f>+VLOOKUP(PROVEEDORES[[#This Row],[ID RETENCION]],Retenciones!$A$1:$O$25,2,FALSE)</f>
        <v>2.5000000000000001E-2</v>
      </c>
      <c r="Z1325" s="116" t="b">
        <f>OR(COUNTIF(PROVEEDORES[[#This Row],[PROVEEDOR]],"*"&amp;'Palabra no opera'!$A$2&amp;"*"))</f>
        <v>0</v>
      </c>
    </row>
    <row r="1326" spans="1:26" ht="22.35" customHeight="1" x14ac:dyDescent="0.3">
      <c r="A1326" s="67" t="str">
        <f>+IF(PROVEEDORES[[#This Row],[FECHA DE PAGO]]=PROVEEDORES[[#This Row],[FECHA DE FACTURACIÓN]],"DE CONTADO","CRÉDITO")</f>
        <v>CRÉDITO</v>
      </c>
      <c r="B1326" s="38" t="str">
        <f>+IF((PROVEEDORES[[#This Row],[FECHA DE PAGO]]-PROVEEDORES[[#This Row],[FECHA DE FACTURACIÓN]])&gt;PROVEEDORES[[#This Row],[PLAZO Días]],"PAGO VENCIDO")</f>
        <v>PAGO VENCIDO</v>
      </c>
      <c r="C1326" s="20">
        <f>+VLOOKUP(PROVEEDORES[[#This Row],[PROVEEDOR]],TERCEROS_INFO[#All],2,FALSE)</f>
        <v>30</v>
      </c>
      <c r="D1326" s="25">
        <f>+SUMIFS(PROVEEDORES[Total],PROVEEDORES[PROVEEDOR],PROVEEDORES[[#This Row],[PROVEEDOR]],PROVEEDORES[FECHA DE PAGO],"")</f>
        <v>18444236.894999996</v>
      </c>
      <c r="E1326" s="25"/>
      <c r="F1326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26" s="68">
        <v>44998</v>
      </c>
      <c r="H1326" s="26" t="s">
        <v>11</v>
      </c>
      <c r="I1326" s="68">
        <v>44951</v>
      </c>
      <c r="J1326" s="35" t="s">
        <v>1418</v>
      </c>
      <c r="K1326" s="21">
        <v>2803032</v>
      </c>
      <c r="L1326" s="21"/>
      <c r="M1326" s="22">
        <f>(PROVEEDORES[[#This Row],[SUBTOTAL]]-PROVEEDORES[[#This Row],[descuento sobre subtotal]])*VLOOKUP(PROVEEDORES[[#This Row],[PROVEEDOR]],TERCEROS_INFO[#All],3,FALSE)</f>
        <v>532576.07999999996</v>
      </c>
      <c r="N1326" s="23"/>
      <c r="O1326" s="22">
        <f>+PROVEEDORES[[#This Row],[Descuento sobre subtotal %]]*(PROVEEDORES[[#This Row],[SUBTOTAL]]-PROVEEDORES[[#This Row],[descuento sobre subtotal]])</f>
        <v>0</v>
      </c>
      <c r="P1326" s="74">
        <f>+IF(PROVEEDORES[[#This Row],[SUBTOTAL]]&lt;PROVEEDORES[[#This Row],[base retencion]],0,PROVEEDORES[[#This Row],[retención aplicada]])</f>
        <v>2.5000000000000001E-2</v>
      </c>
      <c r="Q1326" s="22">
        <f>+PROVEEDORES[[#This Row],[Rete Fuente %]]*(PROVEEDORES[[#This Row],[SUBTOTAL]]-PROVEEDORES[[#This Row],[descuento sobre subtotal]])</f>
        <v>70075.8</v>
      </c>
      <c r="R1326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32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63">
        <f ca="1">IF(PROVEEDORES[[#This Row],[FECHA DE PAGO]]=0,TODAY()-PROVEEDORES[[#This Row],[FECHA DE FACTURACIÓN]]-PROVEEDORES[[#This Row],[PLAZO Días]],0)</f>
        <v>0</v>
      </c>
      <c r="U1326" s="104" t="str">
        <f>+VLOOKUP(PROVEEDORES[[#This Row],[PROVEEDOR]],Terceros!$A:$D,4,FALSE)</f>
        <v>2,5% con base</v>
      </c>
      <c r="V1326" s="105">
        <f>+YEAR(PROVEEDORES[[#This Row],[FECHA DE FACTURACIÓN]])</f>
        <v>2023</v>
      </c>
      <c r="W1326" s="105">
        <f>+MATCH(PROVEEDORES[[#This Row],[año facturado]],Retenciones!$1:$1,0)</f>
        <v>6</v>
      </c>
      <c r="X1326" s="106">
        <f>+VLOOKUP(PROVEEDORES[[#This Row],[ID RETENCION]],Retenciones!$A$1:$O$25,PROVEEDORES[[#This Row],[indicador de columna]],FALSE)</f>
        <v>1145000</v>
      </c>
      <c r="Y1326" s="107">
        <f>+VLOOKUP(PROVEEDORES[[#This Row],[ID RETENCION]],Retenciones!$A$1:$O$25,2,FALSE)</f>
        <v>2.5000000000000001E-2</v>
      </c>
      <c r="Z1326" s="116" t="b">
        <f>OR(COUNTIF(PROVEEDORES[[#This Row],[PROVEEDOR]],"*"&amp;'Palabra no opera'!$A$2&amp;"*"))</f>
        <v>0</v>
      </c>
    </row>
    <row r="1327" spans="1:26" ht="22.35" customHeight="1" x14ac:dyDescent="0.3">
      <c r="A1327" s="265" t="str">
        <f>+IF(PROVEEDORES[[#This Row],[FECHA DE PAGO]]=PROVEEDORES[[#This Row],[FECHA DE FACTURACIÓN]],"DE CONTADO","CRÉDITO")</f>
        <v>CRÉDITO</v>
      </c>
      <c r="B1327" s="38" t="str">
        <f>+IF((PROVEEDORES[[#This Row],[FECHA DE PAGO]]-PROVEEDORES[[#This Row],[FECHA DE FACTURACIÓN]])&gt;PROVEEDORES[[#This Row],[PLAZO Días]],"PAGO VENCIDO")</f>
        <v>PAGO VENCIDO</v>
      </c>
      <c r="C1327" s="20">
        <f>+VLOOKUP(PROVEEDORES[[#This Row],[PROVEEDOR]],TERCEROS_INFO[#All],2,FALSE)</f>
        <v>30</v>
      </c>
      <c r="D1327" s="25">
        <f>+SUMIFS(PROVEEDORES[Total],PROVEEDORES[PROVEEDOR],PROVEEDORES[[#This Row],[PROVEEDOR]],PROVEEDORES[FECHA DE PAGO],"")</f>
        <v>18444236.894999996</v>
      </c>
      <c r="E1327" s="25"/>
      <c r="F132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27" s="68">
        <v>44998</v>
      </c>
      <c r="H1327" s="26" t="s">
        <v>11</v>
      </c>
      <c r="I1327" s="68">
        <v>44958</v>
      </c>
      <c r="J1327" s="35" t="s">
        <v>1431</v>
      </c>
      <c r="K1327" s="21">
        <v>700758</v>
      </c>
      <c r="L1327" s="21"/>
      <c r="M1327" s="22">
        <f>(PROVEEDORES[[#This Row],[SUBTOTAL]]-PROVEEDORES[[#This Row],[descuento sobre subtotal]])*VLOOKUP(PROVEEDORES[[#This Row],[PROVEEDOR]],TERCEROS_INFO[#All],3,FALSE)</f>
        <v>133144.01999999999</v>
      </c>
      <c r="N1327" s="23"/>
      <c r="O1327" s="22">
        <f>+PROVEEDORES[[#This Row],[Descuento sobre subtotal %]]*(PROVEEDORES[[#This Row],[SUBTOTAL]]-PROVEEDORES[[#This Row],[descuento sobre subtotal]])</f>
        <v>0</v>
      </c>
      <c r="P1327" s="74">
        <f>+IF(PROVEEDORES[[#This Row],[SUBTOTAL]]&lt;PROVEEDORES[[#This Row],[base retencion]],0,PROVEEDORES[[#This Row],[retención aplicada]])</f>
        <v>0</v>
      </c>
      <c r="Q1327" s="22">
        <f>+PROVEEDORES[[#This Row],[Rete Fuente %]]*(PROVEEDORES[[#This Row],[SUBTOTAL]]-PROVEEDORES[[#This Row],[descuento sobre subtotal]])</f>
        <v>0</v>
      </c>
      <c r="R1327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1327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63">
        <f ca="1">IF(PROVEEDORES[[#This Row],[FECHA DE PAGO]]=0,TODAY()-PROVEEDORES[[#This Row],[FECHA DE FACTURACIÓN]]-PROVEEDORES[[#This Row],[PLAZO Días]],0)</f>
        <v>0</v>
      </c>
      <c r="U1327" s="104" t="str">
        <f>+VLOOKUP(PROVEEDORES[[#This Row],[PROVEEDOR]],Terceros!$A:$D,4,FALSE)</f>
        <v>2,5% con base</v>
      </c>
      <c r="V1327" s="105">
        <f>+YEAR(PROVEEDORES[[#This Row],[FECHA DE FACTURACIÓN]])</f>
        <v>2023</v>
      </c>
      <c r="W1327" s="105">
        <f>+MATCH(PROVEEDORES[[#This Row],[año facturado]],Retenciones!$1:$1,0)</f>
        <v>6</v>
      </c>
      <c r="X1327" s="106">
        <f>+VLOOKUP(PROVEEDORES[[#This Row],[ID RETENCION]],Retenciones!$A$1:$O$25,PROVEEDORES[[#This Row],[indicador de columna]],FALSE)</f>
        <v>1145000</v>
      </c>
      <c r="Y1327" s="107">
        <f>+VLOOKUP(PROVEEDORES[[#This Row],[ID RETENCION]],Retenciones!$A$1:$O$25,2,FALSE)</f>
        <v>2.5000000000000001E-2</v>
      </c>
      <c r="Z1327" s="116" t="b">
        <f>OR(COUNTIF(PROVEEDORES[[#This Row],[PROVEEDOR]],"*"&amp;'Palabra no opera'!$A$2&amp;"*"))</f>
        <v>0</v>
      </c>
    </row>
    <row r="1328" spans="1:26" ht="22.35" customHeight="1" x14ac:dyDescent="0.3">
      <c r="A1328" s="265" t="str">
        <f>+IF(PROVEEDORES[[#This Row],[FECHA DE PAGO]]=PROVEEDORES[[#This Row],[FECHA DE FACTURACIÓN]],"DE CONTADO","CRÉDITO")</f>
        <v>CRÉDITO</v>
      </c>
      <c r="B1328" s="38" t="str">
        <f>+IF((PROVEEDORES[[#This Row],[FECHA DE PAGO]]-PROVEEDORES[[#This Row],[FECHA DE FACTURACIÓN]])&gt;PROVEEDORES[[#This Row],[PLAZO Días]],"PAGO VENCIDO")</f>
        <v>PAGO VENCIDO</v>
      </c>
      <c r="C1328" s="20">
        <f>+VLOOKUP(PROVEEDORES[[#This Row],[PROVEEDOR]],TERCEROS_INFO[#All],2,FALSE)</f>
        <v>30</v>
      </c>
      <c r="D1328" s="25">
        <f>+SUMIFS(PROVEEDORES[Total],PROVEEDORES[PROVEEDOR],PROVEEDORES[[#This Row],[PROVEEDOR]],PROVEEDORES[FECHA DE PAGO],"")</f>
        <v>18444236.894999996</v>
      </c>
      <c r="E1328" s="25"/>
      <c r="F132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28" s="68">
        <v>44998</v>
      </c>
      <c r="H1328" s="26" t="s">
        <v>11</v>
      </c>
      <c r="I1328" s="68">
        <v>44960</v>
      </c>
      <c r="J1328" s="35" t="s">
        <v>1432</v>
      </c>
      <c r="K1328" s="21">
        <v>2102274</v>
      </c>
      <c r="L1328" s="21"/>
      <c r="M1328" s="22">
        <f>(PROVEEDORES[[#This Row],[SUBTOTAL]]-PROVEEDORES[[#This Row],[descuento sobre subtotal]])*VLOOKUP(PROVEEDORES[[#This Row],[PROVEEDOR]],TERCEROS_INFO[#All],3,FALSE)</f>
        <v>399432.06</v>
      </c>
      <c r="N1328" s="23"/>
      <c r="O1328" s="22">
        <f>+PROVEEDORES[[#This Row],[Descuento sobre subtotal %]]*(PROVEEDORES[[#This Row],[SUBTOTAL]]-PROVEEDORES[[#This Row],[descuento sobre subtotal]])</f>
        <v>0</v>
      </c>
      <c r="P1328" s="74">
        <f>+IF(PROVEEDORES[[#This Row],[SUBTOTAL]]&lt;PROVEEDORES[[#This Row],[base retencion]],0,PROVEEDORES[[#This Row],[retención aplicada]])</f>
        <v>2.5000000000000001E-2</v>
      </c>
      <c r="Q1328" s="22">
        <f>+PROVEEDORES[[#This Row],[Rete Fuente %]]*(PROVEEDORES[[#This Row],[SUBTOTAL]]-PROVEEDORES[[#This Row],[descuento sobre subtotal]])</f>
        <v>52556.850000000006</v>
      </c>
      <c r="R1328" s="21">
        <f>+PROVEEDORES[[#This Row],[SUBTOTAL]]+PROVEEDORES[[#This Row],[IVA 19%]]-PROVEEDORES[[#This Row],[descuento sobre subtotal]]-PROVEEDORES[[#This Row],[Descuento sobre subtotal $2]]-PROVEEDORES[[#This Row],[Rete Fuente $]]</f>
        <v>2449149.21</v>
      </c>
      <c r="S1328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63">
        <f ca="1">IF(PROVEEDORES[[#This Row],[FECHA DE PAGO]]=0,TODAY()-PROVEEDORES[[#This Row],[FECHA DE FACTURACIÓN]]-PROVEEDORES[[#This Row],[PLAZO Días]],0)</f>
        <v>0</v>
      </c>
      <c r="U1328" s="104" t="str">
        <f>+VLOOKUP(PROVEEDORES[[#This Row],[PROVEEDOR]],Terceros!$A:$D,4,FALSE)</f>
        <v>2,5% con base</v>
      </c>
      <c r="V1328" s="105">
        <f>+YEAR(PROVEEDORES[[#This Row],[FECHA DE FACTURACIÓN]])</f>
        <v>2023</v>
      </c>
      <c r="W1328" s="105">
        <f>+MATCH(PROVEEDORES[[#This Row],[año facturado]],Retenciones!$1:$1,0)</f>
        <v>6</v>
      </c>
      <c r="X1328" s="106">
        <f>+VLOOKUP(PROVEEDORES[[#This Row],[ID RETENCION]],Retenciones!$A$1:$O$25,PROVEEDORES[[#This Row],[indicador de columna]],FALSE)</f>
        <v>1145000</v>
      </c>
      <c r="Y1328" s="107">
        <f>+VLOOKUP(PROVEEDORES[[#This Row],[ID RETENCION]],Retenciones!$A$1:$O$25,2,FALSE)</f>
        <v>2.5000000000000001E-2</v>
      </c>
      <c r="Z1328" s="116" t="b">
        <f>OR(COUNTIF(PROVEEDORES[[#This Row],[PROVEEDOR]],"*"&amp;'Palabra no opera'!$A$2&amp;"*"))</f>
        <v>0</v>
      </c>
    </row>
    <row r="1329" spans="1:26" ht="22.35" customHeight="1" x14ac:dyDescent="0.3">
      <c r="A1329" s="67" t="str">
        <f>+IF(PROVEEDORES[[#This Row],[FECHA DE PAGO]]=PROVEEDORES[[#This Row],[FECHA DE FACTURACIÓN]],"DE CONTADO","CRÉDITO")</f>
        <v>CRÉDITO</v>
      </c>
      <c r="B1329" s="38" t="str">
        <f>+IF((PROVEEDORES[[#This Row],[FECHA DE PAGO]]-PROVEEDORES[[#This Row],[FECHA DE FACTURACIÓN]])&gt;PROVEEDORES[[#This Row],[PLAZO Días]],"PAGO VENCIDO")</f>
        <v>PAGO VENCIDO</v>
      </c>
      <c r="C1329" s="20">
        <f>+VLOOKUP(PROVEEDORES[[#This Row],[PROVEEDOR]],TERCEROS_INFO[#All],2,FALSE)</f>
        <v>30</v>
      </c>
      <c r="D1329" s="25">
        <f>+SUMIFS(PROVEEDORES[Total],PROVEEDORES[PROVEEDOR],PROVEEDORES[[#This Row],[PROVEEDOR]],PROVEEDORES[FECHA DE PAGO],"")</f>
        <v>1316890.8900000001</v>
      </c>
      <c r="E1329" s="25"/>
      <c r="F1329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29" s="68">
        <v>44999</v>
      </c>
      <c r="H1329" s="26" t="s">
        <v>17</v>
      </c>
      <c r="I1329" s="68">
        <v>44959</v>
      </c>
      <c r="J1329" s="35">
        <v>20088404</v>
      </c>
      <c r="K1329" s="21">
        <v>205800</v>
      </c>
      <c r="L1329" s="21"/>
      <c r="M1329" s="22">
        <f>(PROVEEDORES[[#This Row],[SUBTOTAL]]-PROVEEDORES[[#This Row],[descuento sobre subtotal]])*VLOOKUP(PROVEEDORES[[#This Row],[PROVEEDOR]],TERCEROS_INFO[#All],3,FALSE)</f>
        <v>39102</v>
      </c>
      <c r="N1329" s="23"/>
      <c r="O1329" s="22">
        <f>+PROVEEDORES[[#This Row],[Descuento sobre subtotal %]]*(PROVEEDORES[[#This Row],[SUBTOTAL]]-PROVEEDORES[[#This Row],[descuento sobre subtotal]])</f>
        <v>0</v>
      </c>
      <c r="P1329" s="74">
        <f>+IF(PROVEEDORES[[#This Row],[SUBTOTAL]]&lt;PROVEEDORES[[#This Row],[base retencion]],0,PROVEEDORES[[#This Row],[retención aplicada]])</f>
        <v>0</v>
      </c>
      <c r="Q1329" s="22">
        <f>+PROVEEDORES[[#This Row],[Rete Fuente %]]*(PROVEEDORES[[#This Row],[SUBTOTAL]]-PROVEEDORES[[#This Row],[descuento sobre subtotal]])</f>
        <v>0</v>
      </c>
      <c r="R1329" s="21">
        <f>+PROVEEDORES[[#This Row],[SUBTOTAL]]+PROVEEDORES[[#This Row],[IVA 19%]]-PROVEEDORES[[#This Row],[descuento sobre subtotal]]-PROVEEDORES[[#This Row],[Descuento sobre subtotal $2]]-PROVEEDORES[[#This Row],[Rete Fuente $]]</f>
        <v>244902</v>
      </c>
      <c r="S13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9" s="63">
        <f ca="1">IF(PROVEEDORES[[#This Row],[FECHA DE PAGO]]=0,TODAY()-PROVEEDORES[[#This Row],[FECHA DE FACTURACIÓN]]-PROVEEDORES[[#This Row],[PLAZO Días]],0)</f>
        <v>0</v>
      </c>
      <c r="U1329" s="104">
        <f>+VLOOKUP(PROVEEDORES[[#This Row],[PROVEEDOR]],Terceros!$A:$D,4,FALSE)</f>
        <v>0</v>
      </c>
      <c r="V1329" s="105">
        <f>+YEAR(PROVEEDORES[[#This Row],[FECHA DE FACTURACIÓN]])</f>
        <v>2023</v>
      </c>
      <c r="W1329" s="105">
        <f>+MATCH(PROVEEDORES[[#This Row],[año facturado]],Retenciones!$1:$1,0)</f>
        <v>6</v>
      </c>
      <c r="X1329" s="106">
        <f>+VLOOKUP(PROVEEDORES[[#This Row],[ID RETENCION]],Retenciones!$A$1:$O$25,PROVEEDORES[[#This Row],[indicador de columna]],FALSE)</f>
        <v>0</v>
      </c>
      <c r="Y1329" s="107">
        <f>+VLOOKUP(PROVEEDORES[[#This Row],[ID RETENCION]],Retenciones!$A$1:$O$25,2,FALSE)</f>
        <v>0</v>
      </c>
      <c r="Z1329" s="116" t="b">
        <f>OR(COUNTIF(PROVEEDORES[[#This Row],[PROVEEDOR]],"*"&amp;'Palabra no opera'!$A$2&amp;"*"))</f>
        <v>0</v>
      </c>
    </row>
    <row r="1330" spans="1:26" ht="22.35" customHeight="1" x14ac:dyDescent="0.3">
      <c r="A1330" s="265" t="str">
        <f>+IF(PROVEEDORES[[#This Row],[FECHA DE PAGO]]=PROVEEDORES[[#This Row],[FECHA DE FACTURACIÓN]],"DE CONTADO","CRÉDITO")</f>
        <v>CRÉDITO</v>
      </c>
      <c r="B1330" s="38" t="str">
        <f>+IF((PROVEEDORES[[#This Row],[FECHA DE PAGO]]-PROVEEDORES[[#This Row],[FECHA DE FACTURACIÓN]])&gt;PROVEEDORES[[#This Row],[PLAZO Días]],"PAGO VENCIDO")</f>
        <v>PAGO VENCIDO</v>
      </c>
      <c r="C1330" s="20">
        <f>+VLOOKUP(PROVEEDORES[[#This Row],[PROVEEDOR]],TERCEROS_INFO[#All],2,FALSE)</f>
        <v>30</v>
      </c>
      <c r="D1330" s="25">
        <f>+SUMIFS(PROVEEDORES[Total],PROVEEDORES[PROVEEDOR],PROVEEDORES[[#This Row],[PROVEEDOR]],PROVEEDORES[FECHA DE PAGO],"")</f>
        <v>2773899.95</v>
      </c>
      <c r="E1330" s="25"/>
      <c r="F1330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30" s="68">
        <v>44999</v>
      </c>
      <c r="H1330" s="26" t="s">
        <v>20</v>
      </c>
      <c r="I1330" s="68">
        <v>44958</v>
      </c>
      <c r="J1330" s="35" t="s">
        <v>1433</v>
      </c>
      <c r="K1330" s="21">
        <v>1955960</v>
      </c>
      <c r="L1330" s="21"/>
      <c r="M1330" s="22">
        <f>(PROVEEDORES[[#This Row],[SUBTOTAL]]-PROVEEDORES[[#This Row],[descuento sobre subtotal]])*VLOOKUP(PROVEEDORES[[#This Row],[PROVEEDOR]],TERCEROS_INFO[#All],3,FALSE)</f>
        <v>371632.4</v>
      </c>
      <c r="N1330" s="23"/>
      <c r="O1330" s="22">
        <f>+PROVEEDORES[[#This Row],[Descuento sobre subtotal %]]*(PROVEEDORES[[#This Row],[SUBTOTAL]]-PROVEEDORES[[#This Row],[descuento sobre subtotal]])</f>
        <v>0</v>
      </c>
      <c r="P1330" s="74">
        <f>+IF(PROVEEDORES[[#This Row],[SUBTOTAL]]&lt;PROVEEDORES[[#This Row],[base retencion]],0,PROVEEDORES[[#This Row],[retención aplicada]])</f>
        <v>2.5000000000000001E-2</v>
      </c>
      <c r="Q1330" s="22">
        <f>+PROVEEDORES[[#This Row],[Rete Fuente %]]*(PROVEEDORES[[#This Row],[SUBTOTAL]]-PROVEEDORES[[#This Row],[descuento sobre subtotal]])</f>
        <v>48899</v>
      </c>
      <c r="R1330" s="21">
        <f>+PROVEEDORES[[#This Row],[SUBTOTAL]]+PROVEEDORES[[#This Row],[IVA 19%]]-PROVEEDORES[[#This Row],[descuento sobre subtotal]]-PROVEEDORES[[#This Row],[Descuento sobre subtotal $2]]-PROVEEDORES[[#This Row],[Rete Fuente $]]</f>
        <v>2278693.4</v>
      </c>
      <c r="S1330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0" s="63">
        <f ca="1">IF(PROVEEDORES[[#This Row],[FECHA DE PAGO]]=0,TODAY()-PROVEEDORES[[#This Row],[FECHA DE FACTURACIÓN]]-PROVEEDORES[[#This Row],[PLAZO Días]],0)</f>
        <v>0</v>
      </c>
      <c r="U1330" s="104" t="str">
        <f>+VLOOKUP(PROVEEDORES[[#This Row],[PROVEEDOR]],Terceros!$A:$D,4,FALSE)</f>
        <v>2,5% con base</v>
      </c>
      <c r="V1330" s="105">
        <f>+YEAR(PROVEEDORES[[#This Row],[FECHA DE FACTURACIÓN]])</f>
        <v>2023</v>
      </c>
      <c r="W1330" s="105">
        <f>+MATCH(PROVEEDORES[[#This Row],[año facturado]],Retenciones!$1:$1,0)</f>
        <v>6</v>
      </c>
      <c r="X1330" s="106">
        <f>+VLOOKUP(PROVEEDORES[[#This Row],[ID RETENCION]],Retenciones!$A$1:$O$25,PROVEEDORES[[#This Row],[indicador de columna]],FALSE)</f>
        <v>1145000</v>
      </c>
      <c r="Y1330" s="107">
        <f>+VLOOKUP(PROVEEDORES[[#This Row],[ID RETENCION]],Retenciones!$A$1:$O$25,2,FALSE)</f>
        <v>2.5000000000000001E-2</v>
      </c>
      <c r="Z1330" s="116" t="b">
        <f>OR(COUNTIF(PROVEEDORES[[#This Row],[PROVEEDOR]],"*"&amp;'Palabra no opera'!$A$2&amp;"*"))</f>
        <v>0</v>
      </c>
    </row>
    <row r="1331" spans="1:26" ht="22.35" customHeight="1" x14ac:dyDescent="0.3">
      <c r="A1331" s="275" t="str">
        <f>+IF(PROVEEDORES[[#This Row],[FECHA DE PAGO]]=PROVEEDORES[[#This Row],[FECHA DE FACTURACIÓN]],"DE CONTADO","CRÉDITO")</f>
        <v>DE CONTADO</v>
      </c>
      <c r="B1331" s="38" t="b">
        <f>+IF((PROVEEDORES[[#This Row],[FECHA DE PAGO]]-PROVEEDORES[[#This Row],[FECHA DE FACTURACIÓN]])&gt;PROVEEDORES[[#This Row],[PLAZO Días]],"PAGO VENCIDO")</f>
        <v>0</v>
      </c>
      <c r="C1331" s="20">
        <f>+VLOOKUP(PROVEEDORES[[#This Row],[PROVEEDOR]],TERCEROS_INFO[#All],2,FALSE)</f>
        <v>30</v>
      </c>
      <c r="D1331" s="25">
        <f>+SUMIFS(PROVEEDORES[Total],PROVEEDORES[PROVEEDOR],PROVEEDORES[[#This Row],[PROVEEDOR]],PROVEEDORES[FECHA DE PAGO],"")</f>
        <v>0</v>
      </c>
      <c r="E1331" s="25"/>
      <c r="F1331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331" s="68">
        <v>44999</v>
      </c>
      <c r="H1331" s="26" t="s">
        <v>809</v>
      </c>
      <c r="I1331" s="68">
        <v>44999</v>
      </c>
      <c r="J1331" s="35">
        <v>2672</v>
      </c>
      <c r="K1331" s="21">
        <v>858000</v>
      </c>
      <c r="L1331" s="21"/>
      <c r="M1331" s="22">
        <f>(PROVEEDORES[[#This Row],[SUBTOTAL]]-PROVEEDORES[[#This Row],[descuento sobre subtotal]])*VLOOKUP(PROVEEDORES[[#This Row],[PROVEEDOR]],TERCEROS_INFO[#All],3,FALSE)</f>
        <v>163020</v>
      </c>
      <c r="N1331" s="23">
        <v>0.1</v>
      </c>
      <c r="O1331" s="22">
        <f>+PROVEEDORES[[#This Row],[Descuento sobre subtotal %]]*(PROVEEDORES[[#This Row],[SUBTOTAL]]-PROVEEDORES[[#This Row],[descuento sobre subtotal]])</f>
        <v>85800</v>
      </c>
      <c r="P1331" s="74">
        <f>+IF(PROVEEDORES[[#This Row],[SUBTOTAL]]&lt;PROVEEDORES[[#This Row],[base retencion]],0,PROVEEDORES[[#This Row],[retención aplicada]])</f>
        <v>0</v>
      </c>
      <c r="Q1331" s="22">
        <f>+PROVEEDORES[[#This Row],[Rete Fuente %]]*(PROVEEDORES[[#This Row],[SUBTOTAL]]-PROVEEDORES[[#This Row],[descuento sobre subtotal]])</f>
        <v>0</v>
      </c>
      <c r="R1331" s="21">
        <f>+PROVEEDORES[[#This Row],[SUBTOTAL]]+PROVEEDORES[[#This Row],[IVA 19%]]-PROVEEDORES[[#This Row],[descuento sobre subtotal]]-PROVEEDORES[[#This Row],[Descuento sobre subtotal $2]]-PROVEEDORES[[#This Row],[Rete Fuente $]]</f>
        <v>935220</v>
      </c>
      <c r="S1331" s="2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63">
        <f ca="1">IF(PROVEEDORES[[#This Row],[FECHA DE PAGO]]=0,TODAY()-PROVEEDORES[[#This Row],[FECHA DE FACTURACIÓN]]-PROVEEDORES[[#This Row],[PLAZO Días]],0)</f>
        <v>0</v>
      </c>
      <c r="U1331" s="104" t="str">
        <f>+VLOOKUP(PROVEEDORES[[#This Row],[PROVEEDOR]],Terceros!$A:$D,4,FALSE)</f>
        <v>2,5% con base</v>
      </c>
      <c r="V1331" s="105">
        <f>+YEAR(PROVEEDORES[[#This Row],[FECHA DE FACTURACIÓN]])</f>
        <v>2023</v>
      </c>
      <c r="W1331" s="105">
        <f>+MATCH(PROVEEDORES[[#This Row],[año facturado]],Retenciones!$1:$1,0)</f>
        <v>6</v>
      </c>
      <c r="X1331" s="106">
        <f>+VLOOKUP(PROVEEDORES[[#This Row],[ID RETENCION]],Retenciones!$A$1:$O$25,PROVEEDORES[[#This Row],[indicador de columna]],FALSE)</f>
        <v>1145000</v>
      </c>
      <c r="Y1331" s="107">
        <f>+VLOOKUP(PROVEEDORES[[#This Row],[ID RETENCION]],Retenciones!$A$1:$O$25,2,FALSE)</f>
        <v>2.5000000000000001E-2</v>
      </c>
      <c r="Z1331" s="116" t="b">
        <f>OR(COUNTIF(PROVEEDORES[[#This Row],[PROVEEDOR]],"*"&amp;'Palabra no opera'!$A$2&amp;"*"))</f>
        <v>0</v>
      </c>
    </row>
    <row r="1332" spans="1:26" ht="22.35" customHeight="1" x14ac:dyDescent="0.3">
      <c r="A1332" s="267" t="str">
        <f>+IF(PROVEEDORES[[#This Row],[FECHA DE PAGO]]=PROVEEDORES[[#This Row],[FECHA DE FACTURACIÓN]],"DE CONTADO","CRÉDITO")</f>
        <v>CRÉDITO</v>
      </c>
      <c r="B1332" s="38" t="str">
        <f>+IF((PROVEEDORES[[#This Row],[FECHA DE PAGO]]-PROVEEDORES[[#This Row],[FECHA DE FACTURACIÓN]])&gt;PROVEEDORES[[#This Row],[PLAZO Días]],"PAGO VENCIDO")</f>
        <v>PAGO VENCIDO</v>
      </c>
      <c r="C1332" s="20">
        <f>+VLOOKUP(PROVEEDORES[[#This Row],[PROVEEDOR]],TERCEROS_INFO[#All],2,FALSE)</f>
        <v>30</v>
      </c>
      <c r="D1332" s="25">
        <f>+SUMIFS(PROVEEDORES[Total],PROVEEDORES[PROVEEDOR],PROVEEDORES[[#This Row],[PROVEEDOR]],PROVEEDORES[FECHA DE PAGO],"")</f>
        <v>0</v>
      </c>
      <c r="E1332" s="25"/>
      <c r="F1332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32" s="68">
        <v>44999</v>
      </c>
      <c r="H1332" s="26" t="s">
        <v>47</v>
      </c>
      <c r="I1332" s="68">
        <v>44965</v>
      </c>
      <c r="J1332" s="35" t="s">
        <v>1442</v>
      </c>
      <c r="K1332" s="21">
        <v>1123137</v>
      </c>
      <c r="L1332" s="21">
        <v>56157</v>
      </c>
      <c r="M1332" s="22">
        <f>(PROVEEDORES[[#This Row],[SUBTOTAL]]-PROVEEDORES[[#This Row],[descuento sobre subtotal]])*VLOOKUP(PROVEEDORES[[#This Row],[PROVEEDOR]],TERCEROS_INFO[#All],3,FALSE)</f>
        <v>202726.2</v>
      </c>
      <c r="N1332" s="23"/>
      <c r="O1332" s="22">
        <f>+PROVEEDORES[[#This Row],[Descuento sobre subtotal %]]*(PROVEEDORES[[#This Row],[SUBTOTAL]]-PROVEEDORES[[#This Row],[descuento sobre subtotal]])</f>
        <v>0</v>
      </c>
      <c r="P1332" s="74">
        <f>+IF(PROVEEDORES[[#This Row],[SUBTOTAL]]&lt;PROVEEDORES[[#This Row],[base retencion]],0,PROVEEDORES[[#This Row],[retención aplicada]])</f>
        <v>0</v>
      </c>
      <c r="Q1332" s="22">
        <f>+PROVEEDORES[[#This Row],[Rete Fuente %]]*(PROVEEDORES[[#This Row],[SUBTOTAL]]-PROVEEDORES[[#This Row],[descuento sobre subtotal]])</f>
        <v>0</v>
      </c>
      <c r="R1332" s="21">
        <f>+PROVEEDORES[[#This Row],[SUBTOTAL]]+PROVEEDORES[[#This Row],[IVA 19%]]-PROVEEDORES[[#This Row],[descuento sobre subtotal]]-PROVEEDORES[[#This Row],[Descuento sobre subtotal $2]]-PROVEEDORES[[#This Row],[Rete Fuente $]]</f>
        <v>1269706.2</v>
      </c>
      <c r="S1332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63">
        <f ca="1">IF(PROVEEDORES[[#This Row],[FECHA DE PAGO]]=0,TODAY()-PROVEEDORES[[#This Row],[FECHA DE FACTURACIÓN]]-PROVEEDORES[[#This Row],[PLAZO Días]],0)</f>
        <v>0</v>
      </c>
      <c r="U1332" s="104" t="str">
        <f>+VLOOKUP(PROVEEDORES[[#This Row],[PROVEEDOR]],Terceros!$A:$D,4,FALSE)</f>
        <v>2,5% con base</v>
      </c>
      <c r="V1332" s="105">
        <f>+YEAR(PROVEEDORES[[#This Row],[FECHA DE FACTURACIÓN]])</f>
        <v>2023</v>
      </c>
      <c r="W1332" s="105">
        <f>+MATCH(PROVEEDORES[[#This Row],[año facturado]],Retenciones!$1:$1,0)</f>
        <v>6</v>
      </c>
      <c r="X1332" s="106">
        <f>+VLOOKUP(PROVEEDORES[[#This Row],[ID RETENCION]],Retenciones!$A$1:$O$25,PROVEEDORES[[#This Row],[indicador de columna]],FALSE)</f>
        <v>1145000</v>
      </c>
      <c r="Y1332" s="107">
        <f>+VLOOKUP(PROVEEDORES[[#This Row],[ID RETENCION]],Retenciones!$A$1:$O$25,2,FALSE)</f>
        <v>2.5000000000000001E-2</v>
      </c>
      <c r="Z1332" s="116" t="b">
        <f>OR(COUNTIF(PROVEEDORES[[#This Row],[PROVEEDOR]],"*"&amp;'Palabra no opera'!$A$2&amp;"*"))</f>
        <v>0</v>
      </c>
    </row>
    <row r="1333" spans="1:26" ht="22.35" customHeight="1" x14ac:dyDescent="0.3">
      <c r="A1333" s="269" t="str">
        <f>+IF(PROVEEDORES[[#This Row],[FECHA DE PAGO]]=PROVEEDORES[[#This Row],[FECHA DE FACTURACIÓN]],"DE CONTADO","CRÉDITO")</f>
        <v>CRÉDITO</v>
      </c>
      <c r="B1333" s="38" t="str">
        <f>+IF((PROVEEDORES[[#This Row],[FECHA DE PAGO]]-PROVEEDORES[[#This Row],[FECHA DE FACTURACIÓN]])&gt;PROVEEDORES[[#This Row],[PLAZO Días]],"PAGO VENCIDO")</f>
        <v>PAGO VENCIDO</v>
      </c>
      <c r="C1333" s="20">
        <f>+VLOOKUP(PROVEEDORES[[#This Row],[PROVEEDOR]],TERCEROS_INFO[#All],2,FALSE)</f>
        <v>30</v>
      </c>
      <c r="D1333" s="25">
        <f>+SUMIFS(PROVEEDORES[Total],PROVEEDORES[PROVEEDOR],PROVEEDORES[[#This Row],[PROVEEDOR]],PROVEEDORES[FECHA DE PAGO],"")</f>
        <v>5538410</v>
      </c>
      <c r="E1333" s="25"/>
      <c r="F1333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333" s="68">
        <v>45000</v>
      </c>
      <c r="H1333" s="26" t="s">
        <v>1460</v>
      </c>
      <c r="I1333" s="68">
        <v>44966</v>
      </c>
      <c r="J1333" s="35" t="s">
        <v>1462</v>
      </c>
      <c r="K1333" s="21">
        <v>2906000</v>
      </c>
      <c r="L1333" s="21"/>
      <c r="M1333" s="22">
        <v>552140</v>
      </c>
      <c r="N1333" s="23">
        <v>0.05</v>
      </c>
      <c r="O1333" s="22">
        <f>+PROVEEDORES[[#This Row],[Descuento sobre subtotal %]]*(PROVEEDORES[[#This Row],[SUBTOTAL]]-PROVEEDORES[[#This Row],[descuento sobre subtotal]])</f>
        <v>145300</v>
      </c>
      <c r="P1333" s="74">
        <f>+IF(PROVEEDORES[[#This Row],[SUBTOTAL]]&lt;PROVEEDORES[[#This Row],[base retencion]],0,PROVEEDORES[[#This Row],[retención aplicada]])</f>
        <v>2.5000000000000001E-2</v>
      </c>
      <c r="Q1333" s="22">
        <f>+PROVEEDORES[[#This Row],[Rete Fuente %]]*(PROVEEDORES[[#This Row],[SUBTOTAL]]-PROVEEDORES[[#This Row],[descuento sobre subtotal]])</f>
        <v>72650</v>
      </c>
      <c r="R1333" s="21">
        <f>+PROVEEDORES[[#This Row],[SUBTOTAL]]+PROVEEDORES[[#This Row],[IVA 19%]]-PROVEEDORES[[#This Row],[descuento sobre subtotal]]-PROVEEDORES[[#This Row],[Descuento sobre subtotal $2]]-PROVEEDORES[[#This Row],[Rete Fuente $]]</f>
        <v>3240190</v>
      </c>
      <c r="S1333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63">
        <f ca="1">IF(PROVEEDORES[[#This Row],[FECHA DE PAGO]]=0,TODAY()-PROVEEDORES[[#This Row],[FECHA DE FACTURACIÓN]]-PROVEEDORES[[#This Row],[PLAZO Días]],0)</f>
        <v>0</v>
      </c>
      <c r="U1333" s="104" t="str">
        <f>+VLOOKUP(PROVEEDORES[[#This Row],[PROVEEDOR]],Terceros!$A:$D,4,FALSE)</f>
        <v>2,5% con base</v>
      </c>
      <c r="V1333" s="105">
        <f>+YEAR(PROVEEDORES[[#This Row],[FECHA DE FACTURACIÓN]])</f>
        <v>2023</v>
      </c>
      <c r="W1333" s="105">
        <f>+MATCH(PROVEEDORES[[#This Row],[año facturado]],Retenciones!$1:$1,0)</f>
        <v>6</v>
      </c>
      <c r="X1333" s="106">
        <f>+VLOOKUP(PROVEEDORES[[#This Row],[ID RETENCION]],Retenciones!$A$1:$O$25,PROVEEDORES[[#This Row],[indicador de columna]],FALSE)</f>
        <v>1145000</v>
      </c>
      <c r="Y1333" s="107">
        <f>+VLOOKUP(PROVEEDORES[[#This Row],[ID RETENCION]],Retenciones!$A$1:$O$25,2,FALSE)</f>
        <v>2.5000000000000001E-2</v>
      </c>
      <c r="Z1333" s="116" t="b">
        <f>OR(COUNTIF(PROVEEDORES[[#This Row],[PROVEEDOR]],"*"&amp;'Palabra no opera'!$A$2&amp;"*"))</f>
        <v>0</v>
      </c>
    </row>
    <row r="1334" spans="1:26" ht="22.35" customHeight="1" x14ac:dyDescent="0.3">
      <c r="A1334" s="67" t="str">
        <f>+IF(PROVEEDORES[[#This Row],[FECHA DE PAGO]]=PROVEEDORES[[#This Row],[FECHA DE FACTURACIÓN]],"DE CONTADO","CRÉDITO")</f>
        <v>DE CONTADO</v>
      </c>
      <c r="B1334" s="38" t="b">
        <f>+IF((PROVEEDORES[[#This Row],[FECHA DE PAGO]]-PROVEEDORES[[#This Row],[FECHA DE FACTURACIÓN]])&gt;PROVEEDORES[[#This Row],[PLAZO Días]],"PAGO VENCIDO")</f>
        <v>0</v>
      </c>
      <c r="C1334" s="20">
        <f>+VLOOKUP(PROVEEDORES[[#This Row],[PROVEEDOR]],TERCEROS_INFO[#All],2,FALSE)</f>
        <v>30</v>
      </c>
      <c r="D1334" s="25">
        <f>+SUMIFS(PROVEEDORES[Total],PROVEEDORES[PROVEEDOR],PROVEEDORES[[#This Row],[PROVEEDOR]],PROVEEDORES[FECHA DE PAGO],"")</f>
        <v>0</v>
      </c>
      <c r="E1334" s="25"/>
      <c r="F1334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334" s="68">
        <v>45001</v>
      </c>
      <c r="H1334" s="26" t="s">
        <v>635</v>
      </c>
      <c r="I1334" s="68">
        <v>45001</v>
      </c>
      <c r="J1334" s="35" t="s">
        <v>1522</v>
      </c>
      <c r="K1334" s="21">
        <v>3002200</v>
      </c>
      <c r="L1334" s="21"/>
      <c r="M1334" s="22">
        <f>(PROVEEDORES[[#This Row],[SUBTOTAL]]-PROVEEDORES[[#This Row],[descuento sobre subtotal]])*VLOOKUP(PROVEEDORES[[#This Row],[PROVEEDOR]],TERCEROS_INFO[#All],3,FALSE)</f>
        <v>0</v>
      </c>
      <c r="N1334" s="23"/>
      <c r="O1334" s="22">
        <f>+PROVEEDORES[[#This Row],[Descuento sobre subtotal %]]*(PROVEEDORES[[#This Row],[SUBTOTAL]]-PROVEEDORES[[#This Row],[descuento sobre subtotal]])</f>
        <v>0</v>
      </c>
      <c r="P1334" s="74">
        <f>+IF(PROVEEDORES[[#This Row],[SUBTOTAL]]&lt;PROVEEDORES[[#This Row],[base retencion]],0,PROVEEDORES[[#This Row],[retención aplicada]])</f>
        <v>3.5000000000000003E-2</v>
      </c>
      <c r="Q1334" s="22">
        <f>+PROVEEDORES[[#This Row],[Rete Fuente %]]*(PROVEEDORES[[#This Row],[SUBTOTAL]]-PROVEEDORES[[#This Row],[descuento sobre subtotal]])</f>
        <v>105077.00000000001</v>
      </c>
      <c r="R1334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33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4" s="63">
        <f ca="1">IF(PROVEEDORES[[#This Row],[FECHA DE PAGO]]=0,TODAY()-PROVEEDORES[[#This Row],[FECHA DE FACTURACIÓN]]-PROVEEDORES[[#This Row],[PLAZO Días]],0)</f>
        <v>0</v>
      </c>
      <c r="U1334" s="104" t="str">
        <f>+VLOOKUP(PROVEEDORES[[#This Row],[PROVEEDOR]],Terceros!$A:$D,4,FALSE)</f>
        <v>3,5% sin base</v>
      </c>
      <c r="V1334" s="105">
        <f>+YEAR(PROVEEDORES[[#This Row],[FECHA DE FACTURACIÓN]])</f>
        <v>2023</v>
      </c>
      <c r="W1334" s="105">
        <f>+MATCH(PROVEEDORES[[#This Row],[año facturado]],Retenciones!$1:$1,0)</f>
        <v>6</v>
      </c>
      <c r="X1334" s="106">
        <f>+VLOOKUP(PROVEEDORES[[#This Row],[ID RETENCION]],Retenciones!$A$1:$O$25,PROVEEDORES[[#This Row],[indicador de columna]],FALSE)</f>
        <v>0</v>
      </c>
      <c r="Y1334" s="107">
        <f>+VLOOKUP(PROVEEDORES[[#This Row],[ID RETENCION]],Retenciones!$A$1:$O$25,2,FALSE)</f>
        <v>3.5000000000000003E-2</v>
      </c>
      <c r="Z1334" s="116" t="b">
        <f>OR(COUNTIF(PROVEEDORES[[#This Row],[PROVEEDOR]],"*"&amp;'Palabra no opera'!$A$2&amp;"*"))</f>
        <v>1</v>
      </c>
    </row>
    <row r="1335" spans="1:26" ht="22.35" customHeight="1" x14ac:dyDescent="0.3">
      <c r="A1335" s="269" t="str">
        <f>+IF(PROVEEDORES[[#This Row],[FECHA DE PAGO]]=PROVEEDORES[[#This Row],[FECHA DE FACTURACIÓN]],"DE CONTADO","CRÉDITO")</f>
        <v>CRÉDITO</v>
      </c>
      <c r="B1335" s="38" t="str">
        <f>+IF((PROVEEDORES[[#This Row],[FECHA DE PAGO]]-PROVEEDORES[[#This Row],[FECHA DE FACTURACIÓN]])&gt;PROVEEDORES[[#This Row],[PLAZO Días]],"PAGO VENCIDO")</f>
        <v>PAGO VENCIDO</v>
      </c>
      <c r="C1335" s="20">
        <f>+VLOOKUP(PROVEEDORES[[#This Row],[PROVEEDOR]],TERCEROS_INFO[#All],2,FALSE)</f>
        <v>30</v>
      </c>
      <c r="D1335" s="25">
        <f>+SUMIFS(PROVEEDORES[Total],PROVEEDORES[PROVEEDOR],PROVEEDORES[[#This Row],[PROVEEDOR]],PROVEEDORES[FECHA DE PAGO],"")</f>
        <v>0</v>
      </c>
      <c r="E1335" s="25"/>
      <c r="F1335" s="56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335" s="68">
        <v>45002</v>
      </c>
      <c r="H1335" s="26" t="s">
        <v>352</v>
      </c>
      <c r="I1335" s="68">
        <v>44964</v>
      </c>
      <c r="J1335" s="35" t="s">
        <v>1472</v>
      </c>
      <c r="K1335" s="21">
        <v>2417600</v>
      </c>
      <c r="L1335" s="21"/>
      <c r="M1335" s="22">
        <f>(PROVEEDORES[[#This Row],[SUBTOTAL]]-PROVEEDORES[[#This Row],[descuento sobre subtotal]])*VLOOKUP(PROVEEDORES[[#This Row],[PROVEEDOR]],TERCEROS_INFO[#All],3,FALSE)</f>
        <v>0</v>
      </c>
      <c r="N1335" s="23">
        <v>0.1</v>
      </c>
      <c r="O1335" s="22">
        <f>+PROVEEDORES[[#This Row],[Descuento sobre subtotal %]]*(PROVEEDORES[[#This Row],[SUBTOTAL]]-PROVEEDORES[[#This Row],[descuento sobre subtotal]])</f>
        <v>241760</v>
      </c>
      <c r="P1335" s="74">
        <f>+IF(PROVEEDORES[[#This Row],[SUBTOTAL]]&lt;PROVEEDORES[[#This Row],[base retencion]],0,PROVEEDORES[[#This Row],[retención aplicada]])</f>
        <v>0</v>
      </c>
      <c r="Q1335" s="22">
        <f>+PROVEEDORES[[#This Row],[Rete Fuente %]]*(PROVEEDORES[[#This Row],[SUBTOTAL]]-PROVEEDORES[[#This Row],[descuento sobre subtotal]])</f>
        <v>0</v>
      </c>
      <c r="R1335" s="21">
        <f>+PROVEEDORES[[#This Row],[SUBTOTAL]]+PROVEEDORES[[#This Row],[IVA 19%]]-PROVEEDORES[[#This Row],[descuento sobre subtotal]]-PROVEEDORES[[#This Row],[Descuento sobre subtotal $2]]-PROVEEDORES[[#This Row],[Rete Fuente $]]</f>
        <v>2175840</v>
      </c>
      <c r="S1335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63">
        <f ca="1">IF(PROVEEDORES[[#This Row],[FECHA DE PAGO]]=0,TODAY()-PROVEEDORES[[#This Row],[FECHA DE FACTURACIÓN]]-PROVEEDORES[[#This Row],[PLAZO Días]],0)</f>
        <v>0</v>
      </c>
      <c r="U1335" s="104">
        <f>+VLOOKUP(PROVEEDORES[[#This Row],[PROVEEDOR]],Terceros!$A:$D,4,FALSE)</f>
        <v>0</v>
      </c>
      <c r="V1335" s="105">
        <f>+YEAR(PROVEEDORES[[#This Row],[FECHA DE FACTURACIÓN]])</f>
        <v>2023</v>
      </c>
      <c r="W1335" s="105">
        <f>+MATCH(PROVEEDORES[[#This Row],[año facturado]],Retenciones!$1:$1,0)</f>
        <v>6</v>
      </c>
      <c r="X1335" s="106">
        <f>+VLOOKUP(PROVEEDORES[[#This Row],[ID RETENCION]],Retenciones!$A$1:$O$25,PROVEEDORES[[#This Row],[indicador de columna]],FALSE)</f>
        <v>0</v>
      </c>
      <c r="Y1335" s="107">
        <f>+VLOOKUP(PROVEEDORES[[#This Row],[ID RETENCION]],Retenciones!$A$1:$O$25,2,FALSE)</f>
        <v>0</v>
      </c>
      <c r="Z1335" s="116" t="b">
        <f>OR(COUNTIF(PROVEEDORES[[#This Row],[PROVEEDOR]],"*"&amp;'Palabra no opera'!$A$2&amp;"*"))</f>
        <v>0</v>
      </c>
    </row>
    <row r="1336" spans="1:26" ht="22.35" customHeight="1" x14ac:dyDescent="0.3">
      <c r="A1336" s="67" t="str">
        <f>+IF(PROVEEDORES[[#This Row],[FECHA DE PAGO]]=PROVEEDORES[[#This Row],[FECHA DE FACTURACIÓN]],"DE CONTADO","CRÉDITO")</f>
        <v>CRÉDITO</v>
      </c>
      <c r="B1336" s="38" t="b">
        <f>+IF((PROVEEDORES[[#This Row],[FECHA DE PAGO]]-PROVEEDORES[[#This Row],[FECHA DE FACTURACIÓN]])&gt;PROVEEDORES[[#This Row],[PLAZO Días]],"PAGO VENCIDO")</f>
        <v>0</v>
      </c>
      <c r="C1336" s="20">
        <f>+VLOOKUP(PROVEEDORES[[#This Row],[PROVEEDOR]],TERCEROS_INFO[#All],2,FALSE)</f>
        <v>30</v>
      </c>
      <c r="D1336" s="25">
        <f>+SUMIFS(PROVEEDORES[Total],PROVEEDORES[PROVEEDOR],PROVEEDORES[[#This Row],[PROVEEDOR]],PROVEEDORES[FECHA DE PAGO],"")</f>
        <v>0</v>
      </c>
      <c r="E1336" s="25"/>
      <c r="F1336" s="56">
        <f>+VLOOKUP(PROVEEDORES[[#This Row],[PROVEEDOR]],
                       Terceros!$A:$F,
                       5,
                       FALSE)</f>
        <v>0</v>
      </c>
      <c r="G1336" s="68">
        <v>45002</v>
      </c>
      <c r="H1336" s="26" t="s">
        <v>262</v>
      </c>
      <c r="I1336" s="68">
        <v>45001</v>
      </c>
      <c r="J1336" s="35" t="s">
        <v>1547</v>
      </c>
      <c r="K1336" s="21">
        <v>428572</v>
      </c>
      <c r="L1336" s="21"/>
      <c r="M1336" s="22">
        <v>21429</v>
      </c>
      <c r="N1336" s="23"/>
      <c r="O1336" s="22">
        <f>+PROVEEDORES[[#This Row],[Descuento sobre subtotal %]]*(PROVEEDORES[[#This Row],[SUBTOTAL]]-PROVEEDORES[[#This Row],[descuento sobre subtotal]])</f>
        <v>0</v>
      </c>
      <c r="P1336" s="74">
        <f>+IF(PROVEEDORES[[#This Row],[SUBTOTAL]]&lt;PROVEEDORES[[#This Row],[base retencion]],0,PROVEEDORES[[#This Row],[retención aplicada]])</f>
        <v>0</v>
      </c>
      <c r="Q1336" s="22">
        <f>+PROVEEDORES[[#This Row],[Rete Fuente %]]*(PROVEEDORES[[#This Row],[SUBTOTAL]]-PROVEEDORES[[#This Row],[descuento sobre subtotal]])</f>
        <v>0</v>
      </c>
      <c r="R1336" s="21">
        <f>+PROVEEDORES[[#This Row],[SUBTOTAL]]+PROVEEDORES[[#This Row],[IVA 19%]]-PROVEEDORES[[#This Row],[descuento sobre subtotal]]-PROVEEDORES[[#This Row],[Descuento sobre subtotal $2]]-PROVEEDORES[[#This Row],[Rete Fuente $]]</f>
        <v>450001</v>
      </c>
      <c r="S133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63">
        <f ca="1">IF(PROVEEDORES[[#This Row],[FECHA DE PAGO]]=0,TODAY()-PROVEEDORES[[#This Row],[FECHA DE FACTURACIÓN]]-PROVEEDORES[[#This Row],[PLAZO Días]],0)</f>
        <v>0</v>
      </c>
      <c r="U1336" s="104" t="str">
        <f>+VLOOKUP(PROVEEDORES[[#This Row],[PROVEEDOR]],Terceros!$A:$D,4,FALSE)</f>
        <v>2,5% con base</v>
      </c>
      <c r="V1336" s="105">
        <f>+YEAR(PROVEEDORES[[#This Row],[FECHA DE FACTURACIÓN]])</f>
        <v>2023</v>
      </c>
      <c r="W1336" s="105">
        <f>+MATCH(PROVEEDORES[[#This Row],[año facturado]],Retenciones!$1:$1,0)</f>
        <v>6</v>
      </c>
      <c r="X1336" s="106">
        <f>+VLOOKUP(PROVEEDORES[[#This Row],[ID RETENCION]],Retenciones!$A$1:$O$25,PROVEEDORES[[#This Row],[indicador de columna]],FALSE)</f>
        <v>1145000</v>
      </c>
      <c r="Y1336" s="107">
        <f>+VLOOKUP(PROVEEDORES[[#This Row],[ID RETENCION]],Retenciones!$A$1:$O$25,2,FALSE)</f>
        <v>2.5000000000000001E-2</v>
      </c>
      <c r="Z1336" s="116" t="b">
        <f>OR(COUNTIF(PROVEEDORES[[#This Row],[PROVEEDOR]],"*"&amp;'Palabra no opera'!$A$2&amp;"*"))</f>
        <v>0</v>
      </c>
    </row>
    <row r="1337" spans="1:26" ht="22.35" customHeight="1" x14ac:dyDescent="0.3">
      <c r="A1337" s="267" t="str">
        <f>+IF(PROVEEDORES[[#This Row],[FECHA DE PAGO]]=PROVEEDORES[[#This Row],[FECHA DE FACTURACIÓN]],"DE CONTADO","CRÉDITO")</f>
        <v>CRÉDITO</v>
      </c>
      <c r="B1337" s="38" t="str">
        <f>+IF((PROVEEDORES[[#This Row],[FECHA DE PAGO]]-PROVEEDORES[[#This Row],[FECHA DE FACTURACIÓN]])&gt;PROVEEDORES[[#This Row],[PLAZO Días]],"PAGO VENCIDO")</f>
        <v>PAGO VENCIDO</v>
      </c>
      <c r="C1337" s="20">
        <f>+VLOOKUP(PROVEEDORES[[#This Row],[PROVEEDOR]],TERCEROS_INFO[#All],2,FALSE)</f>
        <v>30</v>
      </c>
      <c r="D1337" s="25">
        <f>+SUMIFS(PROVEEDORES[Total],PROVEEDORES[PROVEEDOR],PROVEEDORES[[#This Row],[PROVEEDOR]],PROVEEDORES[FECHA DE PAGO],"")</f>
        <v>4248480.9550000001</v>
      </c>
      <c r="E1337" s="25"/>
      <c r="F1337" s="56" t="str">
        <f>+VLOOKUP(PROVEEDORES[[#This Row],[PROVEEDOR]],
                       Terceros!$A:$F,
                       5,
                       FALSE)</f>
        <v/>
      </c>
      <c r="G1337" s="68">
        <v>45006</v>
      </c>
      <c r="H1337" s="26" t="s">
        <v>78</v>
      </c>
      <c r="I1337" s="68">
        <v>44964</v>
      </c>
      <c r="J1337" s="35" t="s">
        <v>1441</v>
      </c>
      <c r="K1337" s="21">
        <v>3909400</v>
      </c>
      <c r="L1337" s="21"/>
      <c r="M1337" s="22">
        <f>(PROVEEDORES[[#This Row],[SUBTOTAL]]-PROVEEDORES[[#This Row],[descuento sobre subtotal]])*VLOOKUP(PROVEEDORES[[#This Row],[PROVEEDOR]],TERCEROS_INFO[#All],3,FALSE)</f>
        <v>742786</v>
      </c>
      <c r="N1337" s="23"/>
      <c r="O1337" s="22">
        <f>+PROVEEDORES[[#This Row],[Descuento sobre subtotal %]]*(PROVEEDORES[[#This Row],[SUBTOTAL]]-PROVEEDORES[[#This Row],[descuento sobre subtotal]])</f>
        <v>0</v>
      </c>
      <c r="P1337" s="74">
        <f>+IF(PROVEEDORES[[#This Row],[SUBTOTAL]]&lt;PROVEEDORES[[#This Row],[base retencion]],0,PROVEEDORES[[#This Row],[retención aplicada]])</f>
        <v>2.5000000000000001E-2</v>
      </c>
      <c r="Q1337" s="22">
        <f>+PROVEEDORES[[#This Row],[Rete Fuente %]]*(PROVEEDORES[[#This Row],[SUBTOTAL]]-PROVEEDORES[[#This Row],[descuento sobre subtotal]])</f>
        <v>97735</v>
      </c>
      <c r="R1337" s="21">
        <f>+PROVEEDORES[[#This Row],[SUBTOTAL]]+PROVEEDORES[[#This Row],[IVA 19%]]-PROVEEDORES[[#This Row],[descuento sobre subtotal]]-PROVEEDORES[[#This Row],[Descuento sobre subtotal $2]]-PROVEEDORES[[#This Row],[Rete Fuente $]]</f>
        <v>4554451</v>
      </c>
      <c r="S1337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63">
        <f ca="1">IF(PROVEEDORES[[#This Row],[FECHA DE PAGO]]=0,TODAY()-PROVEEDORES[[#This Row],[FECHA DE FACTURACIÓN]]-PROVEEDORES[[#This Row],[PLAZO Días]],0)</f>
        <v>0</v>
      </c>
      <c r="U1337" s="104" t="str">
        <f>+VLOOKUP(PROVEEDORES[[#This Row],[PROVEEDOR]],Terceros!$A:$D,4,FALSE)</f>
        <v>2,5% con base</v>
      </c>
      <c r="V1337" s="105">
        <f>+YEAR(PROVEEDORES[[#This Row],[FECHA DE FACTURACIÓN]])</f>
        <v>2023</v>
      </c>
      <c r="W1337" s="105">
        <f>+MATCH(PROVEEDORES[[#This Row],[año facturado]],Retenciones!$1:$1,0)</f>
        <v>6</v>
      </c>
      <c r="X1337" s="106">
        <f>+VLOOKUP(PROVEEDORES[[#This Row],[ID RETENCION]],Retenciones!$A$1:$O$25,PROVEEDORES[[#This Row],[indicador de columna]],FALSE)</f>
        <v>1145000</v>
      </c>
      <c r="Y1337" s="107">
        <f>+VLOOKUP(PROVEEDORES[[#This Row],[ID RETENCION]],Retenciones!$A$1:$O$25,2,FALSE)</f>
        <v>2.5000000000000001E-2</v>
      </c>
      <c r="Z1337" s="116" t="b">
        <f>OR(COUNTIF(PROVEEDORES[[#This Row],[PROVEEDOR]],"*"&amp;'Palabra no opera'!$A$2&amp;"*"))</f>
        <v>0</v>
      </c>
    </row>
    <row r="1338" spans="1:26" ht="22.35" customHeight="1" x14ac:dyDescent="0.3">
      <c r="A1338" s="269" t="str">
        <f>+IF(PROVEEDORES[[#This Row],[FECHA DE PAGO]]=PROVEEDORES[[#This Row],[FECHA DE FACTURACIÓN]],"DE CONTADO","CRÉDITO")</f>
        <v>CRÉDITO</v>
      </c>
      <c r="B1338" s="38" t="b">
        <f>+IF((PROVEEDORES[[#This Row],[FECHA DE PAGO]]-PROVEEDORES[[#This Row],[FECHA DE FACTURACIÓN]])&gt;PROVEEDORES[[#This Row],[PLAZO Días]],"PAGO VENCIDO")</f>
        <v>0</v>
      </c>
      <c r="C1338" s="20">
        <f>+VLOOKUP(PROVEEDORES[[#This Row],[PROVEEDOR]],TERCEROS_INFO[#All],2,FALSE)</f>
        <v>30</v>
      </c>
      <c r="D1338" s="25">
        <f>+SUMIFS(PROVEEDORES[Total],PROVEEDORES[PROVEEDOR],PROVEEDORES[[#This Row],[PROVEEDOR]],PROVEEDORES[FECHA DE PAGO],"")</f>
        <v>4248480.9550000001</v>
      </c>
      <c r="E1338" s="25"/>
      <c r="F1338" s="56" t="str">
        <f>+VLOOKUP(PROVEEDORES[[#This Row],[PROVEEDOR]],
                       Terceros!$A:$F,
                       5,
                       FALSE)</f>
        <v/>
      </c>
      <c r="G1338" s="68">
        <v>45006</v>
      </c>
      <c r="H1338" s="26" t="s">
        <v>78</v>
      </c>
      <c r="I1338" s="68">
        <v>44978</v>
      </c>
      <c r="J1338" s="35" t="s">
        <v>1468</v>
      </c>
      <c r="K1338" s="21">
        <v>346497</v>
      </c>
      <c r="L1338" s="21"/>
      <c r="M1338" s="22">
        <f>(PROVEEDORES[[#This Row],[SUBTOTAL]]-PROVEEDORES[[#This Row],[descuento sobre subtotal]])*VLOOKUP(PROVEEDORES[[#This Row],[PROVEEDOR]],TERCEROS_INFO[#All],3,FALSE)</f>
        <v>65834.430000000008</v>
      </c>
      <c r="N1338" s="23"/>
      <c r="O1338" s="22">
        <f>+PROVEEDORES[[#This Row],[Descuento sobre subtotal %]]*(PROVEEDORES[[#This Row],[SUBTOTAL]]-PROVEEDORES[[#This Row],[descuento sobre subtotal]])</f>
        <v>0</v>
      </c>
      <c r="P1338" s="74">
        <f>+IF(PROVEEDORES[[#This Row],[SUBTOTAL]]&lt;PROVEEDORES[[#This Row],[base retencion]],0,PROVEEDORES[[#This Row],[retención aplicada]])</f>
        <v>0</v>
      </c>
      <c r="Q1338" s="22">
        <f>+PROVEEDORES[[#This Row],[Rete Fuente %]]*(PROVEEDORES[[#This Row],[SUBTOTAL]]-PROVEEDORES[[#This Row],[descuento sobre subtotal]])</f>
        <v>0</v>
      </c>
      <c r="R1338" s="21">
        <f>+PROVEEDORES[[#This Row],[SUBTOTAL]]+PROVEEDORES[[#This Row],[IVA 19%]]-PROVEEDORES[[#This Row],[descuento sobre subtotal]]-PROVEEDORES[[#This Row],[Descuento sobre subtotal $2]]-PROVEEDORES[[#This Row],[Rete Fuente $]]</f>
        <v>412331.43</v>
      </c>
      <c r="S1338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63">
        <f ca="1">IF(PROVEEDORES[[#This Row],[FECHA DE PAGO]]=0,TODAY()-PROVEEDORES[[#This Row],[FECHA DE FACTURACIÓN]]-PROVEEDORES[[#This Row],[PLAZO Días]],0)</f>
        <v>0</v>
      </c>
      <c r="U1338" s="104" t="str">
        <f>+VLOOKUP(PROVEEDORES[[#This Row],[PROVEEDOR]],Terceros!$A:$D,4,FALSE)</f>
        <v>2,5% con base</v>
      </c>
      <c r="V1338" s="105">
        <f>+YEAR(PROVEEDORES[[#This Row],[FECHA DE FACTURACIÓN]])</f>
        <v>2023</v>
      </c>
      <c r="W1338" s="105">
        <f>+MATCH(PROVEEDORES[[#This Row],[año facturado]],Retenciones!$1:$1,0)</f>
        <v>6</v>
      </c>
      <c r="X1338" s="106">
        <f>+VLOOKUP(PROVEEDORES[[#This Row],[ID RETENCION]],Retenciones!$A$1:$O$25,PROVEEDORES[[#This Row],[indicador de columna]],FALSE)</f>
        <v>1145000</v>
      </c>
      <c r="Y1338" s="107">
        <f>+VLOOKUP(PROVEEDORES[[#This Row],[ID RETENCION]],Retenciones!$A$1:$O$25,2,FALSE)</f>
        <v>2.5000000000000001E-2</v>
      </c>
      <c r="Z1338" s="116" t="b">
        <f>OR(COUNTIF(PROVEEDORES[[#This Row],[PROVEEDOR]],"*"&amp;'Palabra no opera'!$A$2&amp;"*"))</f>
        <v>0</v>
      </c>
    </row>
    <row r="1339" spans="1:26" ht="22.35" customHeight="1" x14ac:dyDescent="0.3">
      <c r="A1339" s="280" t="str">
        <f>+IF(PROVEEDORES[[#This Row],[FECHA DE PAGO]]=PROVEEDORES[[#This Row],[FECHA DE FACTURACIÓN]],"DE CONTADO","CRÉDITO")</f>
        <v>CRÉDITO</v>
      </c>
      <c r="B1339" s="38" t="b">
        <f>+IF((PROVEEDORES[[#This Row],[FECHA DE PAGO]]-PROVEEDORES[[#This Row],[FECHA DE FACTURACIÓN]])&gt;PROVEEDORES[[#This Row],[PLAZO Días]],"PAGO VENCIDO")</f>
        <v>0</v>
      </c>
      <c r="C1339" s="20">
        <f>+VLOOKUP(PROVEEDORES[[#This Row],[PROVEEDOR]],TERCEROS_INFO[#All],2,FALSE)</f>
        <v>30</v>
      </c>
      <c r="D1339" s="25">
        <f>+SUMIFS(PROVEEDORES[Total],PROVEEDORES[PROVEEDOR],PROVEEDORES[[#This Row],[PROVEEDOR]],PROVEEDORES[FECHA DE PAGO],"")</f>
        <v>10321993.199999999</v>
      </c>
      <c r="E1339" s="25"/>
      <c r="F133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39" s="68">
        <v>45006</v>
      </c>
      <c r="H1339" s="26" t="s">
        <v>1068</v>
      </c>
      <c r="I1339" s="68">
        <v>45002</v>
      </c>
      <c r="J1339" s="35">
        <v>29742</v>
      </c>
      <c r="K1339" s="21">
        <v>188000</v>
      </c>
      <c r="L1339" s="21"/>
      <c r="M1339" s="22">
        <f>(PROVEEDORES[[#This Row],[SUBTOTAL]]-PROVEEDORES[[#This Row],[descuento sobre subtotal]])*VLOOKUP(PROVEEDORES[[#This Row],[PROVEEDOR]],TERCEROS_INFO[#All],3,FALSE)</f>
        <v>35720</v>
      </c>
      <c r="N1339" s="23">
        <v>0.04</v>
      </c>
      <c r="O1339" s="22">
        <f>+PROVEEDORES[[#This Row],[Descuento sobre subtotal %]]*(PROVEEDORES[[#This Row],[SUBTOTAL]]-PROVEEDORES[[#This Row],[descuento sobre subtotal]])</f>
        <v>7520</v>
      </c>
      <c r="P1339" s="74">
        <f>+IF(PROVEEDORES[[#This Row],[SUBTOTAL]]&lt;PROVEEDORES[[#This Row],[base retencion]],0,PROVEEDORES[[#This Row],[retención aplicada]])</f>
        <v>0</v>
      </c>
      <c r="Q1339" s="22">
        <f>+PROVEEDORES[[#This Row],[Rete Fuente %]]*(PROVEEDORES[[#This Row],[SUBTOTAL]]-PROVEEDORES[[#This Row],[descuento sobre subtotal]])</f>
        <v>0</v>
      </c>
      <c r="R1339" s="21">
        <f>+PROVEEDORES[[#This Row],[SUBTOTAL]]+PROVEEDORES[[#This Row],[IVA 19%]]-PROVEEDORES[[#This Row],[descuento sobre subtotal]]-PROVEEDORES[[#This Row],[Descuento sobre subtotal $2]]-PROVEEDORES[[#This Row],[Rete Fuente $]]</f>
        <v>216200</v>
      </c>
      <c r="S133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63">
        <f ca="1">IF(PROVEEDORES[[#This Row],[FECHA DE PAGO]]=0,TODAY()-PROVEEDORES[[#This Row],[FECHA DE FACTURACIÓN]]-PROVEEDORES[[#This Row],[PLAZO Días]],0)</f>
        <v>0</v>
      </c>
      <c r="U1339" s="104" t="str">
        <f>+VLOOKUP(PROVEEDORES[[#This Row],[PROVEEDOR]],Terceros!$A:$D,4,FALSE)</f>
        <v>2,5% con base</v>
      </c>
      <c r="V1339" s="105">
        <f>+YEAR(PROVEEDORES[[#This Row],[FECHA DE FACTURACIÓN]])</f>
        <v>2023</v>
      </c>
      <c r="W1339" s="105">
        <f>+MATCH(PROVEEDORES[[#This Row],[año facturado]],Retenciones!$1:$1,0)</f>
        <v>6</v>
      </c>
      <c r="X1339" s="106">
        <f>+VLOOKUP(PROVEEDORES[[#This Row],[ID RETENCION]],Retenciones!$A$1:$O$25,PROVEEDORES[[#This Row],[indicador de columna]],FALSE)</f>
        <v>1145000</v>
      </c>
      <c r="Y1339" s="107">
        <f>+VLOOKUP(PROVEEDORES[[#This Row],[ID RETENCION]],Retenciones!$A$1:$O$25,2,FALSE)</f>
        <v>2.5000000000000001E-2</v>
      </c>
      <c r="Z1339" s="116" t="b">
        <f>OR(COUNTIF(PROVEEDORES[[#This Row],[PROVEEDOR]],"*"&amp;'Palabra no opera'!$A$2&amp;"*"))</f>
        <v>0</v>
      </c>
    </row>
    <row r="1340" spans="1:26" ht="22.35" customHeight="1" x14ac:dyDescent="0.3">
      <c r="A1340" s="286" t="str">
        <f>+IF(PROVEEDORES[[#This Row],[FECHA DE PAGO]]=PROVEEDORES[[#This Row],[FECHA DE FACTURACIÓN]],"DE CONTADO","CRÉDITO")</f>
        <v>CRÉDITO</v>
      </c>
      <c r="B1340" s="287" t="str">
        <f>+IF((PROVEEDORES[[#This Row],[FECHA DE PAGO]]-PROVEEDORES[[#This Row],[FECHA DE FACTURACIÓN]])&gt;PROVEEDORES[[#This Row],[PLAZO Días]],"PAGO VENCIDO")</f>
        <v>PAGO VENCIDO</v>
      </c>
      <c r="C1340" s="288">
        <f>+VLOOKUP(PROVEEDORES[[#This Row],[PROVEEDOR]],TERCEROS_INFO[#All],2,FALSE)</f>
        <v>30</v>
      </c>
      <c r="D1340" s="289">
        <f>+SUMIFS(PROVEEDORES[Total],PROVEEDORES[PROVEEDOR],PROVEEDORES[[#This Row],[PROVEEDOR]],PROVEEDORES[FECHA DE PAGO],"")</f>
        <v>429590</v>
      </c>
      <c r="E1340" s="289"/>
      <c r="F1340" s="290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340" s="285">
        <v>45006</v>
      </c>
      <c r="H1340" s="291" t="s">
        <v>39</v>
      </c>
      <c r="I1340" s="285">
        <v>44960</v>
      </c>
      <c r="J1340" s="292" t="s">
        <v>1428</v>
      </c>
      <c r="K1340" s="293">
        <v>756000</v>
      </c>
      <c r="L1340" s="293"/>
      <c r="M1340" s="294">
        <f>(PROVEEDORES[[#This Row],[SUBTOTAL]]-PROVEEDORES[[#This Row],[descuento sobre subtotal]])*VLOOKUP(PROVEEDORES[[#This Row],[PROVEEDOR]],TERCEROS_INFO[#All],3,FALSE)</f>
        <v>143640</v>
      </c>
      <c r="N1340" s="295"/>
      <c r="O1340" s="294">
        <f>+PROVEEDORES[[#This Row],[Descuento sobre subtotal %]]*(PROVEEDORES[[#This Row],[SUBTOTAL]]-PROVEEDORES[[#This Row],[descuento sobre subtotal]])</f>
        <v>0</v>
      </c>
      <c r="P1340" s="296">
        <f>+IF(PROVEEDORES[[#This Row],[SUBTOTAL]]&lt;PROVEEDORES[[#This Row],[base retencion]],0,PROVEEDORES[[#This Row],[retención aplicada]])</f>
        <v>0</v>
      </c>
      <c r="Q1340" s="294">
        <f>+PROVEEDORES[[#This Row],[Rete Fuente %]]*(PROVEEDORES[[#This Row],[SUBTOTAL]]-PROVEEDORES[[#This Row],[descuento sobre subtotal]])</f>
        <v>0</v>
      </c>
      <c r="R1340" s="293">
        <f>+PROVEEDORES[[#This Row],[SUBTOTAL]]+PROVEEDORES[[#This Row],[IVA 19%]]-PROVEEDORES[[#This Row],[descuento sobre subtotal]]-PROVEEDORES[[#This Row],[Descuento sobre subtotal $2]]-PROVEEDORES[[#This Row],[Rete Fuente $]]</f>
        <v>899640</v>
      </c>
      <c r="S1340" s="2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298">
        <f ca="1">IF(PROVEEDORES[[#This Row],[FECHA DE PAGO]]=0,TODAY()-PROVEEDORES[[#This Row],[FECHA DE FACTURACIÓN]]-PROVEEDORES[[#This Row],[PLAZO Días]],0)</f>
        <v>0</v>
      </c>
      <c r="U1340" s="299" t="str">
        <f>+VLOOKUP(PROVEEDORES[[#This Row],[PROVEEDOR]],Terceros!$A:$D,4,FALSE)</f>
        <v>2,5% con base</v>
      </c>
      <c r="V1340" s="300">
        <f>+YEAR(PROVEEDORES[[#This Row],[FECHA DE FACTURACIÓN]])</f>
        <v>2023</v>
      </c>
      <c r="W1340" s="300">
        <f>+MATCH(PROVEEDORES[[#This Row],[año facturado]],Retenciones!$1:$1,0)</f>
        <v>6</v>
      </c>
      <c r="X1340" s="301">
        <f>+VLOOKUP(PROVEEDORES[[#This Row],[ID RETENCION]],Retenciones!$A$1:$O$25,PROVEEDORES[[#This Row],[indicador de columna]],FALSE)</f>
        <v>1145000</v>
      </c>
      <c r="Y1340" s="302">
        <f>+VLOOKUP(PROVEEDORES[[#This Row],[ID RETENCION]],Retenciones!$A$1:$O$25,2,FALSE)</f>
        <v>2.5000000000000001E-2</v>
      </c>
      <c r="Z1340" s="303" t="b">
        <f>OR(COUNTIF(PROVEEDORES[[#This Row],[PROVEEDOR]],"*"&amp;'Palabra no opera'!$A$2&amp;"*"))</f>
        <v>0</v>
      </c>
    </row>
    <row r="1341" spans="1:26" ht="22.35" customHeight="1" x14ac:dyDescent="0.3">
      <c r="A1341" s="252" t="str">
        <f>+IF(PROVEEDORES[[#This Row],[FECHA DE PAGO]]=PROVEEDORES[[#This Row],[FECHA DE FACTURACIÓN]],"DE CONTADO","CRÉDITO")</f>
        <v>CRÉDITO</v>
      </c>
      <c r="B1341" s="38" t="str">
        <f>+IF((PROVEEDORES[[#This Row],[FECHA DE PAGO]]-PROVEEDORES[[#This Row],[FECHA DE FACTURACIÓN]])&gt;PROVEEDORES[[#This Row],[PLAZO Días]],"PAGO VENCIDO")</f>
        <v>PAGO VENCIDO</v>
      </c>
      <c r="C1341" s="20">
        <f>+VLOOKUP(PROVEEDORES[[#This Row],[PROVEEDOR]],TERCEROS_INFO[#All],2,FALSE)</f>
        <v>30</v>
      </c>
      <c r="D1341" s="25">
        <f>+SUMIFS(PROVEEDORES[Total],PROVEEDORES[PROVEEDOR],PROVEEDORES[[#This Row],[PROVEEDOR]],PROVEEDORES[FECHA DE PAGO],"")</f>
        <v>5480000</v>
      </c>
      <c r="E1341" s="25"/>
      <c r="F1341" s="56" t="str">
        <f>+VLOOKUP(PROVEEDORES[[#This Row],[PROVEEDOR]],
                       Terceros!$A:$F,
                       5,
                       FALSE)</f>
        <v/>
      </c>
      <c r="G1341" s="68">
        <v>45007</v>
      </c>
      <c r="H1341" s="26" t="s">
        <v>369</v>
      </c>
      <c r="I1341" s="68">
        <v>44897</v>
      </c>
      <c r="J1341" s="35">
        <v>7494</v>
      </c>
      <c r="K1341" s="21">
        <v>3400000</v>
      </c>
      <c r="L1341" s="21"/>
      <c r="M1341" s="22">
        <f>(PROVEEDORES[[#This Row],[SUBTOTAL]]-PROVEEDORES[[#This Row],[descuento sobre subtotal]])*VLOOKUP(PROVEEDORES[[#This Row],[PROVEEDOR]],TERCEROS_INFO[#All],3,FALSE)</f>
        <v>0</v>
      </c>
      <c r="N1341" s="23"/>
      <c r="O1341" s="22">
        <f>+PROVEEDORES[[#This Row],[Descuento sobre subtotal %]]*(PROVEEDORES[[#This Row],[SUBTOTAL]]-PROVEEDORES[[#This Row],[descuento sobre subtotal]])</f>
        <v>0</v>
      </c>
      <c r="P1341" s="74">
        <f>+IF(PROVEEDORES[[#This Row],[SUBTOTAL]]&lt;PROVEEDORES[[#This Row],[base retencion]],0,PROVEEDORES[[#This Row],[retención aplicada]])</f>
        <v>0</v>
      </c>
      <c r="Q1341" s="22">
        <f>+PROVEEDORES[[#This Row],[Rete Fuente %]]*(PROVEEDORES[[#This Row],[SUBTOTAL]]-PROVEEDORES[[#This Row],[descuento sobre subtotal]])</f>
        <v>0</v>
      </c>
      <c r="R1341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1341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63">
        <f ca="1">IF(PROVEEDORES[[#This Row],[FECHA DE PAGO]]=0,TODAY()-PROVEEDORES[[#This Row],[FECHA DE FACTURACIÓN]]-PROVEEDORES[[#This Row],[PLAZO Días]],0)</f>
        <v>0</v>
      </c>
      <c r="U1341" s="104">
        <f>+VLOOKUP(PROVEEDORES[[#This Row],[PROVEEDOR]],Terceros!$A:$D,4,FALSE)</f>
        <v>0</v>
      </c>
      <c r="V1341" s="105">
        <f>+YEAR(PROVEEDORES[[#This Row],[FECHA DE FACTURACIÓN]])</f>
        <v>2022</v>
      </c>
      <c r="W1341" s="105">
        <f>+MATCH(PROVEEDORES[[#This Row],[año facturado]],Retenciones!$1:$1,0)</f>
        <v>5</v>
      </c>
      <c r="X1341" s="106">
        <f>+VLOOKUP(PROVEEDORES[[#This Row],[ID RETENCION]],Retenciones!$A$1:$O$25,PROVEEDORES[[#This Row],[indicador de columna]],FALSE)</f>
        <v>0</v>
      </c>
      <c r="Y1341" s="107">
        <f>+VLOOKUP(PROVEEDORES[[#This Row],[ID RETENCION]],Retenciones!$A$1:$O$25,2,FALSE)</f>
        <v>0</v>
      </c>
      <c r="Z1341" s="116" t="b">
        <f>OR(COUNTIF(PROVEEDORES[[#This Row],[PROVEEDOR]],"*"&amp;'Palabra no opera'!$A$2&amp;"*"))</f>
        <v>0</v>
      </c>
    </row>
    <row r="1342" spans="1:26" ht="22.35" customHeight="1" x14ac:dyDescent="0.3">
      <c r="A1342" s="280" t="str">
        <f>+IF(PROVEEDORES[[#This Row],[FECHA DE PAGO]]=PROVEEDORES[[#This Row],[FECHA DE FACTURACIÓN]],"DE CONTADO","CRÉDITO")</f>
        <v>DE CONTADO</v>
      </c>
      <c r="B1342" s="38" t="b">
        <f>+IF((PROVEEDORES[[#This Row],[FECHA DE PAGO]]-PROVEEDORES[[#This Row],[FECHA DE FACTURACIÓN]])&gt;PROVEEDORES[[#This Row],[PLAZO Días]],"PAGO VENCIDO")</f>
        <v>0</v>
      </c>
      <c r="C1342" s="20">
        <f>+VLOOKUP(PROVEEDORES[[#This Row],[PROVEEDOR]],TERCEROS_INFO[#All],2,FALSE)</f>
        <v>30</v>
      </c>
      <c r="D1342" s="25">
        <f>+SUMIFS(PROVEEDORES[Total],PROVEEDORES[PROVEEDOR],PROVEEDORES[[#This Row],[PROVEEDOR]],PROVEEDORES[FECHA DE PAGO],"")</f>
        <v>0</v>
      </c>
      <c r="E1342" s="25"/>
      <c r="F1342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42" s="68">
        <v>45008</v>
      </c>
      <c r="H1342" s="26" t="s">
        <v>227</v>
      </c>
      <c r="I1342" s="68">
        <v>45008</v>
      </c>
      <c r="J1342" s="35" t="s">
        <v>1543</v>
      </c>
      <c r="K1342" s="21">
        <v>1690000</v>
      </c>
      <c r="L1342" s="21"/>
      <c r="M1342" s="22">
        <f>(PROVEEDORES[[#This Row],[SUBTOTAL]]-PROVEEDORES[[#This Row],[descuento sobre subtotal]])*VLOOKUP(PROVEEDORES[[#This Row],[PROVEEDOR]],TERCEROS_INFO[#All],3,FALSE)</f>
        <v>0</v>
      </c>
      <c r="N1342" s="23"/>
      <c r="O1342" s="22">
        <f>+PROVEEDORES[[#This Row],[Descuento sobre subtotal %]]*(PROVEEDORES[[#This Row],[SUBTOTAL]]-PROVEEDORES[[#This Row],[descuento sobre subtotal]])</f>
        <v>0</v>
      </c>
      <c r="P1342" s="74">
        <f>+IF(PROVEEDORES[[#This Row],[SUBTOTAL]]&lt;PROVEEDORES[[#This Row],[base retencion]],0,PROVEEDORES[[#This Row],[retención aplicada]])</f>
        <v>0</v>
      </c>
      <c r="Q1342" s="22">
        <f>+PROVEEDORES[[#This Row],[Rete Fuente %]]*(PROVEEDORES[[#This Row],[SUBTOTAL]]-PROVEEDORES[[#This Row],[descuento sobre subtotal]])</f>
        <v>0</v>
      </c>
      <c r="R1342" s="21">
        <f>+PROVEEDORES[[#This Row],[SUBTOTAL]]+PROVEEDORES[[#This Row],[IVA 19%]]-PROVEEDORES[[#This Row],[descuento sobre subtotal]]-PROVEEDORES[[#This Row],[Descuento sobre subtotal $2]]-PROVEEDORES[[#This Row],[Rete Fuente $]]</f>
        <v>1690000</v>
      </c>
      <c r="S134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63">
        <f ca="1">IF(PROVEEDORES[[#This Row],[FECHA DE PAGO]]=0,TODAY()-PROVEEDORES[[#This Row],[FECHA DE FACTURACIÓN]]-PROVEEDORES[[#This Row],[PLAZO Días]],0)</f>
        <v>0</v>
      </c>
      <c r="U1342" s="104">
        <f>+VLOOKUP(PROVEEDORES[[#This Row],[PROVEEDOR]],Terceros!$A:$D,4,FALSE)</f>
        <v>0</v>
      </c>
      <c r="V1342" s="105">
        <f>+YEAR(PROVEEDORES[[#This Row],[FECHA DE FACTURACIÓN]])</f>
        <v>2023</v>
      </c>
      <c r="W1342" s="105">
        <f>+MATCH(PROVEEDORES[[#This Row],[año facturado]],Retenciones!$1:$1,0)</f>
        <v>6</v>
      </c>
      <c r="X1342" s="106">
        <f>+VLOOKUP(PROVEEDORES[[#This Row],[ID RETENCION]],Retenciones!$A$1:$O$25,PROVEEDORES[[#This Row],[indicador de columna]],FALSE)</f>
        <v>0</v>
      </c>
      <c r="Y1342" s="107">
        <f>+VLOOKUP(PROVEEDORES[[#This Row],[ID RETENCION]],Retenciones!$A$1:$O$25,2,FALSE)</f>
        <v>0</v>
      </c>
      <c r="Z1342" s="116" t="b">
        <f>OR(COUNTIF(PROVEEDORES[[#This Row],[PROVEEDOR]],"*"&amp;'Palabra no opera'!$A$2&amp;"*"))</f>
        <v>0</v>
      </c>
    </row>
    <row r="1343" spans="1:26" ht="22.35" customHeight="1" x14ac:dyDescent="0.3">
      <c r="A1343" s="67" t="str">
        <f>+IF(PROVEEDORES[[#This Row],[FECHA DE PAGO]]=PROVEEDORES[[#This Row],[FECHA DE FACTURACIÓN]],"DE CONTADO","CRÉDITO")</f>
        <v>CRÉDITO</v>
      </c>
      <c r="B1343" s="38" t="b">
        <f>+IF((PROVEEDORES[[#This Row],[FECHA DE PAGO]]-PROVEEDORES[[#This Row],[FECHA DE FACTURACIÓN]])&gt;PROVEEDORES[[#This Row],[PLAZO Días]],"PAGO VENCIDO")</f>
        <v>0</v>
      </c>
      <c r="C1343" s="20">
        <f>+VLOOKUP(PROVEEDORES[[#This Row],[PROVEEDOR]],TERCEROS_INFO[#All],2,FALSE)</f>
        <v>30</v>
      </c>
      <c r="D1343" s="25">
        <f>+SUMIFS(PROVEEDORES[Total],PROVEEDORES[PROVEEDOR],PROVEEDORES[[#This Row],[PROVEEDOR]],PROVEEDORES[FECHA DE PAGO],"")</f>
        <v>0</v>
      </c>
      <c r="E1343" s="25"/>
      <c r="F1343" s="56" t="str">
        <f>+VLOOKUP(PROVEEDORES[[#This Row],[PROVEEDOR]],
                       Terceros!$A:$F,
                       5,
                       FALSE)</f>
        <v/>
      </c>
      <c r="G1343" s="68">
        <v>45010</v>
      </c>
      <c r="H1343" s="26" t="s">
        <v>356</v>
      </c>
      <c r="I1343" s="68">
        <v>45009</v>
      </c>
      <c r="J1343" s="35" t="s">
        <v>1548</v>
      </c>
      <c r="K1343" s="21">
        <v>650000</v>
      </c>
      <c r="L1343" s="21"/>
      <c r="M1343" s="22">
        <f>(PROVEEDORES[[#This Row],[SUBTOTAL]]-PROVEEDORES[[#This Row],[descuento sobre subtotal]])*VLOOKUP(PROVEEDORES[[#This Row],[PROVEEDOR]],TERCEROS_INFO[#All],3,FALSE)</f>
        <v>0</v>
      </c>
      <c r="N1343" s="23"/>
      <c r="O1343" s="22">
        <f>+PROVEEDORES[[#This Row],[Descuento sobre subtotal %]]*(PROVEEDORES[[#This Row],[SUBTOTAL]]-PROVEEDORES[[#This Row],[descuento sobre subtotal]])</f>
        <v>0</v>
      </c>
      <c r="P1343" s="74">
        <f>+IF(PROVEEDORES[[#This Row],[SUBTOTAL]]&lt;PROVEEDORES[[#This Row],[base retencion]],0,PROVEEDORES[[#This Row],[retención aplicada]])</f>
        <v>0</v>
      </c>
      <c r="Q1343" s="22">
        <f>+PROVEEDORES[[#This Row],[Rete Fuente %]]*(PROVEEDORES[[#This Row],[SUBTOTAL]]-PROVEEDORES[[#This Row],[descuento sobre subtotal]])</f>
        <v>0</v>
      </c>
      <c r="R1343" s="21">
        <f>+PROVEEDORES[[#This Row],[SUBTOTAL]]+PROVEEDORES[[#This Row],[IVA 19%]]-PROVEEDORES[[#This Row],[descuento sobre subtotal]]-PROVEEDORES[[#This Row],[Descuento sobre subtotal $2]]-PROVEEDORES[[#This Row],[Rete Fuente $]]</f>
        <v>650000</v>
      </c>
      <c r="S13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63">
        <f ca="1">IF(PROVEEDORES[[#This Row],[FECHA DE PAGO]]=0,TODAY()-PROVEEDORES[[#This Row],[FECHA DE FACTURACIÓN]]-PROVEEDORES[[#This Row],[PLAZO Días]],0)</f>
        <v>0</v>
      </c>
      <c r="U1343" s="104">
        <f>+VLOOKUP(PROVEEDORES[[#This Row],[PROVEEDOR]],Terceros!$A:$D,4,FALSE)</f>
        <v>0</v>
      </c>
      <c r="V1343" s="105">
        <f>+YEAR(PROVEEDORES[[#This Row],[FECHA DE FACTURACIÓN]])</f>
        <v>2023</v>
      </c>
      <c r="W1343" s="105">
        <f>+MATCH(PROVEEDORES[[#This Row],[año facturado]],Retenciones!$1:$1,0)</f>
        <v>6</v>
      </c>
      <c r="X1343" s="106">
        <f>+VLOOKUP(PROVEEDORES[[#This Row],[ID RETENCION]],Retenciones!$A$1:$O$25,PROVEEDORES[[#This Row],[indicador de columna]],FALSE)</f>
        <v>0</v>
      </c>
      <c r="Y1343" s="107">
        <f>+VLOOKUP(PROVEEDORES[[#This Row],[ID RETENCION]],Retenciones!$A$1:$O$25,2,FALSE)</f>
        <v>0</v>
      </c>
      <c r="Z1343" s="116" t="b">
        <f>OR(COUNTIF(PROVEEDORES[[#This Row],[PROVEEDOR]],"*"&amp;'Palabra no opera'!$A$2&amp;"*"))</f>
        <v>0</v>
      </c>
    </row>
    <row r="1344" spans="1:26" ht="22.35" customHeight="1" x14ac:dyDescent="0.3">
      <c r="A1344" s="67" t="str">
        <f>+IF(PROVEEDORES[[#This Row],[FECHA DE PAGO]]=PROVEEDORES[[#This Row],[FECHA DE FACTURACIÓN]],"DE CONTADO","CRÉDITO")</f>
        <v>CRÉDITO</v>
      </c>
      <c r="B1344" s="38" t="b">
        <f>+IF((PROVEEDORES[[#This Row],[FECHA DE PAGO]]-PROVEEDORES[[#This Row],[FECHA DE FACTURACIÓN]])&gt;PROVEEDORES[[#This Row],[PLAZO Días]],"PAGO VENCIDO")</f>
        <v>0</v>
      </c>
      <c r="C1344" s="20">
        <f>+VLOOKUP(PROVEEDORES[[#This Row],[PROVEEDOR]],TERCEROS_INFO[#All],2,FALSE)</f>
        <v>30</v>
      </c>
      <c r="D1344" s="25">
        <f>+SUMIFS(PROVEEDORES[Total],PROVEEDORES[PROVEEDOR],PROVEEDORES[[#This Row],[PROVEEDOR]],PROVEEDORES[FECHA DE PAGO],"")</f>
        <v>0</v>
      </c>
      <c r="E1344" s="25"/>
      <c r="F1344" s="56" t="str">
        <f>+VLOOKUP(PROVEEDORES[[#This Row],[PROVEEDOR]],
                       Terceros!$A:$F,
                       5,
                       FALSE)</f>
        <v/>
      </c>
      <c r="G1344" s="68">
        <v>45010</v>
      </c>
      <c r="H1344" s="26" t="s">
        <v>378</v>
      </c>
      <c r="I1344" s="68">
        <v>45009</v>
      </c>
      <c r="J1344" s="35" t="s">
        <v>1551</v>
      </c>
      <c r="K1344" s="21">
        <v>1440000</v>
      </c>
      <c r="L1344" s="21"/>
      <c r="M1344" s="22">
        <f>(PROVEEDORES[[#This Row],[SUBTOTAL]]-PROVEEDORES[[#This Row],[descuento sobre subtotal]])*VLOOKUP(PROVEEDORES[[#This Row],[PROVEEDOR]],TERCEROS_INFO[#All],3,FALSE)</f>
        <v>0</v>
      </c>
      <c r="N1344" s="23"/>
      <c r="O1344" s="22">
        <f>+PROVEEDORES[[#This Row],[Descuento sobre subtotal %]]*(PROVEEDORES[[#This Row],[SUBTOTAL]]-PROVEEDORES[[#This Row],[descuento sobre subtotal]])</f>
        <v>0</v>
      </c>
      <c r="P1344" s="74">
        <f>+IF(PROVEEDORES[[#This Row],[SUBTOTAL]]&lt;PROVEEDORES[[#This Row],[base retencion]],0,PROVEEDORES[[#This Row],[retención aplicada]])</f>
        <v>0</v>
      </c>
      <c r="Q1344" s="22">
        <f>+PROVEEDORES[[#This Row],[Rete Fuente %]]*(PROVEEDORES[[#This Row],[SUBTOTAL]]-PROVEEDORES[[#This Row],[descuento sobre subtotal]])</f>
        <v>0</v>
      </c>
      <c r="R1344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13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4" s="63">
        <f ca="1">IF(PROVEEDORES[[#This Row],[FECHA DE PAGO]]=0,TODAY()-PROVEEDORES[[#This Row],[FECHA DE FACTURACIÓN]]-PROVEEDORES[[#This Row],[PLAZO Días]],0)</f>
        <v>0</v>
      </c>
      <c r="U1344" s="104">
        <f>+VLOOKUP(PROVEEDORES[[#This Row],[PROVEEDOR]],Terceros!$A:$D,4,FALSE)</f>
        <v>0</v>
      </c>
      <c r="V1344" s="105">
        <f>+YEAR(PROVEEDORES[[#This Row],[FECHA DE FACTURACIÓN]])</f>
        <v>2023</v>
      </c>
      <c r="W1344" s="105">
        <f>+MATCH(PROVEEDORES[[#This Row],[año facturado]],Retenciones!$1:$1,0)</f>
        <v>6</v>
      </c>
      <c r="X1344" s="106">
        <f>+VLOOKUP(PROVEEDORES[[#This Row],[ID RETENCION]],Retenciones!$A$1:$O$25,PROVEEDORES[[#This Row],[indicador de columna]],FALSE)</f>
        <v>0</v>
      </c>
      <c r="Y1344" s="107">
        <f>+VLOOKUP(PROVEEDORES[[#This Row],[ID RETENCION]],Retenciones!$A$1:$O$25,2,FALSE)</f>
        <v>0</v>
      </c>
      <c r="Z1344" s="116" t="b">
        <f>OR(COUNTIF(PROVEEDORES[[#This Row],[PROVEEDOR]],"*"&amp;'Palabra no opera'!$A$2&amp;"*"))</f>
        <v>0</v>
      </c>
    </row>
    <row r="1345" spans="1:26" ht="22.35" customHeight="1" x14ac:dyDescent="0.3">
      <c r="A1345" s="269" t="str">
        <f>+IF(PROVEEDORES[[#This Row],[FECHA DE PAGO]]=PROVEEDORES[[#This Row],[FECHA DE FACTURACIÓN]],"DE CONTADO","CRÉDITO")</f>
        <v>CRÉDITO</v>
      </c>
      <c r="B1345" s="38" t="str">
        <f>+IF((PROVEEDORES[[#This Row],[FECHA DE PAGO]]-PROVEEDORES[[#This Row],[FECHA DE FACTURACIÓN]])&gt;PROVEEDORES[[#This Row],[PLAZO Días]],"PAGO VENCIDO")</f>
        <v>PAGO VENCIDO</v>
      </c>
      <c r="C1345" s="20">
        <f>+VLOOKUP(PROVEEDORES[[#This Row],[PROVEEDOR]],TERCEROS_INFO[#All],2,FALSE)</f>
        <v>30</v>
      </c>
      <c r="D1345" s="25">
        <f>+SUMIFS(PROVEEDORES[Total],PROVEEDORES[PROVEEDOR],PROVEEDORES[[#This Row],[PROVEEDOR]],PROVEEDORES[FECHA DE PAGO],"")</f>
        <v>2100000</v>
      </c>
      <c r="E1345" s="25"/>
      <c r="F1345" s="56" t="str">
        <f>+VLOOKUP(PROVEEDORES[[#This Row],[PROVEEDOR]],
                       Terceros!$A:$F,
                       5,
                       FALSE)</f>
        <v/>
      </c>
      <c r="G1345" s="68">
        <v>45012</v>
      </c>
      <c r="H1345" s="26" t="s">
        <v>349</v>
      </c>
      <c r="I1345" s="68">
        <v>44965</v>
      </c>
      <c r="J1345" s="35" t="s">
        <v>1474</v>
      </c>
      <c r="K1345" s="21">
        <v>2260000</v>
      </c>
      <c r="L1345" s="21"/>
      <c r="M1345" s="22">
        <f>(PROVEEDORES[[#This Row],[SUBTOTAL]]-PROVEEDORES[[#This Row],[descuento sobre subtotal]])*VLOOKUP(PROVEEDORES[[#This Row],[PROVEEDOR]],TERCEROS_INFO[#All],3,FALSE)</f>
        <v>0</v>
      </c>
      <c r="N1345" s="23"/>
      <c r="O1345" s="22">
        <f>+PROVEEDORES[[#This Row],[Descuento sobre subtotal %]]*(PROVEEDORES[[#This Row],[SUBTOTAL]]-PROVEEDORES[[#This Row],[descuento sobre subtotal]])</f>
        <v>0</v>
      </c>
      <c r="P1345" s="74">
        <f>+IF(PROVEEDORES[[#This Row],[SUBTOTAL]]&lt;PROVEEDORES[[#This Row],[base retencion]],0,PROVEEDORES[[#This Row],[retención aplicada]])</f>
        <v>0</v>
      </c>
      <c r="Q1345" s="22">
        <f>+PROVEEDORES[[#This Row],[Rete Fuente %]]*(PROVEEDORES[[#This Row],[SUBTOTAL]]-PROVEEDORES[[#This Row],[descuento sobre subtotal]])</f>
        <v>0</v>
      </c>
      <c r="R1345" s="21">
        <f>+PROVEEDORES[[#This Row],[SUBTOTAL]]+PROVEEDORES[[#This Row],[IVA 19%]]-PROVEEDORES[[#This Row],[descuento sobre subtotal]]-PROVEEDORES[[#This Row],[Descuento sobre subtotal $2]]-PROVEEDORES[[#This Row],[Rete Fuente $]]</f>
        <v>2260000</v>
      </c>
      <c r="S1345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63">
        <f ca="1">IF(PROVEEDORES[[#This Row],[FECHA DE PAGO]]=0,TODAY()-PROVEEDORES[[#This Row],[FECHA DE FACTURACIÓN]]-PROVEEDORES[[#This Row],[PLAZO Días]],0)</f>
        <v>0</v>
      </c>
      <c r="U1345" s="104">
        <f>+VLOOKUP(PROVEEDORES[[#This Row],[PROVEEDOR]],Terceros!$A:$D,4,FALSE)</f>
        <v>0</v>
      </c>
      <c r="V1345" s="105">
        <f>+YEAR(PROVEEDORES[[#This Row],[FECHA DE FACTURACIÓN]])</f>
        <v>2023</v>
      </c>
      <c r="W1345" s="105">
        <f>+MATCH(PROVEEDORES[[#This Row],[año facturado]],Retenciones!$1:$1,0)</f>
        <v>6</v>
      </c>
      <c r="X1345" s="106">
        <f>+VLOOKUP(PROVEEDORES[[#This Row],[ID RETENCION]],Retenciones!$A$1:$O$25,PROVEEDORES[[#This Row],[indicador de columna]],FALSE)</f>
        <v>0</v>
      </c>
      <c r="Y1345" s="107">
        <f>+VLOOKUP(PROVEEDORES[[#This Row],[ID RETENCION]],Retenciones!$A$1:$O$25,2,FALSE)</f>
        <v>0</v>
      </c>
      <c r="Z1345" s="116" t="b">
        <f>OR(COUNTIF(PROVEEDORES[[#This Row],[PROVEEDOR]],"*"&amp;'Palabra no opera'!$A$2&amp;"*"))</f>
        <v>0</v>
      </c>
    </row>
    <row r="1346" spans="1:26" ht="22.35" customHeight="1" x14ac:dyDescent="0.3">
      <c r="A1346" s="280" t="str">
        <f>+IF(PROVEEDORES[[#This Row],[FECHA DE PAGO]]=PROVEEDORES[[#This Row],[FECHA DE FACTURACIÓN]],"DE CONTADO","CRÉDITO")</f>
        <v>CRÉDITO</v>
      </c>
      <c r="B1346" s="38" t="b">
        <f>+IF((PROVEEDORES[[#This Row],[FECHA DE PAGO]]-PROVEEDORES[[#This Row],[FECHA DE FACTURACIÓN]])&gt;PROVEEDORES[[#This Row],[PLAZO Días]],"PAGO VENCIDO")</f>
        <v>0</v>
      </c>
      <c r="C1346" s="20">
        <f>+VLOOKUP(PROVEEDORES[[#This Row],[PROVEEDOR]],TERCEROS_INFO[#All],2,FALSE)</f>
        <v>30</v>
      </c>
      <c r="D1346" s="25">
        <f>+SUMIFS(PROVEEDORES[Total],PROVEEDORES[PROVEEDOR],PROVEEDORES[[#This Row],[PROVEEDOR]],PROVEEDORES[FECHA DE PAGO],"")</f>
        <v>0</v>
      </c>
      <c r="E1346" s="25"/>
      <c r="F1346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46" s="68">
        <v>45012</v>
      </c>
      <c r="H1346" s="26" t="s">
        <v>966</v>
      </c>
      <c r="I1346" s="68">
        <v>44993</v>
      </c>
      <c r="J1346" s="35">
        <v>403</v>
      </c>
      <c r="K1346" s="21">
        <v>300000</v>
      </c>
      <c r="L1346" s="21"/>
      <c r="M1346" s="22">
        <f>(PROVEEDORES[[#This Row],[SUBTOTAL]]-PROVEEDORES[[#This Row],[descuento sobre subtotal]])*VLOOKUP(PROVEEDORES[[#This Row],[PROVEEDOR]],TERCEROS_INFO[#All],3,FALSE)</f>
        <v>0</v>
      </c>
      <c r="N1346" s="23"/>
      <c r="O1346" s="22">
        <f>+PROVEEDORES[[#This Row],[Descuento sobre subtotal %]]*(PROVEEDORES[[#This Row],[SUBTOTAL]]-PROVEEDORES[[#This Row],[descuento sobre subtotal]])</f>
        <v>0</v>
      </c>
      <c r="P1346" s="74">
        <f>+IF(PROVEEDORES[[#This Row],[SUBTOTAL]]&lt;PROVEEDORES[[#This Row],[base retencion]],0,PROVEEDORES[[#This Row],[retención aplicada]])</f>
        <v>0</v>
      </c>
      <c r="Q1346" s="22">
        <f>+PROVEEDORES[[#This Row],[Rete Fuente %]]*(PROVEEDORES[[#This Row],[SUBTOTAL]]-PROVEEDORES[[#This Row],[descuento sobre subtotal]])</f>
        <v>0</v>
      </c>
      <c r="R1346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346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63">
        <f ca="1">IF(PROVEEDORES[[#This Row],[FECHA DE PAGO]]=0,TODAY()-PROVEEDORES[[#This Row],[FECHA DE FACTURACIÓN]]-PROVEEDORES[[#This Row],[PLAZO Días]],0)</f>
        <v>0</v>
      </c>
      <c r="U1346" s="104">
        <f>+VLOOKUP(PROVEEDORES[[#This Row],[PROVEEDOR]],Terceros!$A:$D,4,FALSE)</f>
        <v>0</v>
      </c>
      <c r="V1346" s="105">
        <f>+YEAR(PROVEEDORES[[#This Row],[FECHA DE FACTURACIÓN]])</f>
        <v>2023</v>
      </c>
      <c r="W1346" s="105">
        <f>+MATCH(PROVEEDORES[[#This Row],[año facturado]],Retenciones!$1:$1,0)</f>
        <v>6</v>
      </c>
      <c r="X1346" s="106">
        <f>+VLOOKUP(PROVEEDORES[[#This Row],[ID RETENCION]],Retenciones!$A$1:$O$25,PROVEEDORES[[#This Row],[indicador de columna]],FALSE)</f>
        <v>0</v>
      </c>
      <c r="Y1346" s="107">
        <f>+VLOOKUP(PROVEEDORES[[#This Row],[ID RETENCION]],Retenciones!$A$1:$O$25,2,FALSE)</f>
        <v>0</v>
      </c>
      <c r="Z1346" s="116" t="b">
        <f>OR(COUNTIF(PROVEEDORES[[#This Row],[PROVEEDOR]],"*"&amp;'Palabra no opera'!$A$2&amp;"*"))</f>
        <v>0</v>
      </c>
    </row>
    <row r="1347" spans="1:26" ht="22.35" customHeight="1" x14ac:dyDescent="0.3">
      <c r="A1347" s="280" t="str">
        <f>+IF(PROVEEDORES[[#This Row],[FECHA DE PAGO]]=PROVEEDORES[[#This Row],[FECHA DE FACTURACIÓN]],"DE CONTADO","CRÉDITO")</f>
        <v>CRÉDITO</v>
      </c>
      <c r="B1347" s="38" t="b">
        <f>+IF((PROVEEDORES[[#This Row],[FECHA DE PAGO]]-PROVEEDORES[[#This Row],[FECHA DE FACTURACIÓN]])&gt;PROVEEDORES[[#This Row],[PLAZO Días]],"PAGO VENCIDO")</f>
        <v>0</v>
      </c>
      <c r="C1347" s="20">
        <f>+VLOOKUP(PROVEEDORES[[#This Row],[PROVEEDOR]],TERCEROS_INFO[#All],2,FALSE)</f>
        <v>30</v>
      </c>
      <c r="D1347" s="25">
        <f>+SUMIFS(PROVEEDORES[Total],PROVEEDORES[PROVEEDOR],PROVEEDORES[[#This Row],[PROVEEDOR]],PROVEEDORES[FECHA DE PAGO],"")</f>
        <v>0</v>
      </c>
      <c r="E1347" s="25"/>
      <c r="F134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47" s="68">
        <v>45012</v>
      </c>
      <c r="H1347" s="26" t="s">
        <v>623</v>
      </c>
      <c r="I1347" s="68">
        <v>44986</v>
      </c>
      <c r="J1347" s="35" t="s">
        <v>1528</v>
      </c>
      <c r="K1347" s="21">
        <v>7165</v>
      </c>
      <c r="L1347" s="21"/>
      <c r="M1347" s="22">
        <f>(PROVEEDORES[[#This Row],[SUBTOTAL]]-PROVEEDORES[[#This Row],[descuento sobre subtotal]])*VLOOKUP(PROVEEDORES[[#This Row],[PROVEEDOR]],TERCEROS_INFO[#All],3,FALSE)</f>
        <v>1361.35</v>
      </c>
      <c r="N1347" s="23"/>
      <c r="O1347" s="22">
        <f>+PROVEEDORES[[#This Row],[Descuento sobre subtotal %]]*(PROVEEDORES[[#This Row],[SUBTOTAL]]-PROVEEDORES[[#This Row],[descuento sobre subtotal]])</f>
        <v>0</v>
      </c>
      <c r="P1347" s="74">
        <v>0</v>
      </c>
      <c r="Q1347" s="22">
        <f>+PROVEEDORES[[#This Row],[Rete Fuente %]]*(PROVEEDORES[[#This Row],[SUBTOTAL]]-PROVEEDORES[[#This Row],[descuento sobre subtotal]])</f>
        <v>0</v>
      </c>
      <c r="R1347" s="21">
        <f>+PROVEEDORES[[#This Row],[SUBTOTAL]]+PROVEEDORES[[#This Row],[IVA 19%]]-PROVEEDORES[[#This Row],[descuento sobre subtotal]]-PROVEEDORES[[#This Row],[Descuento sobre subtotal $2]]-PROVEEDORES[[#This Row],[Rete Fuente $]]</f>
        <v>8526.35</v>
      </c>
      <c r="S134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63">
        <f ca="1">IF(PROVEEDORES[[#This Row],[FECHA DE PAGO]]=0,TODAY()-PROVEEDORES[[#This Row],[FECHA DE FACTURACIÓN]]-PROVEEDORES[[#This Row],[PLAZO Días]],0)</f>
        <v>0</v>
      </c>
      <c r="U1347" s="104" t="str">
        <f>+VLOOKUP(PROVEEDORES[[#This Row],[PROVEEDOR]],Terceros!$A:$D,4,FALSE)</f>
        <v>4% sin base</v>
      </c>
      <c r="V1347" s="105">
        <f>+YEAR(PROVEEDORES[[#This Row],[FECHA DE FACTURACIÓN]])</f>
        <v>2023</v>
      </c>
      <c r="W1347" s="105">
        <f>+MATCH(PROVEEDORES[[#This Row],[año facturado]],Retenciones!$1:$1,0)</f>
        <v>6</v>
      </c>
      <c r="X1347" s="106">
        <f>+VLOOKUP(PROVEEDORES[[#This Row],[ID RETENCION]],Retenciones!$A$1:$O$25,PROVEEDORES[[#This Row],[indicador de columna]],FALSE)</f>
        <v>0</v>
      </c>
      <c r="Y1347" s="107">
        <f>+VLOOKUP(PROVEEDORES[[#This Row],[ID RETENCION]],Retenciones!$A$1:$O$25,2,FALSE)</f>
        <v>0.04</v>
      </c>
      <c r="Z1347" s="116" t="b">
        <f>OR(COUNTIF(PROVEEDORES[[#This Row],[PROVEEDOR]],"*"&amp;'Palabra no opera'!$A$2&amp;"*"))</f>
        <v>1</v>
      </c>
    </row>
    <row r="1348" spans="1:26" ht="22.35" customHeight="1" x14ac:dyDescent="0.3">
      <c r="A1348" s="280" t="str">
        <f>+IF(PROVEEDORES[[#This Row],[FECHA DE PAGO]]=PROVEEDORES[[#This Row],[FECHA DE FACTURACIÓN]],"DE CONTADO","CRÉDITO")</f>
        <v>CRÉDITO</v>
      </c>
      <c r="B1348" s="38" t="b">
        <f>+IF((PROVEEDORES[[#This Row],[FECHA DE PAGO]]-PROVEEDORES[[#This Row],[FECHA DE FACTURACIÓN]])&gt;PROVEEDORES[[#This Row],[PLAZO Días]],"PAGO VENCIDO")</f>
        <v>0</v>
      </c>
      <c r="C1348" s="20">
        <f>+VLOOKUP(PROVEEDORES[[#This Row],[PROVEEDOR]],TERCEROS_INFO[#All],2,FALSE)</f>
        <v>30</v>
      </c>
      <c r="D1348" s="25">
        <f>+SUMIFS(PROVEEDORES[Total],PROVEEDORES[PROVEEDOR],PROVEEDORES[[#This Row],[PROVEEDOR]],PROVEEDORES[FECHA DE PAGO],"")</f>
        <v>0</v>
      </c>
      <c r="E1348" s="25"/>
      <c r="F134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48" s="68">
        <v>45012</v>
      </c>
      <c r="H1348" s="26" t="s">
        <v>623</v>
      </c>
      <c r="I1348" s="68">
        <v>44986</v>
      </c>
      <c r="J1348" s="35" t="s">
        <v>1529</v>
      </c>
      <c r="K1348" s="21">
        <v>10150</v>
      </c>
      <c r="L1348" s="21"/>
      <c r="M1348" s="22">
        <f>(PROVEEDORES[[#This Row],[SUBTOTAL]]-PROVEEDORES[[#This Row],[descuento sobre subtotal]])*VLOOKUP(PROVEEDORES[[#This Row],[PROVEEDOR]],TERCEROS_INFO[#All],3,FALSE)</f>
        <v>1928.5</v>
      </c>
      <c r="N1348" s="23"/>
      <c r="O1348" s="22">
        <f>+PROVEEDORES[[#This Row],[Descuento sobre subtotal %]]*(PROVEEDORES[[#This Row],[SUBTOTAL]]-PROVEEDORES[[#This Row],[descuento sobre subtotal]])</f>
        <v>0</v>
      </c>
      <c r="P1348" s="74">
        <v>0</v>
      </c>
      <c r="Q1348" s="22">
        <f>+PROVEEDORES[[#This Row],[Rete Fuente %]]*(PROVEEDORES[[#This Row],[SUBTOTAL]]-PROVEEDORES[[#This Row],[descuento sobre subtotal]])</f>
        <v>0</v>
      </c>
      <c r="R1348" s="21">
        <f>+PROVEEDORES[[#This Row],[SUBTOTAL]]+PROVEEDORES[[#This Row],[IVA 19%]]-PROVEEDORES[[#This Row],[descuento sobre subtotal]]-PROVEEDORES[[#This Row],[Descuento sobre subtotal $2]]-PROVEEDORES[[#This Row],[Rete Fuente $]]</f>
        <v>12078.5</v>
      </c>
      <c r="S134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63">
        <f ca="1">IF(PROVEEDORES[[#This Row],[FECHA DE PAGO]]=0,TODAY()-PROVEEDORES[[#This Row],[FECHA DE FACTURACIÓN]]-PROVEEDORES[[#This Row],[PLAZO Días]],0)</f>
        <v>0</v>
      </c>
      <c r="U1348" s="104" t="str">
        <f>+VLOOKUP(PROVEEDORES[[#This Row],[PROVEEDOR]],Terceros!$A:$D,4,FALSE)</f>
        <v>4% sin base</v>
      </c>
      <c r="V1348" s="105">
        <f>+YEAR(PROVEEDORES[[#This Row],[FECHA DE FACTURACIÓN]])</f>
        <v>2023</v>
      </c>
      <c r="W1348" s="105">
        <f>+MATCH(PROVEEDORES[[#This Row],[año facturado]],Retenciones!$1:$1,0)</f>
        <v>6</v>
      </c>
      <c r="X1348" s="106">
        <f>+VLOOKUP(PROVEEDORES[[#This Row],[ID RETENCION]],Retenciones!$A$1:$O$25,PROVEEDORES[[#This Row],[indicador de columna]],FALSE)</f>
        <v>0</v>
      </c>
      <c r="Y1348" s="107">
        <f>+VLOOKUP(PROVEEDORES[[#This Row],[ID RETENCION]],Retenciones!$A$1:$O$25,2,FALSE)</f>
        <v>0.04</v>
      </c>
      <c r="Z1348" s="116" t="b">
        <f>OR(COUNTIF(PROVEEDORES[[#This Row],[PROVEEDOR]],"*"&amp;'Palabra no opera'!$A$2&amp;"*"))</f>
        <v>1</v>
      </c>
    </row>
    <row r="1349" spans="1:26" ht="22.35" customHeight="1" x14ac:dyDescent="0.3">
      <c r="A1349" s="280" t="str">
        <f>+IF(PROVEEDORES[[#This Row],[FECHA DE PAGO]]=PROVEEDORES[[#This Row],[FECHA DE FACTURACIÓN]],"DE CONTADO","CRÉDITO")</f>
        <v>CRÉDITO</v>
      </c>
      <c r="B1349" s="38" t="b">
        <f>+IF((PROVEEDORES[[#This Row],[FECHA DE PAGO]]-PROVEEDORES[[#This Row],[FECHA DE FACTURACIÓN]])&gt;PROVEEDORES[[#This Row],[PLAZO Días]],"PAGO VENCIDO")</f>
        <v>0</v>
      </c>
      <c r="C1349" s="20">
        <f>+VLOOKUP(PROVEEDORES[[#This Row],[PROVEEDOR]],TERCEROS_INFO[#All],2,FALSE)</f>
        <v>30</v>
      </c>
      <c r="D1349" s="25">
        <f>+SUMIFS(PROVEEDORES[Total],PROVEEDORES[PROVEEDOR],PROVEEDORES[[#This Row],[PROVEEDOR]],PROVEEDORES[FECHA DE PAGO],"")</f>
        <v>0</v>
      </c>
      <c r="E1349" s="25"/>
      <c r="F134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49" s="68">
        <v>45012</v>
      </c>
      <c r="H1349" s="26" t="s">
        <v>623</v>
      </c>
      <c r="I1349" s="68">
        <v>44986</v>
      </c>
      <c r="J1349" s="35" t="s">
        <v>1530</v>
      </c>
      <c r="K1349" s="21">
        <v>39533</v>
      </c>
      <c r="L1349" s="21"/>
      <c r="M1349" s="22">
        <f>(PROVEEDORES[[#This Row],[SUBTOTAL]]-PROVEEDORES[[#This Row],[descuento sobre subtotal]])*VLOOKUP(PROVEEDORES[[#This Row],[PROVEEDOR]],TERCEROS_INFO[#All],3,FALSE)</f>
        <v>7511.27</v>
      </c>
      <c r="N1349" s="23"/>
      <c r="O1349" s="22">
        <f>+PROVEEDORES[[#This Row],[Descuento sobre subtotal %]]*(PROVEEDORES[[#This Row],[SUBTOTAL]]-PROVEEDORES[[#This Row],[descuento sobre subtotal]])</f>
        <v>0</v>
      </c>
      <c r="P1349" s="74">
        <v>0</v>
      </c>
      <c r="Q1349" s="22">
        <f>+PROVEEDORES[[#This Row],[Rete Fuente %]]*(PROVEEDORES[[#This Row],[SUBTOTAL]]-PROVEEDORES[[#This Row],[descuento sobre subtotal]])</f>
        <v>0</v>
      </c>
      <c r="R1349" s="21">
        <f>+PROVEEDORES[[#This Row],[SUBTOTAL]]+PROVEEDORES[[#This Row],[IVA 19%]]-PROVEEDORES[[#This Row],[descuento sobre subtotal]]-PROVEEDORES[[#This Row],[Descuento sobre subtotal $2]]-PROVEEDORES[[#This Row],[Rete Fuente $]]</f>
        <v>47044.270000000004</v>
      </c>
      <c r="S134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9" s="63">
        <f ca="1">IF(PROVEEDORES[[#This Row],[FECHA DE PAGO]]=0,TODAY()-PROVEEDORES[[#This Row],[FECHA DE FACTURACIÓN]]-PROVEEDORES[[#This Row],[PLAZO Días]],0)</f>
        <v>0</v>
      </c>
      <c r="U1349" s="104" t="str">
        <f>+VLOOKUP(PROVEEDORES[[#This Row],[PROVEEDOR]],Terceros!$A:$D,4,FALSE)</f>
        <v>4% sin base</v>
      </c>
      <c r="V1349" s="105">
        <f>+YEAR(PROVEEDORES[[#This Row],[FECHA DE FACTURACIÓN]])</f>
        <v>2023</v>
      </c>
      <c r="W1349" s="105">
        <f>+MATCH(PROVEEDORES[[#This Row],[año facturado]],Retenciones!$1:$1,0)</f>
        <v>6</v>
      </c>
      <c r="X1349" s="106">
        <f>+VLOOKUP(PROVEEDORES[[#This Row],[ID RETENCION]],Retenciones!$A$1:$O$25,PROVEEDORES[[#This Row],[indicador de columna]],FALSE)</f>
        <v>0</v>
      </c>
      <c r="Y1349" s="107">
        <f>+VLOOKUP(PROVEEDORES[[#This Row],[ID RETENCION]],Retenciones!$A$1:$O$25,2,FALSE)</f>
        <v>0.04</v>
      </c>
      <c r="Z1349" s="116" t="b">
        <f>OR(COUNTIF(PROVEEDORES[[#This Row],[PROVEEDOR]],"*"&amp;'Palabra no opera'!$A$2&amp;"*"))</f>
        <v>1</v>
      </c>
    </row>
    <row r="1350" spans="1:26" ht="22.35" customHeight="1" x14ac:dyDescent="0.3">
      <c r="A1350" s="280" t="str">
        <f>+IF(PROVEEDORES[[#This Row],[FECHA DE PAGO]]=PROVEEDORES[[#This Row],[FECHA DE FACTURACIÓN]],"DE CONTADO","CRÉDITO")</f>
        <v>CRÉDITO</v>
      </c>
      <c r="B1350" s="38" t="b">
        <f>+IF((PROVEEDORES[[#This Row],[FECHA DE PAGO]]-PROVEEDORES[[#This Row],[FECHA DE FACTURACIÓN]])&gt;PROVEEDORES[[#This Row],[PLAZO Días]],"PAGO VENCIDO")</f>
        <v>0</v>
      </c>
      <c r="C1350" s="20">
        <f>+VLOOKUP(PROVEEDORES[[#This Row],[PROVEEDOR]],TERCEROS_INFO[#All],2,FALSE)</f>
        <v>30</v>
      </c>
      <c r="D1350" s="25">
        <f>+SUMIFS(PROVEEDORES[Total],PROVEEDORES[PROVEEDOR],PROVEEDORES[[#This Row],[PROVEEDOR]],PROVEEDORES[FECHA DE PAGO],"")</f>
        <v>0</v>
      </c>
      <c r="E1350" s="25"/>
      <c r="F135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50" s="68">
        <v>45012</v>
      </c>
      <c r="H1350" s="26" t="s">
        <v>623</v>
      </c>
      <c r="I1350" s="68">
        <v>44986</v>
      </c>
      <c r="J1350" s="35" t="s">
        <v>1531</v>
      </c>
      <c r="K1350" s="21">
        <v>933193</v>
      </c>
      <c r="L1350" s="21"/>
      <c r="M1350" s="22">
        <f>(PROVEEDORES[[#This Row],[SUBTOTAL]]-PROVEEDORES[[#This Row],[descuento sobre subtotal]])*VLOOKUP(PROVEEDORES[[#This Row],[PROVEEDOR]],TERCEROS_INFO[#All],3,FALSE)</f>
        <v>177306.67</v>
      </c>
      <c r="N1350" s="23"/>
      <c r="O1350" s="22">
        <f>+PROVEEDORES[[#This Row],[Descuento sobre subtotal %]]*(PROVEEDORES[[#This Row],[SUBTOTAL]]-PROVEEDORES[[#This Row],[descuento sobre subtotal]])</f>
        <v>0</v>
      </c>
      <c r="P1350" s="74">
        <f>+IF(PROVEEDORES[[#This Row],[SUBTOTAL]]&lt;PROVEEDORES[[#This Row],[base retencion]],0,PROVEEDORES[[#This Row],[retención aplicada]])</f>
        <v>0.04</v>
      </c>
      <c r="Q1350" s="22">
        <f>+PROVEEDORES[[#This Row],[Rete Fuente %]]*(PROVEEDORES[[#This Row],[SUBTOTAL]]-PROVEEDORES[[#This Row],[descuento sobre subtotal]])</f>
        <v>37327.72</v>
      </c>
      <c r="R1350" s="21">
        <f>+PROVEEDORES[[#This Row],[SUBTOTAL]]+PROVEEDORES[[#This Row],[IVA 19%]]-PROVEEDORES[[#This Row],[descuento sobre subtotal]]-PROVEEDORES[[#This Row],[Descuento sobre subtotal $2]]-PROVEEDORES[[#This Row],[Rete Fuente $]]</f>
        <v>1073171.95</v>
      </c>
      <c r="S135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63">
        <f ca="1">IF(PROVEEDORES[[#This Row],[FECHA DE PAGO]]=0,TODAY()-PROVEEDORES[[#This Row],[FECHA DE FACTURACIÓN]]-PROVEEDORES[[#This Row],[PLAZO Días]],0)</f>
        <v>0</v>
      </c>
      <c r="U1350" s="104" t="str">
        <f>+VLOOKUP(PROVEEDORES[[#This Row],[PROVEEDOR]],Terceros!$A:$D,4,FALSE)</f>
        <v>4% sin base</v>
      </c>
      <c r="V1350" s="105">
        <f>+YEAR(PROVEEDORES[[#This Row],[FECHA DE FACTURACIÓN]])</f>
        <v>2023</v>
      </c>
      <c r="W1350" s="105">
        <f>+MATCH(PROVEEDORES[[#This Row],[año facturado]],Retenciones!$1:$1,0)</f>
        <v>6</v>
      </c>
      <c r="X1350" s="106">
        <f>+VLOOKUP(PROVEEDORES[[#This Row],[ID RETENCION]],Retenciones!$A$1:$O$25,PROVEEDORES[[#This Row],[indicador de columna]],FALSE)</f>
        <v>0</v>
      </c>
      <c r="Y1350" s="107">
        <f>+VLOOKUP(PROVEEDORES[[#This Row],[ID RETENCION]],Retenciones!$A$1:$O$25,2,FALSE)</f>
        <v>0.04</v>
      </c>
      <c r="Z1350" s="116" t="b">
        <f>OR(COUNTIF(PROVEEDORES[[#This Row],[PROVEEDOR]],"*"&amp;'Palabra no opera'!$A$2&amp;"*"))</f>
        <v>1</v>
      </c>
    </row>
    <row r="1351" spans="1:26" ht="22.35" customHeight="1" x14ac:dyDescent="0.3">
      <c r="A1351" s="280" t="str">
        <f>+IF(PROVEEDORES[[#This Row],[FECHA DE PAGO]]=PROVEEDORES[[#This Row],[FECHA DE FACTURACIÓN]],"DE CONTADO","CRÉDITO")</f>
        <v>CRÉDITO</v>
      </c>
      <c r="B1351" s="38" t="b">
        <f>+IF((PROVEEDORES[[#This Row],[FECHA DE PAGO]]-PROVEEDORES[[#This Row],[FECHA DE FACTURACIÓN]])&gt;PROVEEDORES[[#This Row],[PLAZO Días]],"PAGO VENCIDO")</f>
        <v>0</v>
      </c>
      <c r="C1351" s="20">
        <f>+VLOOKUP(PROVEEDORES[[#This Row],[PROVEEDOR]],TERCEROS_INFO[#All],2,FALSE)</f>
        <v>30</v>
      </c>
      <c r="D1351" s="25">
        <f>+SUMIFS(PROVEEDORES[Total],PROVEEDORES[PROVEEDOR],PROVEEDORES[[#This Row],[PROVEEDOR]],PROVEEDORES[FECHA DE PAGO],"")</f>
        <v>0</v>
      </c>
      <c r="E1351" s="25"/>
      <c r="F1351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51" s="68">
        <v>45012</v>
      </c>
      <c r="H1351" s="26" t="s">
        <v>967</v>
      </c>
      <c r="I1351" s="68">
        <v>44993</v>
      </c>
      <c r="J1351" s="35" t="s">
        <v>1532</v>
      </c>
      <c r="K1351" s="21">
        <v>290000</v>
      </c>
      <c r="L1351" s="21"/>
      <c r="M1351" s="22">
        <f>(PROVEEDORES[[#This Row],[SUBTOTAL]]-PROVEEDORES[[#This Row],[descuento sobre subtotal]])*VLOOKUP(PROVEEDORES[[#This Row],[PROVEEDOR]],TERCEROS_INFO[#All],3,FALSE)</f>
        <v>0</v>
      </c>
      <c r="N1351" s="23"/>
      <c r="O1351" s="22">
        <f>+PROVEEDORES[[#This Row],[Descuento sobre subtotal %]]*(PROVEEDORES[[#This Row],[SUBTOTAL]]-PROVEEDORES[[#This Row],[descuento sobre subtotal]])</f>
        <v>0</v>
      </c>
      <c r="P1351" s="74">
        <f>+IF(PROVEEDORES[[#This Row],[SUBTOTAL]]&lt;PROVEEDORES[[#This Row],[base retencion]],0,PROVEEDORES[[#This Row],[retención aplicada]])</f>
        <v>0.01</v>
      </c>
      <c r="Q1351" s="22">
        <f>+PROVEEDORES[[#This Row],[Rete Fuente %]]*(PROVEEDORES[[#This Row],[SUBTOTAL]]-PROVEEDORES[[#This Row],[descuento sobre subtotal]])</f>
        <v>2900</v>
      </c>
      <c r="R1351" s="21">
        <f>+PROVEEDORES[[#This Row],[SUBTOTAL]]+PROVEEDORES[[#This Row],[IVA 19%]]-PROVEEDORES[[#This Row],[descuento sobre subtotal]]-PROVEEDORES[[#This Row],[Descuento sobre subtotal $2]]-PROVEEDORES[[#This Row],[Rete Fuente $]]</f>
        <v>287100</v>
      </c>
      <c r="S1351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63">
        <f ca="1">IF(PROVEEDORES[[#This Row],[FECHA DE PAGO]]=0,TODAY()-PROVEEDORES[[#This Row],[FECHA DE FACTURACIÓN]]-PROVEEDORES[[#This Row],[PLAZO Días]],0)</f>
        <v>0</v>
      </c>
      <c r="U1351" s="104" t="str">
        <f>+VLOOKUP(PROVEEDORES[[#This Row],[PROVEEDOR]],Terceros!$A:$D,4,FALSE)</f>
        <v>1% con base</v>
      </c>
      <c r="V1351" s="105">
        <f>+YEAR(PROVEEDORES[[#This Row],[FECHA DE FACTURACIÓN]])</f>
        <v>2023</v>
      </c>
      <c r="W1351" s="105">
        <f>+MATCH(PROVEEDORES[[#This Row],[año facturado]],Retenciones!$1:$1,0)</f>
        <v>6</v>
      </c>
      <c r="X1351" s="106">
        <f>+VLOOKUP(PROVEEDORES[[#This Row],[ID RETENCION]],Retenciones!$A$1:$O$25,PROVEEDORES[[#This Row],[indicador de columna]],FALSE)</f>
        <v>170000</v>
      </c>
      <c r="Y1351" s="107">
        <f>+VLOOKUP(PROVEEDORES[[#This Row],[ID RETENCION]],Retenciones!$A$1:$O$25,2,FALSE)</f>
        <v>0.01</v>
      </c>
      <c r="Z1351" s="116" t="b">
        <f>OR(COUNTIF(PROVEEDORES[[#This Row],[PROVEEDOR]],"*"&amp;'Palabra no opera'!$A$2&amp;"*"))</f>
        <v>0</v>
      </c>
    </row>
    <row r="1352" spans="1:26" ht="22.35" customHeight="1" x14ac:dyDescent="0.3">
      <c r="A1352" s="280" t="str">
        <f>+IF(PROVEEDORES[[#This Row],[FECHA DE PAGO]]=PROVEEDORES[[#This Row],[FECHA DE FACTURACIÓN]],"DE CONTADO","CRÉDITO")</f>
        <v>CRÉDITO</v>
      </c>
      <c r="B1352" s="38" t="b">
        <f>+IF((PROVEEDORES[[#This Row],[FECHA DE PAGO]]-PROVEEDORES[[#This Row],[FECHA DE FACTURACIÓN]])&gt;PROVEEDORES[[#This Row],[PLAZO Días]],"PAGO VENCIDO")</f>
        <v>0</v>
      </c>
      <c r="C1352" s="20">
        <f>+VLOOKUP(PROVEEDORES[[#This Row],[PROVEEDOR]],TERCEROS_INFO[#All],2,FALSE)</f>
        <v>30</v>
      </c>
      <c r="D1352" s="25">
        <f>+SUMIFS(PROVEEDORES[Total],PROVEEDORES[PROVEEDOR],PROVEEDORES[[#This Row],[PROVEEDOR]],PROVEEDORES[FECHA DE PAGO],"")</f>
        <v>352505.48</v>
      </c>
      <c r="E1352" s="25"/>
      <c r="F1352" s="56" t="str">
        <f>+VLOOKUP(PROVEEDORES[[#This Row],[PROVEEDOR]],
                       Terceros!$A:$F,
                       5,
                       FALSE)</f>
        <v>facturacion@losmolinos.com.co</v>
      </c>
      <c r="G1352" s="68">
        <v>45012</v>
      </c>
      <c r="H1352" s="26" t="s">
        <v>631</v>
      </c>
      <c r="I1352" s="68">
        <v>44986</v>
      </c>
      <c r="J1352" s="35" t="s">
        <v>1589</v>
      </c>
      <c r="K1352" s="21">
        <v>329981</v>
      </c>
      <c r="L1352" s="21"/>
      <c r="M1352" s="22">
        <f>(PROVEEDORES[[#This Row],[SUBTOTAL]]-PROVEEDORES[[#This Row],[descuento sobre subtotal]])*VLOOKUP(PROVEEDORES[[#This Row],[PROVEEDOR]],TERCEROS_INFO[#All],3,FALSE)</f>
        <v>0</v>
      </c>
      <c r="N1352" s="23"/>
      <c r="O1352" s="22">
        <f>+PROVEEDORES[[#This Row],[Descuento sobre subtotal %]]*(PROVEEDORES[[#This Row],[SUBTOTAL]]-PROVEEDORES[[#This Row],[descuento sobre subtotal]])</f>
        <v>0</v>
      </c>
      <c r="P1352" s="74">
        <f>+IF(PROVEEDORES[[#This Row],[SUBTOTAL]]&lt;PROVEEDORES[[#This Row],[base retencion]],0,PROVEEDORES[[#This Row],[retención aplicada]])</f>
        <v>0</v>
      </c>
      <c r="Q1352" s="22">
        <f>+PROVEEDORES[[#This Row],[Rete Fuente %]]*(PROVEEDORES[[#This Row],[SUBTOTAL]]-PROVEEDORES[[#This Row],[descuento sobre subtotal]])</f>
        <v>0</v>
      </c>
      <c r="R1352" s="21">
        <f>+PROVEEDORES[[#This Row],[SUBTOTAL]]+PROVEEDORES[[#This Row],[IVA 19%]]-PROVEEDORES[[#This Row],[descuento sobre subtotal]]-PROVEEDORES[[#This Row],[Descuento sobre subtotal $2]]-PROVEEDORES[[#This Row],[Rete Fuente $]]</f>
        <v>329981</v>
      </c>
      <c r="S135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63">
        <f ca="1">IF(PROVEEDORES[[#This Row],[FECHA DE PAGO]]=0,TODAY()-PROVEEDORES[[#This Row],[FECHA DE FACTURACIÓN]]-PROVEEDORES[[#This Row],[PLAZO Días]],0)</f>
        <v>0</v>
      </c>
      <c r="U1352" s="104">
        <f>+VLOOKUP(PROVEEDORES[[#This Row],[PROVEEDOR]],Terceros!$A:$D,4,FALSE)</f>
        <v>0</v>
      </c>
      <c r="V1352" s="105">
        <f>+YEAR(PROVEEDORES[[#This Row],[FECHA DE FACTURACIÓN]])</f>
        <v>2023</v>
      </c>
      <c r="W1352" s="105">
        <f>+MATCH(PROVEEDORES[[#This Row],[año facturado]],Retenciones!$1:$1,0)</f>
        <v>6</v>
      </c>
      <c r="X1352" s="106">
        <f>+VLOOKUP(PROVEEDORES[[#This Row],[ID RETENCION]],Retenciones!$A$1:$O$25,PROVEEDORES[[#This Row],[indicador de columna]],FALSE)</f>
        <v>0</v>
      </c>
      <c r="Y1352" s="107">
        <f>+VLOOKUP(PROVEEDORES[[#This Row],[ID RETENCION]],Retenciones!$A$1:$O$25,2,FALSE)</f>
        <v>0</v>
      </c>
      <c r="Z1352" s="116" t="b">
        <f>OR(COUNTIF(PROVEEDORES[[#This Row],[PROVEEDOR]],"*"&amp;'Palabra no opera'!$A$2&amp;"*"))</f>
        <v>1</v>
      </c>
    </row>
    <row r="1353" spans="1:26" ht="22.35" customHeight="1" x14ac:dyDescent="0.3">
      <c r="A1353" s="280" t="str">
        <f>+IF(PROVEEDORES[[#This Row],[FECHA DE PAGO]]=PROVEEDORES[[#This Row],[FECHA DE FACTURACIÓN]],"DE CONTADO","CRÉDITO")</f>
        <v>CRÉDITO</v>
      </c>
      <c r="B1353" s="38" t="b">
        <f>+IF((PROVEEDORES[[#This Row],[FECHA DE PAGO]]-PROVEEDORES[[#This Row],[FECHA DE FACTURACIÓN]])&gt;PROVEEDORES[[#This Row],[PLAZO Días]],"PAGO VENCIDO")</f>
        <v>0</v>
      </c>
      <c r="C1353" s="20">
        <f>+VLOOKUP(PROVEEDORES[[#This Row],[PROVEEDOR]],TERCEROS_INFO[#All],2,FALSE)</f>
        <v>30</v>
      </c>
      <c r="D1353" s="25">
        <f>+SUMIFS(PROVEEDORES[Total],PROVEEDORES[PROVEEDOR],PROVEEDORES[[#This Row],[PROVEEDOR]],PROVEEDORES[FECHA DE PAGO],"")</f>
        <v>0</v>
      </c>
      <c r="E1353" s="25"/>
      <c r="F1353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353" s="68">
        <v>45012</v>
      </c>
      <c r="H1353" s="26" t="s">
        <v>651</v>
      </c>
      <c r="I1353" s="68">
        <v>44986</v>
      </c>
      <c r="J1353" s="35" t="s">
        <v>1523</v>
      </c>
      <c r="K1353" s="21">
        <v>243611</v>
      </c>
      <c r="L1353" s="21"/>
      <c r="M1353" s="22">
        <f>(PROVEEDORES[[#This Row],[SUBTOTAL]]-PROVEEDORES[[#This Row],[descuento sobre subtotal]])*VLOOKUP(PROVEEDORES[[#This Row],[PROVEEDOR]],TERCEROS_INFO[#All],3,FALSE)</f>
        <v>46286.090000000004</v>
      </c>
      <c r="N1353" s="23"/>
      <c r="O1353" s="22">
        <f>+PROVEEDORES[[#This Row],[Descuento sobre subtotal %]]*(PROVEEDORES[[#This Row],[SUBTOTAL]]-PROVEEDORES[[#This Row],[descuento sobre subtotal]])</f>
        <v>0</v>
      </c>
      <c r="P1353" s="74">
        <f>+IF(PROVEEDORES[[#This Row],[SUBTOTAL]]&lt;PROVEEDORES[[#This Row],[base retencion]],0,PROVEEDORES[[#This Row],[retención aplicada]])</f>
        <v>3.5000000000000003E-2</v>
      </c>
      <c r="Q1353" s="22">
        <f>+PROVEEDORES[[#This Row],[Rete Fuente %]]*(PROVEEDORES[[#This Row],[SUBTOTAL]]-PROVEEDORES[[#This Row],[descuento sobre subtotal]])</f>
        <v>8526.3850000000002</v>
      </c>
      <c r="R1353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35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63">
        <f ca="1">IF(PROVEEDORES[[#This Row],[FECHA DE PAGO]]=0,TODAY()-PROVEEDORES[[#This Row],[FECHA DE FACTURACIÓN]]-PROVEEDORES[[#This Row],[PLAZO Días]],0)</f>
        <v>0</v>
      </c>
      <c r="U1353" s="104" t="str">
        <f>+VLOOKUP(PROVEEDORES[[#This Row],[PROVEEDOR]],Terceros!$A:$D,4,FALSE)</f>
        <v>3,5% sin base</v>
      </c>
      <c r="V1353" s="105">
        <f>+YEAR(PROVEEDORES[[#This Row],[FECHA DE FACTURACIÓN]])</f>
        <v>2023</v>
      </c>
      <c r="W1353" s="105">
        <f>+MATCH(PROVEEDORES[[#This Row],[año facturado]],Retenciones!$1:$1,0)</f>
        <v>6</v>
      </c>
      <c r="X1353" s="106">
        <f>+VLOOKUP(PROVEEDORES[[#This Row],[ID RETENCION]],Retenciones!$A$1:$O$25,PROVEEDORES[[#This Row],[indicador de columna]],FALSE)</f>
        <v>0</v>
      </c>
      <c r="Y1353" s="107">
        <f>+VLOOKUP(PROVEEDORES[[#This Row],[ID RETENCION]],Retenciones!$A$1:$O$25,2,FALSE)</f>
        <v>3.5000000000000003E-2</v>
      </c>
      <c r="Z1353" s="116" t="b">
        <f>OR(COUNTIF(PROVEEDORES[[#This Row],[PROVEEDOR]],"*"&amp;'Palabra no opera'!$A$2&amp;"*"))</f>
        <v>1</v>
      </c>
    </row>
    <row r="1354" spans="1:26" ht="22.35" customHeight="1" x14ac:dyDescent="0.3">
      <c r="A1354" s="280" t="str">
        <f>+IF(PROVEEDORES[[#This Row],[FECHA DE PAGO]]=PROVEEDORES[[#This Row],[FECHA DE FACTURACIÓN]],"DE CONTADO","CRÉDITO")</f>
        <v>CRÉDITO</v>
      </c>
      <c r="B1354" s="38" t="b">
        <f>+IF((PROVEEDORES[[#This Row],[FECHA DE PAGO]]-PROVEEDORES[[#This Row],[FECHA DE FACTURACIÓN]])&gt;PROVEEDORES[[#This Row],[PLAZO Días]],"PAGO VENCIDO")</f>
        <v>0</v>
      </c>
      <c r="C1354" s="20">
        <f>+VLOOKUP(PROVEEDORES[[#This Row],[PROVEEDOR]],TERCEROS_INFO[#All],2,FALSE)</f>
        <v>30</v>
      </c>
      <c r="D1354" s="25">
        <f>+SUMIFS(PROVEEDORES[Total],PROVEEDORES[PROVEEDOR],PROVEEDORES[[#This Row],[PROVEEDOR]],PROVEEDORES[FECHA DE PAGO],"")</f>
        <v>0</v>
      </c>
      <c r="E1354" s="25"/>
      <c r="F1354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354" s="68">
        <v>45012</v>
      </c>
      <c r="H1354" s="26" t="s">
        <v>1069</v>
      </c>
      <c r="I1354" s="68">
        <v>45008</v>
      </c>
      <c r="J1354" s="35" t="s">
        <v>1533</v>
      </c>
      <c r="K1354" s="21">
        <v>16180800</v>
      </c>
      <c r="L1354" s="21"/>
      <c r="M1354" s="22">
        <f>(PROVEEDORES[[#This Row],[SUBTOTAL]]-PROVEEDORES[[#This Row],[descuento sobre subtotal]])*VLOOKUP(PROVEEDORES[[#This Row],[PROVEEDOR]],TERCEROS_INFO[#All],3,FALSE)</f>
        <v>3074352</v>
      </c>
      <c r="N1354" s="23"/>
      <c r="O1354" s="22">
        <f>+PROVEEDORES[[#This Row],[Descuento sobre subtotal %]]*(PROVEEDORES[[#This Row],[SUBTOTAL]]-PROVEEDORES[[#This Row],[descuento sobre subtotal]])</f>
        <v>0</v>
      </c>
      <c r="P1354" s="74">
        <f>+IF(PROVEEDORES[[#This Row],[SUBTOTAL]]&lt;PROVEEDORES[[#This Row],[base retencion]],0,PROVEEDORES[[#This Row],[retención aplicada]])</f>
        <v>2.5000000000000001E-2</v>
      </c>
      <c r="Q1354" s="22">
        <f>+PROVEEDORES[[#This Row],[Rete Fuente %]]*(PROVEEDORES[[#This Row],[SUBTOTAL]]-PROVEEDORES[[#This Row],[descuento sobre subtotal]])</f>
        <v>404520</v>
      </c>
      <c r="R1354" s="21">
        <f>+PROVEEDORES[[#This Row],[SUBTOTAL]]+PROVEEDORES[[#This Row],[IVA 19%]]-PROVEEDORES[[#This Row],[descuento sobre subtotal]]-PROVEEDORES[[#This Row],[Descuento sobre subtotal $2]]-PROVEEDORES[[#This Row],[Rete Fuente $]]</f>
        <v>18850632</v>
      </c>
      <c r="S135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63">
        <f ca="1">IF(PROVEEDORES[[#This Row],[FECHA DE PAGO]]=0,TODAY()-PROVEEDORES[[#This Row],[FECHA DE FACTURACIÓN]]-PROVEEDORES[[#This Row],[PLAZO Días]],0)</f>
        <v>0</v>
      </c>
      <c r="U1354" s="104" t="str">
        <f>+VLOOKUP(PROVEEDORES[[#This Row],[PROVEEDOR]],Terceros!$A:$D,4,FALSE)</f>
        <v>2,5% con base</v>
      </c>
      <c r="V1354" s="105">
        <f>+YEAR(PROVEEDORES[[#This Row],[FECHA DE FACTURACIÓN]])</f>
        <v>2023</v>
      </c>
      <c r="W1354" s="105">
        <f>+MATCH(PROVEEDORES[[#This Row],[año facturado]],Retenciones!$1:$1,0)</f>
        <v>6</v>
      </c>
      <c r="X1354" s="106">
        <f>+VLOOKUP(PROVEEDORES[[#This Row],[ID RETENCION]],Retenciones!$A$1:$O$25,PROVEEDORES[[#This Row],[indicador de columna]],FALSE)</f>
        <v>1145000</v>
      </c>
      <c r="Y1354" s="107">
        <f>+VLOOKUP(PROVEEDORES[[#This Row],[ID RETENCION]],Retenciones!$A$1:$O$25,2,FALSE)</f>
        <v>2.5000000000000001E-2</v>
      </c>
      <c r="Z1354" s="116" t="b">
        <f>OR(COUNTIF(PROVEEDORES[[#This Row],[PROVEEDOR]],"*"&amp;'Palabra no opera'!$A$2&amp;"*"))</f>
        <v>0</v>
      </c>
    </row>
    <row r="1355" spans="1:26" ht="22.35" customHeight="1" x14ac:dyDescent="0.3">
      <c r="A1355" s="280" t="str">
        <f>+IF(PROVEEDORES[[#This Row],[FECHA DE PAGO]]=PROVEEDORES[[#This Row],[FECHA DE FACTURACIÓN]],"DE CONTADO","CRÉDITO")</f>
        <v>CRÉDITO</v>
      </c>
      <c r="B1355" s="38" t="b">
        <f>+IF((PROVEEDORES[[#This Row],[FECHA DE PAGO]]-PROVEEDORES[[#This Row],[FECHA DE FACTURACIÓN]])&gt;PROVEEDORES[[#This Row],[PLAZO Días]],"PAGO VENCIDO")</f>
        <v>0</v>
      </c>
      <c r="C1355" s="20">
        <f>+VLOOKUP(PROVEEDORES[[#This Row],[PROVEEDOR]],TERCEROS_INFO[#All],2,FALSE)</f>
        <v>30</v>
      </c>
      <c r="D1355" s="25">
        <f>+SUMIFS(PROVEEDORES[Total],PROVEEDORES[PROVEEDOR],PROVEEDORES[[#This Row],[PROVEEDOR]],PROVEEDORES[FECHA DE PAGO],"")</f>
        <v>0</v>
      </c>
      <c r="E1355" s="25"/>
      <c r="F135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55" s="68">
        <v>45014</v>
      </c>
      <c r="H1355" s="26" t="s">
        <v>623</v>
      </c>
      <c r="I1355" s="68">
        <v>44986</v>
      </c>
      <c r="J1355" s="35" t="s">
        <v>1535</v>
      </c>
      <c r="K1355" s="21">
        <v>3294426</v>
      </c>
      <c r="L1355" s="21"/>
      <c r="M1355" s="22">
        <f>(PROVEEDORES[[#This Row],[SUBTOTAL]]-PROVEEDORES[[#This Row],[descuento sobre subtotal]])*VLOOKUP(PROVEEDORES[[#This Row],[PROVEEDOR]],TERCEROS_INFO[#All],3,FALSE)</f>
        <v>625940.94000000006</v>
      </c>
      <c r="N1355" s="23"/>
      <c r="O1355" s="22">
        <f>+PROVEEDORES[[#This Row],[Descuento sobre subtotal %]]*(PROVEEDORES[[#This Row],[SUBTOTAL]]-PROVEEDORES[[#This Row],[descuento sobre subtotal]])</f>
        <v>0</v>
      </c>
      <c r="P1355" s="74">
        <v>0</v>
      </c>
      <c r="Q1355" s="22">
        <f>+PROVEEDORES[[#This Row],[Rete Fuente %]]*(PROVEEDORES[[#This Row],[SUBTOTAL]]-PROVEEDORES[[#This Row],[descuento sobre subtotal]])</f>
        <v>0</v>
      </c>
      <c r="R1355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35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5" s="63">
        <f ca="1">IF(PROVEEDORES[[#This Row],[FECHA DE PAGO]]=0,TODAY()-PROVEEDORES[[#This Row],[FECHA DE FACTURACIÓN]]-PROVEEDORES[[#This Row],[PLAZO Días]],0)</f>
        <v>0</v>
      </c>
      <c r="U1355" s="104" t="str">
        <f>+VLOOKUP(PROVEEDORES[[#This Row],[PROVEEDOR]],Terceros!$A:$D,4,FALSE)</f>
        <v>4% sin base</v>
      </c>
      <c r="V1355" s="105">
        <f>+YEAR(PROVEEDORES[[#This Row],[FECHA DE FACTURACIÓN]])</f>
        <v>2023</v>
      </c>
      <c r="W1355" s="105">
        <f>+MATCH(PROVEEDORES[[#This Row],[año facturado]],Retenciones!$1:$1,0)</f>
        <v>6</v>
      </c>
      <c r="X1355" s="106">
        <f>+VLOOKUP(PROVEEDORES[[#This Row],[ID RETENCION]],Retenciones!$A$1:$O$25,PROVEEDORES[[#This Row],[indicador de columna]],FALSE)</f>
        <v>0</v>
      </c>
      <c r="Y1355" s="107">
        <f>+VLOOKUP(PROVEEDORES[[#This Row],[ID RETENCION]],Retenciones!$A$1:$O$25,2,FALSE)</f>
        <v>0.04</v>
      </c>
      <c r="Z1355" s="116" t="b">
        <f>OR(COUNTIF(PROVEEDORES[[#This Row],[PROVEEDOR]],"*"&amp;'Palabra no opera'!$A$2&amp;"*"))</f>
        <v>1</v>
      </c>
    </row>
    <row r="1356" spans="1:26" ht="22.35" customHeight="1" x14ac:dyDescent="0.3">
      <c r="A1356" s="280" t="str">
        <f>+IF(PROVEEDORES[[#This Row],[FECHA DE PAGO]]=PROVEEDORES[[#This Row],[FECHA DE FACTURACIÓN]],"DE CONTADO","CRÉDITO")</f>
        <v>CRÉDITO</v>
      </c>
      <c r="B1356" s="38" t="b">
        <f>+IF((PROVEEDORES[[#This Row],[FECHA DE PAGO]]-PROVEEDORES[[#This Row],[FECHA DE FACTURACIÓN]])&gt;PROVEEDORES[[#This Row],[PLAZO Días]],"PAGO VENCIDO")</f>
        <v>0</v>
      </c>
      <c r="C1356" s="20">
        <f>+VLOOKUP(PROVEEDORES[[#This Row],[PROVEEDOR]],TERCEROS_INFO[#All],2,FALSE)</f>
        <v>30</v>
      </c>
      <c r="D1356" s="25">
        <f>+SUMIFS(PROVEEDORES[Total],PROVEEDORES[PROVEEDOR],PROVEEDORES[[#This Row],[PROVEEDOR]],PROVEEDORES[FECHA DE PAGO],"")</f>
        <v>0</v>
      </c>
      <c r="E1356" s="25"/>
      <c r="F1356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56" s="68">
        <v>45014</v>
      </c>
      <c r="H1356" s="26" t="s">
        <v>628</v>
      </c>
      <c r="I1356" s="68">
        <v>44988</v>
      </c>
      <c r="J1356" s="35" t="s">
        <v>1534</v>
      </c>
      <c r="K1356" s="21">
        <v>1840056</v>
      </c>
      <c r="L1356" s="21"/>
      <c r="M1356" s="22">
        <f>(PROVEEDORES[[#This Row],[SUBTOTAL]]-PROVEEDORES[[#This Row],[descuento sobre subtotal]])*VLOOKUP(PROVEEDORES[[#This Row],[PROVEEDOR]],TERCEROS_INFO[#All],3,FALSE)</f>
        <v>0</v>
      </c>
      <c r="N1356" s="23"/>
      <c r="O1356" s="22">
        <f>+PROVEEDORES[[#This Row],[Descuento sobre subtotal %]]*(PROVEEDORES[[#This Row],[SUBTOTAL]]-PROVEEDORES[[#This Row],[descuento sobre subtotal]])</f>
        <v>0</v>
      </c>
      <c r="P1356" s="74">
        <f>+IF(PROVEEDORES[[#This Row],[SUBTOTAL]]&lt;PROVEEDORES[[#This Row],[base retencion]],0,PROVEEDORES[[#This Row],[retención aplicada]])</f>
        <v>0</v>
      </c>
      <c r="Q1356" s="22">
        <f>+PROVEEDORES[[#This Row],[Rete Fuente %]]*(PROVEEDORES[[#This Row],[SUBTOTAL]]-PROVEEDORES[[#This Row],[descuento sobre subtotal]])</f>
        <v>0</v>
      </c>
      <c r="R1356" s="21">
        <f>+PROVEEDORES[[#This Row],[SUBTOTAL]]+PROVEEDORES[[#This Row],[IVA 19%]]-PROVEEDORES[[#This Row],[descuento sobre subtotal]]-PROVEEDORES[[#This Row],[Descuento sobre subtotal $2]]-PROVEEDORES[[#This Row],[Rete Fuente $]]</f>
        <v>1840056</v>
      </c>
      <c r="S1356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6" s="63">
        <f ca="1">IF(PROVEEDORES[[#This Row],[FECHA DE PAGO]]=0,TODAY()-PROVEEDORES[[#This Row],[FECHA DE FACTURACIÓN]]-PROVEEDORES[[#This Row],[PLAZO Días]],0)</f>
        <v>0</v>
      </c>
      <c r="U1356" s="104">
        <f>+VLOOKUP(PROVEEDORES[[#This Row],[PROVEEDOR]],Terceros!$A:$D,4,FALSE)</f>
        <v>0</v>
      </c>
      <c r="V1356" s="105">
        <f>+YEAR(PROVEEDORES[[#This Row],[FECHA DE FACTURACIÓN]])</f>
        <v>2023</v>
      </c>
      <c r="W1356" s="105">
        <f>+MATCH(PROVEEDORES[[#This Row],[año facturado]],Retenciones!$1:$1,0)</f>
        <v>6</v>
      </c>
      <c r="X1356" s="106">
        <f>+VLOOKUP(PROVEEDORES[[#This Row],[ID RETENCION]],Retenciones!$A$1:$O$25,PROVEEDORES[[#This Row],[indicador de columna]],FALSE)</f>
        <v>0</v>
      </c>
      <c r="Y1356" s="107">
        <f>+VLOOKUP(PROVEEDORES[[#This Row],[ID RETENCION]],Retenciones!$A$1:$O$25,2,FALSE)</f>
        <v>0</v>
      </c>
      <c r="Z1356" s="116" t="b">
        <f>OR(COUNTIF(PROVEEDORES[[#This Row],[PROVEEDOR]],"*"&amp;'Palabra no opera'!$A$2&amp;"*"))</f>
        <v>1</v>
      </c>
    </row>
    <row r="1357" spans="1:26" ht="22.35" customHeight="1" x14ac:dyDescent="0.3">
      <c r="A1357" s="280" t="str">
        <f>+IF(PROVEEDORES[[#This Row],[FECHA DE PAGO]]=PROVEEDORES[[#This Row],[FECHA DE FACTURACIÓN]],"DE CONTADO","CRÉDITO")</f>
        <v>CRÉDITO</v>
      </c>
      <c r="B1357" s="38" t="b">
        <f>+IF((PROVEEDORES[[#This Row],[FECHA DE PAGO]]-PROVEEDORES[[#This Row],[FECHA DE FACTURACIÓN]])&gt;PROVEEDORES[[#This Row],[PLAZO Días]],"PAGO VENCIDO")</f>
        <v>0</v>
      </c>
      <c r="C1357" s="20">
        <f>+VLOOKUP(PROVEEDORES[[#This Row],[PROVEEDOR]],TERCEROS_INFO[#All],2,FALSE)</f>
        <v>30</v>
      </c>
      <c r="D1357" s="25">
        <f>+SUMIFS(PROVEEDORES[Total],PROVEEDORES[PROVEEDOR],PROVEEDORES[[#This Row],[PROVEEDOR]],PROVEEDORES[FECHA DE PAGO],"")</f>
        <v>0</v>
      </c>
      <c r="E1357" s="25"/>
      <c r="F1357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57" s="68">
        <v>45014</v>
      </c>
      <c r="H1357" s="26" t="s">
        <v>637</v>
      </c>
      <c r="I1357" s="68">
        <v>44986</v>
      </c>
      <c r="J1357" s="35" t="s">
        <v>1524</v>
      </c>
      <c r="K1357" s="21">
        <v>59583</v>
      </c>
      <c r="L1357" s="21"/>
      <c r="M1357" s="22">
        <f>(PROVEEDORES[[#This Row],[SUBTOTAL]]-PROVEEDORES[[#This Row],[descuento sobre subtotal]])*VLOOKUP(PROVEEDORES[[#This Row],[PROVEEDOR]],TERCEROS_INFO[#All],3,FALSE)</f>
        <v>0</v>
      </c>
      <c r="N1357" s="23"/>
      <c r="O1357" s="22">
        <f>+PROVEEDORES[[#This Row],[Descuento sobre subtotal %]]*(PROVEEDORES[[#This Row],[SUBTOTAL]]-PROVEEDORES[[#This Row],[descuento sobre subtotal]])</f>
        <v>0</v>
      </c>
      <c r="P1357" s="74">
        <f>+IF(PROVEEDORES[[#This Row],[SUBTOTAL]]&lt;PROVEEDORES[[#This Row],[base retencion]],0,PROVEEDORES[[#This Row],[retención aplicada]])</f>
        <v>0</v>
      </c>
      <c r="Q1357" s="22">
        <f>+PROVEEDORES[[#This Row],[Rete Fuente %]]*(PROVEEDORES[[#This Row],[SUBTOTAL]]-PROVEEDORES[[#This Row],[descuento sobre subtotal]])</f>
        <v>0</v>
      </c>
      <c r="R1357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357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63">
        <f ca="1">IF(PROVEEDORES[[#This Row],[FECHA DE PAGO]]=0,TODAY()-PROVEEDORES[[#This Row],[FECHA DE FACTURACIÓN]]-PROVEEDORES[[#This Row],[PLAZO Días]],0)</f>
        <v>0</v>
      </c>
      <c r="U1357" s="104">
        <f>+VLOOKUP(PROVEEDORES[[#This Row],[PROVEEDOR]],Terceros!$A:$D,4,FALSE)</f>
        <v>0</v>
      </c>
      <c r="V1357" s="105">
        <f>+YEAR(PROVEEDORES[[#This Row],[FECHA DE FACTURACIÓN]])</f>
        <v>2023</v>
      </c>
      <c r="W1357" s="105">
        <f>+MATCH(PROVEEDORES[[#This Row],[año facturado]],Retenciones!$1:$1,0)</f>
        <v>6</v>
      </c>
      <c r="X1357" s="106">
        <f>+VLOOKUP(PROVEEDORES[[#This Row],[ID RETENCION]],Retenciones!$A$1:$O$25,PROVEEDORES[[#This Row],[indicador de columna]],FALSE)</f>
        <v>0</v>
      </c>
      <c r="Y1357" s="107">
        <f>+VLOOKUP(PROVEEDORES[[#This Row],[ID RETENCION]],Retenciones!$A$1:$O$25,2,FALSE)</f>
        <v>0</v>
      </c>
      <c r="Z1357" s="116" t="b">
        <f>OR(COUNTIF(PROVEEDORES[[#This Row],[PROVEEDOR]],"*"&amp;'Palabra no opera'!$A$2&amp;"*"))</f>
        <v>1</v>
      </c>
    </row>
    <row r="1358" spans="1:26" ht="22.35" customHeight="1" x14ac:dyDescent="0.3">
      <c r="A1358" s="280" t="str">
        <f>+IF(PROVEEDORES[[#This Row],[FECHA DE PAGO]]=PROVEEDORES[[#This Row],[FECHA DE FACTURACIÓN]],"DE CONTADO","CRÉDITO")</f>
        <v>CRÉDITO</v>
      </c>
      <c r="B1358" s="38" t="b">
        <f>+IF((PROVEEDORES[[#This Row],[FECHA DE PAGO]]-PROVEEDORES[[#This Row],[FECHA DE FACTURACIÓN]])&gt;PROVEEDORES[[#This Row],[PLAZO Días]],"PAGO VENCIDO")</f>
        <v>0</v>
      </c>
      <c r="C1358" s="20">
        <f>+VLOOKUP(PROVEEDORES[[#This Row],[PROVEEDOR]],TERCEROS_INFO[#All],2,FALSE)</f>
        <v>30</v>
      </c>
      <c r="D1358" s="25">
        <f>+SUMIFS(PROVEEDORES[Total],PROVEEDORES[PROVEEDOR],PROVEEDORES[[#This Row],[PROVEEDOR]],PROVEEDORES[FECHA DE PAGO],"")</f>
        <v>0</v>
      </c>
      <c r="E1358" s="25"/>
      <c r="F1358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58" s="68">
        <v>45014</v>
      </c>
      <c r="H1358" s="26" t="s">
        <v>637</v>
      </c>
      <c r="I1358" s="68">
        <v>44986</v>
      </c>
      <c r="J1358" s="35" t="s">
        <v>1525</v>
      </c>
      <c r="K1358" s="21">
        <v>928304</v>
      </c>
      <c r="L1358" s="21"/>
      <c r="M1358" s="22">
        <f>(PROVEEDORES[[#This Row],[SUBTOTAL]]-PROVEEDORES[[#This Row],[descuento sobre subtotal]])*VLOOKUP(PROVEEDORES[[#This Row],[PROVEEDOR]],TERCEROS_INFO[#All],3,FALSE)</f>
        <v>0</v>
      </c>
      <c r="N1358" s="23"/>
      <c r="O1358" s="22">
        <f>+PROVEEDORES[[#This Row],[Descuento sobre subtotal %]]*(PROVEEDORES[[#This Row],[SUBTOTAL]]-PROVEEDORES[[#This Row],[descuento sobre subtotal]])</f>
        <v>0</v>
      </c>
      <c r="P1358" s="74">
        <f>+IF(PROVEEDORES[[#This Row],[SUBTOTAL]]&lt;PROVEEDORES[[#This Row],[base retencion]],0,PROVEEDORES[[#This Row],[retención aplicada]])</f>
        <v>0</v>
      </c>
      <c r="Q1358" s="22">
        <f>+PROVEEDORES[[#This Row],[Rete Fuente %]]*(PROVEEDORES[[#This Row],[SUBTOTAL]]-PROVEEDORES[[#This Row],[descuento sobre subtotal]])</f>
        <v>0</v>
      </c>
      <c r="R1358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135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8" s="63">
        <f ca="1">IF(PROVEEDORES[[#This Row],[FECHA DE PAGO]]=0,TODAY()-PROVEEDORES[[#This Row],[FECHA DE FACTURACIÓN]]-PROVEEDORES[[#This Row],[PLAZO Días]],0)</f>
        <v>0</v>
      </c>
      <c r="U1358" s="104">
        <f>+VLOOKUP(PROVEEDORES[[#This Row],[PROVEEDOR]],Terceros!$A:$D,4,FALSE)</f>
        <v>0</v>
      </c>
      <c r="V1358" s="105">
        <f>+YEAR(PROVEEDORES[[#This Row],[FECHA DE FACTURACIÓN]])</f>
        <v>2023</v>
      </c>
      <c r="W1358" s="105">
        <f>+MATCH(PROVEEDORES[[#This Row],[año facturado]],Retenciones!$1:$1,0)</f>
        <v>6</v>
      </c>
      <c r="X1358" s="106">
        <f>+VLOOKUP(PROVEEDORES[[#This Row],[ID RETENCION]],Retenciones!$A$1:$O$25,PROVEEDORES[[#This Row],[indicador de columna]],FALSE)</f>
        <v>0</v>
      </c>
      <c r="Y1358" s="107">
        <f>+VLOOKUP(PROVEEDORES[[#This Row],[ID RETENCION]],Retenciones!$A$1:$O$25,2,FALSE)</f>
        <v>0</v>
      </c>
      <c r="Z1358" s="116" t="b">
        <f>OR(COUNTIF(PROVEEDORES[[#This Row],[PROVEEDOR]],"*"&amp;'Palabra no opera'!$A$2&amp;"*"))</f>
        <v>1</v>
      </c>
    </row>
    <row r="1359" spans="1:26" ht="22.35" customHeight="1" x14ac:dyDescent="0.3">
      <c r="A1359" s="280" t="str">
        <f>+IF(PROVEEDORES[[#This Row],[FECHA DE PAGO]]=PROVEEDORES[[#This Row],[FECHA DE FACTURACIÓN]],"DE CONTADO","CRÉDITO")</f>
        <v>CRÉDITO</v>
      </c>
      <c r="B1359" s="38" t="b">
        <f>+IF((PROVEEDORES[[#This Row],[FECHA DE PAGO]]-PROVEEDORES[[#This Row],[FECHA DE FACTURACIÓN]])&gt;PROVEEDORES[[#This Row],[PLAZO Días]],"PAGO VENCIDO")</f>
        <v>0</v>
      </c>
      <c r="C1359" s="20">
        <f>+VLOOKUP(PROVEEDORES[[#This Row],[PROVEEDOR]],TERCEROS_INFO[#All],2,FALSE)</f>
        <v>30</v>
      </c>
      <c r="D1359" s="25">
        <f>+SUMIFS(PROVEEDORES[Total],PROVEEDORES[PROVEEDOR],PROVEEDORES[[#This Row],[PROVEEDOR]],PROVEEDORES[FECHA DE PAGO],"")</f>
        <v>0</v>
      </c>
      <c r="E1359" s="25"/>
      <c r="F135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59" s="68">
        <v>45014</v>
      </c>
      <c r="H1359" s="26" t="s">
        <v>637</v>
      </c>
      <c r="I1359" s="68">
        <v>44986</v>
      </c>
      <c r="J1359" s="35" t="s">
        <v>1526</v>
      </c>
      <c r="K1359" s="21">
        <v>68166</v>
      </c>
      <c r="L1359" s="21"/>
      <c r="M1359" s="22">
        <f>(PROVEEDORES[[#This Row],[SUBTOTAL]]-PROVEEDORES[[#This Row],[descuento sobre subtotal]])*VLOOKUP(PROVEEDORES[[#This Row],[PROVEEDOR]],TERCEROS_INFO[#All],3,FALSE)</f>
        <v>0</v>
      </c>
      <c r="N1359" s="23"/>
      <c r="O1359" s="22">
        <f>+PROVEEDORES[[#This Row],[Descuento sobre subtotal %]]*(PROVEEDORES[[#This Row],[SUBTOTAL]]-PROVEEDORES[[#This Row],[descuento sobre subtotal]])</f>
        <v>0</v>
      </c>
      <c r="P1359" s="74">
        <f>+IF(PROVEEDORES[[#This Row],[SUBTOTAL]]&lt;PROVEEDORES[[#This Row],[base retencion]],0,PROVEEDORES[[#This Row],[retención aplicada]])</f>
        <v>0</v>
      </c>
      <c r="Q1359" s="22">
        <f>+PROVEEDORES[[#This Row],[Rete Fuente %]]*(PROVEEDORES[[#This Row],[SUBTOTAL]]-PROVEEDORES[[#This Row],[descuento sobre subtotal]])</f>
        <v>0</v>
      </c>
      <c r="R1359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35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63">
        <f ca="1">IF(PROVEEDORES[[#This Row],[FECHA DE PAGO]]=0,TODAY()-PROVEEDORES[[#This Row],[FECHA DE FACTURACIÓN]]-PROVEEDORES[[#This Row],[PLAZO Días]],0)</f>
        <v>0</v>
      </c>
      <c r="U1359" s="104">
        <f>+VLOOKUP(PROVEEDORES[[#This Row],[PROVEEDOR]],Terceros!$A:$D,4,FALSE)</f>
        <v>0</v>
      </c>
      <c r="V1359" s="105">
        <f>+YEAR(PROVEEDORES[[#This Row],[FECHA DE FACTURACIÓN]])</f>
        <v>2023</v>
      </c>
      <c r="W1359" s="105">
        <f>+MATCH(PROVEEDORES[[#This Row],[año facturado]],Retenciones!$1:$1,0)</f>
        <v>6</v>
      </c>
      <c r="X1359" s="106">
        <f>+VLOOKUP(PROVEEDORES[[#This Row],[ID RETENCION]],Retenciones!$A$1:$O$25,PROVEEDORES[[#This Row],[indicador de columna]],FALSE)</f>
        <v>0</v>
      </c>
      <c r="Y1359" s="107">
        <f>+VLOOKUP(PROVEEDORES[[#This Row],[ID RETENCION]],Retenciones!$A$1:$O$25,2,FALSE)</f>
        <v>0</v>
      </c>
      <c r="Z1359" s="116" t="b">
        <f>OR(COUNTIF(PROVEEDORES[[#This Row],[PROVEEDOR]],"*"&amp;'Palabra no opera'!$A$2&amp;"*"))</f>
        <v>1</v>
      </c>
    </row>
    <row r="1360" spans="1:26" ht="22.35" customHeight="1" x14ac:dyDescent="0.3">
      <c r="A1360" s="280" t="str">
        <f>+IF(PROVEEDORES[[#This Row],[FECHA DE PAGO]]=PROVEEDORES[[#This Row],[FECHA DE FACTURACIÓN]],"DE CONTADO","CRÉDITO")</f>
        <v>CRÉDITO</v>
      </c>
      <c r="B1360" s="38" t="b">
        <f>+IF((PROVEEDORES[[#This Row],[FECHA DE PAGO]]-PROVEEDORES[[#This Row],[FECHA DE FACTURACIÓN]])&gt;PROVEEDORES[[#This Row],[PLAZO Días]],"PAGO VENCIDO")</f>
        <v>0</v>
      </c>
      <c r="C1360" s="20">
        <f>+VLOOKUP(PROVEEDORES[[#This Row],[PROVEEDOR]],TERCEROS_INFO[#All],2,FALSE)</f>
        <v>30</v>
      </c>
      <c r="D1360" s="25">
        <f>+SUMIFS(PROVEEDORES[Total],PROVEEDORES[PROVEEDOR],PROVEEDORES[[#This Row],[PROVEEDOR]],PROVEEDORES[FECHA DE PAGO],"")</f>
        <v>0</v>
      </c>
      <c r="E1360" s="25"/>
      <c r="F136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60" s="68">
        <v>45014</v>
      </c>
      <c r="H1360" s="26" t="s">
        <v>637</v>
      </c>
      <c r="I1360" s="68">
        <v>44986</v>
      </c>
      <c r="J1360" s="35" t="s">
        <v>1527</v>
      </c>
      <c r="K1360" s="21">
        <v>949891</v>
      </c>
      <c r="L1360" s="21"/>
      <c r="M1360" s="22">
        <f>(PROVEEDORES[[#This Row],[SUBTOTAL]]-PROVEEDORES[[#This Row],[descuento sobre subtotal]])*VLOOKUP(PROVEEDORES[[#This Row],[PROVEEDOR]],TERCEROS_INFO[#All],3,FALSE)</f>
        <v>0</v>
      </c>
      <c r="N1360" s="23"/>
      <c r="O1360" s="22">
        <f>+PROVEEDORES[[#This Row],[Descuento sobre subtotal %]]*(PROVEEDORES[[#This Row],[SUBTOTAL]]-PROVEEDORES[[#This Row],[descuento sobre subtotal]])</f>
        <v>0</v>
      </c>
      <c r="P1360" s="74">
        <f>+IF(PROVEEDORES[[#This Row],[SUBTOTAL]]&lt;PROVEEDORES[[#This Row],[base retencion]],0,PROVEEDORES[[#This Row],[retención aplicada]])</f>
        <v>0</v>
      </c>
      <c r="Q1360" s="22">
        <f>+PROVEEDORES[[#This Row],[Rete Fuente %]]*(PROVEEDORES[[#This Row],[SUBTOTAL]]-PROVEEDORES[[#This Row],[descuento sobre subtotal]])</f>
        <v>0</v>
      </c>
      <c r="R1360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136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63">
        <f ca="1">IF(PROVEEDORES[[#This Row],[FECHA DE PAGO]]=0,TODAY()-PROVEEDORES[[#This Row],[FECHA DE FACTURACIÓN]]-PROVEEDORES[[#This Row],[PLAZO Días]],0)</f>
        <v>0</v>
      </c>
      <c r="U1360" s="104">
        <f>+VLOOKUP(PROVEEDORES[[#This Row],[PROVEEDOR]],Terceros!$A:$D,4,FALSE)</f>
        <v>0</v>
      </c>
      <c r="V1360" s="105">
        <f>+YEAR(PROVEEDORES[[#This Row],[FECHA DE FACTURACIÓN]])</f>
        <v>2023</v>
      </c>
      <c r="W1360" s="105">
        <f>+MATCH(PROVEEDORES[[#This Row],[año facturado]],Retenciones!$1:$1,0)</f>
        <v>6</v>
      </c>
      <c r="X1360" s="106">
        <f>+VLOOKUP(PROVEEDORES[[#This Row],[ID RETENCION]],Retenciones!$A$1:$O$25,PROVEEDORES[[#This Row],[indicador de columna]],FALSE)</f>
        <v>0</v>
      </c>
      <c r="Y1360" s="107">
        <f>+VLOOKUP(PROVEEDORES[[#This Row],[ID RETENCION]],Retenciones!$A$1:$O$25,2,FALSE)</f>
        <v>0</v>
      </c>
      <c r="Z1360" s="116" t="b">
        <f>OR(COUNTIF(PROVEEDORES[[#This Row],[PROVEEDOR]],"*"&amp;'Palabra no opera'!$A$2&amp;"*"))</f>
        <v>1</v>
      </c>
    </row>
    <row r="1361" spans="1:26" ht="22.35" customHeight="1" x14ac:dyDescent="0.3">
      <c r="A1361" s="280" t="str">
        <f>+IF(PROVEEDORES[[#This Row],[FECHA DE PAGO]]=PROVEEDORES[[#This Row],[FECHA DE FACTURACIÓN]],"DE CONTADO","CRÉDITO")</f>
        <v>CRÉDITO</v>
      </c>
      <c r="B1361" s="38" t="b">
        <f>+IF((PROVEEDORES[[#This Row],[FECHA DE PAGO]]-PROVEEDORES[[#This Row],[FECHA DE FACTURACIÓN]])&gt;PROVEEDORES[[#This Row],[PLAZO Días]],"PAGO VENCIDO")</f>
        <v>0</v>
      </c>
      <c r="C1361" s="20">
        <f>+VLOOKUP(PROVEEDORES[[#This Row],[PROVEEDOR]],TERCEROS_INFO[#All],2,FALSE)</f>
        <v>30</v>
      </c>
      <c r="D1361" s="25">
        <f>+SUMIFS(PROVEEDORES[Total],PROVEEDORES[PROVEEDOR],PROVEEDORES[[#This Row],[PROVEEDOR]],PROVEEDORES[FECHA DE PAGO],"")</f>
        <v>0</v>
      </c>
      <c r="E1361" s="25"/>
      <c r="F1361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361" s="68">
        <v>45014</v>
      </c>
      <c r="H1361" s="26" t="s">
        <v>638</v>
      </c>
      <c r="I1361" s="68">
        <v>44986</v>
      </c>
      <c r="J1361" s="35" t="s">
        <v>1537</v>
      </c>
      <c r="K1361" s="21">
        <v>3945038</v>
      </c>
      <c r="L1361" s="21"/>
      <c r="M1361" s="22">
        <v>665000</v>
      </c>
      <c r="N1361" s="23"/>
      <c r="O1361" s="22">
        <f>+PROVEEDORES[[#This Row],[Descuento sobre subtotal %]]*(PROVEEDORES[[#This Row],[SUBTOTAL]]-PROVEEDORES[[#This Row],[descuento sobre subtotal]])</f>
        <v>0</v>
      </c>
      <c r="P1361" s="74">
        <v>0</v>
      </c>
      <c r="Q1361" s="22">
        <f>+PROVEEDORES[[#This Row],[Rete Fuente %]]*(PROVEEDORES[[#This Row],[SUBTOTAL]]-PROVEEDORES[[#This Row],[descuento sobre subtotal]])</f>
        <v>0</v>
      </c>
      <c r="R1361" s="21">
        <f>+PROVEEDORES[[#This Row],[SUBTOTAL]]+PROVEEDORES[[#This Row],[IVA 19%]]-PROVEEDORES[[#This Row],[descuento sobre subtotal]]-PROVEEDORES[[#This Row],[Descuento sobre subtotal $2]]-PROVEEDORES[[#This Row],[Rete Fuente $]]</f>
        <v>4610038</v>
      </c>
      <c r="S1361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1" s="63">
        <f ca="1">IF(PROVEEDORES[[#This Row],[FECHA DE PAGO]]=0,TODAY()-PROVEEDORES[[#This Row],[FECHA DE FACTURACIÓN]]-PROVEEDORES[[#This Row],[PLAZO Días]],0)</f>
        <v>0</v>
      </c>
      <c r="U1361" s="104" t="str">
        <f>+VLOOKUP(PROVEEDORES[[#This Row],[PROVEEDOR]],Terceros!$A:$D,4,FALSE)</f>
        <v>3,5% sin base</v>
      </c>
      <c r="V1361" s="105">
        <f>+YEAR(PROVEEDORES[[#This Row],[FECHA DE FACTURACIÓN]])</f>
        <v>2023</v>
      </c>
      <c r="W1361" s="105">
        <f>+MATCH(PROVEEDORES[[#This Row],[año facturado]],Retenciones!$1:$1,0)</f>
        <v>6</v>
      </c>
      <c r="X1361" s="106">
        <f>+VLOOKUP(PROVEEDORES[[#This Row],[ID RETENCION]],Retenciones!$A$1:$O$25,PROVEEDORES[[#This Row],[indicador de columna]],FALSE)</f>
        <v>0</v>
      </c>
      <c r="Y1361" s="107">
        <f>+VLOOKUP(PROVEEDORES[[#This Row],[ID RETENCION]],Retenciones!$A$1:$O$25,2,FALSE)</f>
        <v>3.5000000000000003E-2</v>
      </c>
      <c r="Z1361" s="116" t="b">
        <f>OR(COUNTIF(PROVEEDORES[[#This Row],[PROVEEDOR]],"*"&amp;'Palabra no opera'!$A$2&amp;"*"))</f>
        <v>1</v>
      </c>
    </row>
    <row r="1362" spans="1:26" ht="22.35" customHeight="1" x14ac:dyDescent="0.3">
      <c r="A1362" s="280" t="str">
        <f>+IF(PROVEEDORES[[#This Row],[FECHA DE PAGO]]=PROVEEDORES[[#This Row],[FECHA DE FACTURACIÓN]],"DE CONTADO","CRÉDITO")</f>
        <v>CRÉDITO</v>
      </c>
      <c r="B1362" s="38" t="b">
        <f>+IF((PROVEEDORES[[#This Row],[FECHA DE PAGO]]-PROVEEDORES[[#This Row],[FECHA DE FACTURACIÓN]])&gt;PROVEEDORES[[#This Row],[PLAZO Días]],"PAGO VENCIDO")</f>
        <v>0</v>
      </c>
      <c r="C1362" s="20">
        <f>+VLOOKUP(PROVEEDORES[[#This Row],[PROVEEDOR]],TERCEROS_INFO[#All],2,FALSE)</f>
        <v>30</v>
      </c>
      <c r="D1362" s="25">
        <f>+SUMIFS(PROVEEDORES[Total],PROVEEDORES[PROVEEDOR],PROVEEDORES[[#This Row],[PROVEEDOR]],PROVEEDORES[FECHA DE PAGO],"")</f>
        <v>0</v>
      </c>
      <c r="E1362" s="25"/>
      <c r="F1362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362" s="68">
        <v>45014</v>
      </c>
      <c r="H1362" s="26" t="s">
        <v>638</v>
      </c>
      <c r="I1362" s="68">
        <v>44986</v>
      </c>
      <c r="J1362" s="35" t="s">
        <v>1538</v>
      </c>
      <c r="K1362" s="21">
        <v>92201</v>
      </c>
      <c r="L1362" s="21"/>
      <c r="M1362" s="22">
        <f>(PROVEEDORES[[#This Row],[SUBTOTAL]]-PROVEEDORES[[#This Row],[descuento sobre subtotal]])*VLOOKUP(PROVEEDORES[[#This Row],[PROVEEDOR]],TERCEROS_INFO[#All],3,FALSE)</f>
        <v>17518.189999999999</v>
      </c>
      <c r="N1362" s="23"/>
      <c r="O1362" s="22">
        <f>+PROVEEDORES[[#This Row],[Descuento sobre subtotal %]]*(PROVEEDORES[[#This Row],[SUBTOTAL]]-PROVEEDORES[[#This Row],[descuento sobre subtotal]])</f>
        <v>0</v>
      </c>
      <c r="P1362" s="74">
        <f>+IF(PROVEEDORES[[#This Row],[SUBTOTAL]]&lt;PROVEEDORES[[#This Row],[base retencion]],0,PROVEEDORES[[#This Row],[retención aplicada]])</f>
        <v>3.5000000000000003E-2</v>
      </c>
      <c r="Q1362" s="22">
        <f>+PROVEEDORES[[#This Row],[Rete Fuente %]]*(PROVEEDORES[[#This Row],[SUBTOTAL]]-PROVEEDORES[[#This Row],[descuento sobre subtotal]])</f>
        <v>3227.0350000000003</v>
      </c>
      <c r="R1362" s="21">
        <f>+PROVEEDORES[[#This Row],[SUBTOTAL]]+PROVEEDORES[[#This Row],[IVA 19%]]-PROVEEDORES[[#This Row],[descuento sobre subtotal]]-PROVEEDORES[[#This Row],[Descuento sobre subtotal $2]]-PROVEEDORES[[#This Row],[Rete Fuente $]]</f>
        <v>106492.155</v>
      </c>
      <c r="S136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63">
        <f ca="1">IF(PROVEEDORES[[#This Row],[FECHA DE PAGO]]=0,TODAY()-PROVEEDORES[[#This Row],[FECHA DE FACTURACIÓN]]-PROVEEDORES[[#This Row],[PLAZO Días]],0)</f>
        <v>0</v>
      </c>
      <c r="U1362" s="104" t="str">
        <f>+VLOOKUP(PROVEEDORES[[#This Row],[PROVEEDOR]],Terceros!$A:$D,4,FALSE)</f>
        <v>3,5% sin base</v>
      </c>
      <c r="V1362" s="105">
        <f>+YEAR(PROVEEDORES[[#This Row],[FECHA DE FACTURACIÓN]])</f>
        <v>2023</v>
      </c>
      <c r="W1362" s="105">
        <f>+MATCH(PROVEEDORES[[#This Row],[año facturado]],Retenciones!$1:$1,0)</f>
        <v>6</v>
      </c>
      <c r="X1362" s="106">
        <f>+VLOOKUP(PROVEEDORES[[#This Row],[ID RETENCION]],Retenciones!$A$1:$O$25,PROVEEDORES[[#This Row],[indicador de columna]],FALSE)</f>
        <v>0</v>
      </c>
      <c r="Y1362" s="107">
        <f>+VLOOKUP(PROVEEDORES[[#This Row],[ID RETENCION]],Retenciones!$A$1:$O$25,2,FALSE)</f>
        <v>3.5000000000000003E-2</v>
      </c>
      <c r="Z1362" s="116" t="b">
        <f>OR(COUNTIF(PROVEEDORES[[#This Row],[PROVEEDOR]],"*"&amp;'Palabra no opera'!$A$2&amp;"*"))</f>
        <v>1</v>
      </c>
    </row>
    <row r="1363" spans="1:26" ht="22.35" customHeight="1" x14ac:dyDescent="0.3">
      <c r="A1363" s="280" t="str">
        <f>+IF(PROVEEDORES[[#This Row],[FECHA DE PAGO]]=PROVEEDORES[[#This Row],[FECHA DE FACTURACIÓN]],"DE CONTADO","CRÉDITO")</f>
        <v>CRÉDITO</v>
      </c>
      <c r="B1363" s="38" t="b">
        <f>+IF((PROVEEDORES[[#This Row],[FECHA DE PAGO]]-PROVEEDORES[[#This Row],[FECHA DE FACTURACIÓN]])&gt;PROVEEDORES[[#This Row],[PLAZO Días]],"PAGO VENCIDO")</f>
        <v>0</v>
      </c>
      <c r="C1363" s="20">
        <f>+VLOOKUP(PROVEEDORES[[#This Row],[PROVEEDOR]],TERCEROS_INFO[#All],2,FALSE)</f>
        <v>30</v>
      </c>
      <c r="D1363" s="25">
        <f>+SUMIFS(PROVEEDORES[Total],PROVEEDORES[PROVEEDOR],PROVEEDORES[[#This Row],[PROVEEDOR]],PROVEEDORES[FECHA DE PAGO],"")</f>
        <v>0</v>
      </c>
      <c r="E1363" s="25"/>
      <c r="F1363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363" s="68">
        <v>45014</v>
      </c>
      <c r="H1363" s="26" t="s">
        <v>638</v>
      </c>
      <c r="I1363" s="68">
        <v>44986</v>
      </c>
      <c r="J1363" s="35" t="s">
        <v>1539</v>
      </c>
      <c r="K1363" s="21">
        <v>-7783</v>
      </c>
      <c r="L1363" s="21"/>
      <c r="M1363" s="22">
        <f>(PROVEEDORES[[#This Row],[SUBTOTAL]]-PROVEEDORES[[#This Row],[descuento sobre subtotal]])*VLOOKUP(PROVEEDORES[[#This Row],[PROVEEDOR]],TERCEROS_INFO[#All],3,FALSE)</f>
        <v>-1478.77</v>
      </c>
      <c r="N1363" s="23"/>
      <c r="O1363" s="22">
        <f>+PROVEEDORES[[#This Row],[Descuento sobre subtotal %]]*(PROVEEDORES[[#This Row],[SUBTOTAL]]-PROVEEDORES[[#This Row],[descuento sobre subtotal]])</f>
        <v>0</v>
      </c>
      <c r="P1363" s="74">
        <f>+IF(PROVEEDORES[[#This Row],[SUBTOTAL]]&lt;PROVEEDORES[[#This Row],[base retencion]],0,PROVEEDORES[[#This Row],[retención aplicada]])</f>
        <v>0</v>
      </c>
      <c r="Q1363" s="22">
        <f>+PROVEEDORES[[#This Row],[Rete Fuente %]]*(PROVEEDORES[[#This Row],[SUBTOTAL]]-PROVEEDORES[[#This Row],[descuento sobre subtotal]])</f>
        <v>0</v>
      </c>
      <c r="R1363" s="21">
        <f>+PROVEEDORES[[#This Row],[SUBTOTAL]]+PROVEEDORES[[#This Row],[IVA 19%]]-PROVEEDORES[[#This Row],[descuento sobre subtotal]]-PROVEEDORES[[#This Row],[Descuento sobre subtotal $2]]-PROVEEDORES[[#This Row],[Rete Fuente $]]</f>
        <v>-9261.77</v>
      </c>
      <c r="S136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63">
        <f ca="1">IF(PROVEEDORES[[#This Row],[FECHA DE PAGO]]=0,TODAY()-PROVEEDORES[[#This Row],[FECHA DE FACTURACIÓN]]-PROVEEDORES[[#This Row],[PLAZO Días]],0)</f>
        <v>0</v>
      </c>
      <c r="U1363" s="104" t="str">
        <f>+VLOOKUP(PROVEEDORES[[#This Row],[PROVEEDOR]],Terceros!$A:$D,4,FALSE)</f>
        <v>3,5% sin base</v>
      </c>
      <c r="V1363" s="105">
        <f>+YEAR(PROVEEDORES[[#This Row],[FECHA DE FACTURACIÓN]])</f>
        <v>2023</v>
      </c>
      <c r="W1363" s="105">
        <f>+MATCH(PROVEEDORES[[#This Row],[año facturado]],Retenciones!$1:$1,0)</f>
        <v>6</v>
      </c>
      <c r="X1363" s="106">
        <f>+VLOOKUP(PROVEEDORES[[#This Row],[ID RETENCION]],Retenciones!$A$1:$O$25,PROVEEDORES[[#This Row],[indicador de columna]],FALSE)</f>
        <v>0</v>
      </c>
      <c r="Y1363" s="107">
        <f>+VLOOKUP(PROVEEDORES[[#This Row],[ID RETENCION]],Retenciones!$A$1:$O$25,2,FALSE)</f>
        <v>3.5000000000000003E-2</v>
      </c>
      <c r="Z1363" s="116" t="b">
        <f>OR(COUNTIF(PROVEEDORES[[#This Row],[PROVEEDOR]],"*"&amp;'Palabra no opera'!$A$2&amp;"*"))</f>
        <v>1</v>
      </c>
    </row>
    <row r="1364" spans="1:26" ht="22.35" customHeight="1" x14ac:dyDescent="0.3">
      <c r="A1364" s="280" t="str">
        <f>+IF(PROVEEDORES[[#This Row],[FECHA DE PAGO]]=PROVEEDORES[[#This Row],[FECHA DE FACTURACIÓN]],"DE CONTADO","CRÉDITO")</f>
        <v>CRÉDITO</v>
      </c>
      <c r="B1364" s="38" t="str">
        <f>+IF((PROVEEDORES[[#This Row],[FECHA DE PAGO]]-PROVEEDORES[[#This Row],[FECHA DE FACTURACIÓN]])&gt;PROVEEDORES[[#This Row],[PLAZO Días]],"PAGO VENCIDO")</f>
        <v>PAGO VENCIDO</v>
      </c>
      <c r="C1364" s="20">
        <f>+VLOOKUP(PROVEEDORES[[#This Row],[PROVEEDOR]],TERCEROS_INFO[#All],2,FALSE)</f>
        <v>10</v>
      </c>
      <c r="D1364" s="25">
        <f>+SUMIFS(PROVEEDORES[Total],PROVEEDORES[PROVEEDOR],PROVEEDORES[[#This Row],[PROVEEDOR]],PROVEEDORES[FECHA DE PAGO],"")</f>
        <v>0</v>
      </c>
      <c r="E1364" s="25"/>
      <c r="F1364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364" s="68">
        <v>45014</v>
      </c>
      <c r="H1364" s="26" t="s">
        <v>1202</v>
      </c>
      <c r="I1364" s="68">
        <v>44986</v>
      </c>
      <c r="J1364" s="35" t="s">
        <v>1536</v>
      </c>
      <c r="K1364" s="21">
        <v>4730000</v>
      </c>
      <c r="L1364" s="21"/>
      <c r="M1364" s="22">
        <v>898700</v>
      </c>
      <c r="N1364" s="23"/>
      <c r="O1364" s="22">
        <f>+PROVEEDORES[[#This Row],[Descuento sobre subtotal %]]*(PROVEEDORES[[#This Row],[SUBTOTAL]]-PROVEEDORES[[#This Row],[descuento sobre subtotal]])</f>
        <v>0</v>
      </c>
      <c r="P1364" s="74">
        <f>+IF(PROVEEDORES[[#This Row],[SUBTOTAL]]&lt;PROVEEDORES[[#This Row],[base retencion]],0,PROVEEDORES[[#This Row],[retención aplicada]])</f>
        <v>0</v>
      </c>
      <c r="Q1364" s="22">
        <f>+PROVEEDORES[[#This Row],[Rete Fuente %]]*(PROVEEDORES[[#This Row],[SUBTOTAL]]-PROVEEDORES[[#This Row],[descuento sobre subtotal]])</f>
        <v>0</v>
      </c>
      <c r="R1364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36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63">
        <f ca="1">IF(PROVEEDORES[[#This Row],[FECHA DE PAGO]]=0,TODAY()-PROVEEDORES[[#This Row],[FECHA DE FACTURACIÓN]]-PROVEEDORES[[#This Row],[PLAZO Días]],0)</f>
        <v>0</v>
      </c>
      <c r="U1364" s="104">
        <f>+VLOOKUP(PROVEEDORES[[#This Row],[PROVEEDOR]],Terceros!$A:$D,4,FALSE)</f>
        <v>0</v>
      </c>
      <c r="V1364" s="105">
        <f>+YEAR(PROVEEDORES[[#This Row],[FECHA DE FACTURACIÓN]])</f>
        <v>2023</v>
      </c>
      <c r="W1364" s="105">
        <f>+MATCH(PROVEEDORES[[#This Row],[año facturado]],Retenciones!$1:$1,0)</f>
        <v>6</v>
      </c>
      <c r="X1364" s="106">
        <f>+VLOOKUP(PROVEEDORES[[#This Row],[ID RETENCION]],Retenciones!$A$1:$O$25,PROVEEDORES[[#This Row],[indicador de columna]],FALSE)</f>
        <v>0</v>
      </c>
      <c r="Y1364" s="107">
        <f>+VLOOKUP(PROVEEDORES[[#This Row],[ID RETENCION]],Retenciones!$A$1:$O$25,2,FALSE)</f>
        <v>0</v>
      </c>
      <c r="Z1364" s="116" t="b">
        <f>OR(COUNTIF(PROVEEDORES[[#This Row],[PROVEEDOR]],"*"&amp;'Palabra no opera'!$A$2&amp;"*"))</f>
        <v>1</v>
      </c>
    </row>
    <row r="1365" spans="1:26" ht="22.35" customHeight="1" x14ac:dyDescent="0.3">
      <c r="A1365" s="283" t="str">
        <f>+IF(PROVEEDORES[[#This Row],[FECHA DE PAGO]]=PROVEEDORES[[#This Row],[FECHA DE FACTURACIÓN]],"DE CONTADO","CRÉDITO")</f>
        <v>DE CONTADO</v>
      </c>
      <c r="B1365" s="38" t="b">
        <f>+IF((PROVEEDORES[[#This Row],[FECHA DE PAGO]]-PROVEEDORES[[#This Row],[FECHA DE FACTURACIÓN]])&gt;PROVEEDORES[[#This Row],[PLAZO Días]],"PAGO VENCIDO")</f>
        <v>0</v>
      </c>
      <c r="C1365" s="20">
        <f>+VLOOKUP(PROVEEDORES[[#This Row],[PROVEEDOR]],TERCEROS_INFO[#All],2,FALSE)</f>
        <v>30</v>
      </c>
      <c r="D1365" s="25">
        <f>+SUMIFS(PROVEEDORES[Total],PROVEEDORES[PROVEEDOR],PROVEEDORES[[#This Row],[PROVEEDOR]],PROVEEDORES[FECHA DE PAGO],"")</f>
        <v>0</v>
      </c>
      <c r="E1365" s="25"/>
      <c r="F1365" s="56" t="str">
        <f>+VLOOKUP(PROVEEDORES[[#This Row],[PROVEEDOR]],
                       Terceros!$A:$F,
                       5,
                       FALSE)</f>
        <v/>
      </c>
      <c r="G1365" s="68">
        <v>45016</v>
      </c>
      <c r="H1365" s="26" t="s">
        <v>1401</v>
      </c>
      <c r="I1365" s="68">
        <v>45016</v>
      </c>
      <c r="J1365" s="35" t="s">
        <v>1177</v>
      </c>
      <c r="K1365" s="21">
        <v>4188400</v>
      </c>
      <c r="L1365" s="21"/>
      <c r="M1365" s="22">
        <f>(PROVEEDORES[[#This Row],[SUBTOTAL]]-PROVEEDORES[[#This Row],[descuento sobre subtotal]])*VLOOKUP(PROVEEDORES[[#This Row],[PROVEEDOR]],TERCEROS_INFO[#All],3,FALSE)</f>
        <v>0</v>
      </c>
      <c r="N1365" s="23"/>
      <c r="O1365" s="22">
        <f>+PROVEEDORES[[#This Row],[Descuento sobre subtotal %]]*(PROVEEDORES[[#This Row],[SUBTOTAL]]-PROVEEDORES[[#This Row],[descuento sobre subtotal]])</f>
        <v>0</v>
      </c>
      <c r="P1365" s="74">
        <f>+IF(PROVEEDORES[[#This Row],[SUBTOTAL]]&lt;PROVEEDORES[[#This Row],[base retencion]],0,PROVEEDORES[[#This Row],[retención aplicada]])</f>
        <v>0</v>
      </c>
      <c r="Q1365" s="22">
        <f>+PROVEEDORES[[#This Row],[Rete Fuente %]]*(PROVEEDORES[[#This Row],[SUBTOTAL]]-PROVEEDORES[[#This Row],[descuento sobre subtotal]])</f>
        <v>0</v>
      </c>
      <c r="R1365" s="21">
        <f>+PROVEEDORES[[#This Row],[SUBTOTAL]]+PROVEEDORES[[#This Row],[IVA 19%]]-PROVEEDORES[[#This Row],[descuento sobre subtotal]]-PROVEEDORES[[#This Row],[Descuento sobre subtotal $2]]-PROVEEDORES[[#This Row],[Rete Fuente $]]</f>
        <v>4188400</v>
      </c>
      <c r="S1365" s="2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63">
        <f ca="1">IF(PROVEEDORES[[#This Row],[FECHA DE PAGO]]=0,TODAY()-PROVEEDORES[[#This Row],[FECHA DE FACTURACIÓN]]-PROVEEDORES[[#This Row],[PLAZO Días]],0)</f>
        <v>0</v>
      </c>
      <c r="U1365" s="104">
        <f>+VLOOKUP(PROVEEDORES[[#This Row],[PROVEEDOR]],Terceros!$A:$D,4,FALSE)</f>
        <v>0</v>
      </c>
      <c r="V1365" s="105">
        <f>+YEAR(PROVEEDORES[[#This Row],[FECHA DE FACTURACIÓN]])</f>
        <v>2023</v>
      </c>
      <c r="W1365" s="105">
        <f>+MATCH(PROVEEDORES[[#This Row],[año facturado]],Retenciones!$1:$1,0)</f>
        <v>6</v>
      </c>
      <c r="X1365" s="106">
        <f>+VLOOKUP(PROVEEDORES[[#This Row],[ID RETENCION]],Retenciones!$A$1:$O$25,PROVEEDORES[[#This Row],[indicador de columna]],FALSE)</f>
        <v>0</v>
      </c>
      <c r="Y1365" s="107">
        <f>+VLOOKUP(PROVEEDORES[[#This Row],[ID RETENCION]],Retenciones!$A$1:$O$25,2,FALSE)</f>
        <v>0</v>
      </c>
      <c r="Z1365" s="116" t="b">
        <f>OR(COUNTIF(PROVEEDORES[[#This Row],[PROVEEDOR]],"*"&amp;'Palabra no opera'!$A$2&amp;"*"))</f>
        <v>0</v>
      </c>
    </row>
    <row r="1366" spans="1:26" ht="22.35" customHeight="1" x14ac:dyDescent="0.3">
      <c r="A1366" s="283" t="str">
        <f>+IF(PROVEEDORES[[#This Row],[FECHA DE PAGO]]=PROVEEDORES[[#This Row],[FECHA DE FACTURACIÓN]],"DE CONTADO","CRÉDITO")</f>
        <v>DE CONTADO</v>
      </c>
      <c r="B1366" s="38" t="b">
        <f>+IF((PROVEEDORES[[#This Row],[FECHA DE PAGO]]-PROVEEDORES[[#This Row],[FECHA DE FACTURACIÓN]])&gt;PROVEEDORES[[#This Row],[PLAZO Días]],"PAGO VENCIDO")</f>
        <v>0</v>
      </c>
      <c r="C1366" s="20">
        <f>+VLOOKUP(PROVEEDORES[[#This Row],[PROVEEDOR]],TERCEROS_INFO[#All],2,FALSE)</f>
        <v>30</v>
      </c>
      <c r="D1366" s="25">
        <f>+SUMIFS(PROVEEDORES[Total],PROVEEDORES[PROVEEDOR],PROVEEDORES[[#This Row],[PROVEEDOR]],PROVEEDORES[FECHA DE PAGO],"")</f>
        <v>0</v>
      </c>
      <c r="E1366" s="25"/>
      <c r="F1366" s="56" t="str">
        <f>+VLOOKUP(PROVEEDORES[[#This Row],[PROVEEDOR]],
                       Terceros!$A:$F,
                       5,
                       FALSE)</f>
        <v/>
      </c>
      <c r="G1366" s="68">
        <v>45016</v>
      </c>
      <c r="H1366" s="26" t="s">
        <v>1401</v>
      </c>
      <c r="I1366" s="68">
        <v>45016</v>
      </c>
      <c r="J1366" s="35" t="s">
        <v>1180</v>
      </c>
      <c r="K1366" s="21">
        <v>645900</v>
      </c>
      <c r="L1366" s="21"/>
      <c r="M1366" s="22">
        <f>(PROVEEDORES[[#This Row],[SUBTOTAL]]-PROVEEDORES[[#This Row],[descuento sobre subtotal]])*VLOOKUP(PROVEEDORES[[#This Row],[PROVEEDOR]],TERCEROS_INFO[#All],3,FALSE)</f>
        <v>0</v>
      </c>
      <c r="N1366" s="23"/>
      <c r="O1366" s="22">
        <f>+PROVEEDORES[[#This Row],[Descuento sobre subtotal %]]*(PROVEEDORES[[#This Row],[SUBTOTAL]]-PROVEEDORES[[#This Row],[descuento sobre subtotal]])</f>
        <v>0</v>
      </c>
      <c r="P1366" s="74">
        <f>+IF(PROVEEDORES[[#This Row],[SUBTOTAL]]&lt;PROVEEDORES[[#This Row],[base retencion]],0,PROVEEDORES[[#This Row],[retención aplicada]])</f>
        <v>0</v>
      </c>
      <c r="Q1366" s="22">
        <f>+PROVEEDORES[[#This Row],[Rete Fuente %]]*(PROVEEDORES[[#This Row],[SUBTOTAL]]-PROVEEDORES[[#This Row],[descuento sobre subtotal]])</f>
        <v>0</v>
      </c>
      <c r="R1366" s="21">
        <f>+PROVEEDORES[[#This Row],[SUBTOTAL]]+PROVEEDORES[[#This Row],[IVA 19%]]-PROVEEDORES[[#This Row],[descuento sobre subtotal]]-PROVEEDORES[[#This Row],[Descuento sobre subtotal $2]]-PROVEEDORES[[#This Row],[Rete Fuente $]]</f>
        <v>645900</v>
      </c>
      <c r="S1366" s="2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63">
        <f ca="1">IF(PROVEEDORES[[#This Row],[FECHA DE PAGO]]=0,TODAY()-PROVEEDORES[[#This Row],[FECHA DE FACTURACIÓN]]-PROVEEDORES[[#This Row],[PLAZO Días]],0)</f>
        <v>0</v>
      </c>
      <c r="U1366" s="104">
        <f>+VLOOKUP(PROVEEDORES[[#This Row],[PROVEEDOR]],Terceros!$A:$D,4,FALSE)</f>
        <v>0</v>
      </c>
      <c r="V1366" s="105">
        <f>+YEAR(PROVEEDORES[[#This Row],[FECHA DE FACTURACIÓN]])</f>
        <v>2023</v>
      </c>
      <c r="W1366" s="105">
        <f>+MATCH(PROVEEDORES[[#This Row],[año facturado]],Retenciones!$1:$1,0)</f>
        <v>6</v>
      </c>
      <c r="X1366" s="106">
        <f>+VLOOKUP(PROVEEDORES[[#This Row],[ID RETENCION]],Retenciones!$A$1:$O$25,PROVEEDORES[[#This Row],[indicador de columna]],FALSE)</f>
        <v>0</v>
      </c>
      <c r="Y1366" s="107">
        <f>+VLOOKUP(PROVEEDORES[[#This Row],[ID RETENCION]],Retenciones!$A$1:$O$25,2,FALSE)</f>
        <v>0</v>
      </c>
      <c r="Z1366" s="116" t="b">
        <f>OR(COUNTIF(PROVEEDORES[[#This Row],[PROVEEDOR]],"*"&amp;'Palabra no opera'!$A$2&amp;"*"))</f>
        <v>0</v>
      </c>
    </row>
    <row r="1367" spans="1:26" ht="22.35" customHeight="1" x14ac:dyDescent="0.3">
      <c r="A1367" s="283" t="str">
        <f>+IF(PROVEEDORES[[#This Row],[FECHA DE PAGO]]=PROVEEDORES[[#This Row],[FECHA DE FACTURACIÓN]],"DE CONTADO","CRÉDITO")</f>
        <v>DE CONTADO</v>
      </c>
      <c r="B1367" s="38" t="b">
        <f>+IF((PROVEEDORES[[#This Row],[FECHA DE PAGO]]-PROVEEDORES[[#This Row],[FECHA DE FACTURACIÓN]])&gt;PROVEEDORES[[#This Row],[PLAZO Días]],"PAGO VENCIDO")</f>
        <v>0</v>
      </c>
      <c r="C1367" s="20">
        <f>+VLOOKUP(PROVEEDORES[[#This Row],[PROVEEDOR]],TERCEROS_INFO[#All],2,FALSE)</f>
        <v>30</v>
      </c>
      <c r="D1367" s="25">
        <f>+SUMIFS(PROVEEDORES[Total],PROVEEDORES[PROVEEDOR],PROVEEDORES[[#This Row],[PROVEEDOR]],PROVEEDORES[FECHA DE PAGO],"")</f>
        <v>0</v>
      </c>
      <c r="E1367" s="25"/>
      <c r="F1367" s="56" t="str">
        <f>+VLOOKUP(PROVEEDORES[[#This Row],[PROVEEDOR]],
                       Terceros!$A:$F,
                       5,
                       FALSE)</f>
        <v/>
      </c>
      <c r="G1367" s="68">
        <v>45016</v>
      </c>
      <c r="H1367" s="26" t="s">
        <v>1401</v>
      </c>
      <c r="I1367" s="68">
        <v>45016</v>
      </c>
      <c r="J1367" s="35" t="s">
        <v>1176</v>
      </c>
      <c r="K1367" s="21">
        <v>562500</v>
      </c>
      <c r="L1367" s="21"/>
      <c r="M1367" s="22">
        <f>(PROVEEDORES[[#This Row],[SUBTOTAL]]-PROVEEDORES[[#This Row],[descuento sobre subtotal]])*VLOOKUP(PROVEEDORES[[#This Row],[PROVEEDOR]],TERCEROS_INFO[#All],3,FALSE)</f>
        <v>0</v>
      </c>
      <c r="N1367" s="23"/>
      <c r="O1367" s="22">
        <f>+PROVEEDORES[[#This Row],[Descuento sobre subtotal %]]*(PROVEEDORES[[#This Row],[SUBTOTAL]]-PROVEEDORES[[#This Row],[descuento sobre subtotal]])</f>
        <v>0</v>
      </c>
      <c r="P1367" s="74">
        <f>+IF(PROVEEDORES[[#This Row],[SUBTOTAL]]&lt;PROVEEDORES[[#This Row],[base retencion]],0,PROVEEDORES[[#This Row],[retención aplicada]])</f>
        <v>0</v>
      </c>
      <c r="Q1367" s="22">
        <f>+PROVEEDORES[[#This Row],[Rete Fuente %]]*(PROVEEDORES[[#This Row],[SUBTOTAL]]-PROVEEDORES[[#This Row],[descuento sobre subtotal]])</f>
        <v>0</v>
      </c>
      <c r="R1367" s="21">
        <f>+PROVEEDORES[[#This Row],[SUBTOTAL]]+PROVEEDORES[[#This Row],[IVA 19%]]-PROVEEDORES[[#This Row],[descuento sobre subtotal]]-PROVEEDORES[[#This Row],[Descuento sobre subtotal $2]]-PROVEEDORES[[#This Row],[Rete Fuente $]]</f>
        <v>562500</v>
      </c>
      <c r="S1367" s="2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63">
        <f ca="1">IF(PROVEEDORES[[#This Row],[FECHA DE PAGO]]=0,TODAY()-PROVEEDORES[[#This Row],[FECHA DE FACTURACIÓN]]-PROVEEDORES[[#This Row],[PLAZO Días]],0)</f>
        <v>0</v>
      </c>
      <c r="U1367" s="104">
        <f>+VLOOKUP(PROVEEDORES[[#This Row],[PROVEEDOR]],Terceros!$A:$D,4,FALSE)</f>
        <v>0</v>
      </c>
      <c r="V1367" s="105">
        <f>+YEAR(PROVEEDORES[[#This Row],[FECHA DE FACTURACIÓN]])</f>
        <v>2023</v>
      </c>
      <c r="W1367" s="105">
        <f>+MATCH(PROVEEDORES[[#This Row],[año facturado]],Retenciones!$1:$1,0)</f>
        <v>6</v>
      </c>
      <c r="X1367" s="106">
        <f>+VLOOKUP(PROVEEDORES[[#This Row],[ID RETENCION]],Retenciones!$A$1:$O$25,PROVEEDORES[[#This Row],[indicador de columna]],FALSE)</f>
        <v>0</v>
      </c>
      <c r="Y1367" s="107">
        <f>+VLOOKUP(PROVEEDORES[[#This Row],[ID RETENCION]],Retenciones!$A$1:$O$25,2,FALSE)</f>
        <v>0</v>
      </c>
      <c r="Z1367" s="116" t="b">
        <f>OR(COUNTIF(PROVEEDORES[[#This Row],[PROVEEDOR]],"*"&amp;'Palabra no opera'!$A$2&amp;"*"))</f>
        <v>0</v>
      </c>
    </row>
    <row r="1368" spans="1:26" ht="22.35" customHeight="1" x14ac:dyDescent="0.3">
      <c r="A1368" s="283" t="str">
        <f>+IF(PROVEEDORES[[#This Row],[FECHA DE PAGO]]=PROVEEDORES[[#This Row],[FECHA DE FACTURACIÓN]],"DE CONTADO","CRÉDITO")</f>
        <v>DE CONTADO</v>
      </c>
      <c r="B1368" s="38" t="b">
        <f>+IF((PROVEEDORES[[#This Row],[FECHA DE PAGO]]-PROVEEDORES[[#This Row],[FECHA DE FACTURACIÓN]])&gt;PROVEEDORES[[#This Row],[PLAZO Días]],"PAGO VENCIDO")</f>
        <v>0</v>
      </c>
      <c r="C1368" s="20">
        <f>+VLOOKUP(PROVEEDORES[[#This Row],[PROVEEDOR]],TERCEROS_INFO[#All],2,FALSE)</f>
        <v>30</v>
      </c>
      <c r="D1368" s="25">
        <f>+SUMIFS(PROVEEDORES[Total],PROVEEDORES[PROVEEDOR],PROVEEDORES[[#This Row],[PROVEEDOR]],PROVEEDORES[FECHA DE PAGO],"")</f>
        <v>0</v>
      </c>
      <c r="E1368" s="25"/>
      <c r="F1368" s="56" t="str">
        <f>+VLOOKUP(PROVEEDORES[[#This Row],[PROVEEDOR]],
                       Terceros!$A:$F,
                       5,
                       FALSE)</f>
        <v/>
      </c>
      <c r="G1368" s="68">
        <v>45016</v>
      </c>
      <c r="H1368" s="26" t="s">
        <v>1401</v>
      </c>
      <c r="I1368" s="68">
        <v>45016</v>
      </c>
      <c r="J1368" s="35" t="s">
        <v>1377</v>
      </c>
      <c r="K1368" s="21">
        <v>82500</v>
      </c>
      <c r="L1368" s="21"/>
      <c r="M1368" s="22">
        <f>(PROVEEDORES[[#This Row],[SUBTOTAL]]-PROVEEDORES[[#This Row],[descuento sobre subtotal]])*VLOOKUP(PROVEEDORES[[#This Row],[PROVEEDOR]],TERCEROS_INFO[#All],3,FALSE)</f>
        <v>0</v>
      </c>
      <c r="N1368" s="23"/>
      <c r="O1368" s="22">
        <f>+PROVEEDORES[[#This Row],[Descuento sobre subtotal %]]*(PROVEEDORES[[#This Row],[SUBTOTAL]]-PROVEEDORES[[#This Row],[descuento sobre subtotal]])</f>
        <v>0</v>
      </c>
      <c r="P1368" s="74">
        <f>+IF(PROVEEDORES[[#This Row],[SUBTOTAL]]&lt;PROVEEDORES[[#This Row],[base retencion]],0,PROVEEDORES[[#This Row],[retención aplicada]])</f>
        <v>0</v>
      </c>
      <c r="Q1368" s="22">
        <f>+PROVEEDORES[[#This Row],[Rete Fuente %]]*(PROVEEDORES[[#This Row],[SUBTOTAL]]-PROVEEDORES[[#This Row],[descuento sobre subtotal]])</f>
        <v>0</v>
      </c>
      <c r="R1368" s="21">
        <f>+PROVEEDORES[[#This Row],[SUBTOTAL]]+PROVEEDORES[[#This Row],[IVA 19%]]-PROVEEDORES[[#This Row],[descuento sobre subtotal]]-PROVEEDORES[[#This Row],[Descuento sobre subtotal $2]]-PROVEEDORES[[#This Row],[Rete Fuente $]]</f>
        <v>82500</v>
      </c>
      <c r="S1368" s="2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63">
        <f ca="1">IF(PROVEEDORES[[#This Row],[FECHA DE PAGO]]=0,TODAY()-PROVEEDORES[[#This Row],[FECHA DE FACTURACIÓN]]-PROVEEDORES[[#This Row],[PLAZO Días]],0)</f>
        <v>0</v>
      </c>
      <c r="U1368" s="104">
        <f>+VLOOKUP(PROVEEDORES[[#This Row],[PROVEEDOR]],Terceros!$A:$D,4,FALSE)</f>
        <v>0</v>
      </c>
      <c r="V1368" s="105">
        <f>+YEAR(PROVEEDORES[[#This Row],[FECHA DE FACTURACIÓN]])</f>
        <v>2023</v>
      </c>
      <c r="W1368" s="105">
        <f>+MATCH(PROVEEDORES[[#This Row],[año facturado]],Retenciones!$1:$1,0)</f>
        <v>6</v>
      </c>
      <c r="X1368" s="106">
        <f>+VLOOKUP(PROVEEDORES[[#This Row],[ID RETENCION]],Retenciones!$A$1:$O$25,PROVEEDORES[[#This Row],[indicador de columna]],FALSE)</f>
        <v>0</v>
      </c>
      <c r="Y1368" s="107">
        <f>+VLOOKUP(PROVEEDORES[[#This Row],[ID RETENCION]],Retenciones!$A$1:$O$25,2,FALSE)</f>
        <v>0</v>
      </c>
      <c r="Z1368" s="116" t="b">
        <f>OR(COUNTIF(PROVEEDORES[[#This Row],[PROVEEDOR]],"*"&amp;'Palabra no opera'!$A$2&amp;"*"))</f>
        <v>0</v>
      </c>
    </row>
    <row r="1369" spans="1:26" ht="22.35" customHeight="1" x14ac:dyDescent="0.3">
      <c r="A1369" s="283" t="str">
        <f>+IF(PROVEEDORES[[#This Row],[FECHA DE PAGO]]=PROVEEDORES[[#This Row],[FECHA DE FACTURACIÓN]],"DE CONTADO","CRÉDITO")</f>
        <v>DE CONTADO</v>
      </c>
      <c r="B1369" s="38" t="b">
        <f>+IF((PROVEEDORES[[#This Row],[FECHA DE PAGO]]-PROVEEDORES[[#This Row],[FECHA DE FACTURACIÓN]])&gt;PROVEEDORES[[#This Row],[PLAZO Días]],"PAGO VENCIDO")</f>
        <v>0</v>
      </c>
      <c r="C1369" s="20">
        <f>+VLOOKUP(PROVEEDORES[[#This Row],[PROVEEDOR]],TERCEROS_INFO[#All],2,FALSE)</f>
        <v>30</v>
      </c>
      <c r="D1369" s="25">
        <f>+SUMIFS(PROVEEDORES[Total],PROVEEDORES[PROVEEDOR],PROVEEDORES[[#This Row],[PROVEEDOR]],PROVEEDORES[FECHA DE PAGO],"")</f>
        <v>0</v>
      </c>
      <c r="E1369" s="25"/>
      <c r="F1369" s="56" t="str">
        <f>+VLOOKUP(PROVEEDORES[[#This Row],[PROVEEDOR]],
                       Terceros!$A:$F,
                       5,
                       FALSE)</f>
        <v/>
      </c>
      <c r="G1369" s="68">
        <v>45016</v>
      </c>
      <c r="H1369" s="26" t="s">
        <v>1401</v>
      </c>
      <c r="I1369" s="68">
        <v>45016</v>
      </c>
      <c r="J1369" s="35" t="s">
        <v>1379</v>
      </c>
      <c r="K1369" s="21">
        <v>0</v>
      </c>
      <c r="L1369" s="21"/>
      <c r="M1369" s="22">
        <f>(PROVEEDORES[[#This Row],[SUBTOTAL]]-PROVEEDORES[[#This Row],[descuento sobre subtotal]])*VLOOKUP(PROVEEDORES[[#This Row],[PROVEEDOR]],TERCEROS_INFO[#All],3,FALSE)</f>
        <v>0</v>
      </c>
      <c r="N1369" s="23"/>
      <c r="O1369" s="22">
        <f>+PROVEEDORES[[#This Row],[Descuento sobre subtotal %]]*(PROVEEDORES[[#This Row],[SUBTOTAL]]-PROVEEDORES[[#This Row],[descuento sobre subtotal]])</f>
        <v>0</v>
      </c>
      <c r="P1369" s="74">
        <f>+IF(PROVEEDORES[[#This Row],[SUBTOTAL]]&lt;PROVEEDORES[[#This Row],[base retencion]],0,PROVEEDORES[[#This Row],[retención aplicada]])</f>
        <v>0</v>
      </c>
      <c r="Q1369" s="22">
        <f>+PROVEEDORES[[#This Row],[Rete Fuente %]]*(PROVEEDORES[[#This Row],[SUBTOTAL]]-PROVEEDORES[[#This Row],[descuento sobre subtotal]])</f>
        <v>0</v>
      </c>
      <c r="R1369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369" s="2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9" s="63">
        <f ca="1">IF(PROVEEDORES[[#This Row],[FECHA DE PAGO]]=0,TODAY()-PROVEEDORES[[#This Row],[FECHA DE FACTURACIÓN]]-PROVEEDORES[[#This Row],[PLAZO Días]],0)</f>
        <v>0</v>
      </c>
      <c r="U1369" s="104">
        <f>+VLOOKUP(PROVEEDORES[[#This Row],[PROVEEDOR]],Terceros!$A:$D,4,FALSE)</f>
        <v>0</v>
      </c>
      <c r="V1369" s="105">
        <f>+YEAR(PROVEEDORES[[#This Row],[FECHA DE FACTURACIÓN]])</f>
        <v>2023</v>
      </c>
      <c r="W1369" s="105">
        <f>+MATCH(PROVEEDORES[[#This Row],[año facturado]],Retenciones!$1:$1,0)</f>
        <v>6</v>
      </c>
      <c r="X1369" s="106">
        <f>+VLOOKUP(PROVEEDORES[[#This Row],[ID RETENCION]],Retenciones!$A$1:$O$25,PROVEEDORES[[#This Row],[indicador de columna]],FALSE)</f>
        <v>0</v>
      </c>
      <c r="Y1369" s="107">
        <f>+VLOOKUP(PROVEEDORES[[#This Row],[ID RETENCION]],Retenciones!$A$1:$O$25,2,FALSE)</f>
        <v>0</v>
      </c>
      <c r="Z1369" s="116" t="b">
        <f>OR(COUNTIF(PROVEEDORES[[#This Row],[PROVEEDOR]],"*"&amp;'Palabra no opera'!$A$2&amp;"*"))</f>
        <v>0</v>
      </c>
    </row>
    <row r="1370" spans="1:26" ht="22.35" customHeight="1" x14ac:dyDescent="0.3">
      <c r="A1370" s="67" t="str">
        <f>+IF(PROVEEDORES[[#This Row],[FECHA DE PAGO]]=PROVEEDORES[[#This Row],[FECHA DE FACTURACIÓN]],"DE CONTADO","CRÉDITO")</f>
        <v>CRÉDITO</v>
      </c>
      <c r="B1370" s="38" t="str">
        <f>+IF((PROVEEDORES[[#This Row],[FECHA DE PAGO]]-PROVEEDORES[[#This Row],[FECHA DE FACTURACIÓN]])&gt;PROVEEDORES[[#This Row],[PLAZO Días]],"PAGO VENCIDO")</f>
        <v>PAGO VENCIDO</v>
      </c>
      <c r="C1370" s="20">
        <f>+VLOOKUP(PROVEEDORES[[#This Row],[PROVEEDOR]],TERCEROS_INFO[#All],2,FALSE)</f>
        <v>60</v>
      </c>
      <c r="D1370" s="25">
        <f>+SUMIFS(PROVEEDORES[Total],PROVEEDORES[PROVEEDOR],PROVEEDORES[[#This Row],[PROVEEDOR]],PROVEEDORES[FECHA DE PAGO],"")</f>
        <v>0</v>
      </c>
      <c r="E1370" s="25"/>
      <c r="F1370" s="56">
        <f>+VLOOKUP(PROVEEDORES[[#This Row],[PROVEEDOR]],
                       Terceros!$A:$F,
                       5,
                       FALSE)</f>
        <v>0</v>
      </c>
      <c r="G1370" s="68">
        <v>45016</v>
      </c>
      <c r="H1370" s="231" t="s">
        <v>951</v>
      </c>
      <c r="I1370" s="68">
        <v>44865</v>
      </c>
      <c r="J1370" s="245" t="s">
        <v>1239</v>
      </c>
      <c r="K1370" s="21">
        <v>12500000</v>
      </c>
      <c r="L1370" s="21"/>
      <c r="M1370" s="22">
        <f>(PROVEEDORES[[#This Row],[SUBTOTAL]]-PROVEEDORES[[#This Row],[descuento sobre subtotal]])*VLOOKUP(PROVEEDORES[[#This Row],[PROVEEDOR]],TERCEROS_INFO[#All],3,FALSE)</f>
        <v>2375000</v>
      </c>
      <c r="N1370" s="23"/>
      <c r="O1370" s="22">
        <f>+PROVEEDORES[[#This Row],[Descuento sobre subtotal %]]*(PROVEEDORES[[#This Row],[SUBTOTAL]]-PROVEEDORES[[#This Row],[descuento sobre subtotal]])</f>
        <v>0</v>
      </c>
      <c r="P1370" s="74">
        <f>+IF(PROVEEDORES[[#This Row],[SUBTOTAL]]&lt;PROVEEDORES[[#This Row],[base retencion]],0,PROVEEDORES[[#This Row],[retención aplicada]])</f>
        <v>0</v>
      </c>
      <c r="Q1370" s="22">
        <f>+PROVEEDORES[[#This Row],[Rete Fuente %]]*(PROVEEDORES[[#This Row],[SUBTOTAL]]-PROVEEDORES[[#This Row],[descuento sobre subtotal]])</f>
        <v>0</v>
      </c>
      <c r="R1370" s="21">
        <f>+PROVEEDORES[[#This Row],[SUBTOTAL]]+PROVEEDORES[[#This Row],[IVA 19%]]-PROVEEDORES[[#This Row],[descuento sobre subtotal]]-PROVEEDORES[[#This Row],[Descuento sobre subtotal $2]]-PROVEEDORES[[#This Row],[Rete Fuente $]]</f>
        <v>14875000</v>
      </c>
      <c r="S137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63">
        <f ca="1">IF(PROVEEDORES[[#This Row],[FECHA DE PAGO]]=0,TODAY()-PROVEEDORES[[#This Row],[FECHA DE FACTURACIÓN]]-PROVEEDORES[[#This Row],[PLAZO Días]],0)</f>
        <v>0</v>
      </c>
      <c r="U1370" s="104">
        <f>+VLOOKUP(PROVEEDORES[[#This Row],[PROVEEDOR]],Terceros!$A:$D,4,FALSE)</f>
        <v>0</v>
      </c>
      <c r="V1370" s="105">
        <f>+YEAR(PROVEEDORES[[#This Row],[FECHA DE FACTURACIÓN]])</f>
        <v>2022</v>
      </c>
      <c r="W1370" s="105">
        <f>+MATCH(PROVEEDORES[[#This Row],[año facturado]],Retenciones!$1:$1,0)</f>
        <v>5</v>
      </c>
      <c r="X1370" s="106">
        <f>+VLOOKUP(PROVEEDORES[[#This Row],[ID RETENCION]],Retenciones!$A$1:$O$25,PROVEEDORES[[#This Row],[indicador de columna]],FALSE)</f>
        <v>0</v>
      </c>
      <c r="Y1370" s="107">
        <f>+VLOOKUP(PROVEEDORES[[#This Row],[ID RETENCION]],Retenciones!$A$1:$O$25,2,FALSE)</f>
        <v>0</v>
      </c>
      <c r="Z1370" s="116" t="b">
        <f>OR(COUNTIF(PROVEEDORES[[#This Row],[PROVEEDOR]],"*"&amp;'Palabra no opera'!$A$2&amp;"*"))</f>
        <v>1</v>
      </c>
    </row>
    <row r="1371" spans="1:26" ht="22.35" customHeight="1" x14ac:dyDescent="0.3">
      <c r="A1371" s="67" t="str">
        <f>+IF(PROVEEDORES[[#This Row],[FECHA DE PAGO]]=PROVEEDORES[[#This Row],[FECHA DE FACTURACIÓN]],"DE CONTADO","CRÉDITO")</f>
        <v>CRÉDITO</v>
      </c>
      <c r="B1371" s="38" t="b">
        <f>+IF((PROVEEDORES[[#This Row],[FECHA DE PAGO]]-PROVEEDORES[[#This Row],[FECHA DE FACTURACIÓN]])&gt;PROVEEDORES[[#This Row],[PLAZO Días]],"PAGO VENCIDO")</f>
        <v>0</v>
      </c>
      <c r="C1371" s="20">
        <f>+VLOOKUP(PROVEEDORES[[#This Row],[PROVEEDOR]],TERCEROS_INFO[#All],2,FALSE)</f>
        <v>60</v>
      </c>
      <c r="D1371" s="25">
        <f>+SUMIFS(PROVEEDORES[Total],PROVEEDORES[PROVEEDOR],PROVEEDORES[[#This Row],[PROVEEDOR]],PROVEEDORES[FECHA DE PAGO],"")</f>
        <v>0</v>
      </c>
      <c r="E1371" s="25"/>
      <c r="F1371" s="56">
        <f>+VLOOKUP(PROVEEDORES[[#This Row],[PROVEEDOR]],
                       Terceros!$A:$F,
                       5,
                       FALSE)</f>
        <v>0</v>
      </c>
      <c r="G1371" s="68">
        <v>45016</v>
      </c>
      <c r="H1371" s="26" t="s">
        <v>951</v>
      </c>
      <c r="I1371" s="68">
        <v>44970</v>
      </c>
      <c r="J1371" s="35" t="s">
        <v>1476</v>
      </c>
      <c r="K1371" s="21">
        <v>-2521008</v>
      </c>
      <c r="L1371" s="21"/>
      <c r="M1371" s="22">
        <f>(PROVEEDORES[[#This Row],[SUBTOTAL]]-PROVEEDORES[[#This Row],[descuento sobre subtotal]])*VLOOKUP(PROVEEDORES[[#This Row],[PROVEEDOR]],TERCEROS_INFO[#All],3,FALSE)</f>
        <v>-478991.52</v>
      </c>
      <c r="N1371" s="23"/>
      <c r="O1371" s="22">
        <f>+PROVEEDORES[[#This Row],[Descuento sobre subtotal %]]*(PROVEEDORES[[#This Row],[SUBTOTAL]]-PROVEEDORES[[#This Row],[descuento sobre subtotal]])</f>
        <v>0</v>
      </c>
      <c r="P1371" s="74">
        <f>+IF(PROVEEDORES[[#This Row],[SUBTOTAL]]&lt;PROVEEDORES[[#This Row],[base retencion]],0,PROVEEDORES[[#This Row],[retención aplicada]])</f>
        <v>0</v>
      </c>
      <c r="Q1371" s="22">
        <f>+PROVEEDORES[[#This Row],[Rete Fuente %]]*(PROVEEDORES[[#This Row],[SUBTOTAL]]-PROVEEDORES[[#This Row],[descuento sobre subtotal]])</f>
        <v>0</v>
      </c>
      <c r="R1371" s="21">
        <f>+PROVEEDORES[[#This Row],[SUBTOTAL]]+PROVEEDORES[[#This Row],[IVA 19%]]-PROVEEDORES[[#This Row],[descuento sobre subtotal]]-PROVEEDORES[[#This Row],[Descuento sobre subtotal $2]]-PROVEEDORES[[#This Row],[Rete Fuente $]]</f>
        <v>-2999999.52</v>
      </c>
      <c r="S13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1" s="63">
        <f ca="1">IF(PROVEEDORES[[#This Row],[FECHA DE PAGO]]=0,TODAY()-PROVEEDORES[[#This Row],[FECHA DE FACTURACIÓN]]-PROVEEDORES[[#This Row],[PLAZO Días]],0)</f>
        <v>0</v>
      </c>
      <c r="U1371" s="104">
        <f>+VLOOKUP(PROVEEDORES[[#This Row],[PROVEEDOR]],Terceros!$A:$D,4,FALSE)</f>
        <v>0</v>
      </c>
      <c r="V1371" s="105">
        <f>+YEAR(PROVEEDORES[[#This Row],[FECHA DE FACTURACIÓN]])</f>
        <v>2023</v>
      </c>
      <c r="W1371" s="105">
        <f>+MATCH(PROVEEDORES[[#This Row],[año facturado]],Retenciones!$1:$1,0)</f>
        <v>6</v>
      </c>
      <c r="X1371" s="106">
        <f>+VLOOKUP(PROVEEDORES[[#This Row],[ID RETENCION]],Retenciones!$A$1:$O$25,PROVEEDORES[[#This Row],[indicador de columna]],FALSE)</f>
        <v>0</v>
      </c>
      <c r="Y1371" s="107">
        <f>+VLOOKUP(PROVEEDORES[[#This Row],[ID RETENCION]],Retenciones!$A$1:$O$25,2,FALSE)</f>
        <v>0</v>
      </c>
      <c r="Z1371" s="116" t="b">
        <f>OR(COUNTIF(PROVEEDORES[[#This Row],[PROVEEDOR]],"*"&amp;'Palabra no opera'!$A$2&amp;"*"))</f>
        <v>1</v>
      </c>
    </row>
    <row r="1372" spans="1:26" ht="22.35" customHeight="1" x14ac:dyDescent="0.3">
      <c r="A1372" s="269" t="str">
        <f>+IF(PROVEEDORES[[#This Row],[FECHA DE PAGO]]=PROVEEDORES[[#This Row],[FECHA DE FACTURACIÓN]],"DE CONTADO","CRÉDITO")</f>
        <v>CRÉDITO</v>
      </c>
      <c r="B1372" s="38" t="b">
        <f>+IF((PROVEEDORES[[#This Row],[FECHA DE PAGO]]-PROVEEDORES[[#This Row],[FECHA DE FACTURACIÓN]])&gt;PROVEEDORES[[#This Row],[PLAZO Días]],"PAGO VENCIDO")</f>
        <v>0</v>
      </c>
      <c r="C1372" s="20">
        <f>+VLOOKUP(PROVEEDORES[[#This Row],[PROVEEDOR]],TERCEROS_INFO[#All],2,FALSE)</f>
        <v>60</v>
      </c>
      <c r="D1372" s="25">
        <f>+SUMIFS(PROVEEDORES[Total],PROVEEDORES[PROVEEDOR],PROVEEDORES[[#This Row],[PROVEEDOR]],PROVEEDORES[FECHA DE PAGO],"")</f>
        <v>0</v>
      </c>
      <c r="E1372" s="25"/>
      <c r="F1372" s="56">
        <f>+VLOOKUP(PROVEEDORES[[#This Row],[PROVEEDOR]],
                       Terceros!$A:$F,
                       5,
                       FALSE)</f>
        <v>0</v>
      </c>
      <c r="G1372" s="68">
        <v>45016</v>
      </c>
      <c r="H1372" s="26" t="s">
        <v>951</v>
      </c>
      <c r="I1372" s="68">
        <v>44980</v>
      </c>
      <c r="J1372" s="35" t="s">
        <v>1476</v>
      </c>
      <c r="K1372" s="207">
        <v>-2689076</v>
      </c>
      <c r="L1372" s="21"/>
      <c r="M1372" s="22">
        <f>(PROVEEDORES[[#This Row],[SUBTOTAL]]-PROVEEDORES[[#This Row],[descuento sobre subtotal]])*VLOOKUP(PROVEEDORES[[#This Row],[PROVEEDOR]],TERCEROS_INFO[#All],3,FALSE)</f>
        <v>-510924.44</v>
      </c>
      <c r="N1372" s="23"/>
      <c r="O1372" s="22">
        <f>+PROVEEDORES[[#This Row],[Descuento sobre subtotal %]]*(PROVEEDORES[[#This Row],[SUBTOTAL]]-PROVEEDORES[[#This Row],[descuento sobre subtotal]])</f>
        <v>0</v>
      </c>
      <c r="P1372" s="74">
        <f>+IF(PROVEEDORES[[#This Row],[SUBTOTAL]]&lt;PROVEEDORES[[#This Row],[base retencion]],0,PROVEEDORES[[#This Row],[retención aplicada]])</f>
        <v>0</v>
      </c>
      <c r="Q1372" s="22">
        <f>+PROVEEDORES[[#This Row],[Rete Fuente %]]*(PROVEEDORES[[#This Row],[SUBTOTAL]]-PROVEEDORES[[#This Row],[descuento sobre subtotal]])</f>
        <v>0</v>
      </c>
      <c r="R1372" s="21">
        <f>+PROVEEDORES[[#This Row],[SUBTOTAL]]+PROVEEDORES[[#This Row],[IVA 19%]]-PROVEEDORES[[#This Row],[descuento sobre subtotal]]-PROVEEDORES[[#This Row],[Descuento sobre subtotal $2]]-PROVEEDORES[[#This Row],[Rete Fuente $]]</f>
        <v>-3200000.44</v>
      </c>
      <c r="S1372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2" s="63">
        <f ca="1">IF(PROVEEDORES[[#This Row],[FECHA DE PAGO]]=0,TODAY()-PROVEEDORES[[#This Row],[FECHA DE FACTURACIÓN]]-PROVEEDORES[[#This Row],[PLAZO Días]],0)</f>
        <v>0</v>
      </c>
      <c r="U1372" s="104">
        <f>+VLOOKUP(PROVEEDORES[[#This Row],[PROVEEDOR]],Terceros!$A:$D,4,FALSE)</f>
        <v>0</v>
      </c>
      <c r="V1372" s="105">
        <f>+YEAR(PROVEEDORES[[#This Row],[FECHA DE FACTURACIÓN]])</f>
        <v>2023</v>
      </c>
      <c r="W1372" s="105">
        <f>+MATCH(PROVEEDORES[[#This Row],[año facturado]],Retenciones!$1:$1,0)</f>
        <v>6</v>
      </c>
      <c r="X1372" s="106">
        <f>+VLOOKUP(PROVEEDORES[[#This Row],[ID RETENCION]],Retenciones!$A$1:$O$25,PROVEEDORES[[#This Row],[indicador de columna]],FALSE)</f>
        <v>0</v>
      </c>
      <c r="Y1372" s="107">
        <f>+VLOOKUP(PROVEEDORES[[#This Row],[ID RETENCION]],Retenciones!$A$1:$O$25,2,FALSE)</f>
        <v>0</v>
      </c>
      <c r="Z1372" s="116" t="b">
        <f>OR(COUNTIF(PROVEEDORES[[#This Row],[PROVEEDOR]],"*"&amp;'Palabra no opera'!$A$2&amp;"*"))</f>
        <v>1</v>
      </c>
    </row>
    <row r="1373" spans="1:26" ht="22.35" customHeight="1" x14ac:dyDescent="0.3">
      <c r="A1373" s="67" t="str">
        <f>+IF(PROVEEDORES[[#This Row],[FECHA DE PAGO]]=PROVEEDORES[[#This Row],[FECHA DE FACTURACIÓN]],"DE CONTADO","CRÉDITO")</f>
        <v>CRÉDITO</v>
      </c>
      <c r="B1373" s="38" t="b">
        <f>+IF((PROVEEDORES[[#This Row],[FECHA DE PAGO]]-PROVEEDORES[[#This Row],[FECHA DE FACTURACIÓN]])&gt;PROVEEDORES[[#This Row],[PLAZO Días]],"PAGO VENCIDO")</f>
        <v>0</v>
      </c>
      <c r="C1373" s="20">
        <f>+VLOOKUP(PROVEEDORES[[#This Row],[PROVEEDOR]],TERCEROS_INFO[#All],2,FALSE)</f>
        <v>60</v>
      </c>
      <c r="D1373" s="25">
        <f>+SUMIFS(PROVEEDORES[Total],PROVEEDORES[PROVEEDOR],PROVEEDORES[[#This Row],[PROVEEDOR]],PROVEEDORES[FECHA DE PAGO],"")</f>
        <v>0</v>
      </c>
      <c r="E1373" s="25"/>
      <c r="F1373" s="56">
        <f>+VLOOKUP(PROVEEDORES[[#This Row],[PROVEEDOR]],
                       Terceros!$A:$F,
                       5,
                       FALSE)</f>
        <v>0</v>
      </c>
      <c r="G1373" s="68">
        <v>45016</v>
      </c>
      <c r="H1373" s="26" t="s">
        <v>951</v>
      </c>
      <c r="I1373" s="68">
        <v>44984</v>
      </c>
      <c r="J1373" s="35" t="s">
        <v>1476</v>
      </c>
      <c r="K1373" s="207">
        <v>-840336</v>
      </c>
      <c r="L1373" s="21"/>
      <c r="M1373" s="22">
        <f>(PROVEEDORES[[#This Row],[SUBTOTAL]]-PROVEEDORES[[#This Row],[descuento sobre subtotal]])*VLOOKUP(PROVEEDORES[[#This Row],[PROVEEDOR]],TERCEROS_INFO[#All],3,FALSE)</f>
        <v>-159663.84</v>
      </c>
      <c r="N1373" s="23"/>
      <c r="O1373" s="22">
        <f>+PROVEEDORES[[#This Row],[Descuento sobre subtotal %]]*(PROVEEDORES[[#This Row],[SUBTOTAL]]-PROVEEDORES[[#This Row],[descuento sobre subtotal]])</f>
        <v>0</v>
      </c>
      <c r="P1373" s="74">
        <f>+IF(PROVEEDORES[[#This Row],[SUBTOTAL]]&lt;PROVEEDORES[[#This Row],[base retencion]],0,PROVEEDORES[[#This Row],[retención aplicada]])</f>
        <v>0</v>
      </c>
      <c r="Q1373" s="22">
        <f>+PROVEEDORES[[#This Row],[Rete Fuente %]]*(PROVEEDORES[[#This Row],[SUBTOTAL]]-PROVEEDORES[[#This Row],[descuento sobre subtotal]])</f>
        <v>0</v>
      </c>
      <c r="R1373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137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63">
        <f ca="1">IF(PROVEEDORES[[#This Row],[FECHA DE PAGO]]=0,TODAY()-PROVEEDORES[[#This Row],[FECHA DE FACTURACIÓN]]-PROVEEDORES[[#This Row],[PLAZO Días]],0)</f>
        <v>0</v>
      </c>
      <c r="U1373" s="104">
        <f>+VLOOKUP(PROVEEDORES[[#This Row],[PROVEEDOR]],Terceros!$A:$D,4,FALSE)</f>
        <v>0</v>
      </c>
      <c r="V1373" s="105">
        <f>+YEAR(PROVEEDORES[[#This Row],[FECHA DE FACTURACIÓN]])</f>
        <v>2023</v>
      </c>
      <c r="W1373" s="105">
        <f>+MATCH(PROVEEDORES[[#This Row],[año facturado]],Retenciones!$1:$1,0)</f>
        <v>6</v>
      </c>
      <c r="X1373" s="106">
        <f>+VLOOKUP(PROVEEDORES[[#This Row],[ID RETENCION]],Retenciones!$A$1:$O$25,PROVEEDORES[[#This Row],[indicador de columna]],FALSE)</f>
        <v>0</v>
      </c>
      <c r="Y1373" s="107">
        <f>+VLOOKUP(PROVEEDORES[[#This Row],[ID RETENCION]],Retenciones!$A$1:$O$25,2,FALSE)</f>
        <v>0</v>
      </c>
      <c r="Z1373" s="116" t="b">
        <f>OR(COUNTIF(PROVEEDORES[[#This Row],[PROVEEDOR]],"*"&amp;'Palabra no opera'!$A$2&amp;"*"))</f>
        <v>1</v>
      </c>
    </row>
    <row r="1374" spans="1:26" ht="22.35" customHeight="1" x14ac:dyDescent="0.3">
      <c r="A1374" s="67" t="str">
        <f>+IF(PROVEEDORES[[#This Row],[FECHA DE PAGO]]=PROVEEDORES[[#This Row],[FECHA DE FACTURACIÓN]],"DE CONTADO","CRÉDITO")</f>
        <v>CRÉDITO</v>
      </c>
      <c r="B1374" s="38" t="b">
        <f>+IF((PROVEEDORES[[#This Row],[FECHA DE PAGO]]-PROVEEDORES[[#This Row],[FECHA DE FACTURACIÓN]])&gt;PROVEEDORES[[#This Row],[PLAZO Días]],"PAGO VENCIDO")</f>
        <v>0</v>
      </c>
      <c r="C1374" s="20">
        <f>+VLOOKUP(PROVEEDORES[[#This Row],[PROVEEDOR]],TERCEROS_INFO[#All],2,FALSE)</f>
        <v>60</v>
      </c>
      <c r="D1374" s="25">
        <f>+SUMIFS(PROVEEDORES[Total],PROVEEDORES[PROVEEDOR],PROVEEDORES[[#This Row],[PROVEEDOR]],PROVEEDORES[FECHA DE PAGO],"")</f>
        <v>0</v>
      </c>
      <c r="E1374" s="25"/>
      <c r="F1374" s="56">
        <f>+VLOOKUP(PROVEEDORES[[#This Row],[PROVEEDOR]],
                       Terceros!$A:$F,
                       5,
                       FALSE)</f>
        <v>0</v>
      </c>
      <c r="G1374" s="68">
        <v>45016</v>
      </c>
      <c r="H1374" s="26" t="s">
        <v>951</v>
      </c>
      <c r="I1374" s="68">
        <v>44985</v>
      </c>
      <c r="J1374" s="35" t="s">
        <v>1476</v>
      </c>
      <c r="K1374" s="207">
        <v>-840336</v>
      </c>
      <c r="L1374" s="21"/>
      <c r="M1374" s="22">
        <f>(PROVEEDORES[[#This Row],[SUBTOTAL]]-PROVEEDORES[[#This Row],[descuento sobre subtotal]])*VLOOKUP(PROVEEDORES[[#This Row],[PROVEEDOR]],TERCEROS_INFO[#All],3,FALSE)</f>
        <v>-159663.84</v>
      </c>
      <c r="N1374" s="23"/>
      <c r="O1374" s="22">
        <f>+PROVEEDORES[[#This Row],[Descuento sobre subtotal %]]*(PROVEEDORES[[#This Row],[SUBTOTAL]]-PROVEEDORES[[#This Row],[descuento sobre subtotal]])</f>
        <v>0</v>
      </c>
      <c r="P1374" s="74">
        <f>+IF(PROVEEDORES[[#This Row],[SUBTOTAL]]&lt;PROVEEDORES[[#This Row],[base retencion]],0,PROVEEDORES[[#This Row],[retención aplicada]])</f>
        <v>0</v>
      </c>
      <c r="Q1374" s="22">
        <f>+PROVEEDORES[[#This Row],[Rete Fuente %]]*(PROVEEDORES[[#This Row],[SUBTOTAL]]-PROVEEDORES[[#This Row],[descuento sobre subtotal]])</f>
        <v>0</v>
      </c>
      <c r="R1374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13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4" s="63">
        <f ca="1">IF(PROVEEDORES[[#This Row],[FECHA DE PAGO]]=0,TODAY()-PROVEEDORES[[#This Row],[FECHA DE FACTURACIÓN]]-PROVEEDORES[[#This Row],[PLAZO Días]],0)</f>
        <v>0</v>
      </c>
      <c r="U1374" s="104">
        <f>+VLOOKUP(PROVEEDORES[[#This Row],[PROVEEDOR]],Terceros!$A:$D,4,FALSE)</f>
        <v>0</v>
      </c>
      <c r="V1374" s="105">
        <f>+YEAR(PROVEEDORES[[#This Row],[FECHA DE FACTURACIÓN]])</f>
        <v>2023</v>
      </c>
      <c r="W1374" s="105">
        <f>+MATCH(PROVEEDORES[[#This Row],[año facturado]],Retenciones!$1:$1,0)</f>
        <v>6</v>
      </c>
      <c r="X1374" s="106">
        <f>+VLOOKUP(PROVEEDORES[[#This Row],[ID RETENCION]],Retenciones!$A$1:$O$25,PROVEEDORES[[#This Row],[indicador de columna]],FALSE)</f>
        <v>0</v>
      </c>
      <c r="Y1374" s="107">
        <f>+VLOOKUP(PROVEEDORES[[#This Row],[ID RETENCION]],Retenciones!$A$1:$O$25,2,FALSE)</f>
        <v>0</v>
      </c>
      <c r="Z1374" s="116" t="b">
        <f>OR(COUNTIF(PROVEEDORES[[#This Row],[PROVEEDOR]],"*"&amp;'Palabra no opera'!$A$2&amp;"*"))</f>
        <v>1</v>
      </c>
    </row>
    <row r="1375" spans="1:26" ht="22.35" customHeight="1" x14ac:dyDescent="0.3">
      <c r="A1375" s="67" t="str">
        <f>+IF(PROVEEDORES[[#This Row],[FECHA DE PAGO]]=PROVEEDORES[[#This Row],[FECHA DE FACTURACIÓN]],"DE CONTADO","CRÉDITO")</f>
        <v>CRÉDITO</v>
      </c>
      <c r="B1375" s="38" t="b">
        <f>+IF((PROVEEDORES[[#This Row],[FECHA DE PAGO]]-PROVEEDORES[[#This Row],[FECHA DE FACTURACIÓN]])&gt;PROVEEDORES[[#This Row],[PLAZO Días]],"PAGO VENCIDO")</f>
        <v>0</v>
      </c>
      <c r="C1375" s="20">
        <f>+VLOOKUP(PROVEEDORES[[#This Row],[PROVEEDOR]],TERCEROS_INFO[#All],2,FALSE)</f>
        <v>60</v>
      </c>
      <c r="D1375" s="25">
        <f>+SUMIFS(PROVEEDORES[Total],PROVEEDORES[PROVEEDOR],PROVEEDORES[[#This Row],[PROVEEDOR]],PROVEEDORES[FECHA DE PAGO],"")</f>
        <v>0</v>
      </c>
      <c r="E1375" s="25"/>
      <c r="F1375" s="56">
        <f>+VLOOKUP(PROVEEDORES[[#This Row],[PROVEEDOR]],
                       Terceros!$A:$F,
                       5,
                       FALSE)</f>
        <v>0</v>
      </c>
      <c r="G1375" s="68">
        <v>45016</v>
      </c>
      <c r="H1375" s="26" t="s">
        <v>951</v>
      </c>
      <c r="I1375" s="68">
        <v>45009</v>
      </c>
      <c r="J1375" s="35" t="s">
        <v>1476</v>
      </c>
      <c r="K1375" s="282">
        <v>-1059244</v>
      </c>
      <c r="L1375" s="21"/>
      <c r="M1375" s="22">
        <f>(PROVEEDORES[[#This Row],[SUBTOTAL]]-PROVEEDORES[[#This Row],[descuento sobre subtotal]])*VLOOKUP(PROVEEDORES[[#This Row],[PROVEEDOR]],TERCEROS_INFO[#All],3,FALSE)</f>
        <v>-201256.36000000002</v>
      </c>
      <c r="N1375" s="23"/>
      <c r="O1375" s="22">
        <f>+PROVEEDORES[[#This Row],[Descuento sobre subtotal %]]*(PROVEEDORES[[#This Row],[SUBTOTAL]]-PROVEEDORES[[#This Row],[descuento sobre subtotal]])</f>
        <v>0</v>
      </c>
      <c r="P1375" s="74">
        <f>+IF(PROVEEDORES[[#This Row],[SUBTOTAL]]&lt;PROVEEDORES[[#This Row],[base retencion]],0,PROVEEDORES[[#This Row],[retención aplicada]])</f>
        <v>0</v>
      </c>
      <c r="Q1375" s="22">
        <f>+PROVEEDORES[[#This Row],[Rete Fuente %]]*(PROVEEDORES[[#This Row],[SUBTOTAL]]-PROVEEDORES[[#This Row],[descuento sobre subtotal]])</f>
        <v>0</v>
      </c>
      <c r="R1375" s="21">
        <f>+PROVEEDORES[[#This Row],[SUBTOTAL]]+PROVEEDORES[[#This Row],[IVA 19%]]-PROVEEDORES[[#This Row],[descuento sobre subtotal]]-PROVEEDORES[[#This Row],[Descuento sobre subtotal $2]]-PROVEEDORES[[#This Row],[Rete Fuente $]]</f>
        <v>-1260500.3600000001</v>
      </c>
      <c r="S13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5" s="63">
        <f ca="1">IF(PROVEEDORES[[#This Row],[FECHA DE PAGO]]=0,TODAY()-PROVEEDORES[[#This Row],[FECHA DE FACTURACIÓN]]-PROVEEDORES[[#This Row],[PLAZO Días]],0)</f>
        <v>0</v>
      </c>
      <c r="U1375" s="104">
        <f>+VLOOKUP(PROVEEDORES[[#This Row],[PROVEEDOR]],Terceros!$A:$D,4,FALSE)</f>
        <v>0</v>
      </c>
      <c r="V1375" s="105">
        <f>+YEAR(PROVEEDORES[[#This Row],[FECHA DE FACTURACIÓN]])</f>
        <v>2023</v>
      </c>
      <c r="W1375" s="105">
        <f>+MATCH(PROVEEDORES[[#This Row],[año facturado]],Retenciones!$1:$1,0)</f>
        <v>6</v>
      </c>
      <c r="X1375" s="106">
        <f>+VLOOKUP(PROVEEDORES[[#This Row],[ID RETENCION]],Retenciones!$A$1:$O$25,PROVEEDORES[[#This Row],[indicador de columna]],FALSE)</f>
        <v>0</v>
      </c>
      <c r="Y1375" s="107">
        <f>+VLOOKUP(PROVEEDORES[[#This Row],[ID RETENCION]],Retenciones!$A$1:$O$25,2,FALSE)</f>
        <v>0</v>
      </c>
      <c r="Z1375" s="116" t="b">
        <f>OR(COUNTIF(PROVEEDORES[[#This Row],[PROVEEDOR]],"*"&amp;'Palabra no opera'!$A$2&amp;"*"))</f>
        <v>1</v>
      </c>
    </row>
    <row r="1376" spans="1:26" ht="22.35" customHeight="1" x14ac:dyDescent="0.3">
      <c r="A1376" s="67" t="str">
        <f>+IF(PROVEEDORES[[#This Row],[FECHA DE PAGO]]=PROVEEDORES[[#This Row],[FECHA DE FACTURACIÓN]],"DE CONTADO","CRÉDITO")</f>
        <v>DE CONTADO</v>
      </c>
      <c r="B1376" s="38" t="b">
        <f>+IF((PROVEEDORES[[#This Row],[FECHA DE PAGO]]-PROVEEDORES[[#This Row],[FECHA DE FACTURACIÓN]])&gt;PROVEEDORES[[#This Row],[PLAZO Días]],"PAGO VENCIDO")</f>
        <v>0</v>
      </c>
      <c r="C1376" s="20">
        <f>+VLOOKUP(PROVEEDORES[[#This Row],[PROVEEDOR]],TERCEROS_INFO[#All],2,FALSE)</f>
        <v>60</v>
      </c>
      <c r="D1376" s="25">
        <f>+SUMIFS(PROVEEDORES[Total],PROVEEDORES[PROVEEDOR],PROVEEDORES[[#This Row],[PROVEEDOR]],PROVEEDORES[FECHA DE PAGO],"")</f>
        <v>0</v>
      </c>
      <c r="E1376" s="25"/>
      <c r="F1376" s="56">
        <f>+VLOOKUP(PROVEEDORES[[#This Row],[PROVEEDOR]],
                       Terceros!$A:$F,
                       5,
                       FALSE)</f>
        <v>0</v>
      </c>
      <c r="G1376" s="68">
        <v>45016</v>
      </c>
      <c r="H1376" s="26" t="s">
        <v>951</v>
      </c>
      <c r="I1376" s="68">
        <v>45016</v>
      </c>
      <c r="J1376" s="35" t="s">
        <v>1561</v>
      </c>
      <c r="K1376" s="282">
        <v>-4550000</v>
      </c>
      <c r="L1376" s="21"/>
      <c r="M1376" s="22">
        <f>(PROVEEDORES[[#This Row],[SUBTOTAL]]-PROVEEDORES[[#This Row],[descuento sobre subtotal]])*VLOOKUP(PROVEEDORES[[#This Row],[PROVEEDOR]],TERCEROS_INFO[#All],3,FALSE)</f>
        <v>-864500</v>
      </c>
      <c r="N1376" s="23"/>
      <c r="O1376" s="22">
        <f>+PROVEEDORES[[#This Row],[Descuento sobre subtotal %]]*(PROVEEDORES[[#This Row],[SUBTOTAL]]-PROVEEDORES[[#This Row],[descuento sobre subtotal]])</f>
        <v>0</v>
      </c>
      <c r="P1376" s="74">
        <f>+IF(PROVEEDORES[[#This Row],[SUBTOTAL]]&lt;PROVEEDORES[[#This Row],[base retencion]],0,PROVEEDORES[[#This Row],[retención aplicada]])</f>
        <v>0</v>
      </c>
      <c r="Q1376" s="22">
        <f>+PROVEEDORES[[#This Row],[Rete Fuente %]]*(PROVEEDORES[[#This Row],[SUBTOTAL]]-PROVEEDORES[[#This Row],[descuento sobre subtotal]])</f>
        <v>0</v>
      </c>
      <c r="R1376" s="21">
        <f>+PROVEEDORES[[#This Row],[SUBTOTAL]]+PROVEEDORES[[#This Row],[IVA 19%]]-PROVEEDORES[[#This Row],[descuento sobre subtotal]]-PROVEEDORES[[#This Row],[Descuento sobre subtotal $2]]-PROVEEDORES[[#This Row],[Rete Fuente $]]</f>
        <v>-5414500</v>
      </c>
      <c r="S13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63">
        <f ca="1">IF(PROVEEDORES[[#This Row],[FECHA DE PAGO]]=0,TODAY()-PROVEEDORES[[#This Row],[FECHA DE FACTURACIÓN]]-PROVEEDORES[[#This Row],[PLAZO Días]],0)</f>
        <v>0</v>
      </c>
      <c r="U1376" s="104">
        <f>+VLOOKUP(PROVEEDORES[[#This Row],[PROVEEDOR]],Terceros!$A:$D,4,FALSE)</f>
        <v>0</v>
      </c>
      <c r="V1376" s="105">
        <f>+YEAR(PROVEEDORES[[#This Row],[FECHA DE FACTURACIÓN]])</f>
        <v>2023</v>
      </c>
      <c r="W1376" s="105">
        <f>+MATCH(PROVEEDORES[[#This Row],[año facturado]],Retenciones!$1:$1,0)</f>
        <v>6</v>
      </c>
      <c r="X1376" s="106">
        <f>+VLOOKUP(PROVEEDORES[[#This Row],[ID RETENCION]],Retenciones!$A$1:$O$25,PROVEEDORES[[#This Row],[indicador de columna]],FALSE)</f>
        <v>0</v>
      </c>
      <c r="Y1376" s="107">
        <f>+VLOOKUP(PROVEEDORES[[#This Row],[ID RETENCION]],Retenciones!$A$1:$O$25,2,FALSE)</f>
        <v>0</v>
      </c>
      <c r="Z1376" s="116" t="b">
        <f>OR(COUNTIF(PROVEEDORES[[#This Row],[PROVEEDOR]],"*"&amp;'Palabra no opera'!$A$2&amp;"*"))</f>
        <v>1</v>
      </c>
    </row>
    <row r="1377" spans="1:31" ht="22.35" customHeight="1" x14ac:dyDescent="0.3">
      <c r="A1377" s="265" t="str">
        <f>+IF(PROVEEDORES[[#This Row],[FECHA DE PAGO]]=PROVEEDORES[[#This Row],[FECHA DE FACTURACIÓN]],"DE CONTADO","CRÉDITO")</f>
        <v>CRÉDITO</v>
      </c>
      <c r="B1377" s="38" t="str">
        <f>+IF((PROVEEDORES[[#This Row],[FECHA DE PAGO]]-PROVEEDORES[[#This Row],[FECHA DE FACTURACIÓN]])&gt;PROVEEDORES[[#This Row],[PLAZO Días]],"PAGO VENCIDO")</f>
        <v>PAGO VENCIDO</v>
      </c>
      <c r="C1377" s="20">
        <f>+VLOOKUP(PROVEEDORES[[#This Row],[PROVEEDOR]],TERCEROS_INFO[#All],2,FALSE)</f>
        <v>30</v>
      </c>
      <c r="D1377" s="25">
        <f>+SUMIFS(PROVEEDORES[Total],PROVEEDORES[PROVEEDOR],PROVEEDORES[[#This Row],[PROVEEDOR]],PROVEEDORES[FECHA DE PAGO],"")</f>
        <v>0</v>
      </c>
      <c r="E1377" s="25"/>
      <c r="F1377" s="56">
        <f>+VLOOKUP(PROVEEDORES[[#This Row],[PROVEEDOR]],
                       Terceros!$A:$F,
                       5,
                       FALSE)</f>
        <v>0</v>
      </c>
      <c r="G1377" s="68">
        <v>45017</v>
      </c>
      <c r="H1377" s="26" t="s">
        <v>1436</v>
      </c>
      <c r="I1377" s="68">
        <v>44958</v>
      </c>
      <c r="J1377" s="35">
        <v>6657</v>
      </c>
      <c r="K1377" s="21">
        <v>1144000</v>
      </c>
      <c r="L1377" s="21"/>
      <c r="M1377" s="22">
        <f>(PROVEEDORES[[#This Row],[SUBTOTAL]]-PROVEEDORES[[#This Row],[descuento sobre subtotal]])*VLOOKUP(PROVEEDORES[[#This Row],[PROVEEDOR]],TERCEROS_INFO[#All],3,FALSE)</f>
        <v>0</v>
      </c>
      <c r="N1377" s="23"/>
      <c r="O1377" s="22">
        <f>+PROVEEDORES[[#This Row],[Descuento sobre subtotal %]]*(PROVEEDORES[[#This Row],[SUBTOTAL]]-PROVEEDORES[[#This Row],[descuento sobre subtotal]])</f>
        <v>0</v>
      </c>
      <c r="P1377" s="74">
        <f>+IF(PROVEEDORES[[#This Row],[SUBTOTAL]]&lt;PROVEEDORES[[#This Row],[base retencion]],0,PROVEEDORES[[#This Row],[retención aplicada]])</f>
        <v>0</v>
      </c>
      <c r="Q1377" s="22">
        <f>+PROVEEDORES[[#This Row],[Rete Fuente %]]*(PROVEEDORES[[#This Row],[SUBTOTAL]]-PROVEEDORES[[#This Row],[descuento sobre subtotal]])</f>
        <v>0</v>
      </c>
      <c r="R1377" s="21">
        <f>+PROVEEDORES[[#This Row],[SUBTOTAL]]+PROVEEDORES[[#This Row],[IVA 19%]]-PROVEEDORES[[#This Row],[descuento sobre subtotal]]-PROVEEDORES[[#This Row],[Descuento sobre subtotal $2]]-PROVEEDORES[[#This Row],[Rete Fuente $]]</f>
        <v>1144000</v>
      </c>
      <c r="S1377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7" s="63">
        <f ca="1">IF(PROVEEDORES[[#This Row],[FECHA DE PAGO]]=0,TODAY()-PROVEEDORES[[#This Row],[FECHA DE FACTURACIÓN]]-PROVEEDORES[[#This Row],[PLAZO Días]],0)</f>
        <v>0</v>
      </c>
      <c r="U1377" s="104">
        <f>+VLOOKUP(PROVEEDORES[[#This Row],[PROVEEDOR]],Terceros!$A:$D,4,FALSE)</f>
        <v>0</v>
      </c>
      <c r="V1377" s="105">
        <f>+YEAR(PROVEEDORES[[#This Row],[FECHA DE FACTURACIÓN]])</f>
        <v>2023</v>
      </c>
      <c r="W1377" s="105">
        <f>+MATCH(PROVEEDORES[[#This Row],[año facturado]],Retenciones!$1:$1,0)</f>
        <v>6</v>
      </c>
      <c r="X1377" s="106">
        <f>+VLOOKUP(PROVEEDORES[[#This Row],[ID RETENCION]],Retenciones!$A$1:$O$25,PROVEEDORES[[#This Row],[indicador de columna]],FALSE)</f>
        <v>0</v>
      </c>
      <c r="Y1377" s="107">
        <f>+VLOOKUP(PROVEEDORES[[#This Row],[ID RETENCION]],Retenciones!$A$1:$O$25,2,FALSE)</f>
        <v>0</v>
      </c>
      <c r="Z1377" s="116" t="b">
        <f>OR(COUNTIF(PROVEEDORES[[#This Row],[PROVEEDOR]],"*"&amp;'Palabra no opera'!$A$2&amp;"*"))</f>
        <v>0</v>
      </c>
    </row>
    <row r="1378" spans="1:31" s="307" customFormat="1" ht="22.35" customHeight="1" x14ac:dyDescent="0.3">
      <c r="A1378" s="67" t="str">
        <f>+IF(PROVEEDORES[[#This Row],[FECHA DE PAGO]]=PROVEEDORES[[#This Row],[FECHA DE FACTURACIÓN]],"DE CONTADO","CRÉDITO")</f>
        <v>CRÉDITO</v>
      </c>
      <c r="B1378" s="38" t="b">
        <f>+IF((PROVEEDORES[[#This Row],[FECHA DE PAGO]]-PROVEEDORES[[#This Row],[FECHA DE FACTURACIÓN]])&gt;PROVEEDORES[[#This Row],[PLAZO Días]],"PAGO VENCIDO")</f>
        <v>0</v>
      </c>
      <c r="C1378" s="20">
        <f>+VLOOKUP(PROVEEDORES[[#This Row],[PROVEEDOR]],TERCEROS_INFO[#All],2,FALSE)</f>
        <v>30</v>
      </c>
      <c r="D1378" s="25">
        <f>+SUMIFS(PROVEEDORES[Total],PROVEEDORES[PROVEEDOR],PROVEEDORES[[#This Row],[PROVEEDOR]],PROVEEDORES[FECHA DE PAGO],"")</f>
        <v>0</v>
      </c>
      <c r="E1378" s="25"/>
      <c r="F1378" s="56" t="str">
        <f>+VLOOKUP(PROVEEDORES[[#This Row],[PROVEEDOR]],
                       Terceros!$A:$F,
                       5,
                       FALSE)</f>
        <v/>
      </c>
      <c r="G1378" s="68">
        <v>45018</v>
      </c>
      <c r="H1378" s="26" t="s">
        <v>356</v>
      </c>
      <c r="I1378" s="68">
        <v>45017</v>
      </c>
      <c r="J1378" s="35" t="s">
        <v>1616</v>
      </c>
      <c r="K1378" s="21">
        <v>2200000</v>
      </c>
      <c r="L1378" s="21"/>
      <c r="M1378" s="22">
        <f>(PROVEEDORES[[#This Row],[SUBTOTAL]]-PROVEEDORES[[#This Row],[descuento sobre subtotal]])*VLOOKUP(PROVEEDORES[[#This Row],[PROVEEDOR]],TERCEROS_INFO[#All],3,FALSE)</f>
        <v>0</v>
      </c>
      <c r="N1378" s="23"/>
      <c r="O1378" s="22">
        <f>+PROVEEDORES[[#This Row],[Descuento sobre subtotal %]]*(PROVEEDORES[[#This Row],[SUBTOTAL]]-PROVEEDORES[[#This Row],[descuento sobre subtotal]])</f>
        <v>0</v>
      </c>
      <c r="P1378" s="74">
        <f>+IF(PROVEEDORES[[#This Row],[SUBTOTAL]]&lt;PROVEEDORES[[#This Row],[base retencion]],0,PROVEEDORES[[#This Row],[retención aplicada]])</f>
        <v>0</v>
      </c>
      <c r="Q1378" s="22">
        <f>+PROVEEDORES[[#This Row],[Rete Fuente %]]*(PROVEEDORES[[#This Row],[SUBTOTAL]]-PROVEEDORES[[#This Row],[descuento sobre subtotal]])</f>
        <v>0</v>
      </c>
      <c r="R1378" s="21">
        <f>+PROVEEDORES[[#This Row],[SUBTOTAL]]+PROVEEDORES[[#This Row],[IVA 19%]]-PROVEEDORES[[#This Row],[descuento sobre subtotal]]-PROVEEDORES[[#This Row],[Descuento sobre subtotal $2]]-PROVEEDORES[[#This Row],[Rete Fuente $]]</f>
        <v>2200000</v>
      </c>
      <c r="S13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63">
        <f ca="1">IF(PROVEEDORES[[#This Row],[FECHA DE PAGO]]=0,TODAY()-PROVEEDORES[[#This Row],[FECHA DE FACTURACIÓN]]-PROVEEDORES[[#This Row],[PLAZO Días]],0)</f>
        <v>0</v>
      </c>
      <c r="U1378" s="104">
        <f>+VLOOKUP(PROVEEDORES[[#This Row],[PROVEEDOR]],Terceros!$A:$D,4,FALSE)</f>
        <v>0</v>
      </c>
      <c r="V1378" s="105">
        <f>+YEAR(PROVEEDORES[[#This Row],[FECHA DE FACTURACIÓN]])</f>
        <v>2023</v>
      </c>
      <c r="W1378" s="105">
        <f>+MATCH(PROVEEDORES[[#This Row],[año facturado]],Retenciones!$1:$1,0)</f>
        <v>6</v>
      </c>
      <c r="X1378" s="106">
        <f>+VLOOKUP(PROVEEDORES[[#This Row],[ID RETENCION]],Retenciones!$A$1:$O$25,PROVEEDORES[[#This Row],[indicador de columna]],FALSE)</f>
        <v>0</v>
      </c>
      <c r="Y1378" s="107">
        <f>+VLOOKUP(PROVEEDORES[[#This Row],[ID RETENCION]],Retenciones!$A$1:$O$25,2,FALSE)</f>
        <v>0</v>
      </c>
      <c r="Z1378" s="116" t="b">
        <f>OR(COUNTIF(PROVEEDORES[[#This Row],[PROVEEDOR]],"*"&amp;'Palabra no opera'!$A$2&amp;"*"))</f>
        <v>0</v>
      </c>
      <c r="AA1378" s="304"/>
      <c r="AB1378" s="305"/>
      <c r="AC1378" s="305"/>
      <c r="AD1378" s="306"/>
      <c r="AE1378" s="295"/>
    </row>
    <row r="1379" spans="1:31" ht="22.35" customHeight="1" x14ac:dyDescent="0.3">
      <c r="A1379" s="67" t="str">
        <f>+IF(PROVEEDORES[[#This Row],[FECHA DE PAGO]]=PROVEEDORES[[#This Row],[FECHA DE FACTURACIÓN]],"DE CONTADO","CRÉDITO")</f>
        <v>CRÉDITO</v>
      </c>
      <c r="B1379" s="38" t="b">
        <f>+IF((PROVEEDORES[[#This Row],[FECHA DE PAGO]]-PROVEEDORES[[#This Row],[FECHA DE FACTURACIÓN]])&gt;PROVEEDORES[[#This Row],[PLAZO Días]],"PAGO VENCIDO")</f>
        <v>0</v>
      </c>
      <c r="C1379" s="20">
        <f>+VLOOKUP(PROVEEDORES[[#This Row],[PROVEEDOR]],TERCEROS_INFO[#All],2,FALSE)</f>
        <v>30</v>
      </c>
      <c r="D1379" s="25">
        <f>+SUMIFS(PROVEEDORES[Total],PROVEEDORES[PROVEEDOR],PROVEEDORES[[#This Row],[PROVEEDOR]],PROVEEDORES[FECHA DE PAGO],"")</f>
        <v>4248480.9550000001</v>
      </c>
      <c r="E1379" s="25"/>
      <c r="F1379" s="56" t="str">
        <f>+VLOOKUP(PROVEEDORES[[#This Row],[PROVEEDOR]],
                       Terceros!$A:$F,
                       5,
                       FALSE)</f>
        <v/>
      </c>
      <c r="G1379" s="68">
        <v>45018</v>
      </c>
      <c r="H1379" s="26" t="s">
        <v>78</v>
      </c>
      <c r="I1379" s="68">
        <v>44999</v>
      </c>
      <c r="J1379" s="35" t="s">
        <v>1590</v>
      </c>
      <c r="K1379" s="21">
        <v>55353</v>
      </c>
      <c r="L1379" s="21"/>
      <c r="M1379" s="22">
        <f>(PROVEEDORES[[#This Row],[SUBTOTAL]]-PROVEEDORES[[#This Row],[descuento sobre subtotal]])*VLOOKUP(PROVEEDORES[[#This Row],[PROVEEDOR]],TERCEROS_INFO[#All],3,FALSE)</f>
        <v>10517.07</v>
      </c>
      <c r="N1379" s="23"/>
      <c r="O1379" s="22">
        <f>+PROVEEDORES[[#This Row],[Descuento sobre subtotal %]]*(PROVEEDORES[[#This Row],[SUBTOTAL]]-PROVEEDORES[[#This Row],[descuento sobre subtotal]])</f>
        <v>0</v>
      </c>
      <c r="P1379" s="74">
        <f>+IF(PROVEEDORES[[#This Row],[SUBTOTAL]]&lt;PROVEEDORES[[#This Row],[base retencion]],0,PROVEEDORES[[#This Row],[retención aplicada]])</f>
        <v>0</v>
      </c>
      <c r="Q1379" s="22">
        <f>+PROVEEDORES[[#This Row],[Rete Fuente %]]*(PROVEEDORES[[#This Row],[SUBTOTAL]]-PROVEEDORES[[#This Row],[descuento sobre subtotal]])</f>
        <v>0</v>
      </c>
      <c r="R1379" s="21">
        <f>+PROVEEDORES[[#This Row],[SUBTOTAL]]+PROVEEDORES[[#This Row],[IVA 19%]]-PROVEEDORES[[#This Row],[descuento sobre subtotal]]-PROVEEDORES[[#This Row],[Descuento sobre subtotal $2]]-PROVEEDORES[[#This Row],[Rete Fuente $]]</f>
        <v>65870.070000000007</v>
      </c>
      <c r="S13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9" s="63">
        <f ca="1">IF(PROVEEDORES[[#This Row],[FECHA DE PAGO]]=0,TODAY()-PROVEEDORES[[#This Row],[FECHA DE FACTURACIÓN]]-PROVEEDORES[[#This Row],[PLAZO Días]],0)</f>
        <v>0</v>
      </c>
      <c r="U1379" s="104" t="str">
        <f>+VLOOKUP(PROVEEDORES[[#This Row],[PROVEEDOR]],Terceros!$A:$D,4,FALSE)</f>
        <v>2,5% con base</v>
      </c>
      <c r="V1379" s="105">
        <f>+YEAR(PROVEEDORES[[#This Row],[FECHA DE FACTURACIÓN]])</f>
        <v>2023</v>
      </c>
      <c r="W1379" s="105">
        <f>+MATCH(PROVEEDORES[[#This Row],[año facturado]],Retenciones!$1:$1,0)</f>
        <v>6</v>
      </c>
      <c r="X1379" s="106">
        <f>+VLOOKUP(PROVEEDORES[[#This Row],[ID RETENCION]],Retenciones!$A$1:$O$25,PROVEEDORES[[#This Row],[indicador de columna]],FALSE)</f>
        <v>1145000</v>
      </c>
      <c r="Y1379" s="107">
        <f>+VLOOKUP(PROVEEDORES[[#This Row],[ID RETENCION]],Retenciones!$A$1:$O$25,2,FALSE)</f>
        <v>2.5000000000000001E-2</v>
      </c>
      <c r="Z1379" s="116" t="b">
        <f>OR(COUNTIF(PROVEEDORES[[#This Row],[PROVEEDOR]],"*"&amp;'Palabra no opera'!$A$2&amp;"*"))</f>
        <v>0</v>
      </c>
    </row>
    <row r="1380" spans="1:31" ht="22.35" customHeight="1" x14ac:dyDescent="0.3">
      <c r="A1380" s="252" t="str">
        <f>+IF(PROVEEDORES[[#This Row],[FECHA DE PAGO]]=PROVEEDORES[[#This Row],[FECHA DE FACTURACIÓN]],"DE CONTADO","CRÉDITO")</f>
        <v>CRÉDITO</v>
      </c>
      <c r="B1380" s="38" t="str">
        <f>+IF((PROVEEDORES[[#This Row],[FECHA DE PAGO]]-PROVEEDORES[[#This Row],[FECHA DE FACTURACIÓN]])&gt;PROVEEDORES[[#This Row],[PLAZO Días]],"PAGO VENCIDO")</f>
        <v>PAGO VENCIDO</v>
      </c>
      <c r="C1380" s="20">
        <f>+VLOOKUP(PROVEEDORES[[#This Row],[PROVEEDOR]],TERCEROS_INFO[#All],2,FALSE)</f>
        <v>30</v>
      </c>
      <c r="D1380" s="25">
        <f>+SUMIFS(PROVEEDORES[Total],PROVEEDORES[PROVEEDOR],PROVEEDORES[[#This Row],[PROVEEDOR]],PROVEEDORES[FECHA DE PAGO],"")</f>
        <v>4282200</v>
      </c>
      <c r="E1380" s="25"/>
      <c r="F1380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380" s="68">
        <v>45019</v>
      </c>
      <c r="H1380" s="26" t="s">
        <v>406</v>
      </c>
      <c r="I1380" s="68">
        <v>44902</v>
      </c>
      <c r="J1380" s="35">
        <v>2685</v>
      </c>
      <c r="K1380" s="21">
        <v>2136900</v>
      </c>
      <c r="L1380" s="21"/>
      <c r="M1380" s="22">
        <f>(PROVEEDORES[[#This Row],[SUBTOTAL]]-PROVEEDORES[[#This Row],[descuento sobre subtotal]])*VLOOKUP(PROVEEDORES[[#This Row],[PROVEEDOR]],TERCEROS_INFO[#All],3,FALSE)</f>
        <v>0</v>
      </c>
      <c r="N1380" s="23"/>
      <c r="O1380" s="22">
        <f>+PROVEEDORES[[#This Row],[Descuento sobre subtotal %]]*(PROVEEDORES[[#This Row],[SUBTOTAL]]-PROVEEDORES[[#This Row],[descuento sobre subtotal]])</f>
        <v>0</v>
      </c>
      <c r="P1380" s="74">
        <f>+IF(PROVEEDORES[[#This Row],[SUBTOTAL]]&lt;PROVEEDORES[[#This Row],[base retencion]],0,PROVEEDORES[[#This Row],[retención aplicada]])</f>
        <v>0</v>
      </c>
      <c r="Q1380" s="22">
        <f>+PROVEEDORES[[#This Row],[Rete Fuente %]]*(PROVEEDORES[[#This Row],[SUBTOTAL]]-PROVEEDORES[[#This Row],[descuento sobre subtotal]])</f>
        <v>0</v>
      </c>
      <c r="R1380" s="21">
        <f>+PROVEEDORES[[#This Row],[SUBTOTAL]]+PROVEEDORES[[#This Row],[IVA 19%]]-PROVEEDORES[[#This Row],[descuento sobre subtotal]]-PROVEEDORES[[#This Row],[Descuento sobre subtotal $2]]-PROVEEDORES[[#This Row],[Rete Fuente $]]</f>
        <v>2136900</v>
      </c>
      <c r="S1380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0" s="63">
        <f ca="1">IF(PROVEEDORES[[#This Row],[FECHA DE PAGO]]=0,TODAY()-PROVEEDORES[[#This Row],[FECHA DE FACTURACIÓN]]-PROVEEDORES[[#This Row],[PLAZO Días]],0)</f>
        <v>0</v>
      </c>
      <c r="U1380" s="104">
        <f>+VLOOKUP(PROVEEDORES[[#This Row],[PROVEEDOR]],Terceros!$A:$D,4,FALSE)</f>
        <v>0</v>
      </c>
      <c r="V1380" s="105">
        <f>+YEAR(PROVEEDORES[[#This Row],[FECHA DE FACTURACIÓN]])</f>
        <v>2022</v>
      </c>
      <c r="W1380" s="105">
        <f>+MATCH(PROVEEDORES[[#This Row],[año facturado]],Retenciones!$1:$1,0)</f>
        <v>5</v>
      </c>
      <c r="X1380" s="106">
        <f>+VLOOKUP(PROVEEDORES[[#This Row],[ID RETENCION]],Retenciones!$A$1:$O$25,PROVEEDORES[[#This Row],[indicador de columna]],FALSE)</f>
        <v>0</v>
      </c>
      <c r="Y1380" s="107">
        <f>+VLOOKUP(PROVEEDORES[[#This Row],[ID RETENCION]],Retenciones!$A$1:$O$25,2,FALSE)</f>
        <v>0</v>
      </c>
      <c r="Z1380" s="116" t="b">
        <f>OR(COUNTIF(PROVEEDORES[[#This Row],[PROVEEDOR]],"*"&amp;'Palabra no opera'!$A$2&amp;"*"))</f>
        <v>0</v>
      </c>
    </row>
    <row r="1381" spans="1:31" ht="22.35" customHeight="1" x14ac:dyDescent="0.3">
      <c r="A1381" s="252" t="str">
        <f>+IF(PROVEEDORES[[#This Row],[FECHA DE PAGO]]=PROVEEDORES[[#This Row],[FECHA DE FACTURACIÓN]],"DE CONTADO","CRÉDITO")</f>
        <v>CRÉDITO</v>
      </c>
      <c r="B1381" s="38" t="str">
        <f>+IF((PROVEEDORES[[#This Row],[FECHA DE PAGO]]-PROVEEDORES[[#This Row],[FECHA DE FACTURACIÓN]])&gt;PROVEEDORES[[#This Row],[PLAZO Días]],"PAGO VENCIDO")</f>
        <v>PAGO VENCIDO</v>
      </c>
      <c r="C1381" s="20">
        <f>+VLOOKUP(PROVEEDORES[[#This Row],[PROVEEDOR]],TERCEROS_INFO[#All],2,FALSE)</f>
        <v>30</v>
      </c>
      <c r="D1381" s="25">
        <f>+SUMIFS(PROVEEDORES[Total],PROVEEDORES[PROVEEDOR],PROVEEDORES[[#This Row],[PROVEEDOR]],PROVEEDORES[FECHA DE PAGO],"")</f>
        <v>4282200</v>
      </c>
      <c r="E1381" s="25"/>
      <c r="F1381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381" s="68">
        <v>45019</v>
      </c>
      <c r="H1381" s="26" t="s">
        <v>406</v>
      </c>
      <c r="I1381" s="68">
        <v>44902</v>
      </c>
      <c r="J1381" s="35">
        <v>2687</v>
      </c>
      <c r="K1381" s="21">
        <v>380000</v>
      </c>
      <c r="L1381" s="21"/>
      <c r="M1381" s="22">
        <f>(PROVEEDORES[[#This Row],[SUBTOTAL]]-PROVEEDORES[[#This Row],[descuento sobre subtotal]])*VLOOKUP(PROVEEDORES[[#This Row],[PROVEEDOR]],TERCEROS_INFO[#All],3,FALSE)</f>
        <v>0</v>
      </c>
      <c r="N1381" s="23"/>
      <c r="O1381" s="22">
        <f>+PROVEEDORES[[#This Row],[Descuento sobre subtotal %]]*(PROVEEDORES[[#This Row],[SUBTOTAL]]-PROVEEDORES[[#This Row],[descuento sobre subtotal]])</f>
        <v>0</v>
      </c>
      <c r="P1381" s="74">
        <f>+IF(PROVEEDORES[[#This Row],[SUBTOTAL]]&lt;PROVEEDORES[[#This Row],[base retencion]],0,PROVEEDORES[[#This Row],[retención aplicada]])</f>
        <v>0</v>
      </c>
      <c r="Q1381" s="22">
        <f>+PROVEEDORES[[#This Row],[Rete Fuente %]]*(PROVEEDORES[[#This Row],[SUBTOTAL]]-PROVEEDORES[[#This Row],[descuento sobre subtotal]])</f>
        <v>0</v>
      </c>
      <c r="R1381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1381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1" s="63">
        <f ca="1">IF(PROVEEDORES[[#This Row],[FECHA DE PAGO]]=0,TODAY()-PROVEEDORES[[#This Row],[FECHA DE FACTURACIÓN]]-PROVEEDORES[[#This Row],[PLAZO Días]],0)</f>
        <v>0</v>
      </c>
      <c r="U1381" s="104">
        <f>+VLOOKUP(PROVEEDORES[[#This Row],[PROVEEDOR]],Terceros!$A:$D,4,FALSE)</f>
        <v>0</v>
      </c>
      <c r="V1381" s="105">
        <f>+YEAR(PROVEEDORES[[#This Row],[FECHA DE FACTURACIÓN]])</f>
        <v>2022</v>
      </c>
      <c r="W1381" s="105">
        <f>+MATCH(PROVEEDORES[[#This Row],[año facturado]],Retenciones!$1:$1,0)</f>
        <v>5</v>
      </c>
      <c r="X1381" s="106">
        <f>+VLOOKUP(PROVEEDORES[[#This Row],[ID RETENCION]],Retenciones!$A$1:$O$25,PROVEEDORES[[#This Row],[indicador de columna]],FALSE)</f>
        <v>0</v>
      </c>
      <c r="Y1381" s="107">
        <f>+VLOOKUP(PROVEEDORES[[#This Row],[ID RETENCION]],Retenciones!$A$1:$O$25,2,FALSE)</f>
        <v>0</v>
      </c>
      <c r="Z1381" s="116" t="b">
        <f>OR(COUNTIF(PROVEEDORES[[#This Row],[PROVEEDOR]],"*"&amp;'Palabra no opera'!$A$2&amp;"*"))</f>
        <v>0</v>
      </c>
    </row>
    <row r="1382" spans="1:31" ht="22.35" customHeight="1" x14ac:dyDescent="0.3">
      <c r="A1382" s="67" t="str">
        <f>+IF(PROVEEDORES[[#This Row],[FECHA DE PAGO]]=PROVEEDORES[[#This Row],[FECHA DE FACTURACIÓN]],"DE CONTADO","CRÉDITO")</f>
        <v>CRÉDITO</v>
      </c>
      <c r="B1382" s="38" t="str">
        <f>+IF((PROVEEDORES[[#This Row],[FECHA DE PAGO]]-PROVEEDORES[[#This Row],[FECHA DE FACTURACIÓN]])&gt;PROVEEDORES[[#This Row],[PLAZO Días]],"PAGO VENCIDO")</f>
        <v>PAGO VENCIDO</v>
      </c>
      <c r="C1382" s="20">
        <f>+VLOOKUP(PROVEEDORES[[#This Row],[PROVEEDOR]],TERCEROS_INFO[#All],2,FALSE)</f>
        <v>30</v>
      </c>
      <c r="D1382" s="25">
        <f>+SUMIFS(PROVEEDORES[Total],PROVEEDORES[PROVEEDOR],PROVEEDORES[[#This Row],[PROVEEDOR]],PROVEEDORES[FECHA DE PAGO],"")</f>
        <v>0</v>
      </c>
      <c r="E1382" s="25"/>
      <c r="F1382" s="56">
        <f>+VLOOKUP(PROVEEDORES[[#This Row],[PROVEEDOR]],
                       Terceros!$A:$F,
                       5,
                       FALSE)</f>
        <v>0</v>
      </c>
      <c r="G1382" s="68">
        <v>45019</v>
      </c>
      <c r="H1382" s="26" t="s">
        <v>1231</v>
      </c>
      <c r="I1382" s="68">
        <v>44866</v>
      </c>
      <c r="J1382" s="234" t="s">
        <v>1232</v>
      </c>
      <c r="K1382" s="21">
        <v>-925500</v>
      </c>
      <c r="L1382" s="21"/>
      <c r="M1382" s="22">
        <f>(PROVEEDORES[[#This Row],[SUBTOTAL]]-PROVEEDORES[[#This Row],[descuento sobre subtotal]])*VLOOKUP(PROVEEDORES[[#This Row],[PROVEEDOR]],TERCEROS_INFO[#All],3,FALSE)</f>
        <v>0</v>
      </c>
      <c r="N1382" s="23"/>
      <c r="O1382" s="22">
        <f>+PROVEEDORES[[#This Row],[Descuento sobre subtotal %]]*(PROVEEDORES[[#This Row],[SUBTOTAL]]-PROVEEDORES[[#This Row],[descuento sobre subtotal]])</f>
        <v>0</v>
      </c>
      <c r="P1382" s="74">
        <f>+IF(PROVEEDORES[[#This Row],[SUBTOTAL]]&lt;PROVEEDORES[[#This Row],[base retencion]],0,PROVEEDORES[[#This Row],[retención aplicada]])</f>
        <v>0</v>
      </c>
      <c r="Q1382" s="22">
        <f>+PROVEEDORES[[#This Row],[Rete Fuente %]]*(PROVEEDORES[[#This Row],[SUBTOTAL]]-PROVEEDORES[[#This Row],[descuento sobre subtotal]])</f>
        <v>0</v>
      </c>
      <c r="R1382" s="21">
        <f>+PROVEEDORES[[#This Row],[SUBTOTAL]]+PROVEEDORES[[#This Row],[IVA 19%]]-PROVEEDORES[[#This Row],[descuento sobre subtotal]]-PROVEEDORES[[#This Row],[Descuento sobre subtotal $2]]-PROVEEDORES[[#This Row],[Rete Fuente $]]</f>
        <v>-925500</v>
      </c>
      <c r="S13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2" s="63">
        <f ca="1">IF(PROVEEDORES[[#This Row],[FECHA DE PAGO]]=0,TODAY()-PROVEEDORES[[#This Row],[FECHA DE FACTURACIÓN]]-PROVEEDORES[[#This Row],[PLAZO Días]],0)</f>
        <v>0</v>
      </c>
      <c r="U1382" s="104">
        <f>+VLOOKUP(PROVEEDORES[[#This Row],[PROVEEDOR]],Terceros!$A:$D,4,FALSE)</f>
        <v>0</v>
      </c>
      <c r="V1382" s="105">
        <f>+YEAR(PROVEEDORES[[#This Row],[FECHA DE FACTURACIÓN]])</f>
        <v>2022</v>
      </c>
      <c r="W1382" s="105">
        <f>+MATCH(PROVEEDORES[[#This Row],[año facturado]],Retenciones!$1:$1,0)</f>
        <v>5</v>
      </c>
      <c r="X1382" s="106">
        <f>+VLOOKUP(PROVEEDORES[[#This Row],[ID RETENCION]],Retenciones!$A$1:$O$25,PROVEEDORES[[#This Row],[indicador de columna]],FALSE)</f>
        <v>0</v>
      </c>
      <c r="Y1382" s="107">
        <f>+VLOOKUP(PROVEEDORES[[#This Row],[ID RETENCION]],Retenciones!$A$1:$O$25,2,FALSE)</f>
        <v>0</v>
      </c>
      <c r="Z1382" s="116" t="b">
        <f>OR(COUNTIF(PROVEEDORES[[#This Row],[PROVEEDOR]],"*"&amp;'Palabra no opera'!$A$2&amp;"*"))</f>
        <v>0</v>
      </c>
    </row>
    <row r="1383" spans="1:31" ht="22.35" customHeight="1" x14ac:dyDescent="0.3">
      <c r="A1383" s="280" t="str">
        <f>+IF(PROVEEDORES[[#This Row],[FECHA DE PAGO]]=PROVEEDORES[[#This Row],[FECHA DE FACTURACIÓN]],"DE CONTADO","CRÉDITO")</f>
        <v>CRÉDITO</v>
      </c>
      <c r="B1383" s="38" t="str">
        <f>+IF((PROVEEDORES[[#This Row],[FECHA DE PAGO]]-PROVEEDORES[[#This Row],[FECHA DE FACTURACIÓN]])&gt;PROVEEDORES[[#This Row],[PLAZO Días]],"PAGO VENCIDO")</f>
        <v>PAGO VENCIDO</v>
      </c>
      <c r="C1383" s="20">
        <f>+VLOOKUP(PROVEEDORES[[#This Row],[PROVEEDOR]],TERCEROS_INFO[#All],2,FALSE)</f>
        <v>30</v>
      </c>
      <c r="D1383" s="25">
        <f>+SUMIFS(PROVEEDORES[Total],PROVEEDORES[PROVEEDOR],PROVEEDORES[[#This Row],[PROVEEDOR]],PROVEEDORES[FECHA DE PAGO],"")</f>
        <v>0</v>
      </c>
      <c r="E1383" s="25"/>
      <c r="F1383" s="56">
        <f>+VLOOKUP(PROVEEDORES[[#This Row],[PROVEEDOR]],
                       Terceros!$A:$F,
                       5,
                       FALSE)</f>
        <v>0</v>
      </c>
      <c r="G1383" s="68">
        <v>45019</v>
      </c>
      <c r="H1383" s="26" t="s">
        <v>1231</v>
      </c>
      <c r="I1383" s="68">
        <v>44866</v>
      </c>
      <c r="J1383" s="35" t="s">
        <v>1540</v>
      </c>
      <c r="K1383" s="21">
        <v>1891500</v>
      </c>
      <c r="L1383" s="21"/>
      <c r="M1383" s="22">
        <f>(PROVEEDORES[[#This Row],[SUBTOTAL]]-PROVEEDORES[[#This Row],[descuento sobre subtotal]])*VLOOKUP(PROVEEDORES[[#This Row],[PROVEEDOR]],TERCEROS_INFO[#All],3,FALSE)</f>
        <v>0</v>
      </c>
      <c r="N1383" s="23"/>
      <c r="O1383" s="22">
        <f>+PROVEEDORES[[#This Row],[Descuento sobre subtotal %]]*(PROVEEDORES[[#This Row],[SUBTOTAL]]-PROVEEDORES[[#This Row],[descuento sobre subtotal]])</f>
        <v>0</v>
      </c>
      <c r="P1383" s="74">
        <f>+IF(PROVEEDORES[[#This Row],[SUBTOTAL]]&lt;PROVEEDORES[[#This Row],[base retencion]],0,PROVEEDORES[[#This Row],[retención aplicada]])</f>
        <v>0</v>
      </c>
      <c r="Q1383" s="22">
        <f>+PROVEEDORES[[#This Row],[Rete Fuente %]]*(PROVEEDORES[[#This Row],[SUBTOTAL]]-PROVEEDORES[[#This Row],[descuento sobre subtotal]])</f>
        <v>0</v>
      </c>
      <c r="R1383" s="21">
        <f>+PROVEEDORES[[#This Row],[SUBTOTAL]]+PROVEEDORES[[#This Row],[IVA 19%]]-PROVEEDORES[[#This Row],[descuento sobre subtotal]]-PROVEEDORES[[#This Row],[Descuento sobre subtotal $2]]-PROVEEDORES[[#This Row],[Rete Fuente $]]</f>
        <v>1891500</v>
      </c>
      <c r="S138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63">
        <f ca="1">IF(PROVEEDORES[[#This Row],[FECHA DE PAGO]]=0,TODAY()-PROVEEDORES[[#This Row],[FECHA DE FACTURACIÓN]]-PROVEEDORES[[#This Row],[PLAZO Días]],0)</f>
        <v>0</v>
      </c>
      <c r="U1383" s="104">
        <f>+VLOOKUP(PROVEEDORES[[#This Row],[PROVEEDOR]],Terceros!$A:$D,4,FALSE)</f>
        <v>0</v>
      </c>
      <c r="V1383" s="105">
        <f>+YEAR(PROVEEDORES[[#This Row],[FECHA DE FACTURACIÓN]])</f>
        <v>2022</v>
      </c>
      <c r="W1383" s="105">
        <f>+MATCH(PROVEEDORES[[#This Row],[año facturado]],Retenciones!$1:$1,0)</f>
        <v>5</v>
      </c>
      <c r="X1383" s="106">
        <f>+VLOOKUP(PROVEEDORES[[#This Row],[ID RETENCION]],Retenciones!$A$1:$O$25,PROVEEDORES[[#This Row],[indicador de columna]],FALSE)</f>
        <v>0</v>
      </c>
      <c r="Y1383" s="107">
        <f>+VLOOKUP(PROVEEDORES[[#This Row],[ID RETENCION]],Retenciones!$A$1:$O$25,2,FALSE)</f>
        <v>0</v>
      </c>
      <c r="Z1383" s="116" t="b">
        <f>OR(COUNTIF(PROVEEDORES[[#This Row],[PROVEEDOR]],"*"&amp;'Palabra no opera'!$A$2&amp;"*"))</f>
        <v>0</v>
      </c>
    </row>
    <row r="1384" spans="1:31" ht="22.35" customHeight="1" x14ac:dyDescent="0.3">
      <c r="A1384" s="67" t="str">
        <f>+IF(PROVEEDORES[[#This Row],[FECHA DE PAGO]]=PROVEEDORES[[#This Row],[FECHA DE FACTURACIÓN]],"DE CONTADO","CRÉDITO")</f>
        <v>CRÉDITO</v>
      </c>
      <c r="B1384" s="38" t="str">
        <f>+IF((PROVEEDORES[[#This Row],[FECHA DE PAGO]]-PROVEEDORES[[#This Row],[FECHA DE FACTURACIÓN]])&gt;PROVEEDORES[[#This Row],[PLAZO Días]],"PAGO VENCIDO")</f>
        <v>PAGO VENCIDO</v>
      </c>
      <c r="C1384" s="20">
        <f>+VLOOKUP(PROVEEDORES[[#This Row],[PROVEEDOR]],TERCEROS_INFO[#All],2,FALSE)</f>
        <v>30</v>
      </c>
      <c r="D1384" s="25">
        <f>+SUMIFS(PROVEEDORES[Total],PROVEEDORES[PROVEEDOR],PROVEEDORES[[#This Row],[PROVEEDOR]],PROVEEDORES[FECHA DE PAGO],"")</f>
        <v>1316890.8900000001</v>
      </c>
      <c r="E1384" s="25"/>
      <c r="F138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84" s="68">
        <v>45019</v>
      </c>
      <c r="H1384" s="26" t="s">
        <v>17</v>
      </c>
      <c r="I1384" s="68">
        <v>44985</v>
      </c>
      <c r="J1384" s="35" t="s">
        <v>1478</v>
      </c>
      <c r="K1384" s="21">
        <v>1457850</v>
      </c>
      <c r="L1384" s="21"/>
      <c r="M1384" s="22">
        <v>0</v>
      </c>
      <c r="N1384" s="23"/>
      <c r="O1384" s="22">
        <f>+PROVEEDORES[[#This Row],[Descuento sobre subtotal %]]*(PROVEEDORES[[#This Row],[SUBTOTAL]]-PROVEEDORES[[#This Row],[descuento sobre subtotal]])</f>
        <v>0</v>
      </c>
      <c r="P1384" s="74">
        <f>+IF(PROVEEDORES[[#This Row],[SUBTOTAL]]&lt;PROVEEDORES[[#This Row],[base retencion]],0,PROVEEDORES[[#This Row],[retención aplicada]])</f>
        <v>0</v>
      </c>
      <c r="Q1384" s="22">
        <f>+PROVEEDORES[[#This Row],[Rete Fuente %]]*(PROVEEDORES[[#This Row],[SUBTOTAL]]-PROVEEDORES[[#This Row],[descuento sobre subtotal]])</f>
        <v>0</v>
      </c>
      <c r="R1384" s="21">
        <f>+PROVEEDORES[[#This Row],[SUBTOTAL]]+PROVEEDORES[[#This Row],[IVA 19%]]-PROVEEDORES[[#This Row],[descuento sobre subtotal]]-PROVEEDORES[[#This Row],[Descuento sobre subtotal $2]]-PROVEEDORES[[#This Row],[Rete Fuente $]]</f>
        <v>1457850</v>
      </c>
      <c r="S13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63">
        <f ca="1">IF(PROVEEDORES[[#This Row],[FECHA DE PAGO]]=0,TODAY()-PROVEEDORES[[#This Row],[FECHA DE FACTURACIÓN]]-PROVEEDORES[[#This Row],[PLAZO Días]],0)</f>
        <v>0</v>
      </c>
      <c r="U1384" s="104">
        <f>+VLOOKUP(PROVEEDORES[[#This Row],[PROVEEDOR]],Terceros!$A:$D,4,FALSE)</f>
        <v>0</v>
      </c>
      <c r="V1384" s="105">
        <f>+YEAR(PROVEEDORES[[#This Row],[FECHA DE FACTURACIÓN]])</f>
        <v>2023</v>
      </c>
      <c r="W1384" s="105">
        <f>+MATCH(PROVEEDORES[[#This Row],[año facturado]],Retenciones!$1:$1,0)</f>
        <v>6</v>
      </c>
      <c r="X1384" s="106">
        <f>+VLOOKUP(PROVEEDORES[[#This Row],[ID RETENCION]],Retenciones!$A$1:$O$25,PROVEEDORES[[#This Row],[indicador de columna]],FALSE)</f>
        <v>0</v>
      </c>
      <c r="Y1384" s="107">
        <f>+VLOOKUP(PROVEEDORES[[#This Row],[ID RETENCION]],Retenciones!$A$1:$O$25,2,FALSE)</f>
        <v>0</v>
      </c>
      <c r="Z1384" s="116" t="b">
        <f>OR(COUNTIF(PROVEEDORES[[#This Row],[PROVEEDOR]],"*"&amp;'Palabra no opera'!$A$2&amp;"*"))</f>
        <v>0</v>
      </c>
    </row>
    <row r="1385" spans="1:31" ht="22.35" customHeight="1" x14ac:dyDescent="0.3">
      <c r="A1385" s="67" t="str">
        <f>+IF(PROVEEDORES[[#This Row],[FECHA DE PAGO]]=PROVEEDORES[[#This Row],[FECHA DE FACTURACIÓN]],"DE CONTADO","CRÉDITO")</f>
        <v>CRÉDITO</v>
      </c>
      <c r="B1385" s="38" t="str">
        <f>+IF((PROVEEDORES[[#This Row],[FECHA DE PAGO]]-PROVEEDORES[[#This Row],[FECHA DE FACTURACIÓN]])&gt;PROVEEDORES[[#This Row],[PLAZO Días]],"PAGO VENCIDO")</f>
        <v>PAGO VENCIDO</v>
      </c>
      <c r="C1385" s="20">
        <f>+VLOOKUP(PROVEEDORES[[#This Row],[PROVEEDOR]],TERCEROS_INFO[#All],2,FALSE)</f>
        <v>30</v>
      </c>
      <c r="D1385" s="25">
        <f>+SUMIFS(PROVEEDORES[Total],PROVEEDORES[PROVEEDOR],PROVEEDORES[[#This Row],[PROVEEDOR]],PROVEEDORES[FECHA DE PAGO],"")</f>
        <v>0</v>
      </c>
      <c r="E1385" s="25"/>
      <c r="F1385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385" s="68">
        <v>45019</v>
      </c>
      <c r="H1385" s="26" t="s">
        <v>248</v>
      </c>
      <c r="I1385" s="68">
        <v>44950</v>
      </c>
      <c r="J1385" s="35" t="s">
        <v>1422</v>
      </c>
      <c r="K1385" s="21">
        <v>-396847</v>
      </c>
      <c r="L1385" s="21"/>
      <c r="M1385" s="22">
        <f>(PROVEEDORES[[#This Row],[SUBTOTAL]]-PROVEEDORES[[#This Row],[descuento sobre subtotal]])*VLOOKUP(PROVEEDORES[[#This Row],[PROVEEDOR]],TERCEROS_INFO[#All],3,FALSE)</f>
        <v>-75400.930000000008</v>
      </c>
      <c r="N1385" s="23"/>
      <c r="O1385" s="22">
        <f>+PROVEEDORES[[#This Row],[Descuento sobre subtotal %]]*(PROVEEDORES[[#This Row],[SUBTOTAL]]-PROVEEDORES[[#This Row],[descuento sobre subtotal]])</f>
        <v>0</v>
      </c>
      <c r="P1385" s="74">
        <f>+IF(PROVEEDORES[[#This Row],[SUBTOTAL]]&lt;PROVEEDORES[[#This Row],[base retencion]],0,PROVEEDORES[[#This Row],[retención aplicada]])</f>
        <v>0</v>
      </c>
      <c r="Q1385" s="22">
        <f>+PROVEEDORES[[#This Row],[Rete Fuente %]]*(PROVEEDORES[[#This Row],[SUBTOTAL]]-PROVEEDORES[[#This Row],[descuento sobre subtotal]])</f>
        <v>0</v>
      </c>
      <c r="R1385" s="21">
        <f>+PROVEEDORES[[#This Row],[SUBTOTAL]]+PROVEEDORES[[#This Row],[IVA 19%]]-PROVEEDORES[[#This Row],[descuento sobre subtotal]]-PROVEEDORES[[#This Row],[Descuento sobre subtotal $2]]-PROVEEDORES[[#This Row],[Rete Fuente $]]</f>
        <v>-472247.93</v>
      </c>
      <c r="S138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5" s="63">
        <f ca="1">IF(PROVEEDORES[[#This Row],[FECHA DE PAGO]]=0,TODAY()-PROVEEDORES[[#This Row],[FECHA DE FACTURACIÓN]]-PROVEEDORES[[#This Row],[PLAZO Días]],0)</f>
        <v>0</v>
      </c>
      <c r="U1385" s="104">
        <f>+VLOOKUP(PROVEEDORES[[#This Row],[PROVEEDOR]],Terceros!$A:$D,4,FALSE)</f>
        <v>0</v>
      </c>
      <c r="V1385" s="105">
        <f>+YEAR(PROVEEDORES[[#This Row],[FECHA DE FACTURACIÓN]])</f>
        <v>2023</v>
      </c>
      <c r="W1385" s="105">
        <f>+MATCH(PROVEEDORES[[#This Row],[año facturado]],Retenciones!$1:$1,0)</f>
        <v>6</v>
      </c>
      <c r="X1385" s="106">
        <f>+VLOOKUP(PROVEEDORES[[#This Row],[ID RETENCION]],Retenciones!$A$1:$O$25,PROVEEDORES[[#This Row],[indicador de columna]],FALSE)</f>
        <v>0</v>
      </c>
      <c r="Y1385" s="107">
        <f>+VLOOKUP(PROVEEDORES[[#This Row],[ID RETENCION]],Retenciones!$A$1:$O$25,2,FALSE)</f>
        <v>0</v>
      </c>
      <c r="Z1385" s="116" t="b">
        <f>OR(COUNTIF(PROVEEDORES[[#This Row],[PROVEEDOR]],"*"&amp;'Palabra no opera'!$A$2&amp;"*"))</f>
        <v>0</v>
      </c>
    </row>
    <row r="1386" spans="1:31" ht="22.35" customHeight="1" x14ac:dyDescent="0.3">
      <c r="A1386" s="280" t="str">
        <f>+IF(PROVEEDORES[[#This Row],[FECHA DE PAGO]]=PROVEEDORES[[#This Row],[FECHA DE FACTURACIÓN]],"DE CONTADO","CRÉDITO")</f>
        <v>CRÉDITO</v>
      </c>
      <c r="B1386" s="38" t="str">
        <f>+IF((PROVEEDORES[[#This Row],[FECHA DE PAGO]]-PROVEEDORES[[#This Row],[FECHA DE FACTURACIÓN]])&gt;PROVEEDORES[[#This Row],[PLAZO Días]],"PAGO VENCIDO")</f>
        <v>PAGO VENCIDO</v>
      </c>
      <c r="C1386" s="20">
        <f>+VLOOKUP(PROVEEDORES[[#This Row],[PROVEEDOR]],TERCEROS_INFO[#All],2,FALSE)</f>
        <v>30</v>
      </c>
      <c r="D1386" s="25">
        <f>+SUMIFS(PROVEEDORES[Total],PROVEEDORES[PROVEEDOR],PROVEEDORES[[#This Row],[PROVEEDOR]],PROVEEDORES[FECHA DE PAGO],"")</f>
        <v>0</v>
      </c>
      <c r="E1386" s="25"/>
      <c r="F1386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386" s="68">
        <v>45019</v>
      </c>
      <c r="H1386" s="26" t="s">
        <v>248</v>
      </c>
      <c r="I1386" s="68">
        <v>44950</v>
      </c>
      <c r="J1386" s="35" t="s">
        <v>1541</v>
      </c>
      <c r="K1386" s="21">
        <v>-254663</v>
      </c>
      <c r="L1386" s="21"/>
      <c r="M1386" s="22">
        <f>(PROVEEDORES[[#This Row],[SUBTOTAL]]-PROVEEDORES[[#This Row],[descuento sobre subtotal]])*VLOOKUP(PROVEEDORES[[#This Row],[PROVEEDOR]],TERCEROS_INFO[#All],3,FALSE)</f>
        <v>-48385.97</v>
      </c>
      <c r="N1386" s="23"/>
      <c r="O1386" s="22">
        <f>+PROVEEDORES[[#This Row],[Descuento sobre subtotal %]]*(PROVEEDORES[[#This Row],[SUBTOTAL]]-PROVEEDORES[[#This Row],[descuento sobre subtotal]])</f>
        <v>0</v>
      </c>
      <c r="P1386" s="74">
        <f>+IF(PROVEEDORES[[#This Row],[SUBTOTAL]]&lt;PROVEEDORES[[#This Row],[base retencion]],0,PROVEEDORES[[#This Row],[retención aplicada]])</f>
        <v>0</v>
      </c>
      <c r="Q1386" s="22">
        <f>+PROVEEDORES[[#This Row],[Rete Fuente %]]*(PROVEEDORES[[#This Row],[SUBTOTAL]]-PROVEEDORES[[#This Row],[descuento sobre subtotal]])</f>
        <v>0</v>
      </c>
      <c r="R1386" s="21">
        <f>+PROVEEDORES[[#This Row],[SUBTOTAL]]+PROVEEDORES[[#This Row],[IVA 19%]]-PROVEEDORES[[#This Row],[descuento sobre subtotal]]-PROVEEDORES[[#This Row],[Descuento sobre subtotal $2]]-PROVEEDORES[[#This Row],[Rete Fuente $]]</f>
        <v>-303048.96999999997</v>
      </c>
      <c r="S1386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6" s="63">
        <f ca="1">IF(PROVEEDORES[[#This Row],[FECHA DE PAGO]]=0,TODAY()-PROVEEDORES[[#This Row],[FECHA DE FACTURACIÓN]]-PROVEEDORES[[#This Row],[PLAZO Días]],0)</f>
        <v>0</v>
      </c>
      <c r="U1386" s="104">
        <f>+VLOOKUP(PROVEEDORES[[#This Row],[PROVEEDOR]],Terceros!$A:$D,4,FALSE)</f>
        <v>0</v>
      </c>
      <c r="V1386" s="105">
        <f>+YEAR(PROVEEDORES[[#This Row],[FECHA DE FACTURACIÓN]])</f>
        <v>2023</v>
      </c>
      <c r="W1386" s="105">
        <f>+MATCH(PROVEEDORES[[#This Row],[año facturado]],Retenciones!$1:$1,0)</f>
        <v>6</v>
      </c>
      <c r="X1386" s="106">
        <f>+VLOOKUP(PROVEEDORES[[#This Row],[ID RETENCION]],Retenciones!$A$1:$O$25,PROVEEDORES[[#This Row],[indicador de columna]],FALSE)</f>
        <v>0</v>
      </c>
      <c r="Y1386" s="107">
        <f>+VLOOKUP(PROVEEDORES[[#This Row],[ID RETENCION]],Retenciones!$A$1:$O$25,2,FALSE)</f>
        <v>0</v>
      </c>
      <c r="Z1386" s="116" t="b">
        <f>OR(COUNTIF(PROVEEDORES[[#This Row],[PROVEEDOR]],"*"&amp;'Palabra no opera'!$A$2&amp;"*"))</f>
        <v>0</v>
      </c>
    </row>
    <row r="1387" spans="1:31" ht="22.35" customHeight="1" x14ac:dyDescent="0.3">
      <c r="A1387" s="67" t="str">
        <f>+IF(PROVEEDORES[[#This Row],[FECHA DE PAGO]]=PROVEEDORES[[#This Row],[FECHA DE FACTURACIÓN]],"DE CONTADO","CRÉDITO")</f>
        <v>CRÉDITO</v>
      </c>
      <c r="B1387" s="38" t="str">
        <f>+IF((PROVEEDORES[[#This Row],[FECHA DE PAGO]]-PROVEEDORES[[#This Row],[FECHA DE FACTURACIÓN]])&gt;PROVEEDORES[[#This Row],[PLAZO Días]],"PAGO VENCIDO")</f>
        <v>PAGO VENCIDO</v>
      </c>
      <c r="C1387" s="20">
        <f>+VLOOKUP(PROVEEDORES[[#This Row],[PROVEEDOR]],TERCEROS_INFO[#All],2,FALSE)</f>
        <v>30</v>
      </c>
      <c r="D1387" s="25">
        <f>+SUMIFS(PROVEEDORES[Total],PROVEEDORES[PROVEEDOR],PROVEEDORES[[#This Row],[PROVEEDOR]],PROVEEDORES[FECHA DE PAGO],"")</f>
        <v>0</v>
      </c>
      <c r="E1387" s="25"/>
      <c r="F1387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387" s="68">
        <v>45019</v>
      </c>
      <c r="H1387" s="26" t="s">
        <v>248</v>
      </c>
      <c r="I1387" s="68">
        <v>44984</v>
      </c>
      <c r="J1387" s="35" t="s">
        <v>1477</v>
      </c>
      <c r="K1387" s="21">
        <v>940839</v>
      </c>
      <c r="L1387" s="21"/>
      <c r="M1387" s="22">
        <f>(PROVEEDORES[[#This Row],[SUBTOTAL]]-PROVEEDORES[[#This Row],[descuento sobre subtotal]])*VLOOKUP(PROVEEDORES[[#This Row],[PROVEEDOR]],TERCEROS_INFO[#All],3,FALSE)</f>
        <v>178759.41</v>
      </c>
      <c r="N1387" s="23"/>
      <c r="O1387" s="22">
        <f>+PROVEEDORES[[#This Row],[Descuento sobre subtotal %]]*(PROVEEDORES[[#This Row],[SUBTOTAL]]-PROVEEDORES[[#This Row],[descuento sobre subtotal]])</f>
        <v>0</v>
      </c>
      <c r="P1387" s="74">
        <f>+IF(PROVEEDORES[[#This Row],[SUBTOTAL]]&lt;PROVEEDORES[[#This Row],[base retencion]],0,PROVEEDORES[[#This Row],[retención aplicada]])</f>
        <v>0</v>
      </c>
      <c r="Q1387" s="22">
        <f>+PROVEEDORES[[#This Row],[Rete Fuente %]]*(PROVEEDORES[[#This Row],[SUBTOTAL]]-PROVEEDORES[[#This Row],[descuento sobre subtotal]])</f>
        <v>0</v>
      </c>
      <c r="R1387" s="21">
        <f>+PROVEEDORES[[#This Row],[SUBTOTAL]]+PROVEEDORES[[#This Row],[IVA 19%]]-PROVEEDORES[[#This Row],[descuento sobre subtotal]]-PROVEEDORES[[#This Row],[Descuento sobre subtotal $2]]-PROVEEDORES[[#This Row],[Rete Fuente $]]</f>
        <v>1119598.4099999999</v>
      </c>
      <c r="S13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7" s="63">
        <f ca="1">IF(PROVEEDORES[[#This Row],[FECHA DE PAGO]]=0,TODAY()-PROVEEDORES[[#This Row],[FECHA DE FACTURACIÓN]]-PROVEEDORES[[#This Row],[PLAZO Días]],0)</f>
        <v>0</v>
      </c>
      <c r="U1387" s="104">
        <f>+VLOOKUP(PROVEEDORES[[#This Row],[PROVEEDOR]],Terceros!$A:$D,4,FALSE)</f>
        <v>0</v>
      </c>
      <c r="V1387" s="105">
        <f>+YEAR(PROVEEDORES[[#This Row],[FECHA DE FACTURACIÓN]])</f>
        <v>2023</v>
      </c>
      <c r="W1387" s="105">
        <f>+MATCH(PROVEEDORES[[#This Row],[año facturado]],Retenciones!$1:$1,0)</f>
        <v>6</v>
      </c>
      <c r="X1387" s="106">
        <f>+VLOOKUP(PROVEEDORES[[#This Row],[ID RETENCION]],Retenciones!$A$1:$O$25,PROVEEDORES[[#This Row],[indicador de columna]],FALSE)</f>
        <v>0</v>
      </c>
      <c r="Y1387" s="107">
        <f>+VLOOKUP(PROVEEDORES[[#This Row],[ID RETENCION]],Retenciones!$A$1:$O$25,2,FALSE)</f>
        <v>0</v>
      </c>
      <c r="Z1387" s="116" t="b">
        <f>OR(COUNTIF(PROVEEDORES[[#This Row],[PROVEEDOR]],"*"&amp;'Palabra no opera'!$A$2&amp;"*"))</f>
        <v>0</v>
      </c>
    </row>
    <row r="1388" spans="1:31" ht="22.35" customHeight="1" x14ac:dyDescent="0.3">
      <c r="A1388" s="267" t="str">
        <f>+IF(PROVEEDORES[[#This Row],[FECHA DE PAGO]]=PROVEEDORES[[#This Row],[FECHA DE FACTURACIÓN]],"DE CONTADO","CRÉDITO")</f>
        <v>CRÉDITO</v>
      </c>
      <c r="B1388" s="38" t="str">
        <f>+IF((PROVEEDORES[[#This Row],[FECHA DE PAGO]]-PROVEEDORES[[#This Row],[FECHA DE FACTURACIÓN]])&gt;PROVEEDORES[[#This Row],[PLAZO Días]],"PAGO VENCIDO")</f>
        <v>PAGO VENCIDO</v>
      </c>
      <c r="C1388" s="20">
        <f>+VLOOKUP(PROVEEDORES[[#This Row],[PROVEEDOR]],TERCEROS_INFO[#All],2,FALSE)</f>
        <v>45</v>
      </c>
      <c r="D1388" s="25">
        <f>+SUMIFS(PROVEEDORES[Total],PROVEEDORES[PROVEEDOR],PROVEEDORES[[#This Row],[PROVEEDOR]],PROVEEDORES[FECHA DE PAGO],"")</f>
        <v>8072960</v>
      </c>
      <c r="E1388" s="25"/>
      <c r="F1388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88" s="68">
        <v>45019</v>
      </c>
      <c r="H1388" s="26" t="s">
        <v>10</v>
      </c>
      <c r="I1388" s="68">
        <v>44965</v>
      </c>
      <c r="J1388" s="35" t="s">
        <v>1447</v>
      </c>
      <c r="K1388" s="21">
        <v>768000</v>
      </c>
      <c r="L1388" s="21"/>
      <c r="M1388" s="22">
        <f>(PROVEEDORES[[#This Row],[SUBTOTAL]]-PROVEEDORES[[#This Row],[descuento sobre subtotal]])*VLOOKUP(PROVEEDORES[[#This Row],[PROVEEDOR]],TERCEROS_INFO[#All],3,FALSE)</f>
        <v>145920</v>
      </c>
      <c r="N1388" s="23"/>
      <c r="O1388" s="22">
        <f>+PROVEEDORES[[#This Row],[Descuento sobre subtotal %]]*(PROVEEDORES[[#This Row],[SUBTOTAL]]-PROVEEDORES[[#This Row],[descuento sobre subtotal]])</f>
        <v>0</v>
      </c>
      <c r="P1388" s="74">
        <f>+IF(PROVEEDORES[[#This Row],[SUBTOTAL]]&lt;PROVEEDORES[[#This Row],[base retencion]],0,PROVEEDORES[[#This Row],[retención aplicada]])</f>
        <v>0</v>
      </c>
      <c r="Q1388" s="22">
        <f>+PROVEEDORES[[#This Row],[Rete Fuente %]]*(PROVEEDORES[[#This Row],[SUBTOTAL]]-PROVEEDORES[[#This Row],[descuento sobre subtotal]])</f>
        <v>0</v>
      </c>
      <c r="R1388" s="21">
        <f>+PROVEEDORES[[#This Row],[SUBTOTAL]]+PROVEEDORES[[#This Row],[IVA 19%]]-PROVEEDORES[[#This Row],[descuento sobre subtotal]]-PROVEEDORES[[#This Row],[Descuento sobre subtotal $2]]-PROVEEDORES[[#This Row],[Rete Fuente $]]</f>
        <v>913920</v>
      </c>
      <c r="S1388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63">
        <f ca="1">IF(PROVEEDORES[[#This Row],[FECHA DE PAGO]]=0,TODAY()-PROVEEDORES[[#This Row],[FECHA DE FACTURACIÓN]]-PROVEEDORES[[#This Row],[PLAZO Días]],0)</f>
        <v>0</v>
      </c>
      <c r="U1388" s="104">
        <f>+VLOOKUP(PROVEEDORES[[#This Row],[PROVEEDOR]],Terceros!$A:$D,4,FALSE)</f>
        <v>0</v>
      </c>
      <c r="V1388" s="105">
        <f>+YEAR(PROVEEDORES[[#This Row],[FECHA DE FACTURACIÓN]])</f>
        <v>2023</v>
      </c>
      <c r="W1388" s="105">
        <f>+MATCH(PROVEEDORES[[#This Row],[año facturado]],Retenciones!$1:$1,0)</f>
        <v>6</v>
      </c>
      <c r="X1388" s="106">
        <f>+VLOOKUP(PROVEEDORES[[#This Row],[ID RETENCION]],Retenciones!$A$1:$O$25,PROVEEDORES[[#This Row],[indicador de columna]],FALSE)</f>
        <v>0</v>
      </c>
      <c r="Y1388" s="107">
        <f>+VLOOKUP(PROVEEDORES[[#This Row],[ID RETENCION]],Retenciones!$A$1:$O$25,2,FALSE)</f>
        <v>0</v>
      </c>
      <c r="Z1388" s="116" t="b">
        <f>OR(COUNTIF(PROVEEDORES[[#This Row],[PROVEEDOR]],"*"&amp;'Palabra no opera'!$A$2&amp;"*"))</f>
        <v>0</v>
      </c>
    </row>
    <row r="1389" spans="1:31" ht="22.35" customHeight="1" x14ac:dyDescent="0.3">
      <c r="A1389" s="280" t="str">
        <f>+IF(PROVEEDORES[[#This Row],[FECHA DE PAGO]]=PROVEEDORES[[#This Row],[FECHA DE FACTURACIÓN]],"DE CONTADO","CRÉDITO")</f>
        <v>DE CONTADO</v>
      </c>
      <c r="B1389" s="38" t="b">
        <f>+IF((PROVEEDORES[[#This Row],[FECHA DE PAGO]]-PROVEEDORES[[#This Row],[FECHA DE FACTURACIÓN]])&gt;PROVEEDORES[[#This Row],[PLAZO Días]],"PAGO VENCIDO")</f>
        <v>0</v>
      </c>
      <c r="C1389" s="20">
        <f>+VLOOKUP(PROVEEDORES[[#This Row],[PROVEEDOR]],TERCEROS_INFO[#All],2,FALSE)</f>
        <v>30</v>
      </c>
      <c r="D1389" s="25">
        <f>+SUMIFS(PROVEEDORES[Total],PROVEEDORES[PROVEEDOR],PROVEEDORES[[#This Row],[PROVEEDOR]],PROVEEDORES[FECHA DE PAGO],"")</f>
        <v>0</v>
      </c>
      <c r="E1389" s="25"/>
      <c r="F138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89" s="68">
        <v>45020</v>
      </c>
      <c r="H1389" s="26" t="s">
        <v>227</v>
      </c>
      <c r="I1389" s="68">
        <v>45020</v>
      </c>
      <c r="J1389" s="35" t="s">
        <v>1576</v>
      </c>
      <c r="K1389" s="21">
        <v>1800000</v>
      </c>
      <c r="L1389" s="21"/>
      <c r="M1389" s="22">
        <f>(PROVEEDORES[[#This Row],[SUBTOTAL]]-PROVEEDORES[[#This Row],[descuento sobre subtotal]])*VLOOKUP(PROVEEDORES[[#This Row],[PROVEEDOR]],TERCEROS_INFO[#All],3,FALSE)</f>
        <v>0</v>
      </c>
      <c r="N1389" s="23"/>
      <c r="O1389" s="22">
        <f>+PROVEEDORES[[#This Row],[Descuento sobre subtotal %]]*(PROVEEDORES[[#This Row],[SUBTOTAL]]-PROVEEDORES[[#This Row],[descuento sobre subtotal]])</f>
        <v>0</v>
      </c>
      <c r="P1389" s="74">
        <f>+IF(PROVEEDORES[[#This Row],[SUBTOTAL]]&lt;PROVEEDORES[[#This Row],[base retencion]],0,PROVEEDORES[[#This Row],[retención aplicada]])</f>
        <v>0</v>
      </c>
      <c r="Q1389" s="22">
        <f>+PROVEEDORES[[#This Row],[Rete Fuente %]]*(PROVEEDORES[[#This Row],[SUBTOTAL]]-PROVEEDORES[[#This Row],[descuento sobre subtotal]])</f>
        <v>0</v>
      </c>
      <c r="R1389" s="21">
        <f>+PROVEEDORES[[#This Row],[SUBTOTAL]]+PROVEEDORES[[#This Row],[IVA 19%]]-PROVEEDORES[[#This Row],[descuento sobre subtotal]]-PROVEEDORES[[#This Row],[Descuento sobre subtotal $2]]-PROVEEDORES[[#This Row],[Rete Fuente $]]</f>
        <v>1800000</v>
      </c>
      <c r="S138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63">
        <f ca="1">IF(PROVEEDORES[[#This Row],[FECHA DE PAGO]]=0,TODAY()-PROVEEDORES[[#This Row],[FECHA DE FACTURACIÓN]]-PROVEEDORES[[#This Row],[PLAZO Días]],0)</f>
        <v>0</v>
      </c>
      <c r="U1389" s="104">
        <f>+VLOOKUP(PROVEEDORES[[#This Row],[PROVEEDOR]],Terceros!$A:$D,4,FALSE)</f>
        <v>0</v>
      </c>
      <c r="V1389" s="105">
        <f>+YEAR(PROVEEDORES[[#This Row],[FECHA DE FACTURACIÓN]])</f>
        <v>2023</v>
      </c>
      <c r="W1389" s="105">
        <f>+MATCH(PROVEEDORES[[#This Row],[año facturado]],Retenciones!$1:$1,0)</f>
        <v>6</v>
      </c>
      <c r="X1389" s="106">
        <f>+VLOOKUP(PROVEEDORES[[#This Row],[ID RETENCION]],Retenciones!$A$1:$O$25,PROVEEDORES[[#This Row],[indicador de columna]],FALSE)</f>
        <v>0</v>
      </c>
      <c r="Y1389" s="107">
        <f>+VLOOKUP(PROVEEDORES[[#This Row],[ID RETENCION]],Retenciones!$A$1:$O$25,2,FALSE)</f>
        <v>0</v>
      </c>
      <c r="Z1389" s="116" t="b">
        <f>OR(COUNTIF(PROVEEDORES[[#This Row],[PROVEEDOR]],"*"&amp;'Palabra no opera'!$A$2&amp;"*"))</f>
        <v>0</v>
      </c>
    </row>
    <row r="1390" spans="1:31" ht="22.35" customHeight="1" x14ac:dyDescent="0.3">
      <c r="A1390" s="67" t="str">
        <f>+IF(PROVEEDORES[[#This Row],[FECHA DE PAGO]]=PROVEEDORES[[#This Row],[FECHA DE FACTURACIÓN]],"DE CONTADO","CRÉDITO")</f>
        <v>DE CONTADO</v>
      </c>
      <c r="B1390" s="38" t="b">
        <f>+IF((PROVEEDORES[[#This Row],[FECHA DE PAGO]]-PROVEEDORES[[#This Row],[FECHA DE FACTURACIÓN]])&gt;PROVEEDORES[[#This Row],[PLAZO Días]],"PAGO VENCIDO")</f>
        <v>0</v>
      </c>
      <c r="C1390" s="20">
        <f>+VLOOKUP(PROVEEDORES[[#This Row],[PROVEEDOR]],TERCEROS_INFO[#All],2,FALSE)</f>
        <v>30</v>
      </c>
      <c r="D1390" s="25">
        <f>+SUMIFS(PROVEEDORES[Total],PROVEEDORES[PROVEEDOR],PROVEEDORES[[#This Row],[PROVEEDOR]],PROVEEDORES[FECHA DE PAGO],"")</f>
        <v>0</v>
      </c>
      <c r="E1390" s="25"/>
      <c r="F1390" s="56" t="str">
        <f>+VLOOKUP(PROVEEDORES[[#This Row],[PROVEEDOR]],
                       Terceros!$A:$F,
                       5,
                       FALSE)</f>
        <v/>
      </c>
      <c r="G1390" s="68">
        <v>45021</v>
      </c>
      <c r="H1390" s="26" t="s">
        <v>378</v>
      </c>
      <c r="I1390" s="68">
        <v>45021</v>
      </c>
      <c r="J1390" s="35" t="s">
        <v>1617</v>
      </c>
      <c r="K1390" s="21">
        <v>360000</v>
      </c>
      <c r="L1390" s="21"/>
      <c r="M1390" s="22">
        <f>(PROVEEDORES[[#This Row],[SUBTOTAL]]-PROVEEDORES[[#This Row],[descuento sobre subtotal]])*VLOOKUP(PROVEEDORES[[#This Row],[PROVEEDOR]],TERCEROS_INFO[#All],3,FALSE)</f>
        <v>0</v>
      </c>
      <c r="N1390" s="23"/>
      <c r="O1390" s="22">
        <f>+PROVEEDORES[[#This Row],[Descuento sobre subtotal %]]*(PROVEEDORES[[#This Row],[SUBTOTAL]]-PROVEEDORES[[#This Row],[descuento sobre subtotal]])</f>
        <v>0</v>
      </c>
      <c r="P1390" s="74">
        <f>+IF(PROVEEDORES[[#This Row],[SUBTOTAL]]&lt;PROVEEDORES[[#This Row],[base retencion]],0,PROVEEDORES[[#This Row],[retención aplicada]])</f>
        <v>0</v>
      </c>
      <c r="Q1390" s="22">
        <f>+PROVEEDORES[[#This Row],[Rete Fuente %]]*(PROVEEDORES[[#This Row],[SUBTOTAL]]-PROVEEDORES[[#This Row],[descuento sobre subtotal]])</f>
        <v>0</v>
      </c>
      <c r="R1390" s="21">
        <f>+PROVEEDORES[[#This Row],[SUBTOTAL]]+PROVEEDORES[[#This Row],[IVA 19%]]-PROVEEDORES[[#This Row],[descuento sobre subtotal]]-PROVEEDORES[[#This Row],[Descuento sobre subtotal $2]]-PROVEEDORES[[#This Row],[Rete Fuente $]]</f>
        <v>360000</v>
      </c>
      <c r="S13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63">
        <f ca="1">IF(PROVEEDORES[[#This Row],[FECHA DE PAGO]]=0,TODAY()-PROVEEDORES[[#This Row],[FECHA DE FACTURACIÓN]]-PROVEEDORES[[#This Row],[PLAZO Días]],0)</f>
        <v>0</v>
      </c>
      <c r="U1390" s="104">
        <f>+VLOOKUP(PROVEEDORES[[#This Row],[PROVEEDOR]],Terceros!$A:$D,4,FALSE)</f>
        <v>0</v>
      </c>
      <c r="V1390" s="105">
        <f>+YEAR(PROVEEDORES[[#This Row],[FECHA DE FACTURACIÓN]])</f>
        <v>2023</v>
      </c>
      <c r="W1390" s="105">
        <f>+MATCH(PROVEEDORES[[#This Row],[año facturado]],Retenciones!$1:$1,0)</f>
        <v>6</v>
      </c>
      <c r="X1390" s="106">
        <f>+VLOOKUP(PROVEEDORES[[#This Row],[ID RETENCION]],Retenciones!$A$1:$O$25,PROVEEDORES[[#This Row],[indicador de columna]],FALSE)</f>
        <v>0</v>
      </c>
      <c r="Y1390" s="107">
        <f>+VLOOKUP(PROVEEDORES[[#This Row],[ID RETENCION]],Retenciones!$A$1:$O$25,2,FALSE)</f>
        <v>0</v>
      </c>
      <c r="Z1390" s="116" t="b">
        <f>OR(COUNTIF(PROVEEDORES[[#This Row],[PROVEEDOR]],"*"&amp;'Palabra no opera'!$A$2&amp;"*"))</f>
        <v>0</v>
      </c>
    </row>
    <row r="1391" spans="1:31" ht="22.35" customHeight="1" x14ac:dyDescent="0.3">
      <c r="A1391" s="67" t="str">
        <f>+IF(PROVEEDORES[[#This Row],[FECHA DE PAGO]]=PROVEEDORES[[#This Row],[FECHA DE FACTURACIÓN]],"DE CONTADO","CRÉDITO")</f>
        <v>CRÉDITO</v>
      </c>
      <c r="B1391" s="38" t="b">
        <f>+IF((PROVEEDORES[[#This Row],[FECHA DE PAGO]]-PROVEEDORES[[#This Row],[FECHA DE FACTURACIÓN]])&gt;PROVEEDORES[[#This Row],[PLAZO Días]],"PAGO VENCIDO")</f>
        <v>0</v>
      </c>
      <c r="C1391" s="20">
        <f>+VLOOKUP(PROVEEDORES[[#This Row],[PROVEEDOR]],TERCEROS_INFO[#All],2,FALSE)</f>
        <v>60</v>
      </c>
      <c r="D1391" s="25">
        <f>+SUMIFS(PROVEEDORES[Total],PROVEEDORES[PROVEEDOR],PROVEEDORES[[#This Row],[PROVEEDOR]],PROVEEDORES[FECHA DE PAGO],"")</f>
        <v>395600</v>
      </c>
      <c r="E1391" s="25"/>
      <c r="F139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1" s="68">
        <v>45026</v>
      </c>
      <c r="H1391" s="26" t="s">
        <v>287</v>
      </c>
      <c r="I1391" s="68">
        <v>44999</v>
      </c>
      <c r="J1391" s="35">
        <v>1627</v>
      </c>
      <c r="K1391" s="21">
        <v>312320</v>
      </c>
      <c r="L1391" s="21"/>
      <c r="M1391" s="22">
        <f>(PROVEEDORES[[#This Row],[SUBTOTAL]]-PROVEEDORES[[#This Row],[descuento sobre subtotal]])*VLOOKUP(PROVEEDORES[[#This Row],[PROVEEDOR]],TERCEROS_INFO[#All],3,FALSE)</f>
        <v>0</v>
      </c>
      <c r="N1391" s="23"/>
      <c r="O1391" s="22">
        <f>+PROVEEDORES[[#This Row],[Descuento sobre subtotal %]]*(PROVEEDORES[[#This Row],[SUBTOTAL]]-PROVEEDORES[[#This Row],[descuento sobre subtotal]])</f>
        <v>0</v>
      </c>
      <c r="P1391" s="74">
        <f>+IF(PROVEEDORES[[#This Row],[SUBTOTAL]]&lt;PROVEEDORES[[#This Row],[base retencion]],0,PROVEEDORES[[#This Row],[retención aplicada]])</f>
        <v>0</v>
      </c>
      <c r="Q1391" s="22">
        <f>+PROVEEDORES[[#This Row],[Rete Fuente %]]*(PROVEEDORES[[#This Row],[SUBTOTAL]]-PROVEEDORES[[#This Row],[descuento sobre subtotal]])</f>
        <v>0</v>
      </c>
      <c r="R1391" s="21">
        <f>+PROVEEDORES[[#This Row],[SUBTOTAL]]+PROVEEDORES[[#This Row],[IVA 19%]]-PROVEEDORES[[#This Row],[descuento sobre subtotal]]-PROVEEDORES[[#This Row],[Descuento sobre subtotal $2]]-PROVEEDORES[[#This Row],[Rete Fuente $]]</f>
        <v>312320</v>
      </c>
      <c r="S13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63">
        <f ca="1">IF(PROVEEDORES[[#This Row],[FECHA DE PAGO]]=0,TODAY()-PROVEEDORES[[#This Row],[FECHA DE FACTURACIÓN]]-PROVEEDORES[[#This Row],[PLAZO Días]],0)</f>
        <v>0</v>
      </c>
      <c r="U1391" s="104">
        <f>+VLOOKUP(PROVEEDORES[[#This Row],[PROVEEDOR]],Terceros!$A:$D,4,FALSE)</f>
        <v>0</v>
      </c>
      <c r="V1391" s="105">
        <f>+YEAR(PROVEEDORES[[#This Row],[FECHA DE FACTURACIÓN]])</f>
        <v>2023</v>
      </c>
      <c r="W1391" s="105">
        <f>+MATCH(PROVEEDORES[[#This Row],[año facturado]],Retenciones!$1:$1,0)</f>
        <v>6</v>
      </c>
      <c r="X1391" s="106">
        <f>+VLOOKUP(PROVEEDORES[[#This Row],[ID RETENCION]],Retenciones!$A$1:$O$25,PROVEEDORES[[#This Row],[indicador de columna]],FALSE)</f>
        <v>0</v>
      </c>
      <c r="Y1391" s="107">
        <f>+VLOOKUP(PROVEEDORES[[#This Row],[ID RETENCION]],Retenciones!$A$1:$O$25,2,FALSE)</f>
        <v>0</v>
      </c>
      <c r="Z1391" s="116" t="b">
        <f>OR(COUNTIF(PROVEEDORES[[#This Row],[PROVEEDOR]],"*"&amp;'Palabra no opera'!$A$2&amp;"*"))</f>
        <v>0</v>
      </c>
    </row>
    <row r="1392" spans="1:31" ht="22.35" customHeight="1" x14ac:dyDescent="0.3">
      <c r="A1392" s="67" t="str">
        <f>+IF(PROVEEDORES[[#This Row],[FECHA DE PAGO]]=PROVEEDORES[[#This Row],[FECHA DE FACTURACIÓN]],"DE CONTADO","CRÉDITO")</f>
        <v>CRÉDITO</v>
      </c>
      <c r="B1392" s="38" t="b">
        <f>+IF((PROVEEDORES[[#This Row],[FECHA DE PAGO]]-PROVEEDORES[[#This Row],[FECHA DE FACTURACIÓN]])&gt;PROVEEDORES[[#This Row],[PLAZO Días]],"PAGO VENCIDO")</f>
        <v>0</v>
      </c>
      <c r="C1392" s="20">
        <f>+VLOOKUP(PROVEEDORES[[#This Row],[PROVEEDOR]],TERCEROS_INFO[#All],2,FALSE)</f>
        <v>60</v>
      </c>
      <c r="D1392" s="25">
        <f>+SUMIFS(PROVEEDORES[Total],PROVEEDORES[PROVEEDOR],PROVEEDORES[[#This Row],[PROVEEDOR]],PROVEEDORES[FECHA DE PAGO],"")</f>
        <v>395600</v>
      </c>
      <c r="E1392" s="25"/>
      <c r="F139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2" s="68">
        <v>45026</v>
      </c>
      <c r="H1392" s="26" t="s">
        <v>287</v>
      </c>
      <c r="I1392" s="68">
        <v>44999</v>
      </c>
      <c r="J1392" s="35">
        <v>1628</v>
      </c>
      <c r="K1392" s="21">
        <v>214720</v>
      </c>
      <c r="L1392" s="21"/>
      <c r="M1392" s="22">
        <f>(PROVEEDORES[[#This Row],[SUBTOTAL]]-PROVEEDORES[[#This Row],[descuento sobre subtotal]])*VLOOKUP(PROVEEDORES[[#This Row],[PROVEEDOR]],TERCEROS_INFO[#All],3,FALSE)</f>
        <v>0</v>
      </c>
      <c r="N1392" s="23"/>
      <c r="O1392" s="22">
        <f>+PROVEEDORES[[#This Row],[Descuento sobre subtotal %]]*(PROVEEDORES[[#This Row],[SUBTOTAL]]-PROVEEDORES[[#This Row],[descuento sobre subtotal]])</f>
        <v>0</v>
      </c>
      <c r="P1392" s="74">
        <f>+IF(PROVEEDORES[[#This Row],[SUBTOTAL]]&lt;PROVEEDORES[[#This Row],[base retencion]],0,PROVEEDORES[[#This Row],[retención aplicada]])</f>
        <v>0</v>
      </c>
      <c r="Q1392" s="22">
        <f>+PROVEEDORES[[#This Row],[Rete Fuente %]]*(PROVEEDORES[[#This Row],[SUBTOTAL]]-PROVEEDORES[[#This Row],[descuento sobre subtotal]])</f>
        <v>0</v>
      </c>
      <c r="R1392" s="21">
        <f>+PROVEEDORES[[#This Row],[SUBTOTAL]]+PROVEEDORES[[#This Row],[IVA 19%]]-PROVEEDORES[[#This Row],[descuento sobre subtotal]]-PROVEEDORES[[#This Row],[Descuento sobre subtotal $2]]-PROVEEDORES[[#This Row],[Rete Fuente $]]</f>
        <v>214720</v>
      </c>
      <c r="S139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63">
        <f ca="1">IF(PROVEEDORES[[#This Row],[FECHA DE PAGO]]=0,TODAY()-PROVEEDORES[[#This Row],[FECHA DE FACTURACIÓN]]-PROVEEDORES[[#This Row],[PLAZO Días]],0)</f>
        <v>0</v>
      </c>
      <c r="U1392" s="104">
        <f>+VLOOKUP(PROVEEDORES[[#This Row],[PROVEEDOR]],Terceros!$A:$D,4,FALSE)</f>
        <v>0</v>
      </c>
      <c r="V1392" s="105">
        <f>+YEAR(PROVEEDORES[[#This Row],[FECHA DE FACTURACIÓN]])</f>
        <v>2023</v>
      </c>
      <c r="W1392" s="105">
        <f>+MATCH(PROVEEDORES[[#This Row],[año facturado]],Retenciones!$1:$1,0)</f>
        <v>6</v>
      </c>
      <c r="X1392" s="106">
        <f>+VLOOKUP(PROVEEDORES[[#This Row],[ID RETENCION]],Retenciones!$A$1:$O$25,PROVEEDORES[[#This Row],[indicador de columna]],FALSE)</f>
        <v>0</v>
      </c>
      <c r="Y1392" s="107">
        <f>+VLOOKUP(PROVEEDORES[[#This Row],[ID RETENCION]],Retenciones!$A$1:$O$25,2,FALSE)</f>
        <v>0</v>
      </c>
      <c r="Z1392" s="116" t="b">
        <f>OR(COUNTIF(PROVEEDORES[[#This Row],[PROVEEDOR]],"*"&amp;'Palabra no opera'!$A$2&amp;"*"))</f>
        <v>0</v>
      </c>
    </row>
    <row r="1393" spans="1:26" ht="22.35" customHeight="1" x14ac:dyDescent="0.3">
      <c r="A1393" s="280" t="str">
        <f>+IF(PROVEEDORES[[#This Row],[FECHA DE PAGO]]=PROVEEDORES[[#This Row],[FECHA DE FACTURACIÓN]],"DE CONTADO","CRÉDITO")</f>
        <v>CRÉDITO</v>
      </c>
      <c r="B1393" s="38" t="b">
        <f>+IF((PROVEEDORES[[#This Row],[FECHA DE PAGO]]-PROVEEDORES[[#This Row],[FECHA DE FACTURACIÓN]])&gt;PROVEEDORES[[#This Row],[PLAZO Días]],"PAGO VENCIDO")</f>
        <v>0</v>
      </c>
      <c r="C1393" s="20">
        <f>+VLOOKUP(PROVEEDORES[[#This Row],[PROVEEDOR]],TERCEROS_INFO[#All],2,FALSE)</f>
        <v>60</v>
      </c>
      <c r="D1393" s="25">
        <f>+SUMIFS(PROVEEDORES[Total],PROVEEDORES[PROVEEDOR],PROVEEDORES[[#This Row],[PROVEEDOR]],PROVEEDORES[FECHA DE PAGO],"")</f>
        <v>395600</v>
      </c>
      <c r="E1393" s="25"/>
      <c r="F139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3" s="68">
        <v>45026</v>
      </c>
      <c r="H1393" s="26" t="s">
        <v>287</v>
      </c>
      <c r="I1393" s="68">
        <v>44999</v>
      </c>
      <c r="J1393" s="35">
        <v>1635</v>
      </c>
      <c r="K1393" s="21">
        <v>191200</v>
      </c>
      <c r="L1393" s="21"/>
      <c r="M1393" s="22">
        <f>(PROVEEDORES[[#This Row],[SUBTOTAL]]-PROVEEDORES[[#This Row],[descuento sobre subtotal]])*VLOOKUP(PROVEEDORES[[#This Row],[PROVEEDOR]],TERCEROS_INFO[#All],3,FALSE)</f>
        <v>0</v>
      </c>
      <c r="N1393" s="23"/>
      <c r="O1393" s="22">
        <f>+PROVEEDORES[[#This Row],[Descuento sobre subtotal %]]*(PROVEEDORES[[#This Row],[SUBTOTAL]]-PROVEEDORES[[#This Row],[descuento sobre subtotal]])</f>
        <v>0</v>
      </c>
      <c r="P1393" s="74">
        <f>+IF(PROVEEDORES[[#This Row],[SUBTOTAL]]&lt;PROVEEDORES[[#This Row],[base retencion]],0,PROVEEDORES[[#This Row],[retención aplicada]])</f>
        <v>0</v>
      </c>
      <c r="Q1393" s="22">
        <f>+PROVEEDORES[[#This Row],[Rete Fuente %]]*(PROVEEDORES[[#This Row],[SUBTOTAL]]-PROVEEDORES[[#This Row],[descuento sobre subtotal]])</f>
        <v>0</v>
      </c>
      <c r="R1393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1393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63">
        <f ca="1">IF(PROVEEDORES[[#This Row],[FECHA DE PAGO]]=0,TODAY()-PROVEEDORES[[#This Row],[FECHA DE FACTURACIÓN]]-PROVEEDORES[[#This Row],[PLAZO Días]],0)</f>
        <v>0</v>
      </c>
      <c r="U1393" s="104">
        <f>+VLOOKUP(PROVEEDORES[[#This Row],[PROVEEDOR]],Terceros!$A:$D,4,FALSE)</f>
        <v>0</v>
      </c>
      <c r="V1393" s="105">
        <f>+YEAR(PROVEEDORES[[#This Row],[FECHA DE FACTURACIÓN]])</f>
        <v>2023</v>
      </c>
      <c r="W1393" s="105">
        <f>+MATCH(PROVEEDORES[[#This Row],[año facturado]],Retenciones!$1:$1,0)</f>
        <v>6</v>
      </c>
      <c r="X1393" s="106">
        <f>+VLOOKUP(PROVEEDORES[[#This Row],[ID RETENCION]],Retenciones!$A$1:$O$25,PROVEEDORES[[#This Row],[indicador de columna]],FALSE)</f>
        <v>0</v>
      </c>
      <c r="Y1393" s="107">
        <f>+VLOOKUP(PROVEEDORES[[#This Row],[ID RETENCION]],Retenciones!$A$1:$O$25,2,FALSE)</f>
        <v>0</v>
      </c>
      <c r="Z1393" s="116" t="b">
        <f>OR(COUNTIF(PROVEEDORES[[#This Row],[PROVEEDOR]],"*"&amp;'Palabra no opera'!$A$2&amp;"*"))</f>
        <v>0</v>
      </c>
    </row>
    <row r="1394" spans="1:26" ht="22.35" customHeight="1" x14ac:dyDescent="0.3">
      <c r="A1394" s="280" t="str">
        <f>+IF(PROVEEDORES[[#This Row],[FECHA DE PAGO]]=PROVEEDORES[[#This Row],[FECHA DE FACTURACIÓN]],"DE CONTADO","CRÉDITO")</f>
        <v>CRÉDITO</v>
      </c>
      <c r="B1394" s="38" t="b">
        <f>+IF((PROVEEDORES[[#This Row],[FECHA DE PAGO]]-PROVEEDORES[[#This Row],[FECHA DE FACTURACIÓN]])&gt;PROVEEDORES[[#This Row],[PLAZO Días]],"PAGO VENCIDO")</f>
        <v>0</v>
      </c>
      <c r="C1394" s="20">
        <f>+VLOOKUP(PROVEEDORES[[#This Row],[PROVEEDOR]],TERCEROS_INFO[#All],2,FALSE)</f>
        <v>60</v>
      </c>
      <c r="D1394" s="25">
        <f>+SUMIFS(PROVEEDORES[Total],PROVEEDORES[PROVEEDOR],PROVEEDORES[[#This Row],[PROVEEDOR]],PROVEEDORES[FECHA DE PAGO],"")</f>
        <v>395600</v>
      </c>
      <c r="E1394" s="25"/>
      <c r="F139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4" s="68">
        <v>45026</v>
      </c>
      <c r="H1394" s="26" t="s">
        <v>287</v>
      </c>
      <c r="I1394" s="68">
        <v>45002</v>
      </c>
      <c r="J1394" s="35">
        <v>1634</v>
      </c>
      <c r="K1394" s="21">
        <v>191200</v>
      </c>
      <c r="L1394" s="21"/>
      <c r="M1394" s="22">
        <f>(PROVEEDORES[[#This Row],[SUBTOTAL]]-PROVEEDORES[[#This Row],[descuento sobre subtotal]])*VLOOKUP(PROVEEDORES[[#This Row],[PROVEEDOR]],TERCEROS_INFO[#All],3,FALSE)</f>
        <v>0</v>
      </c>
      <c r="N1394" s="23"/>
      <c r="O1394" s="22">
        <f>+PROVEEDORES[[#This Row],[Descuento sobre subtotal %]]*(PROVEEDORES[[#This Row],[SUBTOTAL]]-PROVEEDORES[[#This Row],[descuento sobre subtotal]])</f>
        <v>0</v>
      </c>
      <c r="P1394" s="74">
        <f>+IF(PROVEEDORES[[#This Row],[SUBTOTAL]]&lt;PROVEEDORES[[#This Row],[base retencion]],0,PROVEEDORES[[#This Row],[retención aplicada]])</f>
        <v>0</v>
      </c>
      <c r="Q1394" s="22">
        <f>+PROVEEDORES[[#This Row],[Rete Fuente %]]*(PROVEEDORES[[#This Row],[SUBTOTAL]]-PROVEEDORES[[#This Row],[descuento sobre subtotal]])</f>
        <v>0</v>
      </c>
      <c r="R1394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1394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4" s="63">
        <f ca="1">IF(PROVEEDORES[[#This Row],[FECHA DE PAGO]]=0,TODAY()-PROVEEDORES[[#This Row],[FECHA DE FACTURACIÓN]]-PROVEEDORES[[#This Row],[PLAZO Días]],0)</f>
        <v>0</v>
      </c>
      <c r="U1394" s="104">
        <f>+VLOOKUP(PROVEEDORES[[#This Row],[PROVEEDOR]],Terceros!$A:$D,4,FALSE)</f>
        <v>0</v>
      </c>
      <c r="V1394" s="105">
        <f>+YEAR(PROVEEDORES[[#This Row],[FECHA DE FACTURACIÓN]])</f>
        <v>2023</v>
      </c>
      <c r="W1394" s="105">
        <f>+MATCH(PROVEEDORES[[#This Row],[año facturado]],Retenciones!$1:$1,0)</f>
        <v>6</v>
      </c>
      <c r="X1394" s="106">
        <f>+VLOOKUP(PROVEEDORES[[#This Row],[ID RETENCION]],Retenciones!$A$1:$O$25,PROVEEDORES[[#This Row],[indicador de columna]],FALSE)</f>
        <v>0</v>
      </c>
      <c r="Y1394" s="107">
        <f>+VLOOKUP(PROVEEDORES[[#This Row],[ID RETENCION]],Retenciones!$A$1:$O$25,2,FALSE)</f>
        <v>0</v>
      </c>
      <c r="Z1394" s="116" t="b">
        <f>OR(COUNTIF(PROVEEDORES[[#This Row],[PROVEEDOR]],"*"&amp;'Palabra no opera'!$A$2&amp;"*"))</f>
        <v>0</v>
      </c>
    </row>
    <row r="1395" spans="1:26" ht="22.35" customHeight="1" x14ac:dyDescent="0.3">
      <c r="A1395" s="280" t="str">
        <f>+IF(PROVEEDORES[[#This Row],[FECHA DE PAGO]]=PROVEEDORES[[#This Row],[FECHA DE FACTURACIÓN]],"DE CONTADO","CRÉDITO")</f>
        <v>CRÉDITO</v>
      </c>
      <c r="B1395" s="38" t="b">
        <f>+IF((PROVEEDORES[[#This Row],[FECHA DE PAGO]]-PROVEEDORES[[#This Row],[FECHA DE FACTURACIÓN]])&gt;PROVEEDORES[[#This Row],[PLAZO Días]],"PAGO VENCIDO")</f>
        <v>0</v>
      </c>
      <c r="C1395" s="20">
        <f>+VLOOKUP(PROVEEDORES[[#This Row],[PROVEEDOR]],TERCEROS_INFO[#All],2,FALSE)</f>
        <v>60</v>
      </c>
      <c r="D1395" s="25">
        <f>+SUMIFS(PROVEEDORES[Total],PROVEEDORES[PROVEEDOR],PROVEEDORES[[#This Row],[PROVEEDOR]],PROVEEDORES[FECHA DE PAGO],"")</f>
        <v>395600</v>
      </c>
      <c r="E1395" s="25"/>
      <c r="F139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5" s="68">
        <v>45026</v>
      </c>
      <c r="H1395" s="26" t="s">
        <v>287</v>
      </c>
      <c r="I1395" s="68">
        <v>45009</v>
      </c>
      <c r="J1395" s="35">
        <v>1640</v>
      </c>
      <c r="K1395" s="21">
        <v>206800</v>
      </c>
      <c r="L1395" s="21"/>
      <c r="M1395" s="22">
        <f>(PROVEEDORES[[#This Row],[SUBTOTAL]]-PROVEEDORES[[#This Row],[descuento sobre subtotal]])*VLOOKUP(PROVEEDORES[[#This Row],[PROVEEDOR]],TERCEROS_INFO[#All],3,FALSE)</f>
        <v>0</v>
      </c>
      <c r="N1395" s="23"/>
      <c r="O1395" s="22">
        <f>+PROVEEDORES[[#This Row],[Descuento sobre subtotal %]]*(PROVEEDORES[[#This Row],[SUBTOTAL]]-PROVEEDORES[[#This Row],[descuento sobre subtotal]])</f>
        <v>0</v>
      </c>
      <c r="P1395" s="74">
        <f>+IF(PROVEEDORES[[#This Row],[SUBTOTAL]]&lt;PROVEEDORES[[#This Row],[base retencion]],0,PROVEEDORES[[#This Row],[retención aplicada]])</f>
        <v>0</v>
      </c>
      <c r="Q1395" s="22">
        <f>+PROVEEDORES[[#This Row],[Rete Fuente %]]*(PROVEEDORES[[#This Row],[SUBTOTAL]]-PROVEEDORES[[#This Row],[descuento sobre subtotal]])</f>
        <v>0</v>
      </c>
      <c r="R1395" s="21">
        <f>+PROVEEDORES[[#This Row],[SUBTOTAL]]+PROVEEDORES[[#This Row],[IVA 19%]]-PROVEEDORES[[#This Row],[descuento sobre subtotal]]-PROVEEDORES[[#This Row],[Descuento sobre subtotal $2]]-PROVEEDORES[[#This Row],[Rete Fuente $]]</f>
        <v>206800</v>
      </c>
      <c r="S139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63">
        <f ca="1">IF(PROVEEDORES[[#This Row],[FECHA DE PAGO]]=0,TODAY()-PROVEEDORES[[#This Row],[FECHA DE FACTURACIÓN]]-PROVEEDORES[[#This Row],[PLAZO Días]],0)</f>
        <v>0</v>
      </c>
      <c r="U1395" s="104">
        <f>+VLOOKUP(PROVEEDORES[[#This Row],[PROVEEDOR]],Terceros!$A:$D,4,FALSE)</f>
        <v>0</v>
      </c>
      <c r="V1395" s="105">
        <f>+YEAR(PROVEEDORES[[#This Row],[FECHA DE FACTURACIÓN]])</f>
        <v>2023</v>
      </c>
      <c r="W1395" s="105">
        <f>+MATCH(PROVEEDORES[[#This Row],[año facturado]],Retenciones!$1:$1,0)</f>
        <v>6</v>
      </c>
      <c r="X1395" s="106">
        <f>+VLOOKUP(PROVEEDORES[[#This Row],[ID RETENCION]],Retenciones!$A$1:$O$25,PROVEEDORES[[#This Row],[indicador de columna]],FALSE)</f>
        <v>0</v>
      </c>
      <c r="Y1395" s="107">
        <f>+VLOOKUP(PROVEEDORES[[#This Row],[ID RETENCION]],Retenciones!$A$1:$O$25,2,FALSE)</f>
        <v>0</v>
      </c>
      <c r="Z1395" s="116" t="b">
        <f>OR(COUNTIF(PROVEEDORES[[#This Row],[PROVEEDOR]],"*"&amp;'Palabra no opera'!$A$2&amp;"*"))</f>
        <v>0</v>
      </c>
    </row>
    <row r="1396" spans="1:26" ht="22.35" customHeight="1" x14ac:dyDescent="0.3">
      <c r="A1396" s="67" t="str">
        <f>+IF(PROVEEDORES[[#This Row],[FECHA DE PAGO]]=PROVEEDORES[[#This Row],[FECHA DE FACTURACIÓN]],"DE CONTADO","CRÉDITO")</f>
        <v>CRÉDITO</v>
      </c>
      <c r="B1396" s="38" t="b">
        <f>+IF((PROVEEDORES[[#This Row],[FECHA DE PAGO]]-PROVEEDORES[[#This Row],[FECHA DE FACTURACIÓN]])&gt;PROVEEDORES[[#This Row],[PLAZO Días]],"PAGO VENCIDO")</f>
        <v>0</v>
      </c>
      <c r="C1396" s="20">
        <f>+VLOOKUP(PROVEEDORES[[#This Row],[PROVEEDOR]],TERCEROS_INFO[#All],2,FALSE)</f>
        <v>45</v>
      </c>
      <c r="D1396" s="25">
        <f>+SUMIFS(PROVEEDORES[Total],PROVEEDORES[PROVEEDOR],PROVEEDORES[[#This Row],[PROVEEDOR]],PROVEEDORES[FECHA DE PAGO],"")</f>
        <v>3074500</v>
      </c>
      <c r="E1396" s="25"/>
      <c r="F139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6" s="68">
        <v>45026</v>
      </c>
      <c r="H1396" s="26" t="s">
        <v>289</v>
      </c>
      <c r="I1396" s="68">
        <v>44999</v>
      </c>
      <c r="J1396" s="35">
        <v>1629</v>
      </c>
      <c r="K1396" s="21">
        <v>3635600</v>
      </c>
      <c r="L1396" s="21"/>
      <c r="M1396" s="22">
        <f>(PROVEEDORES[[#This Row],[SUBTOTAL]]-PROVEEDORES[[#This Row],[descuento sobre subtotal]])*VLOOKUP(PROVEEDORES[[#This Row],[PROVEEDOR]],TERCEROS_INFO[#All],3,FALSE)</f>
        <v>0</v>
      </c>
      <c r="N1396" s="23"/>
      <c r="O1396" s="22">
        <f>+PROVEEDORES[[#This Row],[Descuento sobre subtotal %]]*(PROVEEDORES[[#This Row],[SUBTOTAL]]-PROVEEDORES[[#This Row],[descuento sobre subtotal]])</f>
        <v>0</v>
      </c>
      <c r="P1396" s="74">
        <f>+IF(PROVEEDORES[[#This Row],[SUBTOTAL]]&lt;PROVEEDORES[[#This Row],[base retencion]],0,PROVEEDORES[[#This Row],[retención aplicada]])</f>
        <v>0</v>
      </c>
      <c r="Q1396" s="22">
        <f>+PROVEEDORES[[#This Row],[Rete Fuente %]]*(PROVEEDORES[[#This Row],[SUBTOTAL]]-PROVEEDORES[[#This Row],[descuento sobre subtotal]])</f>
        <v>0</v>
      </c>
      <c r="R1396" s="21">
        <f>+PROVEEDORES[[#This Row],[SUBTOTAL]]+PROVEEDORES[[#This Row],[IVA 19%]]-PROVEEDORES[[#This Row],[descuento sobre subtotal]]-PROVEEDORES[[#This Row],[Descuento sobre subtotal $2]]-PROVEEDORES[[#This Row],[Rete Fuente $]]</f>
        <v>3635600</v>
      </c>
      <c r="S13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63">
        <f ca="1">IF(PROVEEDORES[[#This Row],[FECHA DE PAGO]]=0,TODAY()-PROVEEDORES[[#This Row],[FECHA DE FACTURACIÓN]]-PROVEEDORES[[#This Row],[PLAZO Días]],0)</f>
        <v>0</v>
      </c>
      <c r="U1396" s="104">
        <f>+VLOOKUP(PROVEEDORES[[#This Row],[PROVEEDOR]],Terceros!$A:$D,4,FALSE)</f>
        <v>0</v>
      </c>
      <c r="V1396" s="105">
        <f>+YEAR(PROVEEDORES[[#This Row],[FECHA DE FACTURACIÓN]])</f>
        <v>2023</v>
      </c>
      <c r="W1396" s="105">
        <f>+MATCH(PROVEEDORES[[#This Row],[año facturado]],Retenciones!$1:$1,0)</f>
        <v>6</v>
      </c>
      <c r="X1396" s="106">
        <f>+VLOOKUP(PROVEEDORES[[#This Row],[ID RETENCION]],Retenciones!$A$1:$O$25,PROVEEDORES[[#This Row],[indicador de columna]],FALSE)</f>
        <v>0</v>
      </c>
      <c r="Y1396" s="107">
        <f>+VLOOKUP(PROVEEDORES[[#This Row],[ID RETENCION]],Retenciones!$A$1:$O$25,2,FALSE)</f>
        <v>0</v>
      </c>
      <c r="Z1396" s="116" t="b">
        <f>OR(COUNTIF(PROVEEDORES[[#This Row],[PROVEEDOR]],"*"&amp;'Palabra no opera'!$A$2&amp;"*"))</f>
        <v>0</v>
      </c>
    </row>
    <row r="1397" spans="1:26" ht="22.35" customHeight="1" x14ac:dyDescent="0.3">
      <c r="A1397" s="67" t="str">
        <f>+IF(PROVEEDORES[[#This Row],[FECHA DE PAGO]]=PROVEEDORES[[#This Row],[FECHA DE FACTURACIÓN]],"DE CONTADO","CRÉDITO")</f>
        <v>CRÉDITO</v>
      </c>
      <c r="B1397" s="38" t="b">
        <f>+IF((PROVEEDORES[[#This Row],[FECHA DE PAGO]]-PROVEEDORES[[#This Row],[FECHA DE FACTURACIÓN]])&gt;PROVEEDORES[[#This Row],[PLAZO Días]],"PAGO VENCIDO")</f>
        <v>0</v>
      </c>
      <c r="C1397" s="20">
        <f>+VLOOKUP(PROVEEDORES[[#This Row],[PROVEEDOR]],TERCEROS_INFO[#All],2,FALSE)</f>
        <v>30</v>
      </c>
      <c r="D1397" s="25">
        <f>+SUMIFS(PROVEEDORES[Total],PROVEEDORES[PROVEEDOR],PROVEEDORES[[#This Row],[PROVEEDOR]],PROVEEDORES[FECHA DE PAGO],"")</f>
        <v>0</v>
      </c>
      <c r="E1397" s="25"/>
      <c r="F139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97" s="68">
        <v>45026</v>
      </c>
      <c r="H1397" s="26" t="s">
        <v>623</v>
      </c>
      <c r="I1397" s="68">
        <v>45017</v>
      </c>
      <c r="J1397" s="35" t="s">
        <v>1568</v>
      </c>
      <c r="K1397" s="21">
        <v>3792544</v>
      </c>
      <c r="L1397" s="21"/>
      <c r="M1397" s="22">
        <f>(PROVEEDORES[[#This Row],[SUBTOTAL]]-PROVEEDORES[[#This Row],[descuento sobre subtotal]])*VLOOKUP(PROVEEDORES[[#This Row],[PROVEEDOR]],TERCEROS_INFO[#All],3,FALSE)</f>
        <v>720583.36</v>
      </c>
      <c r="N1397" s="23"/>
      <c r="O1397" s="22">
        <f>+PROVEEDORES[[#This Row],[Descuento sobre subtotal %]]*(PROVEEDORES[[#This Row],[SUBTOTAL]]-PROVEEDORES[[#This Row],[descuento sobre subtotal]])</f>
        <v>0</v>
      </c>
      <c r="P1397" s="74">
        <v>0</v>
      </c>
      <c r="Q1397" s="22">
        <f>+PROVEEDORES[[#This Row],[Rete Fuente %]]*(PROVEEDORES[[#This Row],[SUBTOTAL]]-PROVEEDORES[[#This Row],[descuento sobre subtotal]])</f>
        <v>0</v>
      </c>
      <c r="R1397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39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63">
        <f ca="1">IF(PROVEEDORES[[#This Row],[FECHA DE PAGO]]=0,TODAY()-PROVEEDORES[[#This Row],[FECHA DE FACTURACIÓN]]-PROVEEDORES[[#This Row],[PLAZO Días]],0)</f>
        <v>0</v>
      </c>
      <c r="U1397" s="104" t="str">
        <f>+VLOOKUP(PROVEEDORES[[#This Row],[PROVEEDOR]],Terceros!$A:$D,4,FALSE)</f>
        <v>4% sin base</v>
      </c>
      <c r="V1397" s="105">
        <f>+YEAR(PROVEEDORES[[#This Row],[FECHA DE FACTURACIÓN]])</f>
        <v>2023</v>
      </c>
      <c r="W1397" s="105">
        <f>+MATCH(PROVEEDORES[[#This Row],[año facturado]],Retenciones!$1:$1,0)</f>
        <v>6</v>
      </c>
      <c r="X1397" s="106">
        <f>+VLOOKUP(PROVEEDORES[[#This Row],[ID RETENCION]],Retenciones!$A$1:$O$25,PROVEEDORES[[#This Row],[indicador de columna]],FALSE)</f>
        <v>0</v>
      </c>
      <c r="Y1397" s="107">
        <f>+VLOOKUP(PROVEEDORES[[#This Row],[ID RETENCION]],Retenciones!$A$1:$O$25,2,FALSE)</f>
        <v>0.04</v>
      </c>
      <c r="Z1397" s="116" t="b">
        <f>OR(COUNTIF(PROVEEDORES[[#This Row],[PROVEEDOR]],"*"&amp;'Palabra no opera'!$A$2&amp;"*"))</f>
        <v>1</v>
      </c>
    </row>
    <row r="1398" spans="1:26" ht="22.35" customHeight="1" x14ac:dyDescent="0.3">
      <c r="A1398" s="67" t="str">
        <f>+IF(PROVEEDORES[[#This Row],[FECHA DE PAGO]]=PROVEEDORES[[#This Row],[FECHA DE FACTURACIÓN]],"DE CONTADO","CRÉDITO")</f>
        <v>CRÉDITO</v>
      </c>
      <c r="B1398" s="38" t="b">
        <f>+IF((PROVEEDORES[[#This Row],[FECHA DE PAGO]]-PROVEEDORES[[#This Row],[FECHA DE FACTURACIÓN]])&gt;PROVEEDORES[[#This Row],[PLAZO Días]],"PAGO VENCIDO")</f>
        <v>0</v>
      </c>
      <c r="C1398" s="20">
        <f>+VLOOKUP(PROVEEDORES[[#This Row],[PROVEEDOR]],TERCEROS_INFO[#All],2,FALSE)</f>
        <v>30</v>
      </c>
      <c r="D1398" s="25">
        <f>+SUMIFS(PROVEEDORES[Total],PROVEEDORES[PROVEEDOR],PROVEEDORES[[#This Row],[PROVEEDOR]],PROVEEDORES[FECHA DE PAGO],"")</f>
        <v>0</v>
      </c>
      <c r="E1398" s="25"/>
      <c r="F139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98" s="68">
        <v>45026</v>
      </c>
      <c r="H1398" s="26" t="s">
        <v>623</v>
      </c>
      <c r="I1398" s="68">
        <v>45017</v>
      </c>
      <c r="J1398" s="35" t="s">
        <v>1569</v>
      </c>
      <c r="K1398" s="21">
        <v>908172</v>
      </c>
      <c r="L1398" s="21"/>
      <c r="M1398" s="22">
        <f>(PROVEEDORES[[#This Row],[SUBTOTAL]]-PROVEEDORES[[#This Row],[descuento sobre subtotal]])*VLOOKUP(PROVEEDORES[[#This Row],[PROVEEDOR]],TERCEROS_INFO[#All],3,FALSE)</f>
        <v>172552.68</v>
      </c>
      <c r="N1398" s="23"/>
      <c r="O1398" s="22">
        <f>+PROVEEDORES[[#This Row],[Descuento sobre subtotal %]]*(PROVEEDORES[[#This Row],[SUBTOTAL]]-PROVEEDORES[[#This Row],[descuento sobre subtotal]])</f>
        <v>0</v>
      </c>
      <c r="P1398" s="74">
        <f>+IF(PROVEEDORES[[#This Row],[SUBTOTAL]]&lt;PROVEEDORES[[#This Row],[base retencion]],0,PROVEEDORES[[#This Row],[retención aplicada]])</f>
        <v>0.04</v>
      </c>
      <c r="Q1398" s="22">
        <f>+PROVEEDORES[[#This Row],[Rete Fuente %]]*(PROVEEDORES[[#This Row],[SUBTOTAL]]-PROVEEDORES[[#This Row],[descuento sobre subtotal]])</f>
        <v>36326.879999999997</v>
      </c>
      <c r="R1398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13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63">
        <f ca="1">IF(PROVEEDORES[[#This Row],[FECHA DE PAGO]]=0,TODAY()-PROVEEDORES[[#This Row],[FECHA DE FACTURACIÓN]]-PROVEEDORES[[#This Row],[PLAZO Días]],0)</f>
        <v>0</v>
      </c>
      <c r="U1398" s="104" t="str">
        <f>+VLOOKUP(PROVEEDORES[[#This Row],[PROVEEDOR]],Terceros!$A:$D,4,FALSE)</f>
        <v>4% sin base</v>
      </c>
      <c r="V1398" s="105">
        <f>+YEAR(PROVEEDORES[[#This Row],[FECHA DE FACTURACIÓN]])</f>
        <v>2023</v>
      </c>
      <c r="W1398" s="105">
        <f>+MATCH(PROVEEDORES[[#This Row],[año facturado]],Retenciones!$1:$1,0)</f>
        <v>6</v>
      </c>
      <c r="X1398" s="106">
        <f>+VLOOKUP(PROVEEDORES[[#This Row],[ID RETENCION]],Retenciones!$A$1:$O$25,PROVEEDORES[[#This Row],[indicador de columna]],FALSE)</f>
        <v>0</v>
      </c>
      <c r="Y1398" s="107">
        <f>+VLOOKUP(PROVEEDORES[[#This Row],[ID RETENCION]],Retenciones!$A$1:$O$25,2,FALSE)</f>
        <v>0.04</v>
      </c>
      <c r="Z1398" s="116" t="b">
        <f>OR(COUNTIF(PROVEEDORES[[#This Row],[PROVEEDOR]],"*"&amp;'Palabra no opera'!$A$2&amp;"*"))</f>
        <v>1</v>
      </c>
    </row>
    <row r="1399" spans="1:26" ht="22.35" customHeight="1" x14ac:dyDescent="0.3">
      <c r="A1399" s="67" t="str">
        <f>+IF(PROVEEDORES[[#This Row],[FECHA DE PAGO]]=PROVEEDORES[[#This Row],[FECHA DE FACTURACIÓN]],"DE CONTADO","CRÉDITO")</f>
        <v>CRÉDITO</v>
      </c>
      <c r="B1399" s="38" t="b">
        <f>+IF((PROVEEDORES[[#This Row],[FECHA DE PAGO]]-PROVEEDORES[[#This Row],[FECHA DE FACTURACIÓN]])&gt;PROVEEDORES[[#This Row],[PLAZO Días]],"PAGO VENCIDO")</f>
        <v>0</v>
      </c>
      <c r="C1399" s="20">
        <f>+VLOOKUP(PROVEEDORES[[#This Row],[PROVEEDOR]],TERCEROS_INFO[#All],2,FALSE)</f>
        <v>30</v>
      </c>
      <c r="D1399" s="25">
        <f>+SUMIFS(PROVEEDORES[Total],PROVEEDORES[PROVEEDOR],PROVEEDORES[[#This Row],[PROVEEDOR]],PROVEEDORES[FECHA DE PAGO],"")</f>
        <v>0</v>
      </c>
      <c r="E1399" s="25"/>
      <c r="F139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99" s="68">
        <v>45026</v>
      </c>
      <c r="H1399" s="26" t="s">
        <v>623</v>
      </c>
      <c r="I1399" s="68">
        <v>45017</v>
      </c>
      <c r="J1399" s="35" t="s">
        <v>1570</v>
      </c>
      <c r="K1399" s="21">
        <v>21962</v>
      </c>
      <c r="L1399" s="21"/>
      <c r="M1399" s="22">
        <f>(PROVEEDORES[[#This Row],[SUBTOTAL]]-PROVEEDORES[[#This Row],[descuento sobre subtotal]])*VLOOKUP(PROVEEDORES[[#This Row],[PROVEEDOR]],TERCEROS_INFO[#All],3,FALSE)</f>
        <v>4172.78</v>
      </c>
      <c r="N1399" s="23"/>
      <c r="O1399" s="22">
        <f>+PROVEEDORES[[#This Row],[Descuento sobre subtotal %]]*(PROVEEDORES[[#This Row],[SUBTOTAL]]-PROVEEDORES[[#This Row],[descuento sobre subtotal]])</f>
        <v>0</v>
      </c>
      <c r="P1399" s="74">
        <v>0</v>
      </c>
      <c r="Q1399" s="22">
        <f>+PROVEEDORES[[#This Row],[Rete Fuente %]]*(PROVEEDORES[[#This Row],[SUBTOTAL]]-PROVEEDORES[[#This Row],[descuento sobre subtotal]])</f>
        <v>0</v>
      </c>
      <c r="R1399" s="21">
        <f>+PROVEEDORES[[#This Row],[SUBTOTAL]]+PROVEEDORES[[#This Row],[IVA 19%]]-PROVEEDORES[[#This Row],[descuento sobre subtotal]]-PROVEEDORES[[#This Row],[Descuento sobre subtotal $2]]-PROVEEDORES[[#This Row],[Rete Fuente $]]</f>
        <v>26134.78</v>
      </c>
      <c r="S13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63">
        <f ca="1">IF(PROVEEDORES[[#This Row],[FECHA DE PAGO]]=0,TODAY()-PROVEEDORES[[#This Row],[FECHA DE FACTURACIÓN]]-PROVEEDORES[[#This Row],[PLAZO Días]],0)</f>
        <v>0</v>
      </c>
      <c r="U1399" s="104" t="str">
        <f>+VLOOKUP(PROVEEDORES[[#This Row],[PROVEEDOR]],Terceros!$A:$D,4,FALSE)</f>
        <v>4% sin base</v>
      </c>
      <c r="V1399" s="105">
        <f>+YEAR(PROVEEDORES[[#This Row],[FECHA DE FACTURACIÓN]])</f>
        <v>2023</v>
      </c>
      <c r="W1399" s="105">
        <f>+MATCH(PROVEEDORES[[#This Row],[año facturado]],Retenciones!$1:$1,0)</f>
        <v>6</v>
      </c>
      <c r="X1399" s="106">
        <f>+VLOOKUP(PROVEEDORES[[#This Row],[ID RETENCION]],Retenciones!$A$1:$O$25,PROVEEDORES[[#This Row],[indicador de columna]],FALSE)</f>
        <v>0</v>
      </c>
      <c r="Y1399" s="107">
        <f>+VLOOKUP(PROVEEDORES[[#This Row],[ID RETENCION]],Retenciones!$A$1:$O$25,2,FALSE)</f>
        <v>0.04</v>
      </c>
      <c r="Z1399" s="116" t="b">
        <f>OR(COUNTIF(PROVEEDORES[[#This Row],[PROVEEDOR]],"*"&amp;'Palabra no opera'!$A$2&amp;"*"))</f>
        <v>1</v>
      </c>
    </row>
    <row r="1400" spans="1:26" ht="22.35" customHeight="1" x14ac:dyDescent="0.3">
      <c r="A1400" s="67" t="str">
        <f>+IF(PROVEEDORES[[#This Row],[FECHA DE PAGO]]=PROVEEDORES[[#This Row],[FECHA DE FACTURACIÓN]],"DE CONTADO","CRÉDITO")</f>
        <v>CRÉDITO</v>
      </c>
      <c r="B1400" s="38" t="b">
        <f>+IF((PROVEEDORES[[#This Row],[FECHA DE PAGO]]-PROVEEDORES[[#This Row],[FECHA DE FACTURACIÓN]])&gt;PROVEEDORES[[#This Row],[PLAZO Días]],"PAGO VENCIDO")</f>
        <v>0</v>
      </c>
      <c r="C1400" s="20">
        <f>+VLOOKUP(PROVEEDORES[[#This Row],[PROVEEDOR]],TERCEROS_INFO[#All],2,FALSE)</f>
        <v>30</v>
      </c>
      <c r="D1400" s="25">
        <f>+SUMIFS(PROVEEDORES[Total],PROVEEDORES[PROVEEDOR],PROVEEDORES[[#This Row],[PROVEEDOR]],PROVEEDORES[FECHA DE PAGO],"")</f>
        <v>0</v>
      </c>
      <c r="E1400" s="25"/>
      <c r="F140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00" s="68">
        <v>45026</v>
      </c>
      <c r="H1400" s="26" t="s">
        <v>623</v>
      </c>
      <c r="I1400" s="68">
        <v>45017</v>
      </c>
      <c r="J1400" s="35" t="s">
        <v>1571</v>
      </c>
      <c r="K1400" s="21">
        <v>41729</v>
      </c>
      <c r="L1400" s="21"/>
      <c r="M1400" s="22">
        <f>(PROVEEDORES[[#This Row],[SUBTOTAL]]-PROVEEDORES[[#This Row],[descuento sobre subtotal]])*VLOOKUP(PROVEEDORES[[#This Row],[PROVEEDOR]],TERCEROS_INFO[#All],3,FALSE)</f>
        <v>7928.51</v>
      </c>
      <c r="N1400" s="23"/>
      <c r="O1400" s="22">
        <f>+PROVEEDORES[[#This Row],[Descuento sobre subtotal %]]*(PROVEEDORES[[#This Row],[SUBTOTAL]]-PROVEEDORES[[#This Row],[descuento sobre subtotal]])</f>
        <v>0</v>
      </c>
      <c r="P1400" s="74">
        <v>0</v>
      </c>
      <c r="Q1400" s="22">
        <f>+PROVEEDORES[[#This Row],[Rete Fuente %]]*(PROVEEDORES[[#This Row],[SUBTOTAL]]-PROVEEDORES[[#This Row],[descuento sobre subtotal]])</f>
        <v>0</v>
      </c>
      <c r="R1400" s="21">
        <f>+PROVEEDORES[[#This Row],[SUBTOTAL]]+PROVEEDORES[[#This Row],[IVA 19%]]-PROVEEDORES[[#This Row],[descuento sobre subtotal]]-PROVEEDORES[[#This Row],[Descuento sobre subtotal $2]]-PROVEEDORES[[#This Row],[Rete Fuente $]]</f>
        <v>49657.51</v>
      </c>
      <c r="S14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63">
        <f ca="1">IF(PROVEEDORES[[#This Row],[FECHA DE PAGO]]=0,TODAY()-PROVEEDORES[[#This Row],[FECHA DE FACTURACIÓN]]-PROVEEDORES[[#This Row],[PLAZO Días]],0)</f>
        <v>0</v>
      </c>
      <c r="U1400" s="104" t="str">
        <f>+VLOOKUP(PROVEEDORES[[#This Row],[PROVEEDOR]],Terceros!$A:$D,4,FALSE)</f>
        <v>4% sin base</v>
      </c>
      <c r="V1400" s="105">
        <f>+YEAR(PROVEEDORES[[#This Row],[FECHA DE FACTURACIÓN]])</f>
        <v>2023</v>
      </c>
      <c r="W1400" s="105">
        <f>+MATCH(PROVEEDORES[[#This Row],[año facturado]],Retenciones!$1:$1,0)</f>
        <v>6</v>
      </c>
      <c r="X1400" s="106">
        <f>+VLOOKUP(PROVEEDORES[[#This Row],[ID RETENCION]],Retenciones!$A$1:$O$25,PROVEEDORES[[#This Row],[indicador de columna]],FALSE)</f>
        <v>0</v>
      </c>
      <c r="Y1400" s="107">
        <f>+VLOOKUP(PROVEEDORES[[#This Row],[ID RETENCION]],Retenciones!$A$1:$O$25,2,FALSE)</f>
        <v>0.04</v>
      </c>
      <c r="Z1400" s="116" t="b">
        <f>OR(COUNTIF(PROVEEDORES[[#This Row],[PROVEEDOR]],"*"&amp;'Palabra no opera'!$A$2&amp;"*"))</f>
        <v>1</v>
      </c>
    </row>
    <row r="1401" spans="1:26" ht="22.35" customHeight="1" x14ac:dyDescent="0.3">
      <c r="A1401" s="67" t="str">
        <f>+IF(PROVEEDORES[[#This Row],[FECHA DE PAGO]]=PROVEEDORES[[#This Row],[FECHA DE FACTURACIÓN]],"DE CONTADO","CRÉDITO")</f>
        <v>CRÉDITO</v>
      </c>
      <c r="B1401" s="38" t="b">
        <f>+IF((PROVEEDORES[[#This Row],[FECHA DE PAGO]]-PROVEEDORES[[#This Row],[FECHA DE FACTURACIÓN]])&gt;PROVEEDORES[[#This Row],[PLAZO Días]],"PAGO VENCIDO")</f>
        <v>0</v>
      </c>
      <c r="C1401" s="20">
        <f>+VLOOKUP(PROVEEDORES[[#This Row],[PROVEEDOR]],TERCEROS_INFO[#All],2,FALSE)</f>
        <v>30</v>
      </c>
      <c r="D1401" s="25">
        <f>+SUMIFS(PROVEEDORES[Total],PROVEEDORES[PROVEEDOR],PROVEEDORES[[#This Row],[PROVEEDOR]],PROVEEDORES[FECHA DE PAGO],"")</f>
        <v>0</v>
      </c>
      <c r="E1401" s="25"/>
      <c r="F140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01" s="68">
        <v>45026</v>
      </c>
      <c r="H1401" s="26" t="s">
        <v>623</v>
      </c>
      <c r="I1401" s="68">
        <v>45017</v>
      </c>
      <c r="J1401" s="35" t="s">
        <v>1572</v>
      </c>
      <c r="K1401" s="21">
        <v>10576</v>
      </c>
      <c r="L1401" s="21"/>
      <c r="M1401" s="22">
        <f>(PROVEEDORES[[#This Row],[SUBTOTAL]]-PROVEEDORES[[#This Row],[descuento sobre subtotal]])*VLOOKUP(PROVEEDORES[[#This Row],[PROVEEDOR]],TERCEROS_INFO[#All],3,FALSE)</f>
        <v>2009.44</v>
      </c>
      <c r="N1401" s="23"/>
      <c r="O1401" s="22">
        <f>+PROVEEDORES[[#This Row],[Descuento sobre subtotal %]]*(PROVEEDORES[[#This Row],[SUBTOTAL]]-PROVEEDORES[[#This Row],[descuento sobre subtotal]])</f>
        <v>0</v>
      </c>
      <c r="P1401" s="74">
        <v>0</v>
      </c>
      <c r="Q1401" s="22">
        <f>+PROVEEDORES[[#This Row],[Rete Fuente %]]*(PROVEEDORES[[#This Row],[SUBTOTAL]]-PROVEEDORES[[#This Row],[descuento sobre subtotal]])</f>
        <v>0</v>
      </c>
      <c r="R1401" s="21">
        <f>+PROVEEDORES[[#This Row],[SUBTOTAL]]+PROVEEDORES[[#This Row],[IVA 19%]]-PROVEEDORES[[#This Row],[descuento sobre subtotal]]-PROVEEDORES[[#This Row],[Descuento sobre subtotal $2]]-PROVEEDORES[[#This Row],[Rete Fuente $]]</f>
        <v>12585.44</v>
      </c>
      <c r="S14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63">
        <f ca="1">IF(PROVEEDORES[[#This Row],[FECHA DE PAGO]]=0,TODAY()-PROVEEDORES[[#This Row],[FECHA DE FACTURACIÓN]]-PROVEEDORES[[#This Row],[PLAZO Días]],0)</f>
        <v>0</v>
      </c>
      <c r="U1401" s="104" t="str">
        <f>+VLOOKUP(PROVEEDORES[[#This Row],[PROVEEDOR]],Terceros!$A:$D,4,FALSE)</f>
        <v>4% sin base</v>
      </c>
      <c r="V1401" s="105">
        <f>+YEAR(PROVEEDORES[[#This Row],[FECHA DE FACTURACIÓN]])</f>
        <v>2023</v>
      </c>
      <c r="W1401" s="105">
        <f>+MATCH(PROVEEDORES[[#This Row],[año facturado]],Retenciones!$1:$1,0)</f>
        <v>6</v>
      </c>
      <c r="X1401" s="106">
        <f>+VLOOKUP(PROVEEDORES[[#This Row],[ID RETENCION]],Retenciones!$A$1:$O$25,PROVEEDORES[[#This Row],[indicador de columna]],FALSE)</f>
        <v>0</v>
      </c>
      <c r="Y1401" s="107">
        <f>+VLOOKUP(PROVEEDORES[[#This Row],[ID RETENCION]],Retenciones!$A$1:$O$25,2,FALSE)</f>
        <v>0.04</v>
      </c>
      <c r="Z1401" s="116" t="b">
        <f>OR(COUNTIF(PROVEEDORES[[#This Row],[PROVEEDOR]],"*"&amp;'Palabra no opera'!$A$2&amp;"*"))</f>
        <v>1</v>
      </c>
    </row>
    <row r="1402" spans="1:26" ht="22.35" customHeight="1" x14ac:dyDescent="0.3">
      <c r="A1402" s="67" t="str">
        <f>+IF(PROVEEDORES[[#This Row],[FECHA DE PAGO]]=PROVEEDORES[[#This Row],[FECHA DE FACTURACIÓN]],"DE CONTADO","CRÉDITO")</f>
        <v>CRÉDITO</v>
      </c>
      <c r="B1402" s="38" t="b">
        <f>+IF((PROVEEDORES[[#This Row],[FECHA DE PAGO]]-PROVEEDORES[[#This Row],[FECHA DE FACTURACIÓN]])&gt;PROVEEDORES[[#This Row],[PLAZO Días]],"PAGO VENCIDO")</f>
        <v>0</v>
      </c>
      <c r="C1402" s="20">
        <f>+VLOOKUP(PROVEEDORES[[#This Row],[PROVEEDOR]],TERCEROS_INFO[#All],2,FALSE)</f>
        <v>30</v>
      </c>
      <c r="D1402" s="25">
        <f>+SUMIFS(PROVEEDORES[Total],PROVEEDORES[PROVEEDOR],PROVEEDORES[[#This Row],[PROVEEDOR]],PROVEEDORES[FECHA DE PAGO],"")</f>
        <v>0</v>
      </c>
      <c r="E1402" s="25"/>
      <c r="F140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02" s="68">
        <v>45026</v>
      </c>
      <c r="H1402" s="26" t="s">
        <v>637</v>
      </c>
      <c r="I1402" s="68">
        <v>45017</v>
      </c>
      <c r="J1402" s="35" t="s">
        <v>1564</v>
      </c>
      <c r="K1402" s="21">
        <v>934499</v>
      </c>
      <c r="L1402" s="21"/>
      <c r="M1402" s="22">
        <f>(PROVEEDORES[[#This Row],[SUBTOTAL]]-PROVEEDORES[[#This Row],[descuento sobre subtotal]])*VLOOKUP(PROVEEDORES[[#This Row],[PROVEEDOR]],TERCEROS_INFO[#All],3,FALSE)</f>
        <v>0</v>
      </c>
      <c r="N1402" s="23"/>
      <c r="O1402" s="22">
        <f>+PROVEEDORES[[#This Row],[Descuento sobre subtotal %]]*(PROVEEDORES[[#This Row],[SUBTOTAL]]-PROVEEDORES[[#This Row],[descuento sobre subtotal]])</f>
        <v>0</v>
      </c>
      <c r="P1402" s="74">
        <f>+IF(PROVEEDORES[[#This Row],[SUBTOTAL]]&lt;PROVEEDORES[[#This Row],[base retencion]],0,PROVEEDORES[[#This Row],[retención aplicada]])</f>
        <v>0</v>
      </c>
      <c r="Q1402" s="22">
        <f>+PROVEEDORES[[#This Row],[Rete Fuente %]]*(PROVEEDORES[[#This Row],[SUBTOTAL]]-PROVEEDORES[[#This Row],[descuento sobre subtotal]])</f>
        <v>0</v>
      </c>
      <c r="R1402" s="21">
        <f>+PROVEEDORES[[#This Row],[SUBTOTAL]]+PROVEEDORES[[#This Row],[IVA 19%]]-PROVEEDORES[[#This Row],[descuento sobre subtotal]]-PROVEEDORES[[#This Row],[Descuento sobre subtotal $2]]-PROVEEDORES[[#This Row],[Rete Fuente $]]</f>
        <v>934499</v>
      </c>
      <c r="S140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63">
        <f ca="1">IF(PROVEEDORES[[#This Row],[FECHA DE PAGO]]=0,TODAY()-PROVEEDORES[[#This Row],[FECHA DE FACTURACIÓN]]-PROVEEDORES[[#This Row],[PLAZO Días]],0)</f>
        <v>0</v>
      </c>
      <c r="U1402" s="104">
        <f>+VLOOKUP(PROVEEDORES[[#This Row],[PROVEEDOR]],Terceros!$A:$D,4,FALSE)</f>
        <v>0</v>
      </c>
      <c r="V1402" s="105">
        <f>+YEAR(PROVEEDORES[[#This Row],[FECHA DE FACTURACIÓN]])</f>
        <v>2023</v>
      </c>
      <c r="W1402" s="105">
        <f>+MATCH(PROVEEDORES[[#This Row],[año facturado]],Retenciones!$1:$1,0)</f>
        <v>6</v>
      </c>
      <c r="X1402" s="106">
        <f>+VLOOKUP(PROVEEDORES[[#This Row],[ID RETENCION]],Retenciones!$A$1:$O$25,PROVEEDORES[[#This Row],[indicador de columna]],FALSE)</f>
        <v>0</v>
      </c>
      <c r="Y1402" s="107">
        <f>+VLOOKUP(PROVEEDORES[[#This Row],[ID RETENCION]],Retenciones!$A$1:$O$25,2,FALSE)</f>
        <v>0</v>
      </c>
      <c r="Z1402" s="116" t="b">
        <f>OR(COUNTIF(PROVEEDORES[[#This Row],[PROVEEDOR]],"*"&amp;'Palabra no opera'!$A$2&amp;"*"))</f>
        <v>1</v>
      </c>
    </row>
    <row r="1403" spans="1:26" ht="22.35" customHeight="1" x14ac:dyDescent="0.3">
      <c r="A1403" s="67" t="str">
        <f>+IF(PROVEEDORES[[#This Row],[FECHA DE PAGO]]=PROVEEDORES[[#This Row],[FECHA DE FACTURACIÓN]],"DE CONTADO","CRÉDITO")</f>
        <v>CRÉDITO</v>
      </c>
      <c r="B1403" s="38" t="b">
        <f>+IF((PROVEEDORES[[#This Row],[FECHA DE PAGO]]-PROVEEDORES[[#This Row],[FECHA DE FACTURACIÓN]])&gt;PROVEEDORES[[#This Row],[PLAZO Días]],"PAGO VENCIDO")</f>
        <v>0</v>
      </c>
      <c r="C1403" s="20">
        <f>+VLOOKUP(PROVEEDORES[[#This Row],[PROVEEDOR]],TERCEROS_INFO[#All],2,FALSE)</f>
        <v>30</v>
      </c>
      <c r="D1403" s="25">
        <f>+SUMIFS(PROVEEDORES[Total],PROVEEDORES[PROVEEDOR],PROVEEDORES[[#This Row],[PROVEEDOR]],PROVEEDORES[FECHA DE PAGO],"")</f>
        <v>0</v>
      </c>
      <c r="E1403" s="25"/>
      <c r="F140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03" s="68">
        <v>45026</v>
      </c>
      <c r="H1403" s="26" t="s">
        <v>637</v>
      </c>
      <c r="I1403" s="68">
        <v>45017</v>
      </c>
      <c r="J1403" s="35" t="s">
        <v>1565</v>
      </c>
      <c r="K1403" s="21">
        <v>913261</v>
      </c>
      <c r="L1403" s="21"/>
      <c r="M1403" s="22">
        <f>(PROVEEDORES[[#This Row],[SUBTOTAL]]-PROVEEDORES[[#This Row],[descuento sobre subtotal]])*VLOOKUP(PROVEEDORES[[#This Row],[PROVEEDOR]],TERCEROS_INFO[#All],3,FALSE)</f>
        <v>0</v>
      </c>
      <c r="N1403" s="23"/>
      <c r="O1403" s="22">
        <f>+PROVEEDORES[[#This Row],[Descuento sobre subtotal %]]*(PROVEEDORES[[#This Row],[SUBTOTAL]]-PROVEEDORES[[#This Row],[descuento sobre subtotal]])</f>
        <v>0</v>
      </c>
      <c r="P1403" s="74">
        <f>+IF(PROVEEDORES[[#This Row],[SUBTOTAL]]&lt;PROVEEDORES[[#This Row],[base retencion]],0,PROVEEDORES[[#This Row],[retención aplicada]])</f>
        <v>0</v>
      </c>
      <c r="Q1403" s="22">
        <f>+PROVEEDORES[[#This Row],[Rete Fuente %]]*(PROVEEDORES[[#This Row],[SUBTOTAL]]-PROVEEDORES[[#This Row],[descuento sobre subtotal]])</f>
        <v>0</v>
      </c>
      <c r="R1403" s="21">
        <f>+PROVEEDORES[[#This Row],[SUBTOTAL]]+PROVEEDORES[[#This Row],[IVA 19%]]-PROVEEDORES[[#This Row],[descuento sobre subtotal]]-PROVEEDORES[[#This Row],[Descuento sobre subtotal $2]]-PROVEEDORES[[#This Row],[Rete Fuente $]]</f>
        <v>913261</v>
      </c>
      <c r="S14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63">
        <f ca="1">IF(PROVEEDORES[[#This Row],[FECHA DE PAGO]]=0,TODAY()-PROVEEDORES[[#This Row],[FECHA DE FACTURACIÓN]]-PROVEEDORES[[#This Row],[PLAZO Días]],0)</f>
        <v>0</v>
      </c>
      <c r="U1403" s="104">
        <f>+VLOOKUP(PROVEEDORES[[#This Row],[PROVEEDOR]],Terceros!$A:$D,4,FALSE)</f>
        <v>0</v>
      </c>
      <c r="V1403" s="105">
        <f>+YEAR(PROVEEDORES[[#This Row],[FECHA DE FACTURACIÓN]])</f>
        <v>2023</v>
      </c>
      <c r="W1403" s="105">
        <f>+MATCH(PROVEEDORES[[#This Row],[año facturado]],Retenciones!$1:$1,0)</f>
        <v>6</v>
      </c>
      <c r="X1403" s="106">
        <f>+VLOOKUP(PROVEEDORES[[#This Row],[ID RETENCION]],Retenciones!$A$1:$O$25,PROVEEDORES[[#This Row],[indicador de columna]],FALSE)</f>
        <v>0</v>
      </c>
      <c r="Y1403" s="107">
        <f>+VLOOKUP(PROVEEDORES[[#This Row],[ID RETENCION]],Retenciones!$A$1:$O$25,2,FALSE)</f>
        <v>0</v>
      </c>
      <c r="Z1403" s="116" t="b">
        <f>OR(COUNTIF(PROVEEDORES[[#This Row],[PROVEEDOR]],"*"&amp;'Palabra no opera'!$A$2&amp;"*"))</f>
        <v>1</v>
      </c>
    </row>
    <row r="1404" spans="1:26" ht="22.35" customHeight="1" x14ac:dyDescent="0.3">
      <c r="A1404" s="67" t="str">
        <f>+IF(PROVEEDORES[[#This Row],[FECHA DE PAGO]]=PROVEEDORES[[#This Row],[FECHA DE FACTURACIÓN]],"DE CONTADO","CRÉDITO")</f>
        <v>CRÉDITO</v>
      </c>
      <c r="B1404" s="38" t="b">
        <f>+IF((PROVEEDORES[[#This Row],[FECHA DE PAGO]]-PROVEEDORES[[#This Row],[FECHA DE FACTURACIÓN]])&gt;PROVEEDORES[[#This Row],[PLAZO Días]],"PAGO VENCIDO")</f>
        <v>0</v>
      </c>
      <c r="C1404" s="20">
        <f>+VLOOKUP(PROVEEDORES[[#This Row],[PROVEEDOR]],TERCEROS_INFO[#All],2,FALSE)</f>
        <v>30</v>
      </c>
      <c r="D1404" s="25">
        <f>+SUMIFS(PROVEEDORES[Total],PROVEEDORES[PROVEEDOR],PROVEEDORES[[#This Row],[PROVEEDOR]],PROVEEDORES[FECHA DE PAGO],"")</f>
        <v>0</v>
      </c>
      <c r="E1404" s="25"/>
      <c r="F1404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404" s="68">
        <v>45026</v>
      </c>
      <c r="H1404" s="26" t="s">
        <v>638</v>
      </c>
      <c r="I1404" s="68">
        <v>45017</v>
      </c>
      <c r="J1404" s="35" t="s">
        <v>1567</v>
      </c>
      <c r="K1404" s="21">
        <v>3935776</v>
      </c>
      <c r="L1404" s="21"/>
      <c r="M1404" s="22">
        <v>665000</v>
      </c>
      <c r="N1404" s="23"/>
      <c r="O1404" s="22">
        <f>+PROVEEDORES[[#This Row],[Descuento sobre subtotal %]]*(PROVEEDORES[[#This Row],[SUBTOTAL]]-PROVEEDORES[[#This Row],[descuento sobre subtotal]])</f>
        <v>0</v>
      </c>
      <c r="P1404" s="74">
        <f>+IF(PROVEEDORES[[#This Row],[SUBTOTAL]]&lt;PROVEEDORES[[#This Row],[base retencion]],0,PROVEEDORES[[#This Row],[retención aplicada]])</f>
        <v>3.5000000000000003E-2</v>
      </c>
      <c r="Q1404" s="22"/>
      <c r="R1404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4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63">
        <f ca="1">IF(PROVEEDORES[[#This Row],[FECHA DE PAGO]]=0,TODAY()-PROVEEDORES[[#This Row],[FECHA DE FACTURACIÓN]]-PROVEEDORES[[#This Row],[PLAZO Días]],0)</f>
        <v>0</v>
      </c>
      <c r="U1404" s="104" t="str">
        <f>+VLOOKUP(PROVEEDORES[[#This Row],[PROVEEDOR]],Terceros!$A:$D,4,FALSE)</f>
        <v>3,5% sin base</v>
      </c>
      <c r="V1404" s="105">
        <f>+YEAR(PROVEEDORES[[#This Row],[FECHA DE FACTURACIÓN]])</f>
        <v>2023</v>
      </c>
      <c r="W1404" s="105">
        <f>+MATCH(PROVEEDORES[[#This Row],[año facturado]],Retenciones!$1:$1,0)</f>
        <v>6</v>
      </c>
      <c r="X1404" s="106">
        <f>+VLOOKUP(PROVEEDORES[[#This Row],[ID RETENCION]],Retenciones!$A$1:$O$25,PROVEEDORES[[#This Row],[indicador de columna]],FALSE)</f>
        <v>0</v>
      </c>
      <c r="Y1404" s="107">
        <f>+VLOOKUP(PROVEEDORES[[#This Row],[ID RETENCION]],Retenciones!$A$1:$O$25,2,FALSE)</f>
        <v>3.5000000000000003E-2</v>
      </c>
      <c r="Z1404" s="116" t="b">
        <f>OR(COUNTIF(PROVEEDORES[[#This Row],[PROVEEDOR]],"*"&amp;'Palabra no opera'!$A$2&amp;"*"))</f>
        <v>1</v>
      </c>
    </row>
    <row r="1405" spans="1:26" ht="22.35" customHeight="1" x14ac:dyDescent="0.3">
      <c r="A1405" s="67" t="str">
        <f>+IF(PROVEEDORES[[#This Row],[FECHA DE PAGO]]=PROVEEDORES[[#This Row],[FECHA DE FACTURACIÓN]],"DE CONTADO","CRÉDITO")</f>
        <v>CRÉDITO</v>
      </c>
      <c r="B1405" s="38" t="b">
        <f>+IF((PROVEEDORES[[#This Row],[FECHA DE PAGO]]-PROVEEDORES[[#This Row],[FECHA DE FACTURACIÓN]])&gt;PROVEEDORES[[#This Row],[PLAZO Días]],"PAGO VENCIDO")</f>
        <v>0</v>
      </c>
      <c r="C1405" s="20">
        <f>+VLOOKUP(PROVEEDORES[[#This Row],[PROVEEDOR]],TERCEROS_INFO[#All],2,FALSE)</f>
        <v>10</v>
      </c>
      <c r="D1405" s="25">
        <f>+SUMIFS(PROVEEDORES[Total],PROVEEDORES[PROVEEDOR],PROVEEDORES[[#This Row],[PROVEEDOR]],PROVEEDORES[FECHA DE PAGO],"")</f>
        <v>0</v>
      </c>
      <c r="E1405" s="25"/>
      <c r="F1405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405" s="68">
        <v>45026</v>
      </c>
      <c r="H1405" s="26" t="s">
        <v>1202</v>
      </c>
      <c r="I1405" s="68">
        <v>45017</v>
      </c>
      <c r="J1405" s="35" t="s">
        <v>1566</v>
      </c>
      <c r="K1405" s="21">
        <v>4730000</v>
      </c>
      <c r="L1405" s="21"/>
      <c r="M1405" s="22">
        <v>898700</v>
      </c>
      <c r="N1405" s="23"/>
      <c r="O1405" s="22">
        <f>+PROVEEDORES[[#This Row],[Descuento sobre subtotal %]]*(PROVEEDORES[[#This Row],[SUBTOTAL]]-PROVEEDORES[[#This Row],[descuento sobre subtotal]])</f>
        <v>0</v>
      </c>
      <c r="P1405" s="74">
        <f>+IF(PROVEEDORES[[#This Row],[SUBTOTAL]]&lt;PROVEEDORES[[#This Row],[base retencion]],0,PROVEEDORES[[#This Row],[retención aplicada]])</f>
        <v>0</v>
      </c>
      <c r="Q1405" s="22">
        <f>+PROVEEDORES[[#This Row],[Rete Fuente %]]*(PROVEEDORES[[#This Row],[SUBTOTAL]]-PROVEEDORES[[#This Row],[descuento sobre subtotal]])</f>
        <v>0</v>
      </c>
      <c r="R1405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4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63">
        <f ca="1">IF(PROVEEDORES[[#This Row],[FECHA DE PAGO]]=0,TODAY()-PROVEEDORES[[#This Row],[FECHA DE FACTURACIÓN]]-PROVEEDORES[[#This Row],[PLAZO Días]],0)</f>
        <v>0</v>
      </c>
      <c r="U1405" s="104">
        <f>+VLOOKUP(PROVEEDORES[[#This Row],[PROVEEDOR]],Terceros!$A:$D,4,FALSE)</f>
        <v>0</v>
      </c>
      <c r="V1405" s="105">
        <f>+YEAR(PROVEEDORES[[#This Row],[FECHA DE FACTURACIÓN]])</f>
        <v>2023</v>
      </c>
      <c r="W1405" s="105">
        <f>+MATCH(PROVEEDORES[[#This Row],[año facturado]],Retenciones!$1:$1,0)</f>
        <v>6</v>
      </c>
      <c r="X1405" s="106">
        <f>+VLOOKUP(PROVEEDORES[[#This Row],[ID RETENCION]],Retenciones!$A$1:$O$25,PROVEEDORES[[#This Row],[indicador de columna]],FALSE)</f>
        <v>0</v>
      </c>
      <c r="Y1405" s="107">
        <f>+VLOOKUP(PROVEEDORES[[#This Row],[ID RETENCION]],Retenciones!$A$1:$O$25,2,FALSE)</f>
        <v>0</v>
      </c>
      <c r="Z1405" s="116" t="b">
        <f>OR(COUNTIF(PROVEEDORES[[#This Row],[PROVEEDOR]],"*"&amp;'Palabra no opera'!$A$2&amp;"*"))</f>
        <v>1</v>
      </c>
    </row>
    <row r="1406" spans="1:26" ht="22.35" customHeight="1" x14ac:dyDescent="0.3">
      <c r="A1406" s="67" t="str">
        <f>+IF(PROVEEDORES[[#This Row],[FECHA DE PAGO]]=PROVEEDORES[[#This Row],[FECHA DE FACTURACIÓN]],"DE CONTADO","CRÉDITO")</f>
        <v>CRÉDITO</v>
      </c>
      <c r="B1406" s="38" t="b">
        <f>+IF((PROVEEDORES[[#This Row],[FECHA DE PAGO]]-PROVEEDORES[[#This Row],[FECHA DE FACTURACIÓN]])&gt;PROVEEDORES[[#This Row],[PLAZO Días]],"PAGO VENCIDO")</f>
        <v>0</v>
      </c>
      <c r="C1406" s="20">
        <f>+VLOOKUP(PROVEEDORES[[#This Row],[PROVEEDOR]],TERCEROS_INFO[#All],2,FALSE)</f>
        <v>30</v>
      </c>
      <c r="D1406" s="25">
        <f>+SUMIFS(PROVEEDORES[Total],PROVEEDORES[PROVEEDOR],PROVEEDORES[[#This Row],[PROVEEDOR]],PROVEEDORES[FECHA DE PAGO],"")</f>
        <v>0</v>
      </c>
      <c r="E1406" s="25"/>
      <c r="F1406" s="56">
        <f>+VLOOKUP(PROVEEDORES[[#This Row],[PROVEEDOR]],
                       Terceros!$A:$F,
                       5,
                       FALSE)</f>
        <v>0</v>
      </c>
      <c r="G1406" s="68">
        <v>45027</v>
      </c>
      <c r="H1406" s="26" t="s">
        <v>1287</v>
      </c>
      <c r="I1406" s="68">
        <v>45002</v>
      </c>
      <c r="J1406" s="35">
        <v>420</v>
      </c>
      <c r="K1406" s="21">
        <v>468000</v>
      </c>
      <c r="L1406" s="21"/>
      <c r="M1406" s="22">
        <f>(PROVEEDORES[[#This Row],[SUBTOTAL]]-PROVEEDORES[[#This Row],[descuento sobre subtotal]])*VLOOKUP(PROVEEDORES[[#This Row],[PROVEEDOR]],TERCEROS_INFO[#All],3,FALSE)</f>
        <v>0</v>
      </c>
      <c r="N1406" s="23">
        <v>0.19</v>
      </c>
      <c r="O1406" s="22">
        <f>+PROVEEDORES[[#This Row],[Descuento sobre subtotal %]]*(PROVEEDORES[[#This Row],[SUBTOTAL]]-PROVEEDORES[[#This Row],[descuento sobre subtotal]])</f>
        <v>88920</v>
      </c>
      <c r="P1406" s="74">
        <f>+IF(PROVEEDORES[[#This Row],[SUBTOTAL]]&lt;PROVEEDORES[[#This Row],[base retencion]],0,PROVEEDORES[[#This Row],[retención aplicada]])</f>
        <v>0</v>
      </c>
      <c r="Q1406" s="22">
        <f>+PROVEEDORES[[#This Row],[Rete Fuente %]]*(PROVEEDORES[[#This Row],[SUBTOTAL]]-PROVEEDORES[[#This Row],[descuento sobre subtotal]])</f>
        <v>0</v>
      </c>
      <c r="R1406" s="21">
        <f>+PROVEEDORES[[#This Row],[SUBTOTAL]]+PROVEEDORES[[#This Row],[IVA 19%]]-PROVEEDORES[[#This Row],[descuento sobre subtotal]]-PROVEEDORES[[#This Row],[Descuento sobre subtotal $2]]-PROVEEDORES[[#This Row],[Rete Fuente $]]</f>
        <v>379080</v>
      </c>
      <c r="S14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63">
        <f ca="1">IF(PROVEEDORES[[#This Row],[FECHA DE PAGO]]=0,TODAY()-PROVEEDORES[[#This Row],[FECHA DE FACTURACIÓN]]-PROVEEDORES[[#This Row],[PLAZO Días]],0)</f>
        <v>0</v>
      </c>
      <c r="U1406" s="104">
        <f>+VLOOKUP(PROVEEDORES[[#This Row],[PROVEEDOR]],Terceros!$A:$D,4,FALSE)</f>
        <v>0</v>
      </c>
      <c r="V1406" s="105">
        <f>+YEAR(PROVEEDORES[[#This Row],[FECHA DE FACTURACIÓN]])</f>
        <v>2023</v>
      </c>
      <c r="W1406" s="105">
        <f>+MATCH(PROVEEDORES[[#This Row],[año facturado]],Retenciones!$1:$1,0)</f>
        <v>6</v>
      </c>
      <c r="X1406" s="106">
        <f>+VLOOKUP(PROVEEDORES[[#This Row],[ID RETENCION]],Retenciones!$A$1:$O$25,PROVEEDORES[[#This Row],[indicador de columna]],FALSE)</f>
        <v>0</v>
      </c>
      <c r="Y1406" s="107">
        <f>+VLOOKUP(PROVEEDORES[[#This Row],[ID RETENCION]],Retenciones!$A$1:$O$25,2,FALSE)</f>
        <v>0</v>
      </c>
      <c r="Z1406" s="116" t="b">
        <f>OR(COUNTIF(PROVEEDORES[[#This Row],[PROVEEDOR]],"*"&amp;'Palabra no opera'!$A$2&amp;"*"))</f>
        <v>0</v>
      </c>
    </row>
    <row r="1407" spans="1:26" ht="22.35" customHeight="1" x14ac:dyDescent="0.3">
      <c r="A1407" s="67" t="str">
        <f>+IF(PROVEEDORES[[#This Row],[FECHA DE PAGO]]=PROVEEDORES[[#This Row],[FECHA DE FACTURACIÓN]],"DE CONTADO","CRÉDITO")</f>
        <v>CRÉDITO</v>
      </c>
      <c r="B1407" s="38" t="b">
        <f>+IF((PROVEEDORES[[#This Row],[FECHA DE PAGO]]-PROVEEDORES[[#This Row],[FECHA DE FACTURACIÓN]])&gt;PROVEEDORES[[#This Row],[PLAZO Días]],"PAGO VENCIDO")</f>
        <v>0</v>
      </c>
      <c r="C1407" s="20">
        <f>+VLOOKUP(PROVEEDORES[[#This Row],[PROVEEDOR]],TERCEROS_INFO[#All],2,FALSE)</f>
        <v>30</v>
      </c>
      <c r="D1407" s="25">
        <f>+SUMIFS(PROVEEDORES[Total],PROVEEDORES[PROVEEDOR],PROVEEDORES[[#This Row],[PROVEEDOR]],PROVEEDORES[FECHA DE PAGO],"")</f>
        <v>0</v>
      </c>
      <c r="E1407" s="25"/>
      <c r="F1407" s="56">
        <f>+VLOOKUP(PROVEEDORES[[#This Row],[PROVEEDOR]],
                       Terceros!$A:$F,
                       5,
                       FALSE)</f>
        <v>0</v>
      </c>
      <c r="G1407" s="68">
        <v>45027</v>
      </c>
      <c r="H1407" s="26" t="s">
        <v>1287</v>
      </c>
      <c r="I1407" s="68">
        <v>45014</v>
      </c>
      <c r="J1407" s="35">
        <v>423</v>
      </c>
      <c r="K1407" s="21">
        <v>468000</v>
      </c>
      <c r="L1407" s="21"/>
      <c r="M1407" s="22">
        <f>(PROVEEDORES[[#This Row],[SUBTOTAL]]-PROVEEDORES[[#This Row],[descuento sobre subtotal]])*VLOOKUP(PROVEEDORES[[#This Row],[PROVEEDOR]],TERCEROS_INFO[#All],3,FALSE)</f>
        <v>0</v>
      </c>
      <c r="N1407" s="23">
        <v>0.19</v>
      </c>
      <c r="O1407" s="22">
        <f>+PROVEEDORES[[#This Row],[Descuento sobre subtotal %]]*(PROVEEDORES[[#This Row],[SUBTOTAL]]-PROVEEDORES[[#This Row],[descuento sobre subtotal]])</f>
        <v>88920</v>
      </c>
      <c r="P1407" s="74">
        <f>+IF(PROVEEDORES[[#This Row],[SUBTOTAL]]&lt;PROVEEDORES[[#This Row],[base retencion]],0,PROVEEDORES[[#This Row],[retención aplicada]])</f>
        <v>0</v>
      </c>
      <c r="Q1407" s="22">
        <f>+PROVEEDORES[[#This Row],[Rete Fuente %]]*(PROVEEDORES[[#This Row],[SUBTOTAL]]-PROVEEDORES[[#This Row],[descuento sobre subtotal]])</f>
        <v>0</v>
      </c>
      <c r="R1407" s="21">
        <f>+PROVEEDORES[[#This Row],[SUBTOTAL]]+PROVEEDORES[[#This Row],[IVA 19%]]-PROVEEDORES[[#This Row],[descuento sobre subtotal]]-PROVEEDORES[[#This Row],[Descuento sobre subtotal $2]]-PROVEEDORES[[#This Row],[Rete Fuente $]]</f>
        <v>379080</v>
      </c>
      <c r="S14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63">
        <f ca="1">IF(PROVEEDORES[[#This Row],[FECHA DE PAGO]]=0,TODAY()-PROVEEDORES[[#This Row],[FECHA DE FACTURACIÓN]]-PROVEEDORES[[#This Row],[PLAZO Días]],0)</f>
        <v>0</v>
      </c>
      <c r="U1407" s="104">
        <f>+VLOOKUP(PROVEEDORES[[#This Row],[PROVEEDOR]],Terceros!$A:$D,4,FALSE)</f>
        <v>0</v>
      </c>
      <c r="V1407" s="105">
        <f>+YEAR(PROVEEDORES[[#This Row],[FECHA DE FACTURACIÓN]])</f>
        <v>2023</v>
      </c>
      <c r="W1407" s="105">
        <f>+MATCH(PROVEEDORES[[#This Row],[año facturado]],Retenciones!$1:$1,0)</f>
        <v>6</v>
      </c>
      <c r="X1407" s="106">
        <f>+VLOOKUP(PROVEEDORES[[#This Row],[ID RETENCION]],Retenciones!$A$1:$O$25,PROVEEDORES[[#This Row],[indicador de columna]],FALSE)</f>
        <v>0</v>
      </c>
      <c r="Y1407" s="107">
        <f>+VLOOKUP(PROVEEDORES[[#This Row],[ID RETENCION]],Retenciones!$A$1:$O$25,2,FALSE)</f>
        <v>0</v>
      </c>
      <c r="Z1407" s="116" t="b">
        <f>OR(COUNTIF(PROVEEDORES[[#This Row],[PROVEEDOR]],"*"&amp;'Palabra no opera'!$A$2&amp;"*"))</f>
        <v>0</v>
      </c>
    </row>
    <row r="1408" spans="1:26" ht="22.35" customHeight="1" x14ac:dyDescent="0.3">
      <c r="A1408" s="67" t="str">
        <f>+IF(PROVEEDORES[[#This Row],[FECHA DE PAGO]]=PROVEEDORES[[#This Row],[FECHA DE FACTURACIÓN]],"DE CONTADO","CRÉDITO")</f>
        <v>CRÉDITO</v>
      </c>
      <c r="B1408" s="38" t="b">
        <f>+IF((PROVEEDORES[[#This Row],[FECHA DE PAGO]]-PROVEEDORES[[#This Row],[FECHA DE FACTURACIÓN]])&gt;PROVEEDORES[[#This Row],[PLAZO Días]],"PAGO VENCIDO")</f>
        <v>0</v>
      </c>
      <c r="C1408" s="20">
        <f>+VLOOKUP(PROVEEDORES[[#This Row],[PROVEEDOR]],TERCEROS_INFO[#All],2,FALSE)</f>
        <v>30</v>
      </c>
      <c r="D1408" s="25">
        <f>+SUMIFS(PROVEEDORES[Total],PROVEEDORES[PROVEEDOR],PROVEEDORES[[#This Row],[PROVEEDOR]],PROVEEDORES[FECHA DE PAGO],"")</f>
        <v>0</v>
      </c>
      <c r="E1408" s="25"/>
      <c r="F1408" s="56" t="str">
        <f>+VLOOKUP(PROVEEDORES[[#This Row],[PROVEEDOR]],
                       Terceros!$A:$F,
                       5,
                       FALSE)</f>
        <v/>
      </c>
      <c r="G1408" s="68">
        <v>45027</v>
      </c>
      <c r="H1408" s="26" t="s">
        <v>356</v>
      </c>
      <c r="I1408" s="68">
        <v>45026</v>
      </c>
      <c r="J1408" s="35" t="s">
        <v>1615</v>
      </c>
      <c r="K1408" s="21">
        <v>5304000</v>
      </c>
      <c r="L1408" s="21"/>
      <c r="M1408" s="22">
        <f>(PROVEEDORES[[#This Row],[SUBTOTAL]]-PROVEEDORES[[#This Row],[descuento sobre subtotal]])*VLOOKUP(PROVEEDORES[[#This Row],[PROVEEDOR]],TERCEROS_INFO[#All],3,FALSE)</f>
        <v>0</v>
      </c>
      <c r="N1408" s="23"/>
      <c r="O1408" s="22">
        <f>+PROVEEDORES[[#This Row],[Descuento sobre subtotal %]]*(PROVEEDORES[[#This Row],[SUBTOTAL]]-PROVEEDORES[[#This Row],[descuento sobre subtotal]])</f>
        <v>0</v>
      </c>
      <c r="P1408" s="74">
        <f>+IF(PROVEEDORES[[#This Row],[SUBTOTAL]]&lt;PROVEEDORES[[#This Row],[base retencion]],0,PROVEEDORES[[#This Row],[retención aplicada]])</f>
        <v>0</v>
      </c>
      <c r="Q1408" s="22">
        <f>+PROVEEDORES[[#This Row],[Rete Fuente %]]*(PROVEEDORES[[#This Row],[SUBTOTAL]]-PROVEEDORES[[#This Row],[descuento sobre subtotal]])</f>
        <v>0</v>
      </c>
      <c r="R1408" s="21">
        <f>+PROVEEDORES[[#This Row],[SUBTOTAL]]+PROVEEDORES[[#This Row],[IVA 19%]]-PROVEEDORES[[#This Row],[descuento sobre subtotal]]-PROVEEDORES[[#This Row],[Descuento sobre subtotal $2]]-PROVEEDORES[[#This Row],[Rete Fuente $]]</f>
        <v>5304000</v>
      </c>
      <c r="S14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63">
        <f ca="1">IF(PROVEEDORES[[#This Row],[FECHA DE PAGO]]=0,TODAY()-PROVEEDORES[[#This Row],[FECHA DE FACTURACIÓN]]-PROVEEDORES[[#This Row],[PLAZO Días]],0)</f>
        <v>0</v>
      </c>
      <c r="U1408" s="104">
        <f>+VLOOKUP(PROVEEDORES[[#This Row],[PROVEEDOR]],Terceros!$A:$D,4,FALSE)</f>
        <v>0</v>
      </c>
      <c r="V1408" s="105">
        <f>+YEAR(PROVEEDORES[[#This Row],[FECHA DE FACTURACIÓN]])</f>
        <v>2023</v>
      </c>
      <c r="W1408" s="105">
        <f>+MATCH(PROVEEDORES[[#This Row],[año facturado]],Retenciones!$1:$1,0)</f>
        <v>6</v>
      </c>
      <c r="X1408" s="106">
        <f>+VLOOKUP(PROVEEDORES[[#This Row],[ID RETENCION]],Retenciones!$A$1:$O$25,PROVEEDORES[[#This Row],[indicador de columna]],FALSE)</f>
        <v>0</v>
      </c>
      <c r="Y1408" s="107">
        <f>+VLOOKUP(PROVEEDORES[[#This Row],[ID RETENCION]],Retenciones!$A$1:$O$25,2,FALSE)</f>
        <v>0</v>
      </c>
      <c r="Z1408" s="116" t="b">
        <f>OR(COUNTIF(PROVEEDORES[[#This Row],[PROVEEDOR]],"*"&amp;'Palabra no opera'!$A$2&amp;"*"))</f>
        <v>0</v>
      </c>
    </row>
    <row r="1409" spans="1:26" ht="22.35" customHeight="1" x14ac:dyDescent="0.3">
      <c r="A1409" s="67" t="str">
        <f>+IF(PROVEEDORES[[#This Row],[FECHA DE PAGO]]=PROVEEDORES[[#This Row],[FECHA DE FACTURACIÓN]],"DE CONTADO","CRÉDITO")</f>
        <v>CRÉDITO</v>
      </c>
      <c r="B1409" s="38" t="b">
        <f>+IF((PROVEEDORES[[#This Row],[FECHA DE PAGO]]-PROVEEDORES[[#This Row],[FECHA DE FACTURACIÓN]])&gt;PROVEEDORES[[#This Row],[PLAZO Días]],"PAGO VENCIDO")</f>
        <v>0</v>
      </c>
      <c r="C1409" s="20">
        <f>+VLOOKUP(PROVEEDORES[[#This Row],[PROVEEDOR]],TERCEROS_INFO[#All],2,FALSE)</f>
        <v>30</v>
      </c>
      <c r="D1409" s="25">
        <f>+SUMIFS(PROVEEDORES[Total],PROVEEDORES[PROVEEDOR],PROVEEDORES[[#This Row],[PROVEEDOR]],PROVEEDORES[FECHA DE PAGO],"")</f>
        <v>0</v>
      </c>
      <c r="E1409" s="25"/>
      <c r="F1409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409" s="68">
        <v>45027</v>
      </c>
      <c r="H1409" s="26" t="s">
        <v>966</v>
      </c>
      <c r="I1409" s="68">
        <v>45026</v>
      </c>
      <c r="J1409" s="35">
        <v>408</v>
      </c>
      <c r="K1409" s="21">
        <v>470000</v>
      </c>
      <c r="L1409" s="21"/>
      <c r="M1409" s="22">
        <f>(PROVEEDORES[[#This Row],[SUBTOTAL]]-PROVEEDORES[[#This Row],[descuento sobre subtotal]])*VLOOKUP(PROVEEDORES[[#This Row],[PROVEEDOR]],TERCEROS_INFO[#All],3,FALSE)</f>
        <v>0</v>
      </c>
      <c r="N1409" s="23"/>
      <c r="O1409" s="22">
        <f>+PROVEEDORES[[#This Row],[Descuento sobre subtotal %]]*(PROVEEDORES[[#This Row],[SUBTOTAL]]-PROVEEDORES[[#This Row],[descuento sobre subtotal]])</f>
        <v>0</v>
      </c>
      <c r="P1409" s="74">
        <f>+IF(PROVEEDORES[[#This Row],[SUBTOTAL]]&lt;PROVEEDORES[[#This Row],[base retencion]],0,PROVEEDORES[[#This Row],[retención aplicada]])</f>
        <v>0</v>
      </c>
      <c r="Q1409" s="22">
        <f>+PROVEEDORES[[#This Row],[Rete Fuente %]]*(PROVEEDORES[[#This Row],[SUBTOTAL]]-PROVEEDORES[[#This Row],[descuento sobre subtotal]])</f>
        <v>0</v>
      </c>
      <c r="R1409" s="21">
        <f>+PROVEEDORES[[#This Row],[SUBTOTAL]]+PROVEEDORES[[#This Row],[IVA 19%]]-PROVEEDORES[[#This Row],[descuento sobre subtotal]]-PROVEEDORES[[#This Row],[Descuento sobre subtotal $2]]-PROVEEDORES[[#This Row],[Rete Fuente $]]</f>
        <v>470000</v>
      </c>
      <c r="S14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63">
        <f ca="1">IF(PROVEEDORES[[#This Row],[FECHA DE PAGO]]=0,TODAY()-PROVEEDORES[[#This Row],[FECHA DE FACTURACIÓN]]-PROVEEDORES[[#This Row],[PLAZO Días]],0)</f>
        <v>0</v>
      </c>
      <c r="U1409" s="104">
        <f>+VLOOKUP(PROVEEDORES[[#This Row],[PROVEEDOR]],Terceros!$A:$D,4,FALSE)</f>
        <v>0</v>
      </c>
      <c r="V1409" s="105">
        <f>+YEAR(PROVEEDORES[[#This Row],[FECHA DE FACTURACIÓN]])</f>
        <v>2023</v>
      </c>
      <c r="W1409" s="105">
        <f>+MATCH(PROVEEDORES[[#This Row],[año facturado]],Retenciones!$1:$1,0)</f>
        <v>6</v>
      </c>
      <c r="X1409" s="106">
        <f>+VLOOKUP(PROVEEDORES[[#This Row],[ID RETENCION]],Retenciones!$A$1:$O$25,PROVEEDORES[[#This Row],[indicador de columna]],FALSE)</f>
        <v>0</v>
      </c>
      <c r="Y1409" s="107">
        <f>+VLOOKUP(PROVEEDORES[[#This Row],[ID RETENCION]],Retenciones!$A$1:$O$25,2,FALSE)</f>
        <v>0</v>
      </c>
      <c r="Z1409" s="116" t="b">
        <f>OR(COUNTIF(PROVEEDORES[[#This Row],[PROVEEDOR]],"*"&amp;'Palabra no opera'!$A$2&amp;"*"))</f>
        <v>0</v>
      </c>
    </row>
    <row r="1410" spans="1:26" ht="22.35" customHeight="1" x14ac:dyDescent="0.3">
      <c r="A1410" s="67" t="str">
        <f>+IF(PROVEEDORES[[#This Row],[FECHA DE PAGO]]=PROVEEDORES[[#This Row],[FECHA DE FACTURACIÓN]],"DE CONTADO","CRÉDITO")</f>
        <v>CRÉDITO</v>
      </c>
      <c r="B1410" s="38" t="str">
        <f>+IF((PROVEEDORES[[#This Row],[FECHA DE PAGO]]-PROVEEDORES[[#This Row],[FECHA DE FACTURACIÓN]])&gt;PROVEEDORES[[#This Row],[PLAZO Días]],"PAGO VENCIDO")</f>
        <v>PAGO VENCIDO</v>
      </c>
      <c r="C1410" s="20">
        <f>+VLOOKUP(PROVEEDORES[[#This Row],[PROVEEDOR]],TERCEROS_INFO[#All],2,FALSE)</f>
        <v>30</v>
      </c>
      <c r="D1410" s="25">
        <f>+SUMIFS(PROVEEDORES[Total],PROVEEDORES[PROVEEDOR],PROVEEDORES[[#This Row],[PROVEEDOR]],PROVEEDORES[FECHA DE PAGO],"")</f>
        <v>0</v>
      </c>
      <c r="E1410" s="25"/>
      <c r="F1410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410" s="68">
        <v>45027</v>
      </c>
      <c r="H1410" s="26" t="s">
        <v>387</v>
      </c>
      <c r="I1410" s="68">
        <v>44928</v>
      </c>
      <c r="J1410" s="35">
        <v>2739</v>
      </c>
      <c r="K1410" s="21">
        <v>2244350</v>
      </c>
      <c r="L1410" s="21"/>
      <c r="M1410" s="22">
        <f>(PROVEEDORES[[#This Row],[SUBTOTAL]]-PROVEEDORES[[#This Row],[descuento sobre subtotal]])*VLOOKUP(PROVEEDORES[[#This Row],[PROVEEDOR]],TERCEROS_INFO[#All],3,FALSE)</f>
        <v>0</v>
      </c>
      <c r="N1410" s="23"/>
      <c r="O1410" s="22">
        <f>+PROVEEDORES[[#This Row],[Descuento sobre subtotal %]]*(PROVEEDORES[[#This Row],[SUBTOTAL]]-PROVEEDORES[[#This Row],[descuento sobre subtotal]])</f>
        <v>0</v>
      </c>
      <c r="P1410" s="74">
        <f>+IF(PROVEEDORES[[#This Row],[SUBTOTAL]]&lt;PROVEEDORES[[#This Row],[base retencion]],0,PROVEEDORES[[#This Row],[retención aplicada]])</f>
        <v>0</v>
      </c>
      <c r="Q1410" s="22">
        <f>+PROVEEDORES[[#This Row],[Rete Fuente %]]*(PROVEEDORES[[#This Row],[SUBTOTAL]]-PROVEEDORES[[#This Row],[descuento sobre subtotal]])</f>
        <v>0</v>
      </c>
      <c r="R1410" s="21">
        <f>+PROVEEDORES[[#This Row],[SUBTOTAL]]+PROVEEDORES[[#This Row],[IVA 19%]]-PROVEEDORES[[#This Row],[descuento sobre subtotal]]-PROVEEDORES[[#This Row],[Descuento sobre subtotal $2]]-PROVEEDORES[[#This Row],[Rete Fuente $]]</f>
        <v>2244350</v>
      </c>
      <c r="S14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0" s="63">
        <f ca="1">IF(PROVEEDORES[[#This Row],[FECHA DE PAGO]]=0,TODAY()-PROVEEDORES[[#This Row],[FECHA DE FACTURACIÓN]]-PROVEEDORES[[#This Row],[PLAZO Días]],0)</f>
        <v>0</v>
      </c>
      <c r="U1410" s="104">
        <f>+VLOOKUP(PROVEEDORES[[#This Row],[PROVEEDOR]],Terceros!$A:$D,4,FALSE)</f>
        <v>0</v>
      </c>
      <c r="V1410" s="105">
        <f>+YEAR(PROVEEDORES[[#This Row],[FECHA DE FACTURACIÓN]])</f>
        <v>2023</v>
      </c>
      <c r="W1410" s="105">
        <f>+MATCH(PROVEEDORES[[#This Row],[año facturado]],Retenciones!$1:$1,0)</f>
        <v>6</v>
      </c>
      <c r="X1410" s="106">
        <f>+VLOOKUP(PROVEEDORES[[#This Row],[ID RETENCION]],Retenciones!$A$1:$O$25,PROVEEDORES[[#This Row],[indicador de columna]],FALSE)</f>
        <v>0</v>
      </c>
      <c r="Y1410" s="107">
        <f>+VLOOKUP(PROVEEDORES[[#This Row],[ID RETENCION]],Retenciones!$A$1:$O$25,2,FALSE)</f>
        <v>0</v>
      </c>
      <c r="Z1410" s="116" t="b">
        <f>OR(COUNTIF(PROVEEDORES[[#This Row],[PROVEEDOR]],"*"&amp;'Palabra no opera'!$A$2&amp;"*"))</f>
        <v>0</v>
      </c>
    </row>
    <row r="1411" spans="1:26" ht="22.35" customHeight="1" x14ac:dyDescent="0.3">
      <c r="A1411" s="67" t="str">
        <f>+IF(PROVEEDORES[[#This Row],[FECHA DE PAGO]]=PROVEEDORES[[#This Row],[FECHA DE FACTURACIÓN]],"DE CONTADO","CRÉDITO")</f>
        <v>CRÉDITO</v>
      </c>
      <c r="B1411" s="38" t="b">
        <f>+IF((PROVEEDORES[[#This Row],[FECHA DE PAGO]]-PROVEEDORES[[#This Row],[FECHA DE FACTURACIÓN]])&gt;PROVEEDORES[[#This Row],[PLAZO Días]],"PAGO VENCIDO")</f>
        <v>0</v>
      </c>
      <c r="C1411" s="20">
        <f>+VLOOKUP(PROVEEDORES[[#This Row],[PROVEEDOR]],TERCEROS_INFO[#All],2,FALSE)</f>
        <v>30</v>
      </c>
      <c r="D1411" s="25">
        <f>+SUMIFS(PROVEEDORES[Total],PROVEEDORES[PROVEEDOR],PROVEEDORES[[#This Row],[PROVEEDOR]],PROVEEDORES[FECHA DE PAGO],"")</f>
        <v>0</v>
      </c>
      <c r="E1411" s="25"/>
      <c r="F1411" s="56">
        <f>+VLOOKUP(PROVEEDORES[[#This Row],[PROVEEDOR]],
                       Terceros!$A:$F,
                       5,
                       FALSE)</f>
        <v>0</v>
      </c>
      <c r="G1411" s="68">
        <v>45027</v>
      </c>
      <c r="H1411" s="26" t="s">
        <v>1165</v>
      </c>
      <c r="I1411" s="68">
        <v>45017</v>
      </c>
      <c r="J1411" s="35">
        <v>6724</v>
      </c>
      <c r="K1411" s="21">
        <v>300000</v>
      </c>
      <c r="L1411" s="21"/>
      <c r="M1411" s="22">
        <f>(PROVEEDORES[[#This Row],[SUBTOTAL]]-PROVEEDORES[[#This Row],[descuento sobre subtotal]])*VLOOKUP(PROVEEDORES[[#This Row],[PROVEEDOR]],TERCEROS_INFO[#All],3,FALSE)</f>
        <v>0</v>
      </c>
      <c r="N1411" s="23"/>
      <c r="O1411" s="22">
        <f>+PROVEEDORES[[#This Row],[Descuento sobre subtotal %]]*(PROVEEDORES[[#This Row],[SUBTOTAL]]-PROVEEDORES[[#This Row],[descuento sobre subtotal]])</f>
        <v>0</v>
      </c>
      <c r="P1411" s="74">
        <f>+IF(PROVEEDORES[[#This Row],[SUBTOTAL]]&lt;PROVEEDORES[[#This Row],[base retencion]],0,PROVEEDORES[[#This Row],[retención aplicada]])</f>
        <v>0</v>
      </c>
      <c r="Q1411" s="22">
        <f>+PROVEEDORES[[#This Row],[Rete Fuente %]]*(PROVEEDORES[[#This Row],[SUBTOTAL]]-PROVEEDORES[[#This Row],[descuento sobre subtotal]])</f>
        <v>0</v>
      </c>
      <c r="R1411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4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1" s="63">
        <f ca="1">IF(PROVEEDORES[[#This Row],[FECHA DE PAGO]]=0,TODAY()-PROVEEDORES[[#This Row],[FECHA DE FACTURACIÓN]]-PROVEEDORES[[#This Row],[PLAZO Días]],0)</f>
        <v>0</v>
      </c>
      <c r="U1411" s="104">
        <f>+VLOOKUP(PROVEEDORES[[#This Row],[PROVEEDOR]],Terceros!$A:$D,4,FALSE)</f>
        <v>0</v>
      </c>
      <c r="V1411" s="105">
        <f>+YEAR(PROVEEDORES[[#This Row],[FECHA DE FACTURACIÓN]])</f>
        <v>2023</v>
      </c>
      <c r="W1411" s="105">
        <f>+MATCH(PROVEEDORES[[#This Row],[año facturado]],Retenciones!$1:$1,0)</f>
        <v>6</v>
      </c>
      <c r="X1411" s="106">
        <f>+VLOOKUP(PROVEEDORES[[#This Row],[ID RETENCION]],Retenciones!$A$1:$O$25,PROVEEDORES[[#This Row],[indicador de columna]],FALSE)</f>
        <v>0</v>
      </c>
      <c r="Y1411" s="107">
        <f>+VLOOKUP(PROVEEDORES[[#This Row],[ID RETENCION]],Retenciones!$A$1:$O$25,2,FALSE)</f>
        <v>0</v>
      </c>
      <c r="Z1411" s="116" t="b">
        <f>OR(COUNTIF(PROVEEDORES[[#This Row],[PROVEEDOR]],"*"&amp;'Palabra no opera'!$A$2&amp;"*"))</f>
        <v>0</v>
      </c>
    </row>
    <row r="1412" spans="1:26" ht="22.35" customHeight="1" x14ac:dyDescent="0.3">
      <c r="A1412" s="67" t="str">
        <f>+IF(PROVEEDORES[[#This Row],[FECHA DE PAGO]]=PROVEEDORES[[#This Row],[FECHA DE FACTURACIÓN]],"DE CONTADO","CRÉDITO")</f>
        <v>CRÉDITO</v>
      </c>
      <c r="B1412" s="38" t="str">
        <f>+IF((PROVEEDORES[[#This Row],[FECHA DE PAGO]]-PROVEEDORES[[#This Row],[FECHA DE FACTURACIÓN]])&gt;PROVEEDORES[[#This Row],[PLAZO Días]],"PAGO VENCIDO")</f>
        <v>PAGO VENCIDO</v>
      </c>
      <c r="C1412" s="20">
        <f>+VLOOKUP(PROVEEDORES[[#This Row],[PROVEEDOR]],TERCEROS_INFO[#All],2,FALSE)</f>
        <v>30</v>
      </c>
      <c r="D1412" s="25">
        <f>+SUMIFS(PROVEEDORES[Total],PROVEEDORES[PROVEEDOR],PROVEEDORES[[#This Row],[PROVEEDOR]],PROVEEDORES[FECHA DE PAGO],"")</f>
        <v>2950000</v>
      </c>
      <c r="E1412" s="25"/>
      <c r="F1412" s="56">
        <f>+VLOOKUP(PROVEEDORES[[#This Row],[PROVEEDOR]],
                       Terceros!$A:$F,
                       5,
                       FALSE)</f>
        <v>0</v>
      </c>
      <c r="G1412" s="68">
        <v>45027</v>
      </c>
      <c r="H1412" s="26" t="s">
        <v>1152</v>
      </c>
      <c r="I1412" s="68">
        <v>44992</v>
      </c>
      <c r="J1412" s="35">
        <v>9740</v>
      </c>
      <c r="K1412" s="21">
        <v>1237000</v>
      </c>
      <c r="L1412" s="21"/>
      <c r="M1412" s="22">
        <f>(PROVEEDORES[[#This Row],[SUBTOTAL]]-PROVEEDORES[[#This Row],[descuento sobre subtotal]])*VLOOKUP(PROVEEDORES[[#This Row],[PROVEEDOR]],TERCEROS_INFO[#All],3,FALSE)</f>
        <v>0</v>
      </c>
      <c r="N1412" s="23"/>
      <c r="O1412" s="22">
        <f>+PROVEEDORES[[#This Row],[Descuento sobre subtotal %]]*(PROVEEDORES[[#This Row],[SUBTOTAL]]-PROVEEDORES[[#This Row],[descuento sobre subtotal]])</f>
        <v>0</v>
      </c>
      <c r="P1412" s="74">
        <f>+IF(PROVEEDORES[[#This Row],[SUBTOTAL]]&lt;PROVEEDORES[[#This Row],[base retencion]],0,PROVEEDORES[[#This Row],[retención aplicada]])</f>
        <v>0</v>
      </c>
      <c r="Q1412" s="22">
        <f>+PROVEEDORES[[#This Row],[Rete Fuente %]]*(PROVEEDORES[[#This Row],[SUBTOTAL]]-PROVEEDORES[[#This Row],[descuento sobre subtotal]])</f>
        <v>0</v>
      </c>
      <c r="R1412" s="21">
        <f>+PROVEEDORES[[#This Row],[SUBTOTAL]]+PROVEEDORES[[#This Row],[IVA 19%]]-PROVEEDORES[[#This Row],[descuento sobre subtotal]]-PROVEEDORES[[#This Row],[Descuento sobre subtotal $2]]-PROVEEDORES[[#This Row],[Rete Fuente $]]</f>
        <v>1237000</v>
      </c>
      <c r="S14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2" s="63">
        <f ca="1">IF(PROVEEDORES[[#This Row],[FECHA DE PAGO]]=0,TODAY()-PROVEEDORES[[#This Row],[FECHA DE FACTURACIÓN]]-PROVEEDORES[[#This Row],[PLAZO Días]],0)</f>
        <v>0</v>
      </c>
      <c r="U1412" s="104">
        <f>+VLOOKUP(PROVEEDORES[[#This Row],[PROVEEDOR]],Terceros!$A:$D,4,FALSE)</f>
        <v>0</v>
      </c>
      <c r="V1412" s="105">
        <f>+YEAR(PROVEEDORES[[#This Row],[FECHA DE FACTURACIÓN]])</f>
        <v>2023</v>
      </c>
      <c r="W1412" s="105">
        <f>+MATCH(PROVEEDORES[[#This Row],[año facturado]],Retenciones!$1:$1,0)</f>
        <v>6</v>
      </c>
      <c r="X1412" s="106">
        <f>+VLOOKUP(PROVEEDORES[[#This Row],[ID RETENCION]],Retenciones!$A$1:$O$25,PROVEEDORES[[#This Row],[indicador de columna]],FALSE)</f>
        <v>0</v>
      </c>
      <c r="Y1412" s="107">
        <f>+VLOOKUP(PROVEEDORES[[#This Row],[ID RETENCION]],Retenciones!$A$1:$O$25,2,FALSE)</f>
        <v>0</v>
      </c>
      <c r="Z1412" s="116" t="b">
        <f>OR(COUNTIF(PROVEEDORES[[#This Row],[PROVEEDOR]],"*"&amp;'Palabra no opera'!$A$2&amp;"*"))</f>
        <v>0</v>
      </c>
    </row>
    <row r="1413" spans="1:26" ht="22.35" customHeight="1" x14ac:dyDescent="0.3">
      <c r="A1413" s="67" t="str">
        <f>+IF(PROVEEDORES[[#This Row],[FECHA DE PAGO]]=PROVEEDORES[[#This Row],[FECHA DE FACTURACIÓN]],"DE CONTADO","CRÉDITO")</f>
        <v>DE CONTADO</v>
      </c>
      <c r="B1413" s="38" t="b">
        <f>+IF((PROVEEDORES[[#This Row],[FECHA DE PAGO]]-PROVEEDORES[[#This Row],[FECHA DE FACTURACIÓN]])&gt;PROVEEDORES[[#This Row],[PLAZO Días]],"PAGO VENCIDO")</f>
        <v>0</v>
      </c>
      <c r="C1413" s="20">
        <f>+VLOOKUP(PROVEEDORES[[#This Row],[PROVEEDOR]],TERCEROS_INFO[#All],2,FALSE)</f>
        <v>30</v>
      </c>
      <c r="D1413" s="25">
        <f>+SUMIFS(PROVEEDORES[Total],PROVEEDORES[PROVEEDOR],PROVEEDORES[[#This Row],[PROVEEDOR]],PROVEEDORES[FECHA DE PAGO],"")</f>
        <v>0</v>
      </c>
      <c r="E1413" s="25"/>
      <c r="F1413" s="56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1413" s="68">
        <v>45027</v>
      </c>
      <c r="H1413" s="26" t="s">
        <v>814</v>
      </c>
      <c r="I1413" s="68">
        <v>45027</v>
      </c>
      <c r="J1413" s="35">
        <v>20549</v>
      </c>
      <c r="K1413" s="21">
        <v>240000</v>
      </c>
      <c r="L1413" s="21"/>
      <c r="M1413" s="22">
        <f>(PROVEEDORES[[#This Row],[SUBTOTAL]]-PROVEEDORES[[#This Row],[descuento sobre subtotal]])*VLOOKUP(PROVEEDORES[[#This Row],[PROVEEDOR]],TERCEROS_INFO[#All],3,FALSE)</f>
        <v>45600</v>
      </c>
      <c r="N1413" s="23"/>
      <c r="O1413" s="22">
        <f>+PROVEEDORES[[#This Row],[Descuento sobre subtotal %]]*(PROVEEDORES[[#This Row],[SUBTOTAL]]-PROVEEDORES[[#This Row],[descuento sobre subtotal]])</f>
        <v>0</v>
      </c>
      <c r="P1413" s="74">
        <f>+IF(PROVEEDORES[[#This Row],[SUBTOTAL]]&lt;PROVEEDORES[[#This Row],[base retencion]],0,PROVEEDORES[[#This Row],[retención aplicada]])</f>
        <v>0</v>
      </c>
      <c r="Q1413" s="22">
        <f>+PROVEEDORES[[#This Row],[Rete Fuente %]]*(PROVEEDORES[[#This Row],[SUBTOTAL]]-PROVEEDORES[[#This Row],[descuento sobre subtotal]])</f>
        <v>0</v>
      </c>
      <c r="R1413" s="21">
        <f>+PROVEEDORES[[#This Row],[SUBTOTAL]]+PROVEEDORES[[#This Row],[IVA 19%]]-PROVEEDORES[[#This Row],[descuento sobre subtotal]]-PROVEEDORES[[#This Row],[Descuento sobre subtotal $2]]-PROVEEDORES[[#This Row],[Rete Fuente $]]</f>
        <v>285600</v>
      </c>
      <c r="S14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63">
        <f ca="1">IF(PROVEEDORES[[#This Row],[FECHA DE PAGO]]=0,TODAY()-PROVEEDORES[[#This Row],[FECHA DE FACTURACIÓN]]-PROVEEDORES[[#This Row],[PLAZO Días]],0)</f>
        <v>0</v>
      </c>
      <c r="U1413" s="104">
        <f>+VLOOKUP(PROVEEDORES[[#This Row],[PROVEEDOR]],Terceros!$A:$D,4,FALSE)</f>
        <v>0</v>
      </c>
      <c r="V1413" s="105">
        <f>+YEAR(PROVEEDORES[[#This Row],[FECHA DE FACTURACIÓN]])</f>
        <v>2023</v>
      </c>
      <c r="W1413" s="105">
        <f>+MATCH(PROVEEDORES[[#This Row],[año facturado]],Retenciones!$1:$1,0)</f>
        <v>6</v>
      </c>
      <c r="X1413" s="106">
        <f>+VLOOKUP(PROVEEDORES[[#This Row],[ID RETENCION]],Retenciones!$A$1:$O$25,PROVEEDORES[[#This Row],[indicador de columna]],FALSE)</f>
        <v>0</v>
      </c>
      <c r="Y1413" s="107">
        <f>+VLOOKUP(PROVEEDORES[[#This Row],[ID RETENCION]],Retenciones!$A$1:$O$25,2,FALSE)</f>
        <v>0</v>
      </c>
      <c r="Z1413" s="116" t="b">
        <f>OR(COUNTIF(PROVEEDORES[[#This Row],[PROVEEDOR]],"*"&amp;'Palabra no opera'!$A$2&amp;"*"))</f>
        <v>1</v>
      </c>
    </row>
    <row r="1414" spans="1:26" ht="22.35" customHeight="1" x14ac:dyDescent="0.3">
      <c r="A1414" s="67" t="str">
        <f>+IF(PROVEEDORES[[#This Row],[FECHA DE PAGO]]=PROVEEDORES[[#This Row],[FECHA DE FACTURACIÓN]],"DE CONTADO","CRÉDITO")</f>
        <v>CRÉDITO</v>
      </c>
      <c r="B1414" s="38" t="b">
        <f>+IF((PROVEEDORES[[#This Row],[FECHA DE PAGO]]-PROVEEDORES[[#This Row],[FECHA DE FACTURACIÓN]])&gt;PROVEEDORES[[#This Row],[PLAZO Días]],"PAGO VENCIDO")</f>
        <v>0</v>
      </c>
      <c r="C1414" s="20">
        <f>+VLOOKUP(PROVEEDORES[[#This Row],[PROVEEDOR]],TERCEROS_INFO[#All],2,FALSE)</f>
        <v>30</v>
      </c>
      <c r="D1414" s="25">
        <f>+SUMIFS(PROVEEDORES[Total],PROVEEDORES[PROVEEDOR],PROVEEDORES[[#This Row],[PROVEEDOR]],PROVEEDORES[FECHA DE PAGO],"")</f>
        <v>0</v>
      </c>
      <c r="E1414" s="25"/>
      <c r="F1414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414" s="68">
        <v>45027</v>
      </c>
      <c r="H1414" s="26" t="s">
        <v>967</v>
      </c>
      <c r="I1414" s="68">
        <v>45026</v>
      </c>
      <c r="J1414" s="35" t="s">
        <v>1587</v>
      </c>
      <c r="K1414" s="21">
        <v>300000</v>
      </c>
      <c r="L1414" s="21"/>
      <c r="M1414" s="22">
        <f>(PROVEEDORES[[#This Row],[SUBTOTAL]]-PROVEEDORES[[#This Row],[descuento sobre subtotal]])*VLOOKUP(PROVEEDORES[[#This Row],[PROVEEDOR]],TERCEROS_INFO[#All],3,FALSE)</f>
        <v>0</v>
      </c>
      <c r="N1414" s="23"/>
      <c r="O1414" s="22">
        <f>+PROVEEDORES[[#This Row],[Descuento sobre subtotal %]]*(PROVEEDORES[[#This Row],[SUBTOTAL]]-PROVEEDORES[[#This Row],[descuento sobre subtotal]])</f>
        <v>0</v>
      </c>
      <c r="P1414" s="74">
        <v>0.01</v>
      </c>
      <c r="Q1414" s="22">
        <v>3000</v>
      </c>
      <c r="R1414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14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63">
        <f ca="1">IF(PROVEEDORES[[#This Row],[FECHA DE PAGO]]=0,TODAY()-PROVEEDORES[[#This Row],[FECHA DE FACTURACIÓN]]-PROVEEDORES[[#This Row],[PLAZO Días]],0)</f>
        <v>0</v>
      </c>
      <c r="U1414" s="104" t="str">
        <f>+VLOOKUP(PROVEEDORES[[#This Row],[PROVEEDOR]],Terceros!$A:$D,4,FALSE)</f>
        <v>1% con base</v>
      </c>
      <c r="V1414" s="105">
        <f>+YEAR(PROVEEDORES[[#This Row],[FECHA DE FACTURACIÓN]])</f>
        <v>2023</v>
      </c>
      <c r="W1414" s="105">
        <f>+MATCH(PROVEEDORES[[#This Row],[año facturado]],Retenciones!$1:$1,0)</f>
        <v>6</v>
      </c>
      <c r="X1414" s="106">
        <f>+VLOOKUP(PROVEEDORES[[#This Row],[ID RETENCION]],Retenciones!$A$1:$O$25,PROVEEDORES[[#This Row],[indicador de columna]],FALSE)</f>
        <v>170000</v>
      </c>
      <c r="Y1414" s="107">
        <f>+VLOOKUP(PROVEEDORES[[#This Row],[ID RETENCION]],Retenciones!$A$1:$O$25,2,FALSE)</f>
        <v>0.01</v>
      </c>
      <c r="Z1414" s="116" t="b">
        <f>OR(COUNTIF(PROVEEDORES[[#This Row],[PROVEEDOR]],"*"&amp;'Palabra no opera'!$A$2&amp;"*"))</f>
        <v>0</v>
      </c>
    </row>
    <row r="1415" spans="1:26" ht="22.35" customHeight="1" x14ac:dyDescent="0.3">
      <c r="A1415" s="67" t="str">
        <f>+IF(PROVEEDORES[[#This Row],[FECHA DE PAGO]]=PROVEEDORES[[#This Row],[FECHA DE FACTURACIÓN]],"DE CONTADO","CRÉDITO")</f>
        <v>CRÉDITO</v>
      </c>
      <c r="B1415" s="38" t="b">
        <f>+IF((PROVEEDORES[[#This Row],[FECHA DE PAGO]]-PROVEEDORES[[#This Row],[FECHA DE FACTURACIÓN]])&gt;PROVEEDORES[[#This Row],[PLAZO Días]],"PAGO VENCIDO")</f>
        <v>0</v>
      </c>
      <c r="C1415" s="20">
        <f>+VLOOKUP(PROVEEDORES[[#This Row],[PROVEEDOR]],TERCEROS_INFO[#All],2,FALSE)</f>
        <v>30</v>
      </c>
      <c r="D1415" s="25">
        <f>+SUMIFS(PROVEEDORES[Total],PROVEEDORES[PROVEEDOR],PROVEEDORES[[#This Row],[PROVEEDOR]],PROVEEDORES[FECHA DE PAGO],"")</f>
        <v>0</v>
      </c>
      <c r="E1415" s="25"/>
      <c r="F1415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415" s="68">
        <v>45027</v>
      </c>
      <c r="H1415" s="26" t="s">
        <v>651</v>
      </c>
      <c r="I1415" s="68">
        <v>45017</v>
      </c>
      <c r="J1415" s="35" t="s">
        <v>1586</v>
      </c>
      <c r="K1415" s="21">
        <v>243611</v>
      </c>
      <c r="L1415" s="21"/>
      <c r="M1415" s="22">
        <f>(PROVEEDORES[[#This Row],[SUBTOTAL]]-PROVEEDORES[[#This Row],[descuento sobre subtotal]])*VLOOKUP(PROVEEDORES[[#This Row],[PROVEEDOR]],TERCEROS_INFO[#All],3,FALSE)</f>
        <v>46286.090000000004</v>
      </c>
      <c r="N1415" s="23"/>
      <c r="O1415" s="22">
        <f>+PROVEEDORES[[#This Row],[Descuento sobre subtotal %]]*(PROVEEDORES[[#This Row],[SUBTOTAL]]-PROVEEDORES[[#This Row],[descuento sobre subtotal]])</f>
        <v>0</v>
      </c>
      <c r="P1415" s="74">
        <f>+IF(PROVEEDORES[[#This Row],[SUBTOTAL]]&lt;PROVEEDORES[[#This Row],[base retencion]],0,PROVEEDORES[[#This Row],[retención aplicada]])</f>
        <v>3.5000000000000003E-2</v>
      </c>
      <c r="Q1415" s="22">
        <f>+PROVEEDORES[[#This Row],[Rete Fuente %]]*(PROVEEDORES[[#This Row],[SUBTOTAL]]-PROVEEDORES[[#This Row],[descuento sobre subtotal]])</f>
        <v>8526.3850000000002</v>
      </c>
      <c r="R1415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4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5" s="63">
        <f ca="1">IF(PROVEEDORES[[#This Row],[FECHA DE PAGO]]=0,TODAY()-PROVEEDORES[[#This Row],[FECHA DE FACTURACIÓN]]-PROVEEDORES[[#This Row],[PLAZO Días]],0)</f>
        <v>0</v>
      </c>
      <c r="U1415" s="104" t="str">
        <f>+VLOOKUP(PROVEEDORES[[#This Row],[PROVEEDOR]],Terceros!$A:$D,4,FALSE)</f>
        <v>3,5% sin base</v>
      </c>
      <c r="V1415" s="105">
        <f>+YEAR(PROVEEDORES[[#This Row],[FECHA DE FACTURACIÓN]])</f>
        <v>2023</v>
      </c>
      <c r="W1415" s="105">
        <f>+MATCH(PROVEEDORES[[#This Row],[año facturado]],Retenciones!$1:$1,0)</f>
        <v>6</v>
      </c>
      <c r="X1415" s="106">
        <f>+VLOOKUP(PROVEEDORES[[#This Row],[ID RETENCION]],Retenciones!$A$1:$O$25,PROVEEDORES[[#This Row],[indicador de columna]],FALSE)</f>
        <v>0</v>
      </c>
      <c r="Y1415" s="107">
        <f>+VLOOKUP(PROVEEDORES[[#This Row],[ID RETENCION]],Retenciones!$A$1:$O$25,2,FALSE)</f>
        <v>3.5000000000000003E-2</v>
      </c>
      <c r="Z1415" s="116" t="b">
        <f>OR(COUNTIF(PROVEEDORES[[#This Row],[PROVEEDOR]],"*"&amp;'Palabra no opera'!$A$2&amp;"*"))</f>
        <v>1</v>
      </c>
    </row>
    <row r="1416" spans="1:26" ht="22.35" customHeight="1" x14ac:dyDescent="0.3">
      <c r="A1416" s="269" t="str">
        <f>+IF(PROVEEDORES[[#This Row],[FECHA DE PAGO]]=PROVEEDORES[[#This Row],[FECHA DE FACTURACIÓN]],"DE CONTADO","CRÉDITO")</f>
        <v>CRÉDITO</v>
      </c>
      <c r="B1416" s="38" t="str">
        <f>+IF((PROVEEDORES[[#This Row],[FECHA DE PAGO]]-PROVEEDORES[[#This Row],[FECHA DE FACTURACIÓN]])&gt;PROVEEDORES[[#This Row],[PLAZO Días]],"PAGO VENCIDO")</f>
        <v>PAGO VENCIDO</v>
      </c>
      <c r="C1416" s="20">
        <f>+VLOOKUP(PROVEEDORES[[#This Row],[PROVEEDOR]],TERCEROS_INFO[#All],2,FALSE)</f>
        <v>30</v>
      </c>
      <c r="D1416" s="25">
        <f>+SUMIFS(PROVEEDORES[Total],PROVEEDORES[PROVEEDOR],PROVEEDORES[[#This Row],[PROVEEDOR]],PROVEEDORES[FECHA DE PAGO],"")</f>
        <v>0</v>
      </c>
      <c r="E1416" s="25"/>
      <c r="F1416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16" s="68">
        <v>45028</v>
      </c>
      <c r="H1416" s="26" t="s">
        <v>394</v>
      </c>
      <c r="I1416" s="68">
        <v>44983</v>
      </c>
      <c r="J1416" s="35" t="s">
        <v>1471</v>
      </c>
      <c r="K1416" s="21">
        <v>2550000</v>
      </c>
      <c r="L1416" s="21"/>
      <c r="M1416" s="22">
        <f>(PROVEEDORES[[#This Row],[SUBTOTAL]]-PROVEEDORES[[#This Row],[descuento sobre subtotal]])*VLOOKUP(PROVEEDORES[[#This Row],[PROVEEDOR]],TERCEROS_INFO[#All],3,FALSE)</f>
        <v>0</v>
      </c>
      <c r="N1416" s="23"/>
      <c r="O1416" s="22">
        <f>+PROVEEDORES[[#This Row],[Descuento sobre subtotal %]]*(PROVEEDORES[[#This Row],[SUBTOTAL]]-PROVEEDORES[[#This Row],[descuento sobre subtotal]])</f>
        <v>0</v>
      </c>
      <c r="P1416" s="74">
        <f>+IF(PROVEEDORES[[#This Row],[SUBTOTAL]]&lt;PROVEEDORES[[#This Row],[base retencion]],0,PROVEEDORES[[#This Row],[retención aplicada]])</f>
        <v>0</v>
      </c>
      <c r="Q1416" s="22">
        <f>+PROVEEDORES[[#This Row],[Rete Fuente %]]*(PROVEEDORES[[#This Row],[SUBTOTAL]]-PROVEEDORES[[#This Row],[descuento sobre subtotal]])</f>
        <v>0</v>
      </c>
      <c r="R1416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1416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63">
        <f ca="1">IF(PROVEEDORES[[#This Row],[FECHA DE PAGO]]=0,TODAY()-PROVEEDORES[[#This Row],[FECHA DE FACTURACIÓN]]-PROVEEDORES[[#This Row],[PLAZO Días]],0)</f>
        <v>0</v>
      </c>
      <c r="U1416" s="104">
        <f>+VLOOKUP(PROVEEDORES[[#This Row],[PROVEEDOR]],Terceros!$A:$D,4,FALSE)</f>
        <v>0</v>
      </c>
      <c r="V1416" s="105">
        <f>+YEAR(PROVEEDORES[[#This Row],[FECHA DE FACTURACIÓN]])</f>
        <v>2023</v>
      </c>
      <c r="W1416" s="105">
        <f>+MATCH(PROVEEDORES[[#This Row],[año facturado]],Retenciones!$1:$1,0)</f>
        <v>6</v>
      </c>
      <c r="X1416" s="106">
        <f>+VLOOKUP(PROVEEDORES[[#This Row],[ID RETENCION]],Retenciones!$A$1:$O$25,PROVEEDORES[[#This Row],[indicador de columna]],FALSE)</f>
        <v>0</v>
      </c>
      <c r="Y1416" s="107">
        <f>+VLOOKUP(PROVEEDORES[[#This Row],[ID RETENCION]],Retenciones!$A$1:$O$25,2,FALSE)</f>
        <v>0</v>
      </c>
      <c r="Z1416" s="116" t="b">
        <f>OR(COUNTIF(PROVEEDORES[[#This Row],[PROVEEDOR]],"*"&amp;'Palabra no opera'!$A$2&amp;"*"))</f>
        <v>0</v>
      </c>
    </row>
    <row r="1417" spans="1:26" ht="22.35" customHeight="1" x14ac:dyDescent="0.3">
      <c r="A1417" s="242" t="str">
        <f>+IF(PROVEEDORES[[#This Row],[FECHA DE PAGO]]=PROVEEDORES[[#This Row],[FECHA DE FACTURACIÓN]],"DE CONTADO","CRÉDITO")</f>
        <v>CRÉDITO</v>
      </c>
      <c r="B1417" s="38" t="str">
        <f>+IF((PROVEEDORES[[#This Row],[FECHA DE PAGO]]-PROVEEDORES[[#This Row],[FECHA DE FACTURACIÓN]])&gt;PROVEEDORES[[#This Row],[PLAZO Días]],"PAGO VENCIDO")</f>
        <v>PAGO VENCIDO</v>
      </c>
      <c r="C1417" s="20">
        <f>+VLOOKUP(PROVEEDORES[[#This Row],[PROVEEDOR]],TERCEROS_INFO[#All],2,FALSE)</f>
        <v>30</v>
      </c>
      <c r="D1417" s="25">
        <f>+SUMIFS(PROVEEDORES[Total],PROVEEDORES[PROVEEDOR],PROVEEDORES[[#This Row],[PROVEEDOR]],PROVEEDORES[FECHA DE PAGO],"")</f>
        <v>-139600.09</v>
      </c>
      <c r="E1417" s="25"/>
      <c r="F1417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17" s="68">
        <v>45028</v>
      </c>
      <c r="H1417" s="231" t="s">
        <v>32</v>
      </c>
      <c r="I1417" s="68">
        <v>44901</v>
      </c>
      <c r="J1417" s="35" t="s">
        <v>1282</v>
      </c>
      <c r="K1417" s="21">
        <v>-44117</v>
      </c>
      <c r="L1417" s="21"/>
      <c r="M1417" s="22">
        <f>(PROVEEDORES[[#This Row],[SUBTOTAL]]-PROVEEDORES[[#This Row],[descuento sobre subtotal]])*VLOOKUP(PROVEEDORES[[#This Row],[PROVEEDOR]],TERCEROS_INFO[#All],3,FALSE)</f>
        <v>-8382.23</v>
      </c>
      <c r="N1417" s="23"/>
      <c r="O1417" s="22">
        <f>+PROVEEDORES[[#This Row],[Descuento sobre subtotal %]]*(PROVEEDORES[[#This Row],[SUBTOTAL]]-PROVEEDORES[[#This Row],[descuento sobre subtotal]])</f>
        <v>0</v>
      </c>
      <c r="P1417" s="74">
        <f>+IF(PROVEEDORES[[#This Row],[SUBTOTAL]]&lt;PROVEEDORES[[#This Row],[base retencion]],0,PROVEEDORES[[#This Row],[retención aplicada]])</f>
        <v>0</v>
      </c>
      <c r="Q1417" s="22">
        <f>+PROVEEDORES[[#This Row],[Rete Fuente %]]*(PROVEEDORES[[#This Row],[SUBTOTAL]]-PROVEEDORES[[#This Row],[descuento sobre subtotal]])</f>
        <v>0</v>
      </c>
      <c r="R1417" s="21">
        <f>+PROVEEDORES[[#This Row],[SUBTOTAL]]+PROVEEDORES[[#This Row],[IVA 19%]]-PROVEEDORES[[#This Row],[descuento sobre subtotal]]-PROVEEDORES[[#This Row],[Descuento sobre subtotal $2]]-PROVEEDORES[[#This Row],[Rete Fuente $]]</f>
        <v>-52499.229999999996</v>
      </c>
      <c r="S1417" s="24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7" s="63">
        <f ca="1">IF(PROVEEDORES[[#This Row],[FECHA DE PAGO]]=0,TODAY()-PROVEEDORES[[#This Row],[FECHA DE FACTURACIÓN]]-PROVEEDORES[[#This Row],[PLAZO Días]],0)</f>
        <v>0</v>
      </c>
      <c r="U1417" s="104" t="str">
        <f>+VLOOKUP(PROVEEDORES[[#This Row],[PROVEEDOR]],Terceros!$A:$D,4,FALSE)</f>
        <v>2,5% con base</v>
      </c>
      <c r="V1417" s="105">
        <f>+YEAR(PROVEEDORES[[#This Row],[FECHA DE FACTURACIÓN]])</f>
        <v>2022</v>
      </c>
      <c r="W1417" s="105">
        <f>+MATCH(PROVEEDORES[[#This Row],[año facturado]],Retenciones!$1:$1,0)</f>
        <v>5</v>
      </c>
      <c r="X1417" s="106">
        <f>+VLOOKUP(PROVEEDORES[[#This Row],[ID RETENCION]],Retenciones!$A$1:$O$25,PROVEEDORES[[#This Row],[indicador de columna]],FALSE)</f>
        <v>1026000</v>
      </c>
      <c r="Y1417" s="107">
        <f>+VLOOKUP(PROVEEDORES[[#This Row],[ID RETENCION]],Retenciones!$A$1:$O$25,2,FALSE)</f>
        <v>2.5000000000000001E-2</v>
      </c>
      <c r="Z1417" s="116" t="b">
        <f>OR(COUNTIF(PROVEEDORES[[#This Row],[PROVEEDOR]],"*"&amp;'Palabra no opera'!$A$2&amp;"*"))</f>
        <v>0</v>
      </c>
    </row>
    <row r="1418" spans="1:26" ht="22.35" customHeight="1" x14ac:dyDescent="0.3">
      <c r="A1418" s="267" t="str">
        <f>+IF(PROVEEDORES[[#This Row],[FECHA DE PAGO]]=PROVEEDORES[[#This Row],[FECHA DE FACTURACIÓN]],"DE CONTADO","CRÉDITO")</f>
        <v>CRÉDITO</v>
      </c>
      <c r="B1418" s="38" t="str">
        <f>+IF((PROVEEDORES[[#This Row],[FECHA DE PAGO]]-PROVEEDORES[[#This Row],[FECHA DE FACTURACIÓN]])&gt;PROVEEDORES[[#This Row],[PLAZO Días]],"PAGO VENCIDO")</f>
        <v>PAGO VENCIDO</v>
      </c>
      <c r="C1418" s="20">
        <f>+VLOOKUP(PROVEEDORES[[#This Row],[PROVEEDOR]],TERCEROS_INFO[#All],2,FALSE)</f>
        <v>30</v>
      </c>
      <c r="D1418" s="25">
        <f>+SUMIFS(PROVEEDORES[Total],PROVEEDORES[PROVEEDOR],PROVEEDORES[[#This Row],[PROVEEDOR]],PROVEEDORES[FECHA DE PAGO],"")</f>
        <v>-139600.09</v>
      </c>
      <c r="E1418" s="25"/>
      <c r="F1418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18" s="68">
        <v>45028</v>
      </c>
      <c r="H1418" s="26" t="s">
        <v>32</v>
      </c>
      <c r="I1418" s="68">
        <v>44967</v>
      </c>
      <c r="J1418" s="35" t="s">
        <v>1446</v>
      </c>
      <c r="K1418" s="21">
        <v>4044034</v>
      </c>
      <c r="L1418" s="21"/>
      <c r="M1418" s="22">
        <f>(PROVEEDORES[[#This Row],[SUBTOTAL]]-PROVEEDORES[[#This Row],[descuento sobre subtotal]])*VLOOKUP(PROVEEDORES[[#This Row],[PROVEEDOR]],TERCEROS_INFO[#All],3,FALSE)</f>
        <v>768366.46</v>
      </c>
      <c r="N1418" s="23"/>
      <c r="O1418" s="22">
        <f>+PROVEEDORES[[#This Row],[Descuento sobre subtotal %]]*(PROVEEDORES[[#This Row],[SUBTOTAL]]-PROVEEDORES[[#This Row],[descuento sobre subtotal]])</f>
        <v>0</v>
      </c>
      <c r="P1418" s="74">
        <f>+IF(PROVEEDORES[[#This Row],[SUBTOTAL]]&lt;PROVEEDORES[[#This Row],[base retencion]],0,PROVEEDORES[[#This Row],[retención aplicada]])</f>
        <v>2.5000000000000001E-2</v>
      </c>
      <c r="Q1418" s="22">
        <f>+PROVEEDORES[[#This Row],[Rete Fuente %]]*(PROVEEDORES[[#This Row],[SUBTOTAL]]-PROVEEDORES[[#This Row],[descuento sobre subtotal]])</f>
        <v>101100.85</v>
      </c>
      <c r="R1418" s="21">
        <f>+PROVEEDORES[[#This Row],[SUBTOTAL]]+PROVEEDORES[[#This Row],[IVA 19%]]-PROVEEDORES[[#This Row],[descuento sobre subtotal]]-PROVEEDORES[[#This Row],[Descuento sobre subtotal $2]]-PROVEEDORES[[#This Row],[Rete Fuente $]]</f>
        <v>4711299.6100000003</v>
      </c>
      <c r="S1418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8" s="63">
        <f ca="1">IF(PROVEEDORES[[#This Row],[FECHA DE PAGO]]=0,TODAY()-PROVEEDORES[[#This Row],[FECHA DE FACTURACIÓN]]-PROVEEDORES[[#This Row],[PLAZO Días]],0)</f>
        <v>0</v>
      </c>
      <c r="U1418" s="104" t="str">
        <f>+VLOOKUP(PROVEEDORES[[#This Row],[PROVEEDOR]],Terceros!$A:$D,4,FALSE)</f>
        <v>2,5% con base</v>
      </c>
      <c r="V1418" s="105">
        <f>+YEAR(PROVEEDORES[[#This Row],[FECHA DE FACTURACIÓN]])</f>
        <v>2023</v>
      </c>
      <c r="W1418" s="105">
        <f>+MATCH(PROVEEDORES[[#This Row],[año facturado]],Retenciones!$1:$1,0)</f>
        <v>6</v>
      </c>
      <c r="X1418" s="106">
        <f>+VLOOKUP(PROVEEDORES[[#This Row],[ID RETENCION]],Retenciones!$A$1:$O$25,PROVEEDORES[[#This Row],[indicador de columna]],FALSE)</f>
        <v>1145000</v>
      </c>
      <c r="Y1418" s="107">
        <f>+VLOOKUP(PROVEEDORES[[#This Row],[ID RETENCION]],Retenciones!$A$1:$O$25,2,FALSE)</f>
        <v>2.5000000000000001E-2</v>
      </c>
      <c r="Z1418" s="116" t="b">
        <f>OR(COUNTIF(PROVEEDORES[[#This Row],[PROVEEDOR]],"*"&amp;'Palabra no opera'!$A$2&amp;"*"))</f>
        <v>0</v>
      </c>
    </row>
    <row r="1419" spans="1:26" ht="22.35" customHeight="1" x14ac:dyDescent="0.3">
      <c r="A1419" s="67" t="str">
        <f>+IF(PROVEEDORES[[#This Row],[FECHA DE PAGO]]=PROVEEDORES[[#This Row],[FECHA DE FACTURACIÓN]],"DE CONTADO","CRÉDITO")</f>
        <v>CRÉDITO</v>
      </c>
      <c r="B1419" s="38" t="str">
        <f>+IF((PROVEEDORES[[#This Row],[FECHA DE PAGO]]-PROVEEDORES[[#This Row],[FECHA DE FACTURACIÓN]])&gt;PROVEEDORES[[#This Row],[PLAZO Días]],"PAGO VENCIDO")</f>
        <v>PAGO VENCIDO</v>
      </c>
      <c r="C1419" s="20">
        <f>+VLOOKUP(PROVEEDORES[[#This Row],[PROVEEDOR]],TERCEROS_INFO[#All],2,FALSE)</f>
        <v>30</v>
      </c>
      <c r="D1419" s="25">
        <f>+SUMIFS(PROVEEDORES[Total],PROVEEDORES[PROVEEDOR],PROVEEDORES[[#This Row],[PROVEEDOR]],PROVEEDORES[FECHA DE PAGO],"")</f>
        <v>0</v>
      </c>
      <c r="E1419" s="25"/>
      <c r="F1419" s="56" t="str">
        <f>+VLOOKUP(PROVEEDORES[[#This Row],[PROVEEDOR]],
                       Terceros!$A:$F,
                       5,
                       FALSE)</f>
        <v/>
      </c>
      <c r="G1419" s="68">
        <v>45029</v>
      </c>
      <c r="H1419" s="26" t="s">
        <v>362</v>
      </c>
      <c r="I1419" s="68">
        <v>44942</v>
      </c>
      <c r="J1419" s="35" t="s">
        <v>1397</v>
      </c>
      <c r="K1419" s="21">
        <v>258684</v>
      </c>
      <c r="L1419" s="21"/>
      <c r="M1419" s="22">
        <f>(PROVEEDORES[[#This Row],[SUBTOTAL]]-PROVEEDORES[[#This Row],[descuento sobre subtotal]])*VLOOKUP(PROVEEDORES[[#This Row],[PROVEEDOR]],TERCEROS_INFO[#All],3,FALSE)</f>
        <v>0</v>
      </c>
      <c r="N1419" s="23"/>
      <c r="O1419" s="22">
        <f>+PROVEEDORES[[#This Row],[Descuento sobre subtotal %]]*(PROVEEDORES[[#This Row],[SUBTOTAL]]-PROVEEDORES[[#This Row],[descuento sobre subtotal]])</f>
        <v>0</v>
      </c>
      <c r="P1419" s="74">
        <f>+IF(PROVEEDORES[[#This Row],[SUBTOTAL]]&lt;PROVEEDORES[[#This Row],[base retencion]],0,PROVEEDORES[[#This Row],[retención aplicada]])</f>
        <v>0</v>
      </c>
      <c r="Q1419" s="22">
        <f>+PROVEEDORES[[#This Row],[Rete Fuente %]]*(PROVEEDORES[[#This Row],[SUBTOTAL]]-PROVEEDORES[[#This Row],[descuento sobre subtotal]])</f>
        <v>0</v>
      </c>
      <c r="R1419" s="21">
        <f>+PROVEEDORES[[#This Row],[SUBTOTAL]]+PROVEEDORES[[#This Row],[IVA 19%]]-PROVEEDORES[[#This Row],[descuento sobre subtotal]]-PROVEEDORES[[#This Row],[Descuento sobre subtotal $2]]-PROVEEDORES[[#This Row],[Rete Fuente $]]</f>
        <v>258684</v>
      </c>
      <c r="S141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9" s="63">
        <f ca="1">IF(PROVEEDORES[[#This Row],[FECHA DE PAGO]]=0,TODAY()-PROVEEDORES[[#This Row],[FECHA DE FACTURACIÓN]]-PROVEEDORES[[#This Row],[PLAZO Días]],0)</f>
        <v>0</v>
      </c>
      <c r="U1419" s="104">
        <f>+VLOOKUP(PROVEEDORES[[#This Row],[PROVEEDOR]],Terceros!$A:$D,4,FALSE)</f>
        <v>0</v>
      </c>
      <c r="V1419" s="105">
        <f>+YEAR(PROVEEDORES[[#This Row],[FECHA DE FACTURACIÓN]])</f>
        <v>2023</v>
      </c>
      <c r="W1419" s="105">
        <f>+MATCH(PROVEEDORES[[#This Row],[año facturado]],Retenciones!$1:$1,0)</f>
        <v>6</v>
      </c>
      <c r="X1419" s="106">
        <f>+VLOOKUP(PROVEEDORES[[#This Row],[ID RETENCION]],Retenciones!$A$1:$O$25,PROVEEDORES[[#This Row],[indicador de columna]],FALSE)</f>
        <v>0</v>
      </c>
      <c r="Y1419" s="107">
        <f>+VLOOKUP(PROVEEDORES[[#This Row],[ID RETENCION]],Retenciones!$A$1:$O$25,2,FALSE)</f>
        <v>0</v>
      </c>
      <c r="Z1419" s="116" t="b">
        <f>OR(COUNTIF(PROVEEDORES[[#This Row],[PROVEEDOR]],"*"&amp;'Palabra no opera'!$A$2&amp;"*"))</f>
        <v>0</v>
      </c>
    </row>
    <row r="1420" spans="1:26" ht="22.35" customHeight="1" x14ac:dyDescent="0.3">
      <c r="A1420" s="67" t="str">
        <f>+IF(PROVEEDORES[[#This Row],[FECHA DE PAGO]]=PROVEEDORES[[#This Row],[FECHA DE FACTURACIÓN]],"DE CONTADO","CRÉDITO")</f>
        <v>CRÉDITO</v>
      </c>
      <c r="B1420" s="38" t="str">
        <f>+IF((PROVEEDORES[[#This Row],[FECHA DE PAGO]]-PROVEEDORES[[#This Row],[FECHA DE FACTURACIÓN]])&gt;PROVEEDORES[[#This Row],[PLAZO Días]],"PAGO VENCIDO")</f>
        <v>PAGO VENCIDO</v>
      </c>
      <c r="C1420" s="20">
        <f>+VLOOKUP(PROVEEDORES[[#This Row],[PROVEEDOR]],TERCEROS_INFO[#All],2,FALSE)</f>
        <v>30</v>
      </c>
      <c r="D1420" s="25">
        <f>+SUMIFS(PROVEEDORES[Total],PROVEEDORES[PROVEEDOR],PROVEEDORES[[#This Row],[PROVEEDOR]],PROVEEDORES[FECHA DE PAGO],"")</f>
        <v>0</v>
      </c>
      <c r="E1420" s="25"/>
      <c r="F1420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420" s="68">
        <v>45029</v>
      </c>
      <c r="H1420" s="26" t="s">
        <v>400</v>
      </c>
      <c r="I1420" s="68">
        <v>44929</v>
      </c>
      <c r="J1420" s="35">
        <v>2740</v>
      </c>
      <c r="K1420" s="21">
        <v>2348000</v>
      </c>
      <c r="L1420" s="21"/>
      <c r="M1420" s="22">
        <f>(PROVEEDORES[[#This Row],[SUBTOTAL]]-PROVEEDORES[[#This Row],[descuento sobre subtotal]])*VLOOKUP(PROVEEDORES[[#This Row],[PROVEEDOR]],TERCEROS_INFO[#All],3,FALSE)</f>
        <v>0</v>
      </c>
      <c r="N1420" s="23"/>
      <c r="O1420" s="22">
        <f>+PROVEEDORES[[#This Row],[Descuento sobre subtotal %]]*(PROVEEDORES[[#This Row],[SUBTOTAL]]-PROVEEDORES[[#This Row],[descuento sobre subtotal]])</f>
        <v>0</v>
      </c>
      <c r="P1420" s="74">
        <f>+IF(PROVEEDORES[[#This Row],[SUBTOTAL]]&lt;PROVEEDORES[[#This Row],[base retencion]],0,PROVEEDORES[[#This Row],[retención aplicada]])</f>
        <v>0</v>
      </c>
      <c r="Q1420" s="22">
        <f>+PROVEEDORES[[#This Row],[Rete Fuente %]]*(PROVEEDORES[[#This Row],[SUBTOTAL]]-PROVEEDORES[[#This Row],[descuento sobre subtotal]])</f>
        <v>0</v>
      </c>
      <c r="R1420" s="21">
        <f>+PROVEEDORES[[#This Row],[SUBTOTAL]]+PROVEEDORES[[#This Row],[IVA 19%]]-PROVEEDORES[[#This Row],[descuento sobre subtotal]]-PROVEEDORES[[#This Row],[Descuento sobre subtotal $2]]-PROVEEDORES[[#This Row],[Rete Fuente $]]</f>
        <v>2348000</v>
      </c>
      <c r="S142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63">
        <f ca="1">IF(PROVEEDORES[[#This Row],[FECHA DE PAGO]]=0,TODAY()-PROVEEDORES[[#This Row],[FECHA DE FACTURACIÓN]]-PROVEEDORES[[#This Row],[PLAZO Días]],0)</f>
        <v>0</v>
      </c>
      <c r="U1420" s="104">
        <f>+VLOOKUP(PROVEEDORES[[#This Row],[PROVEEDOR]],Terceros!$A:$D,4,FALSE)</f>
        <v>0</v>
      </c>
      <c r="V1420" s="105">
        <f>+YEAR(PROVEEDORES[[#This Row],[FECHA DE FACTURACIÓN]])</f>
        <v>2023</v>
      </c>
      <c r="W1420" s="105">
        <f>+MATCH(PROVEEDORES[[#This Row],[año facturado]],Retenciones!$1:$1,0)</f>
        <v>6</v>
      </c>
      <c r="X1420" s="106">
        <f>+VLOOKUP(PROVEEDORES[[#This Row],[ID RETENCION]],Retenciones!$A$1:$O$25,PROVEEDORES[[#This Row],[indicador de columna]],FALSE)</f>
        <v>0</v>
      </c>
      <c r="Y1420" s="107">
        <f>+VLOOKUP(PROVEEDORES[[#This Row],[ID RETENCION]],Retenciones!$A$1:$O$25,2,FALSE)</f>
        <v>0</v>
      </c>
      <c r="Z1420" s="116" t="b">
        <f>OR(COUNTIF(PROVEEDORES[[#This Row],[PROVEEDOR]],"*"&amp;'Palabra no opera'!$A$2&amp;"*"))</f>
        <v>0</v>
      </c>
    </row>
    <row r="1421" spans="1:26" ht="22.35" customHeight="1" x14ac:dyDescent="0.3">
      <c r="A1421" s="67" t="str">
        <f>+IF(PROVEEDORES[[#This Row],[FECHA DE PAGO]]=PROVEEDORES[[#This Row],[FECHA DE FACTURACIÓN]],"DE CONTADO","CRÉDITO")</f>
        <v>CRÉDITO</v>
      </c>
      <c r="B1421" s="38" t="str">
        <f>+IF((PROVEEDORES[[#This Row],[FECHA DE PAGO]]-PROVEEDORES[[#This Row],[FECHA DE FACTURACIÓN]])&gt;PROVEEDORES[[#This Row],[PLAZO Días]],"PAGO VENCIDO")</f>
        <v>PAGO VENCIDO</v>
      </c>
      <c r="C1421" s="20">
        <f>+VLOOKUP(PROVEEDORES[[#This Row],[PROVEEDOR]],TERCEROS_INFO[#All],2,FALSE)</f>
        <v>30</v>
      </c>
      <c r="D1421" s="25">
        <f>+SUMIFS(PROVEEDORES[Total],PROVEEDORES[PROVEEDOR],PROVEEDORES[[#This Row],[PROVEEDOR]],PROVEEDORES[FECHA DE PAGO],"")</f>
        <v>0</v>
      </c>
      <c r="E1421" s="25"/>
      <c r="F1421" s="56" t="str">
        <f>+VLOOKUP(PROVEEDORES[[#This Row],[PROVEEDOR]],
                       Terceros!$A:$F,
                       5,
                       FALSE)</f>
        <v/>
      </c>
      <c r="G1421" s="68">
        <v>45029</v>
      </c>
      <c r="H1421" s="26" t="s">
        <v>401</v>
      </c>
      <c r="I1421" s="68">
        <v>44986</v>
      </c>
      <c r="J1421" s="35" t="s">
        <v>1549</v>
      </c>
      <c r="K1421" s="21">
        <v>764000</v>
      </c>
      <c r="L1421" s="21"/>
      <c r="M1421" s="22">
        <f>(PROVEEDORES[[#This Row],[SUBTOTAL]]-PROVEEDORES[[#This Row],[descuento sobre subtotal]])*VLOOKUP(PROVEEDORES[[#This Row],[PROVEEDOR]],TERCEROS_INFO[#All],3,FALSE)</f>
        <v>0</v>
      </c>
      <c r="N1421" s="23"/>
      <c r="O1421" s="22">
        <f>+PROVEEDORES[[#This Row],[Descuento sobre subtotal %]]*(PROVEEDORES[[#This Row],[SUBTOTAL]]-PROVEEDORES[[#This Row],[descuento sobre subtotal]])</f>
        <v>0</v>
      </c>
      <c r="P1421" s="74">
        <f>+IF(PROVEEDORES[[#This Row],[SUBTOTAL]]&lt;PROVEEDORES[[#This Row],[base retencion]],0,PROVEEDORES[[#This Row],[retención aplicada]])</f>
        <v>0</v>
      </c>
      <c r="Q1421" s="22">
        <f>+PROVEEDORES[[#This Row],[Rete Fuente %]]*(PROVEEDORES[[#This Row],[SUBTOTAL]]-PROVEEDORES[[#This Row],[descuento sobre subtotal]])</f>
        <v>0</v>
      </c>
      <c r="R1421" s="21">
        <f>+PROVEEDORES[[#This Row],[SUBTOTAL]]+PROVEEDORES[[#This Row],[IVA 19%]]-PROVEEDORES[[#This Row],[descuento sobre subtotal]]-PROVEEDORES[[#This Row],[Descuento sobre subtotal $2]]-PROVEEDORES[[#This Row],[Rete Fuente $]]</f>
        <v>764000</v>
      </c>
      <c r="S14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1" s="63">
        <f ca="1">IF(PROVEEDORES[[#This Row],[FECHA DE PAGO]]=0,TODAY()-PROVEEDORES[[#This Row],[FECHA DE FACTURACIÓN]]-PROVEEDORES[[#This Row],[PLAZO Días]],0)</f>
        <v>0</v>
      </c>
      <c r="U1421" s="104">
        <f>+VLOOKUP(PROVEEDORES[[#This Row],[PROVEEDOR]],Terceros!$A:$D,4,FALSE)</f>
        <v>0</v>
      </c>
      <c r="V1421" s="105">
        <f>+YEAR(PROVEEDORES[[#This Row],[FECHA DE FACTURACIÓN]])</f>
        <v>2023</v>
      </c>
      <c r="W1421" s="105">
        <f>+MATCH(PROVEEDORES[[#This Row],[año facturado]],Retenciones!$1:$1,0)</f>
        <v>6</v>
      </c>
      <c r="X1421" s="106">
        <f>+VLOOKUP(PROVEEDORES[[#This Row],[ID RETENCION]],Retenciones!$A$1:$O$25,PROVEEDORES[[#This Row],[indicador de columna]],FALSE)</f>
        <v>0</v>
      </c>
      <c r="Y1421" s="107">
        <f>+VLOOKUP(PROVEEDORES[[#This Row],[ID RETENCION]],Retenciones!$A$1:$O$25,2,FALSE)</f>
        <v>0</v>
      </c>
      <c r="Z1421" s="116" t="b">
        <f>OR(COUNTIF(PROVEEDORES[[#This Row],[PROVEEDOR]],"*"&amp;'Palabra no opera'!$A$2&amp;"*"))</f>
        <v>0</v>
      </c>
    </row>
    <row r="1422" spans="1:26" ht="22.35" customHeight="1" x14ac:dyDescent="0.3">
      <c r="A1422" s="67" t="str">
        <f>+IF(PROVEEDORES[[#This Row],[FECHA DE PAGO]]=PROVEEDORES[[#This Row],[FECHA DE FACTURACIÓN]],"DE CONTADO","CRÉDITO")</f>
        <v>CRÉDITO</v>
      </c>
      <c r="B1422" s="38" t="str">
        <f>+IF((PROVEEDORES[[#This Row],[FECHA DE PAGO]]-PROVEEDORES[[#This Row],[FECHA DE FACTURACIÓN]])&gt;PROVEEDORES[[#This Row],[PLAZO Días]],"PAGO VENCIDO")</f>
        <v>PAGO VENCIDO</v>
      </c>
      <c r="C1422" s="20">
        <f>+VLOOKUP(PROVEEDORES[[#This Row],[PROVEEDOR]],TERCEROS_INFO[#All],2,FALSE)</f>
        <v>30</v>
      </c>
      <c r="D1422" s="25">
        <f>+SUMIFS(PROVEEDORES[Total],PROVEEDORES[PROVEEDOR],PROVEEDORES[[#This Row],[PROVEEDOR]],PROVEEDORES[FECHA DE PAGO],"")</f>
        <v>4282200</v>
      </c>
      <c r="E1422" s="25"/>
      <c r="F1422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22" s="68">
        <v>45029</v>
      </c>
      <c r="H1422" s="26" t="s">
        <v>406</v>
      </c>
      <c r="I1422" s="68">
        <v>44953</v>
      </c>
      <c r="J1422" s="35" t="s">
        <v>1408</v>
      </c>
      <c r="K1422" s="21">
        <v>1808800</v>
      </c>
      <c r="L1422" s="21"/>
      <c r="M1422" s="22">
        <f>(PROVEEDORES[[#This Row],[SUBTOTAL]]-PROVEEDORES[[#This Row],[descuento sobre subtotal]])*VLOOKUP(PROVEEDORES[[#This Row],[PROVEEDOR]],TERCEROS_INFO[#All],3,FALSE)</f>
        <v>0</v>
      </c>
      <c r="N1422" s="23"/>
      <c r="O1422" s="22">
        <f>+PROVEEDORES[[#This Row],[Descuento sobre subtotal %]]*(PROVEEDORES[[#This Row],[SUBTOTAL]]-PROVEEDORES[[#This Row],[descuento sobre subtotal]])</f>
        <v>0</v>
      </c>
      <c r="P1422" s="74">
        <f>+IF(PROVEEDORES[[#This Row],[SUBTOTAL]]&lt;PROVEEDORES[[#This Row],[base retencion]],0,PROVEEDORES[[#This Row],[retención aplicada]])</f>
        <v>0</v>
      </c>
      <c r="Q1422" s="22">
        <f>+PROVEEDORES[[#This Row],[Rete Fuente %]]*(PROVEEDORES[[#This Row],[SUBTOTAL]]-PROVEEDORES[[#This Row],[descuento sobre subtotal]])</f>
        <v>0</v>
      </c>
      <c r="R1422" s="21">
        <f>+PROVEEDORES[[#This Row],[SUBTOTAL]]+PROVEEDORES[[#This Row],[IVA 19%]]-PROVEEDORES[[#This Row],[descuento sobre subtotal]]-PROVEEDORES[[#This Row],[Descuento sobre subtotal $2]]-PROVEEDORES[[#This Row],[Rete Fuente $]]</f>
        <v>1808800</v>
      </c>
      <c r="S14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2" s="63">
        <f ca="1">IF(PROVEEDORES[[#This Row],[FECHA DE PAGO]]=0,TODAY()-PROVEEDORES[[#This Row],[FECHA DE FACTURACIÓN]]-PROVEEDORES[[#This Row],[PLAZO Días]],0)</f>
        <v>0</v>
      </c>
      <c r="U1422" s="104">
        <f>+VLOOKUP(PROVEEDORES[[#This Row],[PROVEEDOR]],Terceros!$A:$D,4,FALSE)</f>
        <v>0</v>
      </c>
      <c r="V1422" s="105">
        <f>+YEAR(PROVEEDORES[[#This Row],[FECHA DE FACTURACIÓN]])</f>
        <v>2023</v>
      </c>
      <c r="W1422" s="105">
        <f>+MATCH(PROVEEDORES[[#This Row],[año facturado]],Retenciones!$1:$1,0)</f>
        <v>6</v>
      </c>
      <c r="X1422" s="106">
        <f>+VLOOKUP(PROVEEDORES[[#This Row],[ID RETENCION]],Retenciones!$A$1:$O$25,PROVEEDORES[[#This Row],[indicador de columna]],FALSE)</f>
        <v>0</v>
      </c>
      <c r="Y1422" s="107">
        <f>+VLOOKUP(PROVEEDORES[[#This Row],[ID RETENCION]],Retenciones!$A$1:$O$25,2,FALSE)</f>
        <v>0</v>
      </c>
      <c r="Z1422" s="116" t="b">
        <f>OR(COUNTIF(PROVEEDORES[[#This Row],[PROVEEDOR]],"*"&amp;'Palabra no opera'!$A$2&amp;"*"))</f>
        <v>0</v>
      </c>
    </row>
    <row r="1423" spans="1:26" ht="22.35" customHeight="1" x14ac:dyDescent="0.3">
      <c r="A1423" s="310" t="str">
        <f>+IF(PROVEEDORES[[#This Row],[FECHA DE PAGO]]=PROVEEDORES[[#This Row],[FECHA DE FACTURACIÓN]],"DE CONTADO","CRÉDITO")</f>
        <v>DE CONTADO</v>
      </c>
      <c r="B1423" s="38" t="b">
        <f>+IF((PROVEEDORES[[#This Row],[FECHA DE PAGO]]-PROVEEDORES[[#This Row],[FECHA DE FACTURACIÓN]])&gt;PROVEEDORES[[#This Row],[PLAZO Días]],"PAGO VENCIDO")</f>
        <v>0</v>
      </c>
      <c r="C1423" s="20">
        <f>+VLOOKUP(PROVEEDORES[[#This Row],[PROVEEDOR]],TERCEROS_INFO[#All],2,FALSE)</f>
        <v>30</v>
      </c>
      <c r="D1423" s="25">
        <f>+SUMIFS(PROVEEDORES[Total],PROVEEDORES[PROVEEDOR],PROVEEDORES[[#This Row],[PROVEEDOR]],PROVEEDORES[FECHA DE PAGO],"")</f>
        <v>0</v>
      </c>
      <c r="E1423" s="25"/>
      <c r="F1423" s="56">
        <f>+VLOOKUP(PROVEEDORES[[#This Row],[PROVEEDOR]],
                       Terceros!$A:$F,
                       5,
                       FALSE)</f>
        <v>0</v>
      </c>
      <c r="G1423" s="68">
        <v>45029</v>
      </c>
      <c r="H1423" s="26" t="s">
        <v>204</v>
      </c>
      <c r="I1423" s="68">
        <v>45029</v>
      </c>
      <c r="J1423" s="35" t="s">
        <v>1629</v>
      </c>
      <c r="K1423" s="21">
        <v>175456</v>
      </c>
      <c r="L1423" s="21"/>
      <c r="M1423" s="22">
        <f>(PROVEEDORES[[#This Row],[SUBTOTAL]]-PROVEEDORES[[#This Row],[descuento sobre subtotal]])*VLOOKUP(PROVEEDORES[[#This Row],[PROVEEDOR]],TERCEROS_INFO[#All],3,FALSE)</f>
        <v>33336.639999999999</v>
      </c>
      <c r="N1423" s="23"/>
      <c r="O1423" s="22">
        <f>+PROVEEDORES[[#This Row],[Descuento sobre subtotal %]]*(PROVEEDORES[[#This Row],[SUBTOTAL]]-PROVEEDORES[[#This Row],[descuento sobre subtotal]])</f>
        <v>0</v>
      </c>
      <c r="P1423" s="74">
        <f>+IF(PROVEEDORES[[#This Row],[SUBTOTAL]]&lt;PROVEEDORES[[#This Row],[base retencion]],0,PROVEEDORES[[#This Row],[retención aplicada]])</f>
        <v>0</v>
      </c>
      <c r="Q1423" s="22">
        <f>+PROVEEDORES[[#This Row],[Rete Fuente %]]*(PROVEEDORES[[#This Row],[SUBTOTAL]]-PROVEEDORES[[#This Row],[descuento sobre subtotal]])</f>
        <v>0</v>
      </c>
      <c r="R1423" s="21">
        <f>+PROVEEDORES[[#This Row],[SUBTOTAL]]+PROVEEDORES[[#This Row],[IVA 19%]]-PROVEEDORES[[#This Row],[descuento sobre subtotal]]-PROVEEDORES[[#This Row],[Descuento sobre subtotal $2]]-PROVEEDORES[[#This Row],[Rete Fuente $]]</f>
        <v>208792.64</v>
      </c>
      <c r="S142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3" s="63">
        <f ca="1">IF(PROVEEDORES[[#This Row],[FECHA DE PAGO]]=0,TODAY()-PROVEEDORES[[#This Row],[FECHA DE FACTURACIÓN]]-PROVEEDORES[[#This Row],[PLAZO Días]],0)</f>
        <v>0</v>
      </c>
      <c r="U1423" s="104" t="str">
        <f>+VLOOKUP(PROVEEDORES[[#This Row],[PROVEEDOR]],Terceros!$A:$D,4,FALSE)</f>
        <v>2,5% con base</v>
      </c>
      <c r="V1423" s="105">
        <f>+YEAR(PROVEEDORES[[#This Row],[FECHA DE FACTURACIÓN]])</f>
        <v>2023</v>
      </c>
      <c r="W1423" s="105">
        <f>+MATCH(PROVEEDORES[[#This Row],[año facturado]],Retenciones!$1:$1,0)</f>
        <v>6</v>
      </c>
      <c r="X1423" s="106">
        <f>+VLOOKUP(PROVEEDORES[[#This Row],[ID RETENCION]],Retenciones!$A$1:$O$25,PROVEEDORES[[#This Row],[indicador de columna]],FALSE)</f>
        <v>1145000</v>
      </c>
      <c r="Y1423" s="107">
        <f>+VLOOKUP(PROVEEDORES[[#This Row],[ID RETENCION]],Retenciones!$A$1:$O$25,2,FALSE)</f>
        <v>2.5000000000000001E-2</v>
      </c>
      <c r="Z1423" s="116" t="b">
        <f>OR(COUNTIF(PROVEEDORES[[#This Row],[PROVEEDOR]],"*"&amp;'Palabra no opera'!$A$2&amp;"*"))</f>
        <v>0</v>
      </c>
    </row>
    <row r="1424" spans="1:26" ht="22.35" customHeight="1" x14ac:dyDescent="0.3">
      <c r="A1424" s="269" t="str">
        <f>+IF(PROVEEDORES[[#This Row],[FECHA DE PAGO]]=PROVEEDORES[[#This Row],[FECHA DE FACTURACIÓN]],"DE CONTADO","CRÉDITO")</f>
        <v>CRÉDITO</v>
      </c>
      <c r="B1424" s="38" t="str">
        <f>+IF((PROVEEDORES[[#This Row],[FECHA DE PAGO]]-PROVEEDORES[[#This Row],[FECHA DE FACTURACIÓN]])&gt;PROVEEDORES[[#This Row],[PLAZO Días]],"PAGO VENCIDO")</f>
        <v>PAGO VENCIDO</v>
      </c>
      <c r="C1424" s="20">
        <f>+VLOOKUP(PROVEEDORES[[#This Row],[PROVEEDOR]],TERCEROS_INFO[#All],2,FALSE)</f>
        <v>30</v>
      </c>
      <c r="D1424" s="25">
        <f>+SUMIFS(PROVEEDORES[Total],PROVEEDORES[PROVEEDOR],PROVEEDORES[[#This Row],[PROVEEDOR]],PROVEEDORES[FECHA DE PAGO],"")</f>
        <v>2100000</v>
      </c>
      <c r="E1424" s="25"/>
      <c r="F1424" s="56" t="str">
        <f>+VLOOKUP(PROVEEDORES[[#This Row],[PROVEEDOR]],
                       Terceros!$A:$F,
                       5,
                       FALSE)</f>
        <v/>
      </c>
      <c r="G1424" s="68">
        <v>45030</v>
      </c>
      <c r="H1424" s="26" t="s">
        <v>349</v>
      </c>
      <c r="I1424" s="68">
        <v>44978</v>
      </c>
      <c r="J1424" s="35" t="s">
        <v>1475</v>
      </c>
      <c r="K1424" s="21">
        <v>1395000</v>
      </c>
      <c r="L1424" s="21"/>
      <c r="M1424" s="22">
        <f>(PROVEEDORES[[#This Row],[SUBTOTAL]]-PROVEEDORES[[#This Row],[descuento sobre subtotal]])*VLOOKUP(PROVEEDORES[[#This Row],[PROVEEDOR]],TERCEROS_INFO[#All],3,FALSE)</f>
        <v>0</v>
      </c>
      <c r="N1424" s="23"/>
      <c r="O1424" s="22">
        <f>+PROVEEDORES[[#This Row],[Descuento sobre subtotal %]]*(PROVEEDORES[[#This Row],[SUBTOTAL]]-PROVEEDORES[[#This Row],[descuento sobre subtotal]])</f>
        <v>0</v>
      </c>
      <c r="P1424" s="74">
        <f>+IF(PROVEEDORES[[#This Row],[SUBTOTAL]]&lt;PROVEEDORES[[#This Row],[base retencion]],0,PROVEEDORES[[#This Row],[retención aplicada]])</f>
        <v>0</v>
      </c>
      <c r="Q1424" s="22">
        <f>+PROVEEDORES[[#This Row],[Rete Fuente %]]*(PROVEEDORES[[#This Row],[SUBTOTAL]]-PROVEEDORES[[#This Row],[descuento sobre subtotal]])</f>
        <v>0</v>
      </c>
      <c r="R1424" s="21">
        <f>+PROVEEDORES[[#This Row],[SUBTOTAL]]+PROVEEDORES[[#This Row],[IVA 19%]]-PROVEEDORES[[#This Row],[descuento sobre subtotal]]-PROVEEDORES[[#This Row],[Descuento sobre subtotal $2]]-PROVEEDORES[[#This Row],[Rete Fuente $]]</f>
        <v>1395000</v>
      </c>
      <c r="S1424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63">
        <f ca="1">IF(PROVEEDORES[[#This Row],[FECHA DE PAGO]]=0,TODAY()-PROVEEDORES[[#This Row],[FECHA DE FACTURACIÓN]]-PROVEEDORES[[#This Row],[PLAZO Días]],0)</f>
        <v>0</v>
      </c>
      <c r="U1424" s="104">
        <f>+VLOOKUP(PROVEEDORES[[#This Row],[PROVEEDOR]],Terceros!$A:$D,4,FALSE)</f>
        <v>0</v>
      </c>
      <c r="V1424" s="105">
        <f>+YEAR(PROVEEDORES[[#This Row],[FECHA DE FACTURACIÓN]])</f>
        <v>2023</v>
      </c>
      <c r="W1424" s="105">
        <f>+MATCH(PROVEEDORES[[#This Row],[año facturado]],Retenciones!$1:$1,0)</f>
        <v>6</v>
      </c>
      <c r="X1424" s="106">
        <f>+VLOOKUP(PROVEEDORES[[#This Row],[ID RETENCION]],Retenciones!$A$1:$O$25,PROVEEDORES[[#This Row],[indicador de columna]],FALSE)</f>
        <v>0</v>
      </c>
      <c r="Y1424" s="107">
        <f>+VLOOKUP(PROVEEDORES[[#This Row],[ID RETENCION]],Retenciones!$A$1:$O$25,2,FALSE)</f>
        <v>0</v>
      </c>
      <c r="Z1424" s="116" t="b">
        <f>OR(COUNTIF(PROVEEDORES[[#This Row],[PROVEEDOR]],"*"&amp;'Palabra no opera'!$A$2&amp;"*"))</f>
        <v>0</v>
      </c>
    </row>
    <row r="1425" spans="1:26" ht="22.35" customHeight="1" x14ac:dyDescent="0.3">
      <c r="A1425" s="310" t="str">
        <f>+IF(PROVEEDORES[[#This Row],[FECHA DE PAGO]]=PROVEEDORES[[#This Row],[FECHA DE FACTURACIÓN]],"DE CONTADO","CRÉDITO")</f>
        <v>CRÉDITO</v>
      </c>
      <c r="B1425" s="38" t="b">
        <f>+IF((PROVEEDORES[[#This Row],[FECHA DE PAGO]]-PROVEEDORES[[#This Row],[FECHA DE FACTURACIÓN]])&gt;PROVEEDORES[[#This Row],[PLAZO Días]],"PAGO VENCIDO")</f>
        <v>0</v>
      </c>
      <c r="C1425" s="20">
        <f>+VLOOKUP(PROVEEDORES[[#This Row],[PROVEEDOR]],TERCEROS_INFO[#All],2,FALSE)</f>
        <v>30</v>
      </c>
      <c r="D1425" s="25">
        <f>+SUMIFS(PROVEEDORES[Total],PROVEEDORES[PROVEEDOR],PROVEEDORES[[#This Row],[PROVEEDOR]],PROVEEDORES[FECHA DE PAGO],"")</f>
        <v>0</v>
      </c>
      <c r="E1425" s="25"/>
      <c r="F1425" s="56" t="str">
        <f>+VLOOKUP(PROVEEDORES[[#This Row],[PROVEEDOR]],
                       Terceros!$A:$F,
                       5,
                       FALSE)</f>
        <v/>
      </c>
      <c r="G1425" s="68">
        <v>45030</v>
      </c>
      <c r="H1425" s="26" t="s">
        <v>356</v>
      </c>
      <c r="I1425" s="68">
        <v>45029</v>
      </c>
      <c r="J1425" s="35" t="s">
        <v>1624</v>
      </c>
      <c r="K1425" s="21">
        <v>2877000</v>
      </c>
      <c r="L1425" s="21"/>
      <c r="M1425" s="22">
        <f>(PROVEEDORES[[#This Row],[SUBTOTAL]]-PROVEEDORES[[#This Row],[descuento sobre subtotal]])*VLOOKUP(PROVEEDORES[[#This Row],[PROVEEDOR]],TERCEROS_INFO[#All],3,FALSE)</f>
        <v>0</v>
      </c>
      <c r="N1425" s="23"/>
      <c r="O1425" s="22">
        <f>+PROVEEDORES[[#This Row],[Descuento sobre subtotal %]]*(PROVEEDORES[[#This Row],[SUBTOTAL]]-PROVEEDORES[[#This Row],[descuento sobre subtotal]])</f>
        <v>0</v>
      </c>
      <c r="P1425" s="74">
        <f>+IF(PROVEEDORES[[#This Row],[SUBTOTAL]]&lt;PROVEEDORES[[#This Row],[base retencion]],0,PROVEEDORES[[#This Row],[retención aplicada]])</f>
        <v>0</v>
      </c>
      <c r="Q1425" s="22">
        <f>+PROVEEDORES[[#This Row],[Rete Fuente %]]*(PROVEEDORES[[#This Row],[SUBTOTAL]]-PROVEEDORES[[#This Row],[descuento sobre subtotal]])</f>
        <v>0</v>
      </c>
      <c r="R1425" s="21">
        <f>+PROVEEDORES[[#This Row],[SUBTOTAL]]+PROVEEDORES[[#This Row],[IVA 19%]]-PROVEEDORES[[#This Row],[descuento sobre subtotal]]-PROVEEDORES[[#This Row],[Descuento sobre subtotal $2]]-PROVEEDORES[[#This Row],[Rete Fuente $]]</f>
        <v>2877000</v>
      </c>
      <c r="S1425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5" s="63">
        <f ca="1">IF(PROVEEDORES[[#This Row],[FECHA DE PAGO]]=0,TODAY()-PROVEEDORES[[#This Row],[FECHA DE FACTURACIÓN]]-PROVEEDORES[[#This Row],[PLAZO Días]],0)</f>
        <v>0</v>
      </c>
      <c r="U1425" s="104">
        <f>+VLOOKUP(PROVEEDORES[[#This Row],[PROVEEDOR]],Terceros!$A:$D,4,FALSE)</f>
        <v>0</v>
      </c>
      <c r="V1425" s="105">
        <f>+YEAR(PROVEEDORES[[#This Row],[FECHA DE FACTURACIÓN]])</f>
        <v>2023</v>
      </c>
      <c r="W1425" s="105">
        <f>+MATCH(PROVEEDORES[[#This Row],[año facturado]],Retenciones!$1:$1,0)</f>
        <v>6</v>
      </c>
      <c r="X1425" s="106">
        <f>+VLOOKUP(PROVEEDORES[[#This Row],[ID RETENCION]],Retenciones!$A$1:$O$25,PROVEEDORES[[#This Row],[indicador de columna]],FALSE)</f>
        <v>0</v>
      </c>
      <c r="Y1425" s="107">
        <f>+VLOOKUP(PROVEEDORES[[#This Row],[ID RETENCION]],Retenciones!$A$1:$O$25,2,FALSE)</f>
        <v>0</v>
      </c>
      <c r="Z1425" s="116" t="b">
        <f>OR(COUNTIF(PROVEEDORES[[#This Row],[PROVEEDOR]],"*"&amp;'Palabra no opera'!$A$2&amp;"*"))</f>
        <v>0</v>
      </c>
    </row>
    <row r="1426" spans="1:26" ht="22.35" customHeight="1" x14ac:dyDescent="0.3">
      <c r="A1426" s="67" t="str">
        <f>+IF(PROVEEDORES[[#This Row],[FECHA DE PAGO]]=PROVEEDORES[[#This Row],[FECHA DE FACTURACIÓN]],"DE CONTADO","CRÉDITO")</f>
        <v>DE CONTADO</v>
      </c>
      <c r="B1426" s="38" t="b">
        <f>+IF((PROVEEDORES[[#This Row],[FECHA DE PAGO]]-PROVEEDORES[[#This Row],[FECHA DE FACTURACIÓN]])&gt;PROVEEDORES[[#This Row],[PLAZO Días]],"PAGO VENCIDO")</f>
        <v>0</v>
      </c>
      <c r="C1426" s="20">
        <f>+VLOOKUP(PROVEEDORES[[#This Row],[PROVEEDOR]],TERCEROS_INFO[#All],2,FALSE)</f>
        <v>30</v>
      </c>
      <c r="D1426" s="25">
        <f>+SUMIFS(PROVEEDORES[Total],PROVEEDORES[PROVEEDOR],PROVEEDORES[[#This Row],[PROVEEDOR]],PROVEEDORES[FECHA DE PAGO],"")</f>
        <v>0</v>
      </c>
      <c r="E1426" s="25"/>
      <c r="F1426" s="56" t="str">
        <f>+VLOOKUP(PROVEEDORES[[#This Row],[PROVEEDOR]],
                       Terceros!$A:$F,
                       5,
                       FALSE)</f>
        <v/>
      </c>
      <c r="G1426" s="68">
        <v>45030</v>
      </c>
      <c r="H1426" s="26" t="s">
        <v>362</v>
      </c>
      <c r="I1426" s="68">
        <v>45030</v>
      </c>
      <c r="J1426" s="35" t="s">
        <v>1618</v>
      </c>
      <c r="K1426" s="21">
        <v>90000</v>
      </c>
      <c r="L1426" s="21"/>
      <c r="M1426" s="22">
        <f>(PROVEEDORES[[#This Row],[SUBTOTAL]]-PROVEEDORES[[#This Row],[descuento sobre subtotal]])*VLOOKUP(PROVEEDORES[[#This Row],[PROVEEDOR]],TERCEROS_INFO[#All],3,FALSE)</f>
        <v>0</v>
      </c>
      <c r="N1426" s="23"/>
      <c r="O1426" s="22">
        <f>+PROVEEDORES[[#This Row],[Descuento sobre subtotal %]]*(PROVEEDORES[[#This Row],[SUBTOTAL]]-PROVEEDORES[[#This Row],[descuento sobre subtotal]])</f>
        <v>0</v>
      </c>
      <c r="P1426" s="74">
        <f>+IF(PROVEEDORES[[#This Row],[SUBTOTAL]]&lt;PROVEEDORES[[#This Row],[base retencion]],0,PROVEEDORES[[#This Row],[retención aplicada]])</f>
        <v>0</v>
      </c>
      <c r="Q1426" s="22">
        <f>+PROVEEDORES[[#This Row],[Rete Fuente %]]*(PROVEEDORES[[#This Row],[SUBTOTAL]]-PROVEEDORES[[#This Row],[descuento sobre subtotal]])</f>
        <v>0</v>
      </c>
      <c r="R1426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142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6" s="63">
        <f ca="1">IF(PROVEEDORES[[#This Row],[FECHA DE PAGO]]=0,TODAY()-PROVEEDORES[[#This Row],[FECHA DE FACTURACIÓN]]-PROVEEDORES[[#This Row],[PLAZO Días]],0)</f>
        <v>0</v>
      </c>
      <c r="U1426" s="104">
        <f>+VLOOKUP(PROVEEDORES[[#This Row],[PROVEEDOR]],Terceros!$A:$D,4,FALSE)</f>
        <v>0</v>
      </c>
      <c r="V1426" s="105">
        <f>+YEAR(PROVEEDORES[[#This Row],[FECHA DE FACTURACIÓN]])</f>
        <v>2023</v>
      </c>
      <c r="W1426" s="105">
        <f>+MATCH(PROVEEDORES[[#This Row],[año facturado]],Retenciones!$1:$1,0)</f>
        <v>6</v>
      </c>
      <c r="X1426" s="106">
        <f>+VLOOKUP(PROVEEDORES[[#This Row],[ID RETENCION]],Retenciones!$A$1:$O$25,PROVEEDORES[[#This Row],[indicador de columna]],FALSE)</f>
        <v>0</v>
      </c>
      <c r="Y1426" s="107">
        <f>+VLOOKUP(PROVEEDORES[[#This Row],[ID RETENCION]],Retenciones!$A$1:$O$25,2,FALSE)</f>
        <v>0</v>
      </c>
      <c r="Z1426" s="116" t="b">
        <f>OR(COUNTIF(PROVEEDORES[[#This Row],[PROVEEDOR]],"*"&amp;'Palabra no opera'!$A$2&amp;"*"))</f>
        <v>0</v>
      </c>
    </row>
    <row r="1427" spans="1:26" ht="22.35" customHeight="1" x14ac:dyDescent="0.3">
      <c r="A1427" s="310" t="str">
        <f>+IF(PROVEEDORES[[#This Row],[FECHA DE PAGO]]=PROVEEDORES[[#This Row],[FECHA DE FACTURACIÓN]],"DE CONTADO","CRÉDITO")</f>
        <v>DE CONTADO</v>
      </c>
      <c r="B1427" s="38" t="b">
        <f>+IF((PROVEEDORES[[#This Row],[FECHA DE PAGO]]-PROVEEDORES[[#This Row],[FECHA DE FACTURACIÓN]])&gt;PROVEEDORES[[#This Row],[PLAZO Días]],"PAGO VENCIDO")</f>
        <v>0</v>
      </c>
      <c r="C1427" s="20">
        <f>+VLOOKUP(PROVEEDORES[[#This Row],[PROVEEDOR]],TERCEROS_INFO[#All],2,FALSE)</f>
        <v>30</v>
      </c>
      <c r="D1427" s="25">
        <f>+SUMIFS(PROVEEDORES[Total],PROVEEDORES[PROVEEDOR],PROVEEDORES[[#This Row],[PROVEEDOR]],PROVEEDORES[FECHA DE PAGO],"")</f>
        <v>4282200</v>
      </c>
      <c r="E1427" s="25"/>
      <c r="F1427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27" s="357">
        <v>45030</v>
      </c>
      <c r="H1427" s="358" t="s">
        <v>406</v>
      </c>
      <c r="I1427" s="357">
        <v>45030</v>
      </c>
      <c r="J1427" s="359" t="s">
        <v>1953</v>
      </c>
      <c r="K1427" s="360">
        <v>89000</v>
      </c>
      <c r="L1427" s="360"/>
      <c r="M1427" s="361">
        <f>(PROVEEDORES[[#This Row],[SUBTOTAL]]-PROVEEDORES[[#This Row],[descuento sobre subtotal]])*VLOOKUP(PROVEEDORES[[#This Row],[PROVEEDOR]],TERCEROS_INFO[#All],3,FALSE)</f>
        <v>0</v>
      </c>
      <c r="N1427" s="362"/>
      <c r="O1427" s="361">
        <f>+PROVEEDORES[[#This Row],[Descuento sobre subtotal %]]*(PROVEEDORES[[#This Row],[SUBTOTAL]]-PROVEEDORES[[#This Row],[descuento sobre subtotal]])</f>
        <v>0</v>
      </c>
      <c r="P1427" s="363">
        <f>+IF(PROVEEDORES[[#This Row],[SUBTOTAL]]&lt;PROVEEDORES[[#This Row],[base retencion]],0,PROVEEDORES[[#This Row],[retención aplicada]])</f>
        <v>0</v>
      </c>
      <c r="Q1427" s="361">
        <f>+PROVEEDORES[[#This Row],[Rete Fuente %]]*(PROVEEDORES[[#This Row],[SUBTOTAL]]-PROVEEDORES[[#This Row],[descuento sobre subtotal]])</f>
        <v>0</v>
      </c>
      <c r="R1427" s="360">
        <f>+PROVEEDORES[[#This Row],[SUBTOTAL]]+PROVEEDORES[[#This Row],[IVA 19%]]-PROVEEDORES[[#This Row],[descuento sobre subtotal]]-PROVEEDORES[[#This Row],[Descuento sobre subtotal $2]]-PROVEEDORES[[#This Row],[Rete Fuente $]]</f>
        <v>89000</v>
      </c>
      <c r="S1427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7" s="63">
        <f ca="1">IF(PROVEEDORES[[#This Row],[FECHA DE PAGO]]=0,TODAY()-PROVEEDORES[[#This Row],[FECHA DE FACTURACIÓN]]-PROVEEDORES[[#This Row],[PLAZO Días]],0)</f>
        <v>0</v>
      </c>
      <c r="U1427" s="104">
        <f>+VLOOKUP(PROVEEDORES[[#This Row],[PROVEEDOR]],Terceros!$A:$D,4,FALSE)</f>
        <v>0</v>
      </c>
      <c r="V1427" s="105">
        <f>+YEAR(PROVEEDORES[[#This Row],[FECHA DE FACTURACIÓN]])</f>
        <v>2023</v>
      </c>
      <c r="W1427" s="105">
        <f>+MATCH(PROVEEDORES[[#This Row],[año facturado]],Retenciones!$1:$1,0)</f>
        <v>6</v>
      </c>
      <c r="X1427" s="106">
        <f>+VLOOKUP(PROVEEDORES[[#This Row],[ID RETENCION]],Retenciones!$A$1:$O$25,PROVEEDORES[[#This Row],[indicador de columna]],FALSE)</f>
        <v>0</v>
      </c>
      <c r="Y1427" s="107">
        <f>+VLOOKUP(PROVEEDORES[[#This Row],[ID RETENCION]],Retenciones!$A$1:$O$25,2,FALSE)</f>
        <v>0</v>
      </c>
      <c r="Z1427" s="116" t="b">
        <f>OR(COUNTIF(PROVEEDORES[[#This Row],[PROVEEDOR]],"*"&amp;'Palabra no opera'!$A$2&amp;"*"))</f>
        <v>0</v>
      </c>
    </row>
    <row r="1428" spans="1:26" ht="22.35" customHeight="1" x14ac:dyDescent="0.3">
      <c r="A1428" s="267" t="str">
        <f>+IF(PROVEEDORES[[#This Row],[FECHA DE PAGO]]=PROVEEDORES[[#This Row],[FECHA DE FACTURACIÓN]],"DE CONTADO","CRÉDITO")</f>
        <v>CRÉDITO</v>
      </c>
      <c r="B1428" s="38" t="str">
        <f>+IF((PROVEEDORES[[#This Row],[FECHA DE PAGO]]-PROVEEDORES[[#This Row],[FECHA DE FACTURACIÓN]])&gt;PROVEEDORES[[#This Row],[PLAZO Días]],"PAGO VENCIDO")</f>
        <v>PAGO VENCIDO</v>
      </c>
      <c r="C1428" s="20">
        <f>+VLOOKUP(PROVEEDORES[[#This Row],[PROVEEDOR]],TERCEROS_INFO[#All],2,FALSE)</f>
        <v>30</v>
      </c>
      <c r="D1428" s="25">
        <f>+SUMIFS(PROVEEDORES[Total],PROVEEDORES[PROVEEDOR],PROVEEDORES[[#This Row],[PROVEEDOR]],PROVEEDORES[FECHA DE PAGO],"")</f>
        <v>0</v>
      </c>
      <c r="E1428" s="25"/>
      <c r="F1428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428" s="68">
        <v>45030</v>
      </c>
      <c r="H1428" s="26" t="s">
        <v>33</v>
      </c>
      <c r="I1428" s="68">
        <v>44964</v>
      </c>
      <c r="J1428" s="35" t="s">
        <v>1443</v>
      </c>
      <c r="K1428" s="21">
        <v>8898000</v>
      </c>
      <c r="L1428" s="21"/>
      <c r="M1428" s="22">
        <f>(PROVEEDORES[[#This Row],[SUBTOTAL]]-PROVEEDORES[[#This Row],[descuento sobre subtotal]])*VLOOKUP(PROVEEDORES[[#This Row],[PROVEEDOR]],TERCEROS_INFO[#All],3,FALSE)</f>
        <v>1690620</v>
      </c>
      <c r="N1428" s="23"/>
      <c r="O1428" s="22">
        <f>+PROVEEDORES[[#This Row],[Descuento sobre subtotal %]]*(PROVEEDORES[[#This Row],[SUBTOTAL]]-PROVEEDORES[[#This Row],[descuento sobre subtotal]])</f>
        <v>0</v>
      </c>
      <c r="P1428" s="74">
        <f>+IF(PROVEEDORES[[#This Row],[SUBTOTAL]]&lt;PROVEEDORES[[#This Row],[base retencion]],0,PROVEEDORES[[#This Row],[retención aplicada]])</f>
        <v>2.5000000000000001E-2</v>
      </c>
      <c r="Q1428" s="22">
        <f>+PROVEEDORES[[#This Row],[Rete Fuente %]]*(PROVEEDORES[[#This Row],[SUBTOTAL]]-PROVEEDORES[[#This Row],[descuento sobre subtotal]])</f>
        <v>222450</v>
      </c>
      <c r="R1428" s="21">
        <f>+PROVEEDORES[[#This Row],[SUBTOTAL]]+PROVEEDORES[[#This Row],[IVA 19%]]-PROVEEDORES[[#This Row],[descuento sobre subtotal]]-PROVEEDORES[[#This Row],[Descuento sobre subtotal $2]]-PROVEEDORES[[#This Row],[Rete Fuente $]]</f>
        <v>10366170</v>
      </c>
      <c r="S1428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8" s="63">
        <f ca="1">IF(PROVEEDORES[[#This Row],[FECHA DE PAGO]]=0,TODAY()-PROVEEDORES[[#This Row],[FECHA DE FACTURACIÓN]]-PROVEEDORES[[#This Row],[PLAZO Días]],0)</f>
        <v>0</v>
      </c>
      <c r="U1428" s="104" t="str">
        <f>+VLOOKUP(PROVEEDORES[[#This Row],[PROVEEDOR]],Terceros!$A:$D,4,FALSE)</f>
        <v>2,5% con base</v>
      </c>
      <c r="V1428" s="105">
        <f>+YEAR(PROVEEDORES[[#This Row],[FECHA DE FACTURACIÓN]])</f>
        <v>2023</v>
      </c>
      <c r="W1428" s="105">
        <f>+MATCH(PROVEEDORES[[#This Row],[año facturado]],Retenciones!$1:$1,0)</f>
        <v>6</v>
      </c>
      <c r="X1428" s="106">
        <f>+VLOOKUP(PROVEEDORES[[#This Row],[ID RETENCION]],Retenciones!$A$1:$O$25,PROVEEDORES[[#This Row],[indicador de columna]],FALSE)</f>
        <v>1145000</v>
      </c>
      <c r="Y1428" s="107">
        <f>+VLOOKUP(PROVEEDORES[[#This Row],[ID RETENCION]],Retenciones!$A$1:$O$25,2,FALSE)</f>
        <v>2.5000000000000001E-2</v>
      </c>
      <c r="Z1428" s="116" t="b">
        <f>OR(COUNTIF(PROVEEDORES[[#This Row],[PROVEEDOR]],"*"&amp;'Palabra no opera'!$A$2&amp;"*"))</f>
        <v>0</v>
      </c>
    </row>
    <row r="1429" spans="1:26" ht="22.35" customHeight="1" x14ac:dyDescent="0.3">
      <c r="A1429" s="67" t="str">
        <f>+IF(PROVEEDORES[[#This Row],[FECHA DE PAGO]]=PROVEEDORES[[#This Row],[FECHA DE FACTURACIÓN]],"DE CONTADO","CRÉDITO")</f>
        <v>CRÉDITO</v>
      </c>
      <c r="B1429" s="38" t="b">
        <f>+IF((PROVEEDORES[[#This Row],[FECHA DE PAGO]]-PROVEEDORES[[#This Row],[FECHA DE FACTURACIÓN]])&gt;PROVEEDORES[[#This Row],[PLAZO Días]],"PAGO VENCIDO")</f>
        <v>0</v>
      </c>
      <c r="C1429" s="20">
        <f>+VLOOKUP(PROVEEDORES[[#This Row],[PROVEEDOR]],TERCEROS_INFO[#All],2,FALSE)</f>
        <v>30</v>
      </c>
      <c r="D1429" s="25">
        <f>+SUMIFS(PROVEEDORES[Total],PROVEEDORES[PROVEEDOR],PROVEEDORES[[#This Row],[PROVEEDOR]],PROVEEDORES[FECHA DE PAGO],"")</f>
        <v>0</v>
      </c>
      <c r="E1429" s="25"/>
      <c r="F1429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29" s="68">
        <v>45030</v>
      </c>
      <c r="H1429" s="26" t="s">
        <v>628</v>
      </c>
      <c r="I1429" s="68">
        <v>45019</v>
      </c>
      <c r="J1429" s="35" t="s">
        <v>1582</v>
      </c>
      <c r="K1429" s="21">
        <v>1840056</v>
      </c>
      <c r="L1429" s="21"/>
      <c r="M1429" s="22">
        <f>(PROVEEDORES[[#This Row],[SUBTOTAL]]-PROVEEDORES[[#This Row],[descuento sobre subtotal]])*VLOOKUP(PROVEEDORES[[#This Row],[PROVEEDOR]],TERCEROS_INFO[#All],3,FALSE)</f>
        <v>0</v>
      </c>
      <c r="N1429" s="23"/>
      <c r="O1429" s="22">
        <v>105097</v>
      </c>
      <c r="P1429" s="74">
        <f>+IF(PROVEEDORES[[#This Row],[SUBTOTAL]]&lt;PROVEEDORES[[#This Row],[base retencion]],0,PROVEEDORES[[#This Row],[retención aplicada]])</f>
        <v>0</v>
      </c>
      <c r="Q1429" s="22">
        <f>+PROVEEDORES[[#This Row],[Rete Fuente %]]*(PROVEEDORES[[#This Row],[SUBTOTAL]]-PROVEEDORES[[#This Row],[descuento sobre subtotal]])</f>
        <v>0</v>
      </c>
      <c r="R1429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14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9" s="63">
        <f ca="1">IF(PROVEEDORES[[#This Row],[FECHA DE PAGO]]=0,TODAY()-PROVEEDORES[[#This Row],[FECHA DE FACTURACIÓN]]-PROVEEDORES[[#This Row],[PLAZO Días]],0)</f>
        <v>0</v>
      </c>
      <c r="U1429" s="104">
        <f>+VLOOKUP(PROVEEDORES[[#This Row],[PROVEEDOR]],Terceros!$A:$D,4,FALSE)</f>
        <v>0</v>
      </c>
      <c r="V1429" s="105">
        <f>+YEAR(PROVEEDORES[[#This Row],[FECHA DE FACTURACIÓN]])</f>
        <v>2023</v>
      </c>
      <c r="W1429" s="105">
        <f>+MATCH(PROVEEDORES[[#This Row],[año facturado]],Retenciones!$1:$1,0)</f>
        <v>6</v>
      </c>
      <c r="X1429" s="106">
        <f>+VLOOKUP(PROVEEDORES[[#This Row],[ID RETENCION]],Retenciones!$A$1:$O$25,PROVEEDORES[[#This Row],[indicador de columna]],FALSE)</f>
        <v>0</v>
      </c>
      <c r="Y1429" s="107">
        <f>+VLOOKUP(PROVEEDORES[[#This Row],[ID RETENCION]],Retenciones!$A$1:$O$25,2,FALSE)</f>
        <v>0</v>
      </c>
      <c r="Z1429" s="116" t="b">
        <f>OR(COUNTIF(PROVEEDORES[[#This Row],[PROVEEDOR]],"*"&amp;'Palabra no opera'!$A$2&amp;"*"))</f>
        <v>1</v>
      </c>
    </row>
    <row r="1430" spans="1:26" ht="22.35" customHeight="1" x14ac:dyDescent="0.3">
      <c r="A1430" s="310" t="str">
        <f>+IF(PROVEEDORES[[#This Row],[FECHA DE PAGO]]=PROVEEDORES[[#This Row],[FECHA DE FACTURACIÓN]],"DE CONTADO","CRÉDITO")</f>
        <v>DE CONTADO</v>
      </c>
      <c r="B1430" s="38" t="b">
        <f>+IF((PROVEEDORES[[#This Row],[FECHA DE PAGO]]-PROVEEDORES[[#This Row],[FECHA DE FACTURACIÓN]])&gt;PROVEEDORES[[#This Row],[PLAZO Días]],"PAGO VENCIDO")</f>
        <v>0</v>
      </c>
      <c r="C1430" s="20">
        <f>+VLOOKUP(PROVEEDORES[[#This Row],[PROVEEDOR]],TERCEROS_INFO[#All],2,FALSE)</f>
        <v>30</v>
      </c>
      <c r="D1430" s="25">
        <f>+SUMIFS(PROVEEDORES[Total],PROVEEDORES[PROVEEDOR],PROVEEDORES[[#This Row],[PROVEEDOR]],PROVEEDORES[FECHA DE PAGO],"")</f>
        <v>0</v>
      </c>
      <c r="E1430" s="25"/>
      <c r="F1430" s="56" t="str">
        <f>+VLOOKUP(PROVEEDORES[[#This Row],[PROVEEDOR]],
                       Terceros!$A:$F,
                       5,
                       FALSE)</f>
        <v/>
      </c>
      <c r="G1430" s="68">
        <v>45031</v>
      </c>
      <c r="H1430" s="26" t="s">
        <v>378</v>
      </c>
      <c r="I1430" s="68">
        <v>45031</v>
      </c>
      <c r="J1430" s="35" t="s">
        <v>1627</v>
      </c>
      <c r="K1430" s="21">
        <v>590000</v>
      </c>
      <c r="L1430" s="21"/>
      <c r="M1430" s="22">
        <f>(PROVEEDORES[[#This Row],[SUBTOTAL]]-PROVEEDORES[[#This Row],[descuento sobre subtotal]])*VLOOKUP(PROVEEDORES[[#This Row],[PROVEEDOR]],TERCEROS_INFO[#All],3,FALSE)</f>
        <v>0</v>
      </c>
      <c r="N1430" s="23"/>
      <c r="O1430" s="22">
        <f>+PROVEEDORES[[#This Row],[Descuento sobre subtotal %]]*(PROVEEDORES[[#This Row],[SUBTOTAL]]-PROVEEDORES[[#This Row],[descuento sobre subtotal]])</f>
        <v>0</v>
      </c>
      <c r="P1430" s="74">
        <f>+IF(PROVEEDORES[[#This Row],[SUBTOTAL]]&lt;PROVEEDORES[[#This Row],[base retencion]],0,PROVEEDORES[[#This Row],[retención aplicada]])</f>
        <v>0</v>
      </c>
      <c r="Q1430" s="22">
        <f>+PROVEEDORES[[#This Row],[Rete Fuente %]]*(PROVEEDORES[[#This Row],[SUBTOTAL]]-PROVEEDORES[[#This Row],[descuento sobre subtotal]])</f>
        <v>0</v>
      </c>
      <c r="R1430" s="21">
        <f>+PROVEEDORES[[#This Row],[SUBTOTAL]]+PROVEEDORES[[#This Row],[IVA 19%]]-PROVEEDORES[[#This Row],[descuento sobre subtotal]]-PROVEEDORES[[#This Row],[Descuento sobre subtotal $2]]-PROVEEDORES[[#This Row],[Rete Fuente $]]</f>
        <v>590000</v>
      </c>
      <c r="S1430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0" s="63">
        <f ca="1">IF(PROVEEDORES[[#This Row],[FECHA DE PAGO]]=0,TODAY()-PROVEEDORES[[#This Row],[FECHA DE FACTURACIÓN]]-PROVEEDORES[[#This Row],[PLAZO Días]],0)</f>
        <v>0</v>
      </c>
      <c r="U1430" s="104">
        <f>+VLOOKUP(PROVEEDORES[[#This Row],[PROVEEDOR]],Terceros!$A:$D,4,FALSE)</f>
        <v>0</v>
      </c>
      <c r="V1430" s="105">
        <f>+YEAR(PROVEEDORES[[#This Row],[FECHA DE FACTURACIÓN]])</f>
        <v>2023</v>
      </c>
      <c r="W1430" s="105">
        <f>+MATCH(PROVEEDORES[[#This Row],[año facturado]],Retenciones!$1:$1,0)</f>
        <v>6</v>
      </c>
      <c r="X1430" s="106">
        <f>+VLOOKUP(PROVEEDORES[[#This Row],[ID RETENCION]],Retenciones!$A$1:$O$25,PROVEEDORES[[#This Row],[indicador de columna]],FALSE)</f>
        <v>0</v>
      </c>
      <c r="Y1430" s="107">
        <f>+VLOOKUP(PROVEEDORES[[#This Row],[ID RETENCION]],Retenciones!$A$1:$O$25,2,FALSE)</f>
        <v>0</v>
      </c>
      <c r="Z1430" s="116" t="b">
        <f>OR(COUNTIF(PROVEEDORES[[#This Row],[PROVEEDOR]],"*"&amp;'Palabra no opera'!$A$2&amp;"*"))</f>
        <v>0</v>
      </c>
    </row>
    <row r="1431" spans="1:26" ht="22.35" customHeight="1" x14ac:dyDescent="0.3">
      <c r="A1431" s="310" t="str">
        <f>+IF(PROVEEDORES[[#This Row],[FECHA DE PAGO]]=PROVEEDORES[[#This Row],[FECHA DE FACTURACIÓN]],"DE CONTADO","CRÉDITO")</f>
        <v>CRÉDITO</v>
      </c>
      <c r="B1431" s="38" t="b">
        <f>+IF((PROVEEDORES[[#This Row],[FECHA DE PAGO]]-PROVEEDORES[[#This Row],[FECHA DE FACTURACIÓN]])&gt;PROVEEDORES[[#This Row],[PLAZO Días]],"PAGO VENCIDO")</f>
        <v>0</v>
      </c>
      <c r="C1431" s="20">
        <f>+VLOOKUP(PROVEEDORES[[#This Row],[PROVEEDOR]],TERCEROS_INFO[#All],2,FALSE)</f>
        <v>30</v>
      </c>
      <c r="D1431" s="25">
        <f>+SUMIFS(PROVEEDORES[Total],PROVEEDORES[PROVEEDOR],PROVEEDORES[[#This Row],[PROVEEDOR]],PROVEEDORES[FECHA DE PAGO],"")</f>
        <v>0</v>
      </c>
      <c r="E1431" s="25"/>
      <c r="F1431" s="56" t="str">
        <f>+VLOOKUP(PROVEEDORES[[#This Row],[PROVEEDOR]],
                       Terceros!$A:$F,
                       5,
                       FALSE)</f>
        <v/>
      </c>
      <c r="G1431" s="68">
        <v>45031</v>
      </c>
      <c r="H1431" s="26" t="s">
        <v>404</v>
      </c>
      <c r="I1431" s="68">
        <v>45030</v>
      </c>
      <c r="J1431" s="35">
        <v>681860</v>
      </c>
      <c r="K1431" s="21">
        <v>3556280</v>
      </c>
      <c r="L1431" s="21"/>
      <c r="M1431" s="22">
        <f>(PROVEEDORES[[#This Row],[SUBTOTAL]]-PROVEEDORES[[#This Row],[descuento sobre subtotal]])*VLOOKUP(PROVEEDORES[[#This Row],[PROVEEDOR]],TERCEROS_INFO[#All],3,FALSE)</f>
        <v>0</v>
      </c>
      <c r="N1431" s="23"/>
      <c r="O1431" s="22">
        <f>+PROVEEDORES[[#This Row],[Descuento sobre subtotal %]]*(PROVEEDORES[[#This Row],[SUBTOTAL]]-PROVEEDORES[[#This Row],[descuento sobre subtotal]])</f>
        <v>0</v>
      </c>
      <c r="P1431" s="74">
        <f>+IF(PROVEEDORES[[#This Row],[SUBTOTAL]]&lt;PROVEEDORES[[#This Row],[base retencion]],0,PROVEEDORES[[#This Row],[retención aplicada]])</f>
        <v>0</v>
      </c>
      <c r="Q1431" s="22">
        <f>+PROVEEDORES[[#This Row],[Rete Fuente %]]*(PROVEEDORES[[#This Row],[SUBTOTAL]]-PROVEEDORES[[#This Row],[descuento sobre subtotal]])</f>
        <v>0</v>
      </c>
      <c r="R1431" s="21">
        <f>+PROVEEDORES[[#This Row],[SUBTOTAL]]+PROVEEDORES[[#This Row],[IVA 19%]]-PROVEEDORES[[#This Row],[descuento sobre subtotal]]-PROVEEDORES[[#This Row],[Descuento sobre subtotal $2]]-PROVEEDORES[[#This Row],[Rete Fuente $]]</f>
        <v>3556280</v>
      </c>
      <c r="S143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1" s="63">
        <f ca="1">IF(PROVEEDORES[[#This Row],[FECHA DE PAGO]]=0,TODAY()-PROVEEDORES[[#This Row],[FECHA DE FACTURACIÓN]]-PROVEEDORES[[#This Row],[PLAZO Días]],0)</f>
        <v>0</v>
      </c>
      <c r="U1431" s="104">
        <f>+VLOOKUP(PROVEEDORES[[#This Row],[PROVEEDOR]],Terceros!$A:$D,4,FALSE)</f>
        <v>0</v>
      </c>
      <c r="V1431" s="105">
        <f>+YEAR(PROVEEDORES[[#This Row],[FECHA DE FACTURACIÓN]])</f>
        <v>2023</v>
      </c>
      <c r="W1431" s="105">
        <f>+MATCH(PROVEEDORES[[#This Row],[año facturado]],Retenciones!$1:$1,0)</f>
        <v>6</v>
      </c>
      <c r="X1431" s="106">
        <f>+VLOOKUP(PROVEEDORES[[#This Row],[ID RETENCION]],Retenciones!$A$1:$O$25,PROVEEDORES[[#This Row],[indicador de columna]],FALSE)</f>
        <v>0</v>
      </c>
      <c r="Y1431" s="107">
        <f>+VLOOKUP(PROVEEDORES[[#This Row],[ID RETENCION]],Retenciones!$A$1:$O$25,2,FALSE)</f>
        <v>0</v>
      </c>
      <c r="Z1431" s="116" t="b">
        <f>OR(COUNTIF(PROVEEDORES[[#This Row],[PROVEEDOR]],"*"&amp;'Palabra no opera'!$A$2&amp;"*"))</f>
        <v>0</v>
      </c>
    </row>
    <row r="1432" spans="1:26" ht="22.35" customHeight="1" x14ac:dyDescent="0.3">
      <c r="A1432" s="232" t="str">
        <f>+IF(PROVEEDORES[[#This Row],[FECHA DE PAGO]]=PROVEEDORES[[#This Row],[FECHA DE FACTURACIÓN]],"DE CONTADO","CRÉDITO")</f>
        <v>CRÉDITO</v>
      </c>
      <c r="B1432" s="38" t="str">
        <f>+IF((PROVEEDORES[[#This Row],[FECHA DE PAGO]]-PROVEEDORES[[#This Row],[FECHA DE FACTURACIÓN]])&gt;PROVEEDORES[[#This Row],[PLAZO Días]],"PAGO VENCIDO")</f>
        <v>PAGO VENCIDO</v>
      </c>
      <c r="C1432" s="20">
        <f>+VLOOKUP(PROVEEDORES[[#This Row],[PROVEEDOR]],TERCEROS_INFO[#All],2,FALSE)</f>
        <v>30</v>
      </c>
      <c r="D1432" s="25">
        <f>+SUMIFS(PROVEEDORES[Total],PROVEEDORES[PROVEEDOR],PROVEEDORES[[#This Row],[PROVEEDOR]],PROVEEDORES[FECHA DE PAGO],"")</f>
        <v>229206</v>
      </c>
      <c r="E1432" s="25"/>
      <c r="F1432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2" s="68">
        <v>45031</v>
      </c>
      <c r="H1432" s="231" t="s">
        <v>95</v>
      </c>
      <c r="I1432" s="68">
        <v>44862</v>
      </c>
      <c r="J1432" s="245" t="s">
        <v>1272</v>
      </c>
      <c r="K1432" s="21">
        <v>279059</v>
      </c>
      <c r="L1432" s="21"/>
      <c r="M1432" s="22">
        <f>(PROVEEDORES[[#This Row],[SUBTOTAL]]-PROVEEDORES[[#This Row],[descuento sobre subtotal]])*VLOOKUP(PROVEEDORES[[#This Row],[PROVEEDOR]],TERCEROS_INFO[#All],3,FALSE)</f>
        <v>0</v>
      </c>
      <c r="N1432" s="23"/>
      <c r="O1432" s="22">
        <f>+PROVEEDORES[[#This Row],[Descuento sobre subtotal %]]*(PROVEEDORES[[#This Row],[SUBTOTAL]]-PROVEEDORES[[#This Row],[descuento sobre subtotal]])</f>
        <v>0</v>
      </c>
      <c r="P1432" s="74">
        <f>+IF(PROVEEDORES[[#This Row],[SUBTOTAL]]&lt;PROVEEDORES[[#This Row],[base retencion]],0,PROVEEDORES[[#This Row],[retención aplicada]])</f>
        <v>0</v>
      </c>
      <c r="Q1432" s="22">
        <f>+PROVEEDORES[[#This Row],[Rete Fuente %]]*(PROVEEDORES[[#This Row],[SUBTOTAL]]-PROVEEDORES[[#This Row],[descuento sobre subtotal]])</f>
        <v>0</v>
      </c>
      <c r="R1432" s="21">
        <f>+PROVEEDORES[[#This Row],[SUBTOTAL]]+PROVEEDORES[[#This Row],[IVA 19%]]-PROVEEDORES[[#This Row],[descuento sobre subtotal]]-PROVEEDORES[[#This Row],[Descuento sobre subtotal $2]]-PROVEEDORES[[#This Row],[Rete Fuente $]]</f>
        <v>279059</v>
      </c>
      <c r="S1432" s="2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2" s="63">
        <f ca="1">IF(PROVEEDORES[[#This Row],[FECHA DE PAGO]]=0,TODAY()-PROVEEDORES[[#This Row],[FECHA DE FACTURACIÓN]]-PROVEEDORES[[#This Row],[PLAZO Días]],0)</f>
        <v>0</v>
      </c>
      <c r="U1432" s="104">
        <f>+VLOOKUP(PROVEEDORES[[#This Row],[PROVEEDOR]],Terceros!$A:$D,4,FALSE)</f>
        <v>0</v>
      </c>
      <c r="V1432" s="105">
        <f>+YEAR(PROVEEDORES[[#This Row],[FECHA DE FACTURACIÓN]])</f>
        <v>2022</v>
      </c>
      <c r="W1432" s="105">
        <f>+MATCH(PROVEEDORES[[#This Row],[año facturado]],Retenciones!$1:$1,0)</f>
        <v>5</v>
      </c>
      <c r="X1432" s="106">
        <f>+VLOOKUP(PROVEEDORES[[#This Row],[ID RETENCION]],Retenciones!$A$1:$O$25,PROVEEDORES[[#This Row],[indicador de columna]],FALSE)</f>
        <v>0</v>
      </c>
      <c r="Y1432" s="107">
        <f>+VLOOKUP(PROVEEDORES[[#This Row],[ID RETENCION]],Retenciones!$A$1:$O$25,2,FALSE)</f>
        <v>0</v>
      </c>
      <c r="Z1432" s="116" t="b">
        <f>OR(COUNTIF(PROVEEDORES[[#This Row],[PROVEEDOR]],"*"&amp;'Palabra no opera'!$A$2&amp;"*"))</f>
        <v>0</v>
      </c>
    </row>
    <row r="1433" spans="1:26" ht="22.35" customHeight="1" x14ac:dyDescent="0.3">
      <c r="A1433" s="67" t="str">
        <f>+IF(PROVEEDORES[[#This Row],[FECHA DE PAGO]]=PROVEEDORES[[#This Row],[FECHA DE FACTURACIÓN]],"DE CONTADO","CRÉDITO")</f>
        <v>CRÉDITO</v>
      </c>
      <c r="B1433" s="38" t="str">
        <f>+IF((PROVEEDORES[[#This Row],[FECHA DE PAGO]]-PROVEEDORES[[#This Row],[FECHA DE FACTURACIÓN]])&gt;PROVEEDORES[[#This Row],[PLAZO Días]],"PAGO VENCIDO")</f>
        <v>PAGO VENCIDO</v>
      </c>
      <c r="C1433" s="20">
        <f>+VLOOKUP(PROVEEDORES[[#This Row],[PROVEEDOR]],TERCEROS_INFO[#All],2,FALSE)</f>
        <v>30</v>
      </c>
      <c r="D1433" s="25">
        <f>+SUMIFS(PROVEEDORES[Total],PROVEEDORES[PROVEEDOR],PROVEEDORES[[#This Row],[PROVEEDOR]],PROVEEDORES[FECHA DE PAGO],"")</f>
        <v>229206</v>
      </c>
      <c r="E1433" s="25"/>
      <c r="F143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3" s="68">
        <v>45031</v>
      </c>
      <c r="H1433" s="231" t="s">
        <v>95</v>
      </c>
      <c r="I1433" s="68">
        <v>44888</v>
      </c>
      <c r="J1433" s="35" t="s">
        <v>1319</v>
      </c>
      <c r="K1433" s="21">
        <v>437000</v>
      </c>
      <c r="L1433" s="21"/>
      <c r="M1433" s="22">
        <f>(PROVEEDORES[[#This Row],[SUBTOTAL]]-PROVEEDORES[[#This Row],[descuento sobre subtotal]])*VLOOKUP(PROVEEDORES[[#This Row],[PROVEEDOR]],TERCEROS_INFO[#All],3,FALSE)</f>
        <v>0</v>
      </c>
      <c r="N1433" s="23"/>
      <c r="O1433" s="22">
        <f>+PROVEEDORES[[#This Row],[Descuento sobre subtotal %]]*(PROVEEDORES[[#This Row],[SUBTOTAL]]-PROVEEDORES[[#This Row],[descuento sobre subtotal]])</f>
        <v>0</v>
      </c>
      <c r="P1433" s="74">
        <f>+IF(PROVEEDORES[[#This Row],[SUBTOTAL]]&lt;PROVEEDORES[[#This Row],[base retencion]],0,PROVEEDORES[[#This Row],[retención aplicada]])</f>
        <v>0</v>
      </c>
      <c r="Q1433" s="22">
        <f>+PROVEEDORES[[#This Row],[Rete Fuente %]]*(PROVEEDORES[[#This Row],[SUBTOTAL]]-PROVEEDORES[[#This Row],[descuento sobre subtotal]])</f>
        <v>0</v>
      </c>
      <c r="R1433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14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63">
        <f ca="1">IF(PROVEEDORES[[#This Row],[FECHA DE PAGO]]=0,TODAY()-PROVEEDORES[[#This Row],[FECHA DE FACTURACIÓN]]-PROVEEDORES[[#This Row],[PLAZO Días]],0)</f>
        <v>0</v>
      </c>
      <c r="U1433" s="104">
        <f>+VLOOKUP(PROVEEDORES[[#This Row],[PROVEEDOR]],Terceros!$A:$D,4,FALSE)</f>
        <v>0</v>
      </c>
      <c r="V1433" s="105">
        <f>+YEAR(PROVEEDORES[[#This Row],[FECHA DE FACTURACIÓN]])</f>
        <v>2022</v>
      </c>
      <c r="W1433" s="105">
        <f>+MATCH(PROVEEDORES[[#This Row],[año facturado]],Retenciones!$1:$1,0)</f>
        <v>5</v>
      </c>
      <c r="X1433" s="106">
        <f>+VLOOKUP(PROVEEDORES[[#This Row],[ID RETENCION]],Retenciones!$A$1:$O$25,PROVEEDORES[[#This Row],[indicador de columna]],FALSE)</f>
        <v>0</v>
      </c>
      <c r="Y1433" s="107">
        <f>+VLOOKUP(PROVEEDORES[[#This Row],[ID RETENCION]],Retenciones!$A$1:$O$25,2,FALSE)</f>
        <v>0</v>
      </c>
      <c r="Z1433" s="116" t="b">
        <f>OR(COUNTIF(PROVEEDORES[[#This Row],[PROVEEDOR]],"*"&amp;'Palabra no opera'!$A$2&amp;"*"))</f>
        <v>0</v>
      </c>
    </row>
    <row r="1434" spans="1:26" ht="22.35" customHeight="1" x14ac:dyDescent="0.3">
      <c r="A1434" s="249" t="str">
        <f>+IF(PROVEEDORES[[#This Row],[FECHA DE PAGO]]=PROVEEDORES[[#This Row],[FECHA DE FACTURACIÓN]],"DE CONTADO","CRÉDITO")</f>
        <v>CRÉDITO</v>
      </c>
      <c r="B1434" s="38" t="str">
        <f>+IF((PROVEEDORES[[#This Row],[FECHA DE PAGO]]-PROVEEDORES[[#This Row],[FECHA DE FACTURACIÓN]])&gt;PROVEEDORES[[#This Row],[PLAZO Días]],"PAGO VENCIDO")</f>
        <v>PAGO VENCIDO</v>
      </c>
      <c r="C1434" s="20">
        <f>+VLOOKUP(PROVEEDORES[[#This Row],[PROVEEDOR]],TERCEROS_INFO[#All],2,FALSE)</f>
        <v>30</v>
      </c>
      <c r="D1434" s="25">
        <f>+SUMIFS(PROVEEDORES[Total],PROVEEDORES[PROVEEDOR],PROVEEDORES[[#This Row],[PROVEEDOR]],PROVEEDORES[FECHA DE PAGO],"")</f>
        <v>229206</v>
      </c>
      <c r="E1434" s="25"/>
      <c r="F1434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4" s="68">
        <v>45031</v>
      </c>
      <c r="H1434" s="26" t="s">
        <v>95</v>
      </c>
      <c r="I1434" s="68">
        <v>44917</v>
      </c>
      <c r="J1434" s="35" t="s">
        <v>1342</v>
      </c>
      <c r="K1434" s="21">
        <v>175685</v>
      </c>
      <c r="L1434" s="21"/>
      <c r="M1434" s="22">
        <f>(PROVEEDORES[[#This Row],[SUBTOTAL]]-PROVEEDORES[[#This Row],[descuento sobre subtotal]])*VLOOKUP(PROVEEDORES[[#This Row],[PROVEEDOR]],TERCEROS_INFO[#All],3,FALSE)</f>
        <v>0</v>
      </c>
      <c r="N1434" s="23"/>
      <c r="O1434" s="22">
        <f>+PROVEEDORES[[#This Row],[Descuento sobre subtotal %]]*(PROVEEDORES[[#This Row],[SUBTOTAL]]-PROVEEDORES[[#This Row],[descuento sobre subtotal]])</f>
        <v>0</v>
      </c>
      <c r="P1434" s="74">
        <f>+IF(PROVEEDORES[[#This Row],[SUBTOTAL]]&lt;PROVEEDORES[[#This Row],[base retencion]],0,PROVEEDORES[[#This Row],[retención aplicada]])</f>
        <v>0</v>
      </c>
      <c r="Q1434" s="22">
        <f>+PROVEEDORES[[#This Row],[Rete Fuente %]]*(PROVEEDORES[[#This Row],[SUBTOTAL]]-PROVEEDORES[[#This Row],[descuento sobre subtotal]])</f>
        <v>0</v>
      </c>
      <c r="R1434" s="21">
        <f>+PROVEEDORES[[#This Row],[SUBTOTAL]]+PROVEEDORES[[#This Row],[IVA 19%]]-PROVEEDORES[[#This Row],[descuento sobre subtotal]]-PROVEEDORES[[#This Row],[Descuento sobre subtotal $2]]-PROVEEDORES[[#This Row],[Rete Fuente $]]</f>
        <v>175685</v>
      </c>
      <c r="S143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63">
        <f ca="1">IF(PROVEEDORES[[#This Row],[FECHA DE PAGO]]=0,TODAY()-PROVEEDORES[[#This Row],[FECHA DE FACTURACIÓN]]-PROVEEDORES[[#This Row],[PLAZO Días]],0)</f>
        <v>0</v>
      </c>
      <c r="U1434" s="104">
        <f>+VLOOKUP(PROVEEDORES[[#This Row],[PROVEEDOR]],Terceros!$A:$D,4,FALSE)</f>
        <v>0</v>
      </c>
      <c r="V1434" s="105">
        <f>+YEAR(PROVEEDORES[[#This Row],[FECHA DE FACTURACIÓN]])</f>
        <v>2022</v>
      </c>
      <c r="W1434" s="105">
        <f>+MATCH(PROVEEDORES[[#This Row],[año facturado]],Retenciones!$1:$1,0)</f>
        <v>5</v>
      </c>
      <c r="X1434" s="106">
        <f>+VLOOKUP(PROVEEDORES[[#This Row],[ID RETENCION]],Retenciones!$A$1:$O$25,PROVEEDORES[[#This Row],[indicador de columna]],FALSE)</f>
        <v>0</v>
      </c>
      <c r="Y1434" s="107">
        <f>+VLOOKUP(PROVEEDORES[[#This Row],[ID RETENCION]],Retenciones!$A$1:$O$25,2,FALSE)</f>
        <v>0</v>
      </c>
      <c r="Z1434" s="116" t="b">
        <f>OR(COUNTIF(PROVEEDORES[[#This Row],[PROVEEDOR]],"*"&amp;'Palabra no opera'!$A$2&amp;"*"))</f>
        <v>0</v>
      </c>
    </row>
    <row r="1435" spans="1:26" ht="22.35" customHeight="1" x14ac:dyDescent="0.3">
      <c r="A1435" s="249" t="str">
        <f>+IF(PROVEEDORES[[#This Row],[FECHA DE PAGO]]=PROVEEDORES[[#This Row],[FECHA DE FACTURACIÓN]],"DE CONTADO","CRÉDITO")</f>
        <v>CRÉDITO</v>
      </c>
      <c r="B1435" s="38" t="str">
        <f>+IF((PROVEEDORES[[#This Row],[FECHA DE PAGO]]-PROVEEDORES[[#This Row],[FECHA DE FACTURACIÓN]])&gt;PROVEEDORES[[#This Row],[PLAZO Días]],"PAGO VENCIDO")</f>
        <v>PAGO VENCIDO</v>
      </c>
      <c r="C1435" s="20">
        <f>+VLOOKUP(PROVEEDORES[[#This Row],[PROVEEDOR]],TERCEROS_INFO[#All],2,FALSE)</f>
        <v>30</v>
      </c>
      <c r="D1435" s="25">
        <f>+SUMIFS(PROVEEDORES[Total],PROVEEDORES[PROVEEDOR],PROVEEDORES[[#This Row],[PROVEEDOR]],PROVEEDORES[FECHA DE PAGO],"")</f>
        <v>229206</v>
      </c>
      <c r="E1435" s="25"/>
      <c r="F1435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5" s="68">
        <v>45031</v>
      </c>
      <c r="H1435" s="26" t="s">
        <v>95</v>
      </c>
      <c r="I1435" s="68">
        <v>44917</v>
      </c>
      <c r="J1435" s="35" t="s">
        <v>1341</v>
      </c>
      <c r="K1435" s="21">
        <v>3368</v>
      </c>
      <c r="L1435" s="21"/>
      <c r="M1435" s="22">
        <f>(PROVEEDORES[[#This Row],[SUBTOTAL]]-PROVEEDORES[[#This Row],[descuento sobre subtotal]])*VLOOKUP(PROVEEDORES[[#This Row],[PROVEEDOR]],TERCEROS_INFO[#All],3,FALSE)</f>
        <v>0</v>
      </c>
      <c r="N1435" s="23"/>
      <c r="O1435" s="22">
        <f>+PROVEEDORES[[#This Row],[Descuento sobre subtotal %]]*(PROVEEDORES[[#This Row],[SUBTOTAL]]-PROVEEDORES[[#This Row],[descuento sobre subtotal]])</f>
        <v>0</v>
      </c>
      <c r="P1435" s="74">
        <f>+IF(PROVEEDORES[[#This Row],[SUBTOTAL]]&lt;PROVEEDORES[[#This Row],[base retencion]],0,PROVEEDORES[[#This Row],[retención aplicada]])</f>
        <v>0</v>
      </c>
      <c r="Q1435" s="22">
        <f>+PROVEEDORES[[#This Row],[Rete Fuente %]]*(PROVEEDORES[[#This Row],[SUBTOTAL]]-PROVEEDORES[[#This Row],[descuento sobre subtotal]])</f>
        <v>0</v>
      </c>
      <c r="R1435" s="21">
        <f>+PROVEEDORES[[#This Row],[SUBTOTAL]]+PROVEEDORES[[#This Row],[IVA 19%]]-PROVEEDORES[[#This Row],[descuento sobre subtotal]]-PROVEEDORES[[#This Row],[Descuento sobre subtotal $2]]-PROVEEDORES[[#This Row],[Rete Fuente $]]</f>
        <v>3368</v>
      </c>
      <c r="S1435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5" s="63">
        <f ca="1">IF(PROVEEDORES[[#This Row],[FECHA DE PAGO]]=0,TODAY()-PROVEEDORES[[#This Row],[FECHA DE FACTURACIÓN]]-PROVEEDORES[[#This Row],[PLAZO Días]],0)</f>
        <v>0</v>
      </c>
      <c r="U1435" s="104">
        <f>+VLOOKUP(PROVEEDORES[[#This Row],[PROVEEDOR]],Terceros!$A:$D,4,FALSE)</f>
        <v>0</v>
      </c>
      <c r="V1435" s="105">
        <f>+YEAR(PROVEEDORES[[#This Row],[FECHA DE FACTURACIÓN]])</f>
        <v>2022</v>
      </c>
      <c r="W1435" s="105">
        <f>+MATCH(PROVEEDORES[[#This Row],[año facturado]],Retenciones!$1:$1,0)</f>
        <v>5</v>
      </c>
      <c r="X1435" s="106">
        <f>+VLOOKUP(PROVEEDORES[[#This Row],[ID RETENCION]],Retenciones!$A$1:$O$25,PROVEEDORES[[#This Row],[indicador de columna]],FALSE)</f>
        <v>0</v>
      </c>
      <c r="Y1435" s="107">
        <f>+VLOOKUP(PROVEEDORES[[#This Row],[ID RETENCION]],Retenciones!$A$1:$O$25,2,FALSE)</f>
        <v>0</v>
      </c>
      <c r="Z1435" s="116" t="b">
        <f>OR(COUNTIF(PROVEEDORES[[#This Row],[PROVEEDOR]],"*"&amp;'Palabra no opera'!$A$2&amp;"*"))</f>
        <v>0</v>
      </c>
    </row>
    <row r="1436" spans="1:26" ht="22.35" customHeight="1" x14ac:dyDescent="0.3">
      <c r="A1436" s="67" t="str">
        <f>+IF(PROVEEDORES[[#This Row],[FECHA DE PAGO]]=PROVEEDORES[[#This Row],[FECHA DE FACTURACIÓN]],"DE CONTADO","CRÉDITO")</f>
        <v>CRÉDITO</v>
      </c>
      <c r="B1436" s="38" t="b">
        <f>+IF((PROVEEDORES[[#This Row],[FECHA DE PAGO]]-PROVEEDORES[[#This Row],[FECHA DE FACTURACIÓN]])&gt;PROVEEDORES[[#This Row],[PLAZO Días]],"PAGO VENCIDO")</f>
        <v>0</v>
      </c>
      <c r="C1436" s="20">
        <f>+VLOOKUP(PROVEEDORES[[#This Row],[PROVEEDOR]],TERCEROS_INFO[#All],2,FALSE)</f>
        <v>30</v>
      </c>
      <c r="D1436" s="25">
        <f>+SUMIFS(PROVEEDORES[Total],PROVEEDORES[PROVEEDOR],PROVEEDORES[[#This Row],[PROVEEDOR]],PROVEEDORES[FECHA DE PAGO],"")</f>
        <v>229206</v>
      </c>
      <c r="E1436" s="25"/>
      <c r="F1436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6" s="68">
        <v>45031</v>
      </c>
      <c r="H1436" s="26" t="s">
        <v>95</v>
      </c>
      <c r="I1436" s="68">
        <v>45026</v>
      </c>
      <c r="J1436" s="35" t="s">
        <v>1584</v>
      </c>
      <c r="K1436" s="21">
        <v>0</v>
      </c>
      <c r="L1436" s="21"/>
      <c r="M1436" s="22">
        <f>(PROVEEDORES[[#This Row],[SUBTOTAL]]-PROVEEDORES[[#This Row],[descuento sobre subtotal]])*VLOOKUP(PROVEEDORES[[#This Row],[PROVEEDOR]],TERCEROS_INFO[#All],3,FALSE)</f>
        <v>0</v>
      </c>
      <c r="N1436" s="23"/>
      <c r="O1436" s="22">
        <f>+PROVEEDORES[[#This Row],[Descuento sobre subtotal %]]*(PROVEEDORES[[#This Row],[SUBTOTAL]]-PROVEEDORES[[#This Row],[descuento sobre subtotal]])</f>
        <v>0</v>
      </c>
      <c r="P1436" s="74">
        <f>+IF(PROVEEDORES[[#This Row],[SUBTOTAL]]&lt;PROVEEDORES[[#This Row],[base retencion]],0,PROVEEDORES[[#This Row],[retención aplicada]])</f>
        <v>0</v>
      </c>
      <c r="Q1436" s="22">
        <f>+PROVEEDORES[[#This Row],[Rete Fuente %]]*(PROVEEDORES[[#This Row],[SUBTOTAL]]-PROVEEDORES[[#This Row],[descuento sobre subtotal]])</f>
        <v>0</v>
      </c>
      <c r="R143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43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6" s="63">
        <f ca="1">IF(PROVEEDORES[[#This Row],[FECHA DE PAGO]]=0,TODAY()-PROVEEDORES[[#This Row],[FECHA DE FACTURACIÓN]]-PROVEEDORES[[#This Row],[PLAZO Días]],0)</f>
        <v>0</v>
      </c>
      <c r="U1436" s="104">
        <f>+VLOOKUP(PROVEEDORES[[#This Row],[PROVEEDOR]],Terceros!$A:$D,4,FALSE)</f>
        <v>0</v>
      </c>
      <c r="V1436" s="105">
        <f>+YEAR(PROVEEDORES[[#This Row],[FECHA DE FACTURACIÓN]])</f>
        <v>2023</v>
      </c>
      <c r="W1436" s="105">
        <f>+MATCH(PROVEEDORES[[#This Row],[año facturado]],Retenciones!$1:$1,0)</f>
        <v>6</v>
      </c>
      <c r="X1436" s="106">
        <f>+VLOOKUP(PROVEEDORES[[#This Row],[ID RETENCION]],Retenciones!$A$1:$O$25,PROVEEDORES[[#This Row],[indicador de columna]],FALSE)</f>
        <v>0</v>
      </c>
      <c r="Y1436" s="107">
        <f>+VLOOKUP(PROVEEDORES[[#This Row],[ID RETENCION]],Retenciones!$A$1:$O$25,2,FALSE)</f>
        <v>0</v>
      </c>
      <c r="Z1436" s="116" t="b">
        <f>OR(COUNTIF(PROVEEDORES[[#This Row],[PROVEEDOR]],"*"&amp;'Palabra no opera'!$A$2&amp;"*"))</f>
        <v>0</v>
      </c>
    </row>
    <row r="1437" spans="1:26" ht="22.35" customHeight="1" x14ac:dyDescent="0.3">
      <c r="A1437" s="67" t="str">
        <f>+IF(PROVEEDORES[[#This Row],[FECHA DE PAGO]]=PROVEEDORES[[#This Row],[FECHA DE FACTURACIÓN]],"DE CONTADO","CRÉDITO")</f>
        <v>CRÉDITO</v>
      </c>
      <c r="B1437" s="38" t="b">
        <f>+IF((PROVEEDORES[[#This Row],[FECHA DE PAGO]]-PROVEEDORES[[#This Row],[FECHA DE FACTURACIÓN]])&gt;PROVEEDORES[[#This Row],[PLAZO Días]],"PAGO VENCIDO")</f>
        <v>0</v>
      </c>
      <c r="C1437" s="20">
        <f>+VLOOKUP(PROVEEDORES[[#This Row],[PROVEEDOR]],TERCEROS_INFO[#All],2,FALSE)</f>
        <v>30</v>
      </c>
      <c r="D1437" s="25">
        <f>+SUMIFS(PROVEEDORES[Total],PROVEEDORES[PROVEEDOR],PROVEEDORES[[#This Row],[PROVEEDOR]],PROVEEDORES[FECHA DE PAGO],"")</f>
        <v>229206</v>
      </c>
      <c r="E1437" s="25"/>
      <c r="F1437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7" s="68">
        <v>45031</v>
      </c>
      <c r="H1437" s="26" t="s">
        <v>95</v>
      </c>
      <c r="I1437" s="68">
        <v>45026</v>
      </c>
      <c r="J1437" s="35" t="s">
        <v>1585</v>
      </c>
      <c r="K1437" s="21">
        <v>16984</v>
      </c>
      <c r="L1437" s="21"/>
      <c r="M1437" s="22">
        <f>(PROVEEDORES[[#This Row],[SUBTOTAL]]-PROVEEDORES[[#This Row],[descuento sobre subtotal]])*VLOOKUP(PROVEEDORES[[#This Row],[PROVEEDOR]],TERCEROS_INFO[#All],3,FALSE)</f>
        <v>0</v>
      </c>
      <c r="N1437" s="23"/>
      <c r="O1437" s="22">
        <f>+PROVEEDORES[[#This Row],[Descuento sobre subtotal %]]*(PROVEEDORES[[#This Row],[SUBTOTAL]]-PROVEEDORES[[#This Row],[descuento sobre subtotal]])</f>
        <v>0</v>
      </c>
      <c r="P1437" s="74">
        <f>+IF(PROVEEDORES[[#This Row],[SUBTOTAL]]&lt;PROVEEDORES[[#This Row],[base retencion]],0,PROVEEDORES[[#This Row],[retención aplicada]])</f>
        <v>0</v>
      </c>
      <c r="Q1437" s="22">
        <f>+PROVEEDORES[[#This Row],[Rete Fuente %]]*(PROVEEDORES[[#This Row],[SUBTOTAL]]-PROVEEDORES[[#This Row],[descuento sobre subtotal]])</f>
        <v>0</v>
      </c>
      <c r="R1437" s="21">
        <f>+PROVEEDORES[[#This Row],[SUBTOTAL]]+PROVEEDORES[[#This Row],[IVA 19%]]-PROVEEDORES[[#This Row],[descuento sobre subtotal]]-PROVEEDORES[[#This Row],[Descuento sobre subtotal $2]]-PROVEEDORES[[#This Row],[Rete Fuente $]]</f>
        <v>16984</v>
      </c>
      <c r="S143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7" s="63">
        <f ca="1">IF(PROVEEDORES[[#This Row],[FECHA DE PAGO]]=0,TODAY()-PROVEEDORES[[#This Row],[FECHA DE FACTURACIÓN]]-PROVEEDORES[[#This Row],[PLAZO Días]],0)</f>
        <v>0</v>
      </c>
      <c r="U1437" s="104">
        <f>+VLOOKUP(PROVEEDORES[[#This Row],[PROVEEDOR]],Terceros!$A:$D,4,FALSE)</f>
        <v>0</v>
      </c>
      <c r="V1437" s="105">
        <f>+YEAR(PROVEEDORES[[#This Row],[FECHA DE FACTURACIÓN]])</f>
        <v>2023</v>
      </c>
      <c r="W1437" s="105">
        <f>+MATCH(PROVEEDORES[[#This Row],[año facturado]],Retenciones!$1:$1,0)</f>
        <v>6</v>
      </c>
      <c r="X1437" s="106">
        <f>+VLOOKUP(PROVEEDORES[[#This Row],[ID RETENCION]],Retenciones!$A$1:$O$25,PROVEEDORES[[#This Row],[indicador de columna]],FALSE)</f>
        <v>0</v>
      </c>
      <c r="Y1437" s="107">
        <f>+VLOOKUP(PROVEEDORES[[#This Row],[ID RETENCION]],Retenciones!$A$1:$O$25,2,FALSE)</f>
        <v>0</v>
      </c>
      <c r="Z1437" s="116" t="b">
        <f>OR(COUNTIF(PROVEEDORES[[#This Row],[PROVEEDOR]],"*"&amp;'Palabra no opera'!$A$2&amp;"*"))</f>
        <v>0</v>
      </c>
    </row>
    <row r="1438" spans="1:26" ht="22.35" customHeight="1" x14ac:dyDescent="0.3">
      <c r="A1438" s="67" t="str">
        <f>+IF(PROVEEDORES[[#This Row],[FECHA DE PAGO]]=PROVEEDORES[[#This Row],[FECHA DE FACTURACIÓN]],"DE CONTADO","CRÉDITO")</f>
        <v>CRÉDITO</v>
      </c>
      <c r="B1438" s="38" t="str">
        <f>+IF((PROVEEDORES[[#This Row],[FECHA DE PAGO]]-PROVEEDORES[[#This Row],[FECHA DE FACTURACIÓN]])&gt;PROVEEDORES[[#This Row],[PLAZO Días]],"PAGO VENCIDO")</f>
        <v>PAGO VENCIDO</v>
      </c>
      <c r="C1438" s="20">
        <f>+VLOOKUP(PROVEEDORES[[#This Row],[PROVEEDOR]],TERCEROS_INFO[#All],2,FALSE)</f>
        <v>30</v>
      </c>
      <c r="D1438" s="25">
        <f>+SUMIFS(PROVEEDORES[Total],PROVEEDORES[PROVEEDOR],PROVEEDORES[[#This Row],[PROVEEDOR]],PROVEEDORES[FECHA DE PAGO],"")</f>
        <v>0</v>
      </c>
      <c r="E1438" s="25"/>
      <c r="F143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8" s="68">
        <v>45031</v>
      </c>
      <c r="H1438" s="26" t="s">
        <v>227</v>
      </c>
      <c r="I1438" s="68">
        <v>44957</v>
      </c>
      <c r="J1438" s="35">
        <v>532</v>
      </c>
      <c r="K1438" s="21">
        <v>67538</v>
      </c>
      <c r="L1438" s="21"/>
      <c r="M1438" s="22">
        <f>(PROVEEDORES[[#This Row],[SUBTOTAL]]-PROVEEDORES[[#This Row],[descuento sobre subtotal]])*VLOOKUP(PROVEEDORES[[#This Row],[PROVEEDOR]],TERCEROS_INFO[#All],3,FALSE)</f>
        <v>0</v>
      </c>
      <c r="N1438" s="23"/>
      <c r="O1438" s="22">
        <f>+PROVEEDORES[[#This Row],[Descuento sobre subtotal %]]*(PROVEEDORES[[#This Row],[SUBTOTAL]]-PROVEEDORES[[#This Row],[descuento sobre subtotal]])</f>
        <v>0</v>
      </c>
      <c r="P1438" s="74">
        <f>+IF(PROVEEDORES[[#This Row],[SUBTOTAL]]&lt;PROVEEDORES[[#This Row],[base retencion]],0,PROVEEDORES[[#This Row],[retención aplicada]])</f>
        <v>0</v>
      </c>
      <c r="Q1438" s="22">
        <f>+PROVEEDORES[[#This Row],[Rete Fuente %]]*(PROVEEDORES[[#This Row],[SUBTOTAL]]-PROVEEDORES[[#This Row],[descuento sobre subtotal]])</f>
        <v>0</v>
      </c>
      <c r="R1438" s="21">
        <f>+PROVEEDORES[[#This Row],[SUBTOTAL]]+PROVEEDORES[[#This Row],[IVA 19%]]-PROVEEDORES[[#This Row],[descuento sobre subtotal]]-PROVEEDORES[[#This Row],[Descuento sobre subtotal $2]]-PROVEEDORES[[#This Row],[Rete Fuente $]]</f>
        <v>67538</v>
      </c>
      <c r="S143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8" s="63">
        <f ca="1">IF(PROVEEDORES[[#This Row],[FECHA DE PAGO]]=0,TODAY()-PROVEEDORES[[#This Row],[FECHA DE FACTURACIÓN]]-PROVEEDORES[[#This Row],[PLAZO Días]],0)</f>
        <v>0</v>
      </c>
      <c r="U1438" s="104">
        <f>+VLOOKUP(PROVEEDORES[[#This Row],[PROVEEDOR]],Terceros!$A:$D,4,FALSE)</f>
        <v>0</v>
      </c>
      <c r="V1438" s="105">
        <f>+YEAR(PROVEEDORES[[#This Row],[FECHA DE FACTURACIÓN]])</f>
        <v>2023</v>
      </c>
      <c r="W1438" s="105">
        <f>+MATCH(PROVEEDORES[[#This Row],[año facturado]],Retenciones!$1:$1,0)</f>
        <v>6</v>
      </c>
      <c r="X1438" s="106">
        <f>+VLOOKUP(PROVEEDORES[[#This Row],[ID RETENCION]],Retenciones!$A$1:$O$25,PROVEEDORES[[#This Row],[indicador de columna]],FALSE)</f>
        <v>0</v>
      </c>
      <c r="Y1438" s="107">
        <f>+VLOOKUP(PROVEEDORES[[#This Row],[ID RETENCION]],Retenciones!$A$1:$O$25,2,FALSE)</f>
        <v>0</v>
      </c>
      <c r="Z1438" s="116" t="b">
        <f>OR(COUNTIF(PROVEEDORES[[#This Row],[PROVEEDOR]],"*"&amp;'Palabra no opera'!$A$2&amp;"*"))</f>
        <v>0</v>
      </c>
    </row>
    <row r="1439" spans="1:26" ht="22.35" customHeight="1" x14ac:dyDescent="0.3">
      <c r="A1439" s="280" t="str">
        <f>+IF(PROVEEDORES[[#This Row],[FECHA DE PAGO]]=PROVEEDORES[[#This Row],[FECHA DE FACTURACIÓN]],"DE CONTADO","CRÉDITO")</f>
        <v>CRÉDITO</v>
      </c>
      <c r="B1439" s="38" t="b">
        <f>+IF((PROVEEDORES[[#This Row],[FECHA DE PAGO]]-PROVEEDORES[[#This Row],[FECHA DE FACTURACIÓN]])&gt;PROVEEDORES[[#This Row],[PLAZO Días]],"PAGO VENCIDO")</f>
        <v>0</v>
      </c>
      <c r="C1439" s="20">
        <f>+VLOOKUP(PROVEEDORES[[#This Row],[PROVEEDOR]],TERCEROS_INFO[#All],2,FALSE)</f>
        <v>30</v>
      </c>
      <c r="D1439" s="25">
        <f>+SUMIFS(PROVEEDORES[Total],PROVEEDORES[PROVEEDOR],PROVEEDORES[[#This Row],[PROVEEDOR]],PROVEEDORES[FECHA DE PAGO],"")</f>
        <v>0</v>
      </c>
      <c r="E1439" s="25"/>
      <c r="F143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9" s="68">
        <v>45031</v>
      </c>
      <c r="H1439" s="26" t="s">
        <v>227</v>
      </c>
      <c r="I1439" s="68">
        <v>45008</v>
      </c>
      <c r="J1439" s="35">
        <v>559</v>
      </c>
      <c r="K1439" s="21">
        <v>0</v>
      </c>
      <c r="L1439" s="21"/>
      <c r="M1439" s="22">
        <f>(PROVEEDORES[[#This Row],[SUBTOTAL]]-PROVEEDORES[[#This Row],[descuento sobre subtotal]])*VLOOKUP(PROVEEDORES[[#This Row],[PROVEEDOR]],TERCEROS_INFO[#All],3,FALSE)</f>
        <v>0</v>
      </c>
      <c r="N1439" s="23"/>
      <c r="O1439" s="22">
        <f>+PROVEEDORES[[#This Row],[Descuento sobre subtotal %]]*(PROVEEDORES[[#This Row],[SUBTOTAL]]-PROVEEDORES[[#This Row],[descuento sobre subtotal]])</f>
        <v>0</v>
      </c>
      <c r="P1439" s="74">
        <f>+IF(PROVEEDORES[[#This Row],[SUBTOTAL]]&lt;PROVEEDORES[[#This Row],[base retencion]],0,PROVEEDORES[[#This Row],[retención aplicada]])</f>
        <v>0</v>
      </c>
      <c r="Q1439" s="22">
        <f>+PROVEEDORES[[#This Row],[Rete Fuente %]]*(PROVEEDORES[[#This Row],[SUBTOTAL]]-PROVEEDORES[[#This Row],[descuento sobre subtotal]])</f>
        <v>0</v>
      </c>
      <c r="R1439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439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9" s="63">
        <f ca="1">IF(PROVEEDORES[[#This Row],[FECHA DE PAGO]]=0,TODAY()-PROVEEDORES[[#This Row],[FECHA DE FACTURACIÓN]]-PROVEEDORES[[#This Row],[PLAZO Días]],0)</f>
        <v>0</v>
      </c>
      <c r="U1439" s="104">
        <f>+VLOOKUP(PROVEEDORES[[#This Row],[PROVEEDOR]],Terceros!$A:$D,4,FALSE)</f>
        <v>0</v>
      </c>
      <c r="V1439" s="105">
        <f>+YEAR(PROVEEDORES[[#This Row],[FECHA DE FACTURACIÓN]])</f>
        <v>2023</v>
      </c>
      <c r="W1439" s="105">
        <f>+MATCH(PROVEEDORES[[#This Row],[año facturado]],Retenciones!$1:$1,0)</f>
        <v>6</v>
      </c>
      <c r="X1439" s="106">
        <f>+VLOOKUP(PROVEEDORES[[#This Row],[ID RETENCION]],Retenciones!$A$1:$O$25,PROVEEDORES[[#This Row],[indicador de columna]],FALSE)</f>
        <v>0</v>
      </c>
      <c r="Y1439" s="107">
        <f>+VLOOKUP(PROVEEDORES[[#This Row],[ID RETENCION]],Retenciones!$A$1:$O$25,2,FALSE)</f>
        <v>0</v>
      </c>
      <c r="Z1439" s="116" t="b">
        <f>OR(COUNTIF(PROVEEDORES[[#This Row],[PROVEEDOR]],"*"&amp;'Palabra no opera'!$A$2&amp;"*"))</f>
        <v>0</v>
      </c>
    </row>
    <row r="1440" spans="1:26" ht="22.35" customHeight="1" x14ac:dyDescent="0.3">
      <c r="A1440" s="280" t="str">
        <f>+IF(PROVEEDORES[[#This Row],[FECHA DE PAGO]]=PROVEEDORES[[#This Row],[FECHA DE FACTURACIÓN]],"DE CONTADO","CRÉDITO")</f>
        <v>CRÉDITO</v>
      </c>
      <c r="B1440" s="38" t="b">
        <f>+IF((PROVEEDORES[[#This Row],[FECHA DE PAGO]]-PROVEEDORES[[#This Row],[FECHA DE FACTURACIÓN]])&gt;PROVEEDORES[[#This Row],[PLAZO Días]],"PAGO VENCIDO")</f>
        <v>0</v>
      </c>
      <c r="C1440" s="20">
        <f>+VLOOKUP(PROVEEDORES[[#This Row],[PROVEEDOR]],TERCEROS_INFO[#All],2,FALSE)</f>
        <v>30</v>
      </c>
      <c r="D1440" s="25">
        <f>+SUMIFS(PROVEEDORES[Total],PROVEEDORES[PROVEEDOR],PROVEEDORES[[#This Row],[PROVEEDOR]],PROVEEDORES[FECHA DE PAGO],"")</f>
        <v>0</v>
      </c>
      <c r="E1440" s="25"/>
      <c r="F1440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0" s="68">
        <v>45031</v>
      </c>
      <c r="H1440" s="26" t="s">
        <v>227</v>
      </c>
      <c r="I1440" s="68">
        <v>45009</v>
      </c>
      <c r="J1440" s="35">
        <v>560</v>
      </c>
      <c r="K1440" s="21">
        <v>32039</v>
      </c>
      <c r="L1440" s="21"/>
      <c r="M1440" s="22">
        <f>(PROVEEDORES[[#This Row],[SUBTOTAL]]-PROVEEDORES[[#This Row],[descuento sobre subtotal]])*VLOOKUP(PROVEEDORES[[#This Row],[PROVEEDOR]],TERCEROS_INFO[#All],3,FALSE)</f>
        <v>0</v>
      </c>
      <c r="N1440" s="23"/>
      <c r="O1440" s="22">
        <f>+PROVEEDORES[[#This Row],[Descuento sobre subtotal %]]*(PROVEEDORES[[#This Row],[SUBTOTAL]]-PROVEEDORES[[#This Row],[descuento sobre subtotal]])</f>
        <v>0</v>
      </c>
      <c r="P1440" s="74">
        <f>+IF(PROVEEDORES[[#This Row],[SUBTOTAL]]&lt;PROVEEDORES[[#This Row],[base retencion]],0,PROVEEDORES[[#This Row],[retención aplicada]])</f>
        <v>0</v>
      </c>
      <c r="Q1440" s="22">
        <f>+PROVEEDORES[[#This Row],[Rete Fuente %]]*(PROVEEDORES[[#This Row],[SUBTOTAL]]-PROVEEDORES[[#This Row],[descuento sobre subtotal]])</f>
        <v>0</v>
      </c>
      <c r="R1440" s="21">
        <f>+PROVEEDORES[[#This Row],[SUBTOTAL]]+PROVEEDORES[[#This Row],[IVA 19%]]-PROVEEDORES[[#This Row],[descuento sobre subtotal]]-PROVEEDORES[[#This Row],[Descuento sobre subtotal $2]]-PROVEEDORES[[#This Row],[Rete Fuente $]]</f>
        <v>32039</v>
      </c>
      <c r="S144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0" s="63">
        <f ca="1">IF(PROVEEDORES[[#This Row],[FECHA DE PAGO]]=0,TODAY()-PROVEEDORES[[#This Row],[FECHA DE FACTURACIÓN]]-PROVEEDORES[[#This Row],[PLAZO Días]],0)</f>
        <v>0</v>
      </c>
      <c r="U1440" s="104">
        <f>+VLOOKUP(PROVEEDORES[[#This Row],[PROVEEDOR]],Terceros!$A:$D,4,FALSE)</f>
        <v>0</v>
      </c>
      <c r="V1440" s="105">
        <f>+YEAR(PROVEEDORES[[#This Row],[FECHA DE FACTURACIÓN]])</f>
        <v>2023</v>
      </c>
      <c r="W1440" s="105">
        <f>+MATCH(PROVEEDORES[[#This Row],[año facturado]],Retenciones!$1:$1,0)</f>
        <v>6</v>
      </c>
      <c r="X1440" s="106">
        <f>+VLOOKUP(PROVEEDORES[[#This Row],[ID RETENCION]],Retenciones!$A$1:$O$25,PROVEEDORES[[#This Row],[indicador de columna]],FALSE)</f>
        <v>0</v>
      </c>
      <c r="Y1440" s="107">
        <f>+VLOOKUP(PROVEEDORES[[#This Row],[ID RETENCION]],Retenciones!$A$1:$O$25,2,FALSE)</f>
        <v>0</v>
      </c>
      <c r="Z1440" s="116" t="b">
        <f>OR(COUNTIF(PROVEEDORES[[#This Row],[PROVEEDOR]],"*"&amp;'Palabra no opera'!$A$2&amp;"*"))</f>
        <v>0</v>
      </c>
    </row>
    <row r="1441" spans="1:26" ht="22.35" customHeight="1" x14ac:dyDescent="0.3">
      <c r="A1441" s="67" t="str">
        <f>+IF(PROVEEDORES[[#This Row],[FECHA DE PAGO]]=PROVEEDORES[[#This Row],[FECHA DE FACTURACIÓN]],"DE CONTADO","CRÉDITO")</f>
        <v>CRÉDITO</v>
      </c>
      <c r="B1441" s="38" t="b">
        <f>+IF((PROVEEDORES[[#This Row],[FECHA DE PAGO]]-PROVEEDORES[[#This Row],[FECHA DE FACTURACIÓN]])&gt;PROVEEDORES[[#This Row],[PLAZO Días]],"PAGO VENCIDO")</f>
        <v>0</v>
      </c>
      <c r="C1441" s="20">
        <f>+VLOOKUP(PROVEEDORES[[#This Row],[PROVEEDOR]],TERCEROS_INFO[#All],2,FALSE)</f>
        <v>30</v>
      </c>
      <c r="D1441" s="25">
        <f>+SUMIFS(PROVEEDORES[Total],PROVEEDORES[PROVEEDOR],PROVEEDORES[[#This Row],[PROVEEDOR]],PROVEEDORES[FECHA DE PAGO],"")</f>
        <v>0</v>
      </c>
      <c r="E1441" s="25"/>
      <c r="F1441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1" s="68">
        <v>45031</v>
      </c>
      <c r="H1441" s="26" t="s">
        <v>227</v>
      </c>
      <c r="I1441" s="68">
        <v>45022</v>
      </c>
      <c r="J1441" s="234" t="s">
        <v>1282</v>
      </c>
      <c r="K1441" s="21">
        <v>-1008779</v>
      </c>
      <c r="L1441" s="21"/>
      <c r="M1441" s="22">
        <f>(PROVEEDORES[[#This Row],[SUBTOTAL]]-PROVEEDORES[[#This Row],[descuento sobre subtotal]])*VLOOKUP(PROVEEDORES[[#This Row],[PROVEEDOR]],TERCEROS_INFO[#All],3,FALSE)</f>
        <v>0</v>
      </c>
      <c r="N1441" s="23"/>
      <c r="O1441" s="22">
        <f>+PROVEEDORES[[#This Row],[Descuento sobre subtotal %]]*(PROVEEDORES[[#This Row],[SUBTOTAL]]-PROVEEDORES[[#This Row],[descuento sobre subtotal]])</f>
        <v>0</v>
      </c>
      <c r="P1441" s="74">
        <f>+IF(PROVEEDORES[[#This Row],[SUBTOTAL]]&lt;PROVEEDORES[[#This Row],[base retencion]],0,PROVEEDORES[[#This Row],[retención aplicada]])</f>
        <v>0</v>
      </c>
      <c r="Q1441" s="22">
        <f>+PROVEEDORES[[#This Row],[Rete Fuente %]]*(PROVEEDORES[[#This Row],[SUBTOTAL]]-PROVEEDORES[[#This Row],[descuento sobre subtotal]])</f>
        <v>0</v>
      </c>
      <c r="R1441" s="21">
        <f>+PROVEEDORES[[#This Row],[SUBTOTAL]]+PROVEEDORES[[#This Row],[IVA 19%]]-PROVEEDORES[[#This Row],[descuento sobre subtotal]]-PROVEEDORES[[#This Row],[Descuento sobre subtotal $2]]-PROVEEDORES[[#This Row],[Rete Fuente $]]</f>
        <v>-1008779</v>
      </c>
      <c r="S144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1" s="63">
        <f ca="1">IF(PROVEEDORES[[#This Row],[FECHA DE PAGO]]=0,TODAY()-PROVEEDORES[[#This Row],[FECHA DE FACTURACIÓN]]-PROVEEDORES[[#This Row],[PLAZO Días]],0)</f>
        <v>0</v>
      </c>
      <c r="U1441" s="104">
        <f>+VLOOKUP(PROVEEDORES[[#This Row],[PROVEEDOR]],Terceros!$A:$D,4,FALSE)</f>
        <v>0</v>
      </c>
      <c r="V1441" s="105">
        <f>+YEAR(PROVEEDORES[[#This Row],[FECHA DE FACTURACIÓN]])</f>
        <v>2023</v>
      </c>
      <c r="W1441" s="105">
        <f>+MATCH(PROVEEDORES[[#This Row],[año facturado]],Retenciones!$1:$1,0)</f>
        <v>6</v>
      </c>
      <c r="X1441" s="106">
        <f>+VLOOKUP(PROVEEDORES[[#This Row],[ID RETENCION]],Retenciones!$A$1:$O$25,PROVEEDORES[[#This Row],[indicador de columna]],FALSE)</f>
        <v>0</v>
      </c>
      <c r="Y1441" s="107">
        <f>+VLOOKUP(PROVEEDORES[[#This Row],[ID RETENCION]],Retenciones!$A$1:$O$25,2,FALSE)</f>
        <v>0</v>
      </c>
      <c r="Z1441" s="116" t="b">
        <f>OR(COUNTIF(PROVEEDORES[[#This Row],[PROVEEDOR]],"*"&amp;'Palabra no opera'!$A$2&amp;"*"))</f>
        <v>0</v>
      </c>
    </row>
    <row r="1442" spans="1:26" ht="22.35" customHeight="1" x14ac:dyDescent="0.3">
      <c r="A1442" s="308" t="str">
        <f>+IF(PROVEEDORES[[#This Row],[FECHA DE PAGO]]=PROVEEDORES[[#This Row],[FECHA DE FACTURACIÓN]],"DE CONTADO","CRÉDITO")</f>
        <v>CRÉDITO</v>
      </c>
      <c r="B1442" s="38" t="b">
        <f>+IF((PROVEEDORES[[#This Row],[FECHA DE PAGO]]-PROVEEDORES[[#This Row],[FECHA DE FACTURACIÓN]])&gt;PROVEEDORES[[#This Row],[PLAZO Días]],"PAGO VENCIDO")</f>
        <v>0</v>
      </c>
      <c r="C1442" s="20">
        <f>+VLOOKUP(PROVEEDORES[[#This Row],[PROVEEDOR]],TERCEROS_INFO[#All],2,FALSE)</f>
        <v>30</v>
      </c>
      <c r="D1442" s="25">
        <f>+SUMIFS(PROVEEDORES[Total],PROVEEDORES[PROVEEDOR],PROVEEDORES[[#This Row],[PROVEEDOR]],PROVEEDORES[FECHA DE PAGO],"")</f>
        <v>0</v>
      </c>
      <c r="E1442" s="25"/>
      <c r="F1442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2" s="68">
        <v>45031</v>
      </c>
      <c r="H1442" s="26" t="s">
        <v>227</v>
      </c>
      <c r="I1442" s="68">
        <v>45027</v>
      </c>
      <c r="J1442" s="35" t="s">
        <v>1574</v>
      </c>
      <c r="K1442" s="21">
        <v>0</v>
      </c>
      <c r="L1442" s="21"/>
      <c r="M1442" s="22">
        <f>(PROVEEDORES[[#This Row],[SUBTOTAL]]-PROVEEDORES[[#This Row],[descuento sobre subtotal]])*VLOOKUP(PROVEEDORES[[#This Row],[PROVEEDOR]],TERCEROS_INFO[#All],3,FALSE)</f>
        <v>0</v>
      </c>
      <c r="N1442" s="23"/>
      <c r="O1442" s="22">
        <f>+PROVEEDORES[[#This Row],[Descuento sobre subtotal %]]*(PROVEEDORES[[#This Row],[SUBTOTAL]]-PROVEEDORES[[#This Row],[descuento sobre subtotal]])</f>
        <v>0</v>
      </c>
      <c r="P1442" s="74">
        <f>+IF(PROVEEDORES[[#This Row],[SUBTOTAL]]&lt;PROVEEDORES[[#This Row],[base retencion]],0,PROVEEDORES[[#This Row],[retención aplicada]])</f>
        <v>0</v>
      </c>
      <c r="Q1442" s="22">
        <f>+PROVEEDORES[[#This Row],[Rete Fuente %]]*(PROVEEDORES[[#This Row],[SUBTOTAL]]-PROVEEDORES[[#This Row],[descuento sobre subtotal]])</f>
        <v>0</v>
      </c>
      <c r="R144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442" s="3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2" s="63">
        <f ca="1">IF(PROVEEDORES[[#This Row],[FECHA DE PAGO]]=0,TODAY()-PROVEEDORES[[#This Row],[FECHA DE FACTURACIÓN]]-PROVEEDORES[[#This Row],[PLAZO Días]],0)</f>
        <v>0</v>
      </c>
      <c r="U1442" s="104">
        <f>+VLOOKUP(PROVEEDORES[[#This Row],[PROVEEDOR]],Terceros!$A:$D,4,FALSE)</f>
        <v>0</v>
      </c>
      <c r="V1442" s="105">
        <f>+YEAR(PROVEEDORES[[#This Row],[FECHA DE FACTURACIÓN]])</f>
        <v>2023</v>
      </c>
      <c r="W1442" s="105">
        <f>+MATCH(PROVEEDORES[[#This Row],[año facturado]],Retenciones!$1:$1,0)</f>
        <v>6</v>
      </c>
      <c r="X1442" s="106">
        <f>+VLOOKUP(PROVEEDORES[[#This Row],[ID RETENCION]],Retenciones!$A$1:$O$25,PROVEEDORES[[#This Row],[indicador de columna]],FALSE)</f>
        <v>0</v>
      </c>
      <c r="Y1442" s="107">
        <f>+VLOOKUP(PROVEEDORES[[#This Row],[ID RETENCION]],Retenciones!$A$1:$O$25,2,FALSE)</f>
        <v>0</v>
      </c>
      <c r="Z1442" s="116" t="b">
        <f>OR(COUNTIF(PROVEEDORES[[#This Row],[PROVEEDOR]],"*"&amp;'Palabra no opera'!$A$2&amp;"*"))</f>
        <v>0</v>
      </c>
    </row>
    <row r="1443" spans="1:26" ht="22.35" customHeight="1" x14ac:dyDescent="0.3">
      <c r="A1443" s="67" t="str">
        <f>+IF(PROVEEDORES[[#This Row],[FECHA DE PAGO]]=PROVEEDORES[[#This Row],[FECHA DE FACTURACIÓN]],"DE CONTADO","CRÉDITO")</f>
        <v>CRÉDITO</v>
      </c>
      <c r="B1443" s="38" t="b">
        <f>+IF((PROVEEDORES[[#This Row],[FECHA DE PAGO]]-PROVEEDORES[[#This Row],[FECHA DE FACTURACIÓN]])&gt;PROVEEDORES[[#This Row],[PLAZO Días]],"PAGO VENCIDO")</f>
        <v>0</v>
      </c>
      <c r="C1443" s="20">
        <f>+VLOOKUP(PROVEEDORES[[#This Row],[PROVEEDOR]],TERCEROS_INFO[#All],2,FALSE)</f>
        <v>30</v>
      </c>
      <c r="D1443" s="25">
        <f>+SUMIFS(PROVEEDORES[Total],PROVEEDORES[PROVEEDOR],PROVEEDORES[[#This Row],[PROVEEDOR]],PROVEEDORES[FECHA DE PAGO],"")</f>
        <v>0</v>
      </c>
      <c r="E1443" s="25"/>
      <c r="F144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3" s="68">
        <v>45031</v>
      </c>
      <c r="H1443" s="26" t="s">
        <v>227</v>
      </c>
      <c r="I1443" s="68">
        <v>45027</v>
      </c>
      <c r="J1443" s="35" t="s">
        <v>1575</v>
      </c>
      <c r="K1443" s="21">
        <v>146984</v>
      </c>
      <c r="L1443" s="21"/>
      <c r="M1443" s="22">
        <f>(PROVEEDORES[[#This Row],[SUBTOTAL]]-PROVEEDORES[[#This Row],[descuento sobre subtotal]])*VLOOKUP(PROVEEDORES[[#This Row],[PROVEEDOR]],TERCEROS_INFO[#All],3,FALSE)</f>
        <v>0</v>
      </c>
      <c r="N1443" s="23"/>
      <c r="O1443" s="22">
        <f>+PROVEEDORES[[#This Row],[Descuento sobre subtotal %]]*(PROVEEDORES[[#This Row],[SUBTOTAL]]-PROVEEDORES[[#This Row],[descuento sobre subtotal]])</f>
        <v>0</v>
      </c>
      <c r="P1443" s="74">
        <f>+IF(PROVEEDORES[[#This Row],[SUBTOTAL]]&lt;PROVEEDORES[[#This Row],[base retencion]],0,PROVEEDORES[[#This Row],[retención aplicada]])</f>
        <v>0</v>
      </c>
      <c r="Q1443" s="22">
        <f>+PROVEEDORES[[#This Row],[Rete Fuente %]]*(PROVEEDORES[[#This Row],[SUBTOTAL]]-PROVEEDORES[[#This Row],[descuento sobre subtotal]])</f>
        <v>0</v>
      </c>
      <c r="R1443" s="21">
        <f>+PROVEEDORES[[#This Row],[SUBTOTAL]]+PROVEEDORES[[#This Row],[IVA 19%]]-PROVEEDORES[[#This Row],[descuento sobre subtotal]]-PROVEEDORES[[#This Row],[Descuento sobre subtotal $2]]-PROVEEDORES[[#This Row],[Rete Fuente $]]</f>
        <v>146984</v>
      </c>
      <c r="S14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3" s="63">
        <f ca="1">IF(PROVEEDORES[[#This Row],[FECHA DE PAGO]]=0,TODAY()-PROVEEDORES[[#This Row],[FECHA DE FACTURACIÓN]]-PROVEEDORES[[#This Row],[PLAZO Días]],0)</f>
        <v>0</v>
      </c>
      <c r="U1443" s="104">
        <f>+VLOOKUP(PROVEEDORES[[#This Row],[PROVEEDOR]],Terceros!$A:$D,4,FALSE)</f>
        <v>0</v>
      </c>
      <c r="V1443" s="105">
        <f>+YEAR(PROVEEDORES[[#This Row],[FECHA DE FACTURACIÓN]])</f>
        <v>2023</v>
      </c>
      <c r="W1443" s="105">
        <f>+MATCH(PROVEEDORES[[#This Row],[año facturado]],Retenciones!$1:$1,0)</f>
        <v>6</v>
      </c>
      <c r="X1443" s="106">
        <f>+VLOOKUP(PROVEEDORES[[#This Row],[ID RETENCION]],Retenciones!$A$1:$O$25,PROVEEDORES[[#This Row],[indicador de columna]],FALSE)</f>
        <v>0</v>
      </c>
      <c r="Y1443" s="107">
        <f>+VLOOKUP(PROVEEDORES[[#This Row],[ID RETENCION]],Retenciones!$A$1:$O$25,2,FALSE)</f>
        <v>0</v>
      </c>
      <c r="Z1443" s="116" t="b">
        <f>OR(COUNTIF(PROVEEDORES[[#This Row],[PROVEEDOR]],"*"&amp;'Palabra no opera'!$A$2&amp;"*"))</f>
        <v>0</v>
      </c>
    </row>
    <row r="1444" spans="1:26" ht="22.35" customHeight="1" x14ac:dyDescent="0.3">
      <c r="A1444" s="249" t="str">
        <f>+IF(PROVEEDORES[[#This Row],[FECHA DE PAGO]]=PROVEEDORES[[#This Row],[FECHA DE FACTURACIÓN]],"DE CONTADO","CRÉDITO")</f>
        <v>CRÉDITO</v>
      </c>
      <c r="B1444" s="38" t="str">
        <f>+IF((PROVEEDORES[[#This Row],[FECHA DE PAGO]]-PROVEEDORES[[#This Row],[FECHA DE FACTURACIÓN]])&gt;PROVEEDORES[[#This Row],[PLAZO Días]],"PAGO VENCIDO")</f>
        <v>PAGO VENCIDO</v>
      </c>
      <c r="C1444" s="20">
        <f>+VLOOKUP(PROVEEDORES[[#This Row],[PROVEEDOR]],TERCEROS_INFO[#All],2,FALSE)</f>
        <v>30</v>
      </c>
      <c r="D1444" s="25">
        <f>+SUMIFS(PROVEEDORES[Total],PROVEEDORES[PROVEEDOR],PROVEEDORES[[#This Row],[PROVEEDOR]],PROVEEDORES[FECHA DE PAGO],"")</f>
        <v>0</v>
      </c>
      <c r="E1444" s="25"/>
      <c r="F1444" s="56">
        <f>+VLOOKUP(PROVEEDORES[[#This Row],[PROVEEDOR]],
                       Terceros!$A:$F,
                       5,
                       FALSE)</f>
        <v>0</v>
      </c>
      <c r="G1444" s="68">
        <v>45033</v>
      </c>
      <c r="H1444" s="26" t="s">
        <v>262</v>
      </c>
      <c r="I1444" s="68">
        <v>44988</v>
      </c>
      <c r="J1444" s="35" t="s">
        <v>1894</v>
      </c>
      <c r="K1444" s="21">
        <v>-1747500</v>
      </c>
      <c r="L1444" s="21"/>
      <c r="M1444" s="22">
        <f>(PROVEEDORES[[#This Row],[SUBTOTAL]]-PROVEEDORES[[#This Row],[descuento sobre subtotal]])*VLOOKUP(PROVEEDORES[[#This Row],[PROVEEDOR]],TERCEROS_INFO[#All],3,FALSE)</f>
        <v>-332025</v>
      </c>
      <c r="N1444" s="23"/>
      <c r="O1444" s="22">
        <f>+PROVEEDORES[[#This Row],[Descuento sobre subtotal %]]*(PROVEEDORES[[#This Row],[SUBTOTAL]]-PROVEEDORES[[#This Row],[descuento sobre subtotal]])</f>
        <v>0</v>
      </c>
      <c r="P1444" s="74">
        <f>+IF(PROVEEDORES[[#This Row],[SUBTOTAL]]&lt;PROVEEDORES[[#This Row],[base retencion]],0,PROVEEDORES[[#This Row],[retención aplicada]])</f>
        <v>0</v>
      </c>
      <c r="Q1444" s="22">
        <f>+PROVEEDORES[[#This Row],[Rete Fuente %]]*(PROVEEDORES[[#This Row],[SUBTOTAL]]-PROVEEDORES[[#This Row],[descuento sobre subtotal]])</f>
        <v>0</v>
      </c>
      <c r="R1444" s="21">
        <f>+PROVEEDORES[[#This Row],[SUBTOTAL]]+PROVEEDORES[[#This Row],[IVA 19%]]-PROVEEDORES[[#This Row],[descuento sobre subtotal]]-PROVEEDORES[[#This Row],[Descuento sobre subtotal $2]]-PROVEEDORES[[#This Row],[Rete Fuente $]]</f>
        <v>-2079525</v>
      </c>
      <c r="S144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4" s="63">
        <f ca="1">IF(PROVEEDORES[[#This Row],[FECHA DE PAGO]]=0,TODAY()-PROVEEDORES[[#This Row],[FECHA DE FACTURACIÓN]]-PROVEEDORES[[#This Row],[PLAZO Días]],0)</f>
        <v>0</v>
      </c>
      <c r="U1444" s="104" t="str">
        <f>+VLOOKUP(PROVEEDORES[[#This Row],[PROVEEDOR]],Terceros!$A:$D,4,FALSE)</f>
        <v>2,5% con base</v>
      </c>
      <c r="V1444" s="105">
        <f>+YEAR(PROVEEDORES[[#This Row],[FECHA DE FACTURACIÓN]])</f>
        <v>2023</v>
      </c>
      <c r="W1444" s="105">
        <f>+MATCH(PROVEEDORES[[#This Row],[año facturado]],Retenciones!$1:$1,0)</f>
        <v>6</v>
      </c>
      <c r="X1444" s="106">
        <f>+VLOOKUP(PROVEEDORES[[#This Row],[ID RETENCION]],Retenciones!$A$1:$O$25,PROVEEDORES[[#This Row],[indicador de columna]],FALSE)</f>
        <v>1145000</v>
      </c>
      <c r="Y1444" s="107">
        <f>+VLOOKUP(PROVEEDORES[[#This Row],[ID RETENCION]],Retenciones!$A$1:$O$25,2,FALSE)</f>
        <v>2.5000000000000001E-2</v>
      </c>
      <c r="Z1444" s="116" t="b">
        <f>OR(COUNTIF(PROVEEDORES[[#This Row],[PROVEEDOR]],"*"&amp;'Palabra no opera'!$A$2&amp;"*"))</f>
        <v>0</v>
      </c>
    </row>
    <row r="1445" spans="1:26" ht="22.35" customHeight="1" x14ac:dyDescent="0.3">
      <c r="A1445" s="280" t="str">
        <f>+IF(PROVEEDORES[[#This Row],[FECHA DE PAGO]]=PROVEEDORES[[#This Row],[FECHA DE FACTURACIÓN]],"DE CONTADO","CRÉDITO")</f>
        <v>CRÉDITO</v>
      </c>
      <c r="B1445" s="38" t="str">
        <f>+IF((PROVEEDORES[[#This Row],[FECHA DE PAGO]]-PROVEEDORES[[#This Row],[FECHA DE FACTURACIÓN]])&gt;PROVEEDORES[[#This Row],[PLAZO Días]],"PAGO VENCIDO")</f>
        <v>PAGO VENCIDO</v>
      </c>
      <c r="C1445" s="20">
        <f>+VLOOKUP(PROVEEDORES[[#This Row],[PROVEEDOR]],TERCEROS_INFO[#All],2,FALSE)</f>
        <v>30</v>
      </c>
      <c r="D1445" s="25">
        <f>+SUMIFS(PROVEEDORES[Total],PROVEEDORES[PROVEEDOR],PROVEEDORES[[#This Row],[PROVEEDOR]],PROVEEDORES[FECHA DE PAGO],"")</f>
        <v>17870934.149999999</v>
      </c>
      <c r="E1445" s="25"/>
      <c r="F144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45" s="68">
        <v>45035</v>
      </c>
      <c r="H1445" s="26" t="s">
        <v>18</v>
      </c>
      <c r="I1445" s="68">
        <v>44968</v>
      </c>
      <c r="J1445" s="35" t="s">
        <v>1542</v>
      </c>
      <c r="K1445" s="21">
        <v>-327731</v>
      </c>
      <c r="L1445" s="21"/>
      <c r="M1445" s="22">
        <f>(PROVEEDORES[[#This Row],[SUBTOTAL]]-PROVEEDORES[[#This Row],[descuento sobre subtotal]])*VLOOKUP(PROVEEDORES[[#This Row],[PROVEEDOR]],TERCEROS_INFO[#All],3,FALSE)</f>
        <v>-62268.89</v>
      </c>
      <c r="N1445" s="23"/>
      <c r="O1445" s="22">
        <f>+PROVEEDORES[[#This Row],[Descuento sobre subtotal %]]*(PROVEEDORES[[#This Row],[SUBTOTAL]]-PROVEEDORES[[#This Row],[descuento sobre subtotal]])</f>
        <v>0</v>
      </c>
      <c r="P1445" s="74">
        <f>+IF(PROVEEDORES[[#This Row],[SUBTOTAL]]&lt;PROVEEDORES[[#This Row],[base retencion]],0,PROVEEDORES[[#This Row],[retención aplicada]])</f>
        <v>0</v>
      </c>
      <c r="Q1445" s="22">
        <f>+PROVEEDORES[[#This Row],[Rete Fuente %]]*(PROVEEDORES[[#This Row],[SUBTOTAL]]-PROVEEDORES[[#This Row],[descuento sobre subtotal]])</f>
        <v>0</v>
      </c>
      <c r="R1445" s="21">
        <f>+PROVEEDORES[[#This Row],[SUBTOTAL]]+PROVEEDORES[[#This Row],[IVA 19%]]-PROVEEDORES[[#This Row],[descuento sobre subtotal]]-PROVEEDORES[[#This Row],[Descuento sobre subtotal $2]]-PROVEEDORES[[#This Row],[Rete Fuente $]]</f>
        <v>-389999.89</v>
      </c>
      <c r="S1445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5" s="63">
        <f ca="1">IF(PROVEEDORES[[#This Row],[FECHA DE PAGO]]=0,TODAY()-PROVEEDORES[[#This Row],[FECHA DE FACTURACIÓN]]-PROVEEDORES[[#This Row],[PLAZO Días]],0)</f>
        <v>0</v>
      </c>
      <c r="U1445" s="104" t="str">
        <f>+VLOOKUP(PROVEEDORES[[#This Row],[PROVEEDOR]],Terceros!$A:$D,4,FALSE)</f>
        <v>2,5% con base</v>
      </c>
      <c r="V1445" s="105">
        <f>+YEAR(PROVEEDORES[[#This Row],[FECHA DE FACTURACIÓN]])</f>
        <v>2023</v>
      </c>
      <c r="W1445" s="105">
        <f>+MATCH(PROVEEDORES[[#This Row],[año facturado]],Retenciones!$1:$1,0)</f>
        <v>6</v>
      </c>
      <c r="X1445" s="106">
        <f>+VLOOKUP(PROVEEDORES[[#This Row],[ID RETENCION]],Retenciones!$A$1:$O$25,PROVEEDORES[[#This Row],[indicador de columna]],FALSE)</f>
        <v>1145000</v>
      </c>
      <c r="Y1445" s="107">
        <f>+VLOOKUP(PROVEEDORES[[#This Row],[ID RETENCION]],Retenciones!$A$1:$O$25,2,FALSE)</f>
        <v>2.5000000000000001E-2</v>
      </c>
      <c r="Z1445" s="116" t="b">
        <f>OR(COUNTIF(PROVEEDORES[[#This Row],[PROVEEDOR]],"*"&amp;'Palabra no opera'!$A$2&amp;"*"))</f>
        <v>0</v>
      </c>
    </row>
    <row r="1446" spans="1:26" ht="22.35" customHeight="1" x14ac:dyDescent="0.3">
      <c r="A1446" s="67" t="str">
        <f>+IF(PROVEEDORES[[#This Row],[FECHA DE PAGO]]=PROVEEDORES[[#This Row],[FECHA DE FACTURACIÓN]],"DE CONTADO","CRÉDITO")</f>
        <v>CRÉDITO</v>
      </c>
      <c r="B1446" s="38" t="str">
        <f>+IF((PROVEEDORES[[#This Row],[FECHA DE PAGO]]-PROVEEDORES[[#This Row],[FECHA DE FACTURACIÓN]])&gt;PROVEEDORES[[#This Row],[PLAZO Días]],"PAGO VENCIDO")</f>
        <v>PAGO VENCIDO</v>
      </c>
      <c r="C1446" s="20">
        <f>+VLOOKUP(PROVEEDORES[[#This Row],[PROVEEDOR]],TERCEROS_INFO[#All],2,FALSE)</f>
        <v>30</v>
      </c>
      <c r="D1446" s="25">
        <f>+SUMIFS(PROVEEDORES[Total],PROVEEDORES[PROVEEDOR],PROVEEDORES[[#This Row],[PROVEEDOR]],PROVEEDORES[FECHA DE PAGO],"")</f>
        <v>17870934.149999999</v>
      </c>
      <c r="E1446" s="25"/>
      <c r="F144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46" s="68">
        <v>45035</v>
      </c>
      <c r="H1446" s="26" t="s">
        <v>18</v>
      </c>
      <c r="I1446" s="68">
        <v>44993</v>
      </c>
      <c r="J1446" s="35" t="s">
        <v>1504</v>
      </c>
      <c r="K1446" s="21">
        <v>1263526</v>
      </c>
      <c r="L1446" s="21"/>
      <c r="M1446" s="22">
        <f>(PROVEEDORES[[#This Row],[SUBTOTAL]]-PROVEEDORES[[#This Row],[descuento sobre subtotal]])*VLOOKUP(PROVEEDORES[[#This Row],[PROVEEDOR]],TERCEROS_INFO[#All],3,FALSE)</f>
        <v>240069.94</v>
      </c>
      <c r="N1446" s="23"/>
      <c r="O1446" s="22">
        <f>+PROVEEDORES[[#This Row],[Descuento sobre subtotal %]]*(PROVEEDORES[[#This Row],[SUBTOTAL]]-PROVEEDORES[[#This Row],[descuento sobre subtotal]])</f>
        <v>0</v>
      </c>
      <c r="P1446" s="74">
        <f>+IF(PROVEEDORES[[#This Row],[SUBTOTAL]]&lt;PROVEEDORES[[#This Row],[base retencion]],0,PROVEEDORES[[#This Row],[retención aplicada]])</f>
        <v>2.5000000000000001E-2</v>
      </c>
      <c r="Q1446" s="22">
        <f>+PROVEEDORES[[#This Row],[Rete Fuente %]]*(PROVEEDORES[[#This Row],[SUBTOTAL]]-PROVEEDORES[[#This Row],[descuento sobre subtotal]])</f>
        <v>31588.15</v>
      </c>
      <c r="R1446" s="21">
        <f>+PROVEEDORES[[#This Row],[SUBTOTAL]]+PROVEEDORES[[#This Row],[IVA 19%]]-PROVEEDORES[[#This Row],[descuento sobre subtotal]]-PROVEEDORES[[#This Row],[Descuento sobre subtotal $2]]-PROVEEDORES[[#This Row],[Rete Fuente $]]</f>
        <v>1472007.79</v>
      </c>
      <c r="S14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6" s="63">
        <f ca="1">IF(PROVEEDORES[[#This Row],[FECHA DE PAGO]]=0,TODAY()-PROVEEDORES[[#This Row],[FECHA DE FACTURACIÓN]]-PROVEEDORES[[#This Row],[PLAZO Días]],0)</f>
        <v>0</v>
      </c>
      <c r="U1446" s="104" t="str">
        <f>+VLOOKUP(PROVEEDORES[[#This Row],[PROVEEDOR]],Terceros!$A:$D,4,FALSE)</f>
        <v>2,5% con base</v>
      </c>
      <c r="V1446" s="105">
        <f>+YEAR(PROVEEDORES[[#This Row],[FECHA DE FACTURACIÓN]])</f>
        <v>2023</v>
      </c>
      <c r="W1446" s="105">
        <f>+MATCH(PROVEEDORES[[#This Row],[año facturado]],Retenciones!$1:$1,0)</f>
        <v>6</v>
      </c>
      <c r="X1446" s="106">
        <f>+VLOOKUP(PROVEEDORES[[#This Row],[ID RETENCION]],Retenciones!$A$1:$O$25,PROVEEDORES[[#This Row],[indicador de columna]],FALSE)</f>
        <v>1145000</v>
      </c>
      <c r="Y1446" s="107">
        <f>+VLOOKUP(PROVEEDORES[[#This Row],[ID RETENCION]],Retenciones!$A$1:$O$25,2,FALSE)</f>
        <v>2.5000000000000001E-2</v>
      </c>
      <c r="Z1446" s="116" t="b">
        <f>OR(COUNTIF(PROVEEDORES[[#This Row],[PROVEEDOR]],"*"&amp;'Palabra no opera'!$A$2&amp;"*"))</f>
        <v>0</v>
      </c>
    </row>
    <row r="1447" spans="1:26" ht="22.35" customHeight="1" x14ac:dyDescent="0.3">
      <c r="A1447" s="67" t="str">
        <f>+IF(PROVEEDORES[[#This Row],[FECHA DE PAGO]]=PROVEEDORES[[#This Row],[FECHA DE FACTURACIÓN]],"DE CONTADO","CRÉDITO")</f>
        <v>CRÉDITO</v>
      </c>
      <c r="B1447" s="38" t="str">
        <f>+IF((PROVEEDORES[[#This Row],[FECHA DE PAGO]]-PROVEEDORES[[#This Row],[FECHA DE FACTURACIÓN]])&gt;PROVEEDORES[[#This Row],[PLAZO Días]],"PAGO VENCIDO")</f>
        <v>PAGO VENCIDO</v>
      </c>
      <c r="C1447" s="20">
        <f>+VLOOKUP(PROVEEDORES[[#This Row],[PROVEEDOR]],TERCEROS_INFO[#All],2,FALSE)</f>
        <v>30</v>
      </c>
      <c r="D1447" s="25">
        <f>+SUMIFS(PROVEEDORES[Total],PROVEEDORES[PROVEEDOR],PROVEEDORES[[#This Row],[PROVEEDOR]],PROVEEDORES[FECHA DE PAGO],"")</f>
        <v>17870934.149999999</v>
      </c>
      <c r="E1447" s="25"/>
      <c r="F144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47" s="68">
        <v>45035</v>
      </c>
      <c r="H1447" s="26" t="s">
        <v>18</v>
      </c>
      <c r="I1447" s="68">
        <v>44998</v>
      </c>
      <c r="J1447" s="35" t="s">
        <v>1502</v>
      </c>
      <c r="K1447" s="21">
        <v>1306660</v>
      </c>
      <c r="L1447" s="21"/>
      <c r="M1447" s="22">
        <f>(PROVEEDORES[[#This Row],[SUBTOTAL]]-PROVEEDORES[[#This Row],[descuento sobre subtotal]])*VLOOKUP(PROVEEDORES[[#This Row],[PROVEEDOR]],TERCEROS_INFO[#All],3,FALSE)</f>
        <v>248265.4</v>
      </c>
      <c r="N1447" s="23"/>
      <c r="O1447" s="22">
        <f>+PROVEEDORES[[#This Row],[Descuento sobre subtotal %]]*(PROVEEDORES[[#This Row],[SUBTOTAL]]-PROVEEDORES[[#This Row],[descuento sobre subtotal]])</f>
        <v>0</v>
      </c>
      <c r="P1447" s="74">
        <f>+IF(PROVEEDORES[[#This Row],[SUBTOTAL]]&lt;PROVEEDORES[[#This Row],[base retencion]],0,PROVEEDORES[[#This Row],[retención aplicada]])</f>
        <v>2.5000000000000001E-2</v>
      </c>
      <c r="Q1447" s="22">
        <f>+PROVEEDORES[[#This Row],[Rete Fuente %]]*(PROVEEDORES[[#This Row],[SUBTOTAL]]-PROVEEDORES[[#This Row],[descuento sobre subtotal]])</f>
        <v>32666.5</v>
      </c>
      <c r="R1447" s="21">
        <f>+PROVEEDORES[[#This Row],[SUBTOTAL]]+PROVEEDORES[[#This Row],[IVA 19%]]-PROVEEDORES[[#This Row],[descuento sobre subtotal]]-PROVEEDORES[[#This Row],[Descuento sobre subtotal $2]]-PROVEEDORES[[#This Row],[Rete Fuente $]]</f>
        <v>1522258.9</v>
      </c>
      <c r="S14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7" s="63">
        <f ca="1">IF(PROVEEDORES[[#This Row],[FECHA DE PAGO]]=0,TODAY()-PROVEEDORES[[#This Row],[FECHA DE FACTURACIÓN]]-PROVEEDORES[[#This Row],[PLAZO Días]],0)</f>
        <v>0</v>
      </c>
      <c r="U1447" s="104" t="str">
        <f>+VLOOKUP(PROVEEDORES[[#This Row],[PROVEEDOR]],Terceros!$A:$D,4,FALSE)</f>
        <v>2,5% con base</v>
      </c>
      <c r="V1447" s="105">
        <f>+YEAR(PROVEEDORES[[#This Row],[FECHA DE FACTURACIÓN]])</f>
        <v>2023</v>
      </c>
      <c r="W1447" s="105">
        <f>+MATCH(PROVEEDORES[[#This Row],[año facturado]],Retenciones!$1:$1,0)</f>
        <v>6</v>
      </c>
      <c r="X1447" s="106">
        <f>+VLOOKUP(PROVEEDORES[[#This Row],[ID RETENCION]],Retenciones!$A$1:$O$25,PROVEEDORES[[#This Row],[indicador de columna]],FALSE)</f>
        <v>1145000</v>
      </c>
      <c r="Y1447" s="107">
        <f>+VLOOKUP(PROVEEDORES[[#This Row],[ID RETENCION]],Retenciones!$A$1:$O$25,2,FALSE)</f>
        <v>2.5000000000000001E-2</v>
      </c>
      <c r="Z1447" s="116" t="b">
        <f>OR(COUNTIF(PROVEEDORES[[#This Row],[PROVEEDOR]],"*"&amp;'Palabra no opera'!$A$2&amp;"*"))</f>
        <v>0</v>
      </c>
    </row>
    <row r="1448" spans="1:26" ht="22.35" customHeight="1" x14ac:dyDescent="0.3">
      <c r="A1448" s="67" t="str">
        <f>+IF(PROVEEDORES[[#This Row],[FECHA DE PAGO]]=PROVEEDORES[[#This Row],[FECHA DE FACTURACIÓN]],"DE CONTADO","CRÉDITO")</f>
        <v>CRÉDITO</v>
      </c>
      <c r="B1448" s="38" t="str">
        <f>+IF((PROVEEDORES[[#This Row],[FECHA DE PAGO]]-PROVEEDORES[[#This Row],[FECHA DE FACTURACIÓN]])&gt;PROVEEDORES[[#This Row],[PLAZO Días]],"PAGO VENCIDO")</f>
        <v>PAGO VENCIDO</v>
      </c>
      <c r="C1448" s="20">
        <f>+VLOOKUP(PROVEEDORES[[#This Row],[PROVEEDOR]],TERCEROS_INFO[#All],2,FALSE)</f>
        <v>30</v>
      </c>
      <c r="D1448" s="25">
        <f>+SUMIFS(PROVEEDORES[Total],PROVEEDORES[PROVEEDOR],PROVEEDORES[[#This Row],[PROVEEDOR]],PROVEEDORES[FECHA DE PAGO],"")</f>
        <v>17870934.149999999</v>
      </c>
      <c r="E1448" s="25"/>
      <c r="F144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48" s="68">
        <v>45035</v>
      </c>
      <c r="H1448" s="26" t="s">
        <v>18</v>
      </c>
      <c r="I1448" s="68">
        <v>44998</v>
      </c>
      <c r="J1448" s="35" t="s">
        <v>1503</v>
      </c>
      <c r="K1448" s="21">
        <v>922647</v>
      </c>
      <c r="L1448" s="21"/>
      <c r="M1448" s="22">
        <f>(PROVEEDORES[[#This Row],[SUBTOTAL]]-PROVEEDORES[[#This Row],[descuento sobre subtotal]])*VLOOKUP(PROVEEDORES[[#This Row],[PROVEEDOR]],TERCEROS_INFO[#All],3,FALSE)</f>
        <v>175302.93</v>
      </c>
      <c r="N1448" s="23"/>
      <c r="O1448" s="22">
        <f>+PROVEEDORES[[#This Row],[Descuento sobre subtotal %]]*(PROVEEDORES[[#This Row],[SUBTOTAL]]-PROVEEDORES[[#This Row],[descuento sobre subtotal]])</f>
        <v>0</v>
      </c>
      <c r="P1448" s="74">
        <f>+IF(PROVEEDORES[[#This Row],[SUBTOTAL]]&lt;PROVEEDORES[[#This Row],[base retencion]],0,PROVEEDORES[[#This Row],[retención aplicada]])</f>
        <v>0</v>
      </c>
      <c r="Q1448" s="22">
        <f>+PROVEEDORES[[#This Row],[Rete Fuente %]]*(PROVEEDORES[[#This Row],[SUBTOTAL]]-PROVEEDORES[[#This Row],[descuento sobre subtotal]])</f>
        <v>0</v>
      </c>
      <c r="R1448" s="21">
        <f>+PROVEEDORES[[#This Row],[SUBTOTAL]]+PROVEEDORES[[#This Row],[IVA 19%]]-PROVEEDORES[[#This Row],[descuento sobre subtotal]]-PROVEEDORES[[#This Row],[Descuento sobre subtotal $2]]-PROVEEDORES[[#This Row],[Rete Fuente $]]</f>
        <v>1097949.93</v>
      </c>
      <c r="S144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8" s="63">
        <f ca="1">IF(PROVEEDORES[[#This Row],[FECHA DE PAGO]]=0,TODAY()-PROVEEDORES[[#This Row],[FECHA DE FACTURACIÓN]]-PROVEEDORES[[#This Row],[PLAZO Días]],0)</f>
        <v>0</v>
      </c>
      <c r="U1448" s="104" t="str">
        <f>+VLOOKUP(PROVEEDORES[[#This Row],[PROVEEDOR]],Terceros!$A:$D,4,FALSE)</f>
        <v>2,5% con base</v>
      </c>
      <c r="V1448" s="105">
        <f>+YEAR(PROVEEDORES[[#This Row],[FECHA DE FACTURACIÓN]])</f>
        <v>2023</v>
      </c>
      <c r="W1448" s="105">
        <f>+MATCH(PROVEEDORES[[#This Row],[año facturado]],Retenciones!$1:$1,0)</f>
        <v>6</v>
      </c>
      <c r="X1448" s="106">
        <f>+VLOOKUP(PROVEEDORES[[#This Row],[ID RETENCION]],Retenciones!$A$1:$O$25,PROVEEDORES[[#This Row],[indicador de columna]],FALSE)</f>
        <v>1145000</v>
      </c>
      <c r="Y1448" s="107">
        <f>+VLOOKUP(PROVEEDORES[[#This Row],[ID RETENCION]],Retenciones!$A$1:$O$25,2,FALSE)</f>
        <v>2.5000000000000001E-2</v>
      </c>
      <c r="Z1448" s="116" t="b">
        <f>OR(COUNTIF(PROVEEDORES[[#This Row],[PROVEEDOR]],"*"&amp;'Palabra no opera'!$A$2&amp;"*"))</f>
        <v>0</v>
      </c>
    </row>
    <row r="1449" spans="1:26" ht="22.35" customHeight="1" x14ac:dyDescent="0.3">
      <c r="A1449" s="67" t="str">
        <f>+IF(PROVEEDORES[[#This Row],[FECHA DE PAGO]]=PROVEEDORES[[#This Row],[FECHA DE FACTURACIÓN]],"DE CONTADO","CRÉDITO")</f>
        <v>CRÉDITO</v>
      </c>
      <c r="B1449" s="38" t="str">
        <f>+IF((PROVEEDORES[[#This Row],[FECHA DE PAGO]]-PROVEEDORES[[#This Row],[FECHA DE FACTURACIÓN]])&gt;PROVEEDORES[[#This Row],[PLAZO Días]],"PAGO VENCIDO")</f>
        <v>PAGO VENCIDO</v>
      </c>
      <c r="C1449" s="20">
        <f>+VLOOKUP(PROVEEDORES[[#This Row],[PROVEEDOR]],TERCEROS_INFO[#All],2,FALSE)</f>
        <v>30</v>
      </c>
      <c r="D1449" s="25">
        <f>+SUMIFS(PROVEEDORES[Total],PROVEEDORES[PROVEEDOR],PROVEEDORES[[#This Row],[PROVEEDOR]],PROVEEDORES[FECHA DE PAGO],"")</f>
        <v>0</v>
      </c>
      <c r="E1449" s="25"/>
      <c r="F1449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49" s="68">
        <v>45035</v>
      </c>
      <c r="H1449" s="26" t="s">
        <v>964</v>
      </c>
      <c r="I1449" s="68">
        <v>44994</v>
      </c>
      <c r="J1449" s="35" t="s">
        <v>1498</v>
      </c>
      <c r="K1449" s="21">
        <v>6944000</v>
      </c>
      <c r="L1449" s="21"/>
      <c r="M1449" s="22">
        <f>(PROVEEDORES[[#This Row],[SUBTOTAL]]-PROVEEDORES[[#This Row],[descuento sobre subtotal]])*VLOOKUP(PROVEEDORES[[#This Row],[PROVEEDOR]],TERCEROS_INFO[#All],3,FALSE)</f>
        <v>1319360</v>
      </c>
      <c r="N1449" s="23"/>
      <c r="O1449" s="22">
        <f>+PROVEEDORES[[#This Row],[Descuento sobre subtotal %]]*(PROVEEDORES[[#This Row],[SUBTOTAL]]-PROVEEDORES[[#This Row],[descuento sobre subtotal]])</f>
        <v>0</v>
      </c>
      <c r="P1449" s="74">
        <f>+IF(PROVEEDORES[[#This Row],[SUBTOTAL]]&lt;PROVEEDORES[[#This Row],[base retencion]],0,PROVEEDORES[[#This Row],[retención aplicada]])</f>
        <v>0</v>
      </c>
      <c r="Q1449" s="22">
        <f>+PROVEEDORES[[#This Row],[Rete Fuente %]]*(PROVEEDORES[[#This Row],[SUBTOTAL]]-PROVEEDORES[[#This Row],[descuento sobre subtotal]])</f>
        <v>0</v>
      </c>
      <c r="R1449" s="21">
        <f>+PROVEEDORES[[#This Row],[SUBTOTAL]]+PROVEEDORES[[#This Row],[IVA 19%]]-PROVEEDORES[[#This Row],[descuento sobre subtotal]]-PROVEEDORES[[#This Row],[Descuento sobre subtotal $2]]-PROVEEDORES[[#This Row],[Rete Fuente $]]</f>
        <v>8263360</v>
      </c>
      <c r="S14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63">
        <f ca="1">IF(PROVEEDORES[[#This Row],[FECHA DE PAGO]]=0,TODAY()-PROVEEDORES[[#This Row],[FECHA DE FACTURACIÓN]]-PROVEEDORES[[#This Row],[PLAZO Días]],0)</f>
        <v>0</v>
      </c>
      <c r="U1449" s="104">
        <f>+VLOOKUP(PROVEEDORES[[#This Row],[PROVEEDOR]],Terceros!$A:$D,4,FALSE)</f>
        <v>0</v>
      </c>
      <c r="V1449" s="105">
        <f>+YEAR(PROVEEDORES[[#This Row],[FECHA DE FACTURACIÓN]])</f>
        <v>2023</v>
      </c>
      <c r="W1449" s="105">
        <f>+MATCH(PROVEEDORES[[#This Row],[año facturado]],Retenciones!$1:$1,0)</f>
        <v>6</v>
      </c>
      <c r="X1449" s="106">
        <f>+VLOOKUP(PROVEEDORES[[#This Row],[ID RETENCION]],Retenciones!$A$1:$O$25,PROVEEDORES[[#This Row],[indicador de columna]],FALSE)</f>
        <v>0</v>
      </c>
      <c r="Y1449" s="107">
        <f>+VLOOKUP(PROVEEDORES[[#This Row],[ID RETENCION]],Retenciones!$A$1:$O$25,2,FALSE)</f>
        <v>0</v>
      </c>
      <c r="Z1449" s="116" t="b">
        <f>OR(COUNTIF(PROVEEDORES[[#This Row],[PROVEEDOR]],"*"&amp;'Palabra no opera'!$A$2&amp;"*"))</f>
        <v>0</v>
      </c>
    </row>
    <row r="1450" spans="1:26" ht="22.35" customHeight="1" x14ac:dyDescent="0.3">
      <c r="A1450" s="67" t="str">
        <f>+IF(PROVEEDORES[[#This Row],[FECHA DE PAGO]]=PROVEEDORES[[#This Row],[FECHA DE FACTURACIÓN]],"DE CONTADO","CRÉDITO")</f>
        <v>CRÉDITO</v>
      </c>
      <c r="B1450" s="38" t="b">
        <f>+IF((PROVEEDORES[[#This Row],[FECHA DE PAGO]]-PROVEEDORES[[#This Row],[FECHA DE FACTURACIÓN]])&gt;PROVEEDORES[[#This Row],[PLAZO Días]],"PAGO VENCIDO")</f>
        <v>0</v>
      </c>
      <c r="C1450" s="20">
        <f>+VLOOKUP(PROVEEDORES[[#This Row],[PROVEEDOR]],TERCEROS_INFO[#All],2,FALSE)</f>
        <v>30</v>
      </c>
      <c r="D1450" s="25">
        <f>+SUMIFS(PROVEEDORES[Total],PROVEEDORES[PROVEEDOR],PROVEEDORES[[#This Row],[PROVEEDOR]],PROVEEDORES[FECHA DE PAGO],"")</f>
        <v>352505.48</v>
      </c>
      <c r="E1450" s="25"/>
      <c r="F1450" s="56" t="str">
        <f>+VLOOKUP(PROVEEDORES[[#This Row],[PROVEEDOR]],
                       Terceros!$A:$F,
                       5,
                       FALSE)</f>
        <v>facturacion@losmolinos.com.co</v>
      </c>
      <c r="G1450" s="68">
        <v>45035</v>
      </c>
      <c r="H1450" s="26" t="s">
        <v>631</v>
      </c>
      <c r="I1450" s="68">
        <v>45017</v>
      </c>
      <c r="J1450" s="35" t="s">
        <v>1588</v>
      </c>
      <c r="K1450" s="21">
        <v>277194</v>
      </c>
      <c r="L1450" s="21"/>
      <c r="M1450" s="22">
        <f>(PROVEEDORES[[#This Row],[SUBTOTAL]]-PROVEEDORES[[#This Row],[descuento sobre subtotal]])*VLOOKUP(PROVEEDORES[[#This Row],[PROVEEDOR]],TERCEROS_INFO[#All],3,FALSE)</f>
        <v>0</v>
      </c>
      <c r="N1450" s="23"/>
      <c r="O1450" s="22">
        <v>8522</v>
      </c>
      <c r="P1450" s="74">
        <f>+IF(PROVEEDORES[[#This Row],[SUBTOTAL]]&lt;PROVEEDORES[[#This Row],[base retencion]],0,PROVEEDORES[[#This Row],[retención aplicada]])</f>
        <v>0</v>
      </c>
      <c r="Q1450" s="22">
        <f>+PROVEEDORES[[#This Row],[Rete Fuente %]]*(PROVEEDORES[[#This Row],[SUBTOTAL]]-PROVEEDORES[[#This Row],[descuento sobre subtotal]])</f>
        <v>0</v>
      </c>
      <c r="R1450" s="21">
        <f>+PROVEEDORES[[#This Row],[SUBTOTAL]]+PROVEEDORES[[#This Row],[IVA 19%]]-PROVEEDORES[[#This Row],[descuento sobre subtotal]]-PROVEEDORES[[#This Row],[Descuento sobre subtotal $2]]-PROVEEDORES[[#This Row],[Rete Fuente $]]</f>
        <v>268672</v>
      </c>
      <c r="S14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63">
        <f ca="1">IF(PROVEEDORES[[#This Row],[FECHA DE PAGO]]=0,TODAY()-PROVEEDORES[[#This Row],[FECHA DE FACTURACIÓN]]-PROVEEDORES[[#This Row],[PLAZO Días]],0)</f>
        <v>0</v>
      </c>
      <c r="U1450" s="104">
        <f>+VLOOKUP(PROVEEDORES[[#This Row],[PROVEEDOR]],Terceros!$A:$D,4,FALSE)</f>
        <v>0</v>
      </c>
      <c r="V1450" s="105">
        <f>+YEAR(PROVEEDORES[[#This Row],[FECHA DE FACTURACIÓN]])</f>
        <v>2023</v>
      </c>
      <c r="W1450" s="105">
        <f>+MATCH(PROVEEDORES[[#This Row],[año facturado]],Retenciones!$1:$1,0)</f>
        <v>6</v>
      </c>
      <c r="X1450" s="106">
        <f>+VLOOKUP(PROVEEDORES[[#This Row],[ID RETENCION]],Retenciones!$A$1:$O$25,PROVEEDORES[[#This Row],[indicador de columna]],FALSE)</f>
        <v>0</v>
      </c>
      <c r="Y1450" s="107">
        <f>+VLOOKUP(PROVEEDORES[[#This Row],[ID RETENCION]],Retenciones!$A$1:$O$25,2,FALSE)</f>
        <v>0</v>
      </c>
      <c r="Z1450" s="116" t="b">
        <f>OR(COUNTIF(PROVEEDORES[[#This Row],[PROVEEDOR]],"*"&amp;'Palabra no opera'!$A$2&amp;"*"))</f>
        <v>1</v>
      </c>
    </row>
    <row r="1451" spans="1:26" ht="22.35" customHeight="1" x14ac:dyDescent="0.3">
      <c r="A1451" s="269" t="str">
        <f>+IF(PROVEEDORES[[#This Row],[FECHA DE PAGO]]=PROVEEDORES[[#This Row],[FECHA DE FACTURACIÓN]],"DE CONTADO","CRÉDITO")</f>
        <v>CRÉDITO</v>
      </c>
      <c r="B1451" s="38" t="str">
        <f>+IF((PROVEEDORES[[#This Row],[FECHA DE PAGO]]-PROVEEDORES[[#This Row],[FECHA DE FACTURACIÓN]])&gt;PROVEEDORES[[#This Row],[PLAZO Días]],"PAGO VENCIDO")</f>
        <v>PAGO VENCIDO</v>
      </c>
      <c r="C1451" s="20">
        <f>+VLOOKUP(PROVEEDORES[[#This Row],[PROVEEDOR]],TERCEROS_INFO[#All],2,FALSE)</f>
        <v>30</v>
      </c>
      <c r="D1451" s="25">
        <f>+SUMIFS(PROVEEDORES[Total],PROVEEDORES[PROVEEDOR],PROVEEDORES[[#This Row],[PROVEEDOR]],PROVEEDORES[FECHA DE PAGO],"")</f>
        <v>27189617.395</v>
      </c>
      <c r="E1451" s="25"/>
      <c r="F1451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1451" s="68">
        <v>45036</v>
      </c>
      <c r="H1451" s="26" t="s">
        <v>77</v>
      </c>
      <c r="I1451" s="68">
        <v>44978</v>
      </c>
      <c r="J1451" s="35" t="s">
        <v>1467</v>
      </c>
      <c r="K1451" s="21">
        <v>1536000</v>
      </c>
      <c r="L1451" s="21"/>
      <c r="M1451" s="22">
        <f>(PROVEEDORES[[#This Row],[SUBTOTAL]]-PROVEEDORES[[#This Row],[descuento sobre subtotal]])*VLOOKUP(PROVEEDORES[[#This Row],[PROVEEDOR]],TERCEROS_INFO[#All],3,FALSE)</f>
        <v>291840</v>
      </c>
      <c r="N1451" s="23"/>
      <c r="O1451" s="22">
        <f>+PROVEEDORES[[#This Row],[Descuento sobre subtotal %]]*(PROVEEDORES[[#This Row],[SUBTOTAL]]-PROVEEDORES[[#This Row],[descuento sobre subtotal]])</f>
        <v>0</v>
      </c>
      <c r="P1451" s="74">
        <f>+IF(PROVEEDORES[[#This Row],[SUBTOTAL]]&lt;PROVEEDORES[[#This Row],[base retencion]],0,PROVEEDORES[[#This Row],[retención aplicada]])</f>
        <v>2.5000000000000001E-2</v>
      </c>
      <c r="Q1451" s="22">
        <f>+PROVEEDORES[[#This Row],[Rete Fuente %]]*(PROVEEDORES[[#This Row],[SUBTOTAL]]-PROVEEDORES[[#This Row],[descuento sobre subtotal]])</f>
        <v>38400</v>
      </c>
      <c r="R1451" s="21">
        <f>+PROVEEDORES[[#This Row],[SUBTOTAL]]+PROVEEDORES[[#This Row],[IVA 19%]]-PROVEEDORES[[#This Row],[descuento sobre subtotal]]-PROVEEDORES[[#This Row],[Descuento sobre subtotal $2]]-PROVEEDORES[[#This Row],[Rete Fuente $]]</f>
        <v>1789440</v>
      </c>
      <c r="S1451" s="27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1" s="63">
        <f ca="1">IF(PROVEEDORES[[#This Row],[FECHA DE PAGO]]=0,TODAY()-PROVEEDORES[[#This Row],[FECHA DE FACTURACIÓN]]-PROVEEDORES[[#This Row],[PLAZO Días]],0)</f>
        <v>0</v>
      </c>
      <c r="U1451" s="104" t="str">
        <f>+VLOOKUP(PROVEEDORES[[#This Row],[PROVEEDOR]],Terceros!$A:$D,4,FALSE)</f>
        <v>2,5% con base</v>
      </c>
      <c r="V1451" s="105">
        <f>+YEAR(PROVEEDORES[[#This Row],[FECHA DE FACTURACIÓN]])</f>
        <v>2023</v>
      </c>
      <c r="W1451" s="105">
        <f>+MATCH(PROVEEDORES[[#This Row],[año facturado]],Retenciones!$1:$1,0)</f>
        <v>6</v>
      </c>
      <c r="X1451" s="106">
        <f>+VLOOKUP(PROVEEDORES[[#This Row],[ID RETENCION]],Retenciones!$A$1:$O$25,PROVEEDORES[[#This Row],[indicador de columna]],FALSE)</f>
        <v>1145000</v>
      </c>
      <c r="Y1451" s="107">
        <f>+VLOOKUP(PROVEEDORES[[#This Row],[ID RETENCION]],Retenciones!$A$1:$O$25,2,FALSE)</f>
        <v>2.5000000000000001E-2</v>
      </c>
      <c r="Z1451" s="116" t="b">
        <f>OR(COUNTIF(PROVEEDORES[[#This Row],[PROVEEDOR]],"*"&amp;'Palabra no opera'!$A$2&amp;"*"))</f>
        <v>0</v>
      </c>
    </row>
    <row r="1452" spans="1:26" ht="22.35" customHeight="1" x14ac:dyDescent="0.3">
      <c r="A1452" s="67" t="str">
        <f>+IF(PROVEEDORES[[#This Row],[FECHA DE PAGO]]=PROVEEDORES[[#This Row],[FECHA DE FACTURACIÓN]],"DE CONTADO","CRÉDITO")</f>
        <v>CRÉDITO</v>
      </c>
      <c r="B1452" s="38" t="str">
        <f>+IF((PROVEEDORES[[#This Row],[FECHA DE PAGO]]-PROVEEDORES[[#This Row],[FECHA DE FACTURACIÓN]])&gt;PROVEEDORES[[#This Row],[PLAZO Días]],"PAGO VENCIDO")</f>
        <v>PAGO VENCIDO</v>
      </c>
      <c r="C1452" s="20">
        <f>+VLOOKUP(PROVEEDORES[[#This Row],[PROVEEDOR]],TERCEROS_INFO[#All],2,FALSE)</f>
        <v>30</v>
      </c>
      <c r="D1452" s="25">
        <f>+SUMIFS(PROVEEDORES[Total],PROVEEDORES[PROVEEDOR],PROVEEDORES[[#This Row],[PROVEEDOR]],PROVEEDORES[FECHA DE PAGO],"")</f>
        <v>27189617.395</v>
      </c>
      <c r="E1452" s="25"/>
      <c r="F1452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1452" s="68">
        <v>45097</v>
      </c>
      <c r="H1452" s="26" t="s">
        <v>77</v>
      </c>
      <c r="I1452" s="68">
        <v>45026</v>
      </c>
      <c r="J1452" s="35" t="s">
        <v>1604</v>
      </c>
      <c r="K1452" s="21">
        <v>1768800</v>
      </c>
      <c r="L1452" s="21"/>
      <c r="M1452" s="22">
        <f>(PROVEEDORES[[#This Row],[SUBTOTAL]]-PROVEEDORES[[#This Row],[descuento sobre subtotal]])*VLOOKUP(PROVEEDORES[[#This Row],[PROVEEDOR]],TERCEROS_INFO[#All],3,FALSE)</f>
        <v>336072</v>
      </c>
      <c r="N1452" s="23"/>
      <c r="O1452" s="22">
        <f>+PROVEEDORES[[#This Row],[Descuento sobre subtotal %]]*(PROVEEDORES[[#This Row],[SUBTOTAL]]-PROVEEDORES[[#This Row],[descuento sobre subtotal]])</f>
        <v>0</v>
      </c>
      <c r="P1452" s="74">
        <f>+IF(PROVEEDORES[[#This Row],[SUBTOTAL]]&lt;PROVEEDORES[[#This Row],[base retencion]],0,PROVEEDORES[[#This Row],[retención aplicada]])</f>
        <v>2.5000000000000001E-2</v>
      </c>
      <c r="Q1452" s="22">
        <f>+PROVEEDORES[[#This Row],[Rete Fuente %]]*(PROVEEDORES[[#This Row],[SUBTOTAL]]-PROVEEDORES[[#This Row],[descuento sobre subtotal]])</f>
        <v>44220</v>
      </c>
      <c r="R1452" s="21">
        <f>+PROVEEDORES[[#This Row],[SUBTOTAL]]+PROVEEDORES[[#This Row],[IVA 19%]]-PROVEEDORES[[#This Row],[descuento sobre subtotal]]-PROVEEDORES[[#This Row],[Descuento sobre subtotal $2]]-PROVEEDORES[[#This Row],[Rete Fuente $]]</f>
        <v>2060652</v>
      </c>
      <c r="S145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63">
        <f ca="1">IF(PROVEEDORES[[#This Row],[FECHA DE PAGO]]=0,TODAY()-PROVEEDORES[[#This Row],[FECHA DE FACTURACIÓN]]-PROVEEDORES[[#This Row],[PLAZO Días]],0)</f>
        <v>0</v>
      </c>
      <c r="U1452" s="104" t="str">
        <f>+VLOOKUP(PROVEEDORES[[#This Row],[PROVEEDOR]],Terceros!$A:$D,4,FALSE)</f>
        <v>2,5% con base</v>
      </c>
      <c r="V1452" s="105">
        <f>+YEAR(PROVEEDORES[[#This Row],[FECHA DE FACTURACIÓN]])</f>
        <v>2023</v>
      </c>
      <c r="W1452" s="105">
        <f>+MATCH(PROVEEDORES[[#This Row],[año facturado]],Retenciones!$1:$1,0)</f>
        <v>6</v>
      </c>
      <c r="X1452" s="106">
        <f>+VLOOKUP(PROVEEDORES[[#This Row],[ID RETENCION]],Retenciones!$A$1:$O$25,PROVEEDORES[[#This Row],[indicador de columna]],FALSE)</f>
        <v>1145000</v>
      </c>
      <c r="Y1452" s="107">
        <f>+VLOOKUP(PROVEEDORES[[#This Row],[ID RETENCION]],Retenciones!$A$1:$O$25,2,FALSE)</f>
        <v>2.5000000000000001E-2</v>
      </c>
      <c r="Z1452" s="116" t="b">
        <f>OR(COUNTIF(PROVEEDORES[[#This Row],[PROVEEDOR]],"*"&amp;'Palabra no opera'!$A$2&amp;"*"))</f>
        <v>0</v>
      </c>
    </row>
    <row r="1453" spans="1:26" ht="22.35" customHeight="1" x14ac:dyDescent="0.3">
      <c r="A1453" s="67" t="str">
        <f>+IF(PROVEEDORES[[#This Row],[FECHA DE PAGO]]=PROVEEDORES[[#This Row],[FECHA DE FACTURACIÓN]],"DE CONTADO","CRÉDITO")</f>
        <v>CRÉDITO</v>
      </c>
      <c r="B1453" s="38" t="str">
        <f>+IF((PROVEEDORES[[#This Row],[FECHA DE PAGO]]-PROVEEDORES[[#This Row],[FECHA DE FACTURACIÓN]])&gt;PROVEEDORES[[#This Row],[PLAZO Días]],"PAGO VENCIDO")</f>
        <v>PAGO VENCIDO</v>
      </c>
      <c r="C1453" s="20">
        <f>+VLOOKUP(PROVEEDORES[[#This Row],[PROVEEDOR]],TERCEROS_INFO[#All],2,FALSE)</f>
        <v>30</v>
      </c>
      <c r="D1453" s="25">
        <f>+SUMIFS(PROVEEDORES[Total],PROVEEDORES[PROVEEDOR],PROVEEDORES[[#This Row],[PROVEEDOR]],PROVEEDORES[FECHA DE PAGO],"")</f>
        <v>0</v>
      </c>
      <c r="E1453" s="25"/>
      <c r="F1453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453" s="68">
        <v>45036</v>
      </c>
      <c r="H1453" s="26" t="s">
        <v>1069</v>
      </c>
      <c r="I1453" s="68">
        <v>44994</v>
      </c>
      <c r="J1453" s="35" t="s">
        <v>1494</v>
      </c>
      <c r="K1453" s="21">
        <v>1487397</v>
      </c>
      <c r="L1453" s="21"/>
      <c r="M1453" s="22">
        <f>(PROVEEDORES[[#This Row],[SUBTOTAL]]-PROVEEDORES[[#This Row],[descuento sobre subtotal]])*VLOOKUP(PROVEEDORES[[#This Row],[PROVEEDOR]],TERCEROS_INFO[#All],3,FALSE)</f>
        <v>282605.43</v>
      </c>
      <c r="N1453" s="23"/>
      <c r="O1453" s="22">
        <f>+PROVEEDORES[[#This Row],[Descuento sobre subtotal %]]*(PROVEEDORES[[#This Row],[SUBTOTAL]]-PROVEEDORES[[#This Row],[descuento sobre subtotal]])</f>
        <v>0</v>
      </c>
      <c r="P1453" s="74">
        <f>+IF(PROVEEDORES[[#This Row],[SUBTOTAL]]&lt;PROVEEDORES[[#This Row],[base retencion]],0,PROVEEDORES[[#This Row],[retención aplicada]])</f>
        <v>2.5000000000000001E-2</v>
      </c>
      <c r="Q1453" s="22">
        <f>+PROVEEDORES[[#This Row],[Rete Fuente %]]*(PROVEEDORES[[#This Row],[SUBTOTAL]]-PROVEEDORES[[#This Row],[descuento sobre subtotal]])</f>
        <v>37184.925000000003</v>
      </c>
      <c r="R1453" s="21">
        <f>+PROVEEDORES[[#This Row],[SUBTOTAL]]+PROVEEDORES[[#This Row],[IVA 19%]]-PROVEEDORES[[#This Row],[descuento sobre subtotal]]-PROVEEDORES[[#This Row],[Descuento sobre subtotal $2]]-PROVEEDORES[[#This Row],[Rete Fuente $]]</f>
        <v>1732817.5049999999</v>
      </c>
      <c r="S14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3" s="63">
        <f ca="1">IF(PROVEEDORES[[#This Row],[FECHA DE PAGO]]=0,TODAY()-PROVEEDORES[[#This Row],[FECHA DE FACTURACIÓN]]-PROVEEDORES[[#This Row],[PLAZO Días]],0)</f>
        <v>0</v>
      </c>
      <c r="U1453" s="104" t="str">
        <f>+VLOOKUP(PROVEEDORES[[#This Row],[PROVEEDOR]],Terceros!$A:$D,4,FALSE)</f>
        <v>2,5% con base</v>
      </c>
      <c r="V1453" s="105">
        <f>+YEAR(PROVEEDORES[[#This Row],[FECHA DE FACTURACIÓN]])</f>
        <v>2023</v>
      </c>
      <c r="W1453" s="105">
        <f>+MATCH(PROVEEDORES[[#This Row],[año facturado]],Retenciones!$1:$1,0)</f>
        <v>6</v>
      </c>
      <c r="X1453" s="106">
        <f>+VLOOKUP(PROVEEDORES[[#This Row],[ID RETENCION]],Retenciones!$A$1:$O$25,PROVEEDORES[[#This Row],[indicador de columna]],FALSE)</f>
        <v>1145000</v>
      </c>
      <c r="Y1453" s="107">
        <f>+VLOOKUP(PROVEEDORES[[#This Row],[ID RETENCION]],Retenciones!$A$1:$O$25,2,FALSE)</f>
        <v>2.5000000000000001E-2</v>
      </c>
      <c r="Z1453" s="116" t="b">
        <f>OR(COUNTIF(PROVEEDORES[[#This Row],[PROVEEDOR]],"*"&amp;'Palabra no opera'!$A$2&amp;"*"))</f>
        <v>0</v>
      </c>
    </row>
    <row r="1454" spans="1:26" ht="22.35" customHeight="1" x14ac:dyDescent="0.3">
      <c r="A1454" s="310" t="str">
        <f>+IF(PROVEEDORES[[#This Row],[FECHA DE PAGO]]=PROVEEDORES[[#This Row],[FECHA DE FACTURACIÓN]],"DE CONTADO","CRÉDITO")</f>
        <v>DE CONTADO</v>
      </c>
      <c r="B1454" s="38" t="b">
        <f>+IF((PROVEEDORES[[#This Row],[FECHA DE PAGO]]-PROVEEDORES[[#This Row],[FECHA DE FACTURACIÓN]])&gt;PROVEEDORES[[#This Row],[PLAZO Días]],"PAGO VENCIDO")</f>
        <v>0</v>
      </c>
      <c r="C1454" s="20">
        <f>+VLOOKUP(PROVEEDORES[[#This Row],[PROVEEDOR]],TERCEROS_INFO[#All],2,FALSE)</f>
        <v>30</v>
      </c>
      <c r="D1454" s="25">
        <f>+SUMIFS(PROVEEDORES[Total],PROVEEDORES[PROVEEDOR],PROVEEDORES[[#This Row],[PROVEEDOR]],PROVEEDORES[FECHA DE PAGO],"")</f>
        <v>0</v>
      </c>
      <c r="E1454" s="25"/>
      <c r="F1454" s="56" t="str">
        <f>+VLOOKUP(PROVEEDORES[[#This Row],[PROVEEDOR]],
                       Terceros!$A:$F,
                       5,
                       FALSE)</f>
        <v/>
      </c>
      <c r="G1454" s="68">
        <v>45038</v>
      </c>
      <c r="H1454" s="26" t="s">
        <v>378</v>
      </c>
      <c r="I1454" s="68">
        <v>45038</v>
      </c>
      <c r="J1454" s="35" t="s">
        <v>1628</v>
      </c>
      <c r="K1454" s="21">
        <v>1070000</v>
      </c>
      <c r="L1454" s="21"/>
      <c r="M1454" s="22">
        <f>(PROVEEDORES[[#This Row],[SUBTOTAL]]-PROVEEDORES[[#This Row],[descuento sobre subtotal]])*VLOOKUP(PROVEEDORES[[#This Row],[PROVEEDOR]],TERCEROS_INFO[#All],3,FALSE)</f>
        <v>0</v>
      </c>
      <c r="N1454" s="23"/>
      <c r="O1454" s="22">
        <f>+PROVEEDORES[[#This Row],[Descuento sobre subtotal %]]*(PROVEEDORES[[#This Row],[SUBTOTAL]]-PROVEEDORES[[#This Row],[descuento sobre subtotal]])</f>
        <v>0</v>
      </c>
      <c r="P1454" s="74">
        <f>+IF(PROVEEDORES[[#This Row],[SUBTOTAL]]&lt;PROVEEDORES[[#This Row],[base retencion]],0,PROVEEDORES[[#This Row],[retención aplicada]])</f>
        <v>0</v>
      </c>
      <c r="Q1454" s="22">
        <f>+PROVEEDORES[[#This Row],[Rete Fuente %]]*(PROVEEDORES[[#This Row],[SUBTOTAL]]-PROVEEDORES[[#This Row],[descuento sobre subtotal]])</f>
        <v>0</v>
      </c>
      <c r="R1454" s="21">
        <f>+PROVEEDORES[[#This Row],[SUBTOTAL]]+PROVEEDORES[[#This Row],[IVA 19%]]-PROVEEDORES[[#This Row],[descuento sobre subtotal]]-PROVEEDORES[[#This Row],[Descuento sobre subtotal $2]]-PROVEEDORES[[#This Row],[Rete Fuente $]]</f>
        <v>1070000</v>
      </c>
      <c r="S1454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4" s="63">
        <f ca="1">IF(PROVEEDORES[[#This Row],[FECHA DE PAGO]]=0,TODAY()-PROVEEDORES[[#This Row],[FECHA DE FACTURACIÓN]]-PROVEEDORES[[#This Row],[PLAZO Días]],0)</f>
        <v>0</v>
      </c>
      <c r="U1454" s="104">
        <f>+VLOOKUP(PROVEEDORES[[#This Row],[PROVEEDOR]],Terceros!$A:$D,4,FALSE)</f>
        <v>0</v>
      </c>
      <c r="V1454" s="105">
        <f>+YEAR(PROVEEDORES[[#This Row],[FECHA DE FACTURACIÓN]])</f>
        <v>2023</v>
      </c>
      <c r="W1454" s="105">
        <f>+MATCH(PROVEEDORES[[#This Row],[año facturado]],Retenciones!$1:$1,0)</f>
        <v>6</v>
      </c>
      <c r="X1454" s="106">
        <f>+VLOOKUP(PROVEEDORES[[#This Row],[ID RETENCION]],Retenciones!$A$1:$O$25,PROVEEDORES[[#This Row],[indicador de columna]],FALSE)</f>
        <v>0</v>
      </c>
      <c r="Y1454" s="107">
        <f>+VLOOKUP(PROVEEDORES[[#This Row],[ID RETENCION]],Retenciones!$A$1:$O$25,2,FALSE)</f>
        <v>0</v>
      </c>
      <c r="Z1454" s="116" t="b">
        <f>OR(COUNTIF(PROVEEDORES[[#This Row],[PROVEEDOR]],"*"&amp;'Palabra no opera'!$A$2&amp;"*"))</f>
        <v>0</v>
      </c>
    </row>
    <row r="1455" spans="1:26" ht="22.35" customHeight="1" x14ac:dyDescent="0.3">
      <c r="A1455" s="67" t="str">
        <f>+IF(PROVEEDORES[[#This Row],[FECHA DE PAGO]]=PROVEEDORES[[#This Row],[FECHA DE FACTURACIÓN]],"DE CONTADO","CRÉDITO")</f>
        <v>CRÉDITO</v>
      </c>
      <c r="B1455" s="38" t="str">
        <f>+IF((PROVEEDORES[[#This Row],[FECHA DE PAGO]]-PROVEEDORES[[#This Row],[FECHA DE FACTURACIÓN]])&gt;PROVEEDORES[[#This Row],[PLAZO Días]],"PAGO VENCIDO")</f>
        <v>PAGO VENCIDO</v>
      </c>
      <c r="C1455" s="20">
        <f>+VLOOKUP(PROVEEDORES[[#This Row],[PROVEEDOR]],TERCEROS_INFO[#All],2,FALSE)</f>
        <v>30</v>
      </c>
      <c r="D1455" s="25">
        <f>+SUMIFS(PROVEEDORES[Total],PROVEEDORES[PROVEEDOR],PROVEEDORES[[#This Row],[PROVEEDOR]],PROVEEDORES[FECHA DE PAGO],"")</f>
        <v>4248480.9550000001</v>
      </c>
      <c r="E1455" s="25"/>
      <c r="F1455" s="56" t="str">
        <f>+VLOOKUP(PROVEEDORES[[#This Row],[PROVEEDOR]],
                       Terceros!$A:$F,
                       5,
                       FALSE)</f>
        <v/>
      </c>
      <c r="G1455" s="68">
        <v>45040</v>
      </c>
      <c r="H1455" s="26" t="s">
        <v>78</v>
      </c>
      <c r="I1455" s="68">
        <v>44988</v>
      </c>
      <c r="J1455" s="35" t="s">
        <v>1592</v>
      </c>
      <c r="K1455" s="21">
        <v>93570</v>
      </c>
      <c r="L1455" s="21"/>
      <c r="M1455" s="22">
        <f>(PROVEEDORES[[#This Row],[SUBTOTAL]]-PROVEEDORES[[#This Row],[descuento sobre subtotal]])*VLOOKUP(PROVEEDORES[[#This Row],[PROVEEDOR]],TERCEROS_INFO[#All],3,FALSE)</f>
        <v>17778.3</v>
      </c>
      <c r="N1455" s="23"/>
      <c r="O1455" s="22">
        <f>+PROVEEDORES[[#This Row],[Descuento sobre subtotal %]]*(PROVEEDORES[[#This Row],[SUBTOTAL]]-PROVEEDORES[[#This Row],[descuento sobre subtotal]])</f>
        <v>0</v>
      </c>
      <c r="P1455" s="74">
        <f>+IF(PROVEEDORES[[#This Row],[SUBTOTAL]]&lt;PROVEEDORES[[#This Row],[base retencion]],0,PROVEEDORES[[#This Row],[retención aplicada]])</f>
        <v>0</v>
      </c>
      <c r="Q1455" s="22">
        <f>+PROVEEDORES[[#This Row],[Rete Fuente %]]*(PROVEEDORES[[#This Row],[SUBTOTAL]]-PROVEEDORES[[#This Row],[descuento sobre subtotal]])</f>
        <v>0</v>
      </c>
      <c r="R1455" s="21">
        <f>+PROVEEDORES[[#This Row],[SUBTOTAL]]+PROVEEDORES[[#This Row],[IVA 19%]]-PROVEEDORES[[#This Row],[descuento sobre subtotal]]-PROVEEDORES[[#This Row],[Descuento sobre subtotal $2]]-PROVEEDORES[[#This Row],[Rete Fuente $]]</f>
        <v>111348.3</v>
      </c>
      <c r="S145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5" s="63">
        <f ca="1">IF(PROVEEDORES[[#This Row],[FECHA DE PAGO]]=0,TODAY()-PROVEEDORES[[#This Row],[FECHA DE FACTURACIÓN]]-PROVEEDORES[[#This Row],[PLAZO Días]],0)</f>
        <v>0</v>
      </c>
      <c r="U1455" s="104" t="str">
        <f>+VLOOKUP(PROVEEDORES[[#This Row],[PROVEEDOR]],Terceros!$A:$D,4,FALSE)</f>
        <v>2,5% con base</v>
      </c>
      <c r="V1455" s="105">
        <f>+YEAR(PROVEEDORES[[#This Row],[FECHA DE FACTURACIÓN]])</f>
        <v>2023</v>
      </c>
      <c r="W1455" s="105">
        <f>+MATCH(PROVEEDORES[[#This Row],[año facturado]],Retenciones!$1:$1,0)</f>
        <v>6</v>
      </c>
      <c r="X1455" s="106">
        <f>+VLOOKUP(PROVEEDORES[[#This Row],[ID RETENCION]],Retenciones!$A$1:$O$25,PROVEEDORES[[#This Row],[indicador de columna]],FALSE)</f>
        <v>1145000</v>
      </c>
      <c r="Y1455" s="107">
        <f>+VLOOKUP(PROVEEDORES[[#This Row],[ID RETENCION]],Retenciones!$A$1:$O$25,2,FALSE)</f>
        <v>2.5000000000000001E-2</v>
      </c>
      <c r="Z1455" s="116" t="b">
        <f>OR(COUNTIF(PROVEEDORES[[#This Row],[PROVEEDOR]],"*"&amp;'Palabra no opera'!$A$2&amp;"*"))</f>
        <v>0</v>
      </c>
    </row>
    <row r="1456" spans="1:26" ht="22.35" customHeight="1" x14ac:dyDescent="0.3">
      <c r="A1456" s="67" t="str">
        <f>+IF(PROVEEDORES[[#This Row],[FECHA DE PAGO]]=PROVEEDORES[[#This Row],[FECHA DE FACTURACIÓN]],"DE CONTADO","CRÉDITO")</f>
        <v>CRÉDITO</v>
      </c>
      <c r="B1456" s="38" t="str">
        <f>+IF((PROVEEDORES[[#This Row],[FECHA DE PAGO]]-PROVEEDORES[[#This Row],[FECHA DE FACTURACIÓN]])&gt;PROVEEDORES[[#This Row],[PLAZO Días]],"PAGO VENCIDO")</f>
        <v>PAGO VENCIDO</v>
      </c>
      <c r="C1456" s="20">
        <f>+VLOOKUP(PROVEEDORES[[#This Row],[PROVEEDOR]],TERCEROS_INFO[#All],2,FALSE)</f>
        <v>30</v>
      </c>
      <c r="D1456" s="25">
        <f>+SUMIFS(PROVEEDORES[Total],PROVEEDORES[PROVEEDOR],PROVEEDORES[[#This Row],[PROVEEDOR]],PROVEEDORES[FECHA DE PAGO],"")</f>
        <v>4248480.9550000001</v>
      </c>
      <c r="E1456" s="25"/>
      <c r="F1456" s="56" t="str">
        <f>+VLOOKUP(PROVEEDORES[[#This Row],[PROVEEDOR]],
                       Terceros!$A:$F,
                       5,
                       FALSE)</f>
        <v/>
      </c>
      <c r="G1456" s="68">
        <v>45040</v>
      </c>
      <c r="H1456" s="26" t="s">
        <v>78</v>
      </c>
      <c r="I1456" s="68">
        <v>45006</v>
      </c>
      <c r="J1456" s="35" t="s">
        <v>1596</v>
      </c>
      <c r="K1456" s="21">
        <v>2780070</v>
      </c>
      <c r="L1456" s="21"/>
      <c r="M1456" s="22">
        <f>(PROVEEDORES[[#This Row],[SUBTOTAL]]-PROVEEDORES[[#This Row],[descuento sobre subtotal]])*VLOOKUP(PROVEEDORES[[#This Row],[PROVEEDOR]],TERCEROS_INFO[#All],3,FALSE)</f>
        <v>528213.30000000005</v>
      </c>
      <c r="N1456" s="23"/>
      <c r="O1456" s="22">
        <f>+PROVEEDORES[[#This Row],[Descuento sobre subtotal %]]*(PROVEEDORES[[#This Row],[SUBTOTAL]]-PROVEEDORES[[#This Row],[descuento sobre subtotal]])</f>
        <v>0</v>
      </c>
      <c r="P1456" s="74">
        <f>+IF(PROVEEDORES[[#This Row],[SUBTOTAL]]&lt;PROVEEDORES[[#This Row],[base retencion]],0,PROVEEDORES[[#This Row],[retención aplicada]])</f>
        <v>2.5000000000000001E-2</v>
      </c>
      <c r="Q1456" s="22">
        <f>+PROVEEDORES[[#This Row],[Rete Fuente %]]*(PROVEEDORES[[#This Row],[SUBTOTAL]]-PROVEEDORES[[#This Row],[descuento sobre subtotal]])</f>
        <v>69501.75</v>
      </c>
      <c r="R1456" s="21">
        <f>+PROVEEDORES[[#This Row],[SUBTOTAL]]+PROVEEDORES[[#This Row],[IVA 19%]]-PROVEEDORES[[#This Row],[descuento sobre subtotal]]-PROVEEDORES[[#This Row],[Descuento sobre subtotal $2]]-PROVEEDORES[[#This Row],[Rete Fuente $]]</f>
        <v>3238781.55</v>
      </c>
      <c r="S14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6" s="63">
        <f ca="1">IF(PROVEEDORES[[#This Row],[FECHA DE PAGO]]=0,TODAY()-PROVEEDORES[[#This Row],[FECHA DE FACTURACIÓN]]-PROVEEDORES[[#This Row],[PLAZO Días]],0)</f>
        <v>0</v>
      </c>
      <c r="U1456" s="104" t="str">
        <f>+VLOOKUP(PROVEEDORES[[#This Row],[PROVEEDOR]],Terceros!$A:$D,4,FALSE)</f>
        <v>2,5% con base</v>
      </c>
      <c r="V1456" s="105">
        <f>+YEAR(PROVEEDORES[[#This Row],[FECHA DE FACTURACIÓN]])</f>
        <v>2023</v>
      </c>
      <c r="W1456" s="105">
        <f>+MATCH(PROVEEDORES[[#This Row],[año facturado]],Retenciones!$1:$1,0)</f>
        <v>6</v>
      </c>
      <c r="X1456" s="106">
        <f>+VLOOKUP(PROVEEDORES[[#This Row],[ID RETENCION]],Retenciones!$A$1:$O$25,PROVEEDORES[[#This Row],[indicador de columna]],FALSE)</f>
        <v>1145000</v>
      </c>
      <c r="Y1456" s="107">
        <f>+VLOOKUP(PROVEEDORES[[#This Row],[ID RETENCION]],Retenciones!$A$1:$O$25,2,FALSE)</f>
        <v>2.5000000000000001E-2</v>
      </c>
      <c r="Z1456" s="116" t="b">
        <f>OR(COUNTIF(PROVEEDORES[[#This Row],[PROVEEDOR]],"*"&amp;'Palabra no opera'!$A$2&amp;"*"))</f>
        <v>0</v>
      </c>
    </row>
    <row r="1457" spans="1:26" ht="22.35" customHeight="1" x14ac:dyDescent="0.3">
      <c r="A1457" s="67" t="str">
        <f>+IF(PROVEEDORES[[#This Row],[FECHA DE PAGO]]=PROVEEDORES[[#This Row],[FECHA DE FACTURACIÓN]],"DE CONTADO","CRÉDITO")</f>
        <v>CRÉDITO</v>
      </c>
      <c r="B1457" s="38" t="b">
        <f>+IF((PROVEEDORES[[#This Row],[FECHA DE PAGO]]-PROVEEDORES[[#This Row],[FECHA DE FACTURACIÓN]])&gt;PROVEEDORES[[#This Row],[PLAZO Días]],"PAGO VENCIDO")</f>
        <v>0</v>
      </c>
      <c r="C1457" s="20">
        <f>+VLOOKUP(PROVEEDORES[[#This Row],[PROVEEDOR]],TERCEROS_INFO[#All],2,FALSE)</f>
        <v>30</v>
      </c>
      <c r="D1457" s="25">
        <f>+SUMIFS(PROVEEDORES[Total],PROVEEDORES[PROVEEDOR],PROVEEDORES[[#This Row],[PROVEEDOR]],PROVEEDORES[FECHA DE PAGO],"")</f>
        <v>0</v>
      </c>
      <c r="E1457" s="25"/>
      <c r="F1457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457" s="68">
        <v>45041</v>
      </c>
      <c r="H1457" s="26" t="s">
        <v>635</v>
      </c>
      <c r="I1457" s="68">
        <v>45034</v>
      </c>
      <c r="J1457" s="35" t="s">
        <v>1620</v>
      </c>
      <c r="K1457" s="21">
        <v>3456200</v>
      </c>
      <c r="L1457" s="21"/>
      <c r="M1457" s="22">
        <f>(PROVEEDORES[[#This Row],[SUBTOTAL]]-PROVEEDORES[[#This Row],[descuento sobre subtotal]])*VLOOKUP(PROVEEDORES[[#This Row],[PROVEEDOR]],TERCEROS_INFO[#All],3,FALSE)</f>
        <v>0</v>
      </c>
      <c r="N1457" s="23"/>
      <c r="O1457" s="22">
        <f>+PROVEEDORES[[#This Row],[Descuento sobre subtotal %]]*(PROVEEDORES[[#This Row],[SUBTOTAL]]-PROVEEDORES[[#This Row],[descuento sobre subtotal]])</f>
        <v>0</v>
      </c>
      <c r="P1457" s="74">
        <f>+IF(PROVEEDORES[[#This Row],[SUBTOTAL]]&lt;PROVEEDORES[[#This Row],[base retencion]],0,PROVEEDORES[[#This Row],[retención aplicada]])</f>
        <v>3.5000000000000003E-2</v>
      </c>
      <c r="Q1457" s="22">
        <f>+PROVEEDORES[[#This Row],[Rete Fuente %]]*(PROVEEDORES[[#This Row],[SUBTOTAL]]-PROVEEDORES[[#This Row],[descuento sobre subtotal]])</f>
        <v>120967.00000000001</v>
      </c>
      <c r="R1457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14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7" s="63">
        <f ca="1">IF(PROVEEDORES[[#This Row],[FECHA DE PAGO]]=0,TODAY()-PROVEEDORES[[#This Row],[FECHA DE FACTURACIÓN]]-PROVEEDORES[[#This Row],[PLAZO Días]],0)</f>
        <v>0</v>
      </c>
      <c r="U1457" s="104" t="str">
        <f>+VLOOKUP(PROVEEDORES[[#This Row],[PROVEEDOR]],Terceros!$A:$D,4,FALSE)</f>
        <v>3,5% sin base</v>
      </c>
      <c r="V1457" s="105">
        <f>+YEAR(PROVEEDORES[[#This Row],[FECHA DE FACTURACIÓN]])</f>
        <v>2023</v>
      </c>
      <c r="W1457" s="105">
        <f>+MATCH(PROVEEDORES[[#This Row],[año facturado]],Retenciones!$1:$1,0)</f>
        <v>6</v>
      </c>
      <c r="X1457" s="106">
        <f>+VLOOKUP(PROVEEDORES[[#This Row],[ID RETENCION]],Retenciones!$A$1:$O$25,PROVEEDORES[[#This Row],[indicador de columna]],FALSE)</f>
        <v>0</v>
      </c>
      <c r="Y1457" s="107">
        <f>+VLOOKUP(PROVEEDORES[[#This Row],[ID RETENCION]],Retenciones!$A$1:$O$25,2,FALSE)</f>
        <v>3.5000000000000003E-2</v>
      </c>
      <c r="Z1457" s="116" t="b">
        <f>OR(COUNTIF(PROVEEDORES[[#This Row],[PROVEEDOR]],"*"&amp;'Palabra no opera'!$A$2&amp;"*"))</f>
        <v>1</v>
      </c>
    </row>
    <row r="1458" spans="1:26" ht="22.35" customHeight="1" x14ac:dyDescent="0.3">
      <c r="A1458" s="310" t="str">
        <f>+IF(PROVEEDORES[[#This Row],[FECHA DE PAGO]]=PROVEEDORES[[#This Row],[FECHA DE FACTURACIÓN]],"DE CONTADO","CRÉDITO")</f>
        <v>CRÉDITO</v>
      </c>
      <c r="B1458" s="38" t="b">
        <f>+IF((PROVEEDORES[[#This Row],[FECHA DE PAGO]]-PROVEEDORES[[#This Row],[FECHA DE FACTURACIÓN]])&gt;PROVEEDORES[[#This Row],[PLAZO Días]],"PAGO VENCIDO")</f>
        <v>0</v>
      </c>
      <c r="C1458" s="20">
        <f>+VLOOKUP(PROVEEDORES[[#This Row],[PROVEEDOR]],TERCEROS_INFO[#All],2,FALSE)</f>
        <v>30</v>
      </c>
      <c r="D1458" s="25">
        <f>+SUMIFS(PROVEEDORES[Total],PROVEEDORES[PROVEEDOR],PROVEEDORES[[#This Row],[PROVEEDOR]],PROVEEDORES[FECHA DE PAGO],"")</f>
        <v>0</v>
      </c>
      <c r="E1458" s="25"/>
      <c r="F1458" s="56" t="str">
        <f>+VLOOKUP(PROVEEDORES[[#This Row],[PROVEEDOR]],
                       Terceros!$A:$F,
                       5,
                       FALSE)</f>
        <v/>
      </c>
      <c r="G1458" s="68">
        <v>45043</v>
      </c>
      <c r="H1458" s="26" t="s">
        <v>356</v>
      </c>
      <c r="I1458" s="68">
        <v>45042</v>
      </c>
      <c r="J1458" s="35" t="s">
        <v>1623</v>
      </c>
      <c r="K1458" s="21">
        <v>3656000</v>
      </c>
      <c r="L1458" s="21"/>
      <c r="M1458" s="22">
        <f>(PROVEEDORES[[#This Row],[SUBTOTAL]]-PROVEEDORES[[#This Row],[descuento sobre subtotal]])*VLOOKUP(PROVEEDORES[[#This Row],[PROVEEDOR]],TERCEROS_INFO[#All],3,FALSE)</f>
        <v>0</v>
      </c>
      <c r="N1458" s="23"/>
      <c r="O1458" s="22">
        <f>+PROVEEDORES[[#This Row],[Descuento sobre subtotal %]]*(PROVEEDORES[[#This Row],[SUBTOTAL]]-PROVEEDORES[[#This Row],[descuento sobre subtotal]])</f>
        <v>0</v>
      </c>
      <c r="P1458" s="74">
        <f>+IF(PROVEEDORES[[#This Row],[SUBTOTAL]]&lt;PROVEEDORES[[#This Row],[base retencion]],0,PROVEEDORES[[#This Row],[retención aplicada]])</f>
        <v>0</v>
      </c>
      <c r="Q1458" s="22">
        <f>+PROVEEDORES[[#This Row],[Rete Fuente %]]*(PROVEEDORES[[#This Row],[SUBTOTAL]]-PROVEEDORES[[#This Row],[descuento sobre subtotal]])</f>
        <v>0</v>
      </c>
      <c r="R1458" s="21">
        <f>+PROVEEDORES[[#This Row],[SUBTOTAL]]+PROVEEDORES[[#This Row],[IVA 19%]]-PROVEEDORES[[#This Row],[descuento sobre subtotal]]-PROVEEDORES[[#This Row],[Descuento sobre subtotal $2]]-PROVEEDORES[[#This Row],[Rete Fuente $]]</f>
        <v>3656000</v>
      </c>
      <c r="S145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8" s="63">
        <f ca="1">IF(PROVEEDORES[[#This Row],[FECHA DE PAGO]]=0,TODAY()-PROVEEDORES[[#This Row],[FECHA DE FACTURACIÓN]]-PROVEEDORES[[#This Row],[PLAZO Días]],0)</f>
        <v>0</v>
      </c>
      <c r="U1458" s="104">
        <f>+VLOOKUP(PROVEEDORES[[#This Row],[PROVEEDOR]],Terceros!$A:$D,4,FALSE)</f>
        <v>0</v>
      </c>
      <c r="V1458" s="105">
        <f>+YEAR(PROVEEDORES[[#This Row],[FECHA DE FACTURACIÓN]])</f>
        <v>2023</v>
      </c>
      <c r="W1458" s="105">
        <f>+MATCH(PROVEEDORES[[#This Row],[año facturado]],Retenciones!$1:$1,0)</f>
        <v>6</v>
      </c>
      <c r="X1458" s="106">
        <f>+VLOOKUP(PROVEEDORES[[#This Row],[ID RETENCION]],Retenciones!$A$1:$O$25,PROVEEDORES[[#This Row],[indicador de columna]],FALSE)</f>
        <v>0</v>
      </c>
      <c r="Y1458" s="107">
        <f>+VLOOKUP(PROVEEDORES[[#This Row],[ID RETENCION]],Retenciones!$A$1:$O$25,2,FALSE)</f>
        <v>0</v>
      </c>
      <c r="Z1458" s="116" t="b">
        <f>OR(COUNTIF(PROVEEDORES[[#This Row],[PROVEEDOR]],"*"&amp;'Palabra no opera'!$A$2&amp;"*"))</f>
        <v>0</v>
      </c>
    </row>
    <row r="1459" spans="1:26" ht="22.35" customHeight="1" x14ac:dyDescent="0.3">
      <c r="A1459" s="67" t="str">
        <f>+IF(PROVEEDORES[[#This Row],[FECHA DE PAGO]]=PROVEEDORES[[#This Row],[FECHA DE FACTURACIÓN]],"DE CONTADO","CRÉDITO")</f>
        <v>CRÉDITO</v>
      </c>
      <c r="B1459" s="38" t="str">
        <f>+IF((PROVEEDORES[[#This Row],[FECHA DE PAGO]]-PROVEEDORES[[#This Row],[FECHA DE FACTURACIÓN]])&gt;PROVEEDORES[[#This Row],[PLAZO Días]],"PAGO VENCIDO")</f>
        <v>PAGO VENCIDO</v>
      </c>
      <c r="C1459" s="20">
        <f>+VLOOKUP(PROVEEDORES[[#This Row],[PROVEEDOR]],TERCEROS_INFO[#All],2,FALSE)</f>
        <v>30</v>
      </c>
      <c r="D1459" s="25">
        <f>+SUMIFS(PROVEEDORES[Total],PROVEEDORES[PROVEEDOR],PROVEEDORES[[#This Row],[PROVEEDOR]],PROVEEDORES[FECHA DE PAGO],"")</f>
        <v>2773899.95</v>
      </c>
      <c r="E1459" s="25"/>
      <c r="F1459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59" s="68">
        <v>45044</v>
      </c>
      <c r="H1459" s="26" t="s">
        <v>20</v>
      </c>
      <c r="I1459" s="68">
        <v>44999</v>
      </c>
      <c r="J1459" s="35" t="s">
        <v>1509</v>
      </c>
      <c r="K1459" s="21">
        <v>1312210</v>
      </c>
      <c r="L1459" s="21"/>
      <c r="M1459" s="22">
        <f>(PROVEEDORES[[#This Row],[SUBTOTAL]]-PROVEEDORES[[#This Row],[descuento sobre subtotal]])*VLOOKUP(PROVEEDORES[[#This Row],[PROVEEDOR]],TERCEROS_INFO[#All],3,FALSE)</f>
        <v>249319.9</v>
      </c>
      <c r="N1459" s="23"/>
      <c r="O1459" s="22">
        <f>+PROVEEDORES[[#This Row],[Descuento sobre subtotal %]]*(PROVEEDORES[[#This Row],[SUBTOTAL]]-PROVEEDORES[[#This Row],[descuento sobre subtotal]])</f>
        <v>0</v>
      </c>
      <c r="P1459" s="74">
        <f>+IF(PROVEEDORES[[#This Row],[SUBTOTAL]]&lt;PROVEEDORES[[#This Row],[base retencion]],0,PROVEEDORES[[#This Row],[retención aplicada]])</f>
        <v>2.5000000000000001E-2</v>
      </c>
      <c r="Q1459" s="22">
        <f>+PROVEEDORES[[#This Row],[Rete Fuente %]]*(PROVEEDORES[[#This Row],[SUBTOTAL]]-PROVEEDORES[[#This Row],[descuento sobre subtotal]])</f>
        <v>32805.25</v>
      </c>
      <c r="R1459" s="21">
        <f>+PROVEEDORES[[#This Row],[SUBTOTAL]]+PROVEEDORES[[#This Row],[IVA 19%]]-PROVEEDORES[[#This Row],[descuento sobre subtotal]]-PROVEEDORES[[#This Row],[Descuento sobre subtotal $2]]-PROVEEDORES[[#This Row],[Rete Fuente $]]</f>
        <v>1528724.65</v>
      </c>
      <c r="S14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9" s="63">
        <f ca="1">IF(PROVEEDORES[[#This Row],[FECHA DE PAGO]]=0,TODAY()-PROVEEDORES[[#This Row],[FECHA DE FACTURACIÓN]]-PROVEEDORES[[#This Row],[PLAZO Días]],0)</f>
        <v>0</v>
      </c>
      <c r="U1459" s="104" t="str">
        <f>+VLOOKUP(PROVEEDORES[[#This Row],[PROVEEDOR]],Terceros!$A:$D,4,FALSE)</f>
        <v>2,5% con base</v>
      </c>
      <c r="V1459" s="105">
        <f>+YEAR(PROVEEDORES[[#This Row],[FECHA DE FACTURACIÓN]])</f>
        <v>2023</v>
      </c>
      <c r="W1459" s="105">
        <f>+MATCH(PROVEEDORES[[#This Row],[año facturado]],Retenciones!$1:$1,0)</f>
        <v>6</v>
      </c>
      <c r="X1459" s="106">
        <f>+VLOOKUP(PROVEEDORES[[#This Row],[ID RETENCION]],Retenciones!$A$1:$O$25,PROVEEDORES[[#This Row],[indicador de columna]],FALSE)</f>
        <v>1145000</v>
      </c>
      <c r="Y1459" s="107">
        <f>+VLOOKUP(PROVEEDORES[[#This Row],[ID RETENCION]],Retenciones!$A$1:$O$25,2,FALSE)</f>
        <v>2.5000000000000001E-2</v>
      </c>
      <c r="Z1459" s="116" t="b">
        <f>OR(COUNTIF(PROVEEDORES[[#This Row],[PROVEEDOR]],"*"&amp;'Palabra no opera'!$A$2&amp;"*"))</f>
        <v>0</v>
      </c>
    </row>
    <row r="1460" spans="1:26" ht="22.35" customHeight="1" x14ac:dyDescent="0.3">
      <c r="A1460" s="67" t="str">
        <f>+IF(PROVEEDORES[[#This Row],[FECHA DE PAGO]]=PROVEEDORES[[#This Row],[FECHA DE FACTURACIÓN]],"DE CONTADO","CRÉDITO")</f>
        <v>CRÉDITO</v>
      </c>
      <c r="B1460" s="38" t="str">
        <f>+IF((PROVEEDORES[[#This Row],[FECHA DE PAGO]]-PROVEEDORES[[#This Row],[FECHA DE FACTURACIÓN]])&gt;PROVEEDORES[[#This Row],[PLAZO Días]],"PAGO VENCIDO")</f>
        <v>PAGO VENCIDO</v>
      </c>
      <c r="C1460" s="20">
        <f>+VLOOKUP(PROVEEDORES[[#This Row],[PROVEEDOR]],TERCEROS_INFO[#All],2,FALSE)</f>
        <v>30</v>
      </c>
      <c r="D1460" s="25">
        <f>+SUMIFS(PROVEEDORES[Total],PROVEEDORES[PROVEEDOR],PROVEEDORES[[#This Row],[PROVEEDOR]],PROVEEDORES[FECHA DE PAGO],"")</f>
        <v>0</v>
      </c>
      <c r="E1460" s="25"/>
      <c r="F1460" s="56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460" s="68">
        <v>45044</v>
      </c>
      <c r="H1460" s="26" t="s">
        <v>49</v>
      </c>
      <c r="I1460" s="68">
        <v>44999</v>
      </c>
      <c r="J1460" s="35" t="s">
        <v>1593</v>
      </c>
      <c r="K1460" s="21">
        <v>563025</v>
      </c>
      <c r="L1460" s="21"/>
      <c r="M1460" s="22">
        <f>(PROVEEDORES[[#This Row],[SUBTOTAL]]-PROVEEDORES[[#This Row],[descuento sobre subtotal]])*VLOOKUP(PROVEEDORES[[#This Row],[PROVEEDOR]],TERCEROS_INFO[#All],3,FALSE)</f>
        <v>106974.75</v>
      </c>
      <c r="N1460" s="23"/>
      <c r="O1460" s="22">
        <f>+PROVEEDORES[[#This Row],[Descuento sobre subtotal %]]*(PROVEEDORES[[#This Row],[SUBTOTAL]]-PROVEEDORES[[#This Row],[descuento sobre subtotal]])</f>
        <v>0</v>
      </c>
      <c r="P1460" s="74">
        <f>+IF(PROVEEDORES[[#This Row],[SUBTOTAL]]&lt;PROVEEDORES[[#This Row],[base retencion]],0,PROVEEDORES[[#This Row],[retención aplicada]])</f>
        <v>0</v>
      </c>
      <c r="Q1460" s="22">
        <f>+PROVEEDORES[[#This Row],[Rete Fuente %]]*(PROVEEDORES[[#This Row],[SUBTOTAL]]-PROVEEDORES[[#This Row],[descuento sobre subtotal]])</f>
        <v>0</v>
      </c>
      <c r="R1460" s="21">
        <f>+PROVEEDORES[[#This Row],[SUBTOTAL]]+PROVEEDORES[[#This Row],[IVA 19%]]-PROVEEDORES[[#This Row],[descuento sobre subtotal]]-PROVEEDORES[[#This Row],[Descuento sobre subtotal $2]]-PROVEEDORES[[#This Row],[Rete Fuente $]]</f>
        <v>669999.75</v>
      </c>
      <c r="S146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0" s="63">
        <f ca="1">IF(PROVEEDORES[[#This Row],[FECHA DE PAGO]]=0,TODAY()-PROVEEDORES[[#This Row],[FECHA DE FACTURACIÓN]]-PROVEEDORES[[#This Row],[PLAZO Días]],0)</f>
        <v>0</v>
      </c>
      <c r="U1460" s="104" t="str">
        <f>+VLOOKUP(PROVEEDORES[[#This Row],[PROVEEDOR]],Terceros!$A:$D,4,FALSE)</f>
        <v>2,5% con base</v>
      </c>
      <c r="V1460" s="105">
        <f>+YEAR(PROVEEDORES[[#This Row],[FECHA DE FACTURACIÓN]])</f>
        <v>2023</v>
      </c>
      <c r="W1460" s="105">
        <f>+MATCH(PROVEEDORES[[#This Row],[año facturado]],Retenciones!$1:$1,0)</f>
        <v>6</v>
      </c>
      <c r="X1460" s="106">
        <f>+VLOOKUP(PROVEEDORES[[#This Row],[ID RETENCION]],Retenciones!$A$1:$O$25,PROVEEDORES[[#This Row],[indicador de columna]],FALSE)</f>
        <v>1145000</v>
      </c>
      <c r="Y1460" s="107">
        <f>+VLOOKUP(PROVEEDORES[[#This Row],[ID RETENCION]],Retenciones!$A$1:$O$25,2,FALSE)</f>
        <v>2.5000000000000001E-2</v>
      </c>
      <c r="Z1460" s="116" t="b">
        <f>OR(COUNTIF(PROVEEDORES[[#This Row],[PROVEEDOR]],"*"&amp;'Palabra no opera'!$A$2&amp;"*"))</f>
        <v>0</v>
      </c>
    </row>
    <row r="1461" spans="1:26" ht="22.35" customHeight="1" x14ac:dyDescent="0.3">
      <c r="A1461" s="310" t="str">
        <f>+IF(PROVEEDORES[[#This Row],[FECHA DE PAGO]]=PROVEEDORES[[#This Row],[FECHA DE FACTURACIÓN]],"DE CONTADO","CRÉDITO")</f>
        <v>DE CONTADO</v>
      </c>
      <c r="B1461" s="38" t="b">
        <f>+IF((PROVEEDORES[[#This Row],[FECHA DE PAGO]]-PROVEEDORES[[#This Row],[FECHA DE FACTURACIÓN]])&gt;PROVEEDORES[[#This Row],[PLAZO Días]],"PAGO VENCIDO")</f>
        <v>0</v>
      </c>
      <c r="C1461" s="20">
        <f>+VLOOKUP(PROVEEDORES[[#This Row],[PROVEEDOR]],TERCEROS_INFO[#All],2,FALSE)</f>
        <v>30</v>
      </c>
      <c r="D1461" s="25">
        <f>+SUMIFS(PROVEEDORES[Total],PROVEEDORES[PROVEEDOR],PROVEEDORES[[#This Row],[PROVEEDOR]],PROVEEDORES[FECHA DE PAGO],"")</f>
        <v>0</v>
      </c>
      <c r="E1461" s="25"/>
      <c r="F1461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61" s="68">
        <v>45044</v>
      </c>
      <c r="H1461" s="26" t="s">
        <v>227</v>
      </c>
      <c r="I1461" s="68">
        <v>45044</v>
      </c>
      <c r="J1461" s="35" t="s">
        <v>1672</v>
      </c>
      <c r="K1461" s="21">
        <v>1615000</v>
      </c>
      <c r="L1461" s="21"/>
      <c r="M1461" s="22">
        <f>(PROVEEDORES[[#This Row],[SUBTOTAL]]-PROVEEDORES[[#This Row],[descuento sobre subtotal]])*VLOOKUP(PROVEEDORES[[#This Row],[PROVEEDOR]],TERCEROS_INFO[#All],3,FALSE)</f>
        <v>0</v>
      </c>
      <c r="N1461" s="23"/>
      <c r="O1461" s="22">
        <f>+PROVEEDORES[[#This Row],[Descuento sobre subtotal %]]*(PROVEEDORES[[#This Row],[SUBTOTAL]]-PROVEEDORES[[#This Row],[descuento sobre subtotal]])</f>
        <v>0</v>
      </c>
      <c r="P1461" s="74">
        <f>+IF(PROVEEDORES[[#This Row],[SUBTOTAL]]&lt;PROVEEDORES[[#This Row],[base retencion]],0,PROVEEDORES[[#This Row],[retención aplicada]])</f>
        <v>0</v>
      </c>
      <c r="Q1461" s="22">
        <f>+PROVEEDORES[[#This Row],[Rete Fuente %]]*(PROVEEDORES[[#This Row],[SUBTOTAL]]-PROVEEDORES[[#This Row],[descuento sobre subtotal]])</f>
        <v>0</v>
      </c>
      <c r="R1461" s="21">
        <f>+PROVEEDORES[[#This Row],[SUBTOTAL]]+PROVEEDORES[[#This Row],[IVA 19%]]-PROVEEDORES[[#This Row],[descuento sobre subtotal]]-PROVEEDORES[[#This Row],[Descuento sobre subtotal $2]]-PROVEEDORES[[#This Row],[Rete Fuente $]]</f>
        <v>1615000</v>
      </c>
      <c r="S146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1" s="63">
        <f ca="1">IF(PROVEEDORES[[#This Row],[FECHA DE PAGO]]=0,TODAY()-PROVEEDORES[[#This Row],[FECHA DE FACTURACIÓN]]-PROVEEDORES[[#This Row],[PLAZO Días]],0)</f>
        <v>0</v>
      </c>
      <c r="U1461" s="104">
        <f>+VLOOKUP(PROVEEDORES[[#This Row],[PROVEEDOR]],Terceros!$A:$D,4,FALSE)</f>
        <v>0</v>
      </c>
      <c r="V1461" s="105">
        <f>+YEAR(PROVEEDORES[[#This Row],[FECHA DE FACTURACIÓN]])</f>
        <v>2023</v>
      </c>
      <c r="W1461" s="105">
        <f>+MATCH(PROVEEDORES[[#This Row],[año facturado]],Retenciones!$1:$1,0)</f>
        <v>6</v>
      </c>
      <c r="X1461" s="106">
        <f>+VLOOKUP(PROVEEDORES[[#This Row],[ID RETENCION]],Retenciones!$A$1:$O$25,PROVEEDORES[[#This Row],[indicador de columna]],FALSE)</f>
        <v>0</v>
      </c>
      <c r="Y1461" s="107">
        <f>+VLOOKUP(PROVEEDORES[[#This Row],[ID RETENCION]],Retenciones!$A$1:$O$25,2,FALSE)</f>
        <v>0</v>
      </c>
      <c r="Z1461" s="116" t="b">
        <f>OR(COUNTIF(PROVEEDORES[[#This Row],[PROVEEDOR]],"*"&amp;'Palabra no opera'!$A$2&amp;"*"))</f>
        <v>0</v>
      </c>
    </row>
    <row r="1462" spans="1:26" ht="22.35" customHeight="1" x14ac:dyDescent="0.3">
      <c r="A1462" s="67" t="str">
        <f>+IF(PROVEEDORES[[#This Row],[FECHA DE PAGO]]=PROVEEDORES[[#This Row],[FECHA DE FACTURACIÓN]],"DE CONTADO","CRÉDITO")</f>
        <v>DE CONTADO</v>
      </c>
      <c r="B1462" s="38" t="b">
        <f>+IF((PROVEEDORES[[#This Row],[FECHA DE PAGO]]-PROVEEDORES[[#This Row],[FECHA DE FACTURACIÓN]])&gt;PROVEEDORES[[#This Row],[PLAZO Días]],"PAGO VENCIDO")</f>
        <v>0</v>
      </c>
      <c r="C1462" s="20">
        <f>+VLOOKUP(PROVEEDORES[[#This Row],[PROVEEDOR]],TERCEROS_INFO[#All],2,FALSE)</f>
        <v>30</v>
      </c>
      <c r="D1462" s="25">
        <f>+SUMIFS(PROVEEDORES[Total],PROVEEDORES[PROVEEDOR],PROVEEDORES[[#This Row],[PROVEEDOR]],PROVEEDORES[FECHA DE PAGO],"")</f>
        <v>0</v>
      </c>
      <c r="E1462" s="25"/>
      <c r="F1462" s="56" t="str">
        <f>+VLOOKUP(PROVEEDORES[[#This Row],[PROVEEDOR]],
                       Terceros!$A:$F,
                       5,
                       FALSE)</f>
        <v/>
      </c>
      <c r="G1462" s="68">
        <v>45046</v>
      </c>
      <c r="H1462" s="26" t="s">
        <v>1401</v>
      </c>
      <c r="I1462" s="68">
        <v>45046</v>
      </c>
      <c r="J1462" s="35" t="s">
        <v>1178</v>
      </c>
      <c r="K1462" s="21">
        <v>40000</v>
      </c>
      <c r="L1462" s="21"/>
      <c r="M1462" s="22">
        <f>(PROVEEDORES[[#This Row],[SUBTOTAL]]-PROVEEDORES[[#This Row],[descuento sobre subtotal]])*VLOOKUP(PROVEEDORES[[#This Row],[PROVEEDOR]],TERCEROS_INFO[#All],3,FALSE)</f>
        <v>0</v>
      </c>
      <c r="N1462" s="23"/>
      <c r="O1462" s="22">
        <f>+PROVEEDORES[[#This Row],[Descuento sobre subtotal %]]*(PROVEEDORES[[#This Row],[SUBTOTAL]]-PROVEEDORES[[#This Row],[descuento sobre subtotal]])</f>
        <v>0</v>
      </c>
      <c r="P1462" s="74">
        <f>+IF(PROVEEDORES[[#This Row],[SUBTOTAL]]&lt;PROVEEDORES[[#This Row],[base retencion]],0,PROVEEDORES[[#This Row],[retención aplicada]])</f>
        <v>0</v>
      </c>
      <c r="Q1462" s="22">
        <f>+PROVEEDORES[[#This Row],[Rete Fuente %]]*(PROVEEDORES[[#This Row],[SUBTOTAL]]-PROVEEDORES[[#This Row],[descuento sobre subtotal]])</f>
        <v>0</v>
      </c>
      <c r="R1462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14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2" s="63">
        <f ca="1">IF(PROVEEDORES[[#This Row],[FECHA DE PAGO]]=0,TODAY()-PROVEEDORES[[#This Row],[FECHA DE FACTURACIÓN]]-PROVEEDORES[[#This Row],[PLAZO Días]],0)</f>
        <v>0</v>
      </c>
      <c r="U1462" s="104">
        <f>+VLOOKUP(PROVEEDORES[[#This Row],[PROVEEDOR]],Terceros!$A:$D,4,FALSE)</f>
        <v>0</v>
      </c>
      <c r="V1462" s="105">
        <f>+YEAR(PROVEEDORES[[#This Row],[FECHA DE FACTURACIÓN]])</f>
        <v>2023</v>
      </c>
      <c r="W1462" s="105">
        <f>+MATCH(PROVEEDORES[[#This Row],[año facturado]],Retenciones!$1:$1,0)</f>
        <v>6</v>
      </c>
      <c r="X1462" s="106">
        <f>+VLOOKUP(PROVEEDORES[[#This Row],[ID RETENCION]],Retenciones!$A$1:$O$25,PROVEEDORES[[#This Row],[indicador de columna]],FALSE)</f>
        <v>0</v>
      </c>
      <c r="Y1462" s="107">
        <f>+VLOOKUP(PROVEEDORES[[#This Row],[ID RETENCION]],Retenciones!$A$1:$O$25,2,FALSE)</f>
        <v>0</v>
      </c>
      <c r="Z1462" s="116" t="b">
        <f>OR(COUNTIF(PROVEEDORES[[#This Row],[PROVEEDOR]],"*"&amp;'Palabra no opera'!$A$2&amp;"*"))</f>
        <v>0</v>
      </c>
    </row>
    <row r="1463" spans="1:26" ht="22.35" customHeight="1" x14ac:dyDescent="0.3">
      <c r="A1463" s="67" t="str">
        <f>+IF(PROVEEDORES[[#This Row],[FECHA DE PAGO]]=PROVEEDORES[[#This Row],[FECHA DE FACTURACIÓN]],"DE CONTADO","CRÉDITO")</f>
        <v>DE CONTADO</v>
      </c>
      <c r="B1463" s="38" t="b">
        <f>+IF((PROVEEDORES[[#This Row],[FECHA DE PAGO]]-PROVEEDORES[[#This Row],[FECHA DE FACTURACIÓN]])&gt;PROVEEDORES[[#This Row],[PLAZO Días]],"PAGO VENCIDO")</f>
        <v>0</v>
      </c>
      <c r="C1463" s="20">
        <f>+VLOOKUP(PROVEEDORES[[#This Row],[PROVEEDOR]],TERCEROS_INFO[#All],2,FALSE)</f>
        <v>30</v>
      </c>
      <c r="D1463" s="25">
        <f>+SUMIFS(PROVEEDORES[Total],PROVEEDORES[PROVEEDOR],PROVEEDORES[[#This Row],[PROVEEDOR]],PROVEEDORES[FECHA DE PAGO],"")</f>
        <v>0</v>
      </c>
      <c r="E1463" s="25"/>
      <c r="F1463" s="56" t="str">
        <f>+VLOOKUP(PROVEEDORES[[#This Row],[PROVEEDOR]],
                       Terceros!$A:$F,
                       5,
                       FALSE)</f>
        <v/>
      </c>
      <c r="G1463" s="68">
        <v>45046</v>
      </c>
      <c r="H1463" s="26" t="s">
        <v>1401</v>
      </c>
      <c r="I1463" s="68">
        <v>45046</v>
      </c>
      <c r="J1463" s="35" t="s">
        <v>1177</v>
      </c>
      <c r="K1463" s="21">
        <v>954000</v>
      </c>
      <c r="L1463" s="21"/>
      <c r="M1463" s="22">
        <f>(PROVEEDORES[[#This Row],[SUBTOTAL]]-PROVEEDORES[[#This Row],[descuento sobre subtotal]])*VLOOKUP(PROVEEDORES[[#This Row],[PROVEEDOR]],TERCEROS_INFO[#All],3,FALSE)</f>
        <v>0</v>
      </c>
      <c r="N1463" s="23"/>
      <c r="O1463" s="22">
        <f>+PROVEEDORES[[#This Row],[Descuento sobre subtotal %]]*(PROVEEDORES[[#This Row],[SUBTOTAL]]-PROVEEDORES[[#This Row],[descuento sobre subtotal]])</f>
        <v>0</v>
      </c>
      <c r="P1463" s="74">
        <f>+IF(PROVEEDORES[[#This Row],[SUBTOTAL]]&lt;PROVEEDORES[[#This Row],[base retencion]],0,PROVEEDORES[[#This Row],[retención aplicada]])</f>
        <v>0</v>
      </c>
      <c r="Q1463" s="22">
        <f>+PROVEEDORES[[#This Row],[Rete Fuente %]]*(PROVEEDORES[[#This Row],[SUBTOTAL]]-PROVEEDORES[[#This Row],[descuento sobre subtotal]])</f>
        <v>0</v>
      </c>
      <c r="R1463" s="21">
        <f>+PROVEEDORES[[#This Row],[SUBTOTAL]]+PROVEEDORES[[#This Row],[IVA 19%]]-PROVEEDORES[[#This Row],[descuento sobre subtotal]]-PROVEEDORES[[#This Row],[Descuento sobre subtotal $2]]-PROVEEDORES[[#This Row],[Rete Fuente $]]</f>
        <v>954000</v>
      </c>
      <c r="S146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3" s="63">
        <f ca="1">IF(PROVEEDORES[[#This Row],[FECHA DE PAGO]]=0,TODAY()-PROVEEDORES[[#This Row],[FECHA DE FACTURACIÓN]]-PROVEEDORES[[#This Row],[PLAZO Días]],0)</f>
        <v>0</v>
      </c>
      <c r="U1463" s="104">
        <f>+VLOOKUP(PROVEEDORES[[#This Row],[PROVEEDOR]],Terceros!$A:$D,4,FALSE)</f>
        <v>0</v>
      </c>
      <c r="V1463" s="105">
        <f>+YEAR(PROVEEDORES[[#This Row],[FECHA DE FACTURACIÓN]])</f>
        <v>2023</v>
      </c>
      <c r="W1463" s="105">
        <f>+MATCH(PROVEEDORES[[#This Row],[año facturado]],Retenciones!$1:$1,0)</f>
        <v>6</v>
      </c>
      <c r="X1463" s="106">
        <f>+VLOOKUP(PROVEEDORES[[#This Row],[ID RETENCION]],Retenciones!$A$1:$O$25,PROVEEDORES[[#This Row],[indicador de columna]],FALSE)</f>
        <v>0</v>
      </c>
      <c r="Y1463" s="107">
        <f>+VLOOKUP(PROVEEDORES[[#This Row],[ID RETENCION]],Retenciones!$A$1:$O$25,2,FALSE)</f>
        <v>0</v>
      </c>
      <c r="Z1463" s="116" t="b">
        <f>OR(COUNTIF(PROVEEDORES[[#This Row],[PROVEEDOR]],"*"&amp;'Palabra no opera'!$A$2&amp;"*"))</f>
        <v>0</v>
      </c>
    </row>
    <row r="1464" spans="1:26" ht="22.35" customHeight="1" x14ac:dyDescent="0.3">
      <c r="A1464" s="67" t="str">
        <f>+IF(PROVEEDORES[[#This Row],[FECHA DE PAGO]]=PROVEEDORES[[#This Row],[FECHA DE FACTURACIÓN]],"DE CONTADO","CRÉDITO")</f>
        <v>DE CONTADO</v>
      </c>
      <c r="B1464" s="38" t="b">
        <f>+IF((PROVEEDORES[[#This Row],[FECHA DE PAGO]]-PROVEEDORES[[#This Row],[FECHA DE FACTURACIÓN]])&gt;PROVEEDORES[[#This Row],[PLAZO Días]],"PAGO VENCIDO")</f>
        <v>0</v>
      </c>
      <c r="C1464" s="20">
        <f>+VLOOKUP(PROVEEDORES[[#This Row],[PROVEEDOR]],TERCEROS_INFO[#All],2,FALSE)</f>
        <v>30</v>
      </c>
      <c r="D1464" s="25">
        <f>+SUMIFS(PROVEEDORES[Total],PROVEEDORES[PROVEEDOR],PROVEEDORES[[#This Row],[PROVEEDOR]],PROVEEDORES[FECHA DE PAGO],"")</f>
        <v>0</v>
      </c>
      <c r="E1464" s="25"/>
      <c r="F1464" s="56" t="str">
        <f>+VLOOKUP(PROVEEDORES[[#This Row],[PROVEEDOR]],
                       Terceros!$A:$F,
                       5,
                       FALSE)</f>
        <v/>
      </c>
      <c r="G1464" s="68">
        <v>45046</v>
      </c>
      <c r="H1464" s="26" t="s">
        <v>1401</v>
      </c>
      <c r="I1464" s="68">
        <v>45046</v>
      </c>
      <c r="J1464" s="35" t="s">
        <v>1377</v>
      </c>
      <c r="K1464" s="21">
        <v>69000</v>
      </c>
      <c r="L1464" s="21"/>
      <c r="M1464" s="22">
        <f>(PROVEEDORES[[#This Row],[SUBTOTAL]]-PROVEEDORES[[#This Row],[descuento sobre subtotal]])*VLOOKUP(PROVEEDORES[[#This Row],[PROVEEDOR]],TERCEROS_INFO[#All],3,FALSE)</f>
        <v>0</v>
      </c>
      <c r="N1464" s="23"/>
      <c r="O1464" s="22">
        <f>+PROVEEDORES[[#This Row],[Descuento sobre subtotal %]]*(PROVEEDORES[[#This Row],[SUBTOTAL]]-PROVEEDORES[[#This Row],[descuento sobre subtotal]])</f>
        <v>0</v>
      </c>
      <c r="P1464" s="74">
        <f>+IF(PROVEEDORES[[#This Row],[SUBTOTAL]]&lt;PROVEEDORES[[#This Row],[base retencion]],0,PROVEEDORES[[#This Row],[retención aplicada]])</f>
        <v>0</v>
      </c>
      <c r="Q1464" s="22">
        <f>+PROVEEDORES[[#This Row],[Rete Fuente %]]*(PROVEEDORES[[#This Row],[SUBTOTAL]]-PROVEEDORES[[#This Row],[descuento sobre subtotal]])</f>
        <v>0</v>
      </c>
      <c r="R1464" s="21">
        <f>+PROVEEDORES[[#This Row],[SUBTOTAL]]+PROVEEDORES[[#This Row],[IVA 19%]]-PROVEEDORES[[#This Row],[descuento sobre subtotal]]-PROVEEDORES[[#This Row],[Descuento sobre subtotal $2]]-PROVEEDORES[[#This Row],[Rete Fuente $]]</f>
        <v>69000</v>
      </c>
      <c r="S146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4" s="63">
        <f ca="1">IF(PROVEEDORES[[#This Row],[FECHA DE PAGO]]=0,TODAY()-PROVEEDORES[[#This Row],[FECHA DE FACTURACIÓN]]-PROVEEDORES[[#This Row],[PLAZO Días]],0)</f>
        <v>0</v>
      </c>
      <c r="U1464" s="104">
        <f>+VLOOKUP(PROVEEDORES[[#This Row],[PROVEEDOR]],Terceros!$A:$D,4,FALSE)</f>
        <v>0</v>
      </c>
      <c r="V1464" s="105">
        <f>+YEAR(PROVEEDORES[[#This Row],[FECHA DE FACTURACIÓN]])</f>
        <v>2023</v>
      </c>
      <c r="W1464" s="105">
        <f>+MATCH(PROVEEDORES[[#This Row],[año facturado]],Retenciones!$1:$1,0)</f>
        <v>6</v>
      </c>
      <c r="X1464" s="106">
        <f>+VLOOKUP(PROVEEDORES[[#This Row],[ID RETENCION]],Retenciones!$A$1:$O$25,PROVEEDORES[[#This Row],[indicador de columna]],FALSE)</f>
        <v>0</v>
      </c>
      <c r="Y1464" s="107">
        <f>+VLOOKUP(PROVEEDORES[[#This Row],[ID RETENCION]],Retenciones!$A$1:$O$25,2,FALSE)</f>
        <v>0</v>
      </c>
      <c r="Z1464" s="116" t="b">
        <f>OR(COUNTIF(PROVEEDORES[[#This Row],[PROVEEDOR]],"*"&amp;'Palabra no opera'!$A$2&amp;"*"))</f>
        <v>0</v>
      </c>
    </row>
    <row r="1465" spans="1:26" ht="22.35" customHeight="1" x14ac:dyDescent="0.3">
      <c r="A1465" s="67" t="str">
        <f>+IF(PROVEEDORES[[#This Row],[FECHA DE PAGO]]=PROVEEDORES[[#This Row],[FECHA DE FACTURACIÓN]],"DE CONTADO","CRÉDITO")</f>
        <v>DE CONTADO</v>
      </c>
      <c r="B1465" s="38" t="b">
        <f>+IF((PROVEEDORES[[#This Row],[FECHA DE PAGO]]-PROVEEDORES[[#This Row],[FECHA DE FACTURACIÓN]])&gt;PROVEEDORES[[#This Row],[PLAZO Días]],"PAGO VENCIDO")</f>
        <v>0</v>
      </c>
      <c r="C1465" s="20">
        <f>+VLOOKUP(PROVEEDORES[[#This Row],[PROVEEDOR]],TERCEROS_INFO[#All],2,FALSE)</f>
        <v>30</v>
      </c>
      <c r="D1465" s="25">
        <f>+SUMIFS(PROVEEDORES[Total],PROVEEDORES[PROVEEDOR],PROVEEDORES[[#This Row],[PROVEEDOR]],PROVEEDORES[FECHA DE PAGO],"")</f>
        <v>0</v>
      </c>
      <c r="E1465" s="25"/>
      <c r="F1465" s="56" t="str">
        <f>+VLOOKUP(PROVEEDORES[[#This Row],[PROVEEDOR]],
                       Terceros!$A:$F,
                       5,
                       FALSE)</f>
        <v/>
      </c>
      <c r="G1465" s="68">
        <v>45046</v>
      </c>
      <c r="H1465" s="26" t="s">
        <v>1401</v>
      </c>
      <c r="I1465" s="68">
        <v>45046</v>
      </c>
      <c r="J1465" s="35" t="s">
        <v>1176</v>
      </c>
      <c r="K1465" s="21">
        <v>200800</v>
      </c>
      <c r="L1465" s="21"/>
      <c r="M1465" s="22">
        <f>(PROVEEDORES[[#This Row],[SUBTOTAL]]-PROVEEDORES[[#This Row],[descuento sobre subtotal]])*VLOOKUP(PROVEEDORES[[#This Row],[PROVEEDOR]],TERCEROS_INFO[#All],3,FALSE)</f>
        <v>0</v>
      </c>
      <c r="N1465" s="23"/>
      <c r="O1465" s="22">
        <f>+PROVEEDORES[[#This Row],[Descuento sobre subtotal %]]*(PROVEEDORES[[#This Row],[SUBTOTAL]]-PROVEEDORES[[#This Row],[descuento sobre subtotal]])</f>
        <v>0</v>
      </c>
      <c r="P1465" s="74">
        <f>+IF(PROVEEDORES[[#This Row],[SUBTOTAL]]&lt;PROVEEDORES[[#This Row],[base retencion]],0,PROVEEDORES[[#This Row],[retención aplicada]])</f>
        <v>0</v>
      </c>
      <c r="Q1465" s="22">
        <f>+PROVEEDORES[[#This Row],[Rete Fuente %]]*(PROVEEDORES[[#This Row],[SUBTOTAL]]-PROVEEDORES[[#This Row],[descuento sobre subtotal]])</f>
        <v>0</v>
      </c>
      <c r="R1465" s="21">
        <f>+PROVEEDORES[[#This Row],[SUBTOTAL]]+PROVEEDORES[[#This Row],[IVA 19%]]-PROVEEDORES[[#This Row],[descuento sobre subtotal]]-PROVEEDORES[[#This Row],[Descuento sobre subtotal $2]]-PROVEEDORES[[#This Row],[Rete Fuente $]]</f>
        <v>200800</v>
      </c>
      <c r="S14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5" s="63">
        <f ca="1">IF(PROVEEDORES[[#This Row],[FECHA DE PAGO]]=0,TODAY()-PROVEEDORES[[#This Row],[FECHA DE FACTURACIÓN]]-PROVEEDORES[[#This Row],[PLAZO Días]],0)</f>
        <v>0</v>
      </c>
      <c r="U1465" s="104">
        <f>+VLOOKUP(PROVEEDORES[[#This Row],[PROVEEDOR]],Terceros!$A:$D,4,FALSE)</f>
        <v>0</v>
      </c>
      <c r="V1465" s="105">
        <f>+YEAR(PROVEEDORES[[#This Row],[FECHA DE FACTURACIÓN]])</f>
        <v>2023</v>
      </c>
      <c r="W1465" s="105">
        <f>+MATCH(PROVEEDORES[[#This Row],[año facturado]],Retenciones!$1:$1,0)</f>
        <v>6</v>
      </c>
      <c r="X1465" s="106">
        <f>+VLOOKUP(PROVEEDORES[[#This Row],[ID RETENCION]],Retenciones!$A$1:$O$25,PROVEEDORES[[#This Row],[indicador de columna]],FALSE)</f>
        <v>0</v>
      </c>
      <c r="Y1465" s="107">
        <f>+VLOOKUP(PROVEEDORES[[#This Row],[ID RETENCION]],Retenciones!$A$1:$O$25,2,FALSE)</f>
        <v>0</v>
      </c>
      <c r="Z1465" s="116" t="b">
        <f>OR(COUNTIF(PROVEEDORES[[#This Row],[PROVEEDOR]],"*"&amp;'Palabra no opera'!$A$2&amp;"*"))</f>
        <v>0</v>
      </c>
    </row>
    <row r="1466" spans="1:26" ht="22.35" customHeight="1" x14ac:dyDescent="0.3">
      <c r="A1466" s="67" t="str">
        <f>+IF(PROVEEDORES[[#This Row],[FECHA DE PAGO]]=PROVEEDORES[[#This Row],[FECHA DE FACTURACIÓN]],"DE CONTADO","CRÉDITO")</f>
        <v>DE CONTADO</v>
      </c>
      <c r="B1466" s="38" t="b">
        <f>+IF((PROVEEDORES[[#This Row],[FECHA DE PAGO]]-PROVEEDORES[[#This Row],[FECHA DE FACTURACIÓN]])&gt;PROVEEDORES[[#This Row],[PLAZO Días]],"PAGO VENCIDO")</f>
        <v>0</v>
      </c>
      <c r="C1466" s="20">
        <f>+VLOOKUP(PROVEEDORES[[#This Row],[PROVEEDOR]],TERCEROS_INFO[#All],2,FALSE)</f>
        <v>30</v>
      </c>
      <c r="D1466" s="25">
        <f>+SUMIFS(PROVEEDORES[Total],PROVEEDORES[PROVEEDOR],PROVEEDORES[[#This Row],[PROVEEDOR]],PROVEEDORES[FECHA DE PAGO],"")</f>
        <v>0</v>
      </c>
      <c r="E1466" s="25"/>
      <c r="F1466" s="56" t="str">
        <f>+VLOOKUP(PROVEEDORES[[#This Row],[PROVEEDOR]],
                       Terceros!$A:$F,
                       5,
                       FALSE)</f>
        <v/>
      </c>
      <c r="G1466" s="68">
        <v>45046</v>
      </c>
      <c r="H1466" s="26" t="s">
        <v>1401</v>
      </c>
      <c r="I1466" s="68">
        <v>45046</v>
      </c>
      <c r="J1466" s="35" t="s">
        <v>1180</v>
      </c>
      <c r="K1466" s="21">
        <v>450600</v>
      </c>
      <c r="L1466" s="21"/>
      <c r="M1466" s="22">
        <f>(PROVEEDORES[[#This Row],[SUBTOTAL]]-PROVEEDORES[[#This Row],[descuento sobre subtotal]])*VLOOKUP(PROVEEDORES[[#This Row],[PROVEEDOR]],TERCEROS_INFO[#All],3,FALSE)</f>
        <v>0</v>
      </c>
      <c r="N1466" s="23"/>
      <c r="O1466" s="22">
        <f>+PROVEEDORES[[#This Row],[Descuento sobre subtotal %]]*(PROVEEDORES[[#This Row],[SUBTOTAL]]-PROVEEDORES[[#This Row],[descuento sobre subtotal]])</f>
        <v>0</v>
      </c>
      <c r="P1466" s="74">
        <f>+IF(PROVEEDORES[[#This Row],[SUBTOTAL]]&lt;PROVEEDORES[[#This Row],[base retencion]],0,PROVEEDORES[[#This Row],[retención aplicada]])</f>
        <v>0</v>
      </c>
      <c r="Q1466" s="22">
        <f>+PROVEEDORES[[#This Row],[Rete Fuente %]]*(PROVEEDORES[[#This Row],[SUBTOTAL]]-PROVEEDORES[[#This Row],[descuento sobre subtotal]])</f>
        <v>0</v>
      </c>
      <c r="R1466" s="21">
        <f>+PROVEEDORES[[#This Row],[SUBTOTAL]]+PROVEEDORES[[#This Row],[IVA 19%]]-PROVEEDORES[[#This Row],[descuento sobre subtotal]]-PROVEEDORES[[#This Row],[Descuento sobre subtotal $2]]-PROVEEDORES[[#This Row],[Rete Fuente $]]</f>
        <v>450600</v>
      </c>
      <c r="S14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6" s="63">
        <f ca="1">IF(PROVEEDORES[[#This Row],[FECHA DE PAGO]]=0,TODAY()-PROVEEDORES[[#This Row],[FECHA DE FACTURACIÓN]]-PROVEEDORES[[#This Row],[PLAZO Días]],0)</f>
        <v>0</v>
      </c>
      <c r="U1466" s="104">
        <f>+VLOOKUP(PROVEEDORES[[#This Row],[PROVEEDOR]],Terceros!$A:$D,4,FALSE)</f>
        <v>0</v>
      </c>
      <c r="V1466" s="105">
        <f>+YEAR(PROVEEDORES[[#This Row],[FECHA DE FACTURACIÓN]])</f>
        <v>2023</v>
      </c>
      <c r="W1466" s="105">
        <f>+MATCH(PROVEEDORES[[#This Row],[año facturado]],Retenciones!$1:$1,0)</f>
        <v>6</v>
      </c>
      <c r="X1466" s="106">
        <f>+VLOOKUP(PROVEEDORES[[#This Row],[ID RETENCION]],Retenciones!$A$1:$O$25,PROVEEDORES[[#This Row],[indicador de columna]],FALSE)</f>
        <v>0</v>
      </c>
      <c r="Y1466" s="107">
        <f>+VLOOKUP(PROVEEDORES[[#This Row],[ID RETENCION]],Retenciones!$A$1:$O$25,2,FALSE)</f>
        <v>0</v>
      </c>
      <c r="Z1466" s="116" t="b">
        <f>OR(COUNTIF(PROVEEDORES[[#This Row],[PROVEEDOR]],"*"&amp;'Palabra no opera'!$A$2&amp;"*"))</f>
        <v>0</v>
      </c>
    </row>
    <row r="1467" spans="1:26" ht="22.35" customHeight="1" x14ac:dyDescent="0.3">
      <c r="A1467" s="67" t="str">
        <f>+IF(PROVEEDORES[[#This Row],[FECHA DE PAGO]]=PROVEEDORES[[#This Row],[FECHA DE FACTURACIÓN]],"DE CONTADO","CRÉDITO")</f>
        <v>CRÉDITO</v>
      </c>
      <c r="B1467" s="38" t="str">
        <f>+IF((PROVEEDORES[[#This Row],[FECHA DE PAGO]]-PROVEEDORES[[#This Row],[FECHA DE FACTURACIÓN]])&gt;PROVEEDORES[[#This Row],[PLAZO Días]],"PAGO VENCIDO")</f>
        <v>PAGO VENCIDO</v>
      </c>
      <c r="C1467" s="20">
        <f>+VLOOKUP(PROVEEDORES[[#This Row],[PROVEEDOR]],TERCEROS_INFO[#All],2,FALSE)</f>
        <v>30</v>
      </c>
      <c r="D1467" s="25">
        <f>+SUMIFS(PROVEEDORES[Total],PROVEEDORES[PROVEEDOR],PROVEEDORES[[#This Row],[PROVEEDOR]],PROVEEDORES[FECHA DE PAGO],"")</f>
        <v>3669750</v>
      </c>
      <c r="E1467" s="25"/>
      <c r="F1467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467" s="68">
        <v>45048</v>
      </c>
      <c r="H1467" s="26" t="s">
        <v>24</v>
      </c>
      <c r="I1467" s="68">
        <v>44996</v>
      </c>
      <c r="J1467" s="35" t="s">
        <v>1499</v>
      </c>
      <c r="K1467" s="21">
        <v>10188720</v>
      </c>
      <c r="L1467" s="21"/>
      <c r="M1467" s="22">
        <f>(PROVEEDORES[[#This Row],[SUBTOTAL]]-PROVEEDORES[[#This Row],[descuento sobre subtotal]])*VLOOKUP(PROVEEDORES[[#This Row],[PROVEEDOR]],TERCEROS_INFO[#All],3,FALSE)</f>
        <v>1935856.8</v>
      </c>
      <c r="N1467" s="23"/>
      <c r="O1467" s="22">
        <f>+PROVEEDORES[[#This Row],[Descuento sobre subtotal %]]*(PROVEEDORES[[#This Row],[SUBTOTAL]]-PROVEEDORES[[#This Row],[descuento sobre subtotal]])</f>
        <v>0</v>
      </c>
      <c r="P1467" s="74">
        <f>+IF(PROVEEDORES[[#This Row],[SUBTOTAL]]&lt;PROVEEDORES[[#This Row],[base retencion]],0,PROVEEDORES[[#This Row],[retención aplicada]])</f>
        <v>2.5000000000000001E-2</v>
      </c>
      <c r="Q1467" s="22">
        <f>+PROVEEDORES[[#This Row],[Rete Fuente %]]*(PROVEEDORES[[#This Row],[SUBTOTAL]]-PROVEEDORES[[#This Row],[descuento sobre subtotal]])</f>
        <v>254718</v>
      </c>
      <c r="R1467" s="21">
        <f>+PROVEEDORES[[#This Row],[SUBTOTAL]]+PROVEEDORES[[#This Row],[IVA 19%]]-PROVEEDORES[[#This Row],[descuento sobre subtotal]]-PROVEEDORES[[#This Row],[Descuento sobre subtotal $2]]-PROVEEDORES[[#This Row],[Rete Fuente $]]</f>
        <v>11869858.800000001</v>
      </c>
      <c r="S14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63">
        <f ca="1">IF(PROVEEDORES[[#This Row],[FECHA DE PAGO]]=0,TODAY()-PROVEEDORES[[#This Row],[FECHA DE FACTURACIÓN]]-PROVEEDORES[[#This Row],[PLAZO Días]],0)</f>
        <v>0</v>
      </c>
      <c r="U1467" s="104" t="str">
        <f>+VLOOKUP(PROVEEDORES[[#This Row],[PROVEEDOR]],Terceros!$A:$D,4,FALSE)</f>
        <v>2,5% con base</v>
      </c>
      <c r="V1467" s="105">
        <f>+YEAR(PROVEEDORES[[#This Row],[FECHA DE FACTURACIÓN]])</f>
        <v>2023</v>
      </c>
      <c r="W1467" s="105">
        <f>+MATCH(PROVEEDORES[[#This Row],[año facturado]],Retenciones!$1:$1,0)</f>
        <v>6</v>
      </c>
      <c r="X1467" s="106">
        <f>+VLOOKUP(PROVEEDORES[[#This Row],[ID RETENCION]],Retenciones!$A$1:$O$25,PROVEEDORES[[#This Row],[indicador de columna]],FALSE)</f>
        <v>1145000</v>
      </c>
      <c r="Y1467" s="107">
        <f>+VLOOKUP(PROVEEDORES[[#This Row],[ID RETENCION]],Retenciones!$A$1:$O$25,2,FALSE)</f>
        <v>2.5000000000000001E-2</v>
      </c>
      <c r="Z1467" s="116" t="b">
        <f>OR(COUNTIF(PROVEEDORES[[#This Row],[PROVEEDOR]],"*"&amp;'Palabra no opera'!$A$2&amp;"*"))</f>
        <v>0</v>
      </c>
    </row>
    <row r="1468" spans="1:26" ht="22.35" customHeight="1" x14ac:dyDescent="0.3">
      <c r="A1468" s="67" t="str">
        <f>+IF(PROVEEDORES[[#This Row],[FECHA DE PAGO]]=PROVEEDORES[[#This Row],[FECHA DE FACTURACIÓN]],"DE CONTADO","CRÉDITO")</f>
        <v>CRÉDITO</v>
      </c>
      <c r="B1468" s="38" t="str">
        <f>+IF((PROVEEDORES[[#This Row],[FECHA DE PAGO]]-PROVEEDORES[[#This Row],[FECHA DE FACTURACIÓN]])&gt;PROVEEDORES[[#This Row],[PLAZO Días]],"PAGO VENCIDO")</f>
        <v>PAGO VENCIDO</v>
      </c>
      <c r="C1468" s="20">
        <f>+VLOOKUP(PROVEEDORES[[#This Row],[PROVEEDOR]],TERCEROS_INFO[#All],2,FALSE)</f>
        <v>30</v>
      </c>
      <c r="D1468" s="25">
        <f>+SUMIFS(PROVEEDORES[Total],PROVEEDORES[PROVEEDOR],PROVEEDORES[[#This Row],[PROVEEDOR]],PROVEEDORES[FECHA DE PAGO],"")</f>
        <v>18444236.894999996</v>
      </c>
      <c r="E1468" s="25"/>
      <c r="F146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468" s="68">
        <v>45048</v>
      </c>
      <c r="H1468" s="26" t="s">
        <v>11</v>
      </c>
      <c r="I1468" s="68">
        <v>44994</v>
      </c>
      <c r="J1468" s="35" t="s">
        <v>1495</v>
      </c>
      <c r="K1468" s="21">
        <v>3405512</v>
      </c>
      <c r="L1468" s="21"/>
      <c r="M1468" s="22">
        <f>(PROVEEDORES[[#This Row],[SUBTOTAL]]-PROVEEDORES[[#This Row],[descuento sobre subtotal]])*VLOOKUP(PROVEEDORES[[#This Row],[PROVEEDOR]],TERCEROS_INFO[#All],3,FALSE)</f>
        <v>647047.28</v>
      </c>
      <c r="N1468" s="23"/>
      <c r="O1468" s="22">
        <f>+PROVEEDORES[[#This Row],[Descuento sobre subtotal %]]*(PROVEEDORES[[#This Row],[SUBTOTAL]]-PROVEEDORES[[#This Row],[descuento sobre subtotal]])</f>
        <v>0</v>
      </c>
      <c r="P1468" s="74">
        <f>+IF(PROVEEDORES[[#This Row],[SUBTOTAL]]&lt;PROVEEDORES[[#This Row],[base retencion]],0,PROVEEDORES[[#This Row],[retención aplicada]])</f>
        <v>2.5000000000000001E-2</v>
      </c>
      <c r="Q1468" s="22">
        <f>+PROVEEDORES[[#This Row],[Rete Fuente %]]*(PROVEEDORES[[#This Row],[SUBTOTAL]]-PROVEEDORES[[#This Row],[descuento sobre subtotal]])</f>
        <v>85137.8</v>
      </c>
      <c r="R1468" s="21">
        <f>+PROVEEDORES[[#This Row],[SUBTOTAL]]+PROVEEDORES[[#This Row],[IVA 19%]]-PROVEEDORES[[#This Row],[descuento sobre subtotal]]-PROVEEDORES[[#This Row],[Descuento sobre subtotal $2]]-PROVEEDORES[[#This Row],[Rete Fuente $]]</f>
        <v>3967421.4800000004</v>
      </c>
      <c r="S14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63">
        <f ca="1">IF(PROVEEDORES[[#This Row],[FECHA DE PAGO]]=0,TODAY()-PROVEEDORES[[#This Row],[FECHA DE FACTURACIÓN]]-PROVEEDORES[[#This Row],[PLAZO Días]],0)</f>
        <v>0</v>
      </c>
      <c r="U1468" s="104" t="str">
        <f>+VLOOKUP(PROVEEDORES[[#This Row],[PROVEEDOR]],Terceros!$A:$D,4,FALSE)</f>
        <v>2,5% con base</v>
      </c>
      <c r="V1468" s="105">
        <f>+YEAR(PROVEEDORES[[#This Row],[FECHA DE FACTURACIÓN]])</f>
        <v>2023</v>
      </c>
      <c r="W1468" s="105">
        <f>+MATCH(PROVEEDORES[[#This Row],[año facturado]],Retenciones!$1:$1,0)</f>
        <v>6</v>
      </c>
      <c r="X1468" s="106">
        <f>+VLOOKUP(PROVEEDORES[[#This Row],[ID RETENCION]],Retenciones!$A$1:$O$25,PROVEEDORES[[#This Row],[indicador de columna]],FALSE)</f>
        <v>1145000</v>
      </c>
      <c r="Y1468" s="107">
        <f>+VLOOKUP(PROVEEDORES[[#This Row],[ID RETENCION]],Retenciones!$A$1:$O$25,2,FALSE)</f>
        <v>2.5000000000000001E-2</v>
      </c>
      <c r="Z1468" s="116" t="b">
        <f>OR(COUNTIF(PROVEEDORES[[#This Row],[PROVEEDOR]],"*"&amp;'Palabra no opera'!$A$2&amp;"*"))</f>
        <v>0</v>
      </c>
    </row>
    <row r="1469" spans="1:26" ht="22.35" customHeight="1" x14ac:dyDescent="0.3">
      <c r="A1469" s="67" t="str">
        <f>+IF(PROVEEDORES[[#This Row],[FECHA DE PAGO]]=PROVEEDORES[[#This Row],[FECHA DE FACTURACIÓN]],"DE CONTADO","CRÉDITO")</f>
        <v>CRÉDITO</v>
      </c>
      <c r="B1469" s="38" t="str">
        <f>+IF((PROVEEDORES[[#This Row],[FECHA DE PAGO]]-PROVEEDORES[[#This Row],[FECHA DE FACTURACIÓN]])&gt;PROVEEDORES[[#This Row],[PLAZO Días]],"PAGO VENCIDO")</f>
        <v>PAGO VENCIDO</v>
      </c>
      <c r="C1469" s="20">
        <f>+VLOOKUP(PROVEEDORES[[#This Row],[PROVEEDOR]],TERCEROS_INFO[#All],2,FALSE)</f>
        <v>30</v>
      </c>
      <c r="D1469" s="25">
        <f>+SUMIFS(PROVEEDORES[Total],PROVEEDORES[PROVEEDOR],PROVEEDORES[[#This Row],[PROVEEDOR]],PROVEEDORES[FECHA DE PAGO],"")</f>
        <v>2100000</v>
      </c>
      <c r="E1469" s="25"/>
      <c r="F1469" s="56" t="str">
        <f>+VLOOKUP(PROVEEDORES[[#This Row],[PROVEEDOR]],
                       Terceros!$A:$F,
                       5,
                       FALSE)</f>
        <v/>
      </c>
      <c r="G1469" s="68">
        <v>45049</v>
      </c>
      <c r="H1469" s="26" t="s">
        <v>349</v>
      </c>
      <c r="I1469" s="68">
        <v>45008</v>
      </c>
      <c r="J1469" s="35" t="s">
        <v>1552</v>
      </c>
      <c r="K1469" s="21">
        <v>4835000</v>
      </c>
      <c r="L1469" s="21"/>
      <c r="M1469" s="22">
        <f>(PROVEEDORES[[#This Row],[SUBTOTAL]]-PROVEEDORES[[#This Row],[descuento sobre subtotal]])*VLOOKUP(PROVEEDORES[[#This Row],[PROVEEDOR]],TERCEROS_INFO[#All],3,FALSE)</f>
        <v>0</v>
      </c>
      <c r="N1469" s="23"/>
      <c r="O1469" s="22">
        <f>+PROVEEDORES[[#This Row],[Descuento sobre subtotal %]]*(PROVEEDORES[[#This Row],[SUBTOTAL]]-PROVEEDORES[[#This Row],[descuento sobre subtotal]])</f>
        <v>0</v>
      </c>
      <c r="P1469" s="74">
        <f>+IF(PROVEEDORES[[#This Row],[SUBTOTAL]]&lt;PROVEEDORES[[#This Row],[base retencion]],0,PROVEEDORES[[#This Row],[retención aplicada]])</f>
        <v>0</v>
      </c>
      <c r="Q1469" s="22">
        <f>+PROVEEDORES[[#This Row],[Rete Fuente %]]*(PROVEEDORES[[#This Row],[SUBTOTAL]]-PROVEEDORES[[#This Row],[descuento sobre subtotal]])</f>
        <v>0</v>
      </c>
      <c r="R1469" s="21">
        <f>+PROVEEDORES[[#This Row],[SUBTOTAL]]+PROVEEDORES[[#This Row],[IVA 19%]]-PROVEEDORES[[#This Row],[descuento sobre subtotal]]-PROVEEDORES[[#This Row],[Descuento sobre subtotal $2]]-PROVEEDORES[[#This Row],[Rete Fuente $]]</f>
        <v>4835000</v>
      </c>
      <c r="S14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9" s="63">
        <f ca="1">IF(PROVEEDORES[[#This Row],[FECHA DE PAGO]]=0,TODAY()-PROVEEDORES[[#This Row],[FECHA DE FACTURACIÓN]]-PROVEEDORES[[#This Row],[PLAZO Días]],0)</f>
        <v>0</v>
      </c>
      <c r="U1469" s="104">
        <f>+VLOOKUP(PROVEEDORES[[#This Row],[PROVEEDOR]],Terceros!$A:$D,4,FALSE)</f>
        <v>0</v>
      </c>
      <c r="V1469" s="105">
        <f>+YEAR(PROVEEDORES[[#This Row],[FECHA DE FACTURACIÓN]])</f>
        <v>2023</v>
      </c>
      <c r="W1469" s="105">
        <f>+MATCH(PROVEEDORES[[#This Row],[año facturado]],Retenciones!$1:$1,0)</f>
        <v>6</v>
      </c>
      <c r="X1469" s="106">
        <f>+VLOOKUP(PROVEEDORES[[#This Row],[ID RETENCION]],Retenciones!$A$1:$O$25,PROVEEDORES[[#This Row],[indicador de columna]],FALSE)</f>
        <v>0</v>
      </c>
      <c r="Y1469" s="107">
        <f>+VLOOKUP(PROVEEDORES[[#This Row],[ID RETENCION]],Retenciones!$A$1:$O$25,2,FALSE)</f>
        <v>0</v>
      </c>
      <c r="Z1469" s="116" t="b">
        <f>OR(COUNTIF(PROVEEDORES[[#This Row],[PROVEEDOR]],"*"&amp;'Palabra no opera'!$A$2&amp;"*"))</f>
        <v>0</v>
      </c>
    </row>
    <row r="1470" spans="1:26" ht="22.35" customHeight="1" x14ac:dyDescent="0.3">
      <c r="A1470" s="67" t="str">
        <f>+IF(PROVEEDORES[[#This Row],[FECHA DE PAGO]]=PROVEEDORES[[#This Row],[FECHA DE FACTURACIÓN]],"DE CONTADO","CRÉDITO")</f>
        <v>CRÉDITO</v>
      </c>
      <c r="B1470" s="38" t="str">
        <f>+IF((PROVEEDORES[[#This Row],[FECHA DE PAGO]]-PROVEEDORES[[#This Row],[FECHA DE FACTURACIÓN]])&gt;PROVEEDORES[[#This Row],[PLAZO Días]],"PAGO VENCIDO")</f>
        <v>PAGO VENCIDO</v>
      </c>
      <c r="C1470" s="20">
        <f>+VLOOKUP(PROVEEDORES[[#This Row],[PROVEEDOR]],TERCEROS_INFO[#All],2,FALSE)</f>
        <v>30</v>
      </c>
      <c r="D1470" s="25">
        <f>+SUMIFS(PROVEEDORES[Total],PROVEEDORES[PROVEEDOR],PROVEEDORES[[#This Row],[PROVEEDOR]],PROVEEDORES[FECHA DE PAGO],"")</f>
        <v>2950000</v>
      </c>
      <c r="E1470" s="25"/>
      <c r="F1470" s="56">
        <f>+VLOOKUP(PROVEEDORES[[#This Row],[PROVEEDOR]],
                       Terceros!$A:$F,
                       5,
                       FALSE)</f>
        <v>0</v>
      </c>
      <c r="G1470" s="68">
        <v>45049</v>
      </c>
      <c r="H1470" s="26" t="s">
        <v>1152</v>
      </c>
      <c r="I1470" s="68">
        <v>45013</v>
      </c>
      <c r="J1470" s="35">
        <v>10379</v>
      </c>
      <c r="K1470" s="21">
        <v>525000</v>
      </c>
      <c r="L1470" s="21"/>
      <c r="M1470" s="22">
        <f>(PROVEEDORES[[#This Row],[SUBTOTAL]]-PROVEEDORES[[#This Row],[descuento sobre subtotal]])*VLOOKUP(PROVEEDORES[[#This Row],[PROVEEDOR]],TERCEROS_INFO[#All],3,FALSE)</f>
        <v>0</v>
      </c>
      <c r="N1470" s="23"/>
      <c r="O1470" s="22">
        <f>+PROVEEDORES[[#This Row],[Descuento sobre subtotal %]]*(PROVEEDORES[[#This Row],[SUBTOTAL]]-PROVEEDORES[[#This Row],[descuento sobre subtotal]])</f>
        <v>0</v>
      </c>
      <c r="P1470" s="74">
        <f>+IF(PROVEEDORES[[#This Row],[SUBTOTAL]]&lt;PROVEEDORES[[#This Row],[base retencion]],0,PROVEEDORES[[#This Row],[retención aplicada]])</f>
        <v>0</v>
      </c>
      <c r="Q1470" s="22">
        <f>+PROVEEDORES[[#This Row],[Rete Fuente %]]*(PROVEEDORES[[#This Row],[SUBTOTAL]]-PROVEEDORES[[#This Row],[descuento sobre subtotal]])</f>
        <v>0</v>
      </c>
      <c r="R1470" s="21">
        <f>+PROVEEDORES[[#This Row],[SUBTOTAL]]+PROVEEDORES[[#This Row],[IVA 19%]]-PROVEEDORES[[#This Row],[descuento sobre subtotal]]-PROVEEDORES[[#This Row],[Descuento sobre subtotal $2]]-PROVEEDORES[[#This Row],[Rete Fuente $]]</f>
        <v>525000</v>
      </c>
      <c r="S147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0" s="63">
        <f ca="1">IF(PROVEEDORES[[#This Row],[FECHA DE PAGO]]=0,TODAY()-PROVEEDORES[[#This Row],[FECHA DE FACTURACIÓN]]-PROVEEDORES[[#This Row],[PLAZO Días]],0)</f>
        <v>0</v>
      </c>
      <c r="U1470" s="104">
        <f>+VLOOKUP(PROVEEDORES[[#This Row],[PROVEEDOR]],Terceros!$A:$D,4,FALSE)</f>
        <v>0</v>
      </c>
      <c r="V1470" s="105">
        <f>+YEAR(PROVEEDORES[[#This Row],[FECHA DE FACTURACIÓN]])</f>
        <v>2023</v>
      </c>
      <c r="W1470" s="105">
        <f>+MATCH(PROVEEDORES[[#This Row],[año facturado]],Retenciones!$1:$1,0)</f>
        <v>6</v>
      </c>
      <c r="X1470" s="106">
        <f>+VLOOKUP(PROVEEDORES[[#This Row],[ID RETENCION]],Retenciones!$A$1:$O$25,PROVEEDORES[[#This Row],[indicador de columna]],FALSE)</f>
        <v>0</v>
      </c>
      <c r="Y1470" s="107">
        <f>+VLOOKUP(PROVEEDORES[[#This Row],[ID RETENCION]],Retenciones!$A$1:$O$25,2,FALSE)</f>
        <v>0</v>
      </c>
      <c r="Z1470" s="116" t="b">
        <f>OR(COUNTIF(PROVEEDORES[[#This Row],[PROVEEDOR]],"*"&amp;'Palabra no opera'!$A$2&amp;"*"))</f>
        <v>0</v>
      </c>
    </row>
    <row r="1471" spans="1:26" ht="22.35" customHeight="1" x14ac:dyDescent="0.3">
      <c r="A1471" s="67" t="str">
        <f>+IF(PROVEEDORES[[#This Row],[FECHA DE PAGO]]=PROVEEDORES[[#This Row],[FECHA DE FACTURACIÓN]],"DE CONTADO","CRÉDITO")</f>
        <v>CRÉDITO</v>
      </c>
      <c r="B1471" s="38" t="str">
        <f>+IF((PROVEEDORES[[#This Row],[FECHA DE PAGO]]-PROVEEDORES[[#This Row],[FECHA DE FACTURACIÓN]])&gt;PROVEEDORES[[#This Row],[PLAZO Días]],"PAGO VENCIDO")</f>
        <v>PAGO VENCIDO</v>
      </c>
      <c r="C1471" s="20">
        <f>+VLOOKUP(PROVEEDORES[[#This Row],[PROVEEDOR]],TERCEROS_INFO[#All],2,FALSE)</f>
        <v>30</v>
      </c>
      <c r="D1471" s="25">
        <f>+SUMIFS(PROVEEDORES[Total],PROVEEDORES[PROVEEDOR],PROVEEDORES[[#This Row],[PROVEEDOR]],PROVEEDORES[FECHA DE PAGO],"")</f>
        <v>0</v>
      </c>
      <c r="E1471" s="25"/>
      <c r="F1471" s="56" t="str">
        <f>+VLOOKUP(PROVEEDORES[[#This Row],[PROVEEDOR]],
                       Terceros!$A:$F,
                       5,
                       FALSE)</f>
        <v/>
      </c>
      <c r="G1471" s="68">
        <v>45049</v>
      </c>
      <c r="H1471" s="26" t="s">
        <v>409</v>
      </c>
      <c r="I1471" s="68">
        <v>44968</v>
      </c>
      <c r="J1471" s="35">
        <v>36</v>
      </c>
      <c r="K1471" s="21">
        <v>89000</v>
      </c>
      <c r="L1471" s="21"/>
      <c r="M1471" s="22">
        <f>(PROVEEDORES[[#This Row],[SUBTOTAL]]-PROVEEDORES[[#This Row],[descuento sobre subtotal]])*VLOOKUP(PROVEEDORES[[#This Row],[PROVEEDOR]],TERCEROS_INFO[#All],3,FALSE)</f>
        <v>0</v>
      </c>
      <c r="N1471" s="23"/>
      <c r="O1471" s="22">
        <f>+PROVEEDORES[[#This Row],[Descuento sobre subtotal %]]*(PROVEEDORES[[#This Row],[SUBTOTAL]]-PROVEEDORES[[#This Row],[descuento sobre subtotal]])</f>
        <v>0</v>
      </c>
      <c r="P1471" s="74">
        <f>+IF(PROVEEDORES[[#This Row],[SUBTOTAL]]&lt;PROVEEDORES[[#This Row],[base retencion]],0,PROVEEDORES[[#This Row],[retención aplicada]])</f>
        <v>0</v>
      </c>
      <c r="Q1471" s="22">
        <f>+PROVEEDORES[[#This Row],[Rete Fuente %]]*(PROVEEDORES[[#This Row],[SUBTOTAL]]-PROVEEDORES[[#This Row],[descuento sobre subtotal]])</f>
        <v>0</v>
      </c>
      <c r="R1471" s="21">
        <f>+PROVEEDORES[[#This Row],[SUBTOTAL]]+PROVEEDORES[[#This Row],[IVA 19%]]-PROVEEDORES[[#This Row],[descuento sobre subtotal]]-PROVEEDORES[[#This Row],[Descuento sobre subtotal $2]]-PROVEEDORES[[#This Row],[Rete Fuente $]]</f>
        <v>89000</v>
      </c>
      <c r="S14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1" s="63">
        <f ca="1">IF(PROVEEDORES[[#This Row],[FECHA DE PAGO]]=0,TODAY()-PROVEEDORES[[#This Row],[FECHA DE FACTURACIÓN]]-PROVEEDORES[[#This Row],[PLAZO Días]],0)</f>
        <v>0</v>
      </c>
      <c r="U1471" s="104">
        <f>+VLOOKUP(PROVEEDORES[[#This Row],[PROVEEDOR]],Terceros!$A:$D,4,FALSE)</f>
        <v>0</v>
      </c>
      <c r="V1471" s="105">
        <f>+YEAR(PROVEEDORES[[#This Row],[FECHA DE FACTURACIÓN]])</f>
        <v>2023</v>
      </c>
      <c r="W1471" s="105">
        <f>+MATCH(PROVEEDORES[[#This Row],[año facturado]],Retenciones!$1:$1,0)</f>
        <v>6</v>
      </c>
      <c r="X1471" s="106">
        <f>+VLOOKUP(PROVEEDORES[[#This Row],[ID RETENCION]],Retenciones!$A$1:$O$25,PROVEEDORES[[#This Row],[indicador de columna]],FALSE)</f>
        <v>0</v>
      </c>
      <c r="Y1471" s="107">
        <f>+VLOOKUP(PROVEEDORES[[#This Row],[ID RETENCION]],Retenciones!$A$1:$O$25,2,FALSE)</f>
        <v>0</v>
      </c>
      <c r="Z1471" s="116" t="b">
        <f>OR(COUNTIF(PROVEEDORES[[#This Row],[PROVEEDOR]],"*"&amp;'Palabra no opera'!$A$2&amp;"*"))</f>
        <v>0</v>
      </c>
    </row>
    <row r="1472" spans="1:26" ht="22.35" customHeight="1" x14ac:dyDescent="0.3">
      <c r="A1472" s="67" t="str">
        <f>+IF(PROVEEDORES[[#This Row],[FECHA DE PAGO]]=PROVEEDORES[[#This Row],[FECHA DE FACTURACIÓN]],"DE CONTADO","CRÉDITO")</f>
        <v>CRÉDITO</v>
      </c>
      <c r="B1472" s="38" t="str">
        <f>+IF((PROVEEDORES[[#This Row],[FECHA DE PAGO]]-PROVEEDORES[[#This Row],[FECHA DE FACTURACIÓN]])&gt;PROVEEDORES[[#This Row],[PLAZO Días]],"PAGO VENCIDO")</f>
        <v>PAGO VENCIDO</v>
      </c>
      <c r="C1472" s="20">
        <f>+VLOOKUP(PROVEEDORES[[#This Row],[PROVEEDOR]],TERCEROS_INFO[#All],2,FALSE)</f>
        <v>30</v>
      </c>
      <c r="D1472" s="25">
        <f>+SUMIFS(PROVEEDORES[Total],PROVEEDORES[PROVEEDOR],PROVEEDORES[[#This Row],[PROVEEDOR]],PROVEEDORES[FECHA DE PAGO],"")</f>
        <v>0</v>
      </c>
      <c r="E1472" s="25"/>
      <c r="F1472" s="56" t="str">
        <f>+VLOOKUP(PROVEEDORES[[#This Row],[PROVEEDOR]],
                       Terceros!$A:$F,
                       5,
                       FALSE)</f>
        <v/>
      </c>
      <c r="G1472" s="68">
        <v>45049</v>
      </c>
      <c r="H1472" s="26" t="s">
        <v>409</v>
      </c>
      <c r="I1472" s="68">
        <v>44975</v>
      </c>
      <c r="J1472" s="35">
        <v>37</v>
      </c>
      <c r="K1472" s="21">
        <v>78000</v>
      </c>
      <c r="L1472" s="21"/>
      <c r="M1472" s="22">
        <f>(PROVEEDORES[[#This Row],[SUBTOTAL]]-PROVEEDORES[[#This Row],[descuento sobre subtotal]])*VLOOKUP(PROVEEDORES[[#This Row],[PROVEEDOR]],TERCEROS_INFO[#All],3,FALSE)</f>
        <v>0</v>
      </c>
      <c r="N1472" s="23"/>
      <c r="O1472" s="22">
        <f>+PROVEEDORES[[#This Row],[Descuento sobre subtotal %]]*(PROVEEDORES[[#This Row],[SUBTOTAL]]-PROVEEDORES[[#This Row],[descuento sobre subtotal]])</f>
        <v>0</v>
      </c>
      <c r="P1472" s="74">
        <f>+IF(PROVEEDORES[[#This Row],[SUBTOTAL]]&lt;PROVEEDORES[[#This Row],[base retencion]],0,PROVEEDORES[[#This Row],[retención aplicada]])</f>
        <v>0</v>
      </c>
      <c r="Q1472" s="22">
        <f>+PROVEEDORES[[#This Row],[Rete Fuente %]]*(PROVEEDORES[[#This Row],[SUBTOTAL]]-PROVEEDORES[[#This Row],[descuento sobre subtotal]])</f>
        <v>0</v>
      </c>
      <c r="R1472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147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2" s="63">
        <f ca="1">IF(PROVEEDORES[[#This Row],[FECHA DE PAGO]]=0,TODAY()-PROVEEDORES[[#This Row],[FECHA DE FACTURACIÓN]]-PROVEEDORES[[#This Row],[PLAZO Días]],0)</f>
        <v>0</v>
      </c>
      <c r="U1472" s="104">
        <f>+VLOOKUP(PROVEEDORES[[#This Row],[PROVEEDOR]],Terceros!$A:$D,4,FALSE)</f>
        <v>0</v>
      </c>
      <c r="V1472" s="105">
        <f>+YEAR(PROVEEDORES[[#This Row],[FECHA DE FACTURACIÓN]])</f>
        <v>2023</v>
      </c>
      <c r="W1472" s="105">
        <f>+MATCH(PROVEEDORES[[#This Row],[año facturado]],Retenciones!$1:$1,0)</f>
        <v>6</v>
      </c>
      <c r="X1472" s="106">
        <f>+VLOOKUP(PROVEEDORES[[#This Row],[ID RETENCION]],Retenciones!$A$1:$O$25,PROVEEDORES[[#This Row],[indicador de columna]],FALSE)</f>
        <v>0</v>
      </c>
      <c r="Y1472" s="107">
        <f>+VLOOKUP(PROVEEDORES[[#This Row],[ID RETENCION]],Retenciones!$A$1:$O$25,2,FALSE)</f>
        <v>0</v>
      </c>
      <c r="Z1472" s="116" t="b">
        <f>OR(COUNTIF(PROVEEDORES[[#This Row],[PROVEEDOR]],"*"&amp;'Palabra no opera'!$A$2&amp;"*"))</f>
        <v>0</v>
      </c>
    </row>
    <row r="1473" spans="1:26" ht="22.35" customHeight="1" x14ac:dyDescent="0.3">
      <c r="A1473" s="67" t="str">
        <f>+IF(PROVEEDORES[[#This Row],[FECHA DE PAGO]]=PROVEEDORES[[#This Row],[FECHA DE FACTURACIÓN]],"DE CONTADO","CRÉDITO")</f>
        <v>CRÉDITO</v>
      </c>
      <c r="B1473" s="38" t="str">
        <f>+IF((PROVEEDORES[[#This Row],[FECHA DE PAGO]]-PROVEEDORES[[#This Row],[FECHA DE FACTURACIÓN]])&gt;PROVEEDORES[[#This Row],[PLAZO Días]],"PAGO VENCIDO")</f>
        <v>PAGO VENCIDO</v>
      </c>
      <c r="C1473" s="20">
        <f>+VLOOKUP(PROVEEDORES[[#This Row],[PROVEEDOR]],TERCEROS_INFO[#All],2,FALSE)</f>
        <v>30</v>
      </c>
      <c r="D1473" s="25">
        <f>+SUMIFS(PROVEEDORES[Total],PROVEEDORES[PROVEEDOR],PROVEEDORES[[#This Row],[PROVEEDOR]],PROVEEDORES[FECHA DE PAGO],"")</f>
        <v>0</v>
      </c>
      <c r="E1473" s="25"/>
      <c r="F1473" s="56" t="str">
        <f>+VLOOKUP(PROVEEDORES[[#This Row],[PROVEEDOR]],
                       Terceros!$A:$F,
                       5,
                       FALSE)</f>
        <v/>
      </c>
      <c r="G1473" s="68">
        <v>45049</v>
      </c>
      <c r="H1473" s="26" t="s">
        <v>409</v>
      </c>
      <c r="I1473" s="68">
        <v>44978</v>
      </c>
      <c r="J1473" s="35">
        <v>38</v>
      </c>
      <c r="K1473" s="21">
        <v>102000</v>
      </c>
      <c r="L1473" s="21"/>
      <c r="M1473" s="22">
        <f>(PROVEEDORES[[#This Row],[SUBTOTAL]]-PROVEEDORES[[#This Row],[descuento sobre subtotal]])*VLOOKUP(PROVEEDORES[[#This Row],[PROVEEDOR]],TERCEROS_INFO[#All],3,FALSE)</f>
        <v>0</v>
      </c>
      <c r="N1473" s="23"/>
      <c r="O1473" s="22">
        <f>+PROVEEDORES[[#This Row],[Descuento sobre subtotal %]]*(PROVEEDORES[[#This Row],[SUBTOTAL]]-PROVEEDORES[[#This Row],[descuento sobre subtotal]])</f>
        <v>0</v>
      </c>
      <c r="P1473" s="74">
        <f>+IF(PROVEEDORES[[#This Row],[SUBTOTAL]]&lt;PROVEEDORES[[#This Row],[base retencion]],0,PROVEEDORES[[#This Row],[retención aplicada]])</f>
        <v>0</v>
      </c>
      <c r="Q1473" s="22">
        <f>+PROVEEDORES[[#This Row],[Rete Fuente %]]*(PROVEEDORES[[#This Row],[SUBTOTAL]]-PROVEEDORES[[#This Row],[descuento sobre subtotal]])</f>
        <v>0</v>
      </c>
      <c r="R1473" s="21">
        <f>+PROVEEDORES[[#This Row],[SUBTOTAL]]+PROVEEDORES[[#This Row],[IVA 19%]]-PROVEEDORES[[#This Row],[descuento sobre subtotal]]-PROVEEDORES[[#This Row],[Descuento sobre subtotal $2]]-PROVEEDORES[[#This Row],[Rete Fuente $]]</f>
        <v>102000</v>
      </c>
      <c r="S147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3" s="63">
        <f ca="1">IF(PROVEEDORES[[#This Row],[FECHA DE PAGO]]=0,TODAY()-PROVEEDORES[[#This Row],[FECHA DE FACTURACIÓN]]-PROVEEDORES[[#This Row],[PLAZO Días]],0)</f>
        <v>0</v>
      </c>
      <c r="U1473" s="104">
        <f>+VLOOKUP(PROVEEDORES[[#This Row],[PROVEEDOR]],Terceros!$A:$D,4,FALSE)</f>
        <v>0</v>
      </c>
      <c r="V1473" s="105">
        <f>+YEAR(PROVEEDORES[[#This Row],[FECHA DE FACTURACIÓN]])</f>
        <v>2023</v>
      </c>
      <c r="W1473" s="105">
        <f>+MATCH(PROVEEDORES[[#This Row],[año facturado]],Retenciones!$1:$1,0)</f>
        <v>6</v>
      </c>
      <c r="X1473" s="106">
        <f>+VLOOKUP(PROVEEDORES[[#This Row],[ID RETENCION]],Retenciones!$A$1:$O$25,PROVEEDORES[[#This Row],[indicador de columna]],FALSE)</f>
        <v>0</v>
      </c>
      <c r="Y1473" s="107">
        <f>+VLOOKUP(PROVEEDORES[[#This Row],[ID RETENCION]],Retenciones!$A$1:$O$25,2,FALSE)</f>
        <v>0</v>
      </c>
      <c r="Z1473" s="116" t="b">
        <f>OR(COUNTIF(PROVEEDORES[[#This Row],[PROVEEDOR]],"*"&amp;'Palabra no opera'!$A$2&amp;"*"))</f>
        <v>0</v>
      </c>
    </row>
    <row r="1474" spans="1:26" ht="22.35" customHeight="1" x14ac:dyDescent="0.3">
      <c r="A1474" s="67" t="str">
        <f>+IF(PROVEEDORES[[#This Row],[FECHA DE PAGO]]=PROVEEDORES[[#This Row],[FECHA DE FACTURACIÓN]],"DE CONTADO","CRÉDITO")</f>
        <v>CRÉDITO</v>
      </c>
      <c r="B1474" s="38" t="str">
        <f>+IF((PROVEEDORES[[#This Row],[FECHA DE PAGO]]-PROVEEDORES[[#This Row],[FECHA DE FACTURACIÓN]])&gt;PROVEEDORES[[#This Row],[PLAZO Días]],"PAGO VENCIDO")</f>
        <v>PAGO VENCIDO</v>
      </c>
      <c r="C1474" s="20">
        <f>+VLOOKUP(PROVEEDORES[[#This Row],[PROVEEDOR]],TERCEROS_INFO[#All],2,FALSE)</f>
        <v>30</v>
      </c>
      <c r="D1474" s="25">
        <f>+SUMIFS(PROVEEDORES[Total],PROVEEDORES[PROVEEDOR],PROVEEDORES[[#This Row],[PROVEEDOR]],PROVEEDORES[FECHA DE PAGO],"")</f>
        <v>0</v>
      </c>
      <c r="E1474" s="25"/>
      <c r="F1474" s="56" t="str">
        <f>+VLOOKUP(PROVEEDORES[[#This Row],[PROVEEDOR]],
                       Terceros!$A:$F,
                       5,
                       FALSE)</f>
        <v/>
      </c>
      <c r="G1474" s="68">
        <v>45049</v>
      </c>
      <c r="H1474" s="26" t="s">
        <v>409</v>
      </c>
      <c r="I1474" s="68">
        <v>44982</v>
      </c>
      <c r="J1474" s="35">
        <v>39</v>
      </c>
      <c r="K1474" s="21">
        <v>26600</v>
      </c>
      <c r="L1474" s="21"/>
      <c r="M1474" s="22">
        <f>(PROVEEDORES[[#This Row],[SUBTOTAL]]-PROVEEDORES[[#This Row],[descuento sobre subtotal]])*VLOOKUP(PROVEEDORES[[#This Row],[PROVEEDOR]],TERCEROS_INFO[#All],3,FALSE)</f>
        <v>0</v>
      </c>
      <c r="N1474" s="23"/>
      <c r="O1474" s="22">
        <f>+PROVEEDORES[[#This Row],[Descuento sobre subtotal %]]*(PROVEEDORES[[#This Row],[SUBTOTAL]]-PROVEEDORES[[#This Row],[descuento sobre subtotal]])</f>
        <v>0</v>
      </c>
      <c r="P1474" s="74">
        <f>+IF(PROVEEDORES[[#This Row],[SUBTOTAL]]&lt;PROVEEDORES[[#This Row],[base retencion]],0,PROVEEDORES[[#This Row],[retención aplicada]])</f>
        <v>0</v>
      </c>
      <c r="Q1474" s="22">
        <f>+PROVEEDORES[[#This Row],[Rete Fuente %]]*(PROVEEDORES[[#This Row],[SUBTOTAL]]-PROVEEDORES[[#This Row],[descuento sobre subtotal]])</f>
        <v>0</v>
      </c>
      <c r="R1474" s="21">
        <f>+PROVEEDORES[[#This Row],[SUBTOTAL]]+PROVEEDORES[[#This Row],[IVA 19%]]-PROVEEDORES[[#This Row],[descuento sobre subtotal]]-PROVEEDORES[[#This Row],[Descuento sobre subtotal $2]]-PROVEEDORES[[#This Row],[Rete Fuente $]]</f>
        <v>26600</v>
      </c>
      <c r="S14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4" s="63">
        <f ca="1">IF(PROVEEDORES[[#This Row],[FECHA DE PAGO]]=0,TODAY()-PROVEEDORES[[#This Row],[FECHA DE FACTURACIÓN]]-PROVEEDORES[[#This Row],[PLAZO Días]],0)</f>
        <v>0</v>
      </c>
      <c r="U1474" s="104">
        <f>+VLOOKUP(PROVEEDORES[[#This Row],[PROVEEDOR]],Terceros!$A:$D,4,FALSE)</f>
        <v>0</v>
      </c>
      <c r="V1474" s="105">
        <f>+YEAR(PROVEEDORES[[#This Row],[FECHA DE FACTURACIÓN]])</f>
        <v>2023</v>
      </c>
      <c r="W1474" s="105">
        <f>+MATCH(PROVEEDORES[[#This Row],[año facturado]],Retenciones!$1:$1,0)</f>
        <v>6</v>
      </c>
      <c r="X1474" s="106">
        <f>+VLOOKUP(PROVEEDORES[[#This Row],[ID RETENCION]],Retenciones!$A$1:$O$25,PROVEEDORES[[#This Row],[indicador de columna]],FALSE)</f>
        <v>0</v>
      </c>
      <c r="Y1474" s="107">
        <f>+VLOOKUP(PROVEEDORES[[#This Row],[ID RETENCION]],Retenciones!$A$1:$O$25,2,FALSE)</f>
        <v>0</v>
      </c>
      <c r="Z1474" s="116" t="b">
        <f>OR(COUNTIF(PROVEEDORES[[#This Row],[PROVEEDOR]],"*"&amp;'Palabra no opera'!$A$2&amp;"*"))</f>
        <v>0</v>
      </c>
    </row>
    <row r="1475" spans="1:26" ht="22.35" customHeight="1" x14ac:dyDescent="0.3">
      <c r="A1475" s="67" t="str">
        <f>+IF(PROVEEDORES[[#This Row],[FECHA DE PAGO]]=PROVEEDORES[[#This Row],[FECHA DE FACTURACIÓN]],"DE CONTADO","CRÉDITO")</f>
        <v>CRÉDITO</v>
      </c>
      <c r="B1475" s="38" t="str">
        <f>+IF((PROVEEDORES[[#This Row],[FECHA DE PAGO]]-PROVEEDORES[[#This Row],[FECHA DE FACTURACIÓN]])&gt;PROVEEDORES[[#This Row],[PLAZO Días]],"PAGO VENCIDO")</f>
        <v>PAGO VENCIDO</v>
      </c>
      <c r="C1475" s="20">
        <f>+VLOOKUP(PROVEEDORES[[#This Row],[PROVEEDOR]],TERCEROS_INFO[#All],2,FALSE)</f>
        <v>30</v>
      </c>
      <c r="D1475" s="25">
        <f>+SUMIFS(PROVEEDORES[Total],PROVEEDORES[PROVEEDOR],PROVEEDORES[[#This Row],[PROVEEDOR]],PROVEEDORES[FECHA DE PAGO],"")</f>
        <v>0</v>
      </c>
      <c r="E1475" s="25"/>
      <c r="F1475" s="56" t="str">
        <f>+VLOOKUP(PROVEEDORES[[#This Row],[PROVEEDOR]],
                       Terceros!$A:$F,
                       5,
                       FALSE)</f>
        <v/>
      </c>
      <c r="G1475" s="68">
        <v>45049</v>
      </c>
      <c r="H1475" s="26" t="s">
        <v>409</v>
      </c>
      <c r="I1475" s="68">
        <v>44985</v>
      </c>
      <c r="J1475" s="35">
        <v>40</v>
      </c>
      <c r="K1475" s="21">
        <v>113000</v>
      </c>
      <c r="L1475" s="21"/>
      <c r="M1475" s="22">
        <f>(PROVEEDORES[[#This Row],[SUBTOTAL]]-PROVEEDORES[[#This Row],[descuento sobre subtotal]])*VLOOKUP(PROVEEDORES[[#This Row],[PROVEEDOR]],TERCEROS_INFO[#All],3,FALSE)</f>
        <v>0</v>
      </c>
      <c r="N1475" s="23"/>
      <c r="O1475" s="22">
        <f>+PROVEEDORES[[#This Row],[Descuento sobre subtotal %]]*(PROVEEDORES[[#This Row],[SUBTOTAL]]-PROVEEDORES[[#This Row],[descuento sobre subtotal]])</f>
        <v>0</v>
      </c>
      <c r="P1475" s="74">
        <f>+IF(PROVEEDORES[[#This Row],[SUBTOTAL]]&lt;PROVEEDORES[[#This Row],[base retencion]],0,PROVEEDORES[[#This Row],[retención aplicada]])</f>
        <v>0</v>
      </c>
      <c r="Q1475" s="22">
        <f>+PROVEEDORES[[#This Row],[Rete Fuente %]]*(PROVEEDORES[[#This Row],[SUBTOTAL]]-PROVEEDORES[[#This Row],[descuento sobre subtotal]])</f>
        <v>0</v>
      </c>
      <c r="R1475" s="21">
        <f>+PROVEEDORES[[#This Row],[SUBTOTAL]]+PROVEEDORES[[#This Row],[IVA 19%]]-PROVEEDORES[[#This Row],[descuento sobre subtotal]]-PROVEEDORES[[#This Row],[Descuento sobre subtotal $2]]-PROVEEDORES[[#This Row],[Rete Fuente $]]</f>
        <v>113000</v>
      </c>
      <c r="S14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5" s="63">
        <f ca="1">IF(PROVEEDORES[[#This Row],[FECHA DE PAGO]]=0,TODAY()-PROVEEDORES[[#This Row],[FECHA DE FACTURACIÓN]]-PROVEEDORES[[#This Row],[PLAZO Días]],0)</f>
        <v>0</v>
      </c>
      <c r="U1475" s="104">
        <f>+VLOOKUP(PROVEEDORES[[#This Row],[PROVEEDOR]],Terceros!$A:$D,4,FALSE)</f>
        <v>0</v>
      </c>
      <c r="V1475" s="105">
        <f>+YEAR(PROVEEDORES[[#This Row],[FECHA DE FACTURACIÓN]])</f>
        <v>2023</v>
      </c>
      <c r="W1475" s="105">
        <f>+MATCH(PROVEEDORES[[#This Row],[año facturado]],Retenciones!$1:$1,0)</f>
        <v>6</v>
      </c>
      <c r="X1475" s="106">
        <f>+VLOOKUP(PROVEEDORES[[#This Row],[ID RETENCION]],Retenciones!$A$1:$O$25,PROVEEDORES[[#This Row],[indicador de columna]],FALSE)</f>
        <v>0</v>
      </c>
      <c r="Y1475" s="107">
        <f>+VLOOKUP(PROVEEDORES[[#This Row],[ID RETENCION]],Retenciones!$A$1:$O$25,2,FALSE)</f>
        <v>0</v>
      </c>
      <c r="Z1475" s="116" t="b">
        <f>OR(COUNTIF(PROVEEDORES[[#This Row],[PROVEEDOR]],"*"&amp;'Palabra no opera'!$A$2&amp;"*"))</f>
        <v>0</v>
      </c>
    </row>
    <row r="1476" spans="1:26" ht="22.35" customHeight="1" x14ac:dyDescent="0.3">
      <c r="A1476" s="67" t="str">
        <f>+IF(PROVEEDORES[[#This Row],[FECHA DE PAGO]]=PROVEEDORES[[#This Row],[FECHA DE FACTURACIÓN]],"DE CONTADO","CRÉDITO")</f>
        <v>CRÉDITO</v>
      </c>
      <c r="B1476" s="38" t="str">
        <f>+IF((PROVEEDORES[[#This Row],[FECHA DE PAGO]]-PROVEEDORES[[#This Row],[FECHA DE FACTURACIÓN]])&gt;PROVEEDORES[[#This Row],[PLAZO Días]],"PAGO VENCIDO")</f>
        <v>PAGO VENCIDO</v>
      </c>
      <c r="C1476" s="20">
        <f>+VLOOKUP(PROVEEDORES[[#This Row],[PROVEEDOR]],TERCEROS_INFO[#All],2,FALSE)</f>
        <v>30</v>
      </c>
      <c r="D1476" s="25">
        <f>+SUMIFS(PROVEEDORES[Total],PROVEEDORES[PROVEEDOR],PROVEEDORES[[#This Row],[PROVEEDOR]],PROVEEDORES[FECHA DE PAGO],"")</f>
        <v>0</v>
      </c>
      <c r="E1476" s="25"/>
      <c r="F1476" s="56" t="str">
        <f>+VLOOKUP(PROVEEDORES[[#This Row],[PROVEEDOR]],
                       Terceros!$A:$F,
                       5,
                       FALSE)</f>
        <v/>
      </c>
      <c r="G1476" s="68">
        <v>45049</v>
      </c>
      <c r="H1476" s="26" t="s">
        <v>409</v>
      </c>
      <c r="I1476" s="68">
        <v>44993</v>
      </c>
      <c r="J1476" s="35">
        <v>41</v>
      </c>
      <c r="K1476" s="21">
        <v>468000</v>
      </c>
      <c r="L1476" s="21"/>
      <c r="M1476" s="22">
        <f>(PROVEEDORES[[#This Row],[SUBTOTAL]]-PROVEEDORES[[#This Row],[descuento sobre subtotal]])*VLOOKUP(PROVEEDORES[[#This Row],[PROVEEDOR]],TERCEROS_INFO[#All],3,FALSE)</f>
        <v>0</v>
      </c>
      <c r="N1476" s="23"/>
      <c r="O1476" s="22">
        <f>+PROVEEDORES[[#This Row],[Descuento sobre subtotal %]]*(PROVEEDORES[[#This Row],[SUBTOTAL]]-PROVEEDORES[[#This Row],[descuento sobre subtotal]])</f>
        <v>0</v>
      </c>
      <c r="P1476" s="74">
        <f>+IF(PROVEEDORES[[#This Row],[SUBTOTAL]]&lt;PROVEEDORES[[#This Row],[base retencion]],0,PROVEEDORES[[#This Row],[retención aplicada]])</f>
        <v>0</v>
      </c>
      <c r="Q1476" s="22">
        <f>+PROVEEDORES[[#This Row],[Rete Fuente %]]*(PROVEEDORES[[#This Row],[SUBTOTAL]]-PROVEEDORES[[#This Row],[descuento sobre subtotal]])</f>
        <v>0</v>
      </c>
      <c r="R1476" s="21">
        <f>+PROVEEDORES[[#This Row],[SUBTOTAL]]+PROVEEDORES[[#This Row],[IVA 19%]]-PROVEEDORES[[#This Row],[descuento sobre subtotal]]-PROVEEDORES[[#This Row],[Descuento sobre subtotal $2]]-PROVEEDORES[[#This Row],[Rete Fuente $]]</f>
        <v>468000</v>
      </c>
      <c r="S14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6" s="63">
        <f ca="1">IF(PROVEEDORES[[#This Row],[FECHA DE PAGO]]=0,TODAY()-PROVEEDORES[[#This Row],[FECHA DE FACTURACIÓN]]-PROVEEDORES[[#This Row],[PLAZO Días]],0)</f>
        <v>0</v>
      </c>
      <c r="U1476" s="104">
        <f>+VLOOKUP(PROVEEDORES[[#This Row],[PROVEEDOR]],Terceros!$A:$D,4,FALSE)</f>
        <v>0</v>
      </c>
      <c r="V1476" s="105">
        <f>+YEAR(PROVEEDORES[[#This Row],[FECHA DE FACTURACIÓN]])</f>
        <v>2023</v>
      </c>
      <c r="W1476" s="105">
        <f>+MATCH(PROVEEDORES[[#This Row],[año facturado]],Retenciones!$1:$1,0)</f>
        <v>6</v>
      </c>
      <c r="X1476" s="106">
        <f>+VLOOKUP(PROVEEDORES[[#This Row],[ID RETENCION]],Retenciones!$A$1:$O$25,PROVEEDORES[[#This Row],[indicador de columna]],FALSE)</f>
        <v>0</v>
      </c>
      <c r="Y1476" s="107">
        <f>+VLOOKUP(PROVEEDORES[[#This Row],[ID RETENCION]],Retenciones!$A$1:$O$25,2,FALSE)</f>
        <v>0</v>
      </c>
      <c r="Z1476" s="116" t="b">
        <f>OR(COUNTIF(PROVEEDORES[[#This Row],[PROVEEDOR]],"*"&amp;'Palabra no opera'!$A$2&amp;"*"))</f>
        <v>0</v>
      </c>
    </row>
    <row r="1477" spans="1:26" ht="22.35" customHeight="1" x14ac:dyDescent="0.3">
      <c r="A1477" s="67" t="str">
        <f>+IF(PROVEEDORES[[#This Row],[FECHA DE PAGO]]=PROVEEDORES[[#This Row],[FECHA DE FACTURACIÓN]],"DE CONTADO","CRÉDITO")</f>
        <v>CRÉDITO</v>
      </c>
      <c r="B1477" s="38" t="str">
        <f>+IF((PROVEEDORES[[#This Row],[FECHA DE PAGO]]-PROVEEDORES[[#This Row],[FECHA DE FACTURACIÓN]])&gt;PROVEEDORES[[#This Row],[PLAZO Días]],"PAGO VENCIDO")</f>
        <v>PAGO VENCIDO</v>
      </c>
      <c r="C1477" s="20">
        <f>+VLOOKUP(PROVEEDORES[[#This Row],[PROVEEDOR]],TERCEROS_INFO[#All],2,FALSE)</f>
        <v>30</v>
      </c>
      <c r="D1477" s="25">
        <f>+SUMIFS(PROVEEDORES[Total],PROVEEDORES[PROVEEDOR],PROVEEDORES[[#This Row],[PROVEEDOR]],PROVEEDORES[FECHA DE PAGO],"")</f>
        <v>0</v>
      </c>
      <c r="E1477" s="25"/>
      <c r="F1477" s="56" t="str">
        <f>+VLOOKUP(PROVEEDORES[[#This Row],[PROVEEDOR]],
                       Terceros!$A:$F,
                       5,
                       FALSE)</f>
        <v/>
      </c>
      <c r="G1477" s="68">
        <v>45049</v>
      </c>
      <c r="H1477" s="26" t="s">
        <v>409</v>
      </c>
      <c r="I1477" s="68">
        <v>44999</v>
      </c>
      <c r="J1477" s="35">
        <v>42</v>
      </c>
      <c r="K1477" s="21">
        <v>86000</v>
      </c>
      <c r="L1477" s="21"/>
      <c r="M1477" s="22">
        <f>(PROVEEDORES[[#This Row],[SUBTOTAL]]-PROVEEDORES[[#This Row],[descuento sobre subtotal]])*VLOOKUP(PROVEEDORES[[#This Row],[PROVEEDOR]],TERCEROS_INFO[#All],3,FALSE)</f>
        <v>0</v>
      </c>
      <c r="N1477" s="23"/>
      <c r="O1477" s="22">
        <f>+PROVEEDORES[[#This Row],[Descuento sobre subtotal %]]*(PROVEEDORES[[#This Row],[SUBTOTAL]]-PROVEEDORES[[#This Row],[descuento sobre subtotal]])</f>
        <v>0</v>
      </c>
      <c r="P1477" s="74">
        <f>+IF(PROVEEDORES[[#This Row],[SUBTOTAL]]&lt;PROVEEDORES[[#This Row],[base retencion]],0,PROVEEDORES[[#This Row],[retención aplicada]])</f>
        <v>0</v>
      </c>
      <c r="Q1477" s="22">
        <f>+PROVEEDORES[[#This Row],[Rete Fuente %]]*(PROVEEDORES[[#This Row],[SUBTOTAL]]-PROVEEDORES[[#This Row],[descuento sobre subtotal]])</f>
        <v>0</v>
      </c>
      <c r="R1477" s="21">
        <f>+PROVEEDORES[[#This Row],[SUBTOTAL]]+PROVEEDORES[[#This Row],[IVA 19%]]-PROVEEDORES[[#This Row],[descuento sobre subtotal]]-PROVEEDORES[[#This Row],[Descuento sobre subtotal $2]]-PROVEEDORES[[#This Row],[Rete Fuente $]]</f>
        <v>86000</v>
      </c>
      <c r="S14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7" s="63">
        <f ca="1">IF(PROVEEDORES[[#This Row],[FECHA DE PAGO]]=0,TODAY()-PROVEEDORES[[#This Row],[FECHA DE FACTURACIÓN]]-PROVEEDORES[[#This Row],[PLAZO Días]],0)</f>
        <v>0</v>
      </c>
      <c r="U1477" s="104">
        <f>+VLOOKUP(PROVEEDORES[[#This Row],[PROVEEDOR]],Terceros!$A:$D,4,FALSE)</f>
        <v>0</v>
      </c>
      <c r="V1477" s="105">
        <f>+YEAR(PROVEEDORES[[#This Row],[FECHA DE FACTURACIÓN]])</f>
        <v>2023</v>
      </c>
      <c r="W1477" s="105">
        <f>+MATCH(PROVEEDORES[[#This Row],[año facturado]],Retenciones!$1:$1,0)</f>
        <v>6</v>
      </c>
      <c r="X1477" s="106">
        <f>+VLOOKUP(PROVEEDORES[[#This Row],[ID RETENCION]],Retenciones!$A$1:$O$25,PROVEEDORES[[#This Row],[indicador de columna]],FALSE)</f>
        <v>0</v>
      </c>
      <c r="Y1477" s="107">
        <f>+VLOOKUP(PROVEEDORES[[#This Row],[ID RETENCION]],Retenciones!$A$1:$O$25,2,FALSE)</f>
        <v>0</v>
      </c>
      <c r="Z1477" s="116" t="b">
        <f>OR(COUNTIF(PROVEEDORES[[#This Row],[PROVEEDOR]],"*"&amp;'Palabra no opera'!$A$2&amp;"*"))</f>
        <v>0</v>
      </c>
    </row>
    <row r="1478" spans="1:26" ht="22.35" customHeight="1" x14ac:dyDescent="0.3">
      <c r="A1478" s="67" t="str">
        <f>+IF(PROVEEDORES[[#This Row],[FECHA DE PAGO]]=PROVEEDORES[[#This Row],[FECHA DE FACTURACIÓN]],"DE CONTADO","CRÉDITO")</f>
        <v>CRÉDITO</v>
      </c>
      <c r="B1478" s="38" t="str">
        <f>+IF((PROVEEDORES[[#This Row],[FECHA DE PAGO]]-PROVEEDORES[[#This Row],[FECHA DE FACTURACIÓN]])&gt;PROVEEDORES[[#This Row],[PLAZO Días]],"PAGO VENCIDO")</f>
        <v>PAGO VENCIDO</v>
      </c>
      <c r="C1478" s="20">
        <f>+VLOOKUP(PROVEEDORES[[#This Row],[PROVEEDOR]],TERCEROS_INFO[#All],2,FALSE)</f>
        <v>30</v>
      </c>
      <c r="D1478" s="25">
        <f>+SUMIFS(PROVEEDORES[Total],PROVEEDORES[PROVEEDOR],PROVEEDORES[[#This Row],[PROVEEDOR]],PROVEEDORES[FECHA DE PAGO],"")</f>
        <v>0</v>
      </c>
      <c r="E1478" s="25"/>
      <c r="F1478" s="56" t="str">
        <f>+VLOOKUP(PROVEEDORES[[#This Row],[PROVEEDOR]],
                       Terceros!$A:$F,
                       5,
                       FALSE)</f>
        <v/>
      </c>
      <c r="G1478" s="68">
        <v>45049</v>
      </c>
      <c r="H1478" s="26" t="s">
        <v>409</v>
      </c>
      <c r="I1478" s="68">
        <v>45013</v>
      </c>
      <c r="J1478" s="35">
        <v>43</v>
      </c>
      <c r="K1478" s="21">
        <v>226000</v>
      </c>
      <c r="L1478" s="21"/>
      <c r="M1478" s="22">
        <f>(PROVEEDORES[[#This Row],[SUBTOTAL]]-PROVEEDORES[[#This Row],[descuento sobre subtotal]])*VLOOKUP(PROVEEDORES[[#This Row],[PROVEEDOR]],TERCEROS_INFO[#All],3,FALSE)</f>
        <v>0</v>
      </c>
      <c r="N1478" s="23"/>
      <c r="O1478" s="22">
        <f>+PROVEEDORES[[#This Row],[Descuento sobre subtotal %]]*(PROVEEDORES[[#This Row],[SUBTOTAL]]-PROVEEDORES[[#This Row],[descuento sobre subtotal]])</f>
        <v>0</v>
      </c>
      <c r="P1478" s="74">
        <f>+IF(PROVEEDORES[[#This Row],[SUBTOTAL]]&lt;PROVEEDORES[[#This Row],[base retencion]],0,PROVEEDORES[[#This Row],[retención aplicada]])</f>
        <v>0</v>
      </c>
      <c r="Q1478" s="22">
        <f>+PROVEEDORES[[#This Row],[Rete Fuente %]]*(PROVEEDORES[[#This Row],[SUBTOTAL]]-PROVEEDORES[[#This Row],[descuento sobre subtotal]])</f>
        <v>0</v>
      </c>
      <c r="R1478" s="21">
        <f>+PROVEEDORES[[#This Row],[SUBTOTAL]]+PROVEEDORES[[#This Row],[IVA 19%]]-PROVEEDORES[[#This Row],[descuento sobre subtotal]]-PROVEEDORES[[#This Row],[Descuento sobre subtotal $2]]-PROVEEDORES[[#This Row],[Rete Fuente $]]</f>
        <v>226000</v>
      </c>
      <c r="S14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8" s="63">
        <f ca="1">IF(PROVEEDORES[[#This Row],[FECHA DE PAGO]]=0,TODAY()-PROVEEDORES[[#This Row],[FECHA DE FACTURACIÓN]]-PROVEEDORES[[#This Row],[PLAZO Días]],0)</f>
        <v>0</v>
      </c>
      <c r="U1478" s="104">
        <f>+VLOOKUP(PROVEEDORES[[#This Row],[PROVEEDOR]],Terceros!$A:$D,4,FALSE)</f>
        <v>0</v>
      </c>
      <c r="V1478" s="105">
        <f>+YEAR(PROVEEDORES[[#This Row],[FECHA DE FACTURACIÓN]])</f>
        <v>2023</v>
      </c>
      <c r="W1478" s="105">
        <f>+MATCH(PROVEEDORES[[#This Row],[año facturado]],Retenciones!$1:$1,0)</f>
        <v>6</v>
      </c>
      <c r="X1478" s="106">
        <f>+VLOOKUP(PROVEEDORES[[#This Row],[ID RETENCION]],Retenciones!$A$1:$O$25,PROVEEDORES[[#This Row],[indicador de columna]],FALSE)</f>
        <v>0</v>
      </c>
      <c r="Y1478" s="107">
        <f>+VLOOKUP(PROVEEDORES[[#This Row],[ID RETENCION]],Retenciones!$A$1:$O$25,2,FALSE)</f>
        <v>0</v>
      </c>
      <c r="Z1478" s="116" t="b">
        <f>OR(COUNTIF(PROVEEDORES[[#This Row],[PROVEEDOR]],"*"&amp;'Palabra no opera'!$A$2&amp;"*"))</f>
        <v>0</v>
      </c>
    </row>
    <row r="1479" spans="1:26" ht="22.35" customHeight="1" x14ac:dyDescent="0.3">
      <c r="A1479" s="310" t="str">
        <f>+IF(PROVEEDORES[[#This Row],[FECHA DE PAGO]]=PROVEEDORES[[#This Row],[FECHA DE FACTURACIÓN]],"DE CONTADO","CRÉDITO")</f>
        <v>DE CONTADO</v>
      </c>
      <c r="B1479" s="38" t="b">
        <f>+IF((PROVEEDORES[[#This Row],[FECHA DE PAGO]]-PROVEEDORES[[#This Row],[FECHA DE FACTURACIÓN]])&gt;PROVEEDORES[[#This Row],[PLAZO Días]],"PAGO VENCIDO")</f>
        <v>0</v>
      </c>
      <c r="C1479" s="20">
        <f>+VLOOKUP(PROVEEDORES[[#This Row],[PROVEEDOR]],TERCEROS_INFO[#All],2,FALSE)</f>
        <v>30</v>
      </c>
      <c r="D1479" s="25">
        <f>+SUMIFS(PROVEEDORES[Total],PROVEEDORES[PROVEEDOR],PROVEEDORES[[#This Row],[PROVEEDOR]],PROVEEDORES[FECHA DE PAGO],"")</f>
        <v>0</v>
      </c>
      <c r="E1479" s="25"/>
      <c r="F147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79" s="68">
        <v>45049</v>
      </c>
      <c r="H1479" s="26" t="s">
        <v>227</v>
      </c>
      <c r="I1479" s="68">
        <v>45049</v>
      </c>
      <c r="J1479" s="35" t="s">
        <v>1687</v>
      </c>
      <c r="K1479" s="21">
        <v>1740000</v>
      </c>
      <c r="L1479" s="21"/>
      <c r="M1479" s="22">
        <f>(PROVEEDORES[[#This Row],[SUBTOTAL]]-PROVEEDORES[[#This Row],[descuento sobre subtotal]])*VLOOKUP(PROVEEDORES[[#This Row],[PROVEEDOR]],TERCEROS_INFO[#All],3,FALSE)</f>
        <v>0</v>
      </c>
      <c r="N1479" s="23"/>
      <c r="O1479" s="22">
        <f>+PROVEEDORES[[#This Row],[Descuento sobre subtotal %]]*(PROVEEDORES[[#This Row],[SUBTOTAL]]-PROVEEDORES[[#This Row],[descuento sobre subtotal]])</f>
        <v>0</v>
      </c>
      <c r="P1479" s="74">
        <f>+IF(PROVEEDORES[[#This Row],[SUBTOTAL]]&lt;PROVEEDORES[[#This Row],[base retencion]],0,PROVEEDORES[[#This Row],[retención aplicada]])</f>
        <v>0</v>
      </c>
      <c r="Q1479" s="22">
        <f>+PROVEEDORES[[#This Row],[Rete Fuente %]]*(PROVEEDORES[[#This Row],[SUBTOTAL]]-PROVEEDORES[[#This Row],[descuento sobre subtotal]])</f>
        <v>0</v>
      </c>
      <c r="R1479" s="21">
        <f>+PROVEEDORES[[#This Row],[SUBTOTAL]]+PROVEEDORES[[#This Row],[IVA 19%]]-PROVEEDORES[[#This Row],[descuento sobre subtotal]]-PROVEEDORES[[#This Row],[Descuento sobre subtotal $2]]-PROVEEDORES[[#This Row],[Rete Fuente $]]</f>
        <v>1740000</v>
      </c>
      <c r="S1479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9" s="63">
        <f ca="1">IF(PROVEEDORES[[#This Row],[FECHA DE PAGO]]=0,TODAY()-PROVEEDORES[[#This Row],[FECHA DE FACTURACIÓN]]-PROVEEDORES[[#This Row],[PLAZO Días]],0)</f>
        <v>0</v>
      </c>
      <c r="U1479" s="104">
        <f>+VLOOKUP(PROVEEDORES[[#This Row],[PROVEEDOR]],Terceros!$A:$D,4,FALSE)</f>
        <v>0</v>
      </c>
      <c r="V1479" s="105">
        <f>+YEAR(PROVEEDORES[[#This Row],[FECHA DE FACTURACIÓN]])</f>
        <v>2023</v>
      </c>
      <c r="W1479" s="105">
        <f>+MATCH(PROVEEDORES[[#This Row],[año facturado]],Retenciones!$1:$1,0)</f>
        <v>6</v>
      </c>
      <c r="X1479" s="106">
        <f>+VLOOKUP(PROVEEDORES[[#This Row],[ID RETENCION]],Retenciones!$A$1:$O$25,PROVEEDORES[[#This Row],[indicador de columna]],FALSE)</f>
        <v>0</v>
      </c>
      <c r="Y1479" s="107">
        <f>+VLOOKUP(PROVEEDORES[[#This Row],[ID RETENCION]],Retenciones!$A$1:$O$25,2,FALSE)</f>
        <v>0</v>
      </c>
      <c r="Z1479" s="116" t="b">
        <f>OR(COUNTIF(PROVEEDORES[[#This Row],[PROVEEDOR]],"*"&amp;'Palabra no opera'!$A$2&amp;"*"))</f>
        <v>0</v>
      </c>
    </row>
    <row r="1480" spans="1:26" ht="22.35" customHeight="1" x14ac:dyDescent="0.3">
      <c r="A1480" s="308" t="str">
        <f>+IF(PROVEEDORES[[#This Row],[FECHA DE PAGO]]=PROVEEDORES[[#This Row],[FECHA DE FACTURACIÓN]],"DE CONTADO","CRÉDITO")</f>
        <v>CRÉDITO</v>
      </c>
      <c r="B1480" s="38" t="b">
        <f>+IF((PROVEEDORES[[#This Row],[FECHA DE PAGO]]-PROVEEDORES[[#This Row],[FECHA DE FACTURACIÓN]])&gt;PROVEEDORES[[#This Row],[PLAZO Días]],"PAGO VENCIDO")</f>
        <v>0</v>
      </c>
      <c r="C1480" s="20">
        <f>+VLOOKUP(PROVEEDORES[[#This Row],[PROVEEDOR]],TERCEROS_INFO[#All],2,FALSE)</f>
        <v>60</v>
      </c>
      <c r="D1480" s="25">
        <f>+SUMIFS(PROVEEDORES[Total],PROVEEDORES[PROVEEDOR],PROVEEDORES[[#This Row],[PROVEEDOR]],PROVEEDORES[FECHA DE PAGO],"")</f>
        <v>395600</v>
      </c>
      <c r="E1480" s="25"/>
      <c r="F148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0" s="68">
        <v>45051</v>
      </c>
      <c r="H1480" s="26" t="s">
        <v>287</v>
      </c>
      <c r="I1480" s="68">
        <v>45017</v>
      </c>
      <c r="J1480" s="35" t="s">
        <v>1573</v>
      </c>
      <c r="K1480" s="21">
        <v>169670</v>
      </c>
      <c r="L1480" s="21"/>
      <c r="M1480" s="22">
        <f>(PROVEEDORES[[#This Row],[SUBTOTAL]]-PROVEEDORES[[#This Row],[descuento sobre subtotal]])*VLOOKUP(PROVEEDORES[[#This Row],[PROVEEDOR]],TERCEROS_INFO[#All],3,FALSE)</f>
        <v>0</v>
      </c>
      <c r="N1480" s="23"/>
      <c r="O1480" s="22">
        <f>+PROVEEDORES[[#This Row],[Descuento sobre subtotal %]]*(PROVEEDORES[[#This Row],[SUBTOTAL]]-PROVEEDORES[[#This Row],[descuento sobre subtotal]])</f>
        <v>0</v>
      </c>
      <c r="P1480" s="74">
        <f>+IF(PROVEEDORES[[#This Row],[SUBTOTAL]]&lt;PROVEEDORES[[#This Row],[base retencion]],0,PROVEEDORES[[#This Row],[retención aplicada]])</f>
        <v>0</v>
      </c>
      <c r="Q1480" s="22">
        <f>+PROVEEDORES[[#This Row],[Rete Fuente %]]*(PROVEEDORES[[#This Row],[SUBTOTAL]]-PROVEEDORES[[#This Row],[descuento sobre subtotal]])</f>
        <v>0</v>
      </c>
      <c r="R1480" s="21">
        <f>+PROVEEDORES[[#This Row],[SUBTOTAL]]+PROVEEDORES[[#This Row],[IVA 19%]]-PROVEEDORES[[#This Row],[descuento sobre subtotal]]-PROVEEDORES[[#This Row],[Descuento sobre subtotal $2]]-PROVEEDORES[[#This Row],[Rete Fuente $]]</f>
        <v>169670</v>
      </c>
      <c r="S1480" s="3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0" s="63">
        <f ca="1">IF(PROVEEDORES[[#This Row],[FECHA DE PAGO]]=0,TODAY()-PROVEEDORES[[#This Row],[FECHA DE FACTURACIÓN]]-PROVEEDORES[[#This Row],[PLAZO Días]],0)</f>
        <v>0</v>
      </c>
      <c r="U1480" s="104">
        <f>+VLOOKUP(PROVEEDORES[[#This Row],[PROVEEDOR]],Terceros!$A:$D,4,FALSE)</f>
        <v>0</v>
      </c>
      <c r="V1480" s="105">
        <f>+YEAR(PROVEEDORES[[#This Row],[FECHA DE FACTURACIÓN]])</f>
        <v>2023</v>
      </c>
      <c r="W1480" s="105">
        <f>+MATCH(PROVEEDORES[[#This Row],[año facturado]],Retenciones!$1:$1,0)</f>
        <v>6</v>
      </c>
      <c r="X1480" s="106">
        <f>+VLOOKUP(PROVEEDORES[[#This Row],[ID RETENCION]],Retenciones!$A$1:$O$25,PROVEEDORES[[#This Row],[indicador de columna]],FALSE)</f>
        <v>0</v>
      </c>
      <c r="Y1480" s="107">
        <f>+VLOOKUP(PROVEEDORES[[#This Row],[ID RETENCION]],Retenciones!$A$1:$O$25,2,FALSE)</f>
        <v>0</v>
      </c>
      <c r="Z1480" s="116" t="b">
        <f>OR(COUNTIF(PROVEEDORES[[#This Row],[PROVEEDOR]],"*"&amp;'Palabra no opera'!$A$2&amp;"*"))</f>
        <v>0</v>
      </c>
    </row>
    <row r="1481" spans="1:26" ht="22.35" customHeight="1" x14ac:dyDescent="0.3">
      <c r="A1481" s="310" t="str">
        <f>+IF(PROVEEDORES[[#This Row],[FECHA DE PAGO]]=PROVEEDORES[[#This Row],[FECHA DE FACTURACIÓN]],"DE CONTADO","CRÉDITO")</f>
        <v>CRÉDITO</v>
      </c>
      <c r="B1481" s="38" t="b">
        <f>+IF((PROVEEDORES[[#This Row],[FECHA DE PAGO]]-PROVEEDORES[[#This Row],[FECHA DE FACTURACIÓN]])&gt;PROVEEDORES[[#This Row],[PLAZO Días]],"PAGO VENCIDO")</f>
        <v>0</v>
      </c>
      <c r="C1481" s="20">
        <f>+VLOOKUP(PROVEEDORES[[#This Row],[PROVEEDOR]],TERCEROS_INFO[#All],2,FALSE)</f>
        <v>60</v>
      </c>
      <c r="D1481" s="25">
        <f>+SUMIFS(PROVEEDORES[Total],PROVEEDORES[PROVEEDOR],PROVEEDORES[[#This Row],[PROVEEDOR]],PROVEEDORES[FECHA DE PAGO],"")</f>
        <v>395600</v>
      </c>
      <c r="E1481" s="25"/>
      <c r="F148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1" s="68">
        <v>45051</v>
      </c>
      <c r="H1481" s="26" t="s">
        <v>287</v>
      </c>
      <c r="I1481" s="68">
        <v>45022</v>
      </c>
      <c r="J1481" s="35">
        <v>1649</v>
      </c>
      <c r="K1481" s="21">
        <v>319600</v>
      </c>
      <c r="L1481" s="21"/>
      <c r="M1481" s="22">
        <f>(PROVEEDORES[[#This Row],[SUBTOTAL]]-PROVEEDORES[[#This Row],[descuento sobre subtotal]])*VLOOKUP(PROVEEDORES[[#This Row],[PROVEEDOR]],TERCEROS_INFO[#All],3,FALSE)</f>
        <v>0</v>
      </c>
      <c r="N1481" s="23"/>
      <c r="O1481" s="22">
        <f>+PROVEEDORES[[#This Row],[Descuento sobre subtotal %]]*(PROVEEDORES[[#This Row],[SUBTOTAL]]-PROVEEDORES[[#This Row],[descuento sobre subtotal]])</f>
        <v>0</v>
      </c>
      <c r="P1481" s="74">
        <f>+IF(PROVEEDORES[[#This Row],[SUBTOTAL]]&lt;PROVEEDORES[[#This Row],[base retencion]],0,PROVEEDORES[[#This Row],[retención aplicada]])</f>
        <v>0</v>
      </c>
      <c r="Q1481" s="22">
        <f>+PROVEEDORES[[#This Row],[Rete Fuente %]]*(PROVEEDORES[[#This Row],[SUBTOTAL]]-PROVEEDORES[[#This Row],[descuento sobre subtotal]])</f>
        <v>0</v>
      </c>
      <c r="R1481" s="21">
        <f>+PROVEEDORES[[#This Row],[SUBTOTAL]]+PROVEEDORES[[#This Row],[IVA 19%]]-PROVEEDORES[[#This Row],[descuento sobre subtotal]]-PROVEEDORES[[#This Row],[Descuento sobre subtotal $2]]-PROVEEDORES[[#This Row],[Rete Fuente $]]</f>
        <v>319600</v>
      </c>
      <c r="S148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1" s="63">
        <f ca="1">IF(PROVEEDORES[[#This Row],[FECHA DE PAGO]]=0,TODAY()-PROVEEDORES[[#This Row],[FECHA DE FACTURACIÓN]]-PROVEEDORES[[#This Row],[PLAZO Días]],0)</f>
        <v>0</v>
      </c>
      <c r="U1481" s="104">
        <f>+VLOOKUP(PROVEEDORES[[#This Row],[PROVEEDOR]],Terceros!$A:$D,4,FALSE)</f>
        <v>0</v>
      </c>
      <c r="V1481" s="105">
        <f>+YEAR(PROVEEDORES[[#This Row],[FECHA DE FACTURACIÓN]])</f>
        <v>2023</v>
      </c>
      <c r="W1481" s="105">
        <f>+MATCH(PROVEEDORES[[#This Row],[año facturado]],Retenciones!$1:$1,0)</f>
        <v>6</v>
      </c>
      <c r="X1481" s="106">
        <f>+VLOOKUP(PROVEEDORES[[#This Row],[ID RETENCION]],Retenciones!$A$1:$O$25,PROVEEDORES[[#This Row],[indicador de columna]],FALSE)</f>
        <v>0</v>
      </c>
      <c r="Y1481" s="107">
        <f>+VLOOKUP(PROVEEDORES[[#This Row],[ID RETENCION]],Retenciones!$A$1:$O$25,2,FALSE)</f>
        <v>0</v>
      </c>
      <c r="Z1481" s="116" t="b">
        <f>OR(COUNTIF(PROVEEDORES[[#This Row],[PROVEEDOR]],"*"&amp;'Palabra no opera'!$A$2&amp;"*"))</f>
        <v>0</v>
      </c>
    </row>
    <row r="1482" spans="1:26" ht="22.35" customHeight="1" x14ac:dyDescent="0.3">
      <c r="A1482" s="310" t="str">
        <f>+IF(PROVEEDORES[[#This Row],[FECHA DE PAGO]]=PROVEEDORES[[#This Row],[FECHA DE FACTURACIÓN]],"DE CONTADO","CRÉDITO")</f>
        <v>CRÉDITO</v>
      </c>
      <c r="B1482" s="38" t="b">
        <f>+IF((PROVEEDORES[[#This Row],[FECHA DE PAGO]]-PROVEEDORES[[#This Row],[FECHA DE FACTURACIÓN]])&gt;PROVEEDORES[[#This Row],[PLAZO Días]],"PAGO VENCIDO")</f>
        <v>0</v>
      </c>
      <c r="C1482" s="20">
        <f>+VLOOKUP(PROVEEDORES[[#This Row],[PROVEEDOR]],TERCEROS_INFO[#All],2,FALSE)</f>
        <v>60</v>
      </c>
      <c r="D1482" s="25">
        <f>+SUMIFS(PROVEEDORES[Total],PROVEEDORES[PROVEEDOR],PROVEEDORES[[#This Row],[PROVEEDOR]],PROVEEDORES[FECHA DE PAGO],"")</f>
        <v>395600</v>
      </c>
      <c r="E1482" s="25"/>
      <c r="F148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2" s="68">
        <v>45051</v>
      </c>
      <c r="H1482" s="26" t="s">
        <v>287</v>
      </c>
      <c r="I1482" s="68">
        <v>45022</v>
      </c>
      <c r="J1482" s="35">
        <v>1650</v>
      </c>
      <c r="K1482" s="21">
        <v>338400</v>
      </c>
      <c r="L1482" s="21"/>
      <c r="M1482" s="22">
        <f>(PROVEEDORES[[#This Row],[SUBTOTAL]]-PROVEEDORES[[#This Row],[descuento sobre subtotal]])*VLOOKUP(PROVEEDORES[[#This Row],[PROVEEDOR]],TERCEROS_INFO[#All],3,FALSE)</f>
        <v>0</v>
      </c>
      <c r="N1482" s="23"/>
      <c r="O1482" s="22">
        <f>+PROVEEDORES[[#This Row],[Descuento sobre subtotal %]]*(PROVEEDORES[[#This Row],[SUBTOTAL]]-PROVEEDORES[[#This Row],[descuento sobre subtotal]])</f>
        <v>0</v>
      </c>
      <c r="P1482" s="74">
        <f>+IF(PROVEEDORES[[#This Row],[SUBTOTAL]]&lt;PROVEEDORES[[#This Row],[base retencion]],0,PROVEEDORES[[#This Row],[retención aplicada]])</f>
        <v>0</v>
      </c>
      <c r="Q1482" s="22">
        <f>+PROVEEDORES[[#This Row],[Rete Fuente %]]*(PROVEEDORES[[#This Row],[SUBTOTAL]]-PROVEEDORES[[#This Row],[descuento sobre subtotal]])</f>
        <v>0</v>
      </c>
      <c r="R1482" s="21">
        <f>+PROVEEDORES[[#This Row],[SUBTOTAL]]+PROVEEDORES[[#This Row],[IVA 19%]]-PROVEEDORES[[#This Row],[descuento sobre subtotal]]-PROVEEDORES[[#This Row],[Descuento sobre subtotal $2]]-PROVEEDORES[[#This Row],[Rete Fuente $]]</f>
        <v>338400</v>
      </c>
      <c r="S1482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2" s="63">
        <f ca="1">IF(PROVEEDORES[[#This Row],[FECHA DE PAGO]]=0,TODAY()-PROVEEDORES[[#This Row],[FECHA DE FACTURACIÓN]]-PROVEEDORES[[#This Row],[PLAZO Días]],0)</f>
        <v>0</v>
      </c>
      <c r="U1482" s="104">
        <f>+VLOOKUP(PROVEEDORES[[#This Row],[PROVEEDOR]],Terceros!$A:$D,4,FALSE)</f>
        <v>0</v>
      </c>
      <c r="V1482" s="105">
        <f>+YEAR(PROVEEDORES[[#This Row],[FECHA DE FACTURACIÓN]])</f>
        <v>2023</v>
      </c>
      <c r="W1482" s="105">
        <f>+MATCH(PROVEEDORES[[#This Row],[año facturado]],Retenciones!$1:$1,0)</f>
        <v>6</v>
      </c>
      <c r="X1482" s="106">
        <f>+VLOOKUP(PROVEEDORES[[#This Row],[ID RETENCION]],Retenciones!$A$1:$O$25,PROVEEDORES[[#This Row],[indicador de columna]],FALSE)</f>
        <v>0</v>
      </c>
      <c r="Y1482" s="107">
        <f>+VLOOKUP(PROVEEDORES[[#This Row],[ID RETENCION]],Retenciones!$A$1:$O$25,2,FALSE)</f>
        <v>0</v>
      </c>
      <c r="Z1482" s="116" t="b">
        <f>OR(COUNTIF(PROVEEDORES[[#This Row],[PROVEEDOR]],"*"&amp;'Palabra no opera'!$A$2&amp;"*"))</f>
        <v>0</v>
      </c>
    </row>
    <row r="1483" spans="1:26" ht="22.35" customHeight="1" x14ac:dyDescent="0.3">
      <c r="A1483" s="310" t="str">
        <f>+IF(PROVEEDORES[[#This Row],[FECHA DE PAGO]]=PROVEEDORES[[#This Row],[FECHA DE FACTURACIÓN]],"DE CONTADO","CRÉDITO")</f>
        <v>CRÉDITO</v>
      </c>
      <c r="B1483" s="38" t="b">
        <f>+IF((PROVEEDORES[[#This Row],[FECHA DE PAGO]]-PROVEEDORES[[#This Row],[FECHA DE FACTURACIÓN]])&gt;PROVEEDORES[[#This Row],[PLAZO Días]],"PAGO VENCIDO")</f>
        <v>0</v>
      </c>
      <c r="C1483" s="20">
        <f>+VLOOKUP(PROVEEDORES[[#This Row],[PROVEEDOR]],TERCEROS_INFO[#All],2,FALSE)</f>
        <v>60</v>
      </c>
      <c r="D1483" s="25">
        <f>+SUMIFS(PROVEEDORES[Total],PROVEEDORES[PROVEEDOR],PROVEEDORES[[#This Row],[PROVEEDOR]],PROVEEDORES[FECHA DE PAGO],"")</f>
        <v>395600</v>
      </c>
      <c r="E1483" s="25"/>
      <c r="F148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3" s="68">
        <v>45051</v>
      </c>
      <c r="H1483" s="26" t="s">
        <v>287</v>
      </c>
      <c r="I1483" s="68">
        <v>45022</v>
      </c>
      <c r="J1483" s="35">
        <v>1651</v>
      </c>
      <c r="K1483" s="21">
        <v>755290</v>
      </c>
      <c r="L1483" s="21"/>
      <c r="M1483" s="22">
        <f>(PROVEEDORES[[#This Row],[SUBTOTAL]]-PROVEEDORES[[#This Row],[descuento sobre subtotal]])*VLOOKUP(PROVEEDORES[[#This Row],[PROVEEDOR]],TERCEROS_INFO[#All],3,FALSE)</f>
        <v>0</v>
      </c>
      <c r="N1483" s="23"/>
      <c r="O1483" s="22">
        <f>+PROVEEDORES[[#This Row],[Descuento sobre subtotal %]]*(PROVEEDORES[[#This Row],[SUBTOTAL]]-PROVEEDORES[[#This Row],[descuento sobre subtotal]])</f>
        <v>0</v>
      </c>
      <c r="P1483" s="74">
        <f>+IF(PROVEEDORES[[#This Row],[SUBTOTAL]]&lt;PROVEEDORES[[#This Row],[base retencion]],0,PROVEEDORES[[#This Row],[retención aplicada]])</f>
        <v>0</v>
      </c>
      <c r="Q1483" s="22">
        <f>+PROVEEDORES[[#This Row],[Rete Fuente %]]*(PROVEEDORES[[#This Row],[SUBTOTAL]]-PROVEEDORES[[#This Row],[descuento sobre subtotal]])</f>
        <v>0</v>
      </c>
      <c r="R1483" s="21">
        <f>+PROVEEDORES[[#This Row],[SUBTOTAL]]+PROVEEDORES[[#This Row],[IVA 19%]]-PROVEEDORES[[#This Row],[descuento sobre subtotal]]-PROVEEDORES[[#This Row],[Descuento sobre subtotal $2]]-PROVEEDORES[[#This Row],[Rete Fuente $]]</f>
        <v>755290</v>
      </c>
      <c r="S148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3" s="63">
        <f ca="1">IF(PROVEEDORES[[#This Row],[FECHA DE PAGO]]=0,TODAY()-PROVEEDORES[[#This Row],[FECHA DE FACTURACIÓN]]-PROVEEDORES[[#This Row],[PLAZO Días]],0)</f>
        <v>0</v>
      </c>
      <c r="U1483" s="104">
        <f>+VLOOKUP(PROVEEDORES[[#This Row],[PROVEEDOR]],Terceros!$A:$D,4,FALSE)</f>
        <v>0</v>
      </c>
      <c r="V1483" s="105">
        <f>+YEAR(PROVEEDORES[[#This Row],[FECHA DE FACTURACIÓN]])</f>
        <v>2023</v>
      </c>
      <c r="W1483" s="105">
        <f>+MATCH(PROVEEDORES[[#This Row],[año facturado]],Retenciones!$1:$1,0)</f>
        <v>6</v>
      </c>
      <c r="X1483" s="106">
        <f>+VLOOKUP(PROVEEDORES[[#This Row],[ID RETENCION]],Retenciones!$A$1:$O$25,PROVEEDORES[[#This Row],[indicador de columna]],FALSE)</f>
        <v>0</v>
      </c>
      <c r="Y1483" s="107">
        <f>+VLOOKUP(PROVEEDORES[[#This Row],[ID RETENCION]],Retenciones!$A$1:$O$25,2,FALSE)</f>
        <v>0</v>
      </c>
      <c r="Z1483" s="116" t="b">
        <f>OR(COUNTIF(PROVEEDORES[[#This Row],[PROVEEDOR]],"*"&amp;'Palabra no opera'!$A$2&amp;"*"))</f>
        <v>0</v>
      </c>
    </row>
    <row r="1484" spans="1:26" ht="22.35" customHeight="1" x14ac:dyDescent="0.3">
      <c r="A1484" s="310" t="str">
        <f>+IF(PROVEEDORES[[#This Row],[FECHA DE PAGO]]=PROVEEDORES[[#This Row],[FECHA DE FACTURACIÓN]],"DE CONTADO","CRÉDITO")</f>
        <v>CRÉDITO</v>
      </c>
      <c r="B1484" s="38" t="b">
        <f>+IF((PROVEEDORES[[#This Row],[FECHA DE PAGO]]-PROVEEDORES[[#This Row],[FECHA DE FACTURACIÓN]])&gt;PROVEEDORES[[#This Row],[PLAZO Días]],"PAGO VENCIDO")</f>
        <v>0</v>
      </c>
      <c r="C1484" s="20">
        <f>+VLOOKUP(PROVEEDORES[[#This Row],[PROVEEDOR]],TERCEROS_INFO[#All],2,FALSE)</f>
        <v>60</v>
      </c>
      <c r="D1484" s="25">
        <f>+SUMIFS(PROVEEDORES[Total],PROVEEDORES[PROVEEDOR],PROVEEDORES[[#This Row],[PROVEEDOR]],PROVEEDORES[FECHA DE PAGO],"")</f>
        <v>395600</v>
      </c>
      <c r="E1484" s="25"/>
      <c r="F148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4" s="68">
        <v>45051</v>
      </c>
      <c r="H1484" s="26" t="s">
        <v>287</v>
      </c>
      <c r="I1484" s="68">
        <v>45037</v>
      </c>
      <c r="J1484" s="35">
        <v>1662</v>
      </c>
      <c r="K1484" s="21">
        <v>188200</v>
      </c>
      <c r="L1484" s="21"/>
      <c r="M1484" s="22">
        <f>(PROVEEDORES[[#This Row],[SUBTOTAL]]-PROVEEDORES[[#This Row],[descuento sobre subtotal]])*VLOOKUP(PROVEEDORES[[#This Row],[PROVEEDOR]],TERCEROS_INFO[#All],3,FALSE)</f>
        <v>0</v>
      </c>
      <c r="N1484" s="23"/>
      <c r="O1484" s="22">
        <f>+PROVEEDORES[[#This Row],[Descuento sobre subtotal %]]*(PROVEEDORES[[#This Row],[SUBTOTAL]]-PROVEEDORES[[#This Row],[descuento sobre subtotal]])</f>
        <v>0</v>
      </c>
      <c r="P1484" s="74">
        <f>+IF(PROVEEDORES[[#This Row],[SUBTOTAL]]&lt;PROVEEDORES[[#This Row],[base retencion]],0,PROVEEDORES[[#This Row],[retención aplicada]])</f>
        <v>0</v>
      </c>
      <c r="Q1484" s="22">
        <f>+PROVEEDORES[[#This Row],[Rete Fuente %]]*(PROVEEDORES[[#This Row],[SUBTOTAL]]-PROVEEDORES[[#This Row],[descuento sobre subtotal]])</f>
        <v>0</v>
      </c>
      <c r="R1484" s="21">
        <f>+PROVEEDORES[[#This Row],[SUBTOTAL]]+PROVEEDORES[[#This Row],[IVA 19%]]-PROVEEDORES[[#This Row],[descuento sobre subtotal]]-PROVEEDORES[[#This Row],[Descuento sobre subtotal $2]]-PROVEEDORES[[#This Row],[Rete Fuente $]]</f>
        <v>188200</v>
      </c>
      <c r="S1484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4" s="63">
        <f ca="1">IF(PROVEEDORES[[#This Row],[FECHA DE PAGO]]=0,TODAY()-PROVEEDORES[[#This Row],[FECHA DE FACTURACIÓN]]-PROVEEDORES[[#This Row],[PLAZO Días]],0)</f>
        <v>0</v>
      </c>
      <c r="U1484" s="104">
        <f>+VLOOKUP(PROVEEDORES[[#This Row],[PROVEEDOR]],Terceros!$A:$D,4,FALSE)</f>
        <v>0</v>
      </c>
      <c r="V1484" s="105">
        <f>+YEAR(PROVEEDORES[[#This Row],[FECHA DE FACTURACIÓN]])</f>
        <v>2023</v>
      </c>
      <c r="W1484" s="105">
        <f>+MATCH(PROVEEDORES[[#This Row],[año facturado]],Retenciones!$1:$1,0)</f>
        <v>6</v>
      </c>
      <c r="X1484" s="106">
        <f>+VLOOKUP(PROVEEDORES[[#This Row],[ID RETENCION]],Retenciones!$A$1:$O$25,PROVEEDORES[[#This Row],[indicador de columna]],FALSE)</f>
        <v>0</v>
      </c>
      <c r="Y1484" s="107">
        <f>+VLOOKUP(PROVEEDORES[[#This Row],[ID RETENCION]],Retenciones!$A$1:$O$25,2,FALSE)</f>
        <v>0</v>
      </c>
      <c r="Z1484" s="116" t="b">
        <f>OR(COUNTIF(PROVEEDORES[[#This Row],[PROVEEDOR]],"*"&amp;'Palabra no opera'!$A$2&amp;"*"))</f>
        <v>0</v>
      </c>
    </row>
    <row r="1485" spans="1:26" ht="22.35" customHeight="1" x14ac:dyDescent="0.3">
      <c r="A1485" s="310" t="str">
        <f>+IF(PROVEEDORES[[#This Row],[FECHA DE PAGO]]=PROVEEDORES[[#This Row],[FECHA DE FACTURACIÓN]],"DE CONTADO","CRÉDITO")</f>
        <v>CRÉDITO</v>
      </c>
      <c r="B1485" s="38" t="b">
        <f>+IF((PROVEEDORES[[#This Row],[FECHA DE PAGO]]-PROVEEDORES[[#This Row],[FECHA DE FACTURACIÓN]])&gt;PROVEEDORES[[#This Row],[PLAZO Días]],"PAGO VENCIDO")</f>
        <v>0</v>
      </c>
      <c r="C1485" s="20">
        <f>+VLOOKUP(PROVEEDORES[[#This Row],[PROVEEDOR]],TERCEROS_INFO[#All],2,FALSE)</f>
        <v>60</v>
      </c>
      <c r="D1485" s="25">
        <f>+SUMIFS(PROVEEDORES[Total],PROVEEDORES[PROVEEDOR],PROVEEDORES[[#This Row],[PROVEEDOR]],PROVEEDORES[FECHA DE PAGO],"")</f>
        <v>395600</v>
      </c>
      <c r="E1485" s="25"/>
      <c r="F148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5" s="68">
        <v>45051</v>
      </c>
      <c r="H1485" s="26" t="s">
        <v>287</v>
      </c>
      <c r="I1485" s="68">
        <v>45037</v>
      </c>
      <c r="J1485" s="35">
        <v>1663</v>
      </c>
      <c r="K1485" s="21">
        <v>188200</v>
      </c>
      <c r="L1485" s="21"/>
      <c r="M1485" s="22">
        <f>(PROVEEDORES[[#This Row],[SUBTOTAL]]-PROVEEDORES[[#This Row],[descuento sobre subtotal]])*VLOOKUP(PROVEEDORES[[#This Row],[PROVEEDOR]],TERCEROS_INFO[#All],3,FALSE)</f>
        <v>0</v>
      </c>
      <c r="N1485" s="23"/>
      <c r="O1485" s="22">
        <f>+PROVEEDORES[[#This Row],[Descuento sobre subtotal %]]*(PROVEEDORES[[#This Row],[SUBTOTAL]]-PROVEEDORES[[#This Row],[descuento sobre subtotal]])</f>
        <v>0</v>
      </c>
      <c r="P1485" s="74">
        <f>+IF(PROVEEDORES[[#This Row],[SUBTOTAL]]&lt;PROVEEDORES[[#This Row],[base retencion]],0,PROVEEDORES[[#This Row],[retención aplicada]])</f>
        <v>0</v>
      </c>
      <c r="Q1485" s="22">
        <f>+PROVEEDORES[[#This Row],[Rete Fuente %]]*(PROVEEDORES[[#This Row],[SUBTOTAL]]-PROVEEDORES[[#This Row],[descuento sobre subtotal]])</f>
        <v>0</v>
      </c>
      <c r="R1485" s="21">
        <f>+PROVEEDORES[[#This Row],[SUBTOTAL]]+PROVEEDORES[[#This Row],[IVA 19%]]-PROVEEDORES[[#This Row],[descuento sobre subtotal]]-PROVEEDORES[[#This Row],[Descuento sobre subtotal $2]]-PROVEEDORES[[#This Row],[Rete Fuente $]]</f>
        <v>188200</v>
      </c>
      <c r="S1485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5" s="63">
        <f ca="1">IF(PROVEEDORES[[#This Row],[FECHA DE PAGO]]=0,TODAY()-PROVEEDORES[[#This Row],[FECHA DE FACTURACIÓN]]-PROVEEDORES[[#This Row],[PLAZO Días]],0)</f>
        <v>0</v>
      </c>
      <c r="U1485" s="104">
        <f>+VLOOKUP(PROVEEDORES[[#This Row],[PROVEEDOR]],Terceros!$A:$D,4,FALSE)</f>
        <v>0</v>
      </c>
      <c r="V1485" s="105">
        <f>+YEAR(PROVEEDORES[[#This Row],[FECHA DE FACTURACIÓN]])</f>
        <v>2023</v>
      </c>
      <c r="W1485" s="105">
        <f>+MATCH(PROVEEDORES[[#This Row],[año facturado]],Retenciones!$1:$1,0)</f>
        <v>6</v>
      </c>
      <c r="X1485" s="106">
        <f>+VLOOKUP(PROVEEDORES[[#This Row],[ID RETENCION]],Retenciones!$A$1:$O$25,PROVEEDORES[[#This Row],[indicador de columna]],FALSE)</f>
        <v>0</v>
      </c>
      <c r="Y1485" s="107">
        <f>+VLOOKUP(PROVEEDORES[[#This Row],[ID RETENCION]],Retenciones!$A$1:$O$25,2,FALSE)</f>
        <v>0</v>
      </c>
      <c r="Z1485" s="116" t="b">
        <f>OR(COUNTIF(PROVEEDORES[[#This Row],[PROVEEDOR]],"*"&amp;'Palabra no opera'!$A$2&amp;"*"))</f>
        <v>0</v>
      </c>
    </row>
    <row r="1486" spans="1:26" ht="22.35" customHeight="1" x14ac:dyDescent="0.3">
      <c r="A1486" s="67" t="str">
        <f>+IF(PROVEEDORES[[#This Row],[FECHA DE PAGO]]=PROVEEDORES[[#This Row],[FECHA DE FACTURACIÓN]],"DE CONTADO","CRÉDITO")</f>
        <v>CRÉDITO</v>
      </c>
      <c r="B1486" s="38" t="b">
        <f>+IF((PROVEEDORES[[#This Row],[FECHA DE PAGO]]-PROVEEDORES[[#This Row],[FECHA DE FACTURACIÓN]])&gt;PROVEEDORES[[#This Row],[PLAZO Días]],"PAGO VENCIDO")</f>
        <v>0</v>
      </c>
      <c r="C1486" s="20">
        <f>+VLOOKUP(PROVEEDORES[[#This Row],[PROVEEDOR]],TERCEROS_INFO[#All],2,FALSE)</f>
        <v>45</v>
      </c>
      <c r="D1486" s="25">
        <f>+SUMIFS(PROVEEDORES[Total],PROVEEDORES[PROVEEDOR],PROVEEDORES[[#This Row],[PROVEEDOR]],PROVEEDORES[FECHA DE PAGO],"")</f>
        <v>3074500</v>
      </c>
      <c r="E1486" s="25"/>
      <c r="F148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6" s="68">
        <v>45051</v>
      </c>
      <c r="H1486" s="26" t="s">
        <v>289</v>
      </c>
      <c r="I1486" s="68">
        <v>45017</v>
      </c>
      <c r="J1486" s="35">
        <v>1647</v>
      </c>
      <c r="K1486" s="21">
        <v>1853680</v>
      </c>
      <c r="L1486" s="21"/>
      <c r="M1486" s="22">
        <f>(PROVEEDORES[[#This Row],[SUBTOTAL]]-PROVEEDORES[[#This Row],[descuento sobre subtotal]])*VLOOKUP(PROVEEDORES[[#This Row],[PROVEEDOR]],TERCEROS_INFO[#All],3,FALSE)</f>
        <v>0</v>
      </c>
      <c r="N1486" s="23"/>
      <c r="O1486" s="22">
        <f>+PROVEEDORES[[#This Row],[Descuento sobre subtotal %]]*(PROVEEDORES[[#This Row],[SUBTOTAL]]-PROVEEDORES[[#This Row],[descuento sobre subtotal]])</f>
        <v>0</v>
      </c>
      <c r="P1486" s="74">
        <f>+IF(PROVEEDORES[[#This Row],[SUBTOTAL]]&lt;PROVEEDORES[[#This Row],[base retencion]],0,PROVEEDORES[[#This Row],[retención aplicada]])</f>
        <v>0</v>
      </c>
      <c r="Q1486" s="22">
        <f>+PROVEEDORES[[#This Row],[Rete Fuente %]]*(PROVEEDORES[[#This Row],[SUBTOTAL]]-PROVEEDORES[[#This Row],[descuento sobre subtotal]])</f>
        <v>0</v>
      </c>
      <c r="R1486" s="21">
        <f>+PROVEEDORES[[#This Row],[SUBTOTAL]]+PROVEEDORES[[#This Row],[IVA 19%]]-PROVEEDORES[[#This Row],[descuento sobre subtotal]]-PROVEEDORES[[#This Row],[Descuento sobre subtotal $2]]-PROVEEDORES[[#This Row],[Rete Fuente $]]</f>
        <v>1853680</v>
      </c>
      <c r="S148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6" s="63">
        <f ca="1">IF(PROVEEDORES[[#This Row],[FECHA DE PAGO]]=0,TODAY()-PROVEEDORES[[#This Row],[FECHA DE FACTURACIÓN]]-PROVEEDORES[[#This Row],[PLAZO Días]],0)</f>
        <v>0</v>
      </c>
      <c r="U1486" s="104">
        <f>+VLOOKUP(PROVEEDORES[[#This Row],[PROVEEDOR]],Terceros!$A:$D,4,FALSE)</f>
        <v>0</v>
      </c>
      <c r="V1486" s="105">
        <f>+YEAR(PROVEEDORES[[#This Row],[FECHA DE FACTURACIÓN]])</f>
        <v>2023</v>
      </c>
      <c r="W1486" s="105">
        <f>+MATCH(PROVEEDORES[[#This Row],[año facturado]],Retenciones!$1:$1,0)</f>
        <v>6</v>
      </c>
      <c r="X1486" s="106">
        <f>+VLOOKUP(PROVEEDORES[[#This Row],[ID RETENCION]],Retenciones!$A$1:$O$25,PROVEEDORES[[#This Row],[indicador de columna]],FALSE)</f>
        <v>0</v>
      </c>
      <c r="Y1486" s="107">
        <f>+VLOOKUP(PROVEEDORES[[#This Row],[ID RETENCION]],Retenciones!$A$1:$O$25,2,FALSE)</f>
        <v>0</v>
      </c>
      <c r="Z1486" s="116" t="b">
        <f>OR(COUNTIF(PROVEEDORES[[#This Row],[PROVEEDOR]],"*"&amp;'Palabra no opera'!$A$2&amp;"*"))</f>
        <v>0</v>
      </c>
    </row>
    <row r="1487" spans="1:26" ht="22.35" customHeight="1" x14ac:dyDescent="0.3">
      <c r="A1487" s="310" t="str">
        <f>+IF(PROVEEDORES[[#This Row],[FECHA DE PAGO]]=PROVEEDORES[[#This Row],[FECHA DE FACTURACIÓN]],"DE CONTADO","CRÉDITO")</f>
        <v>CRÉDITO</v>
      </c>
      <c r="B1487" s="38" t="b">
        <f>+IF((PROVEEDORES[[#This Row],[FECHA DE PAGO]]-PROVEEDORES[[#This Row],[FECHA DE FACTURACIÓN]])&gt;PROVEEDORES[[#This Row],[PLAZO Días]],"PAGO VENCIDO")</f>
        <v>0</v>
      </c>
      <c r="C1487" s="20">
        <f>+VLOOKUP(PROVEEDORES[[#This Row],[PROVEEDOR]],TERCEROS_INFO[#All],2,FALSE)</f>
        <v>45</v>
      </c>
      <c r="D1487" s="25">
        <f>+SUMIFS(PROVEEDORES[Total],PROVEEDORES[PROVEEDOR],PROVEEDORES[[#This Row],[PROVEEDOR]],PROVEEDORES[FECHA DE PAGO],"")</f>
        <v>3074500</v>
      </c>
      <c r="E1487" s="25"/>
      <c r="F148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7" s="68">
        <v>45051</v>
      </c>
      <c r="H1487" s="26" t="s">
        <v>289</v>
      </c>
      <c r="I1487" s="68">
        <v>45044</v>
      </c>
      <c r="J1487" s="35">
        <v>1666</v>
      </c>
      <c r="K1487" s="21">
        <v>3125500</v>
      </c>
      <c r="L1487" s="21"/>
      <c r="M1487" s="22">
        <f>(PROVEEDORES[[#This Row],[SUBTOTAL]]-PROVEEDORES[[#This Row],[descuento sobre subtotal]])*VLOOKUP(PROVEEDORES[[#This Row],[PROVEEDOR]],TERCEROS_INFO[#All],3,FALSE)</f>
        <v>0</v>
      </c>
      <c r="N1487" s="23"/>
      <c r="O1487" s="22">
        <f>+PROVEEDORES[[#This Row],[Descuento sobre subtotal %]]*(PROVEEDORES[[#This Row],[SUBTOTAL]]-PROVEEDORES[[#This Row],[descuento sobre subtotal]])</f>
        <v>0</v>
      </c>
      <c r="P1487" s="74">
        <f>+IF(PROVEEDORES[[#This Row],[SUBTOTAL]]&lt;PROVEEDORES[[#This Row],[base retencion]],0,PROVEEDORES[[#This Row],[retención aplicada]])</f>
        <v>0</v>
      </c>
      <c r="Q1487" s="22">
        <f>+PROVEEDORES[[#This Row],[Rete Fuente %]]*(PROVEEDORES[[#This Row],[SUBTOTAL]]-PROVEEDORES[[#This Row],[descuento sobre subtotal]])</f>
        <v>0</v>
      </c>
      <c r="R1487" s="21">
        <f>+PROVEEDORES[[#This Row],[SUBTOTAL]]+PROVEEDORES[[#This Row],[IVA 19%]]-PROVEEDORES[[#This Row],[descuento sobre subtotal]]-PROVEEDORES[[#This Row],[Descuento sobre subtotal $2]]-PROVEEDORES[[#This Row],[Rete Fuente $]]</f>
        <v>3125500</v>
      </c>
      <c r="S1487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7" s="63">
        <f ca="1">IF(PROVEEDORES[[#This Row],[FECHA DE PAGO]]=0,TODAY()-PROVEEDORES[[#This Row],[FECHA DE FACTURACIÓN]]-PROVEEDORES[[#This Row],[PLAZO Días]],0)</f>
        <v>0</v>
      </c>
      <c r="U1487" s="104">
        <f>+VLOOKUP(PROVEEDORES[[#This Row],[PROVEEDOR]],Terceros!$A:$D,4,FALSE)</f>
        <v>0</v>
      </c>
      <c r="V1487" s="105">
        <f>+YEAR(PROVEEDORES[[#This Row],[FECHA DE FACTURACIÓN]])</f>
        <v>2023</v>
      </c>
      <c r="W1487" s="105">
        <f>+MATCH(PROVEEDORES[[#This Row],[año facturado]],Retenciones!$1:$1,0)</f>
        <v>6</v>
      </c>
      <c r="X1487" s="106">
        <f>+VLOOKUP(PROVEEDORES[[#This Row],[ID RETENCION]],Retenciones!$A$1:$O$25,PROVEEDORES[[#This Row],[indicador de columna]],FALSE)</f>
        <v>0</v>
      </c>
      <c r="Y1487" s="107">
        <f>+VLOOKUP(PROVEEDORES[[#This Row],[ID RETENCION]],Retenciones!$A$1:$O$25,2,FALSE)</f>
        <v>0</v>
      </c>
      <c r="Z1487" s="116" t="b">
        <f>OR(COUNTIF(PROVEEDORES[[#This Row],[PROVEEDOR]],"*"&amp;'Palabra no opera'!$A$2&amp;"*"))</f>
        <v>0</v>
      </c>
    </row>
    <row r="1488" spans="1:26" ht="22.35" customHeight="1" x14ac:dyDescent="0.3">
      <c r="A1488" s="310" t="str">
        <f>+IF(PROVEEDORES[[#This Row],[FECHA DE PAGO]]=PROVEEDORES[[#This Row],[FECHA DE FACTURACIÓN]],"DE CONTADO","CRÉDITO")</f>
        <v>CRÉDITO</v>
      </c>
      <c r="B1488" s="38" t="b">
        <f>+IF((PROVEEDORES[[#This Row],[FECHA DE PAGO]]-PROVEEDORES[[#This Row],[FECHA DE FACTURACIÓN]])&gt;PROVEEDORES[[#This Row],[PLAZO Días]],"PAGO VENCIDO")</f>
        <v>0</v>
      </c>
      <c r="C1488" s="20">
        <f>+VLOOKUP(PROVEEDORES[[#This Row],[PROVEEDOR]],TERCEROS_INFO[#All],2,FALSE)</f>
        <v>45</v>
      </c>
      <c r="D1488" s="25">
        <f>+SUMIFS(PROVEEDORES[Total],PROVEEDORES[PROVEEDOR],PROVEEDORES[[#This Row],[PROVEEDOR]],PROVEEDORES[FECHA DE PAGO],"")</f>
        <v>3074500</v>
      </c>
      <c r="E1488" s="25"/>
      <c r="F148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88" s="68">
        <v>45051</v>
      </c>
      <c r="H1488" s="26" t="s">
        <v>289</v>
      </c>
      <c r="I1488" s="68">
        <v>45046</v>
      </c>
      <c r="J1488" s="35">
        <v>1668</v>
      </c>
      <c r="K1488" s="21">
        <v>1880000</v>
      </c>
      <c r="L1488" s="21"/>
      <c r="M1488" s="22">
        <f>(PROVEEDORES[[#This Row],[SUBTOTAL]]-PROVEEDORES[[#This Row],[descuento sobre subtotal]])*VLOOKUP(PROVEEDORES[[#This Row],[PROVEEDOR]],TERCEROS_INFO[#All],3,FALSE)</f>
        <v>0</v>
      </c>
      <c r="N1488" s="23"/>
      <c r="O1488" s="22">
        <f>+PROVEEDORES[[#This Row],[Descuento sobre subtotal %]]*(PROVEEDORES[[#This Row],[SUBTOTAL]]-PROVEEDORES[[#This Row],[descuento sobre subtotal]])</f>
        <v>0</v>
      </c>
      <c r="P1488" s="74">
        <f>+IF(PROVEEDORES[[#This Row],[SUBTOTAL]]&lt;PROVEEDORES[[#This Row],[base retencion]],0,PROVEEDORES[[#This Row],[retención aplicada]])</f>
        <v>0</v>
      </c>
      <c r="Q1488" s="22">
        <f>+PROVEEDORES[[#This Row],[Rete Fuente %]]*(PROVEEDORES[[#This Row],[SUBTOTAL]]-PROVEEDORES[[#This Row],[descuento sobre subtotal]])</f>
        <v>0</v>
      </c>
      <c r="R1488" s="21">
        <f>+PROVEEDORES[[#This Row],[SUBTOTAL]]+PROVEEDORES[[#This Row],[IVA 19%]]-PROVEEDORES[[#This Row],[descuento sobre subtotal]]-PROVEEDORES[[#This Row],[Descuento sobre subtotal $2]]-PROVEEDORES[[#This Row],[Rete Fuente $]]</f>
        <v>1880000</v>
      </c>
      <c r="S148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8" s="63">
        <f ca="1">IF(PROVEEDORES[[#This Row],[FECHA DE PAGO]]=0,TODAY()-PROVEEDORES[[#This Row],[FECHA DE FACTURACIÓN]]-PROVEEDORES[[#This Row],[PLAZO Días]],0)</f>
        <v>0</v>
      </c>
      <c r="U1488" s="104">
        <f>+VLOOKUP(PROVEEDORES[[#This Row],[PROVEEDOR]],Terceros!$A:$D,4,FALSE)</f>
        <v>0</v>
      </c>
      <c r="V1488" s="105">
        <f>+YEAR(PROVEEDORES[[#This Row],[FECHA DE FACTURACIÓN]])</f>
        <v>2023</v>
      </c>
      <c r="W1488" s="105">
        <f>+MATCH(PROVEEDORES[[#This Row],[año facturado]],Retenciones!$1:$1,0)</f>
        <v>6</v>
      </c>
      <c r="X1488" s="106">
        <f>+VLOOKUP(PROVEEDORES[[#This Row],[ID RETENCION]],Retenciones!$A$1:$O$25,PROVEEDORES[[#This Row],[indicador de columna]],FALSE)</f>
        <v>0</v>
      </c>
      <c r="Y1488" s="107">
        <f>+VLOOKUP(PROVEEDORES[[#This Row],[ID RETENCION]],Retenciones!$A$1:$O$25,2,FALSE)</f>
        <v>0</v>
      </c>
      <c r="Z1488" s="116" t="b">
        <f>OR(COUNTIF(PROVEEDORES[[#This Row],[PROVEEDOR]],"*"&amp;'Palabra no opera'!$A$2&amp;"*"))</f>
        <v>0</v>
      </c>
    </row>
    <row r="1489" spans="1:26" ht="22.35" customHeight="1" x14ac:dyDescent="0.3">
      <c r="A1489" s="310" t="str">
        <f>+IF(PROVEEDORES[[#This Row],[FECHA DE PAGO]]=PROVEEDORES[[#This Row],[FECHA DE FACTURACIÓN]],"DE CONTADO","CRÉDITO")</f>
        <v>CRÉDITO</v>
      </c>
      <c r="B1489" s="38" t="b">
        <f>+IF((PROVEEDORES[[#This Row],[FECHA DE PAGO]]-PROVEEDORES[[#This Row],[FECHA DE FACTURACIÓN]])&gt;PROVEEDORES[[#This Row],[PLAZO Días]],"PAGO VENCIDO")</f>
        <v>0</v>
      </c>
      <c r="C1489" s="20">
        <f>+VLOOKUP(PROVEEDORES[[#This Row],[PROVEEDOR]],TERCEROS_INFO[#All],2,FALSE)</f>
        <v>30</v>
      </c>
      <c r="D1489" s="25">
        <f>+SUMIFS(PROVEEDORES[Total],PROVEEDORES[PROVEEDOR],PROVEEDORES[[#This Row],[PROVEEDOR]],PROVEEDORES[FECHA DE PAGO],"")</f>
        <v>0</v>
      </c>
      <c r="E1489" s="25"/>
      <c r="F1489" s="56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1489" s="68">
        <v>45052</v>
      </c>
      <c r="H1489" s="26" t="s">
        <v>1656</v>
      </c>
      <c r="I1489" s="68">
        <v>45044</v>
      </c>
      <c r="J1489" s="35" t="s">
        <v>1657</v>
      </c>
      <c r="K1489" s="21">
        <v>800000</v>
      </c>
      <c r="L1489" s="21"/>
      <c r="M1489" s="22">
        <f>(PROVEEDORES[[#This Row],[SUBTOTAL]]-PROVEEDORES[[#This Row],[descuento sobre subtotal]])*VLOOKUP(PROVEEDORES[[#This Row],[PROVEEDOR]],TERCEROS_INFO[#All],3,FALSE)</f>
        <v>152000</v>
      </c>
      <c r="N1489" s="23"/>
      <c r="O1489" s="22">
        <f>+PROVEEDORES[[#This Row],[Descuento sobre subtotal %]]*(PROVEEDORES[[#This Row],[SUBTOTAL]]-PROVEEDORES[[#This Row],[descuento sobre subtotal]])</f>
        <v>0</v>
      </c>
      <c r="P1489" s="74">
        <f>+IF(PROVEEDORES[[#This Row],[SUBTOTAL]]&lt;PROVEEDORES[[#This Row],[base retencion]],0,PROVEEDORES[[#This Row],[retención aplicada]])</f>
        <v>0</v>
      </c>
      <c r="Q1489" s="22">
        <f>+PROVEEDORES[[#This Row],[Rete Fuente %]]*(PROVEEDORES[[#This Row],[SUBTOTAL]]-PROVEEDORES[[#This Row],[descuento sobre subtotal]])</f>
        <v>0</v>
      </c>
      <c r="R1489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1489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9" s="63">
        <f ca="1">IF(PROVEEDORES[[#This Row],[FECHA DE PAGO]]=0,TODAY()-PROVEEDORES[[#This Row],[FECHA DE FACTURACIÓN]]-PROVEEDORES[[#This Row],[PLAZO Días]],0)</f>
        <v>0</v>
      </c>
      <c r="U1489" s="104" t="str">
        <f>+VLOOKUP(PROVEEDORES[[#This Row],[PROVEEDOR]],Terceros!$A:$D,4,FALSE)</f>
        <v>2,5% con base</v>
      </c>
      <c r="V1489" s="105">
        <f>+YEAR(PROVEEDORES[[#This Row],[FECHA DE FACTURACIÓN]])</f>
        <v>2023</v>
      </c>
      <c r="W1489" s="105">
        <f>+MATCH(PROVEEDORES[[#This Row],[año facturado]],Retenciones!$1:$1,0)</f>
        <v>6</v>
      </c>
      <c r="X1489" s="106">
        <f>+VLOOKUP(PROVEEDORES[[#This Row],[ID RETENCION]],Retenciones!$A$1:$O$25,PROVEEDORES[[#This Row],[indicador de columna]],FALSE)</f>
        <v>1145000</v>
      </c>
      <c r="Y1489" s="107">
        <f>+VLOOKUP(PROVEEDORES[[#This Row],[ID RETENCION]],Retenciones!$A$1:$O$25,2,FALSE)</f>
        <v>2.5000000000000001E-2</v>
      </c>
      <c r="Z1489" s="116" t="b">
        <f>OR(COUNTIF(PROVEEDORES[[#This Row],[PROVEEDOR]],"*"&amp;'Palabra no opera'!$A$2&amp;"*"))</f>
        <v>0</v>
      </c>
    </row>
    <row r="1490" spans="1:26" ht="22.35" customHeight="1" x14ac:dyDescent="0.3">
      <c r="A1490" s="280" t="str">
        <f>+IF(PROVEEDORES[[#This Row],[FECHA DE PAGO]]=PROVEEDORES[[#This Row],[FECHA DE FACTURACIÓN]],"DE CONTADO","CRÉDITO")</f>
        <v>CRÉDITO</v>
      </c>
      <c r="B1490" s="38" t="str">
        <f>+IF((PROVEEDORES[[#This Row],[FECHA DE PAGO]]-PROVEEDORES[[#This Row],[FECHA DE FACTURACIÓN]])&gt;PROVEEDORES[[#This Row],[PLAZO Días]],"PAGO VENCIDO")</f>
        <v>PAGO VENCIDO</v>
      </c>
      <c r="C1490" s="20">
        <f>+VLOOKUP(PROVEEDORES[[#This Row],[PROVEEDOR]],TERCEROS_INFO[#All],2,FALSE)</f>
        <v>30</v>
      </c>
      <c r="D1490" s="25">
        <f>+SUMIFS(PROVEEDORES[Total],PROVEEDORES[PROVEEDOR],PROVEEDORES[[#This Row],[PROVEEDOR]],PROVEEDORES[FECHA DE PAGO],"")</f>
        <v>2773899.95</v>
      </c>
      <c r="E1490" s="25"/>
      <c r="F1490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90" s="68">
        <v>45054</v>
      </c>
      <c r="H1490" s="26" t="s">
        <v>20</v>
      </c>
      <c r="I1490" s="68">
        <v>45006</v>
      </c>
      <c r="J1490" s="35" t="s">
        <v>1546</v>
      </c>
      <c r="K1490" s="21">
        <v>1745300</v>
      </c>
      <c r="L1490" s="21"/>
      <c r="M1490" s="22">
        <f>(PROVEEDORES[[#This Row],[SUBTOTAL]]-PROVEEDORES[[#This Row],[descuento sobre subtotal]])*VLOOKUP(PROVEEDORES[[#This Row],[PROVEEDOR]],TERCEROS_INFO[#All],3,FALSE)</f>
        <v>331607</v>
      </c>
      <c r="N1490" s="23"/>
      <c r="O1490" s="22">
        <f>+PROVEEDORES[[#This Row],[Descuento sobre subtotal %]]*(PROVEEDORES[[#This Row],[SUBTOTAL]]-PROVEEDORES[[#This Row],[descuento sobre subtotal]])</f>
        <v>0</v>
      </c>
      <c r="P1490" s="74">
        <f>+IF(PROVEEDORES[[#This Row],[SUBTOTAL]]&lt;PROVEEDORES[[#This Row],[base retencion]],0,PROVEEDORES[[#This Row],[retención aplicada]])</f>
        <v>2.5000000000000001E-2</v>
      </c>
      <c r="Q1490" s="22">
        <f>+PROVEEDORES[[#This Row],[Rete Fuente %]]*(PROVEEDORES[[#This Row],[SUBTOTAL]]-PROVEEDORES[[#This Row],[descuento sobre subtotal]])</f>
        <v>43632.5</v>
      </c>
      <c r="R1490" s="21">
        <f>+PROVEEDORES[[#This Row],[SUBTOTAL]]+PROVEEDORES[[#This Row],[IVA 19%]]-PROVEEDORES[[#This Row],[descuento sobre subtotal]]-PROVEEDORES[[#This Row],[Descuento sobre subtotal $2]]-PROVEEDORES[[#This Row],[Rete Fuente $]]</f>
        <v>2033274.5</v>
      </c>
      <c r="S1490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0" s="63">
        <f ca="1">IF(PROVEEDORES[[#This Row],[FECHA DE PAGO]]=0,TODAY()-PROVEEDORES[[#This Row],[FECHA DE FACTURACIÓN]]-PROVEEDORES[[#This Row],[PLAZO Días]],0)</f>
        <v>0</v>
      </c>
      <c r="U1490" s="104" t="str">
        <f>+VLOOKUP(PROVEEDORES[[#This Row],[PROVEEDOR]],Terceros!$A:$D,4,FALSE)</f>
        <v>2,5% con base</v>
      </c>
      <c r="V1490" s="105">
        <f>+YEAR(PROVEEDORES[[#This Row],[FECHA DE FACTURACIÓN]])</f>
        <v>2023</v>
      </c>
      <c r="W1490" s="105">
        <f>+MATCH(PROVEEDORES[[#This Row],[año facturado]],Retenciones!$1:$1,0)</f>
        <v>6</v>
      </c>
      <c r="X1490" s="106">
        <f>+VLOOKUP(PROVEEDORES[[#This Row],[ID RETENCION]],Retenciones!$A$1:$O$25,PROVEEDORES[[#This Row],[indicador de columna]],FALSE)</f>
        <v>1145000</v>
      </c>
      <c r="Y1490" s="107">
        <f>+VLOOKUP(PROVEEDORES[[#This Row],[ID RETENCION]],Retenciones!$A$1:$O$25,2,FALSE)</f>
        <v>2.5000000000000001E-2</v>
      </c>
      <c r="Z1490" s="116" t="b">
        <f>OR(COUNTIF(PROVEEDORES[[#This Row],[PROVEEDOR]],"*"&amp;'Palabra no opera'!$A$2&amp;"*"))</f>
        <v>0</v>
      </c>
    </row>
    <row r="1491" spans="1:26" ht="22.35" customHeight="1" x14ac:dyDescent="0.3">
      <c r="A1491" s="67" t="str">
        <f>+IF(PROVEEDORES[[#This Row],[FECHA DE PAGO]]=PROVEEDORES[[#This Row],[FECHA DE FACTURACIÓN]],"DE CONTADO","CRÉDITO")</f>
        <v>CRÉDITO</v>
      </c>
      <c r="B1491" s="38" t="str">
        <f>+IF((PROVEEDORES[[#This Row],[FECHA DE PAGO]]-PROVEEDORES[[#This Row],[FECHA DE FACTURACIÓN]])&gt;PROVEEDORES[[#This Row],[PLAZO Días]],"PAGO VENCIDO")</f>
        <v>PAGO VENCIDO</v>
      </c>
      <c r="C1491" s="20">
        <f>+VLOOKUP(PROVEEDORES[[#This Row],[PROVEEDOR]],TERCEROS_INFO[#All],2,FALSE)</f>
        <v>30</v>
      </c>
      <c r="D1491" s="25">
        <f>+SUMIFS(PROVEEDORES[Total],PROVEEDORES[PROVEEDOR],PROVEEDORES[[#This Row],[PROVEEDOR]],PROVEEDORES[FECHA DE PAGO],"")</f>
        <v>2773899.95</v>
      </c>
      <c r="E1491" s="25"/>
      <c r="F1491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91" s="68">
        <v>45054</v>
      </c>
      <c r="H1491" s="26" t="s">
        <v>20</v>
      </c>
      <c r="I1491" s="68">
        <v>45016</v>
      </c>
      <c r="J1491" s="35" t="s">
        <v>1558</v>
      </c>
      <c r="K1491" s="21">
        <v>1157730</v>
      </c>
      <c r="L1491" s="21"/>
      <c r="M1491" s="22">
        <f>(PROVEEDORES[[#This Row],[SUBTOTAL]]-PROVEEDORES[[#This Row],[descuento sobre subtotal]])*VLOOKUP(PROVEEDORES[[#This Row],[PROVEEDOR]],TERCEROS_INFO[#All],3,FALSE)</f>
        <v>219968.7</v>
      </c>
      <c r="N1491" s="23"/>
      <c r="O1491" s="22">
        <f>+PROVEEDORES[[#This Row],[Descuento sobre subtotal %]]*(PROVEEDORES[[#This Row],[SUBTOTAL]]-PROVEEDORES[[#This Row],[descuento sobre subtotal]])</f>
        <v>0</v>
      </c>
      <c r="P1491" s="74">
        <f>+IF(PROVEEDORES[[#This Row],[SUBTOTAL]]&lt;PROVEEDORES[[#This Row],[base retencion]],0,PROVEEDORES[[#This Row],[retención aplicada]])</f>
        <v>2.5000000000000001E-2</v>
      </c>
      <c r="Q1491" s="22">
        <f>+PROVEEDORES[[#This Row],[Rete Fuente %]]*(PROVEEDORES[[#This Row],[SUBTOTAL]]-PROVEEDORES[[#This Row],[descuento sobre subtotal]])</f>
        <v>28943.25</v>
      </c>
      <c r="R1491" s="21">
        <f>+PROVEEDORES[[#This Row],[SUBTOTAL]]+PROVEEDORES[[#This Row],[IVA 19%]]-PROVEEDORES[[#This Row],[descuento sobre subtotal]]-PROVEEDORES[[#This Row],[Descuento sobre subtotal $2]]-PROVEEDORES[[#This Row],[Rete Fuente $]]</f>
        <v>1348755.45</v>
      </c>
      <c r="S14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1" s="63">
        <f ca="1">IF(PROVEEDORES[[#This Row],[FECHA DE PAGO]]=0,TODAY()-PROVEEDORES[[#This Row],[FECHA DE FACTURACIÓN]]-PROVEEDORES[[#This Row],[PLAZO Días]],0)</f>
        <v>0</v>
      </c>
      <c r="U1491" s="104" t="str">
        <f>+VLOOKUP(PROVEEDORES[[#This Row],[PROVEEDOR]],Terceros!$A:$D,4,FALSE)</f>
        <v>2,5% con base</v>
      </c>
      <c r="V1491" s="105">
        <f>+YEAR(PROVEEDORES[[#This Row],[FECHA DE FACTURACIÓN]])</f>
        <v>2023</v>
      </c>
      <c r="W1491" s="105">
        <f>+MATCH(PROVEEDORES[[#This Row],[año facturado]],Retenciones!$1:$1,0)</f>
        <v>6</v>
      </c>
      <c r="X1491" s="106">
        <f>+VLOOKUP(PROVEEDORES[[#This Row],[ID RETENCION]],Retenciones!$A$1:$O$25,PROVEEDORES[[#This Row],[indicador de columna]],FALSE)</f>
        <v>1145000</v>
      </c>
      <c r="Y1491" s="107">
        <f>+VLOOKUP(PROVEEDORES[[#This Row],[ID RETENCION]],Retenciones!$A$1:$O$25,2,FALSE)</f>
        <v>2.5000000000000001E-2</v>
      </c>
      <c r="Z1491" s="116" t="b">
        <f>OR(COUNTIF(PROVEEDORES[[#This Row],[PROVEEDOR]],"*"&amp;'Palabra no opera'!$A$2&amp;"*"))</f>
        <v>0</v>
      </c>
    </row>
    <row r="1492" spans="1:26" ht="22.35" customHeight="1" x14ac:dyDescent="0.3">
      <c r="A1492" s="67" t="str">
        <f>+IF(PROVEEDORES[[#This Row],[FECHA DE PAGO]]=PROVEEDORES[[#This Row],[FECHA DE FACTURACIÓN]],"DE CONTADO","CRÉDITO")</f>
        <v>CRÉDITO</v>
      </c>
      <c r="B1492" s="38" t="str">
        <f>+IF((PROVEEDORES[[#This Row],[FECHA DE PAGO]]-PROVEEDORES[[#This Row],[FECHA DE FACTURACIÓN]])&gt;PROVEEDORES[[#This Row],[PLAZO Días]],"PAGO VENCIDO")</f>
        <v>PAGO VENCIDO</v>
      </c>
      <c r="C1492" s="20">
        <f>+VLOOKUP(PROVEEDORES[[#This Row],[PROVEEDOR]],TERCEROS_INFO[#All],2,FALSE)</f>
        <v>30</v>
      </c>
      <c r="D1492" s="25">
        <f>+SUMIFS(PROVEEDORES[Total],PROVEEDORES[PROVEEDOR],PROVEEDORES[[#This Row],[PROVEEDOR]],PROVEEDORES[FECHA DE PAGO],"")</f>
        <v>0</v>
      </c>
      <c r="E1492" s="25"/>
      <c r="F149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492" s="68">
        <v>45054</v>
      </c>
      <c r="H1492" s="26" t="s">
        <v>281</v>
      </c>
      <c r="I1492" s="68">
        <v>45007</v>
      </c>
      <c r="J1492" s="35" t="s">
        <v>1597</v>
      </c>
      <c r="K1492" s="21">
        <v>-240000</v>
      </c>
      <c r="L1492" s="21"/>
      <c r="M1492" s="22">
        <f>(PROVEEDORES[[#This Row],[SUBTOTAL]]-PROVEEDORES[[#This Row],[descuento sobre subtotal]])*VLOOKUP(PROVEEDORES[[#This Row],[PROVEEDOR]],TERCEROS_INFO[#All],3,FALSE)</f>
        <v>-45600</v>
      </c>
      <c r="N1492" s="23"/>
      <c r="O1492" s="22">
        <f>+PROVEEDORES[[#This Row],[Descuento sobre subtotal %]]*(PROVEEDORES[[#This Row],[SUBTOTAL]]-PROVEEDORES[[#This Row],[descuento sobre subtotal]])</f>
        <v>0</v>
      </c>
      <c r="P1492" s="74">
        <f>+IF(PROVEEDORES[[#This Row],[SUBTOTAL]]&lt;PROVEEDORES[[#This Row],[base retencion]],0,PROVEEDORES[[#This Row],[retención aplicada]])</f>
        <v>0</v>
      </c>
      <c r="Q1492" s="22">
        <f>+PROVEEDORES[[#This Row],[Rete Fuente %]]*(PROVEEDORES[[#This Row],[SUBTOTAL]]-PROVEEDORES[[#This Row],[descuento sobre subtotal]])</f>
        <v>0</v>
      </c>
      <c r="R1492" s="21">
        <f>+PROVEEDORES[[#This Row],[SUBTOTAL]]+PROVEEDORES[[#This Row],[IVA 19%]]-PROVEEDORES[[#This Row],[descuento sobre subtotal]]-PROVEEDORES[[#This Row],[Descuento sobre subtotal $2]]-PROVEEDORES[[#This Row],[Rete Fuente $]]</f>
        <v>-285600</v>
      </c>
      <c r="S149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2" s="63">
        <f ca="1">IF(PROVEEDORES[[#This Row],[FECHA DE PAGO]]=0,TODAY()-PROVEEDORES[[#This Row],[FECHA DE FACTURACIÓN]]-PROVEEDORES[[#This Row],[PLAZO Días]],0)</f>
        <v>0</v>
      </c>
      <c r="U1492" s="104">
        <f>+VLOOKUP(PROVEEDORES[[#This Row],[PROVEEDOR]],Terceros!$A:$D,4,FALSE)</f>
        <v>0</v>
      </c>
      <c r="V1492" s="105">
        <f>+YEAR(PROVEEDORES[[#This Row],[FECHA DE FACTURACIÓN]])</f>
        <v>2023</v>
      </c>
      <c r="W1492" s="105">
        <f>+MATCH(PROVEEDORES[[#This Row],[año facturado]],Retenciones!$1:$1,0)</f>
        <v>6</v>
      </c>
      <c r="X1492" s="106">
        <f>+VLOOKUP(PROVEEDORES[[#This Row],[ID RETENCION]],Retenciones!$A$1:$O$25,PROVEEDORES[[#This Row],[indicador de columna]],FALSE)</f>
        <v>0</v>
      </c>
      <c r="Y1492" s="107">
        <f>+VLOOKUP(PROVEEDORES[[#This Row],[ID RETENCION]],Retenciones!$A$1:$O$25,2,FALSE)</f>
        <v>0</v>
      </c>
      <c r="Z1492" s="116" t="b">
        <f>OR(COUNTIF(PROVEEDORES[[#This Row],[PROVEEDOR]],"*"&amp;'Palabra no opera'!$A$2&amp;"*"))</f>
        <v>0</v>
      </c>
    </row>
    <row r="1493" spans="1:26" ht="22.35" customHeight="1" x14ac:dyDescent="0.3">
      <c r="A1493" s="67" t="str">
        <f>+IF(PROVEEDORES[[#This Row],[FECHA DE PAGO]]=PROVEEDORES[[#This Row],[FECHA DE FACTURACIÓN]],"DE CONTADO","CRÉDITO")</f>
        <v>CRÉDITO</v>
      </c>
      <c r="B1493" s="38" t="str">
        <f>+IF((PROVEEDORES[[#This Row],[FECHA DE PAGO]]-PROVEEDORES[[#This Row],[FECHA DE FACTURACIÓN]])&gt;PROVEEDORES[[#This Row],[PLAZO Días]],"PAGO VENCIDO")</f>
        <v>PAGO VENCIDO</v>
      </c>
      <c r="C1493" s="20">
        <f>+VLOOKUP(PROVEEDORES[[#This Row],[PROVEEDOR]],TERCEROS_INFO[#All],2,FALSE)</f>
        <v>30</v>
      </c>
      <c r="D1493" s="25">
        <f>+SUMIFS(PROVEEDORES[Total],PROVEEDORES[PROVEEDOR],PROVEEDORES[[#This Row],[PROVEEDOR]],PROVEEDORES[FECHA DE PAGO],"")</f>
        <v>0</v>
      </c>
      <c r="E1493" s="25"/>
      <c r="F1493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493" s="68">
        <v>45054</v>
      </c>
      <c r="H1493" s="26" t="s">
        <v>281</v>
      </c>
      <c r="I1493" s="68">
        <v>45007</v>
      </c>
      <c r="J1493" s="35" t="s">
        <v>1598</v>
      </c>
      <c r="K1493" s="21">
        <v>769800</v>
      </c>
      <c r="L1493" s="21"/>
      <c r="M1493" s="22">
        <v>38490</v>
      </c>
      <c r="N1493" s="23"/>
      <c r="O1493" s="22">
        <f>+PROVEEDORES[[#This Row],[Descuento sobre subtotal %]]*(PROVEEDORES[[#This Row],[SUBTOTAL]]-PROVEEDORES[[#This Row],[descuento sobre subtotal]])</f>
        <v>0</v>
      </c>
      <c r="P1493" s="74">
        <f>+IF(PROVEEDORES[[#This Row],[SUBTOTAL]]&lt;PROVEEDORES[[#This Row],[base retencion]],0,PROVEEDORES[[#This Row],[retención aplicada]])</f>
        <v>0</v>
      </c>
      <c r="Q1493" s="22">
        <f>+PROVEEDORES[[#This Row],[Rete Fuente %]]*(PROVEEDORES[[#This Row],[SUBTOTAL]]-PROVEEDORES[[#This Row],[descuento sobre subtotal]])</f>
        <v>0</v>
      </c>
      <c r="R1493" s="21">
        <f>+PROVEEDORES[[#This Row],[SUBTOTAL]]+PROVEEDORES[[#This Row],[IVA 19%]]-PROVEEDORES[[#This Row],[descuento sobre subtotal]]-PROVEEDORES[[#This Row],[Descuento sobre subtotal $2]]-PROVEEDORES[[#This Row],[Rete Fuente $]]</f>
        <v>808290</v>
      </c>
      <c r="S149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3" s="63">
        <f ca="1">IF(PROVEEDORES[[#This Row],[FECHA DE PAGO]]=0,TODAY()-PROVEEDORES[[#This Row],[FECHA DE FACTURACIÓN]]-PROVEEDORES[[#This Row],[PLAZO Días]],0)</f>
        <v>0</v>
      </c>
      <c r="U1493" s="104">
        <f>+VLOOKUP(PROVEEDORES[[#This Row],[PROVEEDOR]],Terceros!$A:$D,4,FALSE)</f>
        <v>0</v>
      </c>
      <c r="V1493" s="105">
        <f>+YEAR(PROVEEDORES[[#This Row],[FECHA DE FACTURACIÓN]])</f>
        <v>2023</v>
      </c>
      <c r="W1493" s="105">
        <f>+MATCH(PROVEEDORES[[#This Row],[año facturado]],Retenciones!$1:$1,0)</f>
        <v>6</v>
      </c>
      <c r="X1493" s="106">
        <f>+VLOOKUP(PROVEEDORES[[#This Row],[ID RETENCION]],Retenciones!$A$1:$O$25,PROVEEDORES[[#This Row],[indicador de columna]],FALSE)</f>
        <v>0</v>
      </c>
      <c r="Y1493" s="107">
        <f>+VLOOKUP(PROVEEDORES[[#This Row],[ID RETENCION]],Retenciones!$A$1:$O$25,2,FALSE)</f>
        <v>0</v>
      </c>
      <c r="Z1493" s="116" t="b">
        <f>OR(COUNTIF(PROVEEDORES[[#This Row],[PROVEEDOR]],"*"&amp;'Palabra no opera'!$A$2&amp;"*"))</f>
        <v>0</v>
      </c>
    </row>
    <row r="1494" spans="1:26" ht="22.35" customHeight="1" x14ac:dyDescent="0.3">
      <c r="A1494" s="67" t="str">
        <f>+IF(PROVEEDORES[[#This Row],[FECHA DE PAGO]]=PROVEEDORES[[#This Row],[FECHA DE FACTURACIÓN]],"DE CONTADO","CRÉDITO")</f>
        <v>CRÉDITO</v>
      </c>
      <c r="B1494" s="38" t="str">
        <f>+IF((PROVEEDORES[[#This Row],[FECHA DE PAGO]]-PROVEEDORES[[#This Row],[FECHA DE FACTURACIÓN]])&gt;PROVEEDORES[[#This Row],[PLAZO Días]],"PAGO VENCIDO")</f>
        <v>PAGO VENCIDO</v>
      </c>
      <c r="C1494" s="20">
        <f>+VLOOKUP(PROVEEDORES[[#This Row],[PROVEEDOR]],TERCEROS_INFO[#All],2,FALSE)</f>
        <v>30</v>
      </c>
      <c r="D1494" s="25">
        <f>+SUMIFS(PROVEEDORES[Total],PROVEEDORES[PROVEEDOR],PROVEEDORES[[#This Row],[PROVEEDOR]],PROVEEDORES[FECHA DE PAGO],"")</f>
        <v>0</v>
      </c>
      <c r="E1494" s="25"/>
      <c r="F1494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494" s="68">
        <v>45054</v>
      </c>
      <c r="H1494" s="26" t="s">
        <v>281</v>
      </c>
      <c r="I1494" s="68">
        <v>45012</v>
      </c>
      <c r="J1494" s="35" t="s">
        <v>1600</v>
      </c>
      <c r="K1494" s="21">
        <v>1059280</v>
      </c>
      <c r="L1494" s="21"/>
      <c r="M1494" s="22">
        <v>52964</v>
      </c>
      <c r="N1494" s="23"/>
      <c r="O1494" s="22">
        <f>+PROVEEDORES[[#This Row],[Descuento sobre subtotal %]]*(PROVEEDORES[[#This Row],[SUBTOTAL]]-PROVEEDORES[[#This Row],[descuento sobre subtotal]])</f>
        <v>0</v>
      </c>
      <c r="P1494" s="74">
        <f>+IF(PROVEEDORES[[#This Row],[SUBTOTAL]]&lt;PROVEEDORES[[#This Row],[base retencion]],0,PROVEEDORES[[#This Row],[retención aplicada]])</f>
        <v>0</v>
      </c>
      <c r="Q1494" s="22">
        <f>+PROVEEDORES[[#This Row],[Rete Fuente %]]*(PROVEEDORES[[#This Row],[SUBTOTAL]]-PROVEEDORES[[#This Row],[descuento sobre subtotal]])</f>
        <v>0</v>
      </c>
      <c r="R1494" s="21">
        <f>+PROVEEDORES[[#This Row],[SUBTOTAL]]+PROVEEDORES[[#This Row],[IVA 19%]]-PROVEEDORES[[#This Row],[descuento sobre subtotal]]-PROVEEDORES[[#This Row],[Descuento sobre subtotal $2]]-PROVEEDORES[[#This Row],[Rete Fuente $]]</f>
        <v>1112244</v>
      </c>
      <c r="S14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4" s="63">
        <f ca="1">IF(PROVEEDORES[[#This Row],[FECHA DE PAGO]]=0,TODAY()-PROVEEDORES[[#This Row],[FECHA DE FACTURACIÓN]]-PROVEEDORES[[#This Row],[PLAZO Días]],0)</f>
        <v>0</v>
      </c>
      <c r="U1494" s="104">
        <f>+VLOOKUP(PROVEEDORES[[#This Row],[PROVEEDOR]],Terceros!$A:$D,4,FALSE)</f>
        <v>0</v>
      </c>
      <c r="V1494" s="105">
        <f>+YEAR(PROVEEDORES[[#This Row],[FECHA DE FACTURACIÓN]])</f>
        <v>2023</v>
      </c>
      <c r="W1494" s="105">
        <f>+MATCH(PROVEEDORES[[#This Row],[año facturado]],Retenciones!$1:$1,0)</f>
        <v>6</v>
      </c>
      <c r="X1494" s="106">
        <f>+VLOOKUP(PROVEEDORES[[#This Row],[ID RETENCION]],Retenciones!$A$1:$O$25,PROVEEDORES[[#This Row],[indicador de columna]],FALSE)</f>
        <v>0</v>
      </c>
      <c r="Y1494" s="107">
        <f>+VLOOKUP(PROVEEDORES[[#This Row],[ID RETENCION]],Retenciones!$A$1:$O$25,2,FALSE)</f>
        <v>0</v>
      </c>
      <c r="Z1494" s="116" t="b">
        <f>OR(COUNTIF(PROVEEDORES[[#This Row],[PROVEEDOR]],"*"&amp;'Palabra no opera'!$A$2&amp;"*"))</f>
        <v>0</v>
      </c>
    </row>
    <row r="1495" spans="1:26" ht="22.35" customHeight="1" x14ac:dyDescent="0.3">
      <c r="A1495" s="310" t="str">
        <f>+IF(PROVEEDORES[[#This Row],[FECHA DE PAGO]]=PROVEEDORES[[#This Row],[FECHA DE FACTURACIÓN]],"DE CONTADO","CRÉDITO")</f>
        <v>CRÉDITO</v>
      </c>
      <c r="B1495" s="38" t="b">
        <f>+IF((PROVEEDORES[[#This Row],[FECHA DE PAGO]]-PROVEEDORES[[#This Row],[FECHA DE FACTURACIÓN]])&gt;PROVEEDORES[[#This Row],[PLAZO Días]],"PAGO VENCIDO")</f>
        <v>0</v>
      </c>
      <c r="C1495" s="20">
        <f>+VLOOKUP(PROVEEDORES[[#This Row],[PROVEEDOR]],TERCEROS_INFO[#All],2,FALSE)</f>
        <v>30</v>
      </c>
      <c r="D1495" s="25">
        <f>+SUMIFS(PROVEEDORES[Total],PROVEEDORES[PROVEEDOR],PROVEEDORES[[#This Row],[PROVEEDOR]],PROVEEDORES[FECHA DE PAGO],"")</f>
        <v>0</v>
      </c>
      <c r="E1495" s="25"/>
      <c r="F1495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495" s="68">
        <v>45054</v>
      </c>
      <c r="H1495" s="26" t="s">
        <v>281</v>
      </c>
      <c r="I1495" s="68">
        <v>45036</v>
      </c>
      <c r="J1495" s="35" t="s">
        <v>1634</v>
      </c>
      <c r="K1495" s="21">
        <v>2649600</v>
      </c>
      <c r="L1495" s="21"/>
      <c r="M1495" s="22">
        <v>132480</v>
      </c>
      <c r="N1495" s="23"/>
      <c r="O1495" s="22">
        <f>+PROVEEDORES[[#This Row],[Descuento sobre subtotal %]]*(PROVEEDORES[[#This Row],[SUBTOTAL]]-PROVEEDORES[[#This Row],[descuento sobre subtotal]])</f>
        <v>0</v>
      </c>
      <c r="P1495" s="74">
        <f>+IF(PROVEEDORES[[#This Row],[SUBTOTAL]]&lt;PROVEEDORES[[#This Row],[base retencion]],0,PROVEEDORES[[#This Row],[retención aplicada]])</f>
        <v>0</v>
      </c>
      <c r="Q1495" s="22">
        <f>+PROVEEDORES[[#This Row],[Rete Fuente %]]*(PROVEEDORES[[#This Row],[SUBTOTAL]]-PROVEEDORES[[#This Row],[descuento sobre subtotal]])</f>
        <v>0</v>
      </c>
      <c r="R1495" s="21">
        <f>+PROVEEDORES[[#This Row],[SUBTOTAL]]+PROVEEDORES[[#This Row],[IVA 19%]]-PROVEEDORES[[#This Row],[descuento sobre subtotal]]-PROVEEDORES[[#This Row],[Descuento sobre subtotal $2]]-PROVEEDORES[[#This Row],[Rete Fuente $]]</f>
        <v>2782080</v>
      </c>
      <c r="S1495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5" s="63">
        <f ca="1">IF(PROVEEDORES[[#This Row],[FECHA DE PAGO]]=0,TODAY()-PROVEEDORES[[#This Row],[FECHA DE FACTURACIÓN]]-PROVEEDORES[[#This Row],[PLAZO Días]],0)</f>
        <v>0</v>
      </c>
      <c r="U1495" s="104">
        <f>+VLOOKUP(PROVEEDORES[[#This Row],[PROVEEDOR]],Terceros!$A:$D,4,FALSE)</f>
        <v>0</v>
      </c>
      <c r="V1495" s="105">
        <f>+YEAR(PROVEEDORES[[#This Row],[FECHA DE FACTURACIÓN]])</f>
        <v>2023</v>
      </c>
      <c r="W1495" s="105">
        <f>+MATCH(PROVEEDORES[[#This Row],[año facturado]],Retenciones!$1:$1,0)</f>
        <v>6</v>
      </c>
      <c r="X1495" s="106">
        <f>+VLOOKUP(PROVEEDORES[[#This Row],[ID RETENCION]],Retenciones!$A$1:$O$25,PROVEEDORES[[#This Row],[indicador de columna]],FALSE)</f>
        <v>0</v>
      </c>
      <c r="Y1495" s="107">
        <f>+VLOOKUP(PROVEEDORES[[#This Row],[ID RETENCION]],Retenciones!$A$1:$O$25,2,FALSE)</f>
        <v>0</v>
      </c>
      <c r="Z1495" s="116" t="b">
        <f>OR(COUNTIF(PROVEEDORES[[#This Row],[PROVEEDOR]],"*"&amp;'Palabra no opera'!$A$2&amp;"*"))</f>
        <v>0</v>
      </c>
    </row>
    <row r="1496" spans="1:26" ht="22.35" customHeight="1" x14ac:dyDescent="0.3">
      <c r="A1496" s="67" t="str">
        <f>+IF(PROVEEDORES[[#This Row],[FECHA DE PAGO]]=PROVEEDORES[[#This Row],[FECHA DE FACTURACIÓN]],"DE CONTADO","CRÉDITO")</f>
        <v>CRÉDITO</v>
      </c>
      <c r="B1496" s="38" t="str">
        <f>+IF((PROVEEDORES[[#This Row],[FECHA DE PAGO]]-PROVEEDORES[[#This Row],[FECHA DE FACTURACIÓN]])&gt;PROVEEDORES[[#This Row],[PLAZO Días]],"PAGO VENCIDO")</f>
        <v>PAGO VENCIDO</v>
      </c>
      <c r="C1496" s="20">
        <f>+VLOOKUP(PROVEEDORES[[#This Row],[PROVEEDOR]],TERCEROS_INFO[#All],2,FALSE)</f>
        <v>30</v>
      </c>
      <c r="D1496" s="25">
        <f>+SUMIFS(PROVEEDORES[Total],PROVEEDORES[PROVEEDOR],PROVEEDORES[[#This Row],[PROVEEDOR]],PROVEEDORES[FECHA DE PAGO],"")</f>
        <v>17870934.149999999</v>
      </c>
      <c r="E1496" s="25"/>
      <c r="F149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96" s="68">
        <v>45054</v>
      </c>
      <c r="H1496" s="26" t="s">
        <v>18</v>
      </c>
      <c r="I1496" s="68">
        <v>45006</v>
      </c>
      <c r="J1496" s="35">
        <v>1067479</v>
      </c>
      <c r="K1496" s="21">
        <v>3044342</v>
      </c>
      <c r="L1496" s="21"/>
      <c r="M1496" s="22">
        <f>(PROVEEDORES[[#This Row],[SUBTOTAL]]-PROVEEDORES[[#This Row],[descuento sobre subtotal]])*VLOOKUP(PROVEEDORES[[#This Row],[PROVEEDOR]],TERCEROS_INFO[#All],3,FALSE)</f>
        <v>578424.98</v>
      </c>
      <c r="N1496" s="23"/>
      <c r="O1496" s="22">
        <f>+PROVEEDORES[[#This Row],[Descuento sobre subtotal %]]*(PROVEEDORES[[#This Row],[SUBTOTAL]]-PROVEEDORES[[#This Row],[descuento sobre subtotal]])</f>
        <v>0</v>
      </c>
      <c r="P1496" s="74">
        <f>+IF(PROVEEDORES[[#This Row],[SUBTOTAL]]&lt;PROVEEDORES[[#This Row],[base retencion]],0,PROVEEDORES[[#This Row],[retención aplicada]])</f>
        <v>2.5000000000000001E-2</v>
      </c>
      <c r="Q1496" s="22">
        <f>+PROVEEDORES[[#This Row],[Rete Fuente %]]*(PROVEEDORES[[#This Row],[SUBTOTAL]]-PROVEEDORES[[#This Row],[descuento sobre subtotal]])</f>
        <v>76108.55</v>
      </c>
      <c r="R1496" s="21">
        <f>+PROVEEDORES[[#This Row],[SUBTOTAL]]+PROVEEDORES[[#This Row],[IVA 19%]]-PROVEEDORES[[#This Row],[descuento sobre subtotal]]-PROVEEDORES[[#This Row],[Descuento sobre subtotal $2]]-PROVEEDORES[[#This Row],[Rete Fuente $]]</f>
        <v>3546658.43</v>
      </c>
      <c r="S14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6" s="63">
        <f ca="1">IF(PROVEEDORES[[#This Row],[FECHA DE PAGO]]=0,TODAY()-PROVEEDORES[[#This Row],[FECHA DE FACTURACIÓN]]-PROVEEDORES[[#This Row],[PLAZO Días]],0)</f>
        <v>0</v>
      </c>
      <c r="U1496" s="104" t="str">
        <f>+VLOOKUP(PROVEEDORES[[#This Row],[PROVEEDOR]],Terceros!$A:$D,4,FALSE)</f>
        <v>2,5% con base</v>
      </c>
      <c r="V1496" s="105">
        <f>+YEAR(PROVEEDORES[[#This Row],[FECHA DE FACTURACIÓN]])</f>
        <v>2023</v>
      </c>
      <c r="W1496" s="105">
        <f>+MATCH(PROVEEDORES[[#This Row],[año facturado]],Retenciones!$1:$1,0)</f>
        <v>6</v>
      </c>
      <c r="X1496" s="106">
        <f>+VLOOKUP(PROVEEDORES[[#This Row],[ID RETENCION]],Retenciones!$A$1:$O$25,PROVEEDORES[[#This Row],[indicador de columna]],FALSE)</f>
        <v>1145000</v>
      </c>
      <c r="Y1496" s="107">
        <f>+VLOOKUP(PROVEEDORES[[#This Row],[ID RETENCION]],Retenciones!$A$1:$O$25,2,FALSE)</f>
        <v>2.5000000000000001E-2</v>
      </c>
      <c r="Z1496" s="116" t="b">
        <f>OR(COUNTIF(PROVEEDORES[[#This Row],[PROVEEDOR]],"*"&amp;'Palabra no opera'!$A$2&amp;"*"))</f>
        <v>0</v>
      </c>
    </row>
    <row r="1497" spans="1:26" ht="22.35" customHeight="1" x14ac:dyDescent="0.3">
      <c r="A1497" s="67" t="str">
        <f>+IF(PROVEEDORES[[#This Row],[FECHA DE PAGO]]=PROVEEDORES[[#This Row],[FECHA DE FACTURACIÓN]],"DE CONTADO","CRÉDITO")</f>
        <v>CRÉDITO</v>
      </c>
      <c r="B1497" s="38" t="str">
        <f>+IF((PROVEEDORES[[#This Row],[FECHA DE PAGO]]-PROVEEDORES[[#This Row],[FECHA DE FACTURACIÓN]])&gt;PROVEEDORES[[#This Row],[PLAZO Días]],"PAGO VENCIDO")</f>
        <v>PAGO VENCIDO</v>
      </c>
      <c r="C1497" s="20">
        <f>+VLOOKUP(PROVEEDORES[[#This Row],[PROVEEDOR]],TERCEROS_INFO[#All],2,FALSE)</f>
        <v>30</v>
      </c>
      <c r="D1497" s="25">
        <f>+SUMIFS(PROVEEDORES[Total],PROVEEDORES[PROVEEDOR],PROVEEDORES[[#This Row],[PROVEEDOR]],PROVEEDORES[FECHA DE PAGO],"")</f>
        <v>5537221.7000000002</v>
      </c>
      <c r="E1497" s="25"/>
      <c r="F1497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497" s="68">
        <v>45054</v>
      </c>
      <c r="H1497" s="26" t="s">
        <v>293</v>
      </c>
      <c r="I1497" s="68">
        <v>44992</v>
      </c>
      <c r="J1497" s="35" t="s">
        <v>1497</v>
      </c>
      <c r="K1497" s="21">
        <v>2463004</v>
      </c>
      <c r="L1497" s="21"/>
      <c r="M1497" s="22">
        <f>(PROVEEDORES[[#This Row],[SUBTOTAL]]-PROVEEDORES[[#This Row],[descuento sobre subtotal]])*VLOOKUP(PROVEEDORES[[#This Row],[PROVEEDOR]],TERCEROS_INFO[#All],3,FALSE)</f>
        <v>467970.76</v>
      </c>
      <c r="N1497" s="23"/>
      <c r="O1497" s="22">
        <f>+PROVEEDORES[[#This Row],[Descuento sobre subtotal %]]*(PROVEEDORES[[#This Row],[SUBTOTAL]]-PROVEEDORES[[#This Row],[descuento sobre subtotal]])</f>
        <v>0</v>
      </c>
      <c r="P1497" s="74">
        <f>+IF(PROVEEDORES[[#This Row],[SUBTOTAL]]&lt;PROVEEDORES[[#This Row],[base retencion]],0,PROVEEDORES[[#This Row],[retención aplicada]])</f>
        <v>2.5000000000000001E-2</v>
      </c>
      <c r="Q1497" s="22">
        <f>+PROVEEDORES[[#This Row],[Rete Fuente %]]*(PROVEEDORES[[#This Row],[SUBTOTAL]]-PROVEEDORES[[#This Row],[descuento sobre subtotal]])</f>
        <v>61575.100000000006</v>
      </c>
      <c r="R1497" s="21">
        <f>+PROVEEDORES[[#This Row],[SUBTOTAL]]+PROVEEDORES[[#This Row],[IVA 19%]]-PROVEEDORES[[#This Row],[descuento sobre subtotal]]-PROVEEDORES[[#This Row],[Descuento sobre subtotal $2]]-PROVEEDORES[[#This Row],[Rete Fuente $]]</f>
        <v>2869399.6599999997</v>
      </c>
      <c r="S149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7" s="63">
        <f ca="1">IF(PROVEEDORES[[#This Row],[FECHA DE PAGO]]=0,TODAY()-PROVEEDORES[[#This Row],[FECHA DE FACTURACIÓN]]-PROVEEDORES[[#This Row],[PLAZO Días]],0)</f>
        <v>0</v>
      </c>
      <c r="U1497" s="104" t="str">
        <f>+VLOOKUP(PROVEEDORES[[#This Row],[PROVEEDOR]],Terceros!$A:$D,4,FALSE)</f>
        <v>2,5% con base</v>
      </c>
      <c r="V1497" s="105">
        <f>+YEAR(PROVEEDORES[[#This Row],[FECHA DE FACTURACIÓN]])</f>
        <v>2023</v>
      </c>
      <c r="W1497" s="105">
        <f>+MATCH(PROVEEDORES[[#This Row],[año facturado]],Retenciones!$1:$1,0)</f>
        <v>6</v>
      </c>
      <c r="X1497" s="106">
        <f>+VLOOKUP(PROVEEDORES[[#This Row],[ID RETENCION]],Retenciones!$A$1:$O$25,PROVEEDORES[[#This Row],[indicador de columna]],FALSE)</f>
        <v>1145000</v>
      </c>
      <c r="Y1497" s="107">
        <f>+VLOOKUP(PROVEEDORES[[#This Row],[ID RETENCION]],Retenciones!$A$1:$O$25,2,FALSE)</f>
        <v>2.5000000000000001E-2</v>
      </c>
      <c r="Z1497" s="116" t="b">
        <f>OR(COUNTIF(PROVEEDORES[[#This Row],[PROVEEDOR]],"*"&amp;'Palabra no opera'!$A$2&amp;"*"))</f>
        <v>0</v>
      </c>
    </row>
    <row r="1498" spans="1:26" ht="22.35" customHeight="1" x14ac:dyDescent="0.3">
      <c r="A1498" s="280" t="str">
        <f>+IF(PROVEEDORES[[#This Row],[FECHA DE PAGO]]=PROVEEDORES[[#This Row],[FECHA DE FACTURACIÓN]],"DE CONTADO","CRÉDITO")</f>
        <v>CRÉDITO</v>
      </c>
      <c r="B1498" s="38" t="str">
        <f>+IF((PROVEEDORES[[#This Row],[FECHA DE PAGO]]-PROVEEDORES[[#This Row],[FECHA DE FACTURACIÓN]])&gt;PROVEEDORES[[#This Row],[PLAZO Días]],"PAGO VENCIDO")</f>
        <v>PAGO VENCIDO</v>
      </c>
      <c r="C1498" s="20">
        <f>+VLOOKUP(PROVEEDORES[[#This Row],[PROVEEDOR]],TERCEROS_INFO[#All],2,FALSE)</f>
        <v>30</v>
      </c>
      <c r="D1498" s="25">
        <f>+SUMIFS(PROVEEDORES[Total],PROVEEDORES[PROVEEDOR],PROVEEDORES[[#This Row],[PROVEEDOR]],PROVEEDORES[FECHA DE PAGO],"")</f>
        <v>5537221.7000000002</v>
      </c>
      <c r="E1498" s="25"/>
      <c r="F1498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498" s="68">
        <v>45054</v>
      </c>
      <c r="H1498" s="26" t="s">
        <v>293</v>
      </c>
      <c r="I1498" s="68">
        <v>45006</v>
      </c>
      <c r="J1498" s="35" t="s">
        <v>1594</v>
      </c>
      <c r="K1498" s="21">
        <v>659490</v>
      </c>
      <c r="L1498" s="21"/>
      <c r="M1498" s="22">
        <f>(PROVEEDORES[[#This Row],[SUBTOTAL]]-PROVEEDORES[[#This Row],[descuento sobre subtotal]])*VLOOKUP(PROVEEDORES[[#This Row],[PROVEEDOR]],TERCEROS_INFO[#All],3,FALSE)</f>
        <v>125303.1</v>
      </c>
      <c r="N1498" s="23"/>
      <c r="O1498" s="22">
        <f>+PROVEEDORES[[#This Row],[Descuento sobre subtotal %]]*(PROVEEDORES[[#This Row],[SUBTOTAL]]-PROVEEDORES[[#This Row],[descuento sobre subtotal]])</f>
        <v>0</v>
      </c>
      <c r="P1498" s="74">
        <f>+IF(PROVEEDORES[[#This Row],[SUBTOTAL]]&lt;PROVEEDORES[[#This Row],[base retencion]],0,PROVEEDORES[[#This Row],[retención aplicada]])</f>
        <v>0</v>
      </c>
      <c r="Q1498" s="22">
        <f>+PROVEEDORES[[#This Row],[Rete Fuente %]]*(PROVEEDORES[[#This Row],[SUBTOTAL]]-PROVEEDORES[[#This Row],[descuento sobre subtotal]])</f>
        <v>0</v>
      </c>
      <c r="R1498" s="21">
        <f>+PROVEEDORES[[#This Row],[SUBTOTAL]]+PROVEEDORES[[#This Row],[IVA 19%]]-PROVEEDORES[[#This Row],[descuento sobre subtotal]]-PROVEEDORES[[#This Row],[Descuento sobre subtotal $2]]-PROVEEDORES[[#This Row],[Rete Fuente $]]</f>
        <v>784793.1</v>
      </c>
      <c r="S1498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8" s="63">
        <f ca="1">IF(PROVEEDORES[[#This Row],[FECHA DE PAGO]]=0,TODAY()-PROVEEDORES[[#This Row],[FECHA DE FACTURACIÓN]]-PROVEEDORES[[#This Row],[PLAZO Días]],0)</f>
        <v>0</v>
      </c>
      <c r="U1498" s="104" t="str">
        <f>+VLOOKUP(PROVEEDORES[[#This Row],[PROVEEDOR]],Terceros!$A:$D,4,FALSE)</f>
        <v>2,5% con base</v>
      </c>
      <c r="V1498" s="105">
        <f>+YEAR(PROVEEDORES[[#This Row],[FECHA DE FACTURACIÓN]])</f>
        <v>2023</v>
      </c>
      <c r="W1498" s="105">
        <f>+MATCH(PROVEEDORES[[#This Row],[año facturado]],Retenciones!$1:$1,0)</f>
        <v>6</v>
      </c>
      <c r="X1498" s="106">
        <f>+VLOOKUP(PROVEEDORES[[#This Row],[ID RETENCION]],Retenciones!$A$1:$O$25,PROVEEDORES[[#This Row],[indicador de columna]],FALSE)</f>
        <v>1145000</v>
      </c>
      <c r="Y1498" s="107">
        <f>+VLOOKUP(PROVEEDORES[[#This Row],[ID RETENCION]],Retenciones!$A$1:$O$25,2,FALSE)</f>
        <v>2.5000000000000001E-2</v>
      </c>
      <c r="Z1498" s="116" t="b">
        <f>OR(COUNTIF(PROVEEDORES[[#This Row],[PROVEEDOR]],"*"&amp;'Palabra no opera'!$A$2&amp;"*"))</f>
        <v>0</v>
      </c>
    </row>
    <row r="1499" spans="1:26" ht="22.35" customHeight="1" x14ac:dyDescent="0.3">
      <c r="A1499" s="67" t="str">
        <f>+IF(PROVEEDORES[[#This Row],[FECHA DE PAGO]]=PROVEEDORES[[#This Row],[FECHA DE FACTURACIÓN]],"DE CONTADO","CRÉDITO")</f>
        <v>CRÉDITO</v>
      </c>
      <c r="B1499" s="38" t="str">
        <f>+IF((PROVEEDORES[[#This Row],[FECHA DE PAGO]]-PROVEEDORES[[#This Row],[FECHA DE FACTURACIÓN]])&gt;PROVEEDORES[[#This Row],[PLAZO Días]],"PAGO VENCIDO")</f>
        <v>PAGO VENCIDO</v>
      </c>
      <c r="C1499" s="20">
        <f>+VLOOKUP(PROVEEDORES[[#This Row],[PROVEEDOR]],TERCEROS_INFO[#All],2,FALSE)</f>
        <v>30</v>
      </c>
      <c r="D1499" s="25">
        <f>+SUMIFS(PROVEEDORES[Total],PROVEEDORES[PROVEEDOR],PROVEEDORES[[#This Row],[PROVEEDOR]],PROVEEDORES[FECHA DE PAGO],"")</f>
        <v>3209330.35</v>
      </c>
      <c r="E1499" s="25"/>
      <c r="F1499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99" s="68">
        <v>45055</v>
      </c>
      <c r="H1499" s="26" t="s">
        <v>282</v>
      </c>
      <c r="I1499" s="68">
        <v>44991</v>
      </c>
      <c r="J1499" s="35" t="s">
        <v>1500</v>
      </c>
      <c r="K1499" s="21">
        <v>270588</v>
      </c>
      <c r="L1499" s="21"/>
      <c r="M1499" s="22">
        <f>(PROVEEDORES[[#This Row],[SUBTOTAL]]-PROVEEDORES[[#This Row],[descuento sobre subtotal]])*VLOOKUP(PROVEEDORES[[#This Row],[PROVEEDOR]],TERCEROS_INFO[#All],3,FALSE)</f>
        <v>51411.72</v>
      </c>
      <c r="N1499" s="23"/>
      <c r="O1499" s="22">
        <f>+PROVEEDORES[[#This Row],[Descuento sobre subtotal %]]*(PROVEEDORES[[#This Row],[SUBTOTAL]]-PROVEEDORES[[#This Row],[descuento sobre subtotal]])</f>
        <v>0</v>
      </c>
      <c r="P1499" s="74">
        <f>+IF(PROVEEDORES[[#This Row],[SUBTOTAL]]&lt;PROVEEDORES[[#This Row],[base retencion]],0,PROVEEDORES[[#This Row],[retención aplicada]])</f>
        <v>0</v>
      </c>
      <c r="Q1499" s="22">
        <f>+PROVEEDORES[[#This Row],[Rete Fuente %]]*(PROVEEDORES[[#This Row],[SUBTOTAL]]-PROVEEDORES[[#This Row],[descuento sobre subtotal]])</f>
        <v>0</v>
      </c>
      <c r="R1499" s="21">
        <f>+PROVEEDORES[[#This Row],[SUBTOTAL]]+PROVEEDORES[[#This Row],[IVA 19%]]-PROVEEDORES[[#This Row],[descuento sobre subtotal]]-PROVEEDORES[[#This Row],[Descuento sobre subtotal $2]]-PROVEEDORES[[#This Row],[Rete Fuente $]]</f>
        <v>321999.71999999997</v>
      </c>
      <c r="S14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9" s="63">
        <f ca="1">IF(PROVEEDORES[[#This Row],[FECHA DE PAGO]]=0,TODAY()-PROVEEDORES[[#This Row],[FECHA DE FACTURACIÓN]]-PROVEEDORES[[#This Row],[PLAZO Días]],0)</f>
        <v>0</v>
      </c>
      <c r="U1499" s="104" t="str">
        <f>+VLOOKUP(PROVEEDORES[[#This Row],[PROVEEDOR]],Terceros!$A:$D,4,FALSE)</f>
        <v>2,5% con base</v>
      </c>
      <c r="V1499" s="105">
        <f>+YEAR(PROVEEDORES[[#This Row],[FECHA DE FACTURACIÓN]])</f>
        <v>2023</v>
      </c>
      <c r="W1499" s="105">
        <f>+MATCH(PROVEEDORES[[#This Row],[año facturado]],Retenciones!$1:$1,0)</f>
        <v>6</v>
      </c>
      <c r="X1499" s="106">
        <f>+VLOOKUP(PROVEEDORES[[#This Row],[ID RETENCION]],Retenciones!$A$1:$O$25,PROVEEDORES[[#This Row],[indicador de columna]],FALSE)</f>
        <v>1145000</v>
      </c>
      <c r="Y1499" s="107">
        <f>+VLOOKUP(PROVEEDORES[[#This Row],[ID RETENCION]],Retenciones!$A$1:$O$25,2,FALSE)</f>
        <v>2.5000000000000001E-2</v>
      </c>
      <c r="Z1499" s="116" t="b">
        <f>OR(COUNTIF(PROVEEDORES[[#This Row],[PROVEEDOR]],"*"&amp;'Palabra no opera'!$A$2&amp;"*"))</f>
        <v>0</v>
      </c>
    </row>
    <row r="1500" spans="1:26" ht="22.35" customHeight="1" x14ac:dyDescent="0.3">
      <c r="A1500" s="67" t="str">
        <f>+IF(PROVEEDORES[[#This Row],[FECHA DE PAGO]]=PROVEEDORES[[#This Row],[FECHA DE FACTURACIÓN]],"DE CONTADO","CRÉDITO")</f>
        <v>CRÉDITO</v>
      </c>
      <c r="B1500" s="38" t="str">
        <f>+IF((PROVEEDORES[[#This Row],[FECHA DE PAGO]]-PROVEEDORES[[#This Row],[FECHA DE FACTURACIÓN]])&gt;PROVEEDORES[[#This Row],[PLAZO Días]],"PAGO VENCIDO")</f>
        <v>PAGO VENCIDO</v>
      </c>
      <c r="C1500" s="20">
        <f>+VLOOKUP(PROVEEDORES[[#This Row],[PROVEEDOR]],TERCEROS_INFO[#All],2,FALSE)</f>
        <v>30</v>
      </c>
      <c r="D1500" s="25">
        <f>+SUMIFS(PROVEEDORES[Total],PROVEEDORES[PROVEEDOR],PROVEEDORES[[#This Row],[PROVEEDOR]],PROVEEDORES[FECHA DE PAGO],"")</f>
        <v>3209330.35</v>
      </c>
      <c r="E1500" s="25"/>
      <c r="F1500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00" s="68">
        <v>45055</v>
      </c>
      <c r="H1500" s="26" t="s">
        <v>282</v>
      </c>
      <c r="I1500" s="68">
        <v>45000</v>
      </c>
      <c r="J1500" s="35" t="s">
        <v>1493</v>
      </c>
      <c r="K1500" s="21">
        <v>675630</v>
      </c>
      <c r="L1500" s="21"/>
      <c r="M1500" s="22">
        <f>(PROVEEDORES[[#This Row],[SUBTOTAL]]-PROVEEDORES[[#This Row],[descuento sobre subtotal]])*VLOOKUP(PROVEEDORES[[#This Row],[PROVEEDOR]],TERCEROS_INFO[#All],3,FALSE)</f>
        <v>128369.7</v>
      </c>
      <c r="N1500" s="23"/>
      <c r="O1500" s="22">
        <f>+PROVEEDORES[[#This Row],[Descuento sobre subtotal %]]*(PROVEEDORES[[#This Row],[SUBTOTAL]]-PROVEEDORES[[#This Row],[descuento sobre subtotal]])</f>
        <v>0</v>
      </c>
      <c r="P1500" s="74">
        <f>+IF(PROVEEDORES[[#This Row],[SUBTOTAL]]&lt;PROVEEDORES[[#This Row],[base retencion]],0,PROVEEDORES[[#This Row],[retención aplicada]])</f>
        <v>0</v>
      </c>
      <c r="Q1500" s="22">
        <f>+PROVEEDORES[[#This Row],[Rete Fuente %]]*(PROVEEDORES[[#This Row],[SUBTOTAL]]-PROVEEDORES[[#This Row],[descuento sobre subtotal]])</f>
        <v>0</v>
      </c>
      <c r="R1500" s="21">
        <f>+PROVEEDORES[[#This Row],[SUBTOTAL]]+PROVEEDORES[[#This Row],[IVA 19%]]-PROVEEDORES[[#This Row],[descuento sobre subtotal]]-PROVEEDORES[[#This Row],[Descuento sobre subtotal $2]]-PROVEEDORES[[#This Row],[Rete Fuente $]]</f>
        <v>803999.7</v>
      </c>
      <c r="S15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0" s="63">
        <f ca="1">IF(PROVEEDORES[[#This Row],[FECHA DE PAGO]]=0,TODAY()-PROVEEDORES[[#This Row],[FECHA DE FACTURACIÓN]]-PROVEEDORES[[#This Row],[PLAZO Días]],0)</f>
        <v>0</v>
      </c>
      <c r="U1500" s="104" t="str">
        <f>+VLOOKUP(PROVEEDORES[[#This Row],[PROVEEDOR]],Terceros!$A:$D,4,FALSE)</f>
        <v>2,5% con base</v>
      </c>
      <c r="V1500" s="105">
        <f>+YEAR(PROVEEDORES[[#This Row],[FECHA DE FACTURACIÓN]])</f>
        <v>2023</v>
      </c>
      <c r="W1500" s="105">
        <f>+MATCH(PROVEEDORES[[#This Row],[año facturado]],Retenciones!$1:$1,0)</f>
        <v>6</v>
      </c>
      <c r="X1500" s="106">
        <f>+VLOOKUP(PROVEEDORES[[#This Row],[ID RETENCION]],Retenciones!$A$1:$O$25,PROVEEDORES[[#This Row],[indicador de columna]],FALSE)</f>
        <v>1145000</v>
      </c>
      <c r="Y1500" s="107">
        <f>+VLOOKUP(PROVEEDORES[[#This Row],[ID RETENCION]],Retenciones!$A$1:$O$25,2,FALSE)</f>
        <v>2.5000000000000001E-2</v>
      </c>
      <c r="Z1500" s="116" t="b">
        <f>OR(COUNTIF(PROVEEDORES[[#This Row],[PROVEEDOR]],"*"&amp;'Palabra no opera'!$A$2&amp;"*"))</f>
        <v>0</v>
      </c>
    </row>
    <row r="1501" spans="1:26" ht="22.35" customHeight="1" x14ac:dyDescent="0.3">
      <c r="A1501" s="67" t="str">
        <f>+IF(PROVEEDORES[[#This Row],[FECHA DE PAGO]]=PROVEEDORES[[#This Row],[FECHA DE FACTURACIÓN]],"DE CONTADO","CRÉDITO")</f>
        <v>CRÉDITO</v>
      </c>
      <c r="B1501" s="38" t="str">
        <f>+IF((PROVEEDORES[[#This Row],[FECHA DE PAGO]]-PROVEEDORES[[#This Row],[FECHA DE FACTURACIÓN]])&gt;PROVEEDORES[[#This Row],[PLAZO Días]],"PAGO VENCIDO")</f>
        <v>PAGO VENCIDO</v>
      </c>
      <c r="C1501" s="20">
        <f>+VLOOKUP(PROVEEDORES[[#This Row],[PROVEEDOR]],TERCEROS_INFO[#All],2,FALSE)</f>
        <v>30</v>
      </c>
      <c r="D1501" s="25">
        <f>+SUMIFS(PROVEEDORES[Total],PROVEEDORES[PROVEEDOR],PROVEEDORES[[#This Row],[PROVEEDOR]],PROVEEDORES[FECHA DE PAGO],"")</f>
        <v>1125118.8199999998</v>
      </c>
      <c r="E1501" s="25"/>
      <c r="F1501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501" s="68">
        <v>45055</v>
      </c>
      <c r="H1501" s="26" t="s">
        <v>279</v>
      </c>
      <c r="I1501" s="68">
        <v>45006</v>
      </c>
      <c r="J1501" s="35" t="s">
        <v>1595</v>
      </c>
      <c r="K1501" s="21">
        <v>532437</v>
      </c>
      <c r="L1501" s="21"/>
      <c r="M1501" s="22">
        <f>(PROVEEDORES[[#This Row],[SUBTOTAL]]-PROVEEDORES[[#This Row],[descuento sobre subtotal]])*VLOOKUP(PROVEEDORES[[#This Row],[PROVEEDOR]],TERCEROS_INFO[#All],3,FALSE)</f>
        <v>101163.03</v>
      </c>
      <c r="N1501" s="23"/>
      <c r="O1501" s="22">
        <f>+PROVEEDORES[[#This Row],[Descuento sobre subtotal %]]*(PROVEEDORES[[#This Row],[SUBTOTAL]]-PROVEEDORES[[#This Row],[descuento sobre subtotal]])</f>
        <v>0</v>
      </c>
      <c r="P1501" s="74">
        <f>+IF(PROVEEDORES[[#This Row],[SUBTOTAL]]&lt;PROVEEDORES[[#This Row],[base retencion]],0,PROVEEDORES[[#This Row],[retención aplicada]])</f>
        <v>0</v>
      </c>
      <c r="Q1501" s="22">
        <f>+PROVEEDORES[[#This Row],[Rete Fuente %]]*(PROVEEDORES[[#This Row],[SUBTOTAL]]-PROVEEDORES[[#This Row],[descuento sobre subtotal]])</f>
        <v>0</v>
      </c>
      <c r="R1501" s="21">
        <f>+PROVEEDORES[[#This Row],[SUBTOTAL]]+PROVEEDORES[[#This Row],[IVA 19%]]-PROVEEDORES[[#This Row],[descuento sobre subtotal]]-PROVEEDORES[[#This Row],[Descuento sobre subtotal $2]]-PROVEEDORES[[#This Row],[Rete Fuente $]]</f>
        <v>633600.03</v>
      </c>
      <c r="S15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1" s="63">
        <f ca="1">IF(PROVEEDORES[[#This Row],[FECHA DE PAGO]]=0,TODAY()-PROVEEDORES[[#This Row],[FECHA DE FACTURACIÓN]]-PROVEEDORES[[#This Row],[PLAZO Días]],0)</f>
        <v>0</v>
      </c>
      <c r="U1501" s="104" t="str">
        <f>+VLOOKUP(PROVEEDORES[[#This Row],[PROVEEDOR]],Terceros!$A:$D,4,FALSE)</f>
        <v>2,5% con base</v>
      </c>
      <c r="V1501" s="105">
        <f>+YEAR(PROVEEDORES[[#This Row],[FECHA DE FACTURACIÓN]])</f>
        <v>2023</v>
      </c>
      <c r="W1501" s="105">
        <f>+MATCH(PROVEEDORES[[#This Row],[año facturado]],Retenciones!$1:$1,0)</f>
        <v>6</v>
      </c>
      <c r="X1501" s="106">
        <f>+VLOOKUP(PROVEEDORES[[#This Row],[ID RETENCION]],Retenciones!$A$1:$O$25,PROVEEDORES[[#This Row],[indicador de columna]],FALSE)</f>
        <v>1145000</v>
      </c>
      <c r="Y1501" s="107">
        <f>+VLOOKUP(PROVEEDORES[[#This Row],[ID RETENCION]],Retenciones!$A$1:$O$25,2,FALSE)</f>
        <v>2.5000000000000001E-2</v>
      </c>
      <c r="Z1501" s="116" t="b">
        <f>OR(COUNTIF(PROVEEDORES[[#This Row],[PROVEEDOR]],"*"&amp;'Palabra no opera'!$A$2&amp;"*"))</f>
        <v>0</v>
      </c>
    </row>
    <row r="1502" spans="1:26" ht="22.35" customHeight="1" x14ac:dyDescent="0.3">
      <c r="A1502" s="67" t="str">
        <f>+IF(PROVEEDORES[[#This Row],[FECHA DE PAGO]]=PROVEEDORES[[#This Row],[FECHA DE FACTURACIÓN]],"DE CONTADO","CRÉDITO")</f>
        <v>CRÉDITO</v>
      </c>
      <c r="B1502" s="38" t="b">
        <f>+IF((PROVEEDORES[[#This Row],[FECHA DE PAGO]]-PROVEEDORES[[#This Row],[FECHA DE FACTURACIÓN]])&gt;PROVEEDORES[[#This Row],[PLAZO Días]],"PAGO VENCIDO")</f>
        <v>0</v>
      </c>
      <c r="C1502" s="20">
        <f>+VLOOKUP(PROVEEDORES[[#This Row],[PROVEEDOR]],TERCEROS_INFO[#All],2,FALSE)</f>
        <v>30</v>
      </c>
      <c r="D1502" s="25">
        <f>+SUMIFS(PROVEEDORES[Total],PROVEEDORES[PROVEEDOR],PROVEEDORES[[#This Row],[PROVEEDOR]],PROVEEDORES[FECHA DE PAGO],"")</f>
        <v>0</v>
      </c>
      <c r="E1502" s="25"/>
      <c r="F1502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502" s="68">
        <v>45056</v>
      </c>
      <c r="H1502" s="26" t="s">
        <v>966</v>
      </c>
      <c r="I1502" s="68">
        <v>45057</v>
      </c>
      <c r="J1502" s="35">
        <v>418</v>
      </c>
      <c r="K1502" s="21">
        <v>415000</v>
      </c>
      <c r="L1502" s="21"/>
      <c r="M1502" s="22">
        <f>(PROVEEDORES[[#This Row],[SUBTOTAL]]-PROVEEDORES[[#This Row],[descuento sobre subtotal]])*VLOOKUP(PROVEEDORES[[#This Row],[PROVEEDOR]],TERCEROS_INFO[#All],3,FALSE)</f>
        <v>0</v>
      </c>
      <c r="N1502" s="23"/>
      <c r="O1502" s="22">
        <f>+PROVEEDORES[[#This Row],[Descuento sobre subtotal %]]*(PROVEEDORES[[#This Row],[SUBTOTAL]]-PROVEEDORES[[#This Row],[descuento sobre subtotal]])</f>
        <v>0</v>
      </c>
      <c r="P1502" s="74">
        <f>+IF(PROVEEDORES[[#This Row],[SUBTOTAL]]&lt;PROVEEDORES[[#This Row],[base retencion]],0,PROVEEDORES[[#This Row],[retención aplicada]])</f>
        <v>0</v>
      </c>
      <c r="Q1502" s="22">
        <f>+PROVEEDORES[[#This Row],[Rete Fuente %]]*(PROVEEDORES[[#This Row],[SUBTOTAL]]-PROVEEDORES[[#This Row],[descuento sobre subtotal]])</f>
        <v>0</v>
      </c>
      <c r="R1502" s="21">
        <f>+PROVEEDORES[[#This Row],[SUBTOTAL]]+PROVEEDORES[[#This Row],[IVA 19%]]-PROVEEDORES[[#This Row],[descuento sobre subtotal]]-PROVEEDORES[[#This Row],[Descuento sobre subtotal $2]]-PROVEEDORES[[#This Row],[Rete Fuente $]]</f>
        <v>415000</v>
      </c>
      <c r="S150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2" s="63">
        <f ca="1">IF(PROVEEDORES[[#This Row],[FECHA DE PAGO]]=0,TODAY()-PROVEEDORES[[#This Row],[FECHA DE FACTURACIÓN]]-PROVEEDORES[[#This Row],[PLAZO Días]],0)</f>
        <v>0</v>
      </c>
      <c r="U1502" s="104">
        <f>+VLOOKUP(PROVEEDORES[[#This Row],[PROVEEDOR]],Terceros!$A:$D,4,FALSE)</f>
        <v>0</v>
      </c>
      <c r="V1502" s="105">
        <f>+YEAR(PROVEEDORES[[#This Row],[FECHA DE FACTURACIÓN]])</f>
        <v>2023</v>
      </c>
      <c r="W1502" s="105">
        <f>+MATCH(PROVEEDORES[[#This Row],[año facturado]],Retenciones!$1:$1,0)</f>
        <v>6</v>
      </c>
      <c r="X1502" s="106">
        <f>+VLOOKUP(PROVEEDORES[[#This Row],[ID RETENCION]],Retenciones!$A$1:$O$25,PROVEEDORES[[#This Row],[indicador de columna]],FALSE)</f>
        <v>0</v>
      </c>
      <c r="Y1502" s="107">
        <f>+VLOOKUP(PROVEEDORES[[#This Row],[ID RETENCION]],Retenciones!$A$1:$O$25,2,FALSE)</f>
        <v>0</v>
      </c>
      <c r="Z1502" s="116" t="b">
        <f>OR(COUNTIF(PROVEEDORES[[#This Row],[PROVEEDOR]],"*"&amp;'Palabra no opera'!$A$2&amp;"*"))</f>
        <v>0</v>
      </c>
    </row>
    <row r="1503" spans="1:26" ht="22.35" customHeight="1" x14ac:dyDescent="0.3">
      <c r="A1503" s="310" t="str">
        <f>+IF(PROVEEDORES[[#This Row],[FECHA DE PAGO]]=PROVEEDORES[[#This Row],[FECHA DE FACTURACIÓN]],"DE CONTADO","CRÉDITO")</f>
        <v>CRÉDITO</v>
      </c>
      <c r="B1503" s="38" t="b">
        <f>+IF((PROVEEDORES[[#This Row],[FECHA DE PAGO]]-PROVEEDORES[[#This Row],[FECHA DE FACTURACIÓN]])&gt;PROVEEDORES[[#This Row],[PLAZO Días]],"PAGO VENCIDO")</f>
        <v>0</v>
      </c>
      <c r="C1503" s="20">
        <f>+VLOOKUP(PROVEEDORES[[#This Row],[PROVEEDOR]],TERCEROS_INFO[#All],2,FALSE)</f>
        <v>30</v>
      </c>
      <c r="D1503" s="25">
        <f>+SUMIFS(PROVEEDORES[Total],PROVEEDORES[PROVEEDOR],PROVEEDORES[[#This Row],[PROVEEDOR]],PROVEEDORES[FECHA DE PAGO],"")</f>
        <v>0</v>
      </c>
      <c r="E1503" s="25"/>
      <c r="F150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03" s="68">
        <v>45056</v>
      </c>
      <c r="H1503" s="26" t="s">
        <v>623</v>
      </c>
      <c r="I1503" s="68">
        <v>45044</v>
      </c>
      <c r="J1503" s="35" t="s">
        <v>1573</v>
      </c>
      <c r="K1503" s="21">
        <v>122105</v>
      </c>
      <c r="L1503" s="21"/>
      <c r="M1503" s="22">
        <f>(PROVEEDORES[[#This Row],[SUBTOTAL]]-PROVEEDORES[[#This Row],[descuento sobre subtotal]])*VLOOKUP(PROVEEDORES[[#This Row],[PROVEEDOR]],TERCEROS_INFO[#All],3,FALSE)</f>
        <v>23199.95</v>
      </c>
      <c r="N1503" s="23"/>
      <c r="O1503" s="22">
        <f>+PROVEEDORES[[#This Row],[Descuento sobre subtotal %]]*(PROVEEDORES[[#This Row],[SUBTOTAL]]-PROVEEDORES[[#This Row],[descuento sobre subtotal]])</f>
        <v>0</v>
      </c>
      <c r="P1503" s="74">
        <v>0</v>
      </c>
      <c r="Q1503" s="22">
        <f>+PROVEEDORES[[#This Row],[Rete Fuente %]]*(PROVEEDORES[[#This Row],[SUBTOTAL]]-PROVEEDORES[[#This Row],[descuento sobre subtotal]])</f>
        <v>0</v>
      </c>
      <c r="R1503" s="21">
        <f>+PROVEEDORES[[#This Row],[SUBTOTAL]]+PROVEEDORES[[#This Row],[IVA 19%]]-PROVEEDORES[[#This Row],[descuento sobre subtotal]]-PROVEEDORES[[#This Row],[Descuento sobre subtotal $2]]-PROVEEDORES[[#This Row],[Rete Fuente $]]</f>
        <v>145304.95000000001</v>
      </c>
      <c r="S150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3" s="63">
        <f ca="1">IF(PROVEEDORES[[#This Row],[FECHA DE PAGO]]=0,TODAY()-PROVEEDORES[[#This Row],[FECHA DE FACTURACIÓN]]-PROVEEDORES[[#This Row],[PLAZO Días]],0)</f>
        <v>0</v>
      </c>
      <c r="U1503" s="104" t="str">
        <f>+VLOOKUP(PROVEEDORES[[#This Row],[PROVEEDOR]],Terceros!$A:$D,4,FALSE)</f>
        <v>4% sin base</v>
      </c>
      <c r="V1503" s="105">
        <f>+YEAR(PROVEEDORES[[#This Row],[FECHA DE FACTURACIÓN]])</f>
        <v>2023</v>
      </c>
      <c r="W1503" s="105">
        <f>+MATCH(PROVEEDORES[[#This Row],[año facturado]],Retenciones!$1:$1,0)</f>
        <v>6</v>
      </c>
      <c r="X1503" s="106">
        <f>+VLOOKUP(PROVEEDORES[[#This Row],[ID RETENCION]],Retenciones!$A$1:$O$25,PROVEEDORES[[#This Row],[indicador de columna]],FALSE)</f>
        <v>0</v>
      </c>
      <c r="Y1503" s="107">
        <f>+VLOOKUP(PROVEEDORES[[#This Row],[ID RETENCION]],Retenciones!$A$1:$O$25,2,FALSE)</f>
        <v>0.04</v>
      </c>
      <c r="Z1503" s="116" t="b">
        <f>OR(COUNTIF(PROVEEDORES[[#This Row],[PROVEEDOR]],"*"&amp;'Palabra no opera'!$A$2&amp;"*"))</f>
        <v>1</v>
      </c>
    </row>
    <row r="1504" spans="1:26" ht="22.35" customHeight="1" x14ac:dyDescent="0.3">
      <c r="A1504" s="312" t="str">
        <f>+IF(PROVEEDORES[[#This Row],[FECHA DE PAGO]]=PROVEEDORES[[#This Row],[FECHA DE FACTURACIÓN]],"DE CONTADO","CRÉDITO")</f>
        <v>CRÉDITO</v>
      </c>
      <c r="B1504" s="38" t="b">
        <f>+IF((PROVEEDORES[[#This Row],[FECHA DE PAGO]]-PROVEEDORES[[#This Row],[FECHA DE FACTURACIÓN]])&gt;PROVEEDORES[[#This Row],[PLAZO Días]],"PAGO VENCIDO")</f>
        <v>0</v>
      </c>
      <c r="C1504" s="20">
        <f>+VLOOKUP(PROVEEDORES[[#This Row],[PROVEEDOR]],TERCEROS_INFO[#All],2,FALSE)</f>
        <v>30</v>
      </c>
      <c r="D1504" s="25">
        <f>+SUMIFS(PROVEEDORES[Total],PROVEEDORES[PROVEEDOR],PROVEEDORES[[#This Row],[PROVEEDOR]],PROVEEDORES[FECHA DE PAGO],"")</f>
        <v>0</v>
      </c>
      <c r="E1504" s="25"/>
      <c r="F150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04" s="68">
        <v>45056</v>
      </c>
      <c r="H1504" s="26" t="s">
        <v>623</v>
      </c>
      <c r="I1504" s="68">
        <v>45047</v>
      </c>
      <c r="J1504" s="35" t="s">
        <v>1660</v>
      </c>
      <c r="K1504" s="21">
        <v>908172</v>
      </c>
      <c r="L1504" s="21"/>
      <c r="M1504" s="22">
        <f>(PROVEEDORES[[#This Row],[SUBTOTAL]]-PROVEEDORES[[#This Row],[descuento sobre subtotal]])*VLOOKUP(PROVEEDORES[[#This Row],[PROVEEDOR]],TERCEROS_INFO[#All],3,FALSE)</f>
        <v>172552.68</v>
      </c>
      <c r="N1504" s="23"/>
      <c r="O1504" s="22">
        <f>+PROVEEDORES[[#This Row],[Descuento sobre subtotal %]]*(PROVEEDORES[[#This Row],[SUBTOTAL]]-PROVEEDORES[[#This Row],[descuento sobre subtotal]])</f>
        <v>0</v>
      </c>
      <c r="P1504" s="74">
        <f>+IF(PROVEEDORES[[#This Row],[SUBTOTAL]]&lt;PROVEEDORES[[#This Row],[base retencion]],0,PROVEEDORES[[#This Row],[retención aplicada]])</f>
        <v>0.04</v>
      </c>
      <c r="Q1504" s="22">
        <f>+PROVEEDORES[[#This Row],[Rete Fuente %]]*(PROVEEDORES[[#This Row],[SUBTOTAL]]-PROVEEDORES[[#This Row],[descuento sobre subtotal]])</f>
        <v>36326.879999999997</v>
      </c>
      <c r="R1504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1504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4" s="63">
        <f ca="1">IF(PROVEEDORES[[#This Row],[FECHA DE PAGO]]=0,TODAY()-PROVEEDORES[[#This Row],[FECHA DE FACTURACIÓN]]-PROVEEDORES[[#This Row],[PLAZO Días]],0)</f>
        <v>0</v>
      </c>
      <c r="U1504" s="104" t="str">
        <f>+VLOOKUP(PROVEEDORES[[#This Row],[PROVEEDOR]],Terceros!$A:$D,4,FALSE)</f>
        <v>4% sin base</v>
      </c>
      <c r="V1504" s="105">
        <f>+YEAR(PROVEEDORES[[#This Row],[FECHA DE FACTURACIÓN]])</f>
        <v>2023</v>
      </c>
      <c r="W1504" s="105">
        <f>+MATCH(PROVEEDORES[[#This Row],[año facturado]],Retenciones!$1:$1,0)</f>
        <v>6</v>
      </c>
      <c r="X1504" s="106">
        <f>+VLOOKUP(PROVEEDORES[[#This Row],[ID RETENCION]],Retenciones!$A$1:$O$25,PROVEEDORES[[#This Row],[indicador de columna]],FALSE)</f>
        <v>0</v>
      </c>
      <c r="Y1504" s="107">
        <f>+VLOOKUP(PROVEEDORES[[#This Row],[ID RETENCION]],Retenciones!$A$1:$O$25,2,FALSE)</f>
        <v>0.04</v>
      </c>
      <c r="Z1504" s="116" t="b">
        <f>OR(COUNTIF(PROVEEDORES[[#This Row],[PROVEEDOR]],"*"&amp;'Palabra no opera'!$A$2&amp;"*"))</f>
        <v>1</v>
      </c>
    </row>
    <row r="1505" spans="1:26" ht="22.35" customHeight="1" x14ac:dyDescent="0.3">
      <c r="A1505" s="312" t="str">
        <f>+IF(PROVEEDORES[[#This Row],[FECHA DE PAGO]]=PROVEEDORES[[#This Row],[FECHA DE FACTURACIÓN]],"DE CONTADO","CRÉDITO")</f>
        <v>CRÉDITO</v>
      </c>
      <c r="B1505" s="38" t="b">
        <f>+IF((PROVEEDORES[[#This Row],[FECHA DE PAGO]]-PROVEEDORES[[#This Row],[FECHA DE FACTURACIÓN]])&gt;PROVEEDORES[[#This Row],[PLAZO Días]],"PAGO VENCIDO")</f>
        <v>0</v>
      </c>
      <c r="C1505" s="20">
        <f>+VLOOKUP(PROVEEDORES[[#This Row],[PROVEEDOR]],TERCEROS_INFO[#All],2,FALSE)</f>
        <v>30</v>
      </c>
      <c r="D1505" s="25">
        <f>+SUMIFS(PROVEEDORES[Total],PROVEEDORES[PROVEEDOR],PROVEEDORES[[#This Row],[PROVEEDOR]],PROVEEDORES[FECHA DE PAGO],"")</f>
        <v>0</v>
      </c>
      <c r="E1505" s="25"/>
      <c r="F150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05" s="68">
        <v>45056</v>
      </c>
      <c r="H1505" s="26" t="s">
        <v>623</v>
      </c>
      <c r="I1505" s="68">
        <v>45047</v>
      </c>
      <c r="J1505" s="35" t="s">
        <v>1661</v>
      </c>
      <c r="K1505" s="21">
        <v>3792544</v>
      </c>
      <c r="L1505" s="21"/>
      <c r="M1505" s="22">
        <f>(PROVEEDORES[[#This Row],[SUBTOTAL]]-PROVEEDORES[[#This Row],[descuento sobre subtotal]])*VLOOKUP(PROVEEDORES[[#This Row],[PROVEEDOR]],TERCEROS_INFO[#All],3,FALSE)</f>
        <v>720583.36</v>
      </c>
      <c r="N1505" s="23"/>
      <c r="O1505" s="22">
        <f>+PROVEEDORES[[#This Row],[Descuento sobre subtotal %]]*(PROVEEDORES[[#This Row],[SUBTOTAL]]-PROVEEDORES[[#This Row],[descuento sobre subtotal]])</f>
        <v>0</v>
      </c>
      <c r="P1505" s="74">
        <v>0</v>
      </c>
      <c r="Q1505" s="22">
        <f>+PROVEEDORES[[#This Row],[Rete Fuente %]]*(PROVEEDORES[[#This Row],[SUBTOTAL]]-PROVEEDORES[[#This Row],[descuento sobre subtotal]])</f>
        <v>0</v>
      </c>
      <c r="R1505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505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5" s="63">
        <f ca="1">IF(PROVEEDORES[[#This Row],[FECHA DE PAGO]]=0,TODAY()-PROVEEDORES[[#This Row],[FECHA DE FACTURACIÓN]]-PROVEEDORES[[#This Row],[PLAZO Días]],0)</f>
        <v>0</v>
      </c>
      <c r="U1505" s="104" t="str">
        <f>+VLOOKUP(PROVEEDORES[[#This Row],[PROVEEDOR]],Terceros!$A:$D,4,FALSE)</f>
        <v>4% sin base</v>
      </c>
      <c r="V1505" s="105">
        <f>+YEAR(PROVEEDORES[[#This Row],[FECHA DE FACTURACIÓN]])</f>
        <v>2023</v>
      </c>
      <c r="W1505" s="105">
        <f>+MATCH(PROVEEDORES[[#This Row],[año facturado]],Retenciones!$1:$1,0)</f>
        <v>6</v>
      </c>
      <c r="X1505" s="106">
        <f>+VLOOKUP(PROVEEDORES[[#This Row],[ID RETENCION]],Retenciones!$A$1:$O$25,PROVEEDORES[[#This Row],[indicador de columna]],FALSE)</f>
        <v>0</v>
      </c>
      <c r="Y1505" s="107">
        <f>+VLOOKUP(PROVEEDORES[[#This Row],[ID RETENCION]],Retenciones!$A$1:$O$25,2,FALSE)</f>
        <v>0.04</v>
      </c>
      <c r="Z1505" s="116" t="b">
        <f>OR(COUNTIF(PROVEEDORES[[#This Row],[PROVEEDOR]],"*"&amp;'Palabra no opera'!$A$2&amp;"*"))</f>
        <v>1</v>
      </c>
    </row>
    <row r="1506" spans="1:26" ht="22.35" customHeight="1" x14ac:dyDescent="0.3">
      <c r="A1506" s="67" t="str">
        <f>+IF(PROVEEDORES[[#This Row],[FECHA DE PAGO]]=PROVEEDORES[[#This Row],[FECHA DE FACTURACIÓN]],"DE CONTADO","CRÉDITO")</f>
        <v>CRÉDITO</v>
      </c>
      <c r="B1506" s="38" t="b">
        <f>+IF((PROVEEDORES[[#This Row],[FECHA DE PAGO]]-PROVEEDORES[[#This Row],[FECHA DE FACTURACIÓN]])&gt;PROVEEDORES[[#This Row],[PLAZO Días]],"PAGO VENCIDO")</f>
        <v>0</v>
      </c>
      <c r="C1506" s="20">
        <f>+VLOOKUP(PROVEEDORES[[#This Row],[PROVEEDOR]],TERCEROS_INFO[#All],2,FALSE)</f>
        <v>30</v>
      </c>
      <c r="D1506" s="25">
        <f>+SUMIFS(PROVEEDORES[Total],PROVEEDORES[PROVEEDOR],PROVEEDORES[[#This Row],[PROVEEDOR]],PROVEEDORES[FECHA DE PAGO],"")</f>
        <v>0</v>
      </c>
      <c r="E1506" s="25"/>
      <c r="F1506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506" s="68">
        <v>45056</v>
      </c>
      <c r="H1506" s="26" t="s">
        <v>967</v>
      </c>
      <c r="I1506" s="68">
        <v>45057</v>
      </c>
      <c r="J1506" s="35" t="s">
        <v>1671</v>
      </c>
      <c r="K1506" s="21">
        <v>300000</v>
      </c>
      <c r="L1506" s="21"/>
      <c r="M1506" s="22">
        <f>(PROVEEDORES[[#This Row],[SUBTOTAL]]-PROVEEDORES[[#This Row],[descuento sobre subtotal]])*VLOOKUP(PROVEEDORES[[#This Row],[PROVEEDOR]],TERCEROS_INFO[#All],3,FALSE)</f>
        <v>0</v>
      </c>
      <c r="N1506" s="23"/>
      <c r="O1506" s="22">
        <f>+PROVEEDORES[[#This Row],[Descuento sobre subtotal %]]*(PROVEEDORES[[#This Row],[SUBTOTAL]]-PROVEEDORES[[#This Row],[descuento sobre subtotal]])</f>
        <v>0</v>
      </c>
      <c r="P1506" s="74">
        <f>+IF(PROVEEDORES[[#This Row],[SUBTOTAL]]&lt;PROVEEDORES[[#This Row],[base retencion]],0,PROVEEDORES[[#This Row],[retención aplicada]])</f>
        <v>0.01</v>
      </c>
      <c r="Q1506" s="22">
        <f>+PROVEEDORES[[#This Row],[Rete Fuente %]]*(PROVEEDORES[[#This Row],[SUBTOTAL]]-PROVEEDORES[[#This Row],[descuento sobre subtotal]])</f>
        <v>3000</v>
      </c>
      <c r="R1506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15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6" s="63">
        <f ca="1">IF(PROVEEDORES[[#This Row],[FECHA DE PAGO]]=0,TODAY()-PROVEEDORES[[#This Row],[FECHA DE FACTURACIÓN]]-PROVEEDORES[[#This Row],[PLAZO Días]],0)</f>
        <v>0</v>
      </c>
      <c r="U1506" s="104" t="str">
        <f>+VLOOKUP(PROVEEDORES[[#This Row],[PROVEEDOR]],Terceros!$A:$D,4,FALSE)</f>
        <v>1% con base</v>
      </c>
      <c r="V1506" s="105">
        <f>+YEAR(PROVEEDORES[[#This Row],[FECHA DE FACTURACIÓN]])</f>
        <v>2023</v>
      </c>
      <c r="W1506" s="105">
        <f>+MATCH(PROVEEDORES[[#This Row],[año facturado]],Retenciones!$1:$1,0)</f>
        <v>6</v>
      </c>
      <c r="X1506" s="106">
        <f>+VLOOKUP(PROVEEDORES[[#This Row],[ID RETENCION]],Retenciones!$A$1:$O$25,PROVEEDORES[[#This Row],[indicador de columna]],FALSE)</f>
        <v>170000</v>
      </c>
      <c r="Y1506" s="107">
        <f>+VLOOKUP(PROVEEDORES[[#This Row],[ID RETENCION]],Retenciones!$A$1:$O$25,2,FALSE)</f>
        <v>0.01</v>
      </c>
      <c r="Z1506" s="116" t="b">
        <f>OR(COUNTIF(PROVEEDORES[[#This Row],[PROVEEDOR]],"*"&amp;'Palabra no opera'!$A$2&amp;"*"))</f>
        <v>0</v>
      </c>
    </row>
    <row r="1507" spans="1:26" ht="22.35" customHeight="1" x14ac:dyDescent="0.3">
      <c r="A1507" s="312" t="str">
        <f>+IF(PROVEEDORES[[#This Row],[FECHA DE PAGO]]=PROVEEDORES[[#This Row],[FECHA DE FACTURACIÓN]],"DE CONTADO","CRÉDITO")</f>
        <v>CRÉDITO</v>
      </c>
      <c r="B1507" s="38" t="b">
        <f>+IF((PROVEEDORES[[#This Row],[FECHA DE PAGO]]-PROVEEDORES[[#This Row],[FECHA DE FACTURACIÓN]])&gt;PROVEEDORES[[#This Row],[PLAZO Días]],"PAGO VENCIDO")</f>
        <v>0</v>
      </c>
      <c r="C1507" s="20">
        <f>+VLOOKUP(PROVEEDORES[[#This Row],[PROVEEDOR]],TERCEROS_INFO[#All],2,FALSE)</f>
        <v>30</v>
      </c>
      <c r="D1507" s="25">
        <f>+SUMIFS(PROVEEDORES[Total],PROVEEDORES[PROVEEDOR],PROVEEDORES[[#This Row],[PROVEEDOR]],PROVEEDORES[FECHA DE PAGO],"")</f>
        <v>352505.48</v>
      </c>
      <c r="E1507" s="25"/>
      <c r="F1507" s="56" t="str">
        <f>+VLOOKUP(PROVEEDORES[[#This Row],[PROVEEDOR]],
                       Terceros!$A:$F,
                       5,
                       FALSE)</f>
        <v>facturacion@losmolinos.com.co</v>
      </c>
      <c r="G1507" s="68">
        <v>45056</v>
      </c>
      <c r="H1507" s="26" t="s">
        <v>631</v>
      </c>
      <c r="I1507" s="68">
        <v>45047</v>
      </c>
      <c r="J1507" s="35" t="s">
        <v>1663</v>
      </c>
      <c r="K1507" s="21">
        <v>324057</v>
      </c>
      <c r="L1507" s="21">
        <v>9545</v>
      </c>
      <c r="M1507" s="22">
        <f>(PROVEEDORES[[#This Row],[SUBTOTAL]]-PROVEEDORES[[#This Row],[descuento sobre subtotal]])*VLOOKUP(PROVEEDORES[[#This Row],[PROVEEDOR]],TERCEROS_INFO[#All],3,FALSE)</f>
        <v>0</v>
      </c>
      <c r="N1507" s="23"/>
      <c r="O1507" s="22">
        <f>+PROVEEDORES[[#This Row],[Descuento sobre subtotal %]]*(PROVEEDORES[[#This Row],[SUBTOTAL]]-PROVEEDORES[[#This Row],[descuento sobre subtotal]])</f>
        <v>0</v>
      </c>
      <c r="P1507" s="74">
        <f>+IF(PROVEEDORES[[#This Row],[SUBTOTAL]]&lt;PROVEEDORES[[#This Row],[base retencion]],0,PROVEEDORES[[#This Row],[retención aplicada]])</f>
        <v>0</v>
      </c>
      <c r="Q1507" s="22">
        <f>+PROVEEDORES[[#This Row],[Rete Fuente %]]*(PROVEEDORES[[#This Row],[SUBTOTAL]]-PROVEEDORES[[#This Row],[descuento sobre subtotal]])</f>
        <v>0</v>
      </c>
      <c r="R1507" s="21">
        <f>+PROVEEDORES[[#This Row],[SUBTOTAL]]+PROVEEDORES[[#This Row],[IVA 19%]]-PROVEEDORES[[#This Row],[descuento sobre subtotal]]-PROVEEDORES[[#This Row],[Descuento sobre subtotal $2]]-PROVEEDORES[[#This Row],[Rete Fuente $]]</f>
        <v>314512</v>
      </c>
      <c r="S1507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7" s="63">
        <f ca="1">IF(PROVEEDORES[[#This Row],[FECHA DE PAGO]]=0,TODAY()-PROVEEDORES[[#This Row],[FECHA DE FACTURACIÓN]]-PROVEEDORES[[#This Row],[PLAZO Días]],0)</f>
        <v>0</v>
      </c>
      <c r="U1507" s="104">
        <f>+VLOOKUP(PROVEEDORES[[#This Row],[PROVEEDOR]],Terceros!$A:$D,4,FALSE)</f>
        <v>0</v>
      </c>
      <c r="V1507" s="105">
        <f>+YEAR(PROVEEDORES[[#This Row],[FECHA DE FACTURACIÓN]])</f>
        <v>2023</v>
      </c>
      <c r="W1507" s="105">
        <f>+MATCH(PROVEEDORES[[#This Row],[año facturado]],Retenciones!$1:$1,0)</f>
        <v>6</v>
      </c>
      <c r="X1507" s="106">
        <f>+VLOOKUP(PROVEEDORES[[#This Row],[ID RETENCION]],Retenciones!$A$1:$O$25,PROVEEDORES[[#This Row],[indicador de columna]],FALSE)</f>
        <v>0</v>
      </c>
      <c r="Y1507" s="107">
        <f>+VLOOKUP(PROVEEDORES[[#This Row],[ID RETENCION]],Retenciones!$A$1:$O$25,2,FALSE)</f>
        <v>0</v>
      </c>
      <c r="Z1507" s="116" t="b">
        <f>OR(COUNTIF(PROVEEDORES[[#This Row],[PROVEEDOR]],"*"&amp;'Palabra no opera'!$A$2&amp;"*"))</f>
        <v>1</v>
      </c>
    </row>
    <row r="1508" spans="1:26" ht="22.35" customHeight="1" x14ac:dyDescent="0.3">
      <c r="A1508" s="312" t="str">
        <f>+IF(PROVEEDORES[[#This Row],[FECHA DE PAGO]]=PROVEEDORES[[#This Row],[FECHA DE FACTURACIÓN]],"DE CONTADO","CRÉDITO")</f>
        <v>CRÉDITO</v>
      </c>
      <c r="B1508" s="38" t="b">
        <f>+IF((PROVEEDORES[[#This Row],[FECHA DE PAGO]]-PROVEEDORES[[#This Row],[FECHA DE FACTURACIÓN]])&gt;PROVEEDORES[[#This Row],[PLAZO Días]],"PAGO VENCIDO")</f>
        <v>0</v>
      </c>
      <c r="C1508" s="20">
        <f>+VLOOKUP(PROVEEDORES[[#This Row],[PROVEEDOR]],TERCEROS_INFO[#All],2,FALSE)</f>
        <v>30</v>
      </c>
      <c r="D1508" s="25">
        <f>+SUMIFS(PROVEEDORES[Total],PROVEEDORES[PROVEEDOR],PROVEEDORES[[#This Row],[PROVEEDOR]],PROVEEDORES[FECHA DE PAGO],"")</f>
        <v>0</v>
      </c>
      <c r="E1508" s="25"/>
      <c r="F1508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08" s="68">
        <v>45056</v>
      </c>
      <c r="H1508" s="26" t="s">
        <v>638</v>
      </c>
      <c r="I1508" s="68">
        <v>45047</v>
      </c>
      <c r="J1508" s="35" t="s">
        <v>1668</v>
      </c>
      <c r="K1508" s="21">
        <v>52142</v>
      </c>
      <c r="L1508" s="21"/>
      <c r="M1508" s="22">
        <f>(PROVEEDORES[[#This Row],[SUBTOTAL]]-PROVEEDORES[[#This Row],[descuento sobre subtotal]])*VLOOKUP(PROVEEDORES[[#This Row],[PROVEEDOR]],TERCEROS_INFO[#All],3,FALSE)</f>
        <v>9906.98</v>
      </c>
      <c r="N1508" s="23"/>
      <c r="O1508" s="22">
        <f>+PROVEEDORES[[#This Row],[Descuento sobre subtotal %]]*(PROVEEDORES[[#This Row],[SUBTOTAL]]-PROVEEDORES[[#This Row],[descuento sobre subtotal]])</f>
        <v>0</v>
      </c>
      <c r="P1508" s="74">
        <f>+IF(PROVEEDORES[[#This Row],[SUBTOTAL]]&lt;PROVEEDORES[[#This Row],[base retencion]],0,PROVEEDORES[[#This Row],[retención aplicada]])</f>
        <v>3.5000000000000003E-2</v>
      </c>
      <c r="Q1508" s="22"/>
      <c r="R1508" s="21">
        <f>+PROVEEDORES[[#This Row],[SUBTOTAL]]+PROVEEDORES[[#This Row],[IVA 19%]]-PROVEEDORES[[#This Row],[descuento sobre subtotal]]-PROVEEDORES[[#This Row],[Descuento sobre subtotal $2]]-PROVEEDORES[[#This Row],[Rete Fuente $]]</f>
        <v>62048.979999999996</v>
      </c>
      <c r="S1508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8" s="63">
        <f ca="1">IF(PROVEEDORES[[#This Row],[FECHA DE PAGO]]=0,TODAY()-PROVEEDORES[[#This Row],[FECHA DE FACTURACIÓN]]-PROVEEDORES[[#This Row],[PLAZO Días]],0)</f>
        <v>0</v>
      </c>
      <c r="U1508" s="104" t="str">
        <f>+VLOOKUP(PROVEEDORES[[#This Row],[PROVEEDOR]],Terceros!$A:$D,4,FALSE)</f>
        <v>3,5% sin base</v>
      </c>
      <c r="V1508" s="105">
        <f>+YEAR(PROVEEDORES[[#This Row],[FECHA DE FACTURACIÓN]])</f>
        <v>2023</v>
      </c>
      <c r="W1508" s="105">
        <f>+MATCH(PROVEEDORES[[#This Row],[año facturado]],Retenciones!$1:$1,0)</f>
        <v>6</v>
      </c>
      <c r="X1508" s="106">
        <f>+VLOOKUP(PROVEEDORES[[#This Row],[ID RETENCION]],Retenciones!$A$1:$O$25,PROVEEDORES[[#This Row],[indicador de columna]],FALSE)</f>
        <v>0</v>
      </c>
      <c r="Y1508" s="107">
        <f>+VLOOKUP(PROVEEDORES[[#This Row],[ID RETENCION]],Retenciones!$A$1:$O$25,2,FALSE)</f>
        <v>3.5000000000000003E-2</v>
      </c>
      <c r="Z1508" s="116" t="b">
        <f>OR(COUNTIF(PROVEEDORES[[#This Row],[PROVEEDOR]],"*"&amp;'Palabra no opera'!$A$2&amp;"*"))</f>
        <v>1</v>
      </c>
    </row>
    <row r="1509" spans="1:26" ht="22.35" customHeight="1" x14ac:dyDescent="0.3">
      <c r="A1509" s="312" t="str">
        <f>+IF(PROVEEDORES[[#This Row],[FECHA DE PAGO]]=PROVEEDORES[[#This Row],[FECHA DE FACTURACIÓN]],"DE CONTADO","CRÉDITO")</f>
        <v>CRÉDITO</v>
      </c>
      <c r="B1509" s="38" t="b">
        <f>+IF((PROVEEDORES[[#This Row],[FECHA DE PAGO]]-PROVEEDORES[[#This Row],[FECHA DE FACTURACIÓN]])&gt;PROVEEDORES[[#This Row],[PLAZO Días]],"PAGO VENCIDO")</f>
        <v>0</v>
      </c>
      <c r="C1509" s="20">
        <f>+VLOOKUP(PROVEEDORES[[#This Row],[PROVEEDOR]],TERCEROS_INFO[#All],2,FALSE)</f>
        <v>30</v>
      </c>
      <c r="D1509" s="25">
        <f>+SUMIFS(PROVEEDORES[Total],PROVEEDORES[PROVEEDOR],PROVEEDORES[[#This Row],[PROVEEDOR]],PROVEEDORES[FECHA DE PAGO],"")</f>
        <v>0</v>
      </c>
      <c r="E1509" s="25"/>
      <c r="F1509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09" s="68">
        <v>45056</v>
      </c>
      <c r="H1509" s="26" t="s">
        <v>638</v>
      </c>
      <c r="I1509" s="68">
        <v>45047</v>
      </c>
      <c r="J1509" s="35" t="s">
        <v>1669</v>
      </c>
      <c r="K1509" s="21">
        <v>3935776</v>
      </c>
      <c r="L1509" s="21"/>
      <c r="M1509" s="22">
        <v>665000</v>
      </c>
      <c r="N1509" s="23"/>
      <c r="O1509" s="22">
        <f>+PROVEEDORES[[#This Row],[Descuento sobre subtotal %]]*(PROVEEDORES[[#This Row],[SUBTOTAL]]-PROVEEDORES[[#This Row],[descuento sobre subtotal]])</f>
        <v>0</v>
      </c>
      <c r="P1509" s="74">
        <f>+IF(PROVEEDORES[[#This Row],[SUBTOTAL]]&lt;PROVEEDORES[[#This Row],[base retencion]],0,PROVEEDORES[[#This Row],[retención aplicada]])</f>
        <v>3.5000000000000003E-2</v>
      </c>
      <c r="Q1509" s="22"/>
      <c r="R1509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509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9" s="63">
        <f ca="1">IF(PROVEEDORES[[#This Row],[FECHA DE PAGO]]=0,TODAY()-PROVEEDORES[[#This Row],[FECHA DE FACTURACIÓN]]-PROVEEDORES[[#This Row],[PLAZO Días]],0)</f>
        <v>0</v>
      </c>
      <c r="U1509" s="104" t="str">
        <f>+VLOOKUP(PROVEEDORES[[#This Row],[PROVEEDOR]],Terceros!$A:$D,4,FALSE)</f>
        <v>3,5% sin base</v>
      </c>
      <c r="V1509" s="105">
        <f>+YEAR(PROVEEDORES[[#This Row],[FECHA DE FACTURACIÓN]])</f>
        <v>2023</v>
      </c>
      <c r="W1509" s="105">
        <f>+MATCH(PROVEEDORES[[#This Row],[año facturado]],Retenciones!$1:$1,0)</f>
        <v>6</v>
      </c>
      <c r="X1509" s="106">
        <f>+VLOOKUP(PROVEEDORES[[#This Row],[ID RETENCION]],Retenciones!$A$1:$O$25,PROVEEDORES[[#This Row],[indicador de columna]],FALSE)</f>
        <v>0</v>
      </c>
      <c r="Y1509" s="107">
        <f>+VLOOKUP(PROVEEDORES[[#This Row],[ID RETENCION]],Retenciones!$A$1:$O$25,2,FALSE)</f>
        <v>3.5000000000000003E-2</v>
      </c>
      <c r="Z1509" s="116" t="b">
        <f>OR(COUNTIF(PROVEEDORES[[#This Row],[PROVEEDOR]],"*"&amp;'Palabra no opera'!$A$2&amp;"*"))</f>
        <v>1</v>
      </c>
    </row>
    <row r="1510" spans="1:26" ht="22.35" customHeight="1" x14ac:dyDescent="0.3">
      <c r="A1510" s="312" t="str">
        <f>+IF(PROVEEDORES[[#This Row],[FECHA DE PAGO]]=PROVEEDORES[[#This Row],[FECHA DE FACTURACIÓN]],"DE CONTADO","CRÉDITO")</f>
        <v>CRÉDITO</v>
      </c>
      <c r="B1510" s="38" t="b">
        <f>+IF((PROVEEDORES[[#This Row],[FECHA DE PAGO]]-PROVEEDORES[[#This Row],[FECHA DE FACTURACIÓN]])&gt;PROVEEDORES[[#This Row],[PLAZO Días]],"PAGO VENCIDO")</f>
        <v>0</v>
      </c>
      <c r="C1510" s="20">
        <f>+VLOOKUP(PROVEEDORES[[#This Row],[PROVEEDOR]],TERCEROS_INFO[#All],2,FALSE)</f>
        <v>30</v>
      </c>
      <c r="D1510" s="25">
        <f>+SUMIFS(PROVEEDORES[Total],PROVEEDORES[PROVEEDOR],PROVEEDORES[[#This Row],[PROVEEDOR]],PROVEEDORES[FECHA DE PAGO],"")</f>
        <v>0</v>
      </c>
      <c r="E1510" s="25"/>
      <c r="F1510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510" s="68">
        <v>45056</v>
      </c>
      <c r="H1510" s="26" t="s">
        <v>651</v>
      </c>
      <c r="I1510" s="68">
        <v>45048</v>
      </c>
      <c r="J1510" s="35" t="s">
        <v>1667</v>
      </c>
      <c r="K1510" s="21">
        <v>243611</v>
      </c>
      <c r="L1510" s="21"/>
      <c r="M1510" s="22">
        <f>(PROVEEDORES[[#This Row],[SUBTOTAL]]-PROVEEDORES[[#This Row],[descuento sobre subtotal]])*VLOOKUP(PROVEEDORES[[#This Row],[PROVEEDOR]],TERCEROS_INFO[#All],3,FALSE)</f>
        <v>46286.090000000004</v>
      </c>
      <c r="N1510" s="23"/>
      <c r="O1510" s="22">
        <f>+PROVEEDORES[[#This Row],[Descuento sobre subtotal %]]*(PROVEEDORES[[#This Row],[SUBTOTAL]]-PROVEEDORES[[#This Row],[descuento sobre subtotal]])</f>
        <v>0</v>
      </c>
      <c r="P1510" s="74">
        <f>+IF(PROVEEDORES[[#This Row],[SUBTOTAL]]&lt;PROVEEDORES[[#This Row],[base retencion]],0,PROVEEDORES[[#This Row],[retención aplicada]])</f>
        <v>3.5000000000000003E-2</v>
      </c>
      <c r="Q1510" s="22">
        <f>+PROVEEDORES[[#This Row],[Rete Fuente %]]*(PROVEEDORES[[#This Row],[SUBTOTAL]]-PROVEEDORES[[#This Row],[descuento sobre subtotal]])</f>
        <v>8526.3850000000002</v>
      </c>
      <c r="R1510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510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0" s="63">
        <f ca="1">IF(PROVEEDORES[[#This Row],[FECHA DE PAGO]]=0,TODAY()-PROVEEDORES[[#This Row],[FECHA DE FACTURACIÓN]]-PROVEEDORES[[#This Row],[PLAZO Días]],0)</f>
        <v>0</v>
      </c>
      <c r="U1510" s="104" t="str">
        <f>+VLOOKUP(PROVEEDORES[[#This Row],[PROVEEDOR]],Terceros!$A:$D,4,FALSE)</f>
        <v>3,5% sin base</v>
      </c>
      <c r="V1510" s="105">
        <f>+YEAR(PROVEEDORES[[#This Row],[FECHA DE FACTURACIÓN]])</f>
        <v>2023</v>
      </c>
      <c r="W1510" s="105">
        <f>+MATCH(PROVEEDORES[[#This Row],[año facturado]],Retenciones!$1:$1,0)</f>
        <v>6</v>
      </c>
      <c r="X1510" s="106">
        <f>+VLOOKUP(PROVEEDORES[[#This Row],[ID RETENCION]],Retenciones!$A$1:$O$25,PROVEEDORES[[#This Row],[indicador de columna]],FALSE)</f>
        <v>0</v>
      </c>
      <c r="Y1510" s="107">
        <f>+VLOOKUP(PROVEEDORES[[#This Row],[ID RETENCION]],Retenciones!$A$1:$O$25,2,FALSE)</f>
        <v>3.5000000000000003E-2</v>
      </c>
      <c r="Z1510" s="116" t="b">
        <f>OR(COUNTIF(PROVEEDORES[[#This Row],[PROVEEDOR]],"*"&amp;'Palabra no opera'!$A$2&amp;"*"))</f>
        <v>1</v>
      </c>
    </row>
    <row r="1511" spans="1:26" ht="22.35" customHeight="1" x14ac:dyDescent="0.3">
      <c r="A1511" s="312" t="str">
        <f>+IF(PROVEEDORES[[#This Row],[FECHA DE PAGO]]=PROVEEDORES[[#This Row],[FECHA DE FACTURACIÓN]],"DE CONTADO","CRÉDITO")</f>
        <v>CRÉDITO</v>
      </c>
      <c r="B1511" s="38" t="b">
        <f>+IF((PROVEEDORES[[#This Row],[FECHA DE PAGO]]-PROVEEDORES[[#This Row],[FECHA DE FACTURACIÓN]])&gt;PROVEEDORES[[#This Row],[PLAZO Días]],"PAGO VENCIDO")</f>
        <v>0</v>
      </c>
      <c r="C1511" s="20">
        <f>+VLOOKUP(PROVEEDORES[[#This Row],[PROVEEDOR]],TERCEROS_INFO[#All],2,FALSE)</f>
        <v>10</v>
      </c>
      <c r="D1511" s="25">
        <f>+SUMIFS(PROVEEDORES[Total],PROVEEDORES[PROVEEDOR],PROVEEDORES[[#This Row],[PROVEEDOR]],PROVEEDORES[FECHA DE PAGO],"")</f>
        <v>0</v>
      </c>
      <c r="E1511" s="25"/>
      <c r="F1511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511" s="68">
        <v>45056</v>
      </c>
      <c r="H1511" s="26" t="s">
        <v>1202</v>
      </c>
      <c r="I1511" s="68">
        <v>45047</v>
      </c>
      <c r="J1511" s="35" t="s">
        <v>1662</v>
      </c>
      <c r="K1511" s="21">
        <v>5350576</v>
      </c>
      <c r="L1511" s="21"/>
      <c r="M1511" s="22">
        <v>1016609</v>
      </c>
      <c r="N1511" s="23"/>
      <c r="O1511" s="22">
        <f>+PROVEEDORES[[#This Row],[Descuento sobre subtotal %]]*(PROVEEDORES[[#This Row],[SUBTOTAL]]-PROVEEDORES[[#This Row],[descuento sobre subtotal]])</f>
        <v>0</v>
      </c>
      <c r="P1511" s="74">
        <f>+IF(PROVEEDORES[[#This Row],[SUBTOTAL]]&lt;PROVEEDORES[[#This Row],[base retencion]],0,PROVEEDORES[[#This Row],[retención aplicada]])</f>
        <v>0</v>
      </c>
      <c r="Q1511" s="22">
        <f>+PROVEEDORES[[#This Row],[Rete Fuente %]]*(PROVEEDORES[[#This Row],[SUBTOTAL]]-PROVEEDORES[[#This Row],[descuento sobre subtotal]])</f>
        <v>0</v>
      </c>
      <c r="R1511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511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1" s="63">
        <f ca="1">IF(PROVEEDORES[[#This Row],[FECHA DE PAGO]]=0,TODAY()-PROVEEDORES[[#This Row],[FECHA DE FACTURACIÓN]]-PROVEEDORES[[#This Row],[PLAZO Días]],0)</f>
        <v>0</v>
      </c>
      <c r="U1511" s="104">
        <f>+VLOOKUP(PROVEEDORES[[#This Row],[PROVEEDOR]],Terceros!$A:$D,4,FALSE)</f>
        <v>0</v>
      </c>
      <c r="V1511" s="105">
        <f>+YEAR(PROVEEDORES[[#This Row],[FECHA DE FACTURACIÓN]])</f>
        <v>2023</v>
      </c>
      <c r="W1511" s="105">
        <f>+MATCH(PROVEEDORES[[#This Row],[año facturado]],Retenciones!$1:$1,0)</f>
        <v>6</v>
      </c>
      <c r="X1511" s="106">
        <f>+VLOOKUP(PROVEEDORES[[#This Row],[ID RETENCION]],Retenciones!$A$1:$O$25,PROVEEDORES[[#This Row],[indicador de columna]],FALSE)</f>
        <v>0</v>
      </c>
      <c r="Y1511" s="107">
        <f>+VLOOKUP(PROVEEDORES[[#This Row],[ID RETENCION]],Retenciones!$A$1:$O$25,2,FALSE)</f>
        <v>0</v>
      </c>
      <c r="Z1511" s="116" t="b">
        <f>OR(COUNTIF(PROVEEDORES[[#This Row],[PROVEEDOR]],"*"&amp;'Palabra no opera'!$A$2&amp;"*"))</f>
        <v>1</v>
      </c>
    </row>
    <row r="1512" spans="1:26" ht="22.35" customHeight="1" x14ac:dyDescent="0.3">
      <c r="A1512" s="310" t="str">
        <f>+IF(PROVEEDORES[[#This Row],[FECHA DE PAGO]]=PROVEEDORES[[#This Row],[FECHA DE FACTURACIÓN]],"DE CONTADO","CRÉDITO")</f>
        <v>CRÉDITO</v>
      </c>
      <c r="B1512" s="38" t="b">
        <f>+IF((PROVEEDORES[[#This Row],[FECHA DE PAGO]]-PROVEEDORES[[#This Row],[FECHA DE FACTURACIÓN]])&gt;PROVEEDORES[[#This Row],[PLAZO Días]],"PAGO VENCIDO")</f>
        <v>0</v>
      </c>
      <c r="C1512" s="20">
        <f>+VLOOKUP(PROVEEDORES[[#This Row],[PROVEEDOR]],TERCEROS_INFO[#All],2,FALSE)</f>
        <v>30</v>
      </c>
      <c r="D1512" s="25">
        <f>+SUMIFS(PROVEEDORES[Total],PROVEEDORES[PROVEEDOR],PROVEEDORES[[#This Row],[PROVEEDOR]],PROVEEDORES[FECHA DE PAGO],"")</f>
        <v>0</v>
      </c>
      <c r="E1512" s="25"/>
      <c r="F1512" s="56">
        <f>+VLOOKUP(PROVEEDORES[[#This Row],[PROVEEDOR]],
                       Terceros!$A:$F,
                       5,
                       FALSE)</f>
        <v>0</v>
      </c>
      <c r="G1512" s="68">
        <v>45057</v>
      </c>
      <c r="H1512" s="26" t="s">
        <v>1625</v>
      </c>
      <c r="I1512" s="68">
        <v>45030</v>
      </c>
      <c r="J1512" s="35" t="s">
        <v>1626</v>
      </c>
      <c r="K1512" s="21">
        <v>164000</v>
      </c>
      <c r="L1512" s="21"/>
      <c r="M1512" s="22">
        <f>(PROVEEDORES[[#This Row],[SUBTOTAL]]-PROVEEDORES[[#This Row],[descuento sobre subtotal]])*VLOOKUP(PROVEEDORES[[#This Row],[PROVEEDOR]],TERCEROS_INFO[#All],3,FALSE)</f>
        <v>0</v>
      </c>
      <c r="N1512" s="23"/>
      <c r="O1512" s="22">
        <f>+PROVEEDORES[[#This Row],[Descuento sobre subtotal %]]*(PROVEEDORES[[#This Row],[SUBTOTAL]]-PROVEEDORES[[#This Row],[descuento sobre subtotal]])</f>
        <v>0</v>
      </c>
      <c r="P1512" s="74">
        <f>+IF(PROVEEDORES[[#This Row],[SUBTOTAL]]&lt;PROVEEDORES[[#This Row],[base retencion]],0,PROVEEDORES[[#This Row],[retención aplicada]])</f>
        <v>0</v>
      </c>
      <c r="Q1512" s="22">
        <f>+PROVEEDORES[[#This Row],[Rete Fuente %]]*(PROVEEDORES[[#This Row],[SUBTOTAL]]-PROVEEDORES[[#This Row],[descuento sobre subtotal]])</f>
        <v>0</v>
      </c>
      <c r="R1512" s="21">
        <f>+PROVEEDORES[[#This Row],[SUBTOTAL]]+PROVEEDORES[[#This Row],[IVA 19%]]-PROVEEDORES[[#This Row],[descuento sobre subtotal]]-PROVEEDORES[[#This Row],[Descuento sobre subtotal $2]]-PROVEEDORES[[#This Row],[Rete Fuente $]]</f>
        <v>164000</v>
      </c>
      <c r="S1512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2" s="63">
        <f ca="1">IF(PROVEEDORES[[#This Row],[FECHA DE PAGO]]=0,TODAY()-PROVEEDORES[[#This Row],[FECHA DE FACTURACIÓN]]-PROVEEDORES[[#This Row],[PLAZO Días]],0)</f>
        <v>0</v>
      </c>
      <c r="U1512" s="104">
        <f>+VLOOKUP(PROVEEDORES[[#This Row],[PROVEEDOR]],Terceros!$A:$D,4,FALSE)</f>
        <v>0</v>
      </c>
      <c r="V1512" s="105">
        <f>+YEAR(PROVEEDORES[[#This Row],[FECHA DE FACTURACIÓN]])</f>
        <v>2023</v>
      </c>
      <c r="W1512" s="105">
        <f>+MATCH(PROVEEDORES[[#This Row],[año facturado]],Retenciones!$1:$1,0)</f>
        <v>6</v>
      </c>
      <c r="X1512" s="106">
        <f>+VLOOKUP(PROVEEDORES[[#This Row],[ID RETENCION]],Retenciones!$A$1:$O$25,PROVEEDORES[[#This Row],[indicador de columna]],FALSE)</f>
        <v>0</v>
      </c>
      <c r="Y1512" s="107">
        <f>+VLOOKUP(PROVEEDORES[[#This Row],[ID RETENCION]],Retenciones!$A$1:$O$25,2,FALSE)</f>
        <v>0</v>
      </c>
      <c r="Z1512" s="116" t="b">
        <f>OR(COUNTIF(PROVEEDORES[[#This Row],[PROVEEDOR]],"*"&amp;'Palabra no opera'!$A$2&amp;"*"))</f>
        <v>0</v>
      </c>
    </row>
    <row r="1513" spans="1:26" ht="22.35" customHeight="1" x14ac:dyDescent="0.3">
      <c r="A1513" s="310" t="str">
        <f>+IF(PROVEEDORES[[#This Row],[FECHA DE PAGO]]=PROVEEDORES[[#This Row],[FECHA DE FACTURACIÓN]],"DE CONTADO","CRÉDITO")</f>
        <v>CRÉDITO</v>
      </c>
      <c r="B1513" s="38" t="b">
        <f>+IF((PROVEEDORES[[#This Row],[FECHA DE PAGO]]-PROVEEDORES[[#This Row],[FECHA DE FACTURACIÓN]])&gt;PROVEEDORES[[#This Row],[PLAZO Días]],"PAGO VENCIDO")</f>
        <v>0</v>
      </c>
      <c r="C1513" s="20">
        <f>+VLOOKUP(PROVEEDORES[[#This Row],[PROVEEDOR]],TERCEROS_INFO[#All],2,FALSE)</f>
        <v>30</v>
      </c>
      <c r="D1513" s="25">
        <f>+SUMIFS(PROVEEDORES[Total],PROVEEDORES[PROVEEDOR],PROVEEDORES[[#This Row],[PROVEEDOR]],PROVEEDORES[FECHA DE PAGO],"")</f>
        <v>0</v>
      </c>
      <c r="E1513" s="25"/>
      <c r="F1513" s="56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513" s="68">
        <v>45057</v>
      </c>
      <c r="H1513" s="26" t="s">
        <v>65</v>
      </c>
      <c r="I1513" s="68">
        <v>45033</v>
      </c>
      <c r="J1513" s="35" t="s">
        <v>1655</v>
      </c>
      <c r="K1513" s="21">
        <v>882353</v>
      </c>
      <c r="L1513" s="21"/>
      <c r="M1513" s="22">
        <f>(PROVEEDORES[[#This Row],[SUBTOTAL]]-PROVEEDORES[[#This Row],[descuento sobre subtotal]])*VLOOKUP(PROVEEDORES[[#This Row],[PROVEEDOR]],TERCEROS_INFO[#All],3,FALSE)</f>
        <v>167647.07</v>
      </c>
      <c r="N1513" s="23"/>
      <c r="O1513" s="22">
        <f>+PROVEEDORES[[#This Row],[Descuento sobre subtotal %]]*(PROVEEDORES[[#This Row],[SUBTOTAL]]-PROVEEDORES[[#This Row],[descuento sobre subtotal]])</f>
        <v>0</v>
      </c>
      <c r="P1513" s="74">
        <f>+IF(PROVEEDORES[[#This Row],[SUBTOTAL]]&lt;PROVEEDORES[[#This Row],[base retencion]],0,PROVEEDORES[[#This Row],[retención aplicada]])</f>
        <v>0</v>
      </c>
      <c r="Q1513" s="22">
        <f>+PROVEEDORES[[#This Row],[Rete Fuente %]]*(PROVEEDORES[[#This Row],[SUBTOTAL]]-PROVEEDORES[[#This Row],[descuento sobre subtotal]])</f>
        <v>0</v>
      </c>
      <c r="R1513" s="21">
        <f>+PROVEEDORES[[#This Row],[SUBTOTAL]]+PROVEEDORES[[#This Row],[IVA 19%]]-PROVEEDORES[[#This Row],[descuento sobre subtotal]]-PROVEEDORES[[#This Row],[Descuento sobre subtotal $2]]-PROVEEDORES[[#This Row],[Rete Fuente $]]</f>
        <v>1050000.07</v>
      </c>
      <c r="S151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3" s="63">
        <f ca="1">IF(PROVEEDORES[[#This Row],[FECHA DE PAGO]]=0,TODAY()-PROVEEDORES[[#This Row],[FECHA DE FACTURACIÓN]]-PROVEEDORES[[#This Row],[PLAZO Días]],0)</f>
        <v>0</v>
      </c>
      <c r="U1513" s="104" t="str">
        <f>+VLOOKUP(PROVEEDORES[[#This Row],[PROVEEDOR]],Terceros!$A:$D,4,FALSE)</f>
        <v>2,5% con base</v>
      </c>
      <c r="V1513" s="105">
        <f>+YEAR(PROVEEDORES[[#This Row],[FECHA DE FACTURACIÓN]])</f>
        <v>2023</v>
      </c>
      <c r="W1513" s="105">
        <f>+MATCH(PROVEEDORES[[#This Row],[año facturado]],Retenciones!$1:$1,0)</f>
        <v>6</v>
      </c>
      <c r="X1513" s="106">
        <f>+VLOOKUP(PROVEEDORES[[#This Row],[ID RETENCION]],Retenciones!$A$1:$O$25,PROVEEDORES[[#This Row],[indicador de columna]],FALSE)</f>
        <v>1145000</v>
      </c>
      <c r="Y1513" s="107">
        <f>+VLOOKUP(PROVEEDORES[[#This Row],[ID RETENCION]],Retenciones!$A$1:$O$25,2,FALSE)</f>
        <v>2.5000000000000001E-2</v>
      </c>
      <c r="Z1513" s="116" t="b">
        <f>OR(COUNTIF(PROVEEDORES[[#This Row],[PROVEEDOR]],"*"&amp;'Palabra no opera'!$A$2&amp;"*"))</f>
        <v>0</v>
      </c>
    </row>
    <row r="1514" spans="1:26" ht="22.35" customHeight="1" x14ac:dyDescent="0.3">
      <c r="A1514" s="67" t="str">
        <f>+IF(PROVEEDORES[[#This Row],[FECHA DE PAGO]]=PROVEEDORES[[#This Row],[FECHA DE FACTURACIÓN]],"DE CONTADO","CRÉDITO")</f>
        <v>DE CONTADO</v>
      </c>
      <c r="B1514" s="38" t="b">
        <f>+IF((PROVEEDORES[[#This Row],[FECHA DE PAGO]]-PROVEEDORES[[#This Row],[FECHA DE FACTURACIÓN]])&gt;PROVEEDORES[[#This Row],[PLAZO Días]],"PAGO VENCIDO")</f>
        <v>0</v>
      </c>
      <c r="C1514" s="20">
        <f>+VLOOKUP(PROVEEDORES[[#This Row],[PROVEEDOR]],TERCEROS_INFO[#All],2,FALSE)</f>
        <v>30</v>
      </c>
      <c r="D1514" s="25">
        <f>+SUMIFS(PROVEEDORES[Total],PROVEEDORES[PROVEEDOR],PROVEEDORES[[#This Row],[PROVEEDOR]],PROVEEDORES[FECHA DE PAGO],"")</f>
        <v>0</v>
      </c>
      <c r="E1514" s="25"/>
      <c r="F1514" s="56" t="str">
        <f>+VLOOKUP(PROVEEDORES[[#This Row],[PROVEEDOR]],
                       Terceros!$A:$F,
                       5,
                       FALSE)</f>
        <v/>
      </c>
      <c r="G1514" s="68">
        <v>45059</v>
      </c>
      <c r="H1514" s="26" t="s">
        <v>378</v>
      </c>
      <c r="I1514" s="68">
        <v>45059</v>
      </c>
      <c r="J1514" s="35" t="s">
        <v>1679</v>
      </c>
      <c r="K1514" s="21">
        <v>670000</v>
      </c>
      <c r="L1514" s="21"/>
      <c r="M1514" s="22">
        <f>(PROVEEDORES[[#This Row],[SUBTOTAL]]-PROVEEDORES[[#This Row],[descuento sobre subtotal]])*VLOOKUP(PROVEEDORES[[#This Row],[PROVEEDOR]],TERCEROS_INFO[#All],3,FALSE)</f>
        <v>0</v>
      </c>
      <c r="N1514" s="23"/>
      <c r="O1514" s="22">
        <f>+PROVEEDORES[[#This Row],[Descuento sobre subtotal %]]*(PROVEEDORES[[#This Row],[SUBTOTAL]]-PROVEEDORES[[#This Row],[descuento sobre subtotal]])</f>
        <v>0</v>
      </c>
      <c r="P1514" s="74">
        <f>+IF(PROVEEDORES[[#This Row],[SUBTOTAL]]&lt;PROVEEDORES[[#This Row],[base retencion]],0,PROVEEDORES[[#This Row],[retención aplicada]])</f>
        <v>0</v>
      </c>
      <c r="Q1514" s="22">
        <f>+PROVEEDORES[[#This Row],[Rete Fuente %]]*(PROVEEDORES[[#This Row],[SUBTOTAL]]-PROVEEDORES[[#This Row],[descuento sobre subtotal]])</f>
        <v>0</v>
      </c>
      <c r="R1514" s="21">
        <f>+PROVEEDORES[[#This Row],[SUBTOTAL]]+PROVEEDORES[[#This Row],[IVA 19%]]-PROVEEDORES[[#This Row],[descuento sobre subtotal]]-PROVEEDORES[[#This Row],[Descuento sobre subtotal $2]]-PROVEEDORES[[#This Row],[Rete Fuente $]]</f>
        <v>670000</v>
      </c>
      <c r="S15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4" s="63">
        <f ca="1">IF(PROVEEDORES[[#This Row],[FECHA DE PAGO]]=0,TODAY()-PROVEEDORES[[#This Row],[FECHA DE FACTURACIÓN]]-PROVEEDORES[[#This Row],[PLAZO Días]],0)</f>
        <v>0</v>
      </c>
      <c r="U1514" s="104">
        <f>+VLOOKUP(PROVEEDORES[[#This Row],[PROVEEDOR]],Terceros!$A:$D,4,FALSE)</f>
        <v>0</v>
      </c>
      <c r="V1514" s="105">
        <f>+YEAR(PROVEEDORES[[#This Row],[FECHA DE FACTURACIÓN]])</f>
        <v>2023</v>
      </c>
      <c r="W1514" s="105">
        <f>+MATCH(PROVEEDORES[[#This Row],[año facturado]],Retenciones!$1:$1,0)</f>
        <v>6</v>
      </c>
      <c r="X1514" s="106">
        <f>+VLOOKUP(PROVEEDORES[[#This Row],[ID RETENCION]],Retenciones!$A$1:$O$25,PROVEEDORES[[#This Row],[indicador de columna]],FALSE)</f>
        <v>0</v>
      </c>
      <c r="Y1514" s="107">
        <f>+VLOOKUP(PROVEEDORES[[#This Row],[ID RETENCION]],Retenciones!$A$1:$O$25,2,FALSE)</f>
        <v>0</v>
      </c>
      <c r="Z1514" s="116" t="b">
        <f>OR(COUNTIF(PROVEEDORES[[#This Row],[PROVEEDOR]],"*"&amp;'Palabra no opera'!$A$2&amp;"*"))</f>
        <v>0</v>
      </c>
    </row>
    <row r="1515" spans="1:26" ht="22.35" customHeight="1" x14ac:dyDescent="0.3">
      <c r="A1515" s="67" t="str">
        <f>+IF(PROVEEDORES[[#This Row],[FECHA DE PAGO]]=PROVEEDORES[[#This Row],[FECHA DE FACTURACIÓN]],"DE CONTADO","CRÉDITO")</f>
        <v>DE CONTADO</v>
      </c>
      <c r="B1515" s="38" t="b">
        <f>+IF((PROVEEDORES[[#This Row],[FECHA DE PAGO]]-PROVEEDORES[[#This Row],[FECHA DE FACTURACIÓN]])&gt;PROVEEDORES[[#This Row],[PLAZO Días]],"PAGO VENCIDO")</f>
        <v>0</v>
      </c>
      <c r="C1515" s="20">
        <f>+VLOOKUP(PROVEEDORES[[#This Row],[PROVEEDOR]],TERCEROS_INFO[#All],2,FALSE)</f>
        <v>30</v>
      </c>
      <c r="D1515" s="25">
        <f>+SUMIFS(PROVEEDORES[Total],PROVEEDORES[PROVEEDOR],PROVEEDORES[[#This Row],[PROVEEDOR]],PROVEEDORES[FECHA DE PAGO],"")</f>
        <v>0</v>
      </c>
      <c r="E1515" s="25"/>
      <c r="F1515" s="56" t="str">
        <f>+VLOOKUP(PROVEEDORES[[#This Row],[PROVEEDOR]],
                       Terceros!$A:$F,
                       5,
                       FALSE)</f>
        <v/>
      </c>
      <c r="G1515" s="68">
        <v>45059</v>
      </c>
      <c r="H1515" s="26" t="s">
        <v>378</v>
      </c>
      <c r="I1515" s="68">
        <v>45059</v>
      </c>
      <c r="J1515" s="35" t="s">
        <v>1680</v>
      </c>
      <c r="K1515" s="21">
        <v>480000</v>
      </c>
      <c r="L1515" s="21"/>
      <c r="M1515" s="22">
        <f>(PROVEEDORES[[#This Row],[SUBTOTAL]]-PROVEEDORES[[#This Row],[descuento sobre subtotal]])*VLOOKUP(PROVEEDORES[[#This Row],[PROVEEDOR]],TERCEROS_INFO[#All],3,FALSE)</f>
        <v>0</v>
      </c>
      <c r="N1515" s="23"/>
      <c r="O1515" s="22">
        <f>+PROVEEDORES[[#This Row],[Descuento sobre subtotal %]]*(PROVEEDORES[[#This Row],[SUBTOTAL]]-PROVEEDORES[[#This Row],[descuento sobre subtotal]])</f>
        <v>0</v>
      </c>
      <c r="P1515" s="74">
        <f>+IF(PROVEEDORES[[#This Row],[SUBTOTAL]]&lt;PROVEEDORES[[#This Row],[base retencion]],0,PROVEEDORES[[#This Row],[retención aplicada]])</f>
        <v>0</v>
      </c>
      <c r="Q1515" s="22">
        <f>+PROVEEDORES[[#This Row],[Rete Fuente %]]*(PROVEEDORES[[#This Row],[SUBTOTAL]]-PROVEEDORES[[#This Row],[descuento sobre subtotal]])</f>
        <v>0</v>
      </c>
      <c r="R1515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15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5" s="63">
        <f ca="1">IF(PROVEEDORES[[#This Row],[FECHA DE PAGO]]=0,TODAY()-PROVEEDORES[[#This Row],[FECHA DE FACTURACIÓN]]-PROVEEDORES[[#This Row],[PLAZO Días]],0)</f>
        <v>0</v>
      </c>
      <c r="U1515" s="104">
        <f>+VLOOKUP(PROVEEDORES[[#This Row],[PROVEEDOR]],Terceros!$A:$D,4,FALSE)</f>
        <v>0</v>
      </c>
      <c r="V1515" s="105">
        <f>+YEAR(PROVEEDORES[[#This Row],[FECHA DE FACTURACIÓN]])</f>
        <v>2023</v>
      </c>
      <c r="W1515" s="105">
        <f>+MATCH(PROVEEDORES[[#This Row],[año facturado]],Retenciones!$1:$1,0)</f>
        <v>6</v>
      </c>
      <c r="X1515" s="106">
        <f>+VLOOKUP(PROVEEDORES[[#This Row],[ID RETENCION]],Retenciones!$A$1:$O$25,PROVEEDORES[[#This Row],[indicador de columna]],FALSE)</f>
        <v>0</v>
      </c>
      <c r="Y1515" s="107">
        <f>+VLOOKUP(PROVEEDORES[[#This Row],[ID RETENCION]],Retenciones!$A$1:$O$25,2,FALSE)</f>
        <v>0</v>
      </c>
      <c r="Z1515" s="116" t="b">
        <f>OR(COUNTIF(PROVEEDORES[[#This Row],[PROVEEDOR]],"*"&amp;'Palabra no opera'!$A$2&amp;"*"))</f>
        <v>0</v>
      </c>
    </row>
    <row r="1516" spans="1:26" ht="22.35" customHeight="1" x14ac:dyDescent="0.3">
      <c r="A1516" s="67" t="str">
        <f>+IF(PROVEEDORES[[#This Row],[FECHA DE PAGO]]=PROVEEDORES[[#This Row],[FECHA DE FACTURACIÓN]],"DE CONTADO","CRÉDITO")</f>
        <v>CRÉDITO</v>
      </c>
      <c r="B1516" s="38" t="str">
        <f>+IF((PROVEEDORES[[#This Row],[FECHA DE PAGO]]-PROVEEDORES[[#This Row],[FECHA DE FACTURACIÓN]])&gt;PROVEEDORES[[#This Row],[PLAZO Días]],"PAGO VENCIDO")</f>
        <v>PAGO VENCIDO</v>
      </c>
      <c r="C1516" s="20">
        <f>+VLOOKUP(PROVEEDORES[[#This Row],[PROVEEDOR]],TERCEROS_INFO[#All],2,FALSE)</f>
        <v>30</v>
      </c>
      <c r="D1516" s="25">
        <f>+SUMIFS(PROVEEDORES[Total],PROVEEDORES[PROVEEDOR],PROVEEDORES[[#This Row],[PROVEEDOR]],PROVEEDORES[FECHA DE PAGO],"")</f>
        <v>2950000</v>
      </c>
      <c r="E1516" s="25"/>
      <c r="F1516" s="56">
        <f>+VLOOKUP(PROVEEDORES[[#This Row],[PROVEEDOR]],
                       Terceros!$A:$F,
                       5,
                       FALSE)</f>
        <v>0</v>
      </c>
      <c r="G1516" s="68">
        <v>45061</v>
      </c>
      <c r="H1516" s="26" t="s">
        <v>703</v>
      </c>
      <c r="I1516" s="68">
        <v>45026</v>
      </c>
      <c r="J1516" s="35" t="s">
        <v>1613</v>
      </c>
      <c r="K1516" s="21">
        <v>815000</v>
      </c>
      <c r="L1516" s="21"/>
      <c r="M1516" s="22">
        <f>(PROVEEDORES[[#This Row],[SUBTOTAL]]-PROVEEDORES[[#This Row],[descuento sobre subtotal]])*VLOOKUP(PROVEEDORES[[#This Row],[PROVEEDOR]],TERCEROS_INFO[#All],3,FALSE)</f>
        <v>0</v>
      </c>
      <c r="N1516" s="23"/>
      <c r="O1516" s="22">
        <f>+PROVEEDORES[[#This Row],[Descuento sobre subtotal %]]*(PROVEEDORES[[#This Row],[SUBTOTAL]]-PROVEEDORES[[#This Row],[descuento sobre subtotal]])</f>
        <v>0</v>
      </c>
      <c r="P1516" s="74">
        <f>+IF(PROVEEDORES[[#This Row],[SUBTOTAL]]&lt;PROVEEDORES[[#This Row],[base retencion]],0,PROVEEDORES[[#This Row],[retención aplicada]])</f>
        <v>0</v>
      </c>
      <c r="Q1516" s="22">
        <f>+PROVEEDORES[[#This Row],[Rete Fuente %]]*(PROVEEDORES[[#This Row],[SUBTOTAL]]-PROVEEDORES[[#This Row],[descuento sobre subtotal]])</f>
        <v>0</v>
      </c>
      <c r="R1516" s="21">
        <f>+PROVEEDORES[[#This Row],[SUBTOTAL]]+PROVEEDORES[[#This Row],[IVA 19%]]-PROVEEDORES[[#This Row],[descuento sobre subtotal]]-PROVEEDORES[[#This Row],[Descuento sobre subtotal $2]]-PROVEEDORES[[#This Row],[Rete Fuente $]]</f>
        <v>815000</v>
      </c>
      <c r="S15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6" s="63">
        <f ca="1">IF(PROVEEDORES[[#This Row],[FECHA DE PAGO]]=0,TODAY()-PROVEEDORES[[#This Row],[FECHA DE FACTURACIÓN]]-PROVEEDORES[[#This Row],[PLAZO Días]],0)</f>
        <v>0</v>
      </c>
      <c r="U1516" s="104">
        <f>+VLOOKUP(PROVEEDORES[[#This Row],[PROVEEDOR]],Terceros!$A:$D,4,FALSE)</f>
        <v>0</v>
      </c>
      <c r="V1516" s="105">
        <f>+YEAR(PROVEEDORES[[#This Row],[FECHA DE FACTURACIÓN]])</f>
        <v>2023</v>
      </c>
      <c r="W1516" s="105">
        <f>+MATCH(PROVEEDORES[[#This Row],[año facturado]],Retenciones!$1:$1,0)</f>
        <v>6</v>
      </c>
      <c r="X1516" s="106">
        <f>+VLOOKUP(PROVEEDORES[[#This Row],[ID RETENCION]],Retenciones!$A$1:$O$25,PROVEEDORES[[#This Row],[indicador de columna]],FALSE)</f>
        <v>0</v>
      </c>
      <c r="Y1516" s="107">
        <f>+VLOOKUP(PROVEEDORES[[#This Row],[ID RETENCION]],Retenciones!$A$1:$O$25,2,FALSE)</f>
        <v>0</v>
      </c>
      <c r="Z1516" s="116" t="b">
        <f>OR(COUNTIF(PROVEEDORES[[#This Row],[PROVEEDOR]],"*"&amp;'Palabra no opera'!$A$2&amp;"*"))</f>
        <v>0</v>
      </c>
    </row>
    <row r="1517" spans="1:26" ht="22.35" customHeight="1" x14ac:dyDescent="0.3">
      <c r="A1517" s="312" t="str">
        <f>+IF(PROVEEDORES[[#This Row],[FECHA DE PAGO]]=PROVEEDORES[[#This Row],[FECHA DE FACTURACIÓN]],"DE CONTADO","CRÉDITO")</f>
        <v>CRÉDITO</v>
      </c>
      <c r="B1517" s="38" t="b">
        <f>+IF((PROVEEDORES[[#This Row],[FECHA DE PAGO]]-PROVEEDORES[[#This Row],[FECHA DE FACTURACIÓN]])&gt;PROVEEDORES[[#This Row],[PLAZO Días]],"PAGO VENCIDO")</f>
        <v>0</v>
      </c>
      <c r="C1517" s="20">
        <f>+VLOOKUP(PROVEEDORES[[#This Row],[PROVEEDOR]],TERCEROS_INFO[#All],2,FALSE)</f>
        <v>30</v>
      </c>
      <c r="D1517" s="25">
        <f>+SUMIFS(PROVEEDORES[Total],PROVEEDORES[PROVEEDOR],PROVEEDORES[[#This Row],[PROVEEDOR]],PROVEEDORES[FECHA DE PAGO],"")</f>
        <v>0</v>
      </c>
      <c r="E1517" s="25"/>
      <c r="F1517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517" s="68">
        <v>45061</v>
      </c>
      <c r="H1517" s="26" t="s">
        <v>628</v>
      </c>
      <c r="I1517" s="68">
        <v>45047</v>
      </c>
      <c r="J1517" s="35" t="s">
        <v>1666</v>
      </c>
      <c r="K1517" s="21">
        <v>1840056</v>
      </c>
      <c r="L1517" s="21"/>
      <c r="M1517" s="22">
        <f>(PROVEEDORES[[#This Row],[SUBTOTAL]]-PROVEEDORES[[#This Row],[descuento sobre subtotal]])*VLOOKUP(PROVEEDORES[[#This Row],[PROVEEDOR]],TERCEROS_INFO[#All],3,FALSE)</f>
        <v>0</v>
      </c>
      <c r="N1517" s="23"/>
      <c r="O1517" s="22">
        <v>105097</v>
      </c>
      <c r="P1517" s="74">
        <f>+IF(PROVEEDORES[[#This Row],[SUBTOTAL]]&lt;PROVEEDORES[[#This Row],[base retencion]],0,PROVEEDORES[[#This Row],[retención aplicada]])</f>
        <v>0</v>
      </c>
      <c r="Q1517" s="22">
        <f>+PROVEEDORES[[#This Row],[Rete Fuente %]]*(PROVEEDORES[[#This Row],[SUBTOTAL]]-PROVEEDORES[[#This Row],[descuento sobre subtotal]])</f>
        <v>0</v>
      </c>
      <c r="R1517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1517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7" s="63">
        <f ca="1">IF(PROVEEDORES[[#This Row],[FECHA DE PAGO]]=0,TODAY()-PROVEEDORES[[#This Row],[FECHA DE FACTURACIÓN]]-PROVEEDORES[[#This Row],[PLAZO Días]],0)</f>
        <v>0</v>
      </c>
      <c r="U1517" s="104">
        <f>+VLOOKUP(PROVEEDORES[[#This Row],[PROVEEDOR]],Terceros!$A:$D,4,FALSE)</f>
        <v>0</v>
      </c>
      <c r="V1517" s="105">
        <f>+YEAR(PROVEEDORES[[#This Row],[FECHA DE FACTURACIÓN]])</f>
        <v>2023</v>
      </c>
      <c r="W1517" s="105">
        <f>+MATCH(PROVEEDORES[[#This Row],[año facturado]],Retenciones!$1:$1,0)</f>
        <v>6</v>
      </c>
      <c r="X1517" s="106">
        <f>+VLOOKUP(PROVEEDORES[[#This Row],[ID RETENCION]],Retenciones!$A$1:$O$25,PROVEEDORES[[#This Row],[indicador de columna]],FALSE)</f>
        <v>0</v>
      </c>
      <c r="Y1517" s="107">
        <f>+VLOOKUP(PROVEEDORES[[#This Row],[ID RETENCION]],Retenciones!$A$1:$O$25,2,FALSE)</f>
        <v>0</v>
      </c>
      <c r="Z1517" s="116" t="b">
        <f>OR(COUNTIF(PROVEEDORES[[#This Row],[PROVEEDOR]],"*"&amp;'Palabra no opera'!$A$2&amp;"*"))</f>
        <v>1</v>
      </c>
    </row>
    <row r="1518" spans="1:26" ht="22.35" customHeight="1" x14ac:dyDescent="0.3">
      <c r="A1518" s="310" t="str">
        <f>+IF(PROVEEDORES[[#This Row],[FECHA DE PAGO]]=PROVEEDORES[[#This Row],[FECHA DE FACTURACIÓN]],"DE CONTADO","CRÉDITO")</f>
        <v>CRÉDITO</v>
      </c>
      <c r="B1518" s="38" t="str">
        <f>+IF((PROVEEDORES[[#This Row],[FECHA DE PAGO]]-PROVEEDORES[[#This Row],[FECHA DE FACTURACIÓN]])&gt;PROVEEDORES[[#This Row],[PLAZO Días]],"PAGO VENCIDO")</f>
        <v>PAGO VENCIDO</v>
      </c>
      <c r="C1518" s="20">
        <f>+VLOOKUP(PROVEEDORES[[#This Row],[PROVEEDOR]],TERCEROS_INFO[#All],2,FALSE)</f>
        <v>30</v>
      </c>
      <c r="D1518" s="25">
        <f>+SUMIFS(PROVEEDORES[Total],PROVEEDORES[PROVEEDOR],PROVEEDORES[[#This Row],[PROVEEDOR]],PROVEEDORES[FECHA DE PAGO],"")</f>
        <v>0</v>
      </c>
      <c r="E1518" s="25"/>
      <c r="F1518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18" s="68">
        <v>45063</v>
      </c>
      <c r="H1518" s="26" t="s">
        <v>394</v>
      </c>
      <c r="I1518" s="68">
        <v>45028</v>
      </c>
      <c r="J1518" s="35">
        <v>39</v>
      </c>
      <c r="K1518" s="21">
        <v>1165000</v>
      </c>
      <c r="L1518" s="21"/>
      <c r="M1518" s="22">
        <f>(PROVEEDORES[[#This Row],[SUBTOTAL]]-PROVEEDORES[[#This Row],[descuento sobre subtotal]])*VLOOKUP(PROVEEDORES[[#This Row],[PROVEEDOR]],TERCEROS_INFO[#All],3,FALSE)</f>
        <v>0</v>
      </c>
      <c r="N1518" s="23"/>
      <c r="O1518" s="22">
        <f>+PROVEEDORES[[#This Row],[Descuento sobre subtotal %]]*(PROVEEDORES[[#This Row],[SUBTOTAL]]-PROVEEDORES[[#This Row],[descuento sobre subtotal]])</f>
        <v>0</v>
      </c>
      <c r="P1518" s="74">
        <f>+IF(PROVEEDORES[[#This Row],[SUBTOTAL]]&lt;PROVEEDORES[[#This Row],[base retencion]],0,PROVEEDORES[[#This Row],[retención aplicada]])</f>
        <v>0</v>
      </c>
      <c r="Q1518" s="22">
        <f>+PROVEEDORES[[#This Row],[Rete Fuente %]]*(PROVEEDORES[[#This Row],[SUBTOTAL]]-PROVEEDORES[[#This Row],[descuento sobre subtotal]])</f>
        <v>0</v>
      </c>
      <c r="R1518" s="21">
        <f>+PROVEEDORES[[#This Row],[SUBTOTAL]]+PROVEEDORES[[#This Row],[IVA 19%]]-PROVEEDORES[[#This Row],[descuento sobre subtotal]]-PROVEEDORES[[#This Row],[Descuento sobre subtotal $2]]-PROVEEDORES[[#This Row],[Rete Fuente $]]</f>
        <v>1165000</v>
      </c>
      <c r="S151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8" s="63">
        <f ca="1">IF(PROVEEDORES[[#This Row],[FECHA DE PAGO]]=0,TODAY()-PROVEEDORES[[#This Row],[FECHA DE FACTURACIÓN]]-PROVEEDORES[[#This Row],[PLAZO Días]],0)</f>
        <v>0</v>
      </c>
      <c r="U1518" s="104">
        <f>+VLOOKUP(PROVEEDORES[[#This Row],[PROVEEDOR]],Terceros!$A:$D,4,FALSE)</f>
        <v>0</v>
      </c>
      <c r="V1518" s="105">
        <f>+YEAR(PROVEEDORES[[#This Row],[FECHA DE FACTURACIÓN]])</f>
        <v>2023</v>
      </c>
      <c r="W1518" s="105">
        <f>+MATCH(PROVEEDORES[[#This Row],[año facturado]],Retenciones!$1:$1,0)</f>
        <v>6</v>
      </c>
      <c r="X1518" s="106">
        <f>+VLOOKUP(PROVEEDORES[[#This Row],[ID RETENCION]],Retenciones!$A$1:$O$25,PROVEEDORES[[#This Row],[indicador de columna]],FALSE)</f>
        <v>0</v>
      </c>
      <c r="Y1518" s="107">
        <f>+VLOOKUP(PROVEEDORES[[#This Row],[ID RETENCION]],Retenciones!$A$1:$O$25,2,FALSE)</f>
        <v>0</v>
      </c>
      <c r="Z1518" s="116" t="b">
        <f>OR(COUNTIF(PROVEEDORES[[#This Row],[PROVEEDOR]],"*"&amp;'Palabra no opera'!$A$2&amp;"*"))</f>
        <v>0</v>
      </c>
    </row>
    <row r="1519" spans="1:26" ht="22.35" customHeight="1" x14ac:dyDescent="0.3">
      <c r="A1519" s="67" t="str">
        <f>+IF(PROVEEDORES[[#This Row],[FECHA DE PAGO]]=PROVEEDORES[[#This Row],[FECHA DE FACTURACIÓN]],"DE CONTADO","CRÉDITO")</f>
        <v>DE CONTADO</v>
      </c>
      <c r="B1519" s="38" t="b">
        <f>+IF((PROVEEDORES[[#This Row],[FECHA DE PAGO]]-PROVEEDORES[[#This Row],[FECHA DE FACTURACIÓN]])&gt;PROVEEDORES[[#This Row],[PLAZO Días]],"PAGO VENCIDO")</f>
        <v>0</v>
      </c>
      <c r="C1519" s="20">
        <f>+VLOOKUP(PROVEEDORES[[#This Row],[PROVEEDOR]],TERCEROS_INFO[#All],2,FALSE)</f>
        <v>30</v>
      </c>
      <c r="D1519" s="25">
        <f>+SUMIFS(PROVEEDORES[Total],PROVEEDORES[PROVEEDOR],PROVEEDORES[[#This Row],[PROVEEDOR]],PROVEEDORES[FECHA DE PAGO],"")</f>
        <v>0</v>
      </c>
      <c r="E1519" s="25"/>
      <c r="F1519" s="56" t="str">
        <f>+VLOOKUP(PROVEEDORES[[#This Row],[PROVEEDOR]],
                       Terceros!$A:$F,
                       5,
                       FALSE)</f>
        <v/>
      </c>
      <c r="G1519" s="68">
        <v>45063</v>
      </c>
      <c r="H1519" s="26" t="s">
        <v>37</v>
      </c>
      <c r="I1519" s="68">
        <v>45063</v>
      </c>
      <c r="J1519" s="35" t="s">
        <v>1681</v>
      </c>
      <c r="K1519" s="21">
        <v>213958</v>
      </c>
      <c r="L1519" s="21"/>
      <c r="M1519" s="22">
        <f>(PROVEEDORES[[#This Row],[SUBTOTAL]]-PROVEEDORES[[#This Row],[descuento sobre subtotal]])*VLOOKUP(PROVEEDORES[[#This Row],[PROVEEDOR]],TERCEROS_INFO[#All],3,FALSE)</f>
        <v>40652.020000000004</v>
      </c>
      <c r="N1519" s="23"/>
      <c r="O1519" s="22">
        <f>+PROVEEDORES[[#This Row],[Descuento sobre subtotal %]]*(PROVEEDORES[[#This Row],[SUBTOTAL]]-PROVEEDORES[[#This Row],[descuento sobre subtotal]])</f>
        <v>0</v>
      </c>
      <c r="P1519" s="74">
        <f>+IF(PROVEEDORES[[#This Row],[SUBTOTAL]]&lt;PROVEEDORES[[#This Row],[base retencion]],0,PROVEEDORES[[#This Row],[retención aplicada]])</f>
        <v>0</v>
      </c>
      <c r="Q1519" s="22">
        <f>+PROVEEDORES[[#This Row],[Rete Fuente %]]*(PROVEEDORES[[#This Row],[SUBTOTAL]]-PROVEEDORES[[#This Row],[descuento sobre subtotal]])</f>
        <v>0</v>
      </c>
      <c r="R1519" s="21">
        <f>+PROVEEDORES[[#This Row],[SUBTOTAL]]+PROVEEDORES[[#This Row],[IVA 19%]]-PROVEEDORES[[#This Row],[descuento sobre subtotal]]-PROVEEDORES[[#This Row],[Descuento sobre subtotal $2]]-PROVEEDORES[[#This Row],[Rete Fuente $]]</f>
        <v>254610.02000000002</v>
      </c>
      <c r="S151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9" s="63">
        <f ca="1">IF(PROVEEDORES[[#This Row],[FECHA DE PAGO]]=0,TODAY()-PROVEEDORES[[#This Row],[FECHA DE FACTURACIÓN]]-PROVEEDORES[[#This Row],[PLAZO Días]],0)</f>
        <v>0</v>
      </c>
      <c r="U1519" s="104" t="str">
        <f>+VLOOKUP(PROVEEDORES[[#This Row],[PROVEEDOR]],Terceros!$A:$D,4,FALSE)</f>
        <v>2,5% con base</v>
      </c>
      <c r="V1519" s="105">
        <f>+YEAR(PROVEEDORES[[#This Row],[FECHA DE FACTURACIÓN]])</f>
        <v>2023</v>
      </c>
      <c r="W1519" s="105">
        <f>+MATCH(PROVEEDORES[[#This Row],[año facturado]],Retenciones!$1:$1,0)</f>
        <v>6</v>
      </c>
      <c r="X1519" s="106">
        <f>+VLOOKUP(PROVEEDORES[[#This Row],[ID RETENCION]],Retenciones!$A$1:$O$25,PROVEEDORES[[#This Row],[indicador de columna]],FALSE)</f>
        <v>1145000</v>
      </c>
      <c r="Y1519" s="107">
        <f>+VLOOKUP(PROVEEDORES[[#This Row],[ID RETENCION]],Retenciones!$A$1:$O$25,2,FALSE)</f>
        <v>2.5000000000000001E-2</v>
      </c>
      <c r="Z1519" s="116" t="b">
        <f>OR(COUNTIF(PROVEEDORES[[#This Row],[PROVEEDOR]],"*"&amp;'Palabra no opera'!$A$2&amp;"*"))</f>
        <v>0</v>
      </c>
    </row>
    <row r="1520" spans="1:26" ht="22.35" customHeight="1" x14ac:dyDescent="0.3">
      <c r="A1520" s="67" t="str">
        <f>+IF(PROVEEDORES[[#This Row],[FECHA DE PAGO]]=PROVEEDORES[[#This Row],[FECHA DE FACTURACIÓN]],"DE CONTADO","CRÉDITO")</f>
        <v>CRÉDITO</v>
      </c>
      <c r="B1520" s="38" t="str">
        <f>+IF((PROVEEDORES[[#This Row],[FECHA DE PAGO]]-PROVEEDORES[[#This Row],[FECHA DE FACTURACIÓN]])&gt;PROVEEDORES[[#This Row],[PLAZO Días]],"PAGO VENCIDO")</f>
        <v>PAGO VENCIDO</v>
      </c>
      <c r="C1520" s="20">
        <f>+VLOOKUP(PROVEEDORES[[#This Row],[PROVEEDOR]],TERCEROS_INFO[#All],2,FALSE)</f>
        <v>30</v>
      </c>
      <c r="D1520" s="25">
        <f>+SUMIFS(PROVEEDORES[Total],PROVEEDORES[PROVEEDOR],PROVEEDORES[[#This Row],[PROVEEDOR]],PROVEEDORES[FECHA DE PAGO],"")</f>
        <v>380979.69</v>
      </c>
      <c r="E1520" s="25"/>
      <c r="F152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520" s="68">
        <v>45064</v>
      </c>
      <c r="H1520" s="26" t="s">
        <v>1295</v>
      </c>
      <c r="I1520" s="68">
        <v>45013</v>
      </c>
      <c r="J1520" s="35" t="s">
        <v>1560</v>
      </c>
      <c r="K1520" s="21">
        <v>722520</v>
      </c>
      <c r="L1520" s="21"/>
      <c r="M1520" s="22">
        <f>(PROVEEDORES[[#This Row],[SUBTOTAL]]-PROVEEDORES[[#This Row],[descuento sobre subtotal]])*VLOOKUP(PROVEEDORES[[#This Row],[PROVEEDOR]],TERCEROS_INFO[#All],3,FALSE)</f>
        <v>137278.79999999999</v>
      </c>
      <c r="N1520" s="23"/>
      <c r="O1520" s="22">
        <f>+PROVEEDORES[[#This Row],[Descuento sobre subtotal %]]*(PROVEEDORES[[#This Row],[SUBTOTAL]]-PROVEEDORES[[#This Row],[descuento sobre subtotal]])</f>
        <v>0</v>
      </c>
      <c r="P1520" s="74">
        <f>+IF(PROVEEDORES[[#This Row],[SUBTOTAL]]&lt;PROVEEDORES[[#This Row],[base retencion]],0,PROVEEDORES[[#This Row],[retención aplicada]])</f>
        <v>0</v>
      </c>
      <c r="Q1520" s="22">
        <f>+PROVEEDORES[[#This Row],[Rete Fuente %]]*(PROVEEDORES[[#This Row],[SUBTOTAL]]-PROVEEDORES[[#This Row],[descuento sobre subtotal]])</f>
        <v>0</v>
      </c>
      <c r="R1520" s="21">
        <f>+PROVEEDORES[[#This Row],[SUBTOTAL]]+PROVEEDORES[[#This Row],[IVA 19%]]-PROVEEDORES[[#This Row],[descuento sobre subtotal]]-PROVEEDORES[[#This Row],[Descuento sobre subtotal $2]]-PROVEEDORES[[#This Row],[Rete Fuente $]]</f>
        <v>859798.8</v>
      </c>
      <c r="S152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0" s="63">
        <f ca="1">IF(PROVEEDORES[[#This Row],[FECHA DE PAGO]]=0,TODAY()-PROVEEDORES[[#This Row],[FECHA DE FACTURACIÓN]]-PROVEEDORES[[#This Row],[PLAZO Días]],0)</f>
        <v>0</v>
      </c>
      <c r="U1520" s="104">
        <f>+VLOOKUP(PROVEEDORES[[#This Row],[PROVEEDOR]],Terceros!$A:$D,4,FALSE)</f>
        <v>0</v>
      </c>
      <c r="V1520" s="105">
        <f>+YEAR(PROVEEDORES[[#This Row],[FECHA DE FACTURACIÓN]])</f>
        <v>2023</v>
      </c>
      <c r="W1520" s="105">
        <f>+MATCH(PROVEEDORES[[#This Row],[año facturado]],Retenciones!$1:$1,0)</f>
        <v>6</v>
      </c>
      <c r="X1520" s="106">
        <f>+VLOOKUP(PROVEEDORES[[#This Row],[ID RETENCION]],Retenciones!$A$1:$O$25,PROVEEDORES[[#This Row],[indicador de columna]],FALSE)</f>
        <v>0</v>
      </c>
      <c r="Y1520" s="107">
        <f>+VLOOKUP(PROVEEDORES[[#This Row],[ID RETENCION]],Retenciones!$A$1:$O$25,2,FALSE)</f>
        <v>0</v>
      </c>
      <c r="Z1520" s="116" t="b">
        <f>OR(COUNTIF(PROVEEDORES[[#This Row],[PROVEEDOR]],"*"&amp;'Palabra no opera'!$A$2&amp;"*"))</f>
        <v>1</v>
      </c>
    </row>
    <row r="1521" spans="1:26" ht="22.35" customHeight="1" x14ac:dyDescent="0.3">
      <c r="A1521" s="280" t="str">
        <f>+IF(PROVEEDORES[[#This Row],[FECHA DE PAGO]]=PROVEEDORES[[#This Row],[FECHA DE FACTURACIÓN]],"DE CONTADO","CRÉDITO")</f>
        <v>CRÉDITO</v>
      </c>
      <c r="B1521" s="38" t="str">
        <f>+IF((PROVEEDORES[[#This Row],[FECHA DE PAGO]]-PROVEEDORES[[#This Row],[FECHA DE FACTURACIÓN]])&gt;PROVEEDORES[[#This Row],[PLAZO Días]],"PAGO VENCIDO")</f>
        <v>PAGO VENCIDO</v>
      </c>
      <c r="C1521" s="20">
        <f>+VLOOKUP(PROVEEDORES[[#This Row],[PROVEEDOR]],TERCEROS_INFO[#All],2,FALSE)</f>
        <v>30</v>
      </c>
      <c r="D1521" s="25">
        <f>+SUMIFS(PROVEEDORES[Total],PROVEEDORES[PROVEEDOR],PROVEEDORES[[#This Row],[PROVEEDOR]],PROVEEDORES[FECHA DE PAGO],"")</f>
        <v>18444236.894999996</v>
      </c>
      <c r="E1521" s="25"/>
      <c r="F152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21" s="68">
        <v>45064</v>
      </c>
      <c r="H1521" s="26" t="s">
        <v>11</v>
      </c>
      <c r="I1521" s="68">
        <v>45009</v>
      </c>
      <c r="J1521" s="35" t="s">
        <v>1544</v>
      </c>
      <c r="K1521" s="21">
        <v>3503790</v>
      </c>
      <c r="L1521" s="21"/>
      <c r="M1521" s="22">
        <f>(PROVEEDORES[[#This Row],[SUBTOTAL]]-PROVEEDORES[[#This Row],[descuento sobre subtotal]])*VLOOKUP(PROVEEDORES[[#This Row],[PROVEEDOR]],TERCEROS_INFO[#All],3,FALSE)</f>
        <v>665720.1</v>
      </c>
      <c r="N1521" s="23"/>
      <c r="O1521" s="22">
        <f>+PROVEEDORES[[#This Row],[Descuento sobre subtotal %]]*(PROVEEDORES[[#This Row],[SUBTOTAL]]-PROVEEDORES[[#This Row],[descuento sobre subtotal]])</f>
        <v>0</v>
      </c>
      <c r="P1521" s="74">
        <f>+IF(PROVEEDORES[[#This Row],[SUBTOTAL]]&lt;PROVEEDORES[[#This Row],[base retencion]],0,PROVEEDORES[[#This Row],[retención aplicada]])</f>
        <v>2.5000000000000001E-2</v>
      </c>
      <c r="Q1521" s="22">
        <f>+PROVEEDORES[[#This Row],[Rete Fuente %]]*(PROVEEDORES[[#This Row],[SUBTOTAL]]-PROVEEDORES[[#This Row],[descuento sobre subtotal]])</f>
        <v>87594.75</v>
      </c>
      <c r="R1521" s="21">
        <f>+PROVEEDORES[[#This Row],[SUBTOTAL]]+PROVEEDORES[[#This Row],[IVA 19%]]-PROVEEDORES[[#This Row],[descuento sobre subtotal]]-PROVEEDORES[[#This Row],[Descuento sobre subtotal $2]]-PROVEEDORES[[#This Row],[Rete Fuente $]]</f>
        <v>4081915.35</v>
      </c>
      <c r="S1521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1" s="63">
        <f ca="1">IF(PROVEEDORES[[#This Row],[FECHA DE PAGO]]=0,TODAY()-PROVEEDORES[[#This Row],[FECHA DE FACTURACIÓN]]-PROVEEDORES[[#This Row],[PLAZO Días]],0)</f>
        <v>0</v>
      </c>
      <c r="U1521" s="104" t="str">
        <f>+VLOOKUP(PROVEEDORES[[#This Row],[PROVEEDOR]],Terceros!$A:$D,4,FALSE)</f>
        <v>2,5% con base</v>
      </c>
      <c r="V1521" s="105">
        <f>+YEAR(PROVEEDORES[[#This Row],[FECHA DE FACTURACIÓN]])</f>
        <v>2023</v>
      </c>
      <c r="W1521" s="105">
        <f>+MATCH(PROVEEDORES[[#This Row],[año facturado]],Retenciones!$1:$1,0)</f>
        <v>6</v>
      </c>
      <c r="X1521" s="106">
        <f>+VLOOKUP(PROVEEDORES[[#This Row],[ID RETENCION]],Retenciones!$A$1:$O$25,PROVEEDORES[[#This Row],[indicador de columna]],FALSE)</f>
        <v>1145000</v>
      </c>
      <c r="Y1521" s="107">
        <f>+VLOOKUP(PROVEEDORES[[#This Row],[ID RETENCION]],Retenciones!$A$1:$O$25,2,FALSE)</f>
        <v>2.5000000000000001E-2</v>
      </c>
      <c r="Z1521" s="116" t="b">
        <f>OR(COUNTIF(PROVEEDORES[[#This Row],[PROVEEDOR]],"*"&amp;'Palabra no opera'!$A$2&amp;"*"))</f>
        <v>0</v>
      </c>
    </row>
    <row r="1522" spans="1:26" ht="22.35" customHeight="1" x14ac:dyDescent="0.3">
      <c r="A1522" s="67" t="str">
        <f>+IF(PROVEEDORES[[#This Row],[FECHA DE PAGO]]=PROVEEDORES[[#This Row],[FECHA DE FACTURACIÓN]],"DE CONTADO","CRÉDITO")</f>
        <v>CRÉDITO</v>
      </c>
      <c r="B1522" s="38" t="str">
        <f>+IF((PROVEEDORES[[#This Row],[FECHA DE PAGO]]-PROVEEDORES[[#This Row],[FECHA DE FACTURACIÓN]])&gt;PROVEEDORES[[#This Row],[PLAZO Días]],"PAGO VENCIDO")</f>
        <v>PAGO VENCIDO</v>
      </c>
      <c r="C1522" s="20">
        <f>+VLOOKUP(PROVEEDORES[[#This Row],[PROVEEDOR]],TERCEROS_INFO[#All],2,FALSE)</f>
        <v>30</v>
      </c>
      <c r="D1522" s="25">
        <f>+SUMIFS(PROVEEDORES[Total],PROVEEDORES[PROVEEDOR],PROVEEDORES[[#This Row],[PROVEEDOR]],PROVEEDORES[FECHA DE PAGO],"")</f>
        <v>18444236.894999996</v>
      </c>
      <c r="E1522" s="25"/>
      <c r="F1522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22" s="68">
        <v>45064</v>
      </c>
      <c r="H1522" s="26" t="s">
        <v>11</v>
      </c>
      <c r="I1522" s="68">
        <v>45019</v>
      </c>
      <c r="J1522" s="35" t="s">
        <v>1611</v>
      </c>
      <c r="K1522" s="21">
        <v>700758</v>
      </c>
      <c r="L1522" s="21"/>
      <c r="M1522" s="22">
        <f>(PROVEEDORES[[#This Row],[SUBTOTAL]]-PROVEEDORES[[#This Row],[descuento sobre subtotal]])*VLOOKUP(PROVEEDORES[[#This Row],[PROVEEDOR]],TERCEROS_INFO[#All],3,FALSE)</f>
        <v>133144.01999999999</v>
      </c>
      <c r="N1522" s="23"/>
      <c r="O1522" s="22">
        <f>+PROVEEDORES[[#This Row],[Descuento sobre subtotal %]]*(PROVEEDORES[[#This Row],[SUBTOTAL]]-PROVEEDORES[[#This Row],[descuento sobre subtotal]])</f>
        <v>0</v>
      </c>
      <c r="P1522" s="74">
        <f>+IF(PROVEEDORES[[#This Row],[SUBTOTAL]]&lt;PROVEEDORES[[#This Row],[base retencion]],0,PROVEEDORES[[#This Row],[retención aplicada]])</f>
        <v>0</v>
      </c>
      <c r="Q1522" s="22">
        <f>+PROVEEDORES[[#This Row],[Rete Fuente %]]*(PROVEEDORES[[#This Row],[SUBTOTAL]]-PROVEEDORES[[#This Row],[descuento sobre subtotal]])</f>
        <v>0</v>
      </c>
      <c r="R1522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15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2" s="63">
        <f ca="1">IF(PROVEEDORES[[#This Row],[FECHA DE PAGO]]=0,TODAY()-PROVEEDORES[[#This Row],[FECHA DE FACTURACIÓN]]-PROVEEDORES[[#This Row],[PLAZO Días]],0)</f>
        <v>0</v>
      </c>
      <c r="U1522" s="104" t="str">
        <f>+VLOOKUP(PROVEEDORES[[#This Row],[PROVEEDOR]],Terceros!$A:$D,4,FALSE)</f>
        <v>2,5% con base</v>
      </c>
      <c r="V1522" s="105">
        <f>+YEAR(PROVEEDORES[[#This Row],[FECHA DE FACTURACIÓN]])</f>
        <v>2023</v>
      </c>
      <c r="W1522" s="105">
        <f>+MATCH(PROVEEDORES[[#This Row],[año facturado]],Retenciones!$1:$1,0)</f>
        <v>6</v>
      </c>
      <c r="X1522" s="106">
        <f>+VLOOKUP(PROVEEDORES[[#This Row],[ID RETENCION]],Retenciones!$A$1:$O$25,PROVEEDORES[[#This Row],[indicador de columna]],FALSE)</f>
        <v>1145000</v>
      </c>
      <c r="Y1522" s="107">
        <f>+VLOOKUP(PROVEEDORES[[#This Row],[ID RETENCION]],Retenciones!$A$1:$O$25,2,FALSE)</f>
        <v>2.5000000000000001E-2</v>
      </c>
      <c r="Z1522" s="116" t="b">
        <f>OR(COUNTIF(PROVEEDORES[[#This Row],[PROVEEDOR]],"*"&amp;'Palabra no opera'!$A$2&amp;"*"))</f>
        <v>0</v>
      </c>
    </row>
    <row r="1523" spans="1:26" ht="22.35" customHeight="1" x14ac:dyDescent="0.3">
      <c r="A1523" s="67" t="str">
        <f>+IF(PROVEEDORES[[#This Row],[FECHA DE PAGO]]=PROVEEDORES[[#This Row],[FECHA DE FACTURACIÓN]],"DE CONTADO","CRÉDITO")</f>
        <v>CRÉDITO</v>
      </c>
      <c r="B1523" s="38" t="str">
        <f>+IF((PROVEEDORES[[#This Row],[FECHA DE PAGO]]-PROVEEDORES[[#This Row],[FECHA DE FACTURACIÓN]])&gt;PROVEEDORES[[#This Row],[PLAZO Días]],"PAGO VENCIDO")</f>
        <v>PAGO VENCIDO</v>
      </c>
      <c r="C1523" s="20">
        <f>+VLOOKUP(PROVEEDORES[[#This Row],[PROVEEDOR]],TERCEROS_INFO[#All],2,FALSE)</f>
        <v>30</v>
      </c>
      <c r="D1523" s="25">
        <f>+SUMIFS(PROVEEDORES[Total],PROVEEDORES[PROVEEDOR],PROVEEDORES[[#This Row],[PROVEEDOR]],PROVEEDORES[FECHA DE PAGO],"")</f>
        <v>18444236.894999996</v>
      </c>
      <c r="E1523" s="25"/>
      <c r="F152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23" s="68">
        <v>45064</v>
      </c>
      <c r="H1523" s="26" t="s">
        <v>11</v>
      </c>
      <c r="I1523" s="68">
        <v>45029</v>
      </c>
      <c r="J1523" s="35" t="s">
        <v>1610</v>
      </c>
      <c r="K1523" s="21">
        <v>2803032</v>
      </c>
      <c r="L1523" s="21"/>
      <c r="M1523" s="22">
        <f>(PROVEEDORES[[#This Row],[SUBTOTAL]]-PROVEEDORES[[#This Row],[descuento sobre subtotal]])*VLOOKUP(PROVEEDORES[[#This Row],[PROVEEDOR]],TERCEROS_INFO[#All],3,FALSE)</f>
        <v>532576.07999999996</v>
      </c>
      <c r="N1523" s="23"/>
      <c r="O1523" s="22">
        <f>+PROVEEDORES[[#This Row],[Descuento sobre subtotal %]]*(PROVEEDORES[[#This Row],[SUBTOTAL]]-PROVEEDORES[[#This Row],[descuento sobre subtotal]])</f>
        <v>0</v>
      </c>
      <c r="P1523" s="74">
        <f>+IF(PROVEEDORES[[#This Row],[SUBTOTAL]]&lt;PROVEEDORES[[#This Row],[base retencion]],0,PROVEEDORES[[#This Row],[retención aplicada]])</f>
        <v>2.5000000000000001E-2</v>
      </c>
      <c r="Q1523" s="22">
        <f>+PROVEEDORES[[#This Row],[Rete Fuente %]]*(PROVEEDORES[[#This Row],[SUBTOTAL]]-PROVEEDORES[[#This Row],[descuento sobre subtotal]])</f>
        <v>70075.8</v>
      </c>
      <c r="R1523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52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3" s="63">
        <f ca="1">IF(PROVEEDORES[[#This Row],[FECHA DE PAGO]]=0,TODAY()-PROVEEDORES[[#This Row],[FECHA DE FACTURACIÓN]]-PROVEEDORES[[#This Row],[PLAZO Días]],0)</f>
        <v>0</v>
      </c>
      <c r="U1523" s="104" t="str">
        <f>+VLOOKUP(PROVEEDORES[[#This Row],[PROVEEDOR]],Terceros!$A:$D,4,FALSE)</f>
        <v>2,5% con base</v>
      </c>
      <c r="V1523" s="105">
        <f>+YEAR(PROVEEDORES[[#This Row],[FECHA DE FACTURACIÓN]])</f>
        <v>2023</v>
      </c>
      <c r="W1523" s="105">
        <f>+MATCH(PROVEEDORES[[#This Row],[año facturado]],Retenciones!$1:$1,0)</f>
        <v>6</v>
      </c>
      <c r="X1523" s="106">
        <f>+VLOOKUP(PROVEEDORES[[#This Row],[ID RETENCION]],Retenciones!$A$1:$O$25,PROVEEDORES[[#This Row],[indicador de columna]],FALSE)</f>
        <v>1145000</v>
      </c>
      <c r="Y1523" s="107">
        <f>+VLOOKUP(PROVEEDORES[[#This Row],[ID RETENCION]],Retenciones!$A$1:$O$25,2,FALSE)</f>
        <v>2.5000000000000001E-2</v>
      </c>
      <c r="Z1523" s="116" t="b">
        <f>OR(COUNTIF(PROVEEDORES[[#This Row],[PROVEEDOR]],"*"&amp;'Palabra no opera'!$A$2&amp;"*"))</f>
        <v>0</v>
      </c>
    </row>
    <row r="1524" spans="1:26" ht="22.35" customHeight="1" x14ac:dyDescent="0.3">
      <c r="A1524" s="316" t="str">
        <f>+IF(PROVEEDORES[[#This Row],[FECHA DE PAGO]]=PROVEEDORES[[#This Row],[FECHA DE FACTURACIÓN]],"DE CONTADO","CRÉDITO")</f>
        <v>CRÉDITO</v>
      </c>
      <c r="B1524" s="38" t="b">
        <f>+IF((PROVEEDORES[[#This Row],[FECHA DE PAGO]]-PROVEEDORES[[#This Row],[FECHA DE FACTURACIÓN]])&gt;PROVEEDORES[[#This Row],[PLAZO Días]],"PAGO VENCIDO")</f>
        <v>0</v>
      </c>
      <c r="C1524" s="20">
        <f>+VLOOKUP(PROVEEDORES[[#This Row],[PROVEEDOR]],TERCEROS_INFO[#All],2,FALSE)</f>
        <v>30</v>
      </c>
      <c r="D1524" s="25">
        <f>+SUMIFS(PROVEEDORES[Total],PROVEEDORES[PROVEEDOR],PROVEEDORES[[#This Row],[PROVEEDOR]],PROVEEDORES[FECHA DE PAGO],"")</f>
        <v>0</v>
      </c>
      <c r="E1524" s="25"/>
      <c r="F1524" s="56" t="str">
        <f>+VLOOKUP(PROVEEDORES[[#This Row],[PROVEEDOR]],
                       Terceros!$A:$F,
                       5,
                       FALSE)</f>
        <v/>
      </c>
      <c r="G1524" s="68">
        <v>45070</v>
      </c>
      <c r="H1524" s="26" t="s">
        <v>356</v>
      </c>
      <c r="I1524" s="68">
        <v>45069</v>
      </c>
      <c r="J1524" s="35" t="s">
        <v>1707</v>
      </c>
      <c r="K1524" s="21">
        <v>2566000</v>
      </c>
      <c r="L1524" s="21"/>
      <c r="M1524" s="22">
        <f>(PROVEEDORES[[#This Row],[SUBTOTAL]]-PROVEEDORES[[#This Row],[descuento sobre subtotal]])*VLOOKUP(PROVEEDORES[[#This Row],[PROVEEDOR]],TERCEROS_INFO[#All],3,FALSE)</f>
        <v>0</v>
      </c>
      <c r="N1524" s="23"/>
      <c r="O1524" s="22">
        <f>+PROVEEDORES[[#This Row],[Descuento sobre subtotal %]]*(PROVEEDORES[[#This Row],[SUBTOTAL]]-PROVEEDORES[[#This Row],[descuento sobre subtotal]])</f>
        <v>0</v>
      </c>
      <c r="P1524" s="74">
        <f>+IF(PROVEEDORES[[#This Row],[SUBTOTAL]]&lt;PROVEEDORES[[#This Row],[base retencion]],0,PROVEEDORES[[#This Row],[retención aplicada]])</f>
        <v>0</v>
      </c>
      <c r="Q1524" s="22">
        <f>+PROVEEDORES[[#This Row],[Rete Fuente %]]*(PROVEEDORES[[#This Row],[SUBTOTAL]]-PROVEEDORES[[#This Row],[descuento sobre subtotal]])</f>
        <v>0</v>
      </c>
      <c r="R1524" s="21">
        <f>+PROVEEDORES[[#This Row],[SUBTOTAL]]+PROVEEDORES[[#This Row],[IVA 19%]]-PROVEEDORES[[#This Row],[descuento sobre subtotal]]-PROVEEDORES[[#This Row],[Descuento sobre subtotal $2]]-PROVEEDORES[[#This Row],[Rete Fuente $]]</f>
        <v>2566000</v>
      </c>
      <c r="S1524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4" s="63">
        <f ca="1">IF(PROVEEDORES[[#This Row],[FECHA DE PAGO]]=0,TODAY()-PROVEEDORES[[#This Row],[FECHA DE FACTURACIÓN]]-PROVEEDORES[[#This Row],[PLAZO Días]],0)</f>
        <v>0</v>
      </c>
      <c r="U1524" s="104">
        <f>+VLOOKUP(PROVEEDORES[[#This Row],[PROVEEDOR]],Terceros!$A:$D,4,FALSE)</f>
        <v>0</v>
      </c>
      <c r="V1524" s="105">
        <f>+YEAR(PROVEEDORES[[#This Row],[FECHA DE FACTURACIÓN]])</f>
        <v>2023</v>
      </c>
      <c r="W1524" s="105">
        <f>+MATCH(PROVEEDORES[[#This Row],[año facturado]],Retenciones!$1:$1,0)</f>
        <v>6</v>
      </c>
      <c r="X1524" s="106">
        <f>+VLOOKUP(PROVEEDORES[[#This Row],[ID RETENCION]],Retenciones!$A$1:$O$25,PROVEEDORES[[#This Row],[indicador de columna]],FALSE)</f>
        <v>0</v>
      </c>
      <c r="Y1524" s="107">
        <f>+VLOOKUP(PROVEEDORES[[#This Row],[ID RETENCION]],Retenciones!$A$1:$O$25,2,FALSE)</f>
        <v>0</v>
      </c>
      <c r="Z1524" s="116" t="b">
        <f>OR(COUNTIF(PROVEEDORES[[#This Row],[PROVEEDOR]],"*"&amp;'Palabra no opera'!$A$2&amp;"*"))</f>
        <v>0</v>
      </c>
    </row>
    <row r="1525" spans="1:26" ht="22.35" customHeight="1" x14ac:dyDescent="0.3">
      <c r="A1525" s="316" t="str">
        <f>+IF(PROVEEDORES[[#This Row],[FECHA DE PAGO]]=PROVEEDORES[[#This Row],[FECHA DE FACTURACIÓN]],"DE CONTADO","CRÉDITO")</f>
        <v>DE CONTADO</v>
      </c>
      <c r="B1525" s="38" t="b">
        <f>+IF((PROVEEDORES[[#This Row],[FECHA DE PAGO]]-PROVEEDORES[[#This Row],[FECHA DE FACTURACIÓN]])&gt;PROVEEDORES[[#This Row],[PLAZO Días]],"PAGO VENCIDO")</f>
        <v>0</v>
      </c>
      <c r="C1525" s="20">
        <f>+VLOOKUP(PROVEEDORES[[#This Row],[PROVEEDOR]],TERCEROS_INFO[#All],2,FALSE)</f>
        <v>30</v>
      </c>
      <c r="D1525" s="25">
        <f>+SUMIFS(PROVEEDORES[Total],PROVEEDORES[PROVEEDOR],PROVEEDORES[[#This Row],[PROVEEDOR]],PROVEEDORES[FECHA DE PAGO],"")</f>
        <v>0</v>
      </c>
      <c r="E1525" s="25"/>
      <c r="F1525" s="56" t="str">
        <f>+VLOOKUP(PROVEEDORES[[#This Row],[PROVEEDOR]],
                       Terceros!$A:$F,
                       5,
                       FALSE)</f>
        <v/>
      </c>
      <c r="G1525" s="68">
        <v>45070</v>
      </c>
      <c r="H1525" s="26" t="s">
        <v>1401</v>
      </c>
      <c r="I1525" s="68">
        <v>45070</v>
      </c>
      <c r="J1525" s="35" t="s">
        <v>1704</v>
      </c>
      <c r="K1525" s="21">
        <v>432000</v>
      </c>
      <c r="L1525" s="21"/>
      <c r="M1525" s="22">
        <f>(PROVEEDORES[[#This Row],[SUBTOTAL]]-PROVEEDORES[[#This Row],[descuento sobre subtotal]])*VLOOKUP(PROVEEDORES[[#This Row],[PROVEEDOR]],TERCEROS_INFO[#All],3,FALSE)</f>
        <v>0</v>
      </c>
      <c r="N1525" s="23"/>
      <c r="O1525" s="22">
        <f>+PROVEEDORES[[#This Row],[Descuento sobre subtotal %]]*(PROVEEDORES[[#This Row],[SUBTOTAL]]-PROVEEDORES[[#This Row],[descuento sobre subtotal]])</f>
        <v>0</v>
      </c>
      <c r="P1525" s="74">
        <f>+IF(PROVEEDORES[[#This Row],[SUBTOTAL]]&lt;PROVEEDORES[[#This Row],[base retencion]],0,PROVEEDORES[[#This Row],[retención aplicada]])</f>
        <v>0</v>
      </c>
      <c r="Q1525" s="22">
        <f>+PROVEEDORES[[#This Row],[Rete Fuente %]]*(PROVEEDORES[[#This Row],[SUBTOTAL]]-PROVEEDORES[[#This Row],[descuento sobre subtotal]])</f>
        <v>0</v>
      </c>
      <c r="R1525" s="21">
        <f>+PROVEEDORES[[#This Row],[SUBTOTAL]]+PROVEEDORES[[#This Row],[IVA 19%]]-PROVEEDORES[[#This Row],[descuento sobre subtotal]]-PROVEEDORES[[#This Row],[Descuento sobre subtotal $2]]-PROVEEDORES[[#This Row],[Rete Fuente $]]</f>
        <v>432000</v>
      </c>
      <c r="S1525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5" s="63">
        <f ca="1">IF(PROVEEDORES[[#This Row],[FECHA DE PAGO]]=0,TODAY()-PROVEEDORES[[#This Row],[FECHA DE FACTURACIÓN]]-PROVEEDORES[[#This Row],[PLAZO Días]],0)</f>
        <v>0</v>
      </c>
      <c r="U1525" s="104">
        <f>+VLOOKUP(PROVEEDORES[[#This Row],[PROVEEDOR]],Terceros!$A:$D,4,FALSE)</f>
        <v>0</v>
      </c>
      <c r="V1525" s="105">
        <f>+YEAR(PROVEEDORES[[#This Row],[FECHA DE FACTURACIÓN]])</f>
        <v>2023</v>
      </c>
      <c r="W1525" s="105">
        <f>+MATCH(PROVEEDORES[[#This Row],[año facturado]],Retenciones!$1:$1,0)</f>
        <v>6</v>
      </c>
      <c r="X1525" s="106">
        <f>+VLOOKUP(PROVEEDORES[[#This Row],[ID RETENCION]],Retenciones!$A$1:$O$25,PROVEEDORES[[#This Row],[indicador de columna]],FALSE)</f>
        <v>0</v>
      </c>
      <c r="Y1525" s="107">
        <f>+VLOOKUP(PROVEEDORES[[#This Row],[ID RETENCION]],Retenciones!$A$1:$O$25,2,FALSE)</f>
        <v>0</v>
      </c>
      <c r="Z1525" s="116" t="b">
        <f>OR(COUNTIF(PROVEEDORES[[#This Row],[PROVEEDOR]],"*"&amp;'Palabra no opera'!$A$2&amp;"*"))</f>
        <v>0</v>
      </c>
    </row>
    <row r="1526" spans="1:26" ht="22.35" customHeight="1" x14ac:dyDescent="0.3">
      <c r="A1526" s="67" t="str">
        <f>+IF(PROVEEDORES[[#This Row],[FECHA DE PAGO]]=PROVEEDORES[[#This Row],[FECHA DE FACTURACIÓN]],"DE CONTADO","CRÉDITO")</f>
        <v>DE CONTADO</v>
      </c>
      <c r="B1526" s="38" t="b">
        <f>+IF((PROVEEDORES[[#This Row],[FECHA DE PAGO]]-PROVEEDORES[[#This Row],[FECHA DE FACTURACIÓN]])&gt;PROVEEDORES[[#This Row],[PLAZO Días]],"PAGO VENCIDO")</f>
        <v>0</v>
      </c>
      <c r="C1526" s="20">
        <f>+VLOOKUP(PROVEEDORES[[#This Row],[PROVEEDOR]],TERCEROS_INFO[#All],2,FALSE)</f>
        <v>30</v>
      </c>
      <c r="D1526" s="25">
        <f>+SUMIFS(PROVEEDORES[Total],PROVEEDORES[PROVEEDOR],PROVEEDORES[[#This Row],[PROVEEDOR]],PROVEEDORES[FECHA DE PAGO],"")</f>
        <v>0</v>
      </c>
      <c r="E1526" s="25"/>
      <c r="F1526" s="56" t="str">
        <f>+VLOOKUP(PROVEEDORES[[#This Row],[PROVEEDOR]],
                       Terceros!$A:$F,
                       5,
                       FALSE)</f>
        <v/>
      </c>
      <c r="G1526" s="68">
        <v>45070</v>
      </c>
      <c r="H1526" s="26" t="s">
        <v>37</v>
      </c>
      <c r="I1526" s="68">
        <v>45070</v>
      </c>
      <c r="J1526" s="35" t="s">
        <v>1700</v>
      </c>
      <c r="K1526" s="21">
        <v>1547900</v>
      </c>
      <c r="L1526" s="21">
        <v>46437</v>
      </c>
      <c r="M1526" s="22">
        <f>(PROVEEDORES[[#This Row],[SUBTOTAL]]-PROVEEDORES[[#This Row],[descuento sobre subtotal]])*VLOOKUP(PROVEEDORES[[#This Row],[PROVEEDOR]],TERCEROS_INFO[#All],3,FALSE)</f>
        <v>285277.97000000003</v>
      </c>
      <c r="N1526" s="23"/>
      <c r="O1526" s="22">
        <f>+PROVEEDORES[[#This Row],[Descuento sobre subtotal %]]*(PROVEEDORES[[#This Row],[SUBTOTAL]]-PROVEEDORES[[#This Row],[descuento sobre subtotal]])</f>
        <v>0</v>
      </c>
      <c r="P1526" s="74">
        <f>+IF(PROVEEDORES[[#This Row],[SUBTOTAL]]&lt;PROVEEDORES[[#This Row],[base retencion]],0,PROVEEDORES[[#This Row],[retención aplicada]])</f>
        <v>2.5000000000000001E-2</v>
      </c>
      <c r="Q1526" s="22">
        <f>+PROVEEDORES[[#This Row],[Rete Fuente %]]*(PROVEEDORES[[#This Row],[SUBTOTAL]]-PROVEEDORES[[#This Row],[descuento sobre subtotal]])</f>
        <v>37536.575000000004</v>
      </c>
      <c r="R1526" s="21">
        <f>+PROVEEDORES[[#This Row],[SUBTOTAL]]+PROVEEDORES[[#This Row],[IVA 19%]]-PROVEEDORES[[#This Row],[descuento sobre subtotal]]-PROVEEDORES[[#This Row],[Descuento sobre subtotal $2]]-PROVEEDORES[[#This Row],[Rete Fuente $]]</f>
        <v>1749204.395</v>
      </c>
      <c r="S152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6" s="63">
        <f ca="1">IF(PROVEEDORES[[#This Row],[FECHA DE PAGO]]=0,TODAY()-PROVEEDORES[[#This Row],[FECHA DE FACTURACIÓN]]-PROVEEDORES[[#This Row],[PLAZO Días]],0)</f>
        <v>0</v>
      </c>
      <c r="U1526" s="104" t="str">
        <f>+VLOOKUP(PROVEEDORES[[#This Row],[PROVEEDOR]],Terceros!$A:$D,4,FALSE)</f>
        <v>2,5% con base</v>
      </c>
      <c r="V1526" s="105">
        <f>+YEAR(PROVEEDORES[[#This Row],[FECHA DE FACTURACIÓN]])</f>
        <v>2023</v>
      </c>
      <c r="W1526" s="105">
        <f>+MATCH(PROVEEDORES[[#This Row],[año facturado]],Retenciones!$1:$1,0)</f>
        <v>6</v>
      </c>
      <c r="X1526" s="106">
        <f>+VLOOKUP(PROVEEDORES[[#This Row],[ID RETENCION]],Retenciones!$A$1:$O$25,PROVEEDORES[[#This Row],[indicador de columna]],FALSE)</f>
        <v>1145000</v>
      </c>
      <c r="Y1526" s="107">
        <f>+VLOOKUP(PROVEEDORES[[#This Row],[ID RETENCION]],Retenciones!$A$1:$O$25,2,FALSE)</f>
        <v>2.5000000000000001E-2</v>
      </c>
      <c r="Z1526" s="116" t="b">
        <f>OR(COUNTIF(PROVEEDORES[[#This Row],[PROVEEDOR]],"*"&amp;'Palabra no opera'!$A$2&amp;"*"))</f>
        <v>0</v>
      </c>
    </row>
    <row r="1527" spans="1:26" ht="22.35" customHeight="1" x14ac:dyDescent="0.3">
      <c r="A1527" s="67" t="str">
        <f>+IF(PROVEEDORES[[#This Row],[FECHA DE PAGO]]=PROVEEDORES[[#This Row],[FECHA DE FACTURACIÓN]],"DE CONTADO","CRÉDITO")</f>
        <v>CRÉDITO</v>
      </c>
      <c r="B1527" s="38" t="str">
        <f>+IF((PROVEEDORES[[#This Row],[FECHA DE PAGO]]-PROVEEDORES[[#This Row],[FECHA DE FACTURACIÓN]])&gt;PROVEEDORES[[#This Row],[PLAZO Días]],"PAGO VENCIDO")</f>
        <v>PAGO VENCIDO</v>
      </c>
      <c r="C1527" s="20">
        <f>+VLOOKUP(PROVEEDORES[[#This Row],[PROVEEDOR]],TERCEROS_INFO[#All],2,FALSE)</f>
        <v>30</v>
      </c>
      <c r="D1527" s="25">
        <f>+SUMIFS(PROVEEDORES[Total],PROVEEDORES[PROVEEDOR],PROVEEDORES[[#This Row],[PROVEEDOR]],PROVEEDORES[FECHA DE PAGO],"")</f>
        <v>121187115</v>
      </c>
      <c r="E1527" s="25"/>
      <c r="F1527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527" s="68">
        <v>45071</v>
      </c>
      <c r="H1527" s="26" t="s">
        <v>31</v>
      </c>
      <c r="I1527" s="68">
        <v>45002</v>
      </c>
      <c r="J1527" s="35">
        <v>58569</v>
      </c>
      <c r="K1527" s="21">
        <f>54492080.8-4493927</f>
        <v>49998153.799999997</v>
      </c>
      <c r="L1527" s="21"/>
      <c r="M1527" s="22">
        <f>(PROVEEDORES[[#This Row],[SUBTOTAL]]-PROVEEDORES[[#This Row],[descuento sobre subtotal]])*VLOOKUP(PROVEEDORES[[#This Row],[PROVEEDOR]],TERCEROS_INFO[#All],3,FALSE)</f>
        <v>0</v>
      </c>
      <c r="N1527" s="23"/>
      <c r="O1527" s="22">
        <f>+PROVEEDORES[[#This Row],[Descuento sobre subtotal %]]*(PROVEEDORES[[#This Row],[SUBTOTAL]]-PROVEEDORES[[#This Row],[descuento sobre subtotal]])</f>
        <v>0</v>
      </c>
      <c r="P1527" s="74">
        <f>+IF(PROVEEDORES[[#This Row],[SUBTOTAL]]&lt;PROVEEDORES[[#This Row],[base retencion]],0,PROVEEDORES[[#This Row],[retención aplicada]])</f>
        <v>0</v>
      </c>
      <c r="Q1527" s="22">
        <f>+PROVEEDORES[[#This Row],[Rete Fuente %]]*(PROVEEDORES[[#This Row],[SUBTOTAL]]-PROVEEDORES[[#This Row],[descuento sobre subtotal]])</f>
        <v>0</v>
      </c>
      <c r="R1527" s="21">
        <f>+PROVEEDORES[[#This Row],[SUBTOTAL]]+PROVEEDORES[[#This Row],[IVA 19%]]-PROVEEDORES[[#This Row],[descuento sobre subtotal]]-PROVEEDORES[[#This Row],[Descuento sobre subtotal $2]]-PROVEEDORES[[#This Row],[Rete Fuente $]]</f>
        <v>49998153.799999997</v>
      </c>
      <c r="S152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7" s="63">
        <f ca="1">IF(PROVEEDORES[[#This Row],[FECHA DE PAGO]]=0,TODAY()-PROVEEDORES[[#This Row],[FECHA DE FACTURACIÓN]]-PROVEEDORES[[#This Row],[PLAZO Días]],0)</f>
        <v>0</v>
      </c>
      <c r="U1527" s="104">
        <f>+VLOOKUP(PROVEEDORES[[#This Row],[PROVEEDOR]],Terceros!$A:$D,4,FALSE)</f>
        <v>0</v>
      </c>
      <c r="V1527" s="105">
        <f>+YEAR(PROVEEDORES[[#This Row],[FECHA DE FACTURACIÓN]])</f>
        <v>2023</v>
      </c>
      <c r="W1527" s="105">
        <f>+MATCH(PROVEEDORES[[#This Row],[año facturado]],Retenciones!$1:$1,0)</f>
        <v>6</v>
      </c>
      <c r="X1527" s="106">
        <f>+VLOOKUP(PROVEEDORES[[#This Row],[ID RETENCION]],Retenciones!$A$1:$O$25,PROVEEDORES[[#This Row],[indicador de columna]],FALSE)</f>
        <v>0</v>
      </c>
      <c r="Y1527" s="107">
        <f>+VLOOKUP(PROVEEDORES[[#This Row],[ID RETENCION]],Retenciones!$A$1:$O$25,2,FALSE)</f>
        <v>0</v>
      </c>
      <c r="Z1527" s="116" t="b">
        <f>OR(COUNTIF(PROVEEDORES[[#This Row],[PROVEEDOR]],"*"&amp;'Palabra no opera'!$A$2&amp;"*"))</f>
        <v>0</v>
      </c>
    </row>
    <row r="1528" spans="1:26" ht="22.35" customHeight="1" x14ac:dyDescent="0.3">
      <c r="A1528" s="67" t="str">
        <f>+IF(PROVEEDORES[[#This Row],[FECHA DE PAGO]]=PROVEEDORES[[#This Row],[FECHA DE FACTURACIÓN]],"DE CONTADO","CRÉDITO")</f>
        <v>CRÉDITO</v>
      </c>
      <c r="B1528" s="38" t="str">
        <f>+IF((PROVEEDORES[[#This Row],[FECHA DE PAGO]]-PROVEEDORES[[#This Row],[FECHA DE FACTURACIÓN]])&gt;PROVEEDORES[[#This Row],[PLAZO Días]],"PAGO VENCIDO")</f>
        <v>PAGO VENCIDO</v>
      </c>
      <c r="C1528" s="20">
        <f>+VLOOKUP(PROVEEDORES[[#This Row],[PROVEEDOR]],TERCEROS_INFO[#All],2,FALSE)</f>
        <v>30</v>
      </c>
      <c r="D1528" s="25">
        <f>+SUMIFS(PROVEEDORES[Total],PROVEEDORES[PROVEEDOR],PROVEEDORES[[#This Row],[PROVEEDOR]],PROVEEDORES[FECHA DE PAGO],"")</f>
        <v>0</v>
      </c>
      <c r="E1528" s="25"/>
      <c r="F1528" s="56" t="str">
        <f>+VLOOKUP(PROVEEDORES[[#This Row],[PROVEEDOR]],
                       Terceros!$A:$F,
                       5,
                       FALSE)</f>
        <v/>
      </c>
      <c r="G1528" s="68">
        <v>45075</v>
      </c>
      <c r="H1528" s="26" t="s">
        <v>518</v>
      </c>
      <c r="I1528" s="68">
        <v>45021</v>
      </c>
      <c r="J1528" s="35" t="s">
        <v>1619</v>
      </c>
      <c r="K1528" s="21">
        <v>306000</v>
      </c>
      <c r="L1528" s="21"/>
      <c r="M1528" s="22">
        <f>(PROVEEDORES[[#This Row],[SUBTOTAL]]-PROVEEDORES[[#This Row],[descuento sobre subtotal]])*VLOOKUP(PROVEEDORES[[#This Row],[PROVEEDOR]],TERCEROS_INFO[#All],3,FALSE)</f>
        <v>0</v>
      </c>
      <c r="N1528" s="23"/>
      <c r="O1528" s="22">
        <f>+PROVEEDORES[[#This Row],[Descuento sobre subtotal %]]*(PROVEEDORES[[#This Row],[SUBTOTAL]]-PROVEEDORES[[#This Row],[descuento sobre subtotal]])</f>
        <v>0</v>
      </c>
      <c r="P1528" s="74">
        <f>+IF(PROVEEDORES[[#This Row],[SUBTOTAL]]&lt;PROVEEDORES[[#This Row],[base retencion]],0,PROVEEDORES[[#This Row],[retención aplicada]])</f>
        <v>0</v>
      </c>
      <c r="Q1528" s="22">
        <f>+PROVEEDORES[[#This Row],[Rete Fuente %]]*(PROVEEDORES[[#This Row],[SUBTOTAL]]-PROVEEDORES[[#This Row],[descuento sobre subtotal]])</f>
        <v>0</v>
      </c>
      <c r="R1528" s="21">
        <f>+PROVEEDORES[[#This Row],[SUBTOTAL]]+PROVEEDORES[[#This Row],[IVA 19%]]-PROVEEDORES[[#This Row],[descuento sobre subtotal]]-PROVEEDORES[[#This Row],[Descuento sobre subtotal $2]]-PROVEEDORES[[#This Row],[Rete Fuente $]]</f>
        <v>306000</v>
      </c>
      <c r="S152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8" s="63">
        <f ca="1">IF(PROVEEDORES[[#This Row],[FECHA DE PAGO]]=0,TODAY()-PROVEEDORES[[#This Row],[FECHA DE FACTURACIÓN]]-PROVEEDORES[[#This Row],[PLAZO Días]],0)</f>
        <v>0</v>
      </c>
      <c r="U1528" s="104">
        <f>+VLOOKUP(PROVEEDORES[[#This Row],[PROVEEDOR]],Terceros!$A:$D,4,FALSE)</f>
        <v>0</v>
      </c>
      <c r="V1528" s="105">
        <f>+YEAR(PROVEEDORES[[#This Row],[FECHA DE FACTURACIÓN]])</f>
        <v>2023</v>
      </c>
      <c r="W1528" s="105">
        <f>+MATCH(PROVEEDORES[[#This Row],[año facturado]],Retenciones!$1:$1,0)</f>
        <v>6</v>
      </c>
      <c r="X1528" s="106">
        <f>+VLOOKUP(PROVEEDORES[[#This Row],[ID RETENCION]],Retenciones!$A$1:$O$25,PROVEEDORES[[#This Row],[indicador de columna]],FALSE)</f>
        <v>0</v>
      </c>
      <c r="Y1528" s="107">
        <f>+VLOOKUP(PROVEEDORES[[#This Row],[ID RETENCION]],Retenciones!$A$1:$O$25,2,FALSE)</f>
        <v>0</v>
      </c>
      <c r="Z1528" s="116" t="b">
        <f>OR(COUNTIF(PROVEEDORES[[#This Row],[PROVEEDOR]],"*"&amp;'Palabra no opera'!$A$2&amp;"*"))</f>
        <v>0</v>
      </c>
    </row>
    <row r="1529" spans="1:26" ht="22.35" customHeight="1" x14ac:dyDescent="0.3">
      <c r="A1529" s="310" t="str">
        <f>+IF(PROVEEDORES[[#This Row],[FECHA DE PAGO]]=PROVEEDORES[[#This Row],[FECHA DE FACTURACIÓN]],"DE CONTADO","CRÉDITO")</f>
        <v>CRÉDITO</v>
      </c>
      <c r="B1529" s="38" t="str">
        <f>+IF((PROVEEDORES[[#This Row],[FECHA DE PAGO]]-PROVEEDORES[[#This Row],[FECHA DE FACTURACIÓN]])&gt;PROVEEDORES[[#This Row],[PLAZO Días]],"PAGO VENCIDO")</f>
        <v>PAGO VENCIDO</v>
      </c>
      <c r="C1529" s="20">
        <f>+VLOOKUP(PROVEEDORES[[#This Row],[PROVEEDOR]],TERCEROS_INFO[#All],2,FALSE)</f>
        <v>30</v>
      </c>
      <c r="D1529" s="25">
        <f>+SUMIFS(PROVEEDORES[Total],PROVEEDORES[PROVEEDOR],PROVEEDORES[[#This Row],[PROVEEDOR]],PROVEEDORES[FECHA DE PAGO],"")</f>
        <v>0</v>
      </c>
      <c r="E1529" s="25"/>
      <c r="F1529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29" s="68">
        <v>45075</v>
      </c>
      <c r="H1529" s="26" t="s">
        <v>964</v>
      </c>
      <c r="I1529" s="68">
        <v>45035</v>
      </c>
      <c r="J1529" s="35" t="s">
        <v>1636</v>
      </c>
      <c r="K1529" s="21">
        <v>5040000</v>
      </c>
      <c r="L1529" s="21"/>
      <c r="M1529" s="22">
        <f>(PROVEEDORES[[#This Row],[SUBTOTAL]]-PROVEEDORES[[#This Row],[descuento sobre subtotal]])*VLOOKUP(PROVEEDORES[[#This Row],[PROVEEDOR]],TERCEROS_INFO[#All],3,FALSE)</f>
        <v>957600</v>
      </c>
      <c r="N1529" s="23"/>
      <c r="O1529" s="22">
        <f>+PROVEEDORES[[#This Row],[Descuento sobre subtotal %]]*(PROVEEDORES[[#This Row],[SUBTOTAL]]-PROVEEDORES[[#This Row],[descuento sobre subtotal]])</f>
        <v>0</v>
      </c>
      <c r="P1529" s="74">
        <f>+IF(PROVEEDORES[[#This Row],[SUBTOTAL]]&lt;PROVEEDORES[[#This Row],[base retencion]],0,PROVEEDORES[[#This Row],[retención aplicada]])</f>
        <v>0</v>
      </c>
      <c r="Q1529" s="22">
        <f>+PROVEEDORES[[#This Row],[Rete Fuente %]]*(PROVEEDORES[[#This Row],[SUBTOTAL]]-PROVEEDORES[[#This Row],[descuento sobre subtotal]])</f>
        <v>0</v>
      </c>
      <c r="R1529" s="21">
        <f>+PROVEEDORES[[#This Row],[SUBTOTAL]]+PROVEEDORES[[#This Row],[IVA 19%]]-PROVEEDORES[[#This Row],[descuento sobre subtotal]]-PROVEEDORES[[#This Row],[Descuento sobre subtotal $2]]-PROVEEDORES[[#This Row],[Rete Fuente $]]</f>
        <v>5997600</v>
      </c>
      <c r="S1529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9" s="63">
        <f ca="1">IF(PROVEEDORES[[#This Row],[FECHA DE PAGO]]=0,TODAY()-PROVEEDORES[[#This Row],[FECHA DE FACTURACIÓN]]-PROVEEDORES[[#This Row],[PLAZO Días]],0)</f>
        <v>0</v>
      </c>
      <c r="U1529" s="104">
        <f>+VLOOKUP(PROVEEDORES[[#This Row],[PROVEEDOR]],Terceros!$A:$D,4,FALSE)</f>
        <v>0</v>
      </c>
      <c r="V1529" s="105">
        <f>+YEAR(PROVEEDORES[[#This Row],[FECHA DE FACTURACIÓN]])</f>
        <v>2023</v>
      </c>
      <c r="W1529" s="105">
        <f>+MATCH(PROVEEDORES[[#This Row],[año facturado]],Retenciones!$1:$1,0)</f>
        <v>6</v>
      </c>
      <c r="X1529" s="106">
        <f>+VLOOKUP(PROVEEDORES[[#This Row],[ID RETENCION]],Retenciones!$A$1:$O$25,PROVEEDORES[[#This Row],[indicador de columna]],FALSE)</f>
        <v>0</v>
      </c>
      <c r="Y1529" s="107">
        <f>+VLOOKUP(PROVEEDORES[[#This Row],[ID RETENCION]],Retenciones!$A$1:$O$25,2,FALSE)</f>
        <v>0</v>
      </c>
      <c r="Z1529" s="116" t="b">
        <f>OR(COUNTIF(PROVEEDORES[[#This Row],[PROVEEDOR]],"*"&amp;'Palabra no opera'!$A$2&amp;"*"))</f>
        <v>0</v>
      </c>
    </row>
    <row r="1530" spans="1:26" ht="22.35" customHeight="1" x14ac:dyDescent="0.3">
      <c r="A1530" s="310" t="str">
        <f>+IF(PROVEEDORES[[#This Row],[FECHA DE PAGO]]=PROVEEDORES[[#This Row],[FECHA DE FACTURACIÓN]],"DE CONTADO","CRÉDITO")</f>
        <v>CRÉDITO</v>
      </c>
      <c r="B1530" s="38" t="str">
        <f>+IF((PROVEEDORES[[#This Row],[FECHA DE PAGO]]-PROVEEDORES[[#This Row],[FECHA DE FACTURACIÓN]])&gt;PROVEEDORES[[#This Row],[PLAZO Días]],"PAGO VENCIDO")</f>
        <v>PAGO VENCIDO</v>
      </c>
      <c r="C1530" s="20">
        <f>+VLOOKUP(PROVEEDORES[[#This Row],[PROVEEDOR]],TERCEROS_INFO[#All],2,FALSE)</f>
        <v>30</v>
      </c>
      <c r="D1530" s="25">
        <f>+SUMIFS(PROVEEDORES[Total],PROVEEDORES[PROVEEDOR],PROVEEDORES[[#This Row],[PROVEEDOR]],PROVEEDORES[FECHA DE PAGO],"")</f>
        <v>1316890.8900000001</v>
      </c>
      <c r="E1530" s="25"/>
      <c r="F153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30" s="68">
        <v>45075</v>
      </c>
      <c r="H1530" s="26" t="s">
        <v>17</v>
      </c>
      <c r="I1530" s="68">
        <v>45037</v>
      </c>
      <c r="J1530" s="35" t="s">
        <v>1637</v>
      </c>
      <c r="K1530" s="21">
        <v>586530</v>
      </c>
      <c r="L1530" s="21"/>
      <c r="M1530" s="22">
        <f>(PROVEEDORES[[#This Row],[SUBTOTAL]]-PROVEEDORES[[#This Row],[descuento sobre subtotal]])*VLOOKUP(PROVEEDORES[[#This Row],[PROVEEDOR]],TERCEROS_INFO[#All],3,FALSE)</f>
        <v>111440.7</v>
      </c>
      <c r="N1530" s="23"/>
      <c r="O1530" s="22">
        <f>+PROVEEDORES[[#This Row],[Descuento sobre subtotal %]]*(PROVEEDORES[[#This Row],[SUBTOTAL]]-PROVEEDORES[[#This Row],[descuento sobre subtotal]])</f>
        <v>0</v>
      </c>
      <c r="P1530" s="74">
        <f>+IF(PROVEEDORES[[#This Row],[SUBTOTAL]]&lt;PROVEEDORES[[#This Row],[base retencion]],0,PROVEEDORES[[#This Row],[retención aplicada]])</f>
        <v>0</v>
      </c>
      <c r="Q1530" s="22">
        <f>+PROVEEDORES[[#This Row],[Rete Fuente %]]*(PROVEEDORES[[#This Row],[SUBTOTAL]]-PROVEEDORES[[#This Row],[descuento sobre subtotal]])</f>
        <v>0</v>
      </c>
      <c r="R1530" s="21">
        <f>+PROVEEDORES[[#This Row],[SUBTOTAL]]+PROVEEDORES[[#This Row],[IVA 19%]]-PROVEEDORES[[#This Row],[descuento sobre subtotal]]-PROVEEDORES[[#This Row],[Descuento sobre subtotal $2]]-PROVEEDORES[[#This Row],[Rete Fuente $]]</f>
        <v>697970.7</v>
      </c>
      <c r="S1530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0" s="63">
        <f ca="1">IF(PROVEEDORES[[#This Row],[FECHA DE PAGO]]=0,TODAY()-PROVEEDORES[[#This Row],[FECHA DE FACTURACIÓN]]-PROVEEDORES[[#This Row],[PLAZO Días]],0)</f>
        <v>0</v>
      </c>
      <c r="U1530" s="104">
        <f>+VLOOKUP(PROVEEDORES[[#This Row],[PROVEEDOR]],Terceros!$A:$D,4,FALSE)</f>
        <v>0</v>
      </c>
      <c r="V1530" s="105">
        <f>+YEAR(PROVEEDORES[[#This Row],[FECHA DE FACTURACIÓN]])</f>
        <v>2023</v>
      </c>
      <c r="W1530" s="105">
        <f>+MATCH(PROVEEDORES[[#This Row],[año facturado]],Retenciones!$1:$1,0)</f>
        <v>6</v>
      </c>
      <c r="X1530" s="106">
        <f>+VLOOKUP(PROVEEDORES[[#This Row],[ID RETENCION]],Retenciones!$A$1:$O$25,PROVEEDORES[[#This Row],[indicador de columna]],FALSE)</f>
        <v>0</v>
      </c>
      <c r="Y1530" s="107">
        <f>+VLOOKUP(PROVEEDORES[[#This Row],[ID RETENCION]],Retenciones!$A$1:$O$25,2,FALSE)</f>
        <v>0</v>
      </c>
      <c r="Z1530" s="116" t="b">
        <f>OR(COUNTIF(PROVEEDORES[[#This Row],[PROVEEDOR]],"*"&amp;'Palabra no opera'!$A$2&amp;"*"))</f>
        <v>0</v>
      </c>
    </row>
    <row r="1531" spans="1:26" ht="22.35" customHeight="1" x14ac:dyDescent="0.3">
      <c r="A1531" s="67" t="str">
        <f>+IF(PROVEEDORES[[#This Row],[FECHA DE PAGO]]=PROVEEDORES[[#This Row],[FECHA DE FACTURACIÓN]],"DE CONTADO","CRÉDITO")</f>
        <v>DE CONTADO</v>
      </c>
      <c r="B1531" s="38" t="b">
        <f>+IF((PROVEEDORES[[#This Row],[FECHA DE PAGO]]-PROVEEDORES[[#This Row],[FECHA DE FACTURACIÓN]])&gt;PROVEEDORES[[#This Row],[PLAZO Días]],"PAGO VENCIDO")</f>
        <v>0</v>
      </c>
      <c r="C1531" s="20">
        <f>+VLOOKUP(PROVEEDORES[[#This Row],[PROVEEDOR]],TERCEROS_INFO[#All],2,FALSE)</f>
        <v>30</v>
      </c>
      <c r="D1531" s="25">
        <f>+SUMIFS(PROVEEDORES[Total],PROVEEDORES[PROVEEDOR],PROVEEDORES[[#This Row],[PROVEEDOR]],PROVEEDORES[FECHA DE PAGO],"")</f>
        <v>0</v>
      </c>
      <c r="E1531" s="25"/>
      <c r="F1531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531" s="68">
        <v>45075</v>
      </c>
      <c r="H1531" s="26" t="s">
        <v>635</v>
      </c>
      <c r="I1531" s="68">
        <v>45075</v>
      </c>
      <c r="J1531" s="35" t="s">
        <v>1701</v>
      </c>
      <c r="K1531" s="21">
        <v>3456200</v>
      </c>
      <c r="L1531" s="21"/>
      <c r="M1531" s="22">
        <f>(PROVEEDORES[[#This Row],[SUBTOTAL]]-PROVEEDORES[[#This Row],[descuento sobre subtotal]])*VLOOKUP(PROVEEDORES[[#This Row],[PROVEEDOR]],TERCEROS_INFO[#All],3,FALSE)</f>
        <v>0</v>
      </c>
      <c r="N1531" s="23"/>
      <c r="O1531" s="22">
        <f>+PROVEEDORES[[#This Row],[Descuento sobre subtotal %]]*(PROVEEDORES[[#This Row],[SUBTOTAL]]-PROVEEDORES[[#This Row],[descuento sobre subtotal]])</f>
        <v>0</v>
      </c>
      <c r="P1531" s="74">
        <f>+IF(PROVEEDORES[[#This Row],[SUBTOTAL]]&lt;PROVEEDORES[[#This Row],[base retencion]],0,PROVEEDORES[[#This Row],[retención aplicada]])</f>
        <v>3.5000000000000003E-2</v>
      </c>
      <c r="Q1531" s="22">
        <f>+PROVEEDORES[[#This Row],[Rete Fuente %]]*(PROVEEDORES[[#This Row],[SUBTOTAL]]-PROVEEDORES[[#This Row],[descuento sobre subtotal]])</f>
        <v>120967.00000000001</v>
      </c>
      <c r="R1531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15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1" s="63">
        <f ca="1">IF(PROVEEDORES[[#This Row],[FECHA DE PAGO]]=0,TODAY()-PROVEEDORES[[#This Row],[FECHA DE FACTURACIÓN]]-PROVEEDORES[[#This Row],[PLAZO Días]],0)</f>
        <v>0</v>
      </c>
      <c r="U1531" s="104" t="str">
        <f>+VLOOKUP(PROVEEDORES[[#This Row],[PROVEEDOR]],Terceros!$A:$D,4,FALSE)</f>
        <v>3,5% sin base</v>
      </c>
      <c r="V1531" s="105">
        <f>+YEAR(PROVEEDORES[[#This Row],[FECHA DE FACTURACIÓN]])</f>
        <v>2023</v>
      </c>
      <c r="W1531" s="105">
        <f>+MATCH(PROVEEDORES[[#This Row],[año facturado]],Retenciones!$1:$1,0)</f>
        <v>6</v>
      </c>
      <c r="X1531" s="106">
        <f>+VLOOKUP(PROVEEDORES[[#This Row],[ID RETENCION]],Retenciones!$A$1:$O$25,PROVEEDORES[[#This Row],[indicador de columna]],FALSE)</f>
        <v>0</v>
      </c>
      <c r="Y1531" s="107">
        <f>+VLOOKUP(PROVEEDORES[[#This Row],[ID RETENCION]],Retenciones!$A$1:$O$25,2,FALSE)</f>
        <v>3.5000000000000003E-2</v>
      </c>
      <c r="Z1531" s="116" t="b">
        <f>OR(COUNTIF(PROVEEDORES[[#This Row],[PROVEEDOR]],"*"&amp;'Palabra no opera'!$A$2&amp;"*"))</f>
        <v>1</v>
      </c>
    </row>
    <row r="1532" spans="1:26" ht="22.35" customHeight="1" x14ac:dyDescent="0.3">
      <c r="A1532" s="67" t="str">
        <f>+IF(PROVEEDORES[[#This Row],[FECHA DE PAGO]]=PROVEEDORES[[#This Row],[FECHA DE FACTURACIÓN]],"DE CONTADO","CRÉDITO")</f>
        <v>DE CONTADO</v>
      </c>
      <c r="B1532" s="38" t="b">
        <f>+IF((PROVEEDORES[[#This Row],[FECHA DE PAGO]]-PROVEEDORES[[#This Row],[FECHA DE FACTURACIÓN]])&gt;PROVEEDORES[[#This Row],[PLAZO Días]],"PAGO VENCIDO")</f>
        <v>0</v>
      </c>
      <c r="C1532" s="20">
        <f>+VLOOKUP(PROVEEDORES[[#This Row],[PROVEEDOR]],TERCEROS_INFO[#All],2,FALSE)</f>
        <v>30</v>
      </c>
      <c r="D1532" s="25">
        <f>+SUMIFS(PROVEEDORES[Total],PROVEEDORES[PROVEEDOR],PROVEEDORES[[#This Row],[PROVEEDOR]],PROVEEDORES[FECHA DE PAGO],"")</f>
        <v>0</v>
      </c>
      <c r="E1532" s="25"/>
      <c r="F153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532" s="68">
        <v>45075</v>
      </c>
      <c r="H1532" s="26" t="s">
        <v>248</v>
      </c>
      <c r="I1532" s="68">
        <v>45075</v>
      </c>
      <c r="J1532" s="35" t="s">
        <v>1702</v>
      </c>
      <c r="K1532" s="21">
        <v>396847</v>
      </c>
      <c r="L1532" s="21"/>
      <c r="M1532" s="22">
        <f>(PROVEEDORES[[#This Row],[SUBTOTAL]]-PROVEEDORES[[#This Row],[descuento sobre subtotal]])*VLOOKUP(PROVEEDORES[[#This Row],[PROVEEDOR]],TERCEROS_INFO[#All],3,FALSE)</f>
        <v>75400.930000000008</v>
      </c>
      <c r="N1532" s="23"/>
      <c r="O1532" s="22">
        <f>+PROVEEDORES[[#This Row],[Descuento sobre subtotal %]]*(PROVEEDORES[[#This Row],[SUBTOTAL]]-PROVEEDORES[[#This Row],[descuento sobre subtotal]])</f>
        <v>0</v>
      </c>
      <c r="P1532" s="74">
        <f>+IF(PROVEEDORES[[#This Row],[SUBTOTAL]]&lt;PROVEEDORES[[#This Row],[base retencion]],0,PROVEEDORES[[#This Row],[retención aplicada]])</f>
        <v>0</v>
      </c>
      <c r="Q1532" s="22">
        <f>+PROVEEDORES[[#This Row],[Rete Fuente %]]*(PROVEEDORES[[#This Row],[SUBTOTAL]]-PROVEEDORES[[#This Row],[descuento sobre subtotal]])</f>
        <v>0</v>
      </c>
      <c r="R1532" s="21">
        <f>+PROVEEDORES[[#This Row],[SUBTOTAL]]+PROVEEDORES[[#This Row],[IVA 19%]]-PROVEEDORES[[#This Row],[descuento sobre subtotal]]-PROVEEDORES[[#This Row],[Descuento sobre subtotal $2]]-PROVEEDORES[[#This Row],[Rete Fuente $]]</f>
        <v>472247.93</v>
      </c>
      <c r="S15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2" s="63">
        <f ca="1">IF(PROVEEDORES[[#This Row],[FECHA DE PAGO]]=0,TODAY()-PROVEEDORES[[#This Row],[FECHA DE FACTURACIÓN]]-PROVEEDORES[[#This Row],[PLAZO Días]],0)</f>
        <v>0</v>
      </c>
      <c r="U1532" s="104">
        <f>+VLOOKUP(PROVEEDORES[[#This Row],[PROVEEDOR]],Terceros!$A:$D,4,FALSE)</f>
        <v>0</v>
      </c>
      <c r="V1532" s="105">
        <f>+YEAR(PROVEEDORES[[#This Row],[FECHA DE FACTURACIÓN]])</f>
        <v>2023</v>
      </c>
      <c r="W1532" s="105">
        <f>+MATCH(PROVEEDORES[[#This Row],[año facturado]],Retenciones!$1:$1,0)</f>
        <v>6</v>
      </c>
      <c r="X1532" s="106">
        <f>+VLOOKUP(PROVEEDORES[[#This Row],[ID RETENCION]],Retenciones!$A$1:$O$25,PROVEEDORES[[#This Row],[indicador de columna]],FALSE)</f>
        <v>0</v>
      </c>
      <c r="Y1532" s="107">
        <f>+VLOOKUP(PROVEEDORES[[#This Row],[ID RETENCION]],Retenciones!$A$1:$O$25,2,FALSE)</f>
        <v>0</v>
      </c>
      <c r="Z1532" s="116" t="b">
        <f>OR(COUNTIF(PROVEEDORES[[#This Row],[PROVEEDOR]],"*"&amp;'Palabra no opera'!$A$2&amp;"*"))</f>
        <v>0</v>
      </c>
    </row>
    <row r="1533" spans="1:26" ht="22.35" customHeight="1" x14ac:dyDescent="0.3">
      <c r="A1533" s="312" t="str">
        <f>+IF(PROVEEDORES[[#This Row],[FECHA DE PAGO]]=PROVEEDORES[[#This Row],[FECHA DE FACTURACIÓN]],"DE CONTADO","CRÉDITO")</f>
        <v>CRÉDITO</v>
      </c>
      <c r="B1533" s="38" t="b">
        <f>+IF((PROVEEDORES[[#This Row],[FECHA DE PAGO]]-PROVEEDORES[[#This Row],[FECHA DE FACTURACIÓN]])&gt;PROVEEDORES[[#This Row],[PLAZO Días]],"PAGO VENCIDO")</f>
        <v>0</v>
      </c>
      <c r="C1533" s="20">
        <f>+VLOOKUP(PROVEEDORES[[#This Row],[PROVEEDOR]],TERCEROS_INFO[#All],2,FALSE)</f>
        <v>30</v>
      </c>
      <c r="D1533" s="25">
        <f>+SUMIFS(PROVEEDORES[Total],PROVEEDORES[PROVEEDOR],PROVEEDORES[[#This Row],[PROVEEDOR]],PROVEEDORES[FECHA DE PAGO],"")</f>
        <v>0</v>
      </c>
      <c r="E1533" s="25"/>
      <c r="F153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33" s="68">
        <v>45075</v>
      </c>
      <c r="H1533" s="26" t="s">
        <v>637</v>
      </c>
      <c r="I1533" s="68">
        <v>45047</v>
      </c>
      <c r="J1533" s="35" t="s">
        <v>1665</v>
      </c>
      <c r="K1533" s="21">
        <v>934499</v>
      </c>
      <c r="L1533" s="21"/>
      <c r="M1533" s="22">
        <f>(PROVEEDORES[[#This Row],[SUBTOTAL]]-PROVEEDORES[[#This Row],[descuento sobre subtotal]])*VLOOKUP(PROVEEDORES[[#This Row],[PROVEEDOR]],TERCEROS_INFO[#All],3,FALSE)</f>
        <v>0</v>
      </c>
      <c r="N1533" s="23"/>
      <c r="O1533" s="22">
        <f>+PROVEEDORES[[#This Row],[Descuento sobre subtotal %]]*(PROVEEDORES[[#This Row],[SUBTOTAL]]-PROVEEDORES[[#This Row],[descuento sobre subtotal]])</f>
        <v>0</v>
      </c>
      <c r="P1533" s="74">
        <f>+IF(PROVEEDORES[[#This Row],[SUBTOTAL]]&lt;PROVEEDORES[[#This Row],[base retencion]],0,PROVEEDORES[[#This Row],[retención aplicada]])</f>
        <v>0</v>
      </c>
      <c r="Q1533" s="22">
        <f>+PROVEEDORES[[#This Row],[Rete Fuente %]]*(PROVEEDORES[[#This Row],[SUBTOTAL]]-PROVEEDORES[[#This Row],[descuento sobre subtotal]])</f>
        <v>0</v>
      </c>
      <c r="R1533" s="21">
        <f>+PROVEEDORES[[#This Row],[SUBTOTAL]]+PROVEEDORES[[#This Row],[IVA 19%]]-PROVEEDORES[[#This Row],[descuento sobre subtotal]]-PROVEEDORES[[#This Row],[Descuento sobre subtotal $2]]-PROVEEDORES[[#This Row],[Rete Fuente $]]</f>
        <v>934499</v>
      </c>
      <c r="S1533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3" s="63">
        <f ca="1">IF(PROVEEDORES[[#This Row],[FECHA DE PAGO]]=0,TODAY()-PROVEEDORES[[#This Row],[FECHA DE FACTURACIÓN]]-PROVEEDORES[[#This Row],[PLAZO Días]],0)</f>
        <v>0</v>
      </c>
      <c r="U1533" s="104">
        <f>+VLOOKUP(PROVEEDORES[[#This Row],[PROVEEDOR]],Terceros!$A:$D,4,FALSE)</f>
        <v>0</v>
      </c>
      <c r="V1533" s="105">
        <f>+YEAR(PROVEEDORES[[#This Row],[FECHA DE FACTURACIÓN]])</f>
        <v>2023</v>
      </c>
      <c r="W1533" s="105">
        <f>+MATCH(PROVEEDORES[[#This Row],[año facturado]],Retenciones!$1:$1,0)</f>
        <v>6</v>
      </c>
      <c r="X1533" s="106">
        <f>+VLOOKUP(PROVEEDORES[[#This Row],[ID RETENCION]],Retenciones!$A$1:$O$25,PROVEEDORES[[#This Row],[indicador de columna]],FALSE)</f>
        <v>0</v>
      </c>
      <c r="Y1533" s="107">
        <f>+VLOOKUP(PROVEEDORES[[#This Row],[ID RETENCION]],Retenciones!$A$1:$O$25,2,FALSE)</f>
        <v>0</v>
      </c>
      <c r="Z1533" s="116" t="b">
        <f>OR(COUNTIF(PROVEEDORES[[#This Row],[PROVEEDOR]],"*"&amp;'Palabra no opera'!$A$2&amp;"*"))</f>
        <v>1</v>
      </c>
    </row>
    <row r="1534" spans="1:26" ht="22.35" customHeight="1" x14ac:dyDescent="0.3">
      <c r="A1534" s="312" t="str">
        <f>+IF(PROVEEDORES[[#This Row],[FECHA DE PAGO]]=PROVEEDORES[[#This Row],[FECHA DE FACTURACIÓN]],"DE CONTADO","CRÉDITO")</f>
        <v>CRÉDITO</v>
      </c>
      <c r="B1534" s="38" t="b">
        <f>+IF((PROVEEDORES[[#This Row],[FECHA DE PAGO]]-PROVEEDORES[[#This Row],[FECHA DE FACTURACIÓN]])&gt;PROVEEDORES[[#This Row],[PLAZO Días]],"PAGO VENCIDO")</f>
        <v>0</v>
      </c>
      <c r="C1534" s="20">
        <f>+VLOOKUP(PROVEEDORES[[#This Row],[PROVEEDOR]],TERCEROS_INFO[#All],2,FALSE)</f>
        <v>30</v>
      </c>
      <c r="D1534" s="25">
        <f>+SUMIFS(PROVEEDORES[Total],PROVEEDORES[PROVEEDOR],PROVEEDORES[[#This Row],[PROVEEDOR]],PROVEEDORES[FECHA DE PAGO],"")</f>
        <v>0</v>
      </c>
      <c r="E1534" s="25"/>
      <c r="F153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34" s="68">
        <v>45075</v>
      </c>
      <c r="H1534" s="26" t="s">
        <v>637</v>
      </c>
      <c r="I1534" s="68">
        <v>45047</v>
      </c>
      <c r="J1534" s="35" t="s">
        <v>1664</v>
      </c>
      <c r="K1534" s="21">
        <v>913261</v>
      </c>
      <c r="L1534" s="21"/>
      <c r="M1534" s="22">
        <f>(PROVEEDORES[[#This Row],[SUBTOTAL]]-PROVEEDORES[[#This Row],[descuento sobre subtotal]])*VLOOKUP(PROVEEDORES[[#This Row],[PROVEEDOR]],TERCEROS_INFO[#All],3,FALSE)</f>
        <v>0</v>
      </c>
      <c r="N1534" s="23"/>
      <c r="O1534" s="22">
        <f>+PROVEEDORES[[#This Row],[Descuento sobre subtotal %]]*(PROVEEDORES[[#This Row],[SUBTOTAL]]-PROVEEDORES[[#This Row],[descuento sobre subtotal]])</f>
        <v>0</v>
      </c>
      <c r="P1534" s="74">
        <f>+IF(PROVEEDORES[[#This Row],[SUBTOTAL]]&lt;PROVEEDORES[[#This Row],[base retencion]],0,PROVEEDORES[[#This Row],[retención aplicada]])</f>
        <v>0</v>
      </c>
      <c r="Q1534" s="22">
        <f>+PROVEEDORES[[#This Row],[Rete Fuente %]]*(PROVEEDORES[[#This Row],[SUBTOTAL]]-PROVEEDORES[[#This Row],[descuento sobre subtotal]])</f>
        <v>0</v>
      </c>
      <c r="R1534" s="21">
        <f>+PROVEEDORES[[#This Row],[SUBTOTAL]]+PROVEEDORES[[#This Row],[IVA 19%]]-PROVEEDORES[[#This Row],[descuento sobre subtotal]]-PROVEEDORES[[#This Row],[Descuento sobre subtotal $2]]-PROVEEDORES[[#This Row],[Rete Fuente $]]</f>
        <v>913261</v>
      </c>
      <c r="S1534" s="3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4" s="63">
        <f ca="1">IF(PROVEEDORES[[#This Row],[FECHA DE PAGO]]=0,TODAY()-PROVEEDORES[[#This Row],[FECHA DE FACTURACIÓN]]-PROVEEDORES[[#This Row],[PLAZO Días]],0)</f>
        <v>0</v>
      </c>
      <c r="U1534" s="104">
        <f>+VLOOKUP(PROVEEDORES[[#This Row],[PROVEEDOR]],Terceros!$A:$D,4,FALSE)</f>
        <v>0</v>
      </c>
      <c r="V1534" s="105">
        <f>+YEAR(PROVEEDORES[[#This Row],[FECHA DE FACTURACIÓN]])</f>
        <v>2023</v>
      </c>
      <c r="W1534" s="105">
        <f>+MATCH(PROVEEDORES[[#This Row],[año facturado]],Retenciones!$1:$1,0)</f>
        <v>6</v>
      </c>
      <c r="X1534" s="106">
        <f>+VLOOKUP(PROVEEDORES[[#This Row],[ID RETENCION]],Retenciones!$A$1:$O$25,PROVEEDORES[[#This Row],[indicador de columna]],FALSE)</f>
        <v>0</v>
      </c>
      <c r="Y1534" s="107">
        <f>+VLOOKUP(PROVEEDORES[[#This Row],[ID RETENCION]],Retenciones!$A$1:$O$25,2,FALSE)</f>
        <v>0</v>
      </c>
      <c r="Z1534" s="116" t="b">
        <f>OR(COUNTIF(PROVEEDORES[[#This Row],[PROVEEDOR]],"*"&amp;'Palabra no opera'!$A$2&amp;"*"))</f>
        <v>1</v>
      </c>
    </row>
    <row r="1535" spans="1:26" ht="22.35" customHeight="1" x14ac:dyDescent="0.3">
      <c r="A1535" s="319" t="str">
        <f>+IF(PROVEEDORES[[#This Row],[FECHA DE PAGO]]=PROVEEDORES[[#This Row],[FECHA DE FACTURACIÓN]],"DE CONTADO","CRÉDITO")</f>
        <v>DE CONTADO</v>
      </c>
      <c r="B1535" s="38" t="b">
        <f>+IF((PROVEEDORES[[#This Row],[FECHA DE PAGO]]-PROVEEDORES[[#This Row],[FECHA DE FACTURACIÓN]])&gt;PROVEEDORES[[#This Row],[PLAZO Días]],"PAGO VENCIDO")</f>
        <v>0</v>
      </c>
      <c r="C1535" s="20">
        <f>+VLOOKUP(PROVEEDORES[[#This Row],[PROVEEDOR]],TERCEROS_INFO[#All],2,FALSE)</f>
        <v>30</v>
      </c>
      <c r="D1535" s="25">
        <f>+SUMIFS(PROVEEDORES[Total],PROVEEDORES[PROVEEDOR],PROVEEDORES[[#This Row],[PROVEEDOR]],PROVEEDORES[FECHA DE PAGO],"")</f>
        <v>0</v>
      </c>
      <c r="E1535" s="25"/>
      <c r="F1535" s="56" t="str">
        <f>+VLOOKUP(PROVEEDORES[[#This Row],[PROVEEDOR]],
                       Terceros!$A:$F,
                       5,
                       FALSE)</f>
        <v/>
      </c>
      <c r="G1535" s="68">
        <v>45077</v>
      </c>
      <c r="H1535" s="26" t="s">
        <v>1401</v>
      </c>
      <c r="I1535" s="68">
        <v>45077</v>
      </c>
      <c r="J1535" s="35" t="s">
        <v>1177</v>
      </c>
      <c r="K1535" s="21">
        <v>1165000</v>
      </c>
      <c r="L1535" s="21"/>
      <c r="M1535" s="22">
        <f>(PROVEEDORES[[#This Row],[SUBTOTAL]]-PROVEEDORES[[#This Row],[descuento sobre subtotal]])*VLOOKUP(PROVEEDORES[[#This Row],[PROVEEDOR]],TERCEROS_INFO[#All],3,FALSE)</f>
        <v>0</v>
      </c>
      <c r="N1535" s="23"/>
      <c r="O1535" s="22">
        <f>+PROVEEDORES[[#This Row],[Descuento sobre subtotal %]]*(PROVEEDORES[[#This Row],[SUBTOTAL]]-PROVEEDORES[[#This Row],[descuento sobre subtotal]])</f>
        <v>0</v>
      </c>
      <c r="P1535" s="74">
        <f>+IF(PROVEEDORES[[#This Row],[SUBTOTAL]]&lt;PROVEEDORES[[#This Row],[base retencion]],0,PROVEEDORES[[#This Row],[retención aplicada]])</f>
        <v>0</v>
      </c>
      <c r="Q1535" s="22">
        <f>+PROVEEDORES[[#This Row],[Rete Fuente %]]*(PROVEEDORES[[#This Row],[SUBTOTAL]]-PROVEEDORES[[#This Row],[descuento sobre subtotal]])</f>
        <v>0</v>
      </c>
      <c r="R1535" s="21">
        <f>+PROVEEDORES[[#This Row],[SUBTOTAL]]+PROVEEDORES[[#This Row],[IVA 19%]]-PROVEEDORES[[#This Row],[descuento sobre subtotal]]-PROVEEDORES[[#This Row],[Descuento sobre subtotal $2]]-PROVEEDORES[[#This Row],[Rete Fuente $]]</f>
        <v>1165000</v>
      </c>
      <c r="S1535" s="3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5" s="63">
        <f ca="1">IF(PROVEEDORES[[#This Row],[FECHA DE PAGO]]=0,TODAY()-PROVEEDORES[[#This Row],[FECHA DE FACTURACIÓN]]-PROVEEDORES[[#This Row],[PLAZO Días]],0)</f>
        <v>0</v>
      </c>
      <c r="U1535" s="104">
        <f>+VLOOKUP(PROVEEDORES[[#This Row],[PROVEEDOR]],Terceros!$A:$D,4,FALSE)</f>
        <v>0</v>
      </c>
      <c r="V1535" s="105">
        <f>+YEAR(PROVEEDORES[[#This Row],[FECHA DE FACTURACIÓN]])</f>
        <v>2023</v>
      </c>
      <c r="W1535" s="105">
        <f>+MATCH(PROVEEDORES[[#This Row],[año facturado]],Retenciones!$1:$1,0)</f>
        <v>6</v>
      </c>
      <c r="X1535" s="106">
        <f>+VLOOKUP(PROVEEDORES[[#This Row],[ID RETENCION]],Retenciones!$A$1:$O$25,PROVEEDORES[[#This Row],[indicador de columna]],FALSE)</f>
        <v>0</v>
      </c>
      <c r="Y1535" s="107">
        <f>+VLOOKUP(PROVEEDORES[[#This Row],[ID RETENCION]],Retenciones!$A$1:$O$25,2,FALSE)</f>
        <v>0</v>
      </c>
      <c r="Z1535" s="116" t="b">
        <f>OR(COUNTIF(PROVEEDORES[[#This Row],[PROVEEDOR]],"*"&amp;'Palabra no opera'!$A$2&amp;"*"))</f>
        <v>0</v>
      </c>
    </row>
    <row r="1536" spans="1:26" ht="22.35" customHeight="1" x14ac:dyDescent="0.3">
      <c r="A1536" s="319" t="str">
        <f>+IF(PROVEEDORES[[#This Row],[FECHA DE PAGO]]=PROVEEDORES[[#This Row],[FECHA DE FACTURACIÓN]],"DE CONTADO","CRÉDITO")</f>
        <v>DE CONTADO</v>
      </c>
      <c r="B1536" s="38" t="b">
        <f>+IF((PROVEEDORES[[#This Row],[FECHA DE PAGO]]-PROVEEDORES[[#This Row],[FECHA DE FACTURACIÓN]])&gt;PROVEEDORES[[#This Row],[PLAZO Días]],"PAGO VENCIDO")</f>
        <v>0</v>
      </c>
      <c r="C1536" s="20">
        <f>+VLOOKUP(PROVEEDORES[[#This Row],[PROVEEDOR]],TERCEROS_INFO[#All],2,FALSE)</f>
        <v>30</v>
      </c>
      <c r="D1536" s="25">
        <f>+SUMIFS(PROVEEDORES[Total],PROVEEDORES[PROVEEDOR],PROVEEDORES[[#This Row],[PROVEEDOR]],PROVEEDORES[FECHA DE PAGO],"")</f>
        <v>0</v>
      </c>
      <c r="E1536" s="25"/>
      <c r="F1536" s="56" t="str">
        <f>+VLOOKUP(PROVEEDORES[[#This Row],[PROVEEDOR]],
                       Terceros!$A:$F,
                       5,
                       FALSE)</f>
        <v/>
      </c>
      <c r="G1536" s="68">
        <v>45077</v>
      </c>
      <c r="H1536" s="26" t="s">
        <v>1401</v>
      </c>
      <c r="I1536" s="68">
        <v>45077</v>
      </c>
      <c r="J1536" s="35" t="s">
        <v>1377</v>
      </c>
      <c r="K1536" s="21">
        <v>13500</v>
      </c>
      <c r="L1536" s="21"/>
      <c r="M1536" s="22">
        <f>(PROVEEDORES[[#This Row],[SUBTOTAL]]-PROVEEDORES[[#This Row],[descuento sobre subtotal]])*VLOOKUP(PROVEEDORES[[#This Row],[PROVEEDOR]],TERCEROS_INFO[#All],3,FALSE)</f>
        <v>0</v>
      </c>
      <c r="N1536" s="23"/>
      <c r="O1536" s="22">
        <f>+PROVEEDORES[[#This Row],[Descuento sobre subtotal %]]*(PROVEEDORES[[#This Row],[SUBTOTAL]]-PROVEEDORES[[#This Row],[descuento sobre subtotal]])</f>
        <v>0</v>
      </c>
      <c r="P1536" s="74">
        <f>+IF(PROVEEDORES[[#This Row],[SUBTOTAL]]&lt;PROVEEDORES[[#This Row],[base retencion]],0,PROVEEDORES[[#This Row],[retención aplicada]])</f>
        <v>0</v>
      </c>
      <c r="Q1536" s="22">
        <f>+PROVEEDORES[[#This Row],[Rete Fuente %]]*(PROVEEDORES[[#This Row],[SUBTOTAL]]-PROVEEDORES[[#This Row],[descuento sobre subtotal]])</f>
        <v>0</v>
      </c>
      <c r="R1536" s="21">
        <f>+PROVEEDORES[[#This Row],[SUBTOTAL]]+PROVEEDORES[[#This Row],[IVA 19%]]-PROVEEDORES[[#This Row],[descuento sobre subtotal]]-PROVEEDORES[[#This Row],[Descuento sobre subtotal $2]]-PROVEEDORES[[#This Row],[Rete Fuente $]]</f>
        <v>13500</v>
      </c>
      <c r="S1536" s="3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6" s="63">
        <f ca="1">IF(PROVEEDORES[[#This Row],[FECHA DE PAGO]]=0,TODAY()-PROVEEDORES[[#This Row],[FECHA DE FACTURACIÓN]]-PROVEEDORES[[#This Row],[PLAZO Días]],0)</f>
        <v>0</v>
      </c>
      <c r="U1536" s="104">
        <f>+VLOOKUP(PROVEEDORES[[#This Row],[PROVEEDOR]],Terceros!$A:$D,4,FALSE)</f>
        <v>0</v>
      </c>
      <c r="V1536" s="105">
        <f>+YEAR(PROVEEDORES[[#This Row],[FECHA DE FACTURACIÓN]])</f>
        <v>2023</v>
      </c>
      <c r="W1536" s="105">
        <f>+MATCH(PROVEEDORES[[#This Row],[año facturado]],Retenciones!$1:$1,0)</f>
        <v>6</v>
      </c>
      <c r="X1536" s="106">
        <f>+VLOOKUP(PROVEEDORES[[#This Row],[ID RETENCION]],Retenciones!$A$1:$O$25,PROVEEDORES[[#This Row],[indicador de columna]],FALSE)</f>
        <v>0</v>
      </c>
      <c r="Y1536" s="107">
        <f>+VLOOKUP(PROVEEDORES[[#This Row],[ID RETENCION]],Retenciones!$A$1:$O$25,2,FALSE)</f>
        <v>0</v>
      </c>
      <c r="Z1536" s="116" t="b">
        <f>OR(COUNTIF(PROVEEDORES[[#This Row],[PROVEEDOR]],"*"&amp;'Palabra no opera'!$A$2&amp;"*"))</f>
        <v>0</v>
      </c>
    </row>
    <row r="1537" spans="1:26" ht="22.35" customHeight="1" x14ac:dyDescent="0.3">
      <c r="A1537" s="319" t="str">
        <f>+IF(PROVEEDORES[[#This Row],[FECHA DE PAGO]]=PROVEEDORES[[#This Row],[FECHA DE FACTURACIÓN]],"DE CONTADO","CRÉDITO")</f>
        <v>DE CONTADO</v>
      </c>
      <c r="B1537" s="38" t="b">
        <f>+IF((PROVEEDORES[[#This Row],[FECHA DE PAGO]]-PROVEEDORES[[#This Row],[FECHA DE FACTURACIÓN]])&gt;PROVEEDORES[[#This Row],[PLAZO Días]],"PAGO VENCIDO")</f>
        <v>0</v>
      </c>
      <c r="C1537" s="20">
        <f>+VLOOKUP(PROVEEDORES[[#This Row],[PROVEEDOR]],TERCEROS_INFO[#All],2,FALSE)</f>
        <v>30</v>
      </c>
      <c r="D1537" s="25">
        <f>+SUMIFS(PROVEEDORES[Total],PROVEEDORES[PROVEEDOR],PROVEEDORES[[#This Row],[PROVEEDOR]],PROVEEDORES[FECHA DE PAGO],"")</f>
        <v>0</v>
      </c>
      <c r="E1537" s="25"/>
      <c r="F1537" s="56" t="str">
        <f>+VLOOKUP(PROVEEDORES[[#This Row],[PROVEEDOR]],
                       Terceros!$A:$F,
                       5,
                       FALSE)</f>
        <v/>
      </c>
      <c r="G1537" s="68">
        <v>45077</v>
      </c>
      <c r="H1537" s="26" t="s">
        <v>1401</v>
      </c>
      <c r="I1537" s="68">
        <v>45077</v>
      </c>
      <c r="J1537" s="35" t="s">
        <v>1176</v>
      </c>
      <c r="K1537" s="21">
        <v>242000</v>
      </c>
      <c r="L1537" s="21"/>
      <c r="M1537" s="22">
        <f>(PROVEEDORES[[#This Row],[SUBTOTAL]]-PROVEEDORES[[#This Row],[descuento sobre subtotal]])*VLOOKUP(PROVEEDORES[[#This Row],[PROVEEDOR]],TERCEROS_INFO[#All],3,FALSE)</f>
        <v>0</v>
      </c>
      <c r="N1537" s="23"/>
      <c r="O1537" s="22">
        <f>+PROVEEDORES[[#This Row],[Descuento sobre subtotal %]]*(PROVEEDORES[[#This Row],[SUBTOTAL]]-PROVEEDORES[[#This Row],[descuento sobre subtotal]])</f>
        <v>0</v>
      </c>
      <c r="P1537" s="74">
        <f>+IF(PROVEEDORES[[#This Row],[SUBTOTAL]]&lt;PROVEEDORES[[#This Row],[base retencion]],0,PROVEEDORES[[#This Row],[retención aplicada]])</f>
        <v>0</v>
      </c>
      <c r="Q1537" s="22">
        <f>+PROVEEDORES[[#This Row],[Rete Fuente %]]*(PROVEEDORES[[#This Row],[SUBTOTAL]]-PROVEEDORES[[#This Row],[descuento sobre subtotal]])</f>
        <v>0</v>
      </c>
      <c r="R1537" s="21">
        <f>+PROVEEDORES[[#This Row],[SUBTOTAL]]+PROVEEDORES[[#This Row],[IVA 19%]]-PROVEEDORES[[#This Row],[descuento sobre subtotal]]-PROVEEDORES[[#This Row],[Descuento sobre subtotal $2]]-PROVEEDORES[[#This Row],[Rete Fuente $]]</f>
        <v>242000</v>
      </c>
      <c r="S1537" s="3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7" s="63">
        <f ca="1">IF(PROVEEDORES[[#This Row],[FECHA DE PAGO]]=0,TODAY()-PROVEEDORES[[#This Row],[FECHA DE FACTURACIÓN]]-PROVEEDORES[[#This Row],[PLAZO Días]],0)</f>
        <v>0</v>
      </c>
      <c r="U1537" s="104">
        <f>+VLOOKUP(PROVEEDORES[[#This Row],[PROVEEDOR]],Terceros!$A:$D,4,FALSE)</f>
        <v>0</v>
      </c>
      <c r="V1537" s="105">
        <f>+YEAR(PROVEEDORES[[#This Row],[FECHA DE FACTURACIÓN]])</f>
        <v>2023</v>
      </c>
      <c r="W1537" s="105">
        <f>+MATCH(PROVEEDORES[[#This Row],[año facturado]],Retenciones!$1:$1,0)</f>
        <v>6</v>
      </c>
      <c r="X1537" s="106">
        <f>+VLOOKUP(PROVEEDORES[[#This Row],[ID RETENCION]],Retenciones!$A$1:$O$25,PROVEEDORES[[#This Row],[indicador de columna]],FALSE)</f>
        <v>0</v>
      </c>
      <c r="Y1537" s="107">
        <f>+VLOOKUP(PROVEEDORES[[#This Row],[ID RETENCION]],Retenciones!$A$1:$O$25,2,FALSE)</f>
        <v>0</v>
      </c>
      <c r="Z1537" s="116" t="b">
        <f>OR(COUNTIF(PROVEEDORES[[#This Row],[PROVEEDOR]],"*"&amp;'Palabra no opera'!$A$2&amp;"*"))</f>
        <v>0</v>
      </c>
    </row>
    <row r="1538" spans="1:26" ht="22.35" customHeight="1" x14ac:dyDescent="0.3">
      <c r="A1538" s="319" t="str">
        <f>+IF(PROVEEDORES[[#This Row],[FECHA DE PAGO]]=PROVEEDORES[[#This Row],[FECHA DE FACTURACIÓN]],"DE CONTADO","CRÉDITO")</f>
        <v>DE CONTADO</v>
      </c>
      <c r="B1538" s="38" t="b">
        <f>+IF((PROVEEDORES[[#This Row],[FECHA DE PAGO]]-PROVEEDORES[[#This Row],[FECHA DE FACTURACIÓN]])&gt;PROVEEDORES[[#This Row],[PLAZO Días]],"PAGO VENCIDO")</f>
        <v>0</v>
      </c>
      <c r="C1538" s="20">
        <f>+VLOOKUP(PROVEEDORES[[#This Row],[PROVEEDOR]],TERCEROS_INFO[#All],2,FALSE)</f>
        <v>30</v>
      </c>
      <c r="D1538" s="25">
        <f>+SUMIFS(PROVEEDORES[Total],PROVEEDORES[PROVEEDOR],PROVEEDORES[[#This Row],[PROVEEDOR]],PROVEEDORES[FECHA DE PAGO],"")</f>
        <v>0</v>
      </c>
      <c r="E1538" s="25"/>
      <c r="F1538" s="56" t="str">
        <f>+VLOOKUP(PROVEEDORES[[#This Row],[PROVEEDOR]],
                       Terceros!$A:$F,
                       5,
                       FALSE)</f>
        <v/>
      </c>
      <c r="G1538" s="68">
        <v>45077</v>
      </c>
      <c r="H1538" s="26" t="s">
        <v>1401</v>
      </c>
      <c r="I1538" s="68">
        <v>45077</v>
      </c>
      <c r="J1538" s="35" t="s">
        <v>1180</v>
      </c>
      <c r="K1538" s="21">
        <v>466000</v>
      </c>
      <c r="L1538" s="21"/>
      <c r="M1538" s="22">
        <f>(PROVEEDORES[[#This Row],[SUBTOTAL]]-PROVEEDORES[[#This Row],[descuento sobre subtotal]])*VLOOKUP(PROVEEDORES[[#This Row],[PROVEEDOR]],TERCEROS_INFO[#All],3,FALSE)</f>
        <v>0</v>
      </c>
      <c r="N1538" s="23"/>
      <c r="O1538" s="22">
        <f>+PROVEEDORES[[#This Row],[Descuento sobre subtotal %]]*(PROVEEDORES[[#This Row],[SUBTOTAL]]-PROVEEDORES[[#This Row],[descuento sobre subtotal]])</f>
        <v>0</v>
      </c>
      <c r="P1538" s="74">
        <f>+IF(PROVEEDORES[[#This Row],[SUBTOTAL]]&lt;PROVEEDORES[[#This Row],[base retencion]],0,PROVEEDORES[[#This Row],[retención aplicada]])</f>
        <v>0</v>
      </c>
      <c r="Q1538" s="22">
        <f>+PROVEEDORES[[#This Row],[Rete Fuente %]]*(PROVEEDORES[[#This Row],[SUBTOTAL]]-PROVEEDORES[[#This Row],[descuento sobre subtotal]])</f>
        <v>0</v>
      </c>
      <c r="R1538" s="21">
        <f>+PROVEEDORES[[#This Row],[SUBTOTAL]]+PROVEEDORES[[#This Row],[IVA 19%]]-PROVEEDORES[[#This Row],[descuento sobre subtotal]]-PROVEEDORES[[#This Row],[Descuento sobre subtotal $2]]-PROVEEDORES[[#This Row],[Rete Fuente $]]</f>
        <v>466000</v>
      </c>
      <c r="S1538" s="3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8" s="63">
        <f ca="1">IF(PROVEEDORES[[#This Row],[FECHA DE PAGO]]=0,TODAY()-PROVEEDORES[[#This Row],[FECHA DE FACTURACIÓN]]-PROVEEDORES[[#This Row],[PLAZO Días]],0)</f>
        <v>0</v>
      </c>
      <c r="U1538" s="104">
        <f>+VLOOKUP(PROVEEDORES[[#This Row],[PROVEEDOR]],Terceros!$A:$D,4,FALSE)</f>
        <v>0</v>
      </c>
      <c r="V1538" s="105">
        <f>+YEAR(PROVEEDORES[[#This Row],[FECHA DE FACTURACIÓN]])</f>
        <v>2023</v>
      </c>
      <c r="W1538" s="105">
        <f>+MATCH(PROVEEDORES[[#This Row],[año facturado]],Retenciones!$1:$1,0)</f>
        <v>6</v>
      </c>
      <c r="X1538" s="106">
        <f>+VLOOKUP(PROVEEDORES[[#This Row],[ID RETENCION]],Retenciones!$A$1:$O$25,PROVEEDORES[[#This Row],[indicador de columna]],FALSE)</f>
        <v>0</v>
      </c>
      <c r="Y1538" s="107">
        <f>+VLOOKUP(PROVEEDORES[[#This Row],[ID RETENCION]],Retenciones!$A$1:$O$25,2,FALSE)</f>
        <v>0</v>
      </c>
      <c r="Z1538" s="116" t="b">
        <f>OR(COUNTIF(PROVEEDORES[[#This Row],[PROVEEDOR]],"*"&amp;'Palabra no opera'!$A$2&amp;"*"))</f>
        <v>0</v>
      </c>
    </row>
    <row r="1539" spans="1:26" ht="22.35" customHeight="1" x14ac:dyDescent="0.3">
      <c r="A1539" s="319" t="str">
        <f>+IF(PROVEEDORES[[#This Row],[FECHA DE PAGO]]=PROVEEDORES[[#This Row],[FECHA DE FACTURACIÓN]],"DE CONTADO","CRÉDITO")</f>
        <v>DE CONTADO</v>
      </c>
      <c r="B1539" s="38" t="b">
        <f>+IF((PROVEEDORES[[#This Row],[FECHA DE PAGO]]-PROVEEDORES[[#This Row],[FECHA DE FACTURACIÓN]])&gt;PROVEEDORES[[#This Row],[PLAZO Días]],"PAGO VENCIDO")</f>
        <v>0</v>
      </c>
      <c r="C1539" s="20">
        <f>+VLOOKUP(PROVEEDORES[[#This Row],[PROVEEDOR]],TERCEROS_INFO[#All],2,FALSE)</f>
        <v>30</v>
      </c>
      <c r="D1539" s="25">
        <f>+SUMIFS(PROVEEDORES[Total],PROVEEDORES[PROVEEDOR],PROVEEDORES[[#This Row],[PROVEEDOR]],PROVEEDORES[FECHA DE PAGO],"")</f>
        <v>0</v>
      </c>
      <c r="E1539" s="25"/>
      <c r="F1539" s="56" t="str">
        <f>+VLOOKUP(PROVEEDORES[[#This Row],[PROVEEDOR]],
                       Terceros!$A:$F,
                       5,
                       FALSE)</f>
        <v/>
      </c>
      <c r="G1539" s="68">
        <v>45077</v>
      </c>
      <c r="H1539" s="26" t="s">
        <v>1401</v>
      </c>
      <c r="I1539" s="68">
        <v>45077</v>
      </c>
      <c r="J1539" s="35" t="s">
        <v>1379</v>
      </c>
      <c r="K1539" s="21">
        <v>650600</v>
      </c>
      <c r="L1539" s="21"/>
      <c r="M1539" s="22">
        <f>(PROVEEDORES[[#This Row],[SUBTOTAL]]-PROVEEDORES[[#This Row],[descuento sobre subtotal]])*VLOOKUP(PROVEEDORES[[#This Row],[PROVEEDOR]],TERCEROS_INFO[#All],3,FALSE)</f>
        <v>0</v>
      </c>
      <c r="N1539" s="23"/>
      <c r="O1539" s="22">
        <f>+PROVEEDORES[[#This Row],[Descuento sobre subtotal %]]*(PROVEEDORES[[#This Row],[SUBTOTAL]]-PROVEEDORES[[#This Row],[descuento sobre subtotal]])</f>
        <v>0</v>
      </c>
      <c r="P1539" s="74">
        <f>+IF(PROVEEDORES[[#This Row],[SUBTOTAL]]&lt;PROVEEDORES[[#This Row],[base retencion]],0,PROVEEDORES[[#This Row],[retención aplicada]])</f>
        <v>0</v>
      </c>
      <c r="Q1539" s="22">
        <f>+PROVEEDORES[[#This Row],[Rete Fuente %]]*(PROVEEDORES[[#This Row],[SUBTOTAL]]-PROVEEDORES[[#This Row],[descuento sobre subtotal]])</f>
        <v>0</v>
      </c>
      <c r="R1539" s="21">
        <f>+PROVEEDORES[[#This Row],[SUBTOTAL]]+PROVEEDORES[[#This Row],[IVA 19%]]-PROVEEDORES[[#This Row],[descuento sobre subtotal]]-PROVEEDORES[[#This Row],[Descuento sobre subtotal $2]]-PROVEEDORES[[#This Row],[Rete Fuente $]]</f>
        <v>650600</v>
      </c>
      <c r="S1539" s="3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9" s="63">
        <f ca="1">IF(PROVEEDORES[[#This Row],[FECHA DE PAGO]]=0,TODAY()-PROVEEDORES[[#This Row],[FECHA DE FACTURACIÓN]]-PROVEEDORES[[#This Row],[PLAZO Días]],0)</f>
        <v>0</v>
      </c>
      <c r="U1539" s="104">
        <f>+VLOOKUP(PROVEEDORES[[#This Row],[PROVEEDOR]],Terceros!$A:$D,4,FALSE)</f>
        <v>0</v>
      </c>
      <c r="V1539" s="105">
        <f>+YEAR(PROVEEDORES[[#This Row],[FECHA DE FACTURACIÓN]])</f>
        <v>2023</v>
      </c>
      <c r="W1539" s="105">
        <f>+MATCH(PROVEEDORES[[#This Row],[año facturado]],Retenciones!$1:$1,0)</f>
        <v>6</v>
      </c>
      <c r="X1539" s="106">
        <f>+VLOOKUP(PROVEEDORES[[#This Row],[ID RETENCION]],Retenciones!$A$1:$O$25,PROVEEDORES[[#This Row],[indicador de columna]],FALSE)</f>
        <v>0</v>
      </c>
      <c r="Y1539" s="107">
        <f>+VLOOKUP(PROVEEDORES[[#This Row],[ID RETENCION]],Retenciones!$A$1:$O$25,2,FALSE)</f>
        <v>0</v>
      </c>
      <c r="Z1539" s="116" t="b">
        <f>OR(COUNTIF(PROVEEDORES[[#This Row],[PROVEEDOR]],"*"&amp;'Palabra no opera'!$A$2&amp;"*"))</f>
        <v>0</v>
      </c>
    </row>
    <row r="1540" spans="1:26" ht="22.35" customHeight="1" x14ac:dyDescent="0.3">
      <c r="A1540" s="67" t="str">
        <f>+IF(PROVEEDORES[[#This Row],[FECHA DE PAGO]]=PROVEEDORES[[#This Row],[FECHA DE FACTURACIÓN]],"DE CONTADO","CRÉDITO")</f>
        <v>CRÉDITO</v>
      </c>
      <c r="B1540" s="38" t="str">
        <f>+IF((PROVEEDORES[[#This Row],[FECHA DE PAGO]]-PROVEEDORES[[#This Row],[FECHA DE FACTURACIÓN]])&gt;PROVEEDORES[[#This Row],[PLAZO Días]],"PAGO VENCIDO")</f>
        <v>PAGO VENCIDO</v>
      </c>
      <c r="C1540" s="20">
        <f>+VLOOKUP(PROVEEDORES[[#This Row],[PROVEEDOR]],TERCEROS_INFO[#All],2,FALSE)</f>
        <v>30</v>
      </c>
      <c r="D1540" s="25">
        <f>+SUMIFS(PROVEEDORES[Total],PROVEEDORES[PROVEEDOR],PROVEEDORES[[#This Row],[PROVEEDOR]],PROVEEDORES[FECHA DE PAGO],"")</f>
        <v>380979.69</v>
      </c>
      <c r="E1540" s="25"/>
      <c r="F154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540" s="68">
        <v>45077</v>
      </c>
      <c r="H1540" s="26" t="s">
        <v>615</v>
      </c>
      <c r="I1540" s="68">
        <v>45013</v>
      </c>
      <c r="J1540" s="35" t="s">
        <v>1658</v>
      </c>
      <c r="K1540" s="21">
        <v>2167560</v>
      </c>
      <c r="L1540" s="21"/>
      <c r="M1540" s="22">
        <f>(PROVEEDORES[[#This Row],[SUBTOTAL]]-PROVEEDORES[[#This Row],[descuento sobre subtotal]])*VLOOKUP(PROVEEDORES[[#This Row],[PROVEEDOR]],TERCEROS_INFO[#All],3,FALSE)</f>
        <v>411836.4</v>
      </c>
      <c r="N1540" s="23"/>
      <c r="O1540" s="22">
        <f>+PROVEEDORES[[#This Row],[Descuento sobre subtotal %]]*(PROVEEDORES[[#This Row],[SUBTOTAL]]-PROVEEDORES[[#This Row],[descuento sobre subtotal]])</f>
        <v>0</v>
      </c>
      <c r="P1540" s="74">
        <f>+IF(PROVEEDORES[[#This Row],[SUBTOTAL]]&lt;PROVEEDORES[[#This Row],[base retencion]],0,PROVEEDORES[[#This Row],[retención aplicada]])</f>
        <v>0</v>
      </c>
      <c r="Q1540" s="22">
        <f>+PROVEEDORES[[#This Row],[Rete Fuente %]]*(PROVEEDORES[[#This Row],[SUBTOTAL]]-PROVEEDORES[[#This Row],[descuento sobre subtotal]])</f>
        <v>0</v>
      </c>
      <c r="R1540" s="21">
        <f>+PROVEEDORES[[#This Row],[SUBTOTAL]]+PROVEEDORES[[#This Row],[IVA 19%]]-PROVEEDORES[[#This Row],[descuento sobre subtotal]]-PROVEEDORES[[#This Row],[Descuento sobre subtotal $2]]-PROVEEDORES[[#This Row],[Rete Fuente $]]</f>
        <v>2579396.4</v>
      </c>
      <c r="S154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0" s="63">
        <f ca="1">IF(PROVEEDORES[[#This Row],[FECHA DE PAGO]]=0,TODAY()-PROVEEDORES[[#This Row],[FECHA DE FACTURACIÓN]]-PROVEEDORES[[#This Row],[PLAZO Días]],0)</f>
        <v>0</v>
      </c>
      <c r="U1540" s="104">
        <f>+VLOOKUP(PROVEEDORES[[#This Row],[PROVEEDOR]],Terceros!$A:$D,4,FALSE)</f>
        <v>0</v>
      </c>
      <c r="V1540" s="105">
        <f>+YEAR(PROVEEDORES[[#This Row],[FECHA DE FACTURACIÓN]])</f>
        <v>2023</v>
      </c>
      <c r="W1540" s="105">
        <f>+MATCH(PROVEEDORES[[#This Row],[año facturado]],Retenciones!$1:$1,0)</f>
        <v>6</v>
      </c>
      <c r="X1540" s="106">
        <f>+VLOOKUP(PROVEEDORES[[#This Row],[ID RETENCION]],Retenciones!$A$1:$O$25,PROVEEDORES[[#This Row],[indicador de columna]],FALSE)</f>
        <v>0</v>
      </c>
      <c r="Y1540" s="107">
        <f>+VLOOKUP(PROVEEDORES[[#This Row],[ID RETENCION]],Retenciones!$A$1:$O$25,2,FALSE)</f>
        <v>0</v>
      </c>
      <c r="Z1540" s="116" t="b">
        <f>OR(COUNTIF(PROVEEDORES[[#This Row],[PROVEEDOR]],"*"&amp;'Palabra no opera'!$A$2&amp;"*"))</f>
        <v>1</v>
      </c>
    </row>
    <row r="1541" spans="1:26" ht="22.35" customHeight="1" x14ac:dyDescent="0.3">
      <c r="A1541" s="67" t="str">
        <f>+IF(PROVEEDORES[[#This Row],[FECHA DE PAGO]]=PROVEEDORES[[#This Row],[FECHA DE FACTURACIÓN]],"DE CONTADO","CRÉDITO")</f>
        <v>CRÉDITO</v>
      </c>
      <c r="B1541" s="38" t="b">
        <f>+IF((PROVEEDORES[[#This Row],[FECHA DE PAGO]]-PROVEEDORES[[#This Row],[FECHA DE FACTURACIÓN]])&gt;PROVEEDORES[[#This Row],[PLAZO Días]],"PAGO VENCIDO")</f>
        <v>0</v>
      </c>
      <c r="C1541" s="20">
        <f>+VLOOKUP(PROVEEDORES[[#This Row],[PROVEEDOR]],TERCEROS_INFO[#All],2,FALSE)</f>
        <v>30</v>
      </c>
      <c r="D1541" s="25">
        <f>+SUMIFS(PROVEEDORES[Total],PROVEEDORES[PROVEEDOR],PROVEEDORES[[#This Row],[PROVEEDOR]],PROVEEDORES[FECHA DE PAGO],"")</f>
        <v>0</v>
      </c>
      <c r="E1541" s="25"/>
      <c r="F1541" s="56" t="str">
        <f>+VLOOKUP(PROVEEDORES[[#This Row],[PROVEEDOR]],
                       Terceros!$A:$F,
                       5,
                       FALSE)</f>
        <v/>
      </c>
      <c r="G1541" s="68">
        <v>45078</v>
      </c>
      <c r="H1541" s="26" t="s">
        <v>1194</v>
      </c>
      <c r="I1541" s="68">
        <v>45077</v>
      </c>
      <c r="J1541" s="35" t="s">
        <v>1716</v>
      </c>
      <c r="K1541" s="21">
        <v>1874000</v>
      </c>
      <c r="L1541" s="21"/>
      <c r="M1541" s="22">
        <f>(PROVEEDORES[[#This Row],[SUBTOTAL]]-PROVEEDORES[[#This Row],[descuento sobre subtotal]])*VLOOKUP(PROVEEDORES[[#This Row],[PROVEEDOR]],TERCEROS_INFO[#All],3,FALSE)</f>
        <v>0</v>
      </c>
      <c r="N1541" s="23"/>
      <c r="O1541" s="22">
        <f>+PROVEEDORES[[#This Row],[Descuento sobre subtotal %]]*(PROVEEDORES[[#This Row],[SUBTOTAL]]-PROVEEDORES[[#This Row],[descuento sobre subtotal]])</f>
        <v>0</v>
      </c>
      <c r="P1541" s="74">
        <f>+IF(PROVEEDORES[[#This Row],[SUBTOTAL]]&lt;PROVEEDORES[[#This Row],[base retencion]],0,PROVEEDORES[[#This Row],[retención aplicada]])</f>
        <v>0</v>
      </c>
      <c r="Q1541" s="22">
        <f>+PROVEEDORES[[#This Row],[Rete Fuente %]]*(PROVEEDORES[[#This Row],[SUBTOTAL]]-PROVEEDORES[[#This Row],[descuento sobre subtotal]])</f>
        <v>0</v>
      </c>
      <c r="R1541" s="21">
        <f>+PROVEEDORES[[#This Row],[SUBTOTAL]]+PROVEEDORES[[#This Row],[IVA 19%]]-PROVEEDORES[[#This Row],[descuento sobre subtotal]]-PROVEEDORES[[#This Row],[Descuento sobre subtotal $2]]-PROVEEDORES[[#This Row],[Rete Fuente $]]</f>
        <v>1874000</v>
      </c>
      <c r="S154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1" s="63">
        <f ca="1">IF(PROVEEDORES[[#This Row],[FECHA DE PAGO]]=0,TODAY()-PROVEEDORES[[#This Row],[FECHA DE FACTURACIÓN]]-PROVEEDORES[[#This Row],[PLAZO Días]],0)</f>
        <v>0</v>
      </c>
      <c r="U1541" s="104">
        <f>+VLOOKUP(PROVEEDORES[[#This Row],[PROVEEDOR]],Terceros!$A:$D,4,FALSE)</f>
        <v>0</v>
      </c>
      <c r="V1541" s="105">
        <f>+YEAR(PROVEEDORES[[#This Row],[FECHA DE FACTURACIÓN]])</f>
        <v>2023</v>
      </c>
      <c r="W1541" s="105">
        <f>+MATCH(PROVEEDORES[[#This Row],[año facturado]],Retenciones!$1:$1,0)</f>
        <v>6</v>
      </c>
      <c r="X1541" s="106">
        <f>+VLOOKUP(PROVEEDORES[[#This Row],[ID RETENCION]],Retenciones!$A$1:$O$25,PROVEEDORES[[#This Row],[indicador de columna]],FALSE)</f>
        <v>0</v>
      </c>
      <c r="Y1541" s="107">
        <f>+VLOOKUP(PROVEEDORES[[#This Row],[ID RETENCION]],Retenciones!$A$1:$O$25,2,FALSE)</f>
        <v>0</v>
      </c>
      <c r="Z1541" s="116" t="b">
        <f>OR(COUNTIF(PROVEEDORES[[#This Row],[PROVEEDOR]],"*"&amp;'Palabra no opera'!$A$2&amp;"*"))</f>
        <v>0</v>
      </c>
    </row>
    <row r="1542" spans="1:26" ht="22.35" customHeight="1" x14ac:dyDescent="0.3">
      <c r="A1542" s="67" t="str">
        <f>+IF(PROVEEDORES[[#This Row],[FECHA DE PAGO]]=PROVEEDORES[[#This Row],[FECHA DE FACTURACIÓN]],"DE CONTADO","CRÉDITO")</f>
        <v>DE CONTADO</v>
      </c>
      <c r="B1542" s="38" t="b">
        <f>+IF((PROVEEDORES[[#This Row],[FECHA DE PAGO]]-PROVEEDORES[[#This Row],[FECHA DE FACTURACIÓN]])&gt;PROVEEDORES[[#This Row],[PLAZO Días]],"PAGO VENCIDO")</f>
        <v>0</v>
      </c>
      <c r="C1542" s="20">
        <f>+VLOOKUP(PROVEEDORES[[#This Row],[PROVEEDOR]],TERCEROS_INFO[#All],2,FALSE)</f>
        <v>30</v>
      </c>
      <c r="D1542" s="25">
        <f>+SUMIFS(PROVEEDORES[Total],PROVEEDORES[PROVEEDOR],PROVEEDORES[[#This Row],[PROVEEDOR]],PROVEEDORES[FECHA DE PAGO],"")</f>
        <v>0</v>
      </c>
      <c r="E1542" s="25"/>
      <c r="F1542" s="56" t="str">
        <f>+VLOOKUP(PROVEEDORES[[#This Row],[PROVEEDOR]],
                       Terceros!$A:$F,
                       5,
                       FALSE)</f>
        <v/>
      </c>
      <c r="G1542" s="318">
        <v>45078</v>
      </c>
      <c r="H1542" s="26" t="s">
        <v>1401</v>
      </c>
      <c r="I1542" s="68">
        <v>45078</v>
      </c>
      <c r="J1542" s="35">
        <v>2312</v>
      </c>
      <c r="K1542" s="21">
        <v>210000</v>
      </c>
      <c r="L1542" s="21"/>
      <c r="M1542" s="22">
        <f>(PROVEEDORES[[#This Row],[SUBTOTAL]]-PROVEEDORES[[#This Row],[descuento sobre subtotal]])*VLOOKUP(PROVEEDORES[[#This Row],[PROVEEDOR]],TERCEROS_INFO[#All],3,FALSE)</f>
        <v>0</v>
      </c>
      <c r="N1542" s="23"/>
      <c r="O1542" s="22">
        <f>+PROVEEDORES[[#This Row],[Descuento sobre subtotal %]]*(PROVEEDORES[[#This Row],[SUBTOTAL]]-PROVEEDORES[[#This Row],[descuento sobre subtotal]])</f>
        <v>0</v>
      </c>
      <c r="P1542" s="74">
        <f>+IF(PROVEEDORES[[#This Row],[SUBTOTAL]]&lt;PROVEEDORES[[#This Row],[base retencion]],0,PROVEEDORES[[#This Row],[retención aplicada]])</f>
        <v>0</v>
      </c>
      <c r="Q1542" s="22">
        <f>+PROVEEDORES[[#This Row],[Rete Fuente %]]*(PROVEEDORES[[#This Row],[SUBTOTAL]]-PROVEEDORES[[#This Row],[descuento sobre subtotal]])</f>
        <v>0</v>
      </c>
      <c r="R1542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15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2" s="63">
        <f ca="1">IF(PROVEEDORES[[#This Row],[FECHA DE PAGO]]=0,TODAY()-PROVEEDORES[[#This Row],[FECHA DE FACTURACIÓN]]-PROVEEDORES[[#This Row],[PLAZO Días]],0)</f>
        <v>0</v>
      </c>
      <c r="U1542" s="104">
        <f>+VLOOKUP(PROVEEDORES[[#This Row],[PROVEEDOR]],Terceros!$A:$D,4,FALSE)</f>
        <v>0</v>
      </c>
      <c r="V1542" s="105">
        <f>+YEAR(PROVEEDORES[[#This Row],[FECHA DE FACTURACIÓN]])</f>
        <v>2023</v>
      </c>
      <c r="W1542" s="105">
        <f>+MATCH(PROVEEDORES[[#This Row],[año facturado]],Retenciones!$1:$1,0)</f>
        <v>6</v>
      </c>
      <c r="X1542" s="106">
        <f>+VLOOKUP(PROVEEDORES[[#This Row],[ID RETENCION]],Retenciones!$A$1:$O$25,PROVEEDORES[[#This Row],[indicador de columna]],FALSE)</f>
        <v>0</v>
      </c>
      <c r="Y1542" s="107">
        <f>+VLOOKUP(PROVEEDORES[[#This Row],[ID RETENCION]],Retenciones!$A$1:$O$25,2,FALSE)</f>
        <v>0</v>
      </c>
      <c r="Z1542" s="116" t="b">
        <f>OR(COUNTIF(PROVEEDORES[[#This Row],[PROVEEDOR]],"*"&amp;'Palabra no opera'!$A$2&amp;"*"))</f>
        <v>0</v>
      </c>
    </row>
    <row r="1543" spans="1:26" ht="22.35" customHeight="1" x14ac:dyDescent="0.3">
      <c r="A1543" s="67" t="str">
        <f>+IF(PROVEEDORES[[#This Row],[FECHA DE PAGO]]=PROVEEDORES[[#This Row],[FECHA DE FACTURACIÓN]],"DE CONTADO","CRÉDITO")</f>
        <v>DE CONTADO</v>
      </c>
      <c r="B1543" s="38" t="b">
        <f>+IF((PROVEEDORES[[#This Row],[FECHA DE PAGO]]-PROVEEDORES[[#This Row],[FECHA DE FACTURACIÓN]])&gt;PROVEEDORES[[#This Row],[PLAZO Días]],"PAGO VENCIDO")</f>
        <v>0</v>
      </c>
      <c r="C1543" s="20">
        <f>+VLOOKUP(PROVEEDORES[[#This Row],[PROVEEDOR]],TERCEROS_INFO[#All],2,FALSE)</f>
        <v>30</v>
      </c>
      <c r="D1543" s="25">
        <f>+SUMIFS(PROVEEDORES[Total],PROVEEDORES[PROVEEDOR],PROVEEDORES[[#This Row],[PROVEEDOR]],PROVEEDORES[FECHA DE PAGO],"")</f>
        <v>0</v>
      </c>
      <c r="E1543" s="25"/>
      <c r="F1543" s="56" t="str">
        <f>+VLOOKUP(PROVEEDORES[[#This Row],[PROVEEDOR]],
                       Terceros!$A:$F,
                       5,
                       FALSE)</f>
        <v/>
      </c>
      <c r="G1543" s="68">
        <v>45078</v>
      </c>
      <c r="H1543" s="26" t="s">
        <v>1401</v>
      </c>
      <c r="I1543" s="68">
        <v>45078</v>
      </c>
      <c r="J1543" s="35" t="s">
        <v>1715</v>
      </c>
      <c r="K1543" s="21">
        <v>40000</v>
      </c>
      <c r="L1543" s="21"/>
      <c r="M1543" s="22">
        <f>(PROVEEDORES[[#This Row],[SUBTOTAL]]-PROVEEDORES[[#This Row],[descuento sobre subtotal]])*VLOOKUP(PROVEEDORES[[#This Row],[PROVEEDOR]],TERCEROS_INFO[#All],3,FALSE)</f>
        <v>0</v>
      </c>
      <c r="N1543" s="23"/>
      <c r="O1543" s="22">
        <f>+PROVEEDORES[[#This Row],[Descuento sobre subtotal %]]*(PROVEEDORES[[#This Row],[SUBTOTAL]]-PROVEEDORES[[#This Row],[descuento sobre subtotal]])</f>
        <v>0</v>
      </c>
      <c r="P1543" s="74">
        <f>+IF(PROVEEDORES[[#This Row],[SUBTOTAL]]&lt;PROVEEDORES[[#This Row],[base retencion]],0,PROVEEDORES[[#This Row],[retención aplicada]])</f>
        <v>0</v>
      </c>
      <c r="Q1543" s="22">
        <f>+PROVEEDORES[[#This Row],[Rete Fuente %]]*(PROVEEDORES[[#This Row],[SUBTOTAL]]-PROVEEDORES[[#This Row],[descuento sobre subtotal]])</f>
        <v>0</v>
      </c>
      <c r="R1543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15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3" s="63">
        <f ca="1">IF(PROVEEDORES[[#This Row],[FECHA DE PAGO]]=0,TODAY()-PROVEEDORES[[#This Row],[FECHA DE FACTURACIÓN]]-PROVEEDORES[[#This Row],[PLAZO Días]],0)</f>
        <v>0</v>
      </c>
      <c r="U1543" s="104">
        <f>+VLOOKUP(PROVEEDORES[[#This Row],[PROVEEDOR]],Terceros!$A:$D,4,FALSE)</f>
        <v>0</v>
      </c>
      <c r="V1543" s="105">
        <f>+YEAR(PROVEEDORES[[#This Row],[FECHA DE FACTURACIÓN]])</f>
        <v>2023</v>
      </c>
      <c r="W1543" s="105">
        <f>+MATCH(PROVEEDORES[[#This Row],[año facturado]],Retenciones!$1:$1,0)</f>
        <v>6</v>
      </c>
      <c r="X1543" s="106">
        <f>+VLOOKUP(PROVEEDORES[[#This Row],[ID RETENCION]],Retenciones!$A$1:$O$25,PROVEEDORES[[#This Row],[indicador de columna]],FALSE)</f>
        <v>0</v>
      </c>
      <c r="Y1543" s="107">
        <f>+VLOOKUP(PROVEEDORES[[#This Row],[ID RETENCION]],Retenciones!$A$1:$O$25,2,FALSE)</f>
        <v>0</v>
      </c>
      <c r="Z1543" s="116" t="b">
        <f>OR(COUNTIF(PROVEEDORES[[#This Row],[PROVEEDOR]],"*"&amp;'Palabra no opera'!$A$2&amp;"*"))</f>
        <v>0</v>
      </c>
    </row>
    <row r="1544" spans="1:26" ht="22.35" customHeight="1" x14ac:dyDescent="0.3">
      <c r="A1544" s="67" t="str">
        <f>+IF(PROVEEDORES[[#This Row],[FECHA DE PAGO]]=PROVEEDORES[[#This Row],[FECHA DE FACTURACIÓN]],"DE CONTADO","CRÉDITO")</f>
        <v>DE CONTADO</v>
      </c>
      <c r="B1544" s="38" t="b">
        <f>+IF((PROVEEDORES[[#This Row],[FECHA DE PAGO]]-PROVEEDORES[[#This Row],[FECHA DE FACTURACIÓN]])&gt;PROVEEDORES[[#This Row],[PLAZO Días]],"PAGO VENCIDO")</f>
        <v>0</v>
      </c>
      <c r="C1544" s="20">
        <f>+VLOOKUP(PROVEEDORES[[#This Row],[PROVEEDOR]],TERCEROS_INFO[#All],2,FALSE)</f>
        <v>30</v>
      </c>
      <c r="D1544" s="25">
        <f>+SUMIFS(PROVEEDORES[Total],PROVEEDORES[PROVEEDOR],PROVEEDORES[[#This Row],[PROVEEDOR]],PROVEEDORES[FECHA DE PAGO],"")</f>
        <v>0</v>
      </c>
      <c r="E1544" s="25"/>
      <c r="F1544" s="56">
        <f>+VLOOKUP(PROVEEDORES[[#This Row],[PROVEEDOR]],
                       Terceros!$A:$F,
                       5,
                       FALSE)</f>
        <v>0</v>
      </c>
      <c r="G1544" s="68">
        <v>45078</v>
      </c>
      <c r="H1544" s="26" t="s">
        <v>232</v>
      </c>
      <c r="I1544" s="68">
        <v>45078</v>
      </c>
      <c r="J1544" s="35" t="s">
        <v>1717</v>
      </c>
      <c r="K1544" s="21">
        <v>35292</v>
      </c>
      <c r="L1544" s="21"/>
      <c r="M1544" s="22">
        <f>(PROVEEDORES[[#This Row],[SUBTOTAL]]-PROVEEDORES[[#This Row],[descuento sobre subtotal]])*VLOOKUP(PROVEEDORES[[#This Row],[PROVEEDOR]],TERCEROS_INFO[#All],3,FALSE)</f>
        <v>6705.4800000000005</v>
      </c>
      <c r="N1544" s="23"/>
      <c r="O1544" s="22">
        <f>+PROVEEDORES[[#This Row],[Descuento sobre subtotal %]]*(PROVEEDORES[[#This Row],[SUBTOTAL]]-PROVEEDORES[[#This Row],[descuento sobre subtotal]])</f>
        <v>0</v>
      </c>
      <c r="P1544" s="74">
        <f>+IF(PROVEEDORES[[#This Row],[SUBTOTAL]]&lt;PROVEEDORES[[#This Row],[base retencion]],0,PROVEEDORES[[#This Row],[retención aplicada]])</f>
        <v>0</v>
      </c>
      <c r="Q1544" s="22">
        <f>+PROVEEDORES[[#This Row],[Rete Fuente %]]*(PROVEEDORES[[#This Row],[SUBTOTAL]]-PROVEEDORES[[#This Row],[descuento sobre subtotal]])</f>
        <v>0</v>
      </c>
      <c r="R1544" s="21">
        <f>+PROVEEDORES[[#This Row],[SUBTOTAL]]+PROVEEDORES[[#This Row],[IVA 19%]]-PROVEEDORES[[#This Row],[descuento sobre subtotal]]-PROVEEDORES[[#This Row],[Descuento sobre subtotal $2]]-PROVEEDORES[[#This Row],[Rete Fuente $]]</f>
        <v>41997.48</v>
      </c>
      <c r="S15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4" s="63">
        <f ca="1">IF(PROVEEDORES[[#This Row],[FECHA DE PAGO]]=0,TODAY()-PROVEEDORES[[#This Row],[FECHA DE FACTURACIÓN]]-PROVEEDORES[[#This Row],[PLAZO Días]],0)</f>
        <v>0</v>
      </c>
      <c r="U1544" s="104" t="str">
        <f>+VLOOKUP(PROVEEDORES[[#This Row],[PROVEEDOR]],Terceros!$A:$D,4,FALSE)</f>
        <v>2,5% con base</v>
      </c>
      <c r="V1544" s="105">
        <f>+YEAR(PROVEEDORES[[#This Row],[FECHA DE FACTURACIÓN]])</f>
        <v>2023</v>
      </c>
      <c r="W1544" s="105">
        <f>+MATCH(PROVEEDORES[[#This Row],[año facturado]],Retenciones!$1:$1,0)</f>
        <v>6</v>
      </c>
      <c r="X1544" s="106">
        <f>+VLOOKUP(PROVEEDORES[[#This Row],[ID RETENCION]],Retenciones!$A$1:$O$25,PROVEEDORES[[#This Row],[indicador de columna]],FALSE)</f>
        <v>1145000</v>
      </c>
      <c r="Y1544" s="107">
        <f>+VLOOKUP(PROVEEDORES[[#This Row],[ID RETENCION]],Retenciones!$A$1:$O$25,2,FALSE)</f>
        <v>2.5000000000000001E-2</v>
      </c>
      <c r="Z1544" s="116" t="b">
        <f>OR(COUNTIF(PROVEEDORES[[#This Row],[PROVEEDOR]],"*"&amp;'Palabra no opera'!$A$2&amp;"*"))</f>
        <v>0</v>
      </c>
    </row>
    <row r="1545" spans="1:26" ht="22.35" customHeight="1" x14ac:dyDescent="0.3">
      <c r="A1545" s="310" t="str">
        <f>+IF(PROVEEDORES[[#This Row],[FECHA DE PAGO]]=PROVEEDORES[[#This Row],[FECHA DE FACTURACIÓN]],"DE CONTADO","CRÉDITO")</f>
        <v>CRÉDITO</v>
      </c>
      <c r="B1545" s="38" t="str">
        <f>+IF((PROVEEDORES[[#This Row],[FECHA DE PAGO]]-PROVEEDORES[[#This Row],[FECHA DE FACTURACIÓN]])&gt;PROVEEDORES[[#This Row],[PLAZO Días]],"PAGO VENCIDO")</f>
        <v>PAGO VENCIDO</v>
      </c>
      <c r="C1545" s="20">
        <f>+VLOOKUP(PROVEEDORES[[#This Row],[PROVEEDOR]],TERCEROS_INFO[#All],2,FALSE)</f>
        <v>30</v>
      </c>
      <c r="D1545" s="25">
        <f>+SUMIFS(PROVEEDORES[Total],PROVEEDORES[PROVEEDOR],PROVEEDORES[[#This Row],[PROVEEDOR]],PROVEEDORES[FECHA DE PAGO],"")</f>
        <v>342000</v>
      </c>
      <c r="E1545" s="25"/>
      <c r="F1545" s="56" t="str">
        <f>+VLOOKUP(PROVEEDORES[[#This Row],[PROVEEDOR]],
                       Terceros!$A:$F,
                       5,
                       FALSE)</f>
        <v/>
      </c>
      <c r="G1545" s="68">
        <v>45082</v>
      </c>
      <c r="H1545" s="26" t="s">
        <v>495</v>
      </c>
      <c r="I1545" s="68">
        <v>45026</v>
      </c>
      <c r="J1545" s="35">
        <v>2002</v>
      </c>
      <c r="K1545" s="21">
        <v>343800</v>
      </c>
      <c r="L1545" s="21"/>
      <c r="M1545" s="22">
        <f>(PROVEEDORES[[#This Row],[SUBTOTAL]]-PROVEEDORES[[#This Row],[descuento sobre subtotal]])*VLOOKUP(PROVEEDORES[[#This Row],[PROVEEDOR]],TERCEROS_INFO[#All],3,FALSE)</f>
        <v>0</v>
      </c>
      <c r="N1545" s="23"/>
      <c r="O1545" s="22">
        <f>+PROVEEDORES[[#This Row],[Descuento sobre subtotal %]]*(PROVEEDORES[[#This Row],[SUBTOTAL]]-PROVEEDORES[[#This Row],[descuento sobre subtotal]])</f>
        <v>0</v>
      </c>
      <c r="P1545" s="74">
        <f>+IF(PROVEEDORES[[#This Row],[SUBTOTAL]]&lt;PROVEEDORES[[#This Row],[base retencion]],0,PROVEEDORES[[#This Row],[retención aplicada]])</f>
        <v>0</v>
      </c>
      <c r="Q1545" s="22">
        <f>+PROVEEDORES[[#This Row],[Rete Fuente %]]*(PROVEEDORES[[#This Row],[SUBTOTAL]]-PROVEEDORES[[#This Row],[descuento sobre subtotal]])</f>
        <v>0</v>
      </c>
      <c r="R1545" s="21">
        <f>+PROVEEDORES[[#This Row],[SUBTOTAL]]+PROVEEDORES[[#This Row],[IVA 19%]]-PROVEEDORES[[#This Row],[descuento sobre subtotal]]-PROVEEDORES[[#This Row],[Descuento sobre subtotal $2]]-PROVEEDORES[[#This Row],[Rete Fuente $]]</f>
        <v>343800</v>
      </c>
      <c r="S1545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5" s="63">
        <f ca="1">IF(PROVEEDORES[[#This Row],[FECHA DE PAGO]]=0,TODAY()-PROVEEDORES[[#This Row],[FECHA DE FACTURACIÓN]]-PROVEEDORES[[#This Row],[PLAZO Días]],0)</f>
        <v>0</v>
      </c>
      <c r="U1545" s="104">
        <f>+VLOOKUP(PROVEEDORES[[#This Row],[PROVEEDOR]],Terceros!$A:$D,4,FALSE)</f>
        <v>0</v>
      </c>
      <c r="V1545" s="105">
        <f>+YEAR(PROVEEDORES[[#This Row],[FECHA DE FACTURACIÓN]])</f>
        <v>2023</v>
      </c>
      <c r="W1545" s="105">
        <f>+MATCH(PROVEEDORES[[#This Row],[año facturado]],Retenciones!$1:$1,0)</f>
        <v>6</v>
      </c>
      <c r="X1545" s="106">
        <f>+VLOOKUP(PROVEEDORES[[#This Row],[ID RETENCION]],Retenciones!$A$1:$O$25,PROVEEDORES[[#This Row],[indicador de columna]],FALSE)</f>
        <v>0</v>
      </c>
      <c r="Y1545" s="107">
        <f>+VLOOKUP(PROVEEDORES[[#This Row],[ID RETENCION]],Retenciones!$A$1:$O$25,2,FALSE)</f>
        <v>0</v>
      </c>
      <c r="Z1545" s="116" t="b">
        <f>OR(COUNTIF(PROVEEDORES[[#This Row],[PROVEEDOR]],"*"&amp;'Palabra no opera'!$A$2&amp;"*"))</f>
        <v>0</v>
      </c>
    </row>
    <row r="1546" spans="1:26" ht="22.35" customHeight="1" x14ac:dyDescent="0.3">
      <c r="A1546" s="310" t="str">
        <f>+IF(PROVEEDORES[[#This Row],[FECHA DE PAGO]]=PROVEEDORES[[#This Row],[FECHA DE FACTURACIÓN]],"DE CONTADO","CRÉDITO")</f>
        <v>CRÉDITO</v>
      </c>
      <c r="B1546" s="38" t="str">
        <f>+IF((PROVEEDORES[[#This Row],[FECHA DE PAGO]]-PROVEEDORES[[#This Row],[FECHA DE FACTURACIÓN]])&gt;PROVEEDORES[[#This Row],[PLAZO Días]],"PAGO VENCIDO")</f>
        <v>PAGO VENCIDO</v>
      </c>
      <c r="C1546" s="20">
        <f>+VLOOKUP(PROVEEDORES[[#This Row],[PROVEEDOR]],TERCEROS_INFO[#All],2,FALSE)</f>
        <v>30</v>
      </c>
      <c r="D1546" s="25">
        <f>+SUMIFS(PROVEEDORES[Total],PROVEEDORES[PROVEEDOR],PROVEEDORES[[#This Row],[PROVEEDOR]],PROVEEDORES[FECHA DE PAGO],"")</f>
        <v>0</v>
      </c>
      <c r="E1546" s="25"/>
      <c r="F1546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1546" s="68">
        <v>45082</v>
      </c>
      <c r="H1546" s="26" t="s">
        <v>1622</v>
      </c>
      <c r="I1546" s="68">
        <v>45028</v>
      </c>
      <c r="J1546" s="35">
        <v>31073</v>
      </c>
      <c r="K1546" s="21">
        <v>900000</v>
      </c>
      <c r="L1546" s="21"/>
      <c r="M1546" s="22">
        <f>(PROVEEDORES[[#This Row],[SUBTOTAL]]-PROVEEDORES[[#This Row],[descuento sobre subtotal]])*VLOOKUP(PROVEEDORES[[#This Row],[PROVEEDOR]],TERCEROS_INFO[#All],3,FALSE)</f>
        <v>0</v>
      </c>
      <c r="N1546" s="23"/>
      <c r="O1546" s="22">
        <f>+PROVEEDORES[[#This Row],[Descuento sobre subtotal %]]*(PROVEEDORES[[#This Row],[SUBTOTAL]]-PROVEEDORES[[#This Row],[descuento sobre subtotal]])</f>
        <v>0</v>
      </c>
      <c r="P1546" s="74">
        <f>+IF(PROVEEDORES[[#This Row],[SUBTOTAL]]&lt;PROVEEDORES[[#This Row],[base retencion]],0,PROVEEDORES[[#This Row],[retención aplicada]])</f>
        <v>0</v>
      </c>
      <c r="Q1546" s="22">
        <f>+PROVEEDORES[[#This Row],[Rete Fuente %]]*(PROVEEDORES[[#This Row],[SUBTOTAL]]-PROVEEDORES[[#This Row],[descuento sobre subtotal]])</f>
        <v>0</v>
      </c>
      <c r="R1546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546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6" s="63">
        <f ca="1">IF(PROVEEDORES[[#This Row],[FECHA DE PAGO]]=0,TODAY()-PROVEEDORES[[#This Row],[FECHA DE FACTURACIÓN]]-PROVEEDORES[[#This Row],[PLAZO Días]],0)</f>
        <v>0</v>
      </c>
      <c r="U1546" s="104">
        <f>+VLOOKUP(PROVEEDORES[[#This Row],[PROVEEDOR]],Terceros!$A:$D,4,FALSE)</f>
        <v>0</v>
      </c>
      <c r="V1546" s="105">
        <f>+YEAR(PROVEEDORES[[#This Row],[FECHA DE FACTURACIÓN]])</f>
        <v>2023</v>
      </c>
      <c r="W1546" s="105">
        <f>+MATCH(PROVEEDORES[[#This Row],[año facturado]],Retenciones!$1:$1,0)</f>
        <v>6</v>
      </c>
      <c r="X1546" s="106">
        <f>+VLOOKUP(PROVEEDORES[[#This Row],[ID RETENCION]],Retenciones!$A$1:$O$25,PROVEEDORES[[#This Row],[indicador de columna]],FALSE)</f>
        <v>0</v>
      </c>
      <c r="Y1546" s="107">
        <f>+VLOOKUP(PROVEEDORES[[#This Row],[ID RETENCION]],Retenciones!$A$1:$O$25,2,FALSE)</f>
        <v>0</v>
      </c>
      <c r="Z1546" s="116" t="b">
        <f>OR(COUNTIF(PROVEEDORES[[#This Row],[PROVEEDOR]],"*"&amp;'Palabra no opera'!$A$2&amp;"*"))</f>
        <v>0</v>
      </c>
    </row>
    <row r="1547" spans="1:26" ht="22.35" customHeight="1" x14ac:dyDescent="0.3">
      <c r="A1547" s="310" t="str">
        <f>+IF(PROVEEDORES[[#This Row],[FECHA DE PAGO]]=PROVEEDORES[[#This Row],[FECHA DE FACTURACIÓN]],"DE CONTADO","CRÉDITO")</f>
        <v>CRÉDITO</v>
      </c>
      <c r="B1547" s="38" t="str">
        <f>+IF((PROVEEDORES[[#This Row],[FECHA DE PAGO]]-PROVEEDORES[[#This Row],[FECHA DE FACTURACIÓN]])&gt;PROVEEDORES[[#This Row],[PLAZO Días]],"PAGO VENCIDO")</f>
        <v>PAGO VENCIDO</v>
      </c>
      <c r="C1547" s="20">
        <f>+VLOOKUP(PROVEEDORES[[#This Row],[PROVEEDOR]],TERCEROS_INFO[#All],2,FALSE)</f>
        <v>30</v>
      </c>
      <c r="D1547" s="25">
        <f>+SUMIFS(PROVEEDORES[Total],PROVEEDORES[PROVEEDOR],PROVEEDORES[[#This Row],[PROVEEDOR]],PROVEEDORES[FECHA DE PAGO],"")</f>
        <v>4248480.9550000001</v>
      </c>
      <c r="E1547" s="25"/>
      <c r="F1547" s="56" t="str">
        <f>+VLOOKUP(PROVEEDORES[[#This Row],[PROVEEDOR]],
                       Terceros!$A:$F,
                       5,
                       FALSE)</f>
        <v/>
      </c>
      <c r="G1547" s="68">
        <v>45082</v>
      </c>
      <c r="H1547" s="26" t="s">
        <v>78</v>
      </c>
      <c r="I1547" s="68">
        <v>45028</v>
      </c>
      <c r="J1547" s="35" t="s">
        <v>1633</v>
      </c>
      <c r="K1547" s="21">
        <v>97619</v>
      </c>
      <c r="L1547" s="21"/>
      <c r="M1547" s="22">
        <f>(PROVEEDORES[[#This Row],[SUBTOTAL]]-PROVEEDORES[[#This Row],[descuento sobre subtotal]])*VLOOKUP(PROVEEDORES[[#This Row],[PROVEEDOR]],TERCEROS_INFO[#All],3,FALSE)</f>
        <v>18547.61</v>
      </c>
      <c r="N1547" s="23"/>
      <c r="O1547" s="22">
        <f>+PROVEEDORES[[#This Row],[Descuento sobre subtotal %]]*(PROVEEDORES[[#This Row],[SUBTOTAL]]-PROVEEDORES[[#This Row],[descuento sobre subtotal]])</f>
        <v>0</v>
      </c>
      <c r="P1547" s="74">
        <f>+IF(PROVEEDORES[[#This Row],[SUBTOTAL]]&lt;PROVEEDORES[[#This Row],[base retencion]],0,PROVEEDORES[[#This Row],[retención aplicada]])</f>
        <v>0</v>
      </c>
      <c r="Q1547" s="22">
        <f>+PROVEEDORES[[#This Row],[Rete Fuente %]]*(PROVEEDORES[[#This Row],[SUBTOTAL]]-PROVEEDORES[[#This Row],[descuento sobre subtotal]])</f>
        <v>0</v>
      </c>
      <c r="R1547" s="21">
        <f>+PROVEEDORES[[#This Row],[SUBTOTAL]]+PROVEEDORES[[#This Row],[IVA 19%]]-PROVEEDORES[[#This Row],[descuento sobre subtotal]]-PROVEEDORES[[#This Row],[Descuento sobre subtotal $2]]-PROVEEDORES[[#This Row],[Rete Fuente $]]</f>
        <v>116166.61</v>
      </c>
      <c r="S1547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7" s="63">
        <f ca="1">IF(PROVEEDORES[[#This Row],[FECHA DE PAGO]]=0,TODAY()-PROVEEDORES[[#This Row],[FECHA DE FACTURACIÓN]]-PROVEEDORES[[#This Row],[PLAZO Días]],0)</f>
        <v>0</v>
      </c>
      <c r="U1547" s="104" t="str">
        <f>+VLOOKUP(PROVEEDORES[[#This Row],[PROVEEDOR]],Terceros!$A:$D,4,FALSE)</f>
        <v>2,5% con base</v>
      </c>
      <c r="V1547" s="105">
        <f>+YEAR(PROVEEDORES[[#This Row],[FECHA DE FACTURACIÓN]])</f>
        <v>2023</v>
      </c>
      <c r="W1547" s="105">
        <f>+MATCH(PROVEEDORES[[#This Row],[año facturado]],Retenciones!$1:$1,0)</f>
        <v>6</v>
      </c>
      <c r="X1547" s="106">
        <f>+VLOOKUP(PROVEEDORES[[#This Row],[ID RETENCION]],Retenciones!$A$1:$O$25,PROVEEDORES[[#This Row],[indicador de columna]],FALSE)</f>
        <v>1145000</v>
      </c>
      <c r="Y1547" s="107">
        <f>+VLOOKUP(PROVEEDORES[[#This Row],[ID RETENCION]],Retenciones!$A$1:$O$25,2,FALSE)</f>
        <v>2.5000000000000001E-2</v>
      </c>
      <c r="Z1547" s="116" t="b">
        <f>OR(COUNTIF(PROVEEDORES[[#This Row],[PROVEEDOR]],"*"&amp;'Palabra no opera'!$A$2&amp;"*"))</f>
        <v>0</v>
      </c>
    </row>
    <row r="1548" spans="1:26" ht="22.35" customHeight="1" x14ac:dyDescent="0.3">
      <c r="A1548" s="310" t="str">
        <f>+IF(PROVEEDORES[[#This Row],[FECHA DE PAGO]]=PROVEEDORES[[#This Row],[FECHA DE FACTURACIÓN]],"DE CONTADO","CRÉDITO")</f>
        <v>CRÉDITO</v>
      </c>
      <c r="B1548" s="38" t="str">
        <f>+IF((PROVEEDORES[[#This Row],[FECHA DE PAGO]]-PROVEEDORES[[#This Row],[FECHA DE FACTURACIÓN]])&gt;PROVEEDORES[[#This Row],[PLAZO Días]],"PAGO VENCIDO")</f>
        <v>PAGO VENCIDO</v>
      </c>
      <c r="C1548" s="20">
        <f>+VLOOKUP(PROVEEDORES[[#This Row],[PROVEEDOR]],TERCEROS_INFO[#All],2,FALSE)</f>
        <v>30</v>
      </c>
      <c r="D1548" s="25">
        <f>+SUMIFS(PROVEEDORES[Total],PROVEEDORES[PROVEEDOR],PROVEEDORES[[#This Row],[PROVEEDOR]],PROVEEDORES[FECHA DE PAGO],"")</f>
        <v>4248480.9550000001</v>
      </c>
      <c r="E1548" s="25"/>
      <c r="F1548" s="56" t="str">
        <f>+VLOOKUP(PROVEEDORES[[#This Row],[PROVEEDOR]],
                       Terceros!$A:$F,
                       5,
                       FALSE)</f>
        <v/>
      </c>
      <c r="G1548" s="68">
        <v>45082</v>
      </c>
      <c r="H1548" s="26" t="s">
        <v>78</v>
      </c>
      <c r="I1548" s="68">
        <v>45040</v>
      </c>
      <c r="J1548" s="35" t="s">
        <v>1630</v>
      </c>
      <c r="K1548" s="21">
        <v>2758147</v>
      </c>
      <c r="L1548" s="21"/>
      <c r="M1548" s="22">
        <f>(PROVEEDORES[[#This Row],[SUBTOTAL]]-PROVEEDORES[[#This Row],[descuento sobre subtotal]])*VLOOKUP(PROVEEDORES[[#This Row],[PROVEEDOR]],TERCEROS_INFO[#All],3,FALSE)</f>
        <v>524047.93</v>
      </c>
      <c r="N1548" s="23"/>
      <c r="O1548" s="22">
        <f>+PROVEEDORES[[#This Row],[Descuento sobre subtotal %]]*(PROVEEDORES[[#This Row],[SUBTOTAL]]-PROVEEDORES[[#This Row],[descuento sobre subtotal]])</f>
        <v>0</v>
      </c>
      <c r="P1548" s="74">
        <f>+IF(PROVEEDORES[[#This Row],[SUBTOTAL]]&lt;PROVEEDORES[[#This Row],[base retencion]],0,PROVEEDORES[[#This Row],[retención aplicada]])</f>
        <v>2.5000000000000001E-2</v>
      </c>
      <c r="Q1548" s="22">
        <f>+PROVEEDORES[[#This Row],[Rete Fuente %]]*(PROVEEDORES[[#This Row],[SUBTOTAL]]-PROVEEDORES[[#This Row],[descuento sobre subtotal]])</f>
        <v>68953.675000000003</v>
      </c>
      <c r="R1548" s="21">
        <f>+PROVEEDORES[[#This Row],[SUBTOTAL]]+PROVEEDORES[[#This Row],[IVA 19%]]-PROVEEDORES[[#This Row],[descuento sobre subtotal]]-PROVEEDORES[[#This Row],[Descuento sobre subtotal $2]]-PROVEEDORES[[#This Row],[Rete Fuente $]]</f>
        <v>3213241.2550000004</v>
      </c>
      <c r="S154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8" s="63">
        <f ca="1">IF(PROVEEDORES[[#This Row],[FECHA DE PAGO]]=0,TODAY()-PROVEEDORES[[#This Row],[FECHA DE FACTURACIÓN]]-PROVEEDORES[[#This Row],[PLAZO Días]],0)</f>
        <v>0</v>
      </c>
      <c r="U1548" s="104" t="str">
        <f>+VLOOKUP(PROVEEDORES[[#This Row],[PROVEEDOR]],Terceros!$A:$D,4,FALSE)</f>
        <v>2,5% con base</v>
      </c>
      <c r="V1548" s="105">
        <f>+YEAR(PROVEEDORES[[#This Row],[FECHA DE FACTURACIÓN]])</f>
        <v>2023</v>
      </c>
      <c r="W1548" s="105">
        <f>+MATCH(PROVEEDORES[[#This Row],[año facturado]],Retenciones!$1:$1,0)</f>
        <v>6</v>
      </c>
      <c r="X1548" s="106">
        <f>+VLOOKUP(PROVEEDORES[[#This Row],[ID RETENCION]],Retenciones!$A$1:$O$25,PROVEEDORES[[#This Row],[indicador de columna]],FALSE)</f>
        <v>1145000</v>
      </c>
      <c r="Y1548" s="107">
        <f>+VLOOKUP(PROVEEDORES[[#This Row],[ID RETENCION]],Retenciones!$A$1:$O$25,2,FALSE)</f>
        <v>2.5000000000000001E-2</v>
      </c>
      <c r="Z1548" s="116" t="b">
        <f>OR(COUNTIF(PROVEEDORES[[#This Row],[PROVEEDOR]],"*"&amp;'Palabra no opera'!$A$2&amp;"*"))</f>
        <v>0</v>
      </c>
    </row>
    <row r="1549" spans="1:26" ht="22.35" customHeight="1" x14ac:dyDescent="0.3">
      <c r="A1549" s="310" t="str">
        <f>+IF(PROVEEDORES[[#This Row],[FECHA DE PAGO]]=PROVEEDORES[[#This Row],[FECHA DE FACTURACIÓN]],"DE CONTADO","CRÉDITO")</f>
        <v>CRÉDITO</v>
      </c>
      <c r="B1549" s="38" t="str">
        <f>+IF((PROVEEDORES[[#This Row],[FECHA DE PAGO]]-PROVEEDORES[[#This Row],[FECHA DE FACTURACIÓN]])&gt;PROVEEDORES[[#This Row],[PLAZO Días]],"PAGO VENCIDO")</f>
        <v>PAGO VENCIDO</v>
      </c>
      <c r="C1549" s="20">
        <f>+VLOOKUP(PROVEEDORES[[#This Row],[PROVEEDOR]],TERCEROS_INFO[#All],2,FALSE)</f>
        <v>30</v>
      </c>
      <c r="D1549" s="25">
        <f>+SUMIFS(PROVEEDORES[Total],PROVEEDORES[PROVEEDOR],PROVEEDORES[[#This Row],[PROVEEDOR]],PROVEEDORES[FECHA DE PAGO],"")</f>
        <v>4248480.9550000001</v>
      </c>
      <c r="E1549" s="25"/>
      <c r="F1549" s="56" t="str">
        <f>+VLOOKUP(PROVEEDORES[[#This Row],[PROVEEDOR]],
                       Terceros!$A:$F,
                       5,
                       FALSE)</f>
        <v/>
      </c>
      <c r="G1549" s="68">
        <v>45082</v>
      </c>
      <c r="H1549" s="26" t="s">
        <v>78</v>
      </c>
      <c r="I1549" s="68">
        <v>45040</v>
      </c>
      <c r="J1549" s="35" t="s">
        <v>1632</v>
      </c>
      <c r="K1549" s="21">
        <v>23527</v>
      </c>
      <c r="L1549" s="21"/>
      <c r="M1549" s="22">
        <f>(PROVEEDORES[[#This Row],[SUBTOTAL]]-PROVEEDORES[[#This Row],[descuento sobre subtotal]])*VLOOKUP(PROVEEDORES[[#This Row],[PROVEEDOR]],TERCEROS_INFO[#All],3,FALSE)</f>
        <v>4470.13</v>
      </c>
      <c r="N1549" s="23"/>
      <c r="O1549" s="22">
        <f>+PROVEEDORES[[#This Row],[Descuento sobre subtotal %]]*(PROVEEDORES[[#This Row],[SUBTOTAL]]-PROVEEDORES[[#This Row],[descuento sobre subtotal]])</f>
        <v>0</v>
      </c>
      <c r="P1549" s="74">
        <f>+IF(PROVEEDORES[[#This Row],[SUBTOTAL]]&lt;PROVEEDORES[[#This Row],[base retencion]],0,PROVEEDORES[[#This Row],[retención aplicada]])</f>
        <v>0</v>
      </c>
      <c r="Q1549" s="22">
        <f>+PROVEEDORES[[#This Row],[Rete Fuente %]]*(PROVEEDORES[[#This Row],[SUBTOTAL]]-PROVEEDORES[[#This Row],[descuento sobre subtotal]])</f>
        <v>0</v>
      </c>
      <c r="R1549" s="21">
        <f>+PROVEEDORES[[#This Row],[SUBTOTAL]]+PROVEEDORES[[#This Row],[IVA 19%]]-PROVEEDORES[[#This Row],[descuento sobre subtotal]]-PROVEEDORES[[#This Row],[Descuento sobre subtotal $2]]-PROVEEDORES[[#This Row],[Rete Fuente $]]</f>
        <v>27997.13</v>
      </c>
      <c r="S1549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9" s="63">
        <f ca="1">IF(PROVEEDORES[[#This Row],[FECHA DE PAGO]]=0,TODAY()-PROVEEDORES[[#This Row],[FECHA DE FACTURACIÓN]]-PROVEEDORES[[#This Row],[PLAZO Días]],0)</f>
        <v>0</v>
      </c>
      <c r="U1549" s="104" t="str">
        <f>+VLOOKUP(PROVEEDORES[[#This Row],[PROVEEDOR]],Terceros!$A:$D,4,FALSE)</f>
        <v>2,5% con base</v>
      </c>
      <c r="V1549" s="105">
        <f>+YEAR(PROVEEDORES[[#This Row],[FECHA DE FACTURACIÓN]])</f>
        <v>2023</v>
      </c>
      <c r="W1549" s="105">
        <f>+MATCH(PROVEEDORES[[#This Row],[año facturado]],Retenciones!$1:$1,0)</f>
        <v>6</v>
      </c>
      <c r="X1549" s="106">
        <f>+VLOOKUP(PROVEEDORES[[#This Row],[ID RETENCION]],Retenciones!$A$1:$O$25,PROVEEDORES[[#This Row],[indicador de columna]],FALSE)</f>
        <v>1145000</v>
      </c>
      <c r="Y1549" s="107">
        <f>+VLOOKUP(PROVEEDORES[[#This Row],[ID RETENCION]],Retenciones!$A$1:$O$25,2,FALSE)</f>
        <v>2.5000000000000001E-2</v>
      </c>
      <c r="Z1549" s="116" t="b">
        <f>OR(COUNTIF(PROVEEDORES[[#This Row],[PROVEEDOR]],"*"&amp;'Palabra no opera'!$A$2&amp;"*"))</f>
        <v>0</v>
      </c>
    </row>
    <row r="1550" spans="1:26" ht="22.35" customHeight="1" x14ac:dyDescent="0.3">
      <c r="A1550" s="67" t="str">
        <f>+IF(PROVEEDORES[[#This Row],[FECHA DE PAGO]]=PROVEEDORES[[#This Row],[FECHA DE FACTURACIÓN]],"DE CONTADO","CRÉDITO")</f>
        <v>CRÉDITO</v>
      </c>
      <c r="B1550" s="38" t="str">
        <f>+IF((PROVEEDORES[[#This Row],[FECHA DE PAGO]]-PROVEEDORES[[#This Row],[FECHA DE FACTURACIÓN]])&gt;PROVEEDORES[[#This Row],[PLAZO Días]],"PAGO VENCIDO")</f>
        <v>PAGO VENCIDO</v>
      </c>
      <c r="C1550" s="20">
        <f>+VLOOKUP(PROVEEDORES[[#This Row],[PROVEEDOR]],TERCEROS_INFO[#All],2,FALSE)</f>
        <v>30</v>
      </c>
      <c r="D1550" s="25">
        <f>+SUMIFS(PROVEEDORES[Total],PROVEEDORES[PROVEEDOR],PROVEEDORES[[#This Row],[PROVEEDOR]],PROVEEDORES[FECHA DE PAGO],"")</f>
        <v>0</v>
      </c>
      <c r="E1550" s="25"/>
      <c r="F1550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550" s="68">
        <v>45082</v>
      </c>
      <c r="H1550" s="26" t="s">
        <v>857</v>
      </c>
      <c r="I1550" s="68">
        <v>44999</v>
      </c>
      <c r="J1550" s="35" t="s">
        <v>1501</v>
      </c>
      <c r="K1550" s="21">
        <v>315126</v>
      </c>
      <c r="L1550" s="21"/>
      <c r="M1550" s="22">
        <f>(PROVEEDORES[[#This Row],[SUBTOTAL]]-PROVEEDORES[[#This Row],[descuento sobre subtotal]])*VLOOKUP(PROVEEDORES[[#This Row],[PROVEEDOR]],TERCEROS_INFO[#All],3,FALSE)</f>
        <v>59873.94</v>
      </c>
      <c r="N1550" s="23"/>
      <c r="O1550" s="22">
        <f>+PROVEEDORES[[#This Row],[Descuento sobre subtotal %]]*(PROVEEDORES[[#This Row],[SUBTOTAL]]-PROVEEDORES[[#This Row],[descuento sobre subtotal]])</f>
        <v>0</v>
      </c>
      <c r="P1550" s="74">
        <f>+IF(PROVEEDORES[[#This Row],[SUBTOTAL]]&lt;PROVEEDORES[[#This Row],[base retencion]],0,PROVEEDORES[[#This Row],[retención aplicada]])</f>
        <v>0</v>
      </c>
      <c r="Q1550" s="22">
        <f>+PROVEEDORES[[#This Row],[Rete Fuente %]]*(PROVEEDORES[[#This Row],[SUBTOTAL]]-PROVEEDORES[[#This Row],[descuento sobre subtotal]])</f>
        <v>0</v>
      </c>
      <c r="R1550" s="21">
        <f>+PROVEEDORES[[#This Row],[SUBTOTAL]]+PROVEEDORES[[#This Row],[IVA 19%]]-PROVEEDORES[[#This Row],[descuento sobre subtotal]]-PROVEEDORES[[#This Row],[Descuento sobre subtotal $2]]-PROVEEDORES[[#This Row],[Rete Fuente $]]</f>
        <v>374999.94</v>
      </c>
      <c r="S15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0" s="63">
        <f ca="1">IF(PROVEEDORES[[#This Row],[FECHA DE PAGO]]=0,TODAY()-PROVEEDORES[[#This Row],[FECHA DE FACTURACIÓN]]-PROVEEDORES[[#This Row],[PLAZO Días]],0)</f>
        <v>0</v>
      </c>
      <c r="U1550" s="104" t="str">
        <f>+VLOOKUP(PROVEEDORES[[#This Row],[PROVEEDOR]],Terceros!$A:$D,4,FALSE)</f>
        <v>2,5% con base</v>
      </c>
      <c r="V1550" s="105">
        <f>+YEAR(PROVEEDORES[[#This Row],[FECHA DE FACTURACIÓN]])</f>
        <v>2023</v>
      </c>
      <c r="W1550" s="105">
        <f>+MATCH(PROVEEDORES[[#This Row],[año facturado]],Retenciones!$1:$1,0)</f>
        <v>6</v>
      </c>
      <c r="X1550" s="106">
        <f>+VLOOKUP(PROVEEDORES[[#This Row],[ID RETENCION]],Retenciones!$A$1:$O$25,PROVEEDORES[[#This Row],[indicador de columna]],FALSE)</f>
        <v>1145000</v>
      </c>
      <c r="Y1550" s="107">
        <f>+VLOOKUP(PROVEEDORES[[#This Row],[ID RETENCION]],Retenciones!$A$1:$O$25,2,FALSE)</f>
        <v>2.5000000000000001E-2</v>
      </c>
      <c r="Z1550" s="116" t="b">
        <f>OR(COUNTIF(PROVEEDORES[[#This Row],[PROVEEDOR]],"*"&amp;'Palabra no opera'!$A$2&amp;"*"))</f>
        <v>0</v>
      </c>
    </row>
    <row r="1551" spans="1:26" ht="22.35" customHeight="1" x14ac:dyDescent="0.3">
      <c r="A1551" s="67" t="str">
        <f>+IF(PROVEEDORES[[#This Row],[FECHA DE PAGO]]=PROVEEDORES[[#This Row],[FECHA DE FACTURACIÓN]],"DE CONTADO","CRÉDITO")</f>
        <v>CRÉDITO</v>
      </c>
      <c r="B1551" s="38" t="str">
        <f>+IF((PROVEEDORES[[#This Row],[FECHA DE PAGO]]-PROVEEDORES[[#This Row],[FECHA DE FACTURACIÓN]])&gt;PROVEEDORES[[#This Row],[PLAZO Días]],"PAGO VENCIDO")</f>
        <v>PAGO VENCIDO</v>
      </c>
      <c r="C1551" s="20">
        <f>+VLOOKUP(PROVEEDORES[[#This Row],[PROVEEDOR]],TERCEROS_INFO[#All],2,FALSE)</f>
        <v>30</v>
      </c>
      <c r="D1551" s="25">
        <f>+SUMIFS(PROVEEDORES[Total],PROVEEDORES[PROVEEDOR],PROVEEDORES[[#This Row],[PROVEEDOR]],PROVEEDORES[FECHA DE PAGO],"")</f>
        <v>0</v>
      </c>
      <c r="E1551" s="25"/>
      <c r="F1551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551" s="68">
        <v>45082</v>
      </c>
      <c r="H1551" s="26" t="s">
        <v>857</v>
      </c>
      <c r="I1551" s="68">
        <v>45026</v>
      </c>
      <c r="J1551" s="35" t="s">
        <v>1713</v>
      </c>
      <c r="K1551" s="21">
        <v>3108403</v>
      </c>
      <c r="L1551" s="21"/>
      <c r="M1551" s="22">
        <f>(PROVEEDORES[[#This Row],[SUBTOTAL]]-PROVEEDORES[[#This Row],[descuento sobre subtotal]])*VLOOKUP(PROVEEDORES[[#This Row],[PROVEEDOR]],TERCEROS_INFO[#All],3,FALSE)</f>
        <v>590596.56999999995</v>
      </c>
      <c r="N1551" s="23"/>
      <c r="O1551" s="22">
        <f>+PROVEEDORES[[#This Row],[Descuento sobre subtotal %]]*(PROVEEDORES[[#This Row],[SUBTOTAL]]-PROVEEDORES[[#This Row],[descuento sobre subtotal]])</f>
        <v>0</v>
      </c>
      <c r="P1551" s="74">
        <f>+IF(PROVEEDORES[[#This Row],[SUBTOTAL]]&lt;PROVEEDORES[[#This Row],[base retencion]],0,PROVEEDORES[[#This Row],[retención aplicada]])</f>
        <v>2.5000000000000001E-2</v>
      </c>
      <c r="Q1551" s="22">
        <f>+PROVEEDORES[[#This Row],[Rete Fuente %]]*(PROVEEDORES[[#This Row],[SUBTOTAL]]-PROVEEDORES[[#This Row],[descuento sobre subtotal]])</f>
        <v>77710.074999999997</v>
      </c>
      <c r="R1551" s="21">
        <f>+PROVEEDORES[[#This Row],[SUBTOTAL]]+PROVEEDORES[[#This Row],[IVA 19%]]-PROVEEDORES[[#This Row],[descuento sobre subtotal]]-PROVEEDORES[[#This Row],[Descuento sobre subtotal $2]]-PROVEEDORES[[#This Row],[Rete Fuente $]]</f>
        <v>3621289.4949999996</v>
      </c>
      <c r="S15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1" s="63">
        <f ca="1">IF(PROVEEDORES[[#This Row],[FECHA DE PAGO]]=0,TODAY()-PROVEEDORES[[#This Row],[FECHA DE FACTURACIÓN]]-PROVEEDORES[[#This Row],[PLAZO Días]],0)</f>
        <v>0</v>
      </c>
      <c r="U1551" s="104" t="str">
        <f>+VLOOKUP(PROVEEDORES[[#This Row],[PROVEEDOR]],Terceros!$A:$D,4,FALSE)</f>
        <v>2,5% con base</v>
      </c>
      <c r="V1551" s="105">
        <f>+YEAR(PROVEEDORES[[#This Row],[FECHA DE FACTURACIÓN]])</f>
        <v>2023</v>
      </c>
      <c r="W1551" s="105">
        <f>+MATCH(PROVEEDORES[[#This Row],[año facturado]],Retenciones!$1:$1,0)</f>
        <v>6</v>
      </c>
      <c r="X1551" s="106">
        <f>+VLOOKUP(PROVEEDORES[[#This Row],[ID RETENCION]],Retenciones!$A$1:$O$25,PROVEEDORES[[#This Row],[indicador de columna]],FALSE)</f>
        <v>1145000</v>
      </c>
      <c r="Y1551" s="107">
        <f>+VLOOKUP(PROVEEDORES[[#This Row],[ID RETENCION]],Retenciones!$A$1:$O$25,2,FALSE)</f>
        <v>2.5000000000000001E-2</v>
      </c>
      <c r="Z1551" s="116" t="b">
        <f>OR(COUNTIF(PROVEEDORES[[#This Row],[PROVEEDOR]],"*"&amp;'Palabra no opera'!$A$2&amp;"*"))</f>
        <v>0</v>
      </c>
    </row>
    <row r="1552" spans="1:26" ht="22.35" customHeight="1" x14ac:dyDescent="0.3">
      <c r="A1552" s="280" t="str">
        <f>+IF(PROVEEDORES[[#This Row],[FECHA DE PAGO]]=PROVEEDORES[[#This Row],[FECHA DE FACTURACIÓN]],"DE CONTADO","CRÉDITO")</f>
        <v>CRÉDITO</v>
      </c>
      <c r="B1552" s="38" t="str">
        <f>+IF((PROVEEDORES[[#This Row],[FECHA DE PAGO]]-PROVEEDORES[[#This Row],[FECHA DE FACTURACIÓN]])&gt;PROVEEDORES[[#This Row],[PLAZO Días]],"PAGO VENCIDO")</f>
        <v>PAGO VENCIDO</v>
      </c>
      <c r="C1552" s="20">
        <f>+VLOOKUP(PROVEEDORES[[#This Row],[PROVEEDOR]],TERCEROS_INFO[#All],2,FALSE)</f>
        <v>30</v>
      </c>
      <c r="D1552" s="25">
        <f>+SUMIFS(PROVEEDORES[Total],PROVEEDORES[PROVEEDOR],PROVEEDORES[[#This Row],[PROVEEDOR]],PROVEEDORES[FECHA DE PAGO],"")</f>
        <v>10321993.199999999</v>
      </c>
      <c r="E1552" s="25"/>
      <c r="F1552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2" s="68">
        <v>45082</v>
      </c>
      <c r="H1552" s="26" t="s">
        <v>1068</v>
      </c>
      <c r="I1552" s="68">
        <v>45013</v>
      </c>
      <c r="J1552" s="35" t="s">
        <v>1545</v>
      </c>
      <c r="K1552" s="21">
        <v>2185344</v>
      </c>
      <c r="L1552" s="21">
        <v>63334</v>
      </c>
      <c r="M1552" s="22">
        <f>(PROVEEDORES[[#This Row],[SUBTOTAL]]-PROVEEDORES[[#This Row],[descuento sobre subtotal]])*VLOOKUP(PROVEEDORES[[#This Row],[PROVEEDOR]],TERCEROS_INFO[#All],3,FALSE)</f>
        <v>403181.9</v>
      </c>
      <c r="N1552" s="23"/>
      <c r="O1552" s="22">
        <f>+PROVEEDORES[[#This Row],[Descuento sobre subtotal %]]*(PROVEEDORES[[#This Row],[SUBTOTAL]]-PROVEEDORES[[#This Row],[descuento sobre subtotal]])</f>
        <v>0</v>
      </c>
      <c r="P1552" s="74">
        <f>+IF(PROVEEDORES[[#This Row],[SUBTOTAL]]&lt;PROVEEDORES[[#This Row],[base retencion]],0,PROVEEDORES[[#This Row],[retención aplicada]])</f>
        <v>2.5000000000000001E-2</v>
      </c>
      <c r="Q1552" s="22">
        <f>+PROVEEDORES[[#This Row],[Rete Fuente %]]*(PROVEEDORES[[#This Row],[SUBTOTAL]]-PROVEEDORES[[#This Row],[descuento sobre subtotal]])</f>
        <v>53050.25</v>
      </c>
      <c r="R1552" s="21">
        <f>+PROVEEDORES[[#This Row],[SUBTOTAL]]+PROVEEDORES[[#This Row],[IVA 19%]]-PROVEEDORES[[#This Row],[descuento sobre subtotal]]-PROVEEDORES[[#This Row],[Descuento sobre subtotal $2]]-PROVEEDORES[[#This Row],[Rete Fuente $]]</f>
        <v>2472141.65</v>
      </c>
      <c r="S1552" s="2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2" s="63">
        <f ca="1">IF(PROVEEDORES[[#This Row],[FECHA DE PAGO]]=0,TODAY()-PROVEEDORES[[#This Row],[FECHA DE FACTURACIÓN]]-PROVEEDORES[[#This Row],[PLAZO Días]],0)</f>
        <v>0</v>
      </c>
      <c r="U1552" s="104" t="str">
        <f>+VLOOKUP(PROVEEDORES[[#This Row],[PROVEEDOR]],Terceros!$A:$D,4,FALSE)</f>
        <v>2,5% con base</v>
      </c>
      <c r="V1552" s="105">
        <f>+YEAR(PROVEEDORES[[#This Row],[FECHA DE FACTURACIÓN]])</f>
        <v>2023</v>
      </c>
      <c r="W1552" s="105">
        <f>+MATCH(PROVEEDORES[[#This Row],[año facturado]],Retenciones!$1:$1,0)</f>
        <v>6</v>
      </c>
      <c r="X1552" s="106">
        <f>+VLOOKUP(PROVEEDORES[[#This Row],[ID RETENCION]],Retenciones!$A$1:$O$25,PROVEEDORES[[#This Row],[indicador de columna]],FALSE)</f>
        <v>1145000</v>
      </c>
      <c r="Y1552" s="107">
        <f>+VLOOKUP(PROVEEDORES[[#This Row],[ID RETENCION]],Retenciones!$A$1:$O$25,2,FALSE)</f>
        <v>2.5000000000000001E-2</v>
      </c>
      <c r="Z1552" s="116" t="b">
        <f>OR(COUNTIF(PROVEEDORES[[#This Row],[PROVEEDOR]],"*"&amp;'Palabra no opera'!$A$2&amp;"*"))</f>
        <v>0</v>
      </c>
    </row>
    <row r="1553" spans="1:26" ht="22.35" customHeight="1" x14ac:dyDescent="0.3">
      <c r="A1553" s="310" t="str">
        <f>+IF(PROVEEDORES[[#This Row],[FECHA DE PAGO]]=PROVEEDORES[[#This Row],[FECHA DE FACTURACIÓN]],"DE CONTADO","CRÉDITO")</f>
        <v>CRÉDITO</v>
      </c>
      <c r="B1553" s="38" t="str">
        <f>+IF((PROVEEDORES[[#This Row],[FECHA DE PAGO]]-PROVEEDORES[[#This Row],[FECHA DE FACTURACIÓN]])&gt;PROVEEDORES[[#This Row],[PLAZO Días]],"PAGO VENCIDO")</f>
        <v>PAGO VENCIDO</v>
      </c>
      <c r="C1553" s="20">
        <f>+VLOOKUP(PROVEEDORES[[#This Row],[PROVEEDOR]],TERCEROS_INFO[#All],2,FALSE)</f>
        <v>30</v>
      </c>
      <c r="D1553" s="25">
        <f>+SUMIFS(PROVEEDORES[Total],PROVEEDORES[PROVEEDOR],PROVEEDORES[[#This Row],[PROVEEDOR]],PROVEEDORES[FECHA DE PAGO],"")</f>
        <v>10321993.199999999</v>
      </c>
      <c r="E1553" s="25"/>
      <c r="F1553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3" s="68">
        <v>45082</v>
      </c>
      <c r="H1553" s="26" t="s">
        <v>1068</v>
      </c>
      <c r="I1553" s="68">
        <v>45034</v>
      </c>
      <c r="J1553" s="35" t="s">
        <v>1639</v>
      </c>
      <c r="K1553" s="21">
        <v>436000</v>
      </c>
      <c r="L1553" s="21"/>
      <c r="M1553" s="22">
        <f>(PROVEEDORES[[#This Row],[SUBTOTAL]]-PROVEEDORES[[#This Row],[descuento sobre subtotal]])*VLOOKUP(PROVEEDORES[[#This Row],[PROVEEDOR]],TERCEROS_INFO[#All],3,FALSE)</f>
        <v>82840</v>
      </c>
      <c r="N1553" s="23"/>
      <c r="O1553" s="22">
        <f>+PROVEEDORES[[#This Row],[Descuento sobre subtotal %]]*(PROVEEDORES[[#This Row],[SUBTOTAL]]-PROVEEDORES[[#This Row],[descuento sobre subtotal]])</f>
        <v>0</v>
      </c>
      <c r="P1553" s="74">
        <f>+IF(PROVEEDORES[[#This Row],[SUBTOTAL]]&lt;PROVEEDORES[[#This Row],[base retencion]],0,PROVEEDORES[[#This Row],[retención aplicada]])</f>
        <v>0</v>
      </c>
      <c r="Q1553" s="22">
        <f>+PROVEEDORES[[#This Row],[Rete Fuente %]]*(PROVEEDORES[[#This Row],[SUBTOTAL]]-PROVEEDORES[[#This Row],[descuento sobre subtotal]])</f>
        <v>0</v>
      </c>
      <c r="R1553" s="21">
        <f>+PROVEEDORES[[#This Row],[SUBTOTAL]]+PROVEEDORES[[#This Row],[IVA 19%]]-PROVEEDORES[[#This Row],[descuento sobre subtotal]]-PROVEEDORES[[#This Row],[Descuento sobre subtotal $2]]-PROVEEDORES[[#This Row],[Rete Fuente $]]</f>
        <v>518840</v>
      </c>
      <c r="S155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3" s="63">
        <f ca="1">IF(PROVEEDORES[[#This Row],[FECHA DE PAGO]]=0,TODAY()-PROVEEDORES[[#This Row],[FECHA DE FACTURACIÓN]]-PROVEEDORES[[#This Row],[PLAZO Días]],0)</f>
        <v>0</v>
      </c>
      <c r="U1553" s="104" t="str">
        <f>+VLOOKUP(PROVEEDORES[[#This Row],[PROVEEDOR]],Terceros!$A:$D,4,FALSE)</f>
        <v>2,5% con base</v>
      </c>
      <c r="V1553" s="105">
        <f>+YEAR(PROVEEDORES[[#This Row],[FECHA DE FACTURACIÓN]])</f>
        <v>2023</v>
      </c>
      <c r="W1553" s="105">
        <f>+MATCH(PROVEEDORES[[#This Row],[año facturado]],Retenciones!$1:$1,0)</f>
        <v>6</v>
      </c>
      <c r="X1553" s="106">
        <f>+VLOOKUP(PROVEEDORES[[#This Row],[ID RETENCION]],Retenciones!$A$1:$O$25,PROVEEDORES[[#This Row],[indicador de columna]],FALSE)</f>
        <v>1145000</v>
      </c>
      <c r="Y1553" s="107">
        <f>+VLOOKUP(PROVEEDORES[[#This Row],[ID RETENCION]],Retenciones!$A$1:$O$25,2,FALSE)</f>
        <v>2.5000000000000001E-2</v>
      </c>
      <c r="Z1553" s="116" t="b">
        <f>OR(COUNTIF(PROVEEDORES[[#This Row],[PROVEEDOR]],"*"&amp;'Palabra no opera'!$A$2&amp;"*"))</f>
        <v>0</v>
      </c>
    </row>
    <row r="1554" spans="1:26" ht="22.35" customHeight="1" x14ac:dyDescent="0.3">
      <c r="A1554" s="310" t="str">
        <f>+IF(PROVEEDORES[[#This Row],[FECHA DE PAGO]]=PROVEEDORES[[#This Row],[FECHA DE FACTURACIÓN]],"DE CONTADO","CRÉDITO")</f>
        <v>CRÉDITO</v>
      </c>
      <c r="B1554" s="38" t="str">
        <f>+IF((PROVEEDORES[[#This Row],[FECHA DE PAGO]]-PROVEEDORES[[#This Row],[FECHA DE FACTURACIÓN]])&gt;PROVEEDORES[[#This Row],[PLAZO Días]],"PAGO VENCIDO")</f>
        <v>PAGO VENCIDO</v>
      </c>
      <c r="C1554" s="20">
        <f>+VLOOKUP(PROVEEDORES[[#This Row],[PROVEEDOR]],TERCEROS_INFO[#All],2,FALSE)</f>
        <v>30</v>
      </c>
      <c r="D1554" s="25">
        <f>+SUMIFS(PROVEEDORES[Total],PROVEEDORES[PROVEEDOR],PROVEEDORES[[#This Row],[PROVEEDOR]],PROVEEDORES[FECHA DE PAGO],"")</f>
        <v>10321993.199999999</v>
      </c>
      <c r="E1554" s="25"/>
      <c r="F1554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4" s="68">
        <v>45082</v>
      </c>
      <c r="H1554" s="26" t="s">
        <v>1068</v>
      </c>
      <c r="I1554" s="68">
        <v>45036</v>
      </c>
      <c r="J1554" s="35" t="s">
        <v>1640</v>
      </c>
      <c r="K1554" s="21">
        <v>1260000</v>
      </c>
      <c r="L1554" s="21"/>
      <c r="M1554" s="22">
        <f>(PROVEEDORES[[#This Row],[SUBTOTAL]]-PROVEEDORES[[#This Row],[descuento sobre subtotal]])*VLOOKUP(PROVEEDORES[[#This Row],[PROVEEDOR]],TERCEROS_INFO[#All],3,FALSE)</f>
        <v>239400</v>
      </c>
      <c r="N1554" s="23"/>
      <c r="O1554" s="22">
        <f>+PROVEEDORES[[#This Row],[Descuento sobre subtotal %]]*(PROVEEDORES[[#This Row],[SUBTOTAL]]-PROVEEDORES[[#This Row],[descuento sobre subtotal]])</f>
        <v>0</v>
      </c>
      <c r="P1554" s="74">
        <f>+IF(PROVEEDORES[[#This Row],[SUBTOTAL]]&lt;PROVEEDORES[[#This Row],[base retencion]],0,PROVEEDORES[[#This Row],[retención aplicada]])</f>
        <v>2.5000000000000001E-2</v>
      </c>
      <c r="Q1554" s="22">
        <f>+PROVEEDORES[[#This Row],[Rete Fuente %]]*(PROVEEDORES[[#This Row],[SUBTOTAL]]-PROVEEDORES[[#This Row],[descuento sobre subtotal]])</f>
        <v>31500</v>
      </c>
      <c r="R1554" s="21">
        <f>+PROVEEDORES[[#This Row],[SUBTOTAL]]+PROVEEDORES[[#This Row],[IVA 19%]]-PROVEEDORES[[#This Row],[descuento sobre subtotal]]-PROVEEDORES[[#This Row],[Descuento sobre subtotal $2]]-PROVEEDORES[[#This Row],[Rete Fuente $]]</f>
        <v>1467900</v>
      </c>
      <c r="S1554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4" s="63">
        <f ca="1">IF(PROVEEDORES[[#This Row],[FECHA DE PAGO]]=0,TODAY()-PROVEEDORES[[#This Row],[FECHA DE FACTURACIÓN]]-PROVEEDORES[[#This Row],[PLAZO Días]],0)</f>
        <v>0</v>
      </c>
      <c r="U1554" s="104" t="str">
        <f>+VLOOKUP(PROVEEDORES[[#This Row],[PROVEEDOR]],Terceros!$A:$D,4,FALSE)</f>
        <v>2,5% con base</v>
      </c>
      <c r="V1554" s="105">
        <f>+YEAR(PROVEEDORES[[#This Row],[FECHA DE FACTURACIÓN]])</f>
        <v>2023</v>
      </c>
      <c r="W1554" s="105">
        <f>+MATCH(PROVEEDORES[[#This Row],[año facturado]],Retenciones!$1:$1,0)</f>
        <v>6</v>
      </c>
      <c r="X1554" s="106">
        <f>+VLOOKUP(PROVEEDORES[[#This Row],[ID RETENCION]],Retenciones!$A$1:$O$25,PROVEEDORES[[#This Row],[indicador de columna]],FALSE)</f>
        <v>1145000</v>
      </c>
      <c r="Y1554" s="107">
        <f>+VLOOKUP(PROVEEDORES[[#This Row],[ID RETENCION]],Retenciones!$A$1:$O$25,2,FALSE)</f>
        <v>2.5000000000000001E-2</v>
      </c>
      <c r="Z1554" s="116" t="b">
        <f>OR(COUNTIF(PROVEEDORES[[#This Row],[PROVEEDOR]],"*"&amp;'Palabra no opera'!$A$2&amp;"*"))</f>
        <v>0</v>
      </c>
    </row>
    <row r="1555" spans="1:26" ht="22.35" customHeight="1" x14ac:dyDescent="0.3">
      <c r="A1555" s="310" t="str">
        <f>+IF(PROVEEDORES[[#This Row],[FECHA DE PAGO]]=PROVEEDORES[[#This Row],[FECHA DE FACTURACIÓN]],"DE CONTADO","CRÉDITO")</f>
        <v>CRÉDITO</v>
      </c>
      <c r="B1555" s="38" t="str">
        <f>+IF((PROVEEDORES[[#This Row],[FECHA DE PAGO]]-PROVEEDORES[[#This Row],[FECHA DE FACTURACIÓN]])&gt;PROVEEDORES[[#This Row],[PLAZO Días]],"PAGO VENCIDO")</f>
        <v>PAGO VENCIDO</v>
      </c>
      <c r="C1555" s="20">
        <f>+VLOOKUP(PROVEEDORES[[#This Row],[PROVEEDOR]],TERCEROS_INFO[#All],2,FALSE)</f>
        <v>30</v>
      </c>
      <c r="D1555" s="25">
        <f>+SUMIFS(PROVEEDORES[Total],PROVEEDORES[PROVEEDOR],PROVEEDORES[[#This Row],[PROVEEDOR]],PROVEEDORES[FECHA DE PAGO],"")</f>
        <v>10321993.199999999</v>
      </c>
      <c r="E1555" s="25"/>
      <c r="F1555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5" s="68">
        <v>45082</v>
      </c>
      <c r="H1555" s="26" t="s">
        <v>1068</v>
      </c>
      <c r="I1555" s="68">
        <v>45037</v>
      </c>
      <c r="J1555" s="35" t="s">
        <v>1641</v>
      </c>
      <c r="K1555" s="21">
        <v>436000</v>
      </c>
      <c r="L1555" s="21"/>
      <c r="M1555" s="22">
        <f>(PROVEEDORES[[#This Row],[SUBTOTAL]]-PROVEEDORES[[#This Row],[descuento sobre subtotal]])*VLOOKUP(PROVEEDORES[[#This Row],[PROVEEDOR]],TERCEROS_INFO[#All],3,FALSE)</f>
        <v>82840</v>
      </c>
      <c r="N1555" s="23"/>
      <c r="O1555" s="22">
        <f>+PROVEEDORES[[#This Row],[Descuento sobre subtotal %]]*(PROVEEDORES[[#This Row],[SUBTOTAL]]-PROVEEDORES[[#This Row],[descuento sobre subtotal]])</f>
        <v>0</v>
      </c>
      <c r="P1555" s="74">
        <f>+IF(PROVEEDORES[[#This Row],[SUBTOTAL]]&lt;PROVEEDORES[[#This Row],[base retencion]],0,PROVEEDORES[[#This Row],[retención aplicada]])</f>
        <v>0</v>
      </c>
      <c r="Q1555" s="22">
        <f>+PROVEEDORES[[#This Row],[Rete Fuente %]]*(PROVEEDORES[[#This Row],[SUBTOTAL]]-PROVEEDORES[[#This Row],[descuento sobre subtotal]])</f>
        <v>0</v>
      </c>
      <c r="R1555" s="21">
        <f>+PROVEEDORES[[#This Row],[SUBTOTAL]]+PROVEEDORES[[#This Row],[IVA 19%]]-PROVEEDORES[[#This Row],[descuento sobre subtotal]]-PROVEEDORES[[#This Row],[Descuento sobre subtotal $2]]-PROVEEDORES[[#This Row],[Rete Fuente $]]</f>
        <v>518840</v>
      </c>
      <c r="S1555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5" s="63">
        <f ca="1">IF(PROVEEDORES[[#This Row],[FECHA DE PAGO]]=0,TODAY()-PROVEEDORES[[#This Row],[FECHA DE FACTURACIÓN]]-PROVEEDORES[[#This Row],[PLAZO Días]],0)</f>
        <v>0</v>
      </c>
      <c r="U1555" s="104" t="str">
        <f>+VLOOKUP(PROVEEDORES[[#This Row],[PROVEEDOR]],Terceros!$A:$D,4,FALSE)</f>
        <v>2,5% con base</v>
      </c>
      <c r="V1555" s="105">
        <f>+YEAR(PROVEEDORES[[#This Row],[FECHA DE FACTURACIÓN]])</f>
        <v>2023</v>
      </c>
      <c r="W1555" s="105">
        <f>+MATCH(PROVEEDORES[[#This Row],[año facturado]],Retenciones!$1:$1,0)</f>
        <v>6</v>
      </c>
      <c r="X1555" s="106">
        <f>+VLOOKUP(PROVEEDORES[[#This Row],[ID RETENCION]],Retenciones!$A$1:$O$25,PROVEEDORES[[#This Row],[indicador de columna]],FALSE)</f>
        <v>1145000</v>
      </c>
      <c r="Y1555" s="107">
        <f>+VLOOKUP(PROVEEDORES[[#This Row],[ID RETENCION]],Retenciones!$A$1:$O$25,2,FALSE)</f>
        <v>2.5000000000000001E-2</v>
      </c>
      <c r="Z1555" s="116" t="b">
        <f>OR(COUNTIF(PROVEEDORES[[#This Row],[PROVEEDOR]],"*"&amp;'Palabra no opera'!$A$2&amp;"*"))</f>
        <v>0</v>
      </c>
    </row>
    <row r="1556" spans="1:26" ht="22.35" customHeight="1" x14ac:dyDescent="0.3">
      <c r="A1556" s="310" t="str">
        <f>+IF(PROVEEDORES[[#This Row],[FECHA DE PAGO]]=PROVEEDORES[[#This Row],[FECHA DE FACTURACIÓN]],"DE CONTADO","CRÉDITO")</f>
        <v>CRÉDITO</v>
      </c>
      <c r="B1556" s="38" t="str">
        <f>+IF((PROVEEDORES[[#This Row],[FECHA DE PAGO]]-PROVEEDORES[[#This Row],[FECHA DE FACTURACIÓN]])&gt;PROVEEDORES[[#This Row],[PLAZO Días]],"PAGO VENCIDO")</f>
        <v>PAGO VENCIDO</v>
      </c>
      <c r="C1556" s="20">
        <f>+VLOOKUP(PROVEEDORES[[#This Row],[PROVEEDOR]],TERCEROS_INFO[#All],2,FALSE)</f>
        <v>30</v>
      </c>
      <c r="D1556" s="25">
        <f>+SUMIFS(PROVEEDORES[Total],PROVEEDORES[PROVEEDOR],PROVEEDORES[[#This Row],[PROVEEDOR]],PROVEEDORES[FECHA DE PAGO],"")</f>
        <v>10321993.199999999</v>
      </c>
      <c r="E1556" s="25"/>
      <c r="F1556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6" s="68">
        <v>45082</v>
      </c>
      <c r="H1556" s="26" t="s">
        <v>1068</v>
      </c>
      <c r="I1556" s="68">
        <v>45041</v>
      </c>
      <c r="J1556" s="35" t="s">
        <v>1638</v>
      </c>
      <c r="K1556" s="21">
        <v>756000</v>
      </c>
      <c r="L1556" s="21"/>
      <c r="M1556" s="22">
        <v>143640</v>
      </c>
      <c r="N1556" s="23"/>
      <c r="O1556" s="22">
        <f>+PROVEEDORES[[#This Row],[Descuento sobre subtotal %]]*(PROVEEDORES[[#This Row],[SUBTOTAL]]-PROVEEDORES[[#This Row],[descuento sobre subtotal]])</f>
        <v>0</v>
      </c>
      <c r="P1556" s="74">
        <f>+IF(PROVEEDORES[[#This Row],[SUBTOTAL]]&lt;PROVEEDORES[[#This Row],[base retencion]],0,PROVEEDORES[[#This Row],[retención aplicada]])</f>
        <v>0</v>
      </c>
      <c r="Q1556" s="22">
        <f>+PROVEEDORES[[#This Row],[Rete Fuente %]]*(PROVEEDORES[[#This Row],[SUBTOTAL]]-PROVEEDORES[[#This Row],[descuento sobre subtotal]])</f>
        <v>0</v>
      </c>
      <c r="R1556" s="21">
        <f>+PROVEEDORES[[#This Row],[SUBTOTAL]]+PROVEEDORES[[#This Row],[IVA 19%]]-PROVEEDORES[[#This Row],[descuento sobre subtotal]]-PROVEEDORES[[#This Row],[Descuento sobre subtotal $2]]-PROVEEDORES[[#This Row],[Rete Fuente $]]</f>
        <v>899640</v>
      </c>
      <c r="S1556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6" s="63">
        <f ca="1">IF(PROVEEDORES[[#This Row],[FECHA DE PAGO]]=0,TODAY()-PROVEEDORES[[#This Row],[FECHA DE FACTURACIÓN]]-PROVEEDORES[[#This Row],[PLAZO Días]],0)</f>
        <v>0</v>
      </c>
      <c r="U1556" s="104" t="str">
        <f>+VLOOKUP(PROVEEDORES[[#This Row],[PROVEEDOR]],Terceros!$A:$D,4,FALSE)</f>
        <v>2,5% con base</v>
      </c>
      <c r="V1556" s="105">
        <f>+YEAR(PROVEEDORES[[#This Row],[FECHA DE FACTURACIÓN]])</f>
        <v>2023</v>
      </c>
      <c r="W1556" s="105">
        <f>+MATCH(PROVEEDORES[[#This Row],[año facturado]],Retenciones!$1:$1,0)</f>
        <v>6</v>
      </c>
      <c r="X1556" s="106">
        <f>+VLOOKUP(PROVEEDORES[[#This Row],[ID RETENCION]],Retenciones!$A$1:$O$25,PROVEEDORES[[#This Row],[indicador de columna]],FALSE)</f>
        <v>1145000</v>
      </c>
      <c r="Y1556" s="107">
        <f>+VLOOKUP(PROVEEDORES[[#This Row],[ID RETENCION]],Retenciones!$A$1:$O$25,2,FALSE)</f>
        <v>2.5000000000000001E-2</v>
      </c>
      <c r="Z1556" s="116" t="b">
        <f>OR(COUNTIF(PROVEEDORES[[#This Row],[PROVEEDOR]],"*"&amp;'Palabra no opera'!$A$2&amp;"*"))</f>
        <v>0</v>
      </c>
    </row>
    <row r="1557" spans="1:26" ht="22.35" customHeight="1" x14ac:dyDescent="0.3">
      <c r="A1557" s="310" t="str">
        <f>+IF(PROVEEDORES[[#This Row],[FECHA DE PAGO]]=PROVEEDORES[[#This Row],[FECHA DE FACTURACIÓN]],"DE CONTADO","CRÉDITO")</f>
        <v>CRÉDITO</v>
      </c>
      <c r="B1557" s="38" t="str">
        <f>+IF((PROVEEDORES[[#This Row],[FECHA DE PAGO]]-PROVEEDORES[[#This Row],[FECHA DE FACTURACIÓN]])&gt;PROVEEDORES[[#This Row],[PLAZO Días]],"PAGO VENCIDO")</f>
        <v>PAGO VENCIDO</v>
      </c>
      <c r="C1557" s="20">
        <f>+VLOOKUP(PROVEEDORES[[#This Row],[PROVEEDOR]],TERCEROS_INFO[#All],2,FALSE)</f>
        <v>30</v>
      </c>
      <c r="D1557" s="25">
        <f>+SUMIFS(PROVEEDORES[Total],PROVEEDORES[PROVEEDOR],PROVEEDORES[[#This Row],[PROVEEDOR]],PROVEEDORES[FECHA DE PAGO],"")</f>
        <v>10321993.199999999</v>
      </c>
      <c r="E1557" s="25"/>
      <c r="F155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7" s="68">
        <v>45082</v>
      </c>
      <c r="H1557" s="26" t="s">
        <v>1068</v>
      </c>
      <c r="I1557" s="68">
        <v>45043</v>
      </c>
      <c r="J1557" s="35" t="s">
        <v>1649</v>
      </c>
      <c r="K1557" s="21">
        <v>2562355</v>
      </c>
      <c r="L1557" s="21">
        <v>158335</v>
      </c>
      <c r="M1557" s="22">
        <f>(PROVEEDORES[[#This Row],[SUBTOTAL]]-PROVEEDORES[[#This Row],[descuento sobre subtotal]])*VLOOKUP(PROVEEDORES[[#This Row],[PROVEEDOR]],TERCEROS_INFO[#All],3,FALSE)</f>
        <v>456763.8</v>
      </c>
      <c r="N1557" s="23"/>
      <c r="O1557" s="22">
        <f>+PROVEEDORES[[#This Row],[Descuento sobre subtotal %]]*(PROVEEDORES[[#This Row],[SUBTOTAL]]-PROVEEDORES[[#This Row],[descuento sobre subtotal]])</f>
        <v>0</v>
      </c>
      <c r="P1557" s="74">
        <f>+IF(PROVEEDORES[[#This Row],[SUBTOTAL]]&lt;PROVEEDORES[[#This Row],[base retencion]],0,PROVEEDORES[[#This Row],[retención aplicada]])</f>
        <v>2.5000000000000001E-2</v>
      </c>
      <c r="Q1557" s="22">
        <f>+PROVEEDORES[[#This Row],[Rete Fuente %]]*(PROVEEDORES[[#This Row],[SUBTOTAL]]-PROVEEDORES[[#This Row],[descuento sobre subtotal]])</f>
        <v>60100.5</v>
      </c>
      <c r="R1557" s="21">
        <f>+PROVEEDORES[[#This Row],[SUBTOTAL]]+PROVEEDORES[[#This Row],[IVA 19%]]-PROVEEDORES[[#This Row],[descuento sobre subtotal]]-PROVEEDORES[[#This Row],[Descuento sobre subtotal $2]]-PROVEEDORES[[#This Row],[Rete Fuente $]]</f>
        <v>2800683.3</v>
      </c>
      <c r="S1557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7" s="63">
        <f ca="1">IF(PROVEEDORES[[#This Row],[FECHA DE PAGO]]=0,TODAY()-PROVEEDORES[[#This Row],[FECHA DE FACTURACIÓN]]-PROVEEDORES[[#This Row],[PLAZO Días]],0)</f>
        <v>0</v>
      </c>
      <c r="U1557" s="104" t="str">
        <f>+VLOOKUP(PROVEEDORES[[#This Row],[PROVEEDOR]],Terceros!$A:$D,4,FALSE)</f>
        <v>2,5% con base</v>
      </c>
      <c r="V1557" s="105">
        <f>+YEAR(PROVEEDORES[[#This Row],[FECHA DE FACTURACIÓN]])</f>
        <v>2023</v>
      </c>
      <c r="W1557" s="105">
        <f>+MATCH(PROVEEDORES[[#This Row],[año facturado]],Retenciones!$1:$1,0)</f>
        <v>6</v>
      </c>
      <c r="X1557" s="106">
        <f>+VLOOKUP(PROVEEDORES[[#This Row],[ID RETENCION]],Retenciones!$A$1:$O$25,PROVEEDORES[[#This Row],[indicador de columna]],FALSE)</f>
        <v>1145000</v>
      </c>
      <c r="Y1557" s="107">
        <f>+VLOOKUP(PROVEEDORES[[#This Row],[ID RETENCION]],Retenciones!$A$1:$O$25,2,FALSE)</f>
        <v>2.5000000000000001E-2</v>
      </c>
      <c r="Z1557" s="116" t="b">
        <f>OR(COUNTIF(PROVEEDORES[[#This Row],[PROVEEDOR]],"*"&amp;'Palabra no opera'!$A$2&amp;"*"))</f>
        <v>0</v>
      </c>
    </row>
    <row r="1558" spans="1:26" ht="22.35" customHeight="1" x14ac:dyDescent="0.3">
      <c r="A1558" s="67" t="str">
        <f>+IF(PROVEEDORES[[#This Row],[FECHA DE PAGO]]=PROVEEDORES[[#This Row],[FECHA DE FACTURACIÓN]],"DE CONTADO","CRÉDITO")</f>
        <v>CRÉDITO</v>
      </c>
      <c r="B1558" s="38" t="str">
        <f>+IF((PROVEEDORES[[#This Row],[FECHA DE PAGO]]-PROVEEDORES[[#This Row],[FECHA DE FACTURACIÓN]])&gt;PROVEEDORES[[#This Row],[PLAZO Días]],"PAGO VENCIDO")</f>
        <v>PAGO VENCIDO</v>
      </c>
      <c r="C1558" s="20">
        <f>+VLOOKUP(PROVEEDORES[[#This Row],[PROVEEDOR]],TERCEROS_INFO[#All],2,FALSE)</f>
        <v>30</v>
      </c>
      <c r="D1558" s="25">
        <f>+SUMIFS(PROVEEDORES[Total],PROVEEDORES[PROVEEDOR],PROVEEDORES[[#This Row],[PROVEEDOR]],PROVEEDORES[FECHA DE PAGO],"")</f>
        <v>8306450</v>
      </c>
      <c r="E1558" s="25"/>
      <c r="F1558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1558" s="68">
        <v>45082</v>
      </c>
      <c r="H1558" s="26" t="s">
        <v>1606</v>
      </c>
      <c r="I1558" s="68">
        <v>45030</v>
      </c>
      <c r="J1558" s="68" t="s">
        <v>1608</v>
      </c>
      <c r="K1558" s="21">
        <v>2868000</v>
      </c>
      <c r="L1558" s="21"/>
      <c r="M1558" s="22">
        <f>(PROVEEDORES[[#This Row],[SUBTOTAL]]-PROVEEDORES[[#This Row],[descuento sobre subtotal]])*VLOOKUP(PROVEEDORES[[#This Row],[PROVEEDOR]],TERCEROS_INFO[#All],3,FALSE)</f>
        <v>544920</v>
      </c>
      <c r="N1558" s="23"/>
      <c r="O1558" s="22">
        <f>+PROVEEDORES[[#This Row],[Descuento sobre subtotal %]]*(PROVEEDORES[[#This Row],[SUBTOTAL]]-PROVEEDORES[[#This Row],[descuento sobre subtotal]])</f>
        <v>0</v>
      </c>
      <c r="P1558" s="74">
        <f>+IF(PROVEEDORES[[#This Row],[SUBTOTAL]]&lt;PROVEEDORES[[#This Row],[base retencion]],0,PROVEEDORES[[#This Row],[retención aplicada]])</f>
        <v>2.5000000000000001E-2</v>
      </c>
      <c r="Q1558" s="22">
        <f>+PROVEEDORES[[#This Row],[Rete Fuente %]]*(PROVEEDORES[[#This Row],[SUBTOTAL]]-PROVEEDORES[[#This Row],[descuento sobre subtotal]])</f>
        <v>71700</v>
      </c>
      <c r="R1558" s="21">
        <f>+PROVEEDORES[[#This Row],[SUBTOTAL]]+PROVEEDORES[[#This Row],[IVA 19%]]-PROVEEDORES[[#This Row],[descuento sobre subtotal]]-PROVEEDORES[[#This Row],[Descuento sobre subtotal $2]]-PROVEEDORES[[#This Row],[Rete Fuente $]]</f>
        <v>3341220</v>
      </c>
      <c r="S15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8" s="63">
        <f ca="1">IF(PROVEEDORES[[#This Row],[FECHA DE PAGO]]=0,TODAY()-PROVEEDORES[[#This Row],[FECHA DE FACTURACIÓN]]-PROVEEDORES[[#This Row],[PLAZO Días]],0)</f>
        <v>0</v>
      </c>
      <c r="U1558" s="104" t="str">
        <f>+VLOOKUP(PROVEEDORES[[#This Row],[PROVEEDOR]],Terceros!$A:$D,4,FALSE)</f>
        <v>2,5% con base</v>
      </c>
      <c r="V1558" s="105">
        <f>+YEAR(PROVEEDORES[[#This Row],[FECHA DE FACTURACIÓN]])</f>
        <v>2023</v>
      </c>
      <c r="W1558" s="105">
        <f>+MATCH(PROVEEDORES[[#This Row],[año facturado]],Retenciones!$1:$1,0)</f>
        <v>6</v>
      </c>
      <c r="X1558" s="106">
        <f>+VLOOKUP(PROVEEDORES[[#This Row],[ID RETENCION]],Retenciones!$A$1:$O$25,PROVEEDORES[[#This Row],[indicador de columna]],FALSE)</f>
        <v>1145000</v>
      </c>
      <c r="Y1558" s="107">
        <f>+VLOOKUP(PROVEEDORES[[#This Row],[ID RETENCION]],Retenciones!$A$1:$O$25,2,FALSE)</f>
        <v>2.5000000000000001E-2</v>
      </c>
      <c r="Z1558" s="116" t="b">
        <f>OR(COUNTIF(PROVEEDORES[[#This Row],[PROVEEDOR]],"*"&amp;'Palabra no opera'!$A$2&amp;"*"))</f>
        <v>0</v>
      </c>
    </row>
    <row r="1559" spans="1:26" ht="22.35" customHeight="1" x14ac:dyDescent="0.3">
      <c r="A1559" s="67" t="str">
        <f>+IF(PROVEEDORES[[#This Row],[FECHA DE PAGO]]=PROVEEDORES[[#This Row],[FECHA DE FACTURACIÓN]],"DE CONTADO","CRÉDITO")</f>
        <v>CRÉDITO</v>
      </c>
      <c r="B1559" s="38" t="str">
        <f>+IF((PROVEEDORES[[#This Row],[FECHA DE PAGO]]-PROVEEDORES[[#This Row],[FECHA DE FACTURACIÓN]])&gt;PROVEEDORES[[#This Row],[PLAZO Días]],"PAGO VENCIDO")</f>
        <v>PAGO VENCIDO</v>
      </c>
      <c r="C1559" s="20">
        <f>+VLOOKUP(PROVEEDORES[[#This Row],[PROVEEDOR]],TERCEROS_INFO[#All],2,FALSE)</f>
        <v>45</v>
      </c>
      <c r="D1559" s="25">
        <f>+SUMIFS(PROVEEDORES[Total],PROVEEDORES[PROVEEDOR],PROVEEDORES[[#This Row],[PROVEEDOR]],PROVEEDORES[FECHA DE PAGO],"")</f>
        <v>8072960</v>
      </c>
      <c r="E1559" s="25"/>
      <c r="F155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59" s="68">
        <v>45082</v>
      </c>
      <c r="H1559" s="26" t="s">
        <v>10</v>
      </c>
      <c r="I1559" s="68">
        <v>45014</v>
      </c>
      <c r="J1559" s="35" t="s">
        <v>1556</v>
      </c>
      <c r="K1559" s="21">
        <v>2020000</v>
      </c>
      <c r="L1559" s="21"/>
      <c r="M1559" s="22">
        <f>(PROVEEDORES[[#This Row],[SUBTOTAL]]-PROVEEDORES[[#This Row],[descuento sobre subtotal]])*VLOOKUP(PROVEEDORES[[#This Row],[PROVEEDOR]],TERCEROS_INFO[#All],3,FALSE)</f>
        <v>383800</v>
      </c>
      <c r="N1559" s="23"/>
      <c r="O1559" s="22">
        <f>+PROVEEDORES[[#This Row],[Descuento sobre subtotal %]]*(PROVEEDORES[[#This Row],[SUBTOTAL]]-PROVEEDORES[[#This Row],[descuento sobre subtotal]])</f>
        <v>0</v>
      </c>
      <c r="P1559" s="74">
        <f>+IF(PROVEEDORES[[#This Row],[SUBTOTAL]]&lt;PROVEEDORES[[#This Row],[base retencion]],0,PROVEEDORES[[#This Row],[retención aplicada]])</f>
        <v>0</v>
      </c>
      <c r="Q1559" s="22">
        <f>+PROVEEDORES[[#This Row],[Rete Fuente %]]*(PROVEEDORES[[#This Row],[SUBTOTAL]]-PROVEEDORES[[#This Row],[descuento sobre subtotal]])</f>
        <v>0</v>
      </c>
      <c r="R1559" s="21">
        <f>+PROVEEDORES[[#This Row],[SUBTOTAL]]+PROVEEDORES[[#This Row],[IVA 19%]]-PROVEEDORES[[#This Row],[descuento sobre subtotal]]-PROVEEDORES[[#This Row],[Descuento sobre subtotal $2]]-PROVEEDORES[[#This Row],[Rete Fuente $]]</f>
        <v>2403800</v>
      </c>
      <c r="S15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9" s="63">
        <f ca="1">IF(PROVEEDORES[[#This Row],[FECHA DE PAGO]]=0,TODAY()-PROVEEDORES[[#This Row],[FECHA DE FACTURACIÓN]]-PROVEEDORES[[#This Row],[PLAZO Días]],0)</f>
        <v>0</v>
      </c>
      <c r="U1559" s="104">
        <f>+VLOOKUP(PROVEEDORES[[#This Row],[PROVEEDOR]],Terceros!$A:$D,4,FALSE)</f>
        <v>0</v>
      </c>
      <c r="V1559" s="105">
        <f>+YEAR(PROVEEDORES[[#This Row],[FECHA DE FACTURACIÓN]])</f>
        <v>2023</v>
      </c>
      <c r="W1559" s="105">
        <f>+MATCH(PROVEEDORES[[#This Row],[año facturado]],Retenciones!$1:$1,0)</f>
        <v>6</v>
      </c>
      <c r="X1559" s="106">
        <f>+VLOOKUP(PROVEEDORES[[#This Row],[ID RETENCION]],Retenciones!$A$1:$O$25,PROVEEDORES[[#This Row],[indicador de columna]],FALSE)</f>
        <v>0</v>
      </c>
      <c r="Y1559" s="107">
        <f>+VLOOKUP(PROVEEDORES[[#This Row],[ID RETENCION]],Retenciones!$A$1:$O$25,2,FALSE)</f>
        <v>0</v>
      </c>
      <c r="Z1559" s="116" t="b">
        <f>OR(COUNTIF(PROVEEDORES[[#This Row],[PROVEEDOR]],"*"&amp;'Palabra no opera'!$A$2&amp;"*"))</f>
        <v>0</v>
      </c>
    </row>
    <row r="1560" spans="1:26" ht="22.35" customHeight="1" x14ac:dyDescent="0.3">
      <c r="A1560" s="67" t="str">
        <f>+IF(PROVEEDORES[[#This Row],[FECHA DE PAGO]]=PROVEEDORES[[#This Row],[FECHA DE FACTURACIÓN]],"DE CONTADO","CRÉDITO")</f>
        <v>CRÉDITO</v>
      </c>
      <c r="B1560" s="38" t="str">
        <f>+IF((PROVEEDORES[[#This Row],[FECHA DE PAGO]]-PROVEEDORES[[#This Row],[FECHA DE FACTURACIÓN]])&gt;PROVEEDORES[[#This Row],[PLAZO Días]],"PAGO VENCIDO")</f>
        <v>PAGO VENCIDO</v>
      </c>
      <c r="C1560" s="20">
        <f>+VLOOKUP(PROVEEDORES[[#This Row],[PROVEEDOR]],TERCEROS_INFO[#All],2,FALSE)</f>
        <v>45</v>
      </c>
      <c r="D1560" s="25">
        <f>+SUMIFS(PROVEEDORES[Total],PROVEEDORES[PROVEEDOR],PROVEEDORES[[#This Row],[PROVEEDOR]],PROVEEDORES[FECHA DE PAGO],"")</f>
        <v>8072960</v>
      </c>
      <c r="E1560" s="25"/>
      <c r="F156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60" s="68">
        <v>45082</v>
      </c>
      <c r="H1560" s="26" t="s">
        <v>10</v>
      </c>
      <c r="I1560" s="68">
        <v>45016</v>
      </c>
      <c r="J1560" s="35" t="s">
        <v>1557</v>
      </c>
      <c r="K1560" s="21">
        <v>630000</v>
      </c>
      <c r="L1560" s="21"/>
      <c r="M1560" s="22">
        <f>(PROVEEDORES[[#This Row],[SUBTOTAL]]-PROVEEDORES[[#This Row],[descuento sobre subtotal]])*VLOOKUP(PROVEEDORES[[#This Row],[PROVEEDOR]],TERCEROS_INFO[#All],3,FALSE)</f>
        <v>119700</v>
      </c>
      <c r="N1560" s="23"/>
      <c r="O1560" s="22">
        <f>+PROVEEDORES[[#This Row],[Descuento sobre subtotal %]]*(PROVEEDORES[[#This Row],[SUBTOTAL]]-PROVEEDORES[[#This Row],[descuento sobre subtotal]])</f>
        <v>0</v>
      </c>
      <c r="P1560" s="74">
        <f>+IF(PROVEEDORES[[#This Row],[SUBTOTAL]]&lt;PROVEEDORES[[#This Row],[base retencion]],0,PROVEEDORES[[#This Row],[retención aplicada]])</f>
        <v>0</v>
      </c>
      <c r="Q1560" s="22">
        <f>+PROVEEDORES[[#This Row],[Rete Fuente %]]*(PROVEEDORES[[#This Row],[SUBTOTAL]]-PROVEEDORES[[#This Row],[descuento sobre subtotal]])</f>
        <v>0</v>
      </c>
      <c r="R1560" s="21">
        <f>+PROVEEDORES[[#This Row],[SUBTOTAL]]+PROVEEDORES[[#This Row],[IVA 19%]]-PROVEEDORES[[#This Row],[descuento sobre subtotal]]-PROVEEDORES[[#This Row],[Descuento sobre subtotal $2]]-PROVEEDORES[[#This Row],[Rete Fuente $]]</f>
        <v>749700</v>
      </c>
      <c r="S156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0" s="63">
        <f ca="1">IF(PROVEEDORES[[#This Row],[FECHA DE PAGO]]=0,TODAY()-PROVEEDORES[[#This Row],[FECHA DE FACTURACIÓN]]-PROVEEDORES[[#This Row],[PLAZO Días]],0)</f>
        <v>0</v>
      </c>
      <c r="U1560" s="104">
        <f>+VLOOKUP(PROVEEDORES[[#This Row],[PROVEEDOR]],Terceros!$A:$D,4,FALSE)</f>
        <v>0</v>
      </c>
      <c r="V1560" s="105">
        <f>+YEAR(PROVEEDORES[[#This Row],[FECHA DE FACTURACIÓN]])</f>
        <v>2023</v>
      </c>
      <c r="W1560" s="105">
        <f>+MATCH(PROVEEDORES[[#This Row],[año facturado]],Retenciones!$1:$1,0)</f>
        <v>6</v>
      </c>
      <c r="X1560" s="106">
        <f>+VLOOKUP(PROVEEDORES[[#This Row],[ID RETENCION]],Retenciones!$A$1:$O$25,PROVEEDORES[[#This Row],[indicador de columna]],FALSE)</f>
        <v>0</v>
      </c>
      <c r="Y1560" s="107">
        <f>+VLOOKUP(PROVEEDORES[[#This Row],[ID RETENCION]],Retenciones!$A$1:$O$25,2,FALSE)</f>
        <v>0</v>
      </c>
      <c r="Z1560" s="116" t="b">
        <f>OR(COUNTIF(PROVEEDORES[[#This Row],[PROVEEDOR]],"*"&amp;'Palabra no opera'!$A$2&amp;"*"))</f>
        <v>0</v>
      </c>
    </row>
    <row r="1561" spans="1:26" ht="22.35" customHeight="1" x14ac:dyDescent="0.3">
      <c r="A1561" s="67" t="str">
        <f>+IF(PROVEEDORES[[#This Row],[FECHA DE PAGO]]=PROVEEDORES[[#This Row],[FECHA DE FACTURACIÓN]],"DE CONTADO","CRÉDITO")</f>
        <v>CRÉDITO</v>
      </c>
      <c r="B1561" s="38" t="str">
        <f>+IF((PROVEEDORES[[#This Row],[FECHA DE PAGO]]-PROVEEDORES[[#This Row],[FECHA DE FACTURACIÓN]])&gt;PROVEEDORES[[#This Row],[PLAZO Días]],"PAGO VENCIDO")</f>
        <v>PAGO VENCIDO</v>
      </c>
      <c r="C1561" s="20">
        <f>+VLOOKUP(PROVEEDORES[[#This Row],[PROVEEDOR]],TERCEROS_INFO[#All],2,FALSE)</f>
        <v>45</v>
      </c>
      <c r="D1561" s="25">
        <f>+SUMIFS(PROVEEDORES[Total],PROVEEDORES[PROVEEDOR],PROVEEDORES[[#This Row],[PROVEEDOR]],PROVEEDORES[FECHA DE PAGO],"")</f>
        <v>8072960</v>
      </c>
      <c r="E1561" s="25"/>
      <c r="F156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61" s="68">
        <v>45082</v>
      </c>
      <c r="H1561" s="26" t="s">
        <v>10</v>
      </c>
      <c r="I1561" s="68">
        <v>45029</v>
      </c>
      <c r="J1561" s="35" t="s">
        <v>1609</v>
      </c>
      <c r="K1561" s="21">
        <v>500000</v>
      </c>
      <c r="L1561" s="21"/>
      <c r="M1561" s="22">
        <f>(PROVEEDORES[[#This Row],[SUBTOTAL]]-PROVEEDORES[[#This Row],[descuento sobre subtotal]])*VLOOKUP(PROVEEDORES[[#This Row],[PROVEEDOR]],TERCEROS_INFO[#All],3,FALSE)</f>
        <v>95000</v>
      </c>
      <c r="N1561" s="23"/>
      <c r="O1561" s="22">
        <f>+PROVEEDORES[[#This Row],[Descuento sobre subtotal %]]*(PROVEEDORES[[#This Row],[SUBTOTAL]]-PROVEEDORES[[#This Row],[descuento sobre subtotal]])</f>
        <v>0</v>
      </c>
      <c r="P1561" s="74">
        <f>+IF(PROVEEDORES[[#This Row],[SUBTOTAL]]&lt;PROVEEDORES[[#This Row],[base retencion]],0,PROVEEDORES[[#This Row],[retención aplicada]])</f>
        <v>0</v>
      </c>
      <c r="Q1561" s="22">
        <f>+PROVEEDORES[[#This Row],[Rete Fuente %]]*(PROVEEDORES[[#This Row],[SUBTOTAL]]-PROVEEDORES[[#This Row],[descuento sobre subtotal]])</f>
        <v>0</v>
      </c>
      <c r="R1561" s="21">
        <f>+PROVEEDORES[[#This Row],[SUBTOTAL]]+PROVEEDORES[[#This Row],[IVA 19%]]-PROVEEDORES[[#This Row],[descuento sobre subtotal]]-PROVEEDORES[[#This Row],[Descuento sobre subtotal $2]]-PROVEEDORES[[#This Row],[Rete Fuente $]]</f>
        <v>595000</v>
      </c>
      <c r="S15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1" s="63">
        <f ca="1">IF(PROVEEDORES[[#This Row],[FECHA DE PAGO]]=0,TODAY()-PROVEEDORES[[#This Row],[FECHA DE FACTURACIÓN]]-PROVEEDORES[[#This Row],[PLAZO Días]],0)</f>
        <v>0</v>
      </c>
      <c r="U1561" s="104">
        <f>+VLOOKUP(PROVEEDORES[[#This Row],[PROVEEDOR]],Terceros!$A:$D,4,FALSE)</f>
        <v>0</v>
      </c>
      <c r="V1561" s="105">
        <f>+YEAR(PROVEEDORES[[#This Row],[FECHA DE FACTURACIÓN]])</f>
        <v>2023</v>
      </c>
      <c r="W1561" s="105">
        <f>+MATCH(PROVEEDORES[[#This Row],[año facturado]],Retenciones!$1:$1,0)</f>
        <v>6</v>
      </c>
      <c r="X1561" s="106">
        <f>+VLOOKUP(PROVEEDORES[[#This Row],[ID RETENCION]],Retenciones!$A$1:$O$25,PROVEEDORES[[#This Row],[indicador de columna]],FALSE)</f>
        <v>0</v>
      </c>
      <c r="Y1561" s="107">
        <f>+VLOOKUP(PROVEEDORES[[#This Row],[ID RETENCION]],Retenciones!$A$1:$O$25,2,FALSE)</f>
        <v>0</v>
      </c>
      <c r="Z1561" s="116" t="b">
        <f>OR(COUNTIF(PROVEEDORES[[#This Row],[PROVEEDOR]],"*"&amp;'Palabra no opera'!$A$2&amp;"*"))</f>
        <v>0</v>
      </c>
    </row>
    <row r="1562" spans="1:26" ht="22.35" customHeight="1" x14ac:dyDescent="0.3">
      <c r="A1562" s="310" t="str">
        <f>+IF(PROVEEDORES[[#This Row],[FECHA DE PAGO]]=PROVEEDORES[[#This Row],[FECHA DE FACTURACIÓN]],"DE CONTADO","CRÉDITO")</f>
        <v>CRÉDITO</v>
      </c>
      <c r="B1562" s="38" t="str">
        <f>+IF((PROVEEDORES[[#This Row],[FECHA DE PAGO]]-PROVEEDORES[[#This Row],[FECHA DE FACTURACIÓN]])&gt;PROVEEDORES[[#This Row],[PLAZO Días]],"PAGO VENCIDO")</f>
        <v>PAGO VENCIDO</v>
      </c>
      <c r="C1562" s="20">
        <f>+VLOOKUP(PROVEEDORES[[#This Row],[PROVEEDOR]],TERCEROS_INFO[#All],2,FALSE)</f>
        <v>45</v>
      </c>
      <c r="D1562" s="25">
        <f>+SUMIFS(PROVEEDORES[Total],PROVEEDORES[PROVEEDOR],PROVEEDORES[[#This Row],[PROVEEDOR]],PROVEEDORES[FECHA DE PAGO],"")</f>
        <v>8072960</v>
      </c>
      <c r="E1562" s="25"/>
      <c r="F156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62" s="68">
        <v>45082</v>
      </c>
      <c r="H1562" s="26" t="s">
        <v>10</v>
      </c>
      <c r="I1562" s="68">
        <v>45030</v>
      </c>
      <c r="J1562" s="35" t="s">
        <v>1643</v>
      </c>
      <c r="K1562" s="21">
        <v>490000</v>
      </c>
      <c r="L1562" s="21"/>
      <c r="M1562" s="22">
        <f>(PROVEEDORES[[#This Row],[SUBTOTAL]]-PROVEEDORES[[#This Row],[descuento sobre subtotal]])*VLOOKUP(PROVEEDORES[[#This Row],[PROVEEDOR]],TERCEROS_INFO[#All],3,FALSE)</f>
        <v>93100</v>
      </c>
      <c r="N1562" s="23"/>
      <c r="O1562" s="22">
        <f>+PROVEEDORES[[#This Row],[Descuento sobre subtotal %]]*(PROVEEDORES[[#This Row],[SUBTOTAL]]-PROVEEDORES[[#This Row],[descuento sobre subtotal]])</f>
        <v>0</v>
      </c>
      <c r="P1562" s="74">
        <f>+IF(PROVEEDORES[[#This Row],[SUBTOTAL]]&lt;PROVEEDORES[[#This Row],[base retencion]],0,PROVEEDORES[[#This Row],[retención aplicada]])</f>
        <v>0</v>
      </c>
      <c r="Q1562" s="22">
        <f>+PROVEEDORES[[#This Row],[Rete Fuente %]]*(PROVEEDORES[[#This Row],[SUBTOTAL]]-PROVEEDORES[[#This Row],[descuento sobre subtotal]])</f>
        <v>0</v>
      </c>
      <c r="R1562" s="21">
        <f>+PROVEEDORES[[#This Row],[SUBTOTAL]]+PROVEEDORES[[#This Row],[IVA 19%]]-PROVEEDORES[[#This Row],[descuento sobre subtotal]]-PROVEEDORES[[#This Row],[Descuento sobre subtotal $2]]-PROVEEDORES[[#This Row],[Rete Fuente $]]</f>
        <v>583100</v>
      </c>
      <c r="S1562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2" s="63">
        <f ca="1">IF(PROVEEDORES[[#This Row],[FECHA DE PAGO]]=0,TODAY()-PROVEEDORES[[#This Row],[FECHA DE FACTURACIÓN]]-PROVEEDORES[[#This Row],[PLAZO Días]],0)</f>
        <v>0</v>
      </c>
      <c r="U1562" s="104">
        <f>+VLOOKUP(PROVEEDORES[[#This Row],[PROVEEDOR]],Terceros!$A:$D,4,FALSE)</f>
        <v>0</v>
      </c>
      <c r="V1562" s="105">
        <f>+YEAR(PROVEEDORES[[#This Row],[FECHA DE FACTURACIÓN]])</f>
        <v>2023</v>
      </c>
      <c r="W1562" s="105">
        <f>+MATCH(PROVEEDORES[[#This Row],[año facturado]],Retenciones!$1:$1,0)</f>
        <v>6</v>
      </c>
      <c r="X1562" s="106">
        <f>+VLOOKUP(PROVEEDORES[[#This Row],[ID RETENCION]],Retenciones!$A$1:$O$25,PROVEEDORES[[#This Row],[indicador de columna]],FALSE)</f>
        <v>0</v>
      </c>
      <c r="Y1562" s="107">
        <f>+VLOOKUP(PROVEEDORES[[#This Row],[ID RETENCION]],Retenciones!$A$1:$O$25,2,FALSE)</f>
        <v>0</v>
      </c>
      <c r="Z1562" s="116" t="b">
        <f>OR(COUNTIF(PROVEEDORES[[#This Row],[PROVEEDOR]],"*"&amp;'Palabra no opera'!$A$2&amp;"*"))</f>
        <v>0</v>
      </c>
    </row>
    <row r="1563" spans="1:26" ht="22.35" customHeight="1" x14ac:dyDescent="0.3">
      <c r="A1563" s="310" t="str">
        <f>+IF(PROVEEDORES[[#This Row],[FECHA DE PAGO]]=PROVEEDORES[[#This Row],[FECHA DE FACTURACIÓN]],"DE CONTADO","CRÉDITO")</f>
        <v>CRÉDITO</v>
      </c>
      <c r="B1563" s="38" t="str">
        <f>+IF((PROVEEDORES[[#This Row],[FECHA DE PAGO]]-PROVEEDORES[[#This Row],[FECHA DE FACTURACIÓN]])&gt;PROVEEDORES[[#This Row],[PLAZO Días]],"PAGO VENCIDO")</f>
        <v>PAGO VENCIDO</v>
      </c>
      <c r="C1563" s="20">
        <f>+VLOOKUP(PROVEEDORES[[#This Row],[PROVEEDOR]],TERCEROS_INFO[#All],2,FALSE)</f>
        <v>30</v>
      </c>
      <c r="D1563" s="25">
        <f>+SUMIFS(PROVEEDORES[Total],PROVEEDORES[PROVEEDOR],PROVEEDORES[[#This Row],[PROVEEDOR]],PROVEEDORES[FECHA DE PAGO],"")</f>
        <v>0</v>
      </c>
      <c r="E1563" s="25"/>
      <c r="F1563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563" s="68">
        <v>45082</v>
      </c>
      <c r="H1563" s="26" t="s">
        <v>1069</v>
      </c>
      <c r="I1563" s="68">
        <v>45040</v>
      </c>
      <c r="J1563" s="35" t="s">
        <v>1645</v>
      </c>
      <c r="K1563" s="21">
        <v>2420170</v>
      </c>
      <c r="L1563" s="21"/>
      <c r="M1563" s="22">
        <f>(PROVEEDORES[[#This Row],[SUBTOTAL]]-PROVEEDORES[[#This Row],[descuento sobre subtotal]])*VLOOKUP(PROVEEDORES[[#This Row],[PROVEEDOR]],TERCEROS_INFO[#All],3,FALSE)</f>
        <v>459832.3</v>
      </c>
      <c r="N1563" s="23"/>
      <c r="O1563" s="22">
        <f>+PROVEEDORES[[#This Row],[Descuento sobre subtotal %]]*(PROVEEDORES[[#This Row],[SUBTOTAL]]-PROVEEDORES[[#This Row],[descuento sobre subtotal]])</f>
        <v>0</v>
      </c>
      <c r="P1563" s="74">
        <f>+IF(PROVEEDORES[[#This Row],[SUBTOTAL]]&lt;PROVEEDORES[[#This Row],[base retencion]],0,PROVEEDORES[[#This Row],[retención aplicada]])</f>
        <v>2.5000000000000001E-2</v>
      </c>
      <c r="Q1563" s="22">
        <f>+PROVEEDORES[[#This Row],[Rete Fuente %]]*(PROVEEDORES[[#This Row],[SUBTOTAL]]-PROVEEDORES[[#This Row],[descuento sobre subtotal]])</f>
        <v>60504.25</v>
      </c>
      <c r="R1563" s="21">
        <f>+PROVEEDORES[[#This Row],[SUBTOTAL]]+PROVEEDORES[[#This Row],[IVA 19%]]-PROVEEDORES[[#This Row],[descuento sobre subtotal]]-PROVEEDORES[[#This Row],[Descuento sobre subtotal $2]]-PROVEEDORES[[#This Row],[Rete Fuente $]]</f>
        <v>2819498.05</v>
      </c>
      <c r="S156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3" s="63">
        <f ca="1">IF(PROVEEDORES[[#This Row],[FECHA DE PAGO]]=0,TODAY()-PROVEEDORES[[#This Row],[FECHA DE FACTURACIÓN]]-PROVEEDORES[[#This Row],[PLAZO Días]],0)</f>
        <v>0</v>
      </c>
      <c r="U1563" s="104" t="str">
        <f>+VLOOKUP(PROVEEDORES[[#This Row],[PROVEEDOR]],Terceros!$A:$D,4,FALSE)</f>
        <v>2,5% con base</v>
      </c>
      <c r="V1563" s="105">
        <f>+YEAR(PROVEEDORES[[#This Row],[FECHA DE FACTURACIÓN]])</f>
        <v>2023</v>
      </c>
      <c r="W1563" s="105">
        <f>+MATCH(PROVEEDORES[[#This Row],[año facturado]],Retenciones!$1:$1,0)</f>
        <v>6</v>
      </c>
      <c r="X1563" s="106">
        <f>+VLOOKUP(PROVEEDORES[[#This Row],[ID RETENCION]],Retenciones!$A$1:$O$25,PROVEEDORES[[#This Row],[indicador de columna]],FALSE)</f>
        <v>1145000</v>
      </c>
      <c r="Y1563" s="107">
        <f>+VLOOKUP(PROVEEDORES[[#This Row],[ID RETENCION]],Retenciones!$A$1:$O$25,2,FALSE)</f>
        <v>2.5000000000000001E-2</v>
      </c>
      <c r="Z1563" s="116" t="b">
        <f>OR(COUNTIF(PROVEEDORES[[#This Row],[PROVEEDOR]],"*"&amp;'Palabra no opera'!$A$2&amp;"*"))</f>
        <v>0</v>
      </c>
    </row>
    <row r="1564" spans="1:26" ht="22.35" customHeight="1" x14ac:dyDescent="0.3">
      <c r="A1564" s="67" t="str">
        <f>+IF(PROVEEDORES[[#This Row],[FECHA DE PAGO]]=PROVEEDORES[[#This Row],[FECHA DE FACTURACIÓN]],"DE CONTADO","CRÉDITO")</f>
        <v>CRÉDITO</v>
      </c>
      <c r="B1564" s="38" t="str">
        <f>+IF((PROVEEDORES[[#This Row],[FECHA DE PAGO]]-PROVEEDORES[[#This Row],[FECHA DE FACTURACIÓN]])&gt;PROVEEDORES[[#This Row],[PLAZO Días]],"PAGO VENCIDO")</f>
        <v>PAGO VENCIDO</v>
      </c>
      <c r="C1564" s="20">
        <f>+VLOOKUP(PROVEEDORES[[#This Row],[PROVEEDOR]],TERCEROS_INFO[#All],2,FALSE)</f>
        <v>30</v>
      </c>
      <c r="D1564" s="25">
        <f>+SUMIFS(PROVEEDORES[Total],PROVEEDORES[PROVEEDOR],PROVEEDORES[[#This Row],[PROVEEDOR]],PROVEEDORES[FECHA DE PAGO],"")</f>
        <v>5480000</v>
      </c>
      <c r="E1564" s="25"/>
      <c r="F1564" s="56" t="str">
        <f>+VLOOKUP(PROVEEDORES[[#This Row],[PROVEEDOR]],
                       Terceros!$A:$F,
                       5,
                       FALSE)</f>
        <v/>
      </c>
      <c r="G1564" s="68">
        <v>45083</v>
      </c>
      <c r="H1564" s="26" t="s">
        <v>369</v>
      </c>
      <c r="I1564" s="68">
        <v>45002</v>
      </c>
      <c r="J1564" s="35" t="s">
        <v>1591</v>
      </c>
      <c r="K1564" s="21">
        <v>1870000</v>
      </c>
      <c r="L1564" s="21"/>
      <c r="M1564" s="22">
        <f>(PROVEEDORES[[#This Row],[SUBTOTAL]]-PROVEEDORES[[#This Row],[descuento sobre subtotal]])*VLOOKUP(PROVEEDORES[[#This Row],[PROVEEDOR]],TERCEROS_INFO[#All],3,FALSE)</f>
        <v>0</v>
      </c>
      <c r="N1564" s="23"/>
      <c r="O1564" s="22">
        <f>+PROVEEDORES[[#This Row],[Descuento sobre subtotal %]]*(PROVEEDORES[[#This Row],[SUBTOTAL]]-PROVEEDORES[[#This Row],[descuento sobre subtotal]])</f>
        <v>0</v>
      </c>
      <c r="P1564" s="74">
        <f>+IF(PROVEEDORES[[#This Row],[SUBTOTAL]]&lt;PROVEEDORES[[#This Row],[base retencion]],0,PROVEEDORES[[#This Row],[retención aplicada]])</f>
        <v>0</v>
      </c>
      <c r="Q1564" s="22">
        <f>+PROVEEDORES[[#This Row],[Rete Fuente %]]*(PROVEEDORES[[#This Row],[SUBTOTAL]]-PROVEEDORES[[#This Row],[descuento sobre subtotal]])</f>
        <v>0</v>
      </c>
      <c r="R1564" s="21">
        <f>+PROVEEDORES[[#This Row],[SUBTOTAL]]+PROVEEDORES[[#This Row],[IVA 19%]]-PROVEEDORES[[#This Row],[descuento sobre subtotal]]-PROVEEDORES[[#This Row],[Descuento sobre subtotal $2]]-PROVEEDORES[[#This Row],[Rete Fuente $]]</f>
        <v>1870000</v>
      </c>
      <c r="S156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4" s="63">
        <f ca="1">IF(PROVEEDORES[[#This Row],[FECHA DE PAGO]]=0,TODAY()-PROVEEDORES[[#This Row],[FECHA DE FACTURACIÓN]]-PROVEEDORES[[#This Row],[PLAZO Días]],0)</f>
        <v>0</v>
      </c>
      <c r="U1564" s="104">
        <f>+VLOOKUP(PROVEEDORES[[#This Row],[PROVEEDOR]],Terceros!$A:$D,4,FALSE)</f>
        <v>0</v>
      </c>
      <c r="V1564" s="105">
        <f>+YEAR(PROVEEDORES[[#This Row],[FECHA DE FACTURACIÓN]])</f>
        <v>2023</v>
      </c>
      <c r="W1564" s="105">
        <f>+MATCH(PROVEEDORES[[#This Row],[año facturado]],Retenciones!$1:$1,0)</f>
        <v>6</v>
      </c>
      <c r="X1564" s="106">
        <f>+VLOOKUP(PROVEEDORES[[#This Row],[ID RETENCION]],Retenciones!$A$1:$O$25,PROVEEDORES[[#This Row],[indicador de columna]],FALSE)</f>
        <v>0</v>
      </c>
      <c r="Y1564" s="107">
        <f>+VLOOKUP(PROVEEDORES[[#This Row],[ID RETENCION]],Retenciones!$A$1:$O$25,2,FALSE)</f>
        <v>0</v>
      </c>
      <c r="Z1564" s="116" t="b">
        <f>OR(COUNTIF(PROVEEDORES[[#This Row],[PROVEEDOR]],"*"&amp;'Palabra no opera'!$A$2&amp;"*"))</f>
        <v>0</v>
      </c>
    </row>
    <row r="1565" spans="1:26" ht="22.35" customHeight="1" x14ac:dyDescent="0.3">
      <c r="A1565" s="67" t="str">
        <f>+IF(PROVEEDORES[[#This Row],[FECHA DE PAGO]]=PROVEEDORES[[#This Row],[FECHA DE FACTURACIÓN]],"DE CONTADO","CRÉDITO")</f>
        <v>DE CONTADO</v>
      </c>
      <c r="B1565" s="38" t="b">
        <f>+IF((PROVEEDORES[[#This Row],[FECHA DE PAGO]]-PROVEEDORES[[#This Row],[FECHA DE FACTURACIÓN]])&gt;PROVEEDORES[[#This Row],[PLAZO Días]],"PAGO VENCIDO")</f>
        <v>0</v>
      </c>
      <c r="C1565" s="20">
        <f>+VLOOKUP(PROVEEDORES[[#This Row],[PROVEEDOR]],TERCEROS_INFO[#All],2,FALSE)</f>
        <v>30</v>
      </c>
      <c r="D1565" s="25">
        <f>+SUMIFS(PROVEEDORES[Total],PROVEEDORES[PROVEEDOR],PROVEEDORES[[#This Row],[PROVEEDOR]],PROVEEDORES[FECHA DE PAGO],"")</f>
        <v>0</v>
      </c>
      <c r="E1565" s="25"/>
      <c r="F1565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1565" s="68">
        <v>45083</v>
      </c>
      <c r="H1565" s="26" t="s">
        <v>827</v>
      </c>
      <c r="I1565" s="68">
        <v>45083</v>
      </c>
      <c r="J1565" s="35" t="s">
        <v>1726</v>
      </c>
      <c r="K1565" s="21">
        <v>428571</v>
      </c>
      <c r="L1565" s="21"/>
      <c r="M1565" s="22">
        <f>(PROVEEDORES[[#This Row],[SUBTOTAL]]-PROVEEDORES[[#This Row],[descuento sobre subtotal]])*VLOOKUP(PROVEEDORES[[#This Row],[PROVEEDOR]],TERCEROS_INFO[#All],3,FALSE)</f>
        <v>81428.490000000005</v>
      </c>
      <c r="N1565" s="23"/>
      <c r="O1565" s="22">
        <f>+PROVEEDORES[[#This Row],[Descuento sobre subtotal %]]*(PROVEEDORES[[#This Row],[SUBTOTAL]]-PROVEEDORES[[#This Row],[descuento sobre subtotal]])</f>
        <v>0</v>
      </c>
      <c r="P1565" s="74">
        <f>+IF(PROVEEDORES[[#This Row],[SUBTOTAL]]&lt;PROVEEDORES[[#This Row],[base retencion]],0,PROVEEDORES[[#This Row],[retención aplicada]])</f>
        <v>0</v>
      </c>
      <c r="Q1565" s="22">
        <f>+PROVEEDORES[[#This Row],[Rete Fuente %]]*(PROVEEDORES[[#This Row],[SUBTOTAL]]-PROVEEDORES[[#This Row],[descuento sobre subtotal]])</f>
        <v>0</v>
      </c>
      <c r="R1565" s="21">
        <f>+PROVEEDORES[[#This Row],[SUBTOTAL]]+PROVEEDORES[[#This Row],[IVA 19%]]-PROVEEDORES[[#This Row],[descuento sobre subtotal]]-PROVEEDORES[[#This Row],[Descuento sobre subtotal $2]]-PROVEEDORES[[#This Row],[Rete Fuente $]]</f>
        <v>509999.49</v>
      </c>
      <c r="S15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5" s="63">
        <f ca="1">IF(PROVEEDORES[[#This Row],[FECHA DE PAGO]]=0,TODAY()-PROVEEDORES[[#This Row],[FECHA DE FACTURACIÓN]]-PROVEEDORES[[#This Row],[PLAZO Días]],0)</f>
        <v>0</v>
      </c>
      <c r="U1565" s="104">
        <f>+VLOOKUP(PROVEEDORES[[#This Row],[PROVEEDOR]],Terceros!$A:$D,4,FALSE)</f>
        <v>0</v>
      </c>
      <c r="V1565" s="105">
        <f>+YEAR(PROVEEDORES[[#This Row],[FECHA DE FACTURACIÓN]])</f>
        <v>2023</v>
      </c>
      <c r="W1565" s="105">
        <f>+MATCH(PROVEEDORES[[#This Row],[año facturado]],Retenciones!$1:$1,0)</f>
        <v>6</v>
      </c>
      <c r="X1565" s="106">
        <f>+VLOOKUP(PROVEEDORES[[#This Row],[ID RETENCION]],Retenciones!$A$1:$O$25,PROVEEDORES[[#This Row],[indicador de columna]],FALSE)</f>
        <v>0</v>
      </c>
      <c r="Y1565" s="107">
        <f>+VLOOKUP(PROVEEDORES[[#This Row],[ID RETENCION]],Retenciones!$A$1:$O$25,2,FALSE)</f>
        <v>0</v>
      </c>
      <c r="Z1565" s="116" t="b">
        <f>OR(COUNTIF(PROVEEDORES[[#This Row],[PROVEEDOR]],"*"&amp;'Palabra no opera'!$A$2&amp;"*"))</f>
        <v>0</v>
      </c>
    </row>
    <row r="1566" spans="1:26" ht="22.35" customHeight="1" x14ac:dyDescent="0.3">
      <c r="A1566" s="67" t="str">
        <f>+IF(PROVEEDORES[[#This Row],[FECHA DE PAGO]]=PROVEEDORES[[#This Row],[FECHA DE FACTURACIÓN]],"DE CONTADO","CRÉDITO")</f>
        <v>CRÉDITO</v>
      </c>
      <c r="B1566" s="38" t="b">
        <f>+IF((PROVEEDORES[[#This Row],[FECHA DE PAGO]]-PROVEEDORES[[#This Row],[FECHA DE FACTURACIÓN]])&gt;PROVEEDORES[[#This Row],[PLAZO Días]],"PAGO VENCIDO")</f>
        <v>0</v>
      </c>
      <c r="C1566" s="20">
        <f>+VLOOKUP(PROVEEDORES[[#This Row],[PROVEEDOR]],TERCEROS_INFO[#All],2,FALSE)</f>
        <v>30</v>
      </c>
      <c r="D1566" s="25">
        <f>+SUMIFS(PROVEEDORES[Total],PROVEEDORES[PROVEEDOR],PROVEEDORES[[#This Row],[PROVEEDOR]],PROVEEDORES[FECHA DE PAGO],"")</f>
        <v>0</v>
      </c>
      <c r="E1566" s="25"/>
      <c r="F1566" s="56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566" s="68">
        <v>45085</v>
      </c>
      <c r="H1566" s="26" t="s">
        <v>56</v>
      </c>
      <c r="I1566" s="68">
        <v>45084</v>
      </c>
      <c r="J1566" s="35" t="s">
        <v>1720</v>
      </c>
      <c r="K1566" s="21">
        <v>347585</v>
      </c>
      <c r="L1566" s="21"/>
      <c r="M1566" s="22">
        <v>19181</v>
      </c>
      <c r="N1566" s="23"/>
      <c r="O1566" s="22">
        <f>+PROVEEDORES[[#This Row],[Descuento sobre subtotal %]]*(PROVEEDORES[[#This Row],[SUBTOTAL]]-PROVEEDORES[[#This Row],[descuento sobre subtotal]])</f>
        <v>0</v>
      </c>
      <c r="P1566" s="74">
        <f>+IF(PROVEEDORES[[#This Row],[SUBTOTAL]]&lt;PROVEEDORES[[#This Row],[base retencion]],0,PROVEEDORES[[#This Row],[retención aplicada]])</f>
        <v>0</v>
      </c>
      <c r="Q1566" s="22">
        <f>+PROVEEDORES[[#This Row],[Rete Fuente %]]*(PROVEEDORES[[#This Row],[SUBTOTAL]]-PROVEEDORES[[#This Row],[descuento sobre subtotal]])</f>
        <v>0</v>
      </c>
      <c r="R1566" s="21">
        <f>+PROVEEDORES[[#This Row],[SUBTOTAL]]+PROVEEDORES[[#This Row],[IVA 19%]]-PROVEEDORES[[#This Row],[descuento sobre subtotal]]-PROVEEDORES[[#This Row],[Descuento sobre subtotal $2]]-PROVEEDORES[[#This Row],[Rete Fuente $]]</f>
        <v>366766</v>
      </c>
      <c r="S15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6" s="63">
        <f ca="1">IF(PROVEEDORES[[#This Row],[FECHA DE PAGO]]=0,TODAY()-PROVEEDORES[[#This Row],[FECHA DE FACTURACIÓN]]-PROVEEDORES[[#This Row],[PLAZO Días]],0)</f>
        <v>0</v>
      </c>
      <c r="U1566" s="104">
        <f>+VLOOKUP(PROVEEDORES[[#This Row],[PROVEEDOR]],Terceros!$A:$D,4,FALSE)</f>
        <v>0</v>
      </c>
      <c r="V1566" s="105">
        <f>+YEAR(PROVEEDORES[[#This Row],[FECHA DE FACTURACIÓN]])</f>
        <v>2023</v>
      </c>
      <c r="W1566" s="105">
        <f>+MATCH(PROVEEDORES[[#This Row],[año facturado]],Retenciones!$1:$1,0)</f>
        <v>6</v>
      </c>
      <c r="X1566" s="106">
        <f>+VLOOKUP(PROVEEDORES[[#This Row],[ID RETENCION]],Retenciones!$A$1:$O$25,PROVEEDORES[[#This Row],[indicador de columna]],FALSE)</f>
        <v>0</v>
      </c>
      <c r="Y1566" s="107">
        <f>+VLOOKUP(PROVEEDORES[[#This Row],[ID RETENCION]],Retenciones!$A$1:$O$25,2,FALSE)</f>
        <v>0</v>
      </c>
      <c r="Z1566" s="116" t="b">
        <f>OR(COUNTIF(PROVEEDORES[[#This Row],[PROVEEDOR]],"*"&amp;'Palabra no opera'!$A$2&amp;"*"))</f>
        <v>0</v>
      </c>
    </row>
    <row r="1567" spans="1:26" ht="22.35" customHeight="1" x14ac:dyDescent="0.3">
      <c r="A1567" s="67" t="str">
        <f>+IF(PROVEEDORES[[#This Row],[FECHA DE PAGO]]=PROVEEDORES[[#This Row],[FECHA DE FACTURACIÓN]],"DE CONTADO","CRÉDITO")</f>
        <v>CRÉDITO</v>
      </c>
      <c r="B1567" s="38" t="b">
        <f>+IF((PROVEEDORES[[#This Row],[FECHA DE PAGO]]-PROVEEDORES[[#This Row],[FECHA DE FACTURACIÓN]])&gt;PROVEEDORES[[#This Row],[PLAZO Días]],"PAGO VENCIDO")</f>
        <v>0</v>
      </c>
      <c r="C1567" s="20">
        <f>+VLOOKUP(PROVEEDORES[[#This Row],[PROVEEDOR]],TERCEROS_INFO[#All],2,FALSE)</f>
        <v>30</v>
      </c>
      <c r="D1567" s="25">
        <f>+SUMIFS(PROVEEDORES[Total],PROVEEDORES[PROVEEDOR],PROVEEDORES[[#This Row],[PROVEEDOR]],PROVEEDORES[FECHA DE PAGO],"")</f>
        <v>0</v>
      </c>
      <c r="E1567" s="25"/>
      <c r="F156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67" s="68">
        <v>45086</v>
      </c>
      <c r="H1567" s="26" t="s">
        <v>623</v>
      </c>
      <c r="I1567" s="68">
        <v>45058</v>
      </c>
      <c r="J1567" s="35" t="s">
        <v>1282</v>
      </c>
      <c r="K1567" s="21">
        <v>-152631</v>
      </c>
      <c r="L1567" s="21"/>
      <c r="M1567" s="22">
        <f>(PROVEEDORES[[#This Row],[SUBTOTAL]]-PROVEEDORES[[#This Row],[descuento sobre subtotal]])*VLOOKUP(PROVEEDORES[[#This Row],[PROVEEDOR]],TERCEROS_INFO[#All],3,FALSE)</f>
        <v>-28999.89</v>
      </c>
      <c r="N1567" s="23"/>
      <c r="O1567" s="22">
        <f>+PROVEEDORES[[#This Row],[Descuento sobre subtotal %]]*(PROVEEDORES[[#This Row],[SUBTOTAL]]-PROVEEDORES[[#This Row],[descuento sobre subtotal]])</f>
        <v>0</v>
      </c>
      <c r="P1567" s="74">
        <f>+IF(PROVEEDORES[[#This Row],[SUBTOTAL]]&lt;PROVEEDORES[[#This Row],[base retencion]],0,PROVEEDORES[[#This Row],[retención aplicada]])</f>
        <v>0</v>
      </c>
      <c r="Q1567" s="22">
        <f>+PROVEEDORES[[#This Row],[Rete Fuente %]]*(PROVEEDORES[[#This Row],[SUBTOTAL]]-PROVEEDORES[[#This Row],[descuento sobre subtotal]])</f>
        <v>0</v>
      </c>
      <c r="R1567" s="21">
        <f>+PROVEEDORES[[#This Row],[SUBTOTAL]]+PROVEEDORES[[#This Row],[IVA 19%]]-PROVEEDORES[[#This Row],[descuento sobre subtotal]]-PROVEEDORES[[#This Row],[Descuento sobre subtotal $2]]-PROVEEDORES[[#This Row],[Rete Fuente $]]</f>
        <v>-181630.89</v>
      </c>
      <c r="S15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7" s="63">
        <f ca="1">IF(PROVEEDORES[[#This Row],[FECHA DE PAGO]]=0,TODAY()-PROVEEDORES[[#This Row],[FECHA DE FACTURACIÓN]]-PROVEEDORES[[#This Row],[PLAZO Días]],0)</f>
        <v>0</v>
      </c>
      <c r="U1567" s="104" t="str">
        <f>+VLOOKUP(PROVEEDORES[[#This Row],[PROVEEDOR]],Terceros!$A:$D,4,FALSE)</f>
        <v>4% sin base</v>
      </c>
      <c r="V1567" s="105">
        <f>+YEAR(PROVEEDORES[[#This Row],[FECHA DE FACTURACIÓN]])</f>
        <v>2023</v>
      </c>
      <c r="W1567" s="105">
        <f>+MATCH(PROVEEDORES[[#This Row],[año facturado]],Retenciones!$1:$1,0)</f>
        <v>6</v>
      </c>
      <c r="X1567" s="106">
        <f>+VLOOKUP(PROVEEDORES[[#This Row],[ID RETENCION]],Retenciones!$A$1:$O$25,PROVEEDORES[[#This Row],[indicador de columna]],FALSE)</f>
        <v>0</v>
      </c>
      <c r="Y1567" s="107">
        <f>+VLOOKUP(PROVEEDORES[[#This Row],[ID RETENCION]],Retenciones!$A$1:$O$25,2,FALSE)</f>
        <v>0.04</v>
      </c>
      <c r="Z1567" s="116" t="b">
        <f>OR(COUNTIF(PROVEEDORES[[#This Row],[PROVEEDOR]],"*"&amp;'Palabra no opera'!$A$2&amp;"*"))</f>
        <v>1</v>
      </c>
    </row>
    <row r="1568" spans="1:26" ht="22.35" customHeight="1" x14ac:dyDescent="0.3">
      <c r="A1568" s="67" t="str">
        <f>+IF(PROVEEDORES[[#This Row],[FECHA DE PAGO]]=PROVEEDORES[[#This Row],[FECHA DE FACTURACIÓN]],"DE CONTADO","CRÉDITO")</f>
        <v>CRÉDITO</v>
      </c>
      <c r="B1568" s="38" t="b">
        <f>+IF((PROVEEDORES[[#This Row],[FECHA DE PAGO]]-PROVEEDORES[[#This Row],[FECHA DE FACTURACIÓN]])&gt;PROVEEDORES[[#This Row],[PLAZO Días]],"PAGO VENCIDO")</f>
        <v>0</v>
      </c>
      <c r="C1568" s="20">
        <f>+VLOOKUP(PROVEEDORES[[#This Row],[PROVEEDOR]],TERCEROS_INFO[#All],2,FALSE)</f>
        <v>30</v>
      </c>
      <c r="D1568" s="25">
        <f>+SUMIFS(PROVEEDORES[Total],PROVEEDORES[PROVEEDOR],PROVEEDORES[[#This Row],[PROVEEDOR]],PROVEEDORES[FECHA DE PAGO],"")</f>
        <v>0</v>
      </c>
      <c r="E1568" s="25"/>
      <c r="F156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68" s="68">
        <v>45086</v>
      </c>
      <c r="H1568" s="26" t="s">
        <v>623</v>
      </c>
      <c r="I1568" s="68">
        <v>45078</v>
      </c>
      <c r="J1568" s="35" t="s">
        <v>1721</v>
      </c>
      <c r="K1568" s="21">
        <v>908172</v>
      </c>
      <c r="L1568" s="21"/>
      <c r="M1568" s="22">
        <f>(PROVEEDORES[[#This Row],[SUBTOTAL]]-PROVEEDORES[[#This Row],[descuento sobre subtotal]])*VLOOKUP(PROVEEDORES[[#This Row],[PROVEEDOR]],TERCEROS_INFO[#All],3,FALSE)</f>
        <v>172552.68</v>
      </c>
      <c r="N1568" s="23"/>
      <c r="O1568" s="22">
        <f>+PROVEEDORES[[#This Row],[Descuento sobre subtotal %]]*(PROVEEDORES[[#This Row],[SUBTOTAL]]-PROVEEDORES[[#This Row],[descuento sobre subtotal]])</f>
        <v>0</v>
      </c>
      <c r="P1568" s="74">
        <f>+IF(PROVEEDORES[[#This Row],[SUBTOTAL]]&lt;PROVEEDORES[[#This Row],[base retencion]],0,PROVEEDORES[[#This Row],[retención aplicada]])</f>
        <v>0.04</v>
      </c>
      <c r="Q1568" s="22">
        <f>+PROVEEDORES[[#This Row],[Rete Fuente %]]*(PROVEEDORES[[#This Row],[SUBTOTAL]]-PROVEEDORES[[#This Row],[descuento sobre subtotal]])</f>
        <v>36326.879999999997</v>
      </c>
      <c r="R1568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15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8" s="63">
        <f ca="1">IF(PROVEEDORES[[#This Row],[FECHA DE PAGO]]=0,TODAY()-PROVEEDORES[[#This Row],[FECHA DE FACTURACIÓN]]-PROVEEDORES[[#This Row],[PLAZO Días]],0)</f>
        <v>0</v>
      </c>
      <c r="U1568" s="104" t="str">
        <f>+VLOOKUP(PROVEEDORES[[#This Row],[PROVEEDOR]],Terceros!$A:$D,4,FALSE)</f>
        <v>4% sin base</v>
      </c>
      <c r="V1568" s="105">
        <f>+YEAR(PROVEEDORES[[#This Row],[FECHA DE FACTURACIÓN]])</f>
        <v>2023</v>
      </c>
      <c r="W1568" s="105">
        <f>+MATCH(PROVEEDORES[[#This Row],[año facturado]],Retenciones!$1:$1,0)</f>
        <v>6</v>
      </c>
      <c r="X1568" s="106">
        <f>+VLOOKUP(PROVEEDORES[[#This Row],[ID RETENCION]],Retenciones!$A$1:$O$25,PROVEEDORES[[#This Row],[indicador de columna]],FALSE)</f>
        <v>0</v>
      </c>
      <c r="Y1568" s="107">
        <f>+VLOOKUP(PROVEEDORES[[#This Row],[ID RETENCION]],Retenciones!$A$1:$O$25,2,FALSE)</f>
        <v>0.04</v>
      </c>
      <c r="Z1568" s="116" t="b">
        <f>OR(COUNTIF(PROVEEDORES[[#This Row],[PROVEEDOR]],"*"&amp;'Palabra no opera'!$A$2&amp;"*"))</f>
        <v>1</v>
      </c>
    </row>
    <row r="1569" spans="1:26" ht="22.35" customHeight="1" x14ac:dyDescent="0.3">
      <c r="A1569" s="67" t="str">
        <f>+IF(PROVEEDORES[[#This Row],[FECHA DE PAGO]]=PROVEEDORES[[#This Row],[FECHA DE FACTURACIÓN]],"DE CONTADO","CRÉDITO")</f>
        <v>CRÉDITO</v>
      </c>
      <c r="B1569" s="38" t="b">
        <f>+IF((PROVEEDORES[[#This Row],[FECHA DE PAGO]]-PROVEEDORES[[#This Row],[FECHA DE FACTURACIÓN]])&gt;PROVEEDORES[[#This Row],[PLAZO Días]],"PAGO VENCIDO")</f>
        <v>0</v>
      </c>
      <c r="C1569" s="20">
        <f>+VLOOKUP(PROVEEDORES[[#This Row],[PROVEEDOR]],TERCEROS_INFO[#All],2,FALSE)</f>
        <v>30</v>
      </c>
      <c r="D1569" s="25">
        <f>+SUMIFS(PROVEEDORES[Total],PROVEEDORES[PROVEEDOR],PROVEEDORES[[#This Row],[PROVEEDOR]],PROVEEDORES[FECHA DE PAGO],"")</f>
        <v>0</v>
      </c>
      <c r="E1569" s="25"/>
      <c r="F156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69" s="68">
        <v>45086</v>
      </c>
      <c r="H1569" s="26" t="s">
        <v>623</v>
      </c>
      <c r="I1569" s="68">
        <v>45078</v>
      </c>
      <c r="J1569" s="35" t="s">
        <v>1722</v>
      </c>
      <c r="K1569" s="21">
        <v>3792544</v>
      </c>
      <c r="L1569" s="21"/>
      <c r="M1569" s="22">
        <f>(PROVEEDORES[[#This Row],[SUBTOTAL]]-PROVEEDORES[[#This Row],[descuento sobre subtotal]])*VLOOKUP(PROVEEDORES[[#This Row],[PROVEEDOR]],TERCEROS_INFO[#All],3,FALSE)</f>
        <v>720583.36</v>
      </c>
      <c r="N1569" s="23"/>
      <c r="O1569" s="22">
        <f>+PROVEEDORES[[#This Row],[Descuento sobre subtotal %]]*(PROVEEDORES[[#This Row],[SUBTOTAL]]-PROVEEDORES[[#This Row],[descuento sobre subtotal]])</f>
        <v>0</v>
      </c>
      <c r="P1569" s="74">
        <v>0</v>
      </c>
      <c r="Q1569" s="22">
        <f>+PROVEEDORES[[#This Row],[Rete Fuente %]]*(PROVEEDORES[[#This Row],[SUBTOTAL]]-PROVEEDORES[[#This Row],[descuento sobre subtotal]])</f>
        <v>0</v>
      </c>
      <c r="R1569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5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9" s="63">
        <f ca="1">IF(PROVEEDORES[[#This Row],[FECHA DE PAGO]]=0,TODAY()-PROVEEDORES[[#This Row],[FECHA DE FACTURACIÓN]]-PROVEEDORES[[#This Row],[PLAZO Días]],0)</f>
        <v>0</v>
      </c>
      <c r="U1569" s="104" t="str">
        <f>+VLOOKUP(PROVEEDORES[[#This Row],[PROVEEDOR]],Terceros!$A:$D,4,FALSE)</f>
        <v>4% sin base</v>
      </c>
      <c r="V1569" s="105">
        <f>+YEAR(PROVEEDORES[[#This Row],[FECHA DE FACTURACIÓN]])</f>
        <v>2023</v>
      </c>
      <c r="W1569" s="105">
        <f>+MATCH(PROVEEDORES[[#This Row],[año facturado]],Retenciones!$1:$1,0)</f>
        <v>6</v>
      </c>
      <c r="X1569" s="106">
        <f>+VLOOKUP(PROVEEDORES[[#This Row],[ID RETENCION]],Retenciones!$A$1:$O$25,PROVEEDORES[[#This Row],[indicador de columna]],FALSE)</f>
        <v>0</v>
      </c>
      <c r="Y1569" s="107">
        <f>+VLOOKUP(PROVEEDORES[[#This Row],[ID RETENCION]],Retenciones!$A$1:$O$25,2,FALSE)</f>
        <v>0.04</v>
      </c>
      <c r="Z1569" s="116" t="b">
        <f>OR(COUNTIF(PROVEEDORES[[#This Row],[PROVEEDOR]],"*"&amp;'Palabra no opera'!$A$2&amp;"*"))</f>
        <v>1</v>
      </c>
    </row>
    <row r="1570" spans="1:26" ht="22.35" customHeight="1" x14ac:dyDescent="0.3">
      <c r="A1570" s="67" t="str">
        <f>+IF(PROVEEDORES[[#This Row],[FECHA DE PAGO]]=PROVEEDORES[[#This Row],[FECHA DE FACTURACIÓN]],"DE CONTADO","CRÉDITO")</f>
        <v>CRÉDITO</v>
      </c>
      <c r="B1570" s="38" t="b">
        <f>+IF((PROVEEDORES[[#This Row],[FECHA DE PAGO]]-PROVEEDORES[[#This Row],[FECHA DE FACTURACIÓN]])&gt;PROVEEDORES[[#This Row],[PLAZO Días]],"PAGO VENCIDO")</f>
        <v>0</v>
      </c>
      <c r="C1570" s="20">
        <f>+VLOOKUP(PROVEEDORES[[#This Row],[PROVEEDOR]],TERCEROS_INFO[#All],2,FALSE)</f>
        <v>30</v>
      </c>
      <c r="D1570" s="25">
        <f>+SUMIFS(PROVEEDORES[Total],PROVEEDORES[PROVEEDOR],PROVEEDORES[[#This Row],[PROVEEDOR]],PROVEEDORES[FECHA DE PAGO],"")</f>
        <v>0</v>
      </c>
      <c r="E1570" s="25"/>
      <c r="F1570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70" s="68">
        <v>45086</v>
      </c>
      <c r="H1570" s="26" t="s">
        <v>638</v>
      </c>
      <c r="I1570" s="68">
        <v>45078</v>
      </c>
      <c r="J1570" s="35" t="s">
        <v>1719</v>
      </c>
      <c r="K1570" s="21">
        <v>3935776</v>
      </c>
      <c r="L1570" s="21"/>
      <c r="M1570" s="22">
        <v>665000</v>
      </c>
      <c r="N1570" s="23"/>
      <c r="O1570" s="22">
        <f>+PROVEEDORES[[#This Row],[Descuento sobre subtotal %]]*(PROVEEDORES[[#This Row],[SUBTOTAL]]-PROVEEDORES[[#This Row],[descuento sobre subtotal]])</f>
        <v>0</v>
      </c>
      <c r="P1570" s="74">
        <f>+IF(PROVEEDORES[[#This Row],[SUBTOTAL]]&lt;PROVEEDORES[[#This Row],[base retencion]],0,PROVEEDORES[[#This Row],[retención aplicada]])</f>
        <v>3.5000000000000003E-2</v>
      </c>
      <c r="Q1570" s="22"/>
      <c r="R1570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57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0" s="63">
        <f ca="1">IF(PROVEEDORES[[#This Row],[FECHA DE PAGO]]=0,TODAY()-PROVEEDORES[[#This Row],[FECHA DE FACTURACIÓN]]-PROVEEDORES[[#This Row],[PLAZO Días]],0)</f>
        <v>0</v>
      </c>
      <c r="U1570" s="104" t="str">
        <f>+VLOOKUP(PROVEEDORES[[#This Row],[PROVEEDOR]],Terceros!$A:$D,4,FALSE)</f>
        <v>3,5% sin base</v>
      </c>
      <c r="V1570" s="105">
        <f>+YEAR(PROVEEDORES[[#This Row],[FECHA DE FACTURACIÓN]])</f>
        <v>2023</v>
      </c>
      <c r="W1570" s="105">
        <f>+MATCH(PROVEEDORES[[#This Row],[año facturado]],Retenciones!$1:$1,0)</f>
        <v>6</v>
      </c>
      <c r="X1570" s="106">
        <f>+VLOOKUP(PROVEEDORES[[#This Row],[ID RETENCION]],Retenciones!$A$1:$O$25,PROVEEDORES[[#This Row],[indicador de columna]],FALSE)</f>
        <v>0</v>
      </c>
      <c r="Y1570" s="107">
        <f>+VLOOKUP(PROVEEDORES[[#This Row],[ID RETENCION]],Retenciones!$A$1:$O$25,2,FALSE)</f>
        <v>3.5000000000000003E-2</v>
      </c>
      <c r="Z1570" s="116" t="b">
        <f>OR(COUNTIF(PROVEEDORES[[#This Row],[PROVEEDOR]],"*"&amp;'Palabra no opera'!$A$2&amp;"*"))</f>
        <v>1</v>
      </c>
    </row>
    <row r="1571" spans="1:26" ht="22.35" customHeight="1" x14ac:dyDescent="0.3">
      <c r="A1571" s="327" t="str">
        <f>+IF(PROVEEDORES[[#This Row],[FECHA DE PAGO]]=PROVEEDORES[[#This Row],[FECHA DE FACTURACIÓN]],"DE CONTADO","CRÉDITO")</f>
        <v>DE CONTADO</v>
      </c>
      <c r="B1571" s="38" t="b">
        <f>+IF((PROVEEDORES[[#This Row],[FECHA DE PAGO]]-PROVEEDORES[[#This Row],[FECHA DE FACTURACIÓN]])&gt;PROVEEDORES[[#This Row],[PLAZO Días]],"PAGO VENCIDO")</f>
        <v>0</v>
      </c>
      <c r="C1571" s="20">
        <f>+VLOOKUP(PROVEEDORES[[#This Row],[PROVEEDOR]],TERCEROS_INFO[#All],2,FALSE)</f>
        <v>30</v>
      </c>
      <c r="D1571" s="25">
        <f>+SUMIFS(PROVEEDORES[Total],PROVEEDORES[PROVEEDOR],PROVEEDORES[[#This Row],[PROVEEDOR]],PROVEEDORES[FECHA DE PAGO],"")</f>
        <v>0</v>
      </c>
      <c r="E1571" s="25"/>
      <c r="F1571" s="56" t="str">
        <f>+VLOOKUP(PROVEEDORES[[#This Row],[PROVEEDOR]],
                       Terceros!$A:$F,
                       5,
                       FALSE)</f>
        <v/>
      </c>
      <c r="G1571" s="68">
        <v>45087</v>
      </c>
      <c r="H1571" s="26" t="s">
        <v>378</v>
      </c>
      <c r="I1571" s="68">
        <v>45087</v>
      </c>
      <c r="J1571" s="35" t="s">
        <v>1763</v>
      </c>
      <c r="K1571" s="21">
        <v>895000</v>
      </c>
      <c r="L1571" s="21"/>
      <c r="M1571" s="22">
        <f>(PROVEEDORES[[#This Row],[SUBTOTAL]]-PROVEEDORES[[#This Row],[descuento sobre subtotal]])*VLOOKUP(PROVEEDORES[[#This Row],[PROVEEDOR]],TERCEROS_INFO[#All],3,FALSE)</f>
        <v>0</v>
      </c>
      <c r="N1571" s="23"/>
      <c r="O1571" s="22">
        <f>+PROVEEDORES[[#This Row],[Descuento sobre subtotal %]]*(PROVEEDORES[[#This Row],[SUBTOTAL]]-PROVEEDORES[[#This Row],[descuento sobre subtotal]])</f>
        <v>0</v>
      </c>
      <c r="P1571" s="74">
        <f>+IF(PROVEEDORES[[#This Row],[SUBTOTAL]]&lt;PROVEEDORES[[#This Row],[base retencion]],0,PROVEEDORES[[#This Row],[retención aplicada]])</f>
        <v>0</v>
      </c>
      <c r="Q1571" s="22">
        <f>+PROVEEDORES[[#This Row],[Rete Fuente %]]*(PROVEEDORES[[#This Row],[SUBTOTAL]]-PROVEEDORES[[#This Row],[descuento sobre subtotal]])</f>
        <v>0</v>
      </c>
      <c r="R1571" s="21">
        <f>+PROVEEDORES[[#This Row],[SUBTOTAL]]+PROVEEDORES[[#This Row],[IVA 19%]]-PROVEEDORES[[#This Row],[descuento sobre subtotal]]-PROVEEDORES[[#This Row],[Descuento sobre subtotal $2]]-PROVEEDORES[[#This Row],[Rete Fuente $]]</f>
        <v>895000</v>
      </c>
      <c r="S1571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1" s="63">
        <f ca="1">IF(PROVEEDORES[[#This Row],[FECHA DE PAGO]]=0,TODAY()-PROVEEDORES[[#This Row],[FECHA DE FACTURACIÓN]]-PROVEEDORES[[#This Row],[PLAZO Días]],0)</f>
        <v>0</v>
      </c>
      <c r="U1571" s="104">
        <f>+VLOOKUP(PROVEEDORES[[#This Row],[PROVEEDOR]],Terceros!$A:$D,4,FALSE)</f>
        <v>0</v>
      </c>
      <c r="V1571" s="105">
        <f>+YEAR(PROVEEDORES[[#This Row],[FECHA DE FACTURACIÓN]])</f>
        <v>2023</v>
      </c>
      <c r="W1571" s="105">
        <f>+MATCH(PROVEEDORES[[#This Row],[año facturado]],Retenciones!$1:$1,0)</f>
        <v>6</v>
      </c>
      <c r="X1571" s="106">
        <f>+VLOOKUP(PROVEEDORES[[#This Row],[ID RETENCION]],Retenciones!$A$1:$O$25,PROVEEDORES[[#This Row],[indicador de columna]],FALSE)</f>
        <v>0</v>
      </c>
      <c r="Y1571" s="107">
        <f>+VLOOKUP(PROVEEDORES[[#This Row],[ID RETENCION]],Retenciones!$A$1:$O$25,2,FALSE)</f>
        <v>0</v>
      </c>
      <c r="Z1571" s="116" t="b">
        <f>OR(COUNTIF(PROVEEDORES[[#This Row],[PROVEEDOR]],"*"&amp;'Palabra no opera'!$A$2&amp;"*"))</f>
        <v>0</v>
      </c>
    </row>
    <row r="1572" spans="1:26" ht="22.35" customHeight="1" x14ac:dyDescent="0.3">
      <c r="A1572" s="67" t="str">
        <f>+IF(PROVEEDORES[[#This Row],[FECHA DE PAGO]]=PROVEEDORES[[#This Row],[FECHA DE FACTURACIÓN]],"DE CONTADO","CRÉDITO")</f>
        <v>CRÉDITO</v>
      </c>
      <c r="B1572" s="38" t="str">
        <f>+IF((PROVEEDORES[[#This Row],[FECHA DE PAGO]]-PROVEEDORES[[#This Row],[FECHA DE FACTURACIÓN]])&gt;PROVEEDORES[[#This Row],[PLAZO Días]],"PAGO VENCIDO")</f>
        <v>PAGO VENCIDO</v>
      </c>
      <c r="C1572" s="20">
        <f>+VLOOKUP(PROVEEDORES[[#This Row],[PROVEEDOR]],TERCEROS_INFO[#All],2,FALSE)</f>
        <v>30</v>
      </c>
      <c r="D1572" s="25">
        <f>+SUMIFS(PROVEEDORES[Total],PROVEEDORES[PROVEEDOR],PROVEEDORES[[#This Row],[PROVEEDOR]],PROVEEDORES[FECHA DE PAGO],"")</f>
        <v>5538410</v>
      </c>
      <c r="E1572" s="25"/>
      <c r="F1572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572" s="68">
        <v>45090</v>
      </c>
      <c r="H1572" s="26" t="s">
        <v>1460</v>
      </c>
      <c r="I1572" s="68">
        <v>45016</v>
      </c>
      <c r="J1572" s="35" t="s">
        <v>1559</v>
      </c>
      <c r="K1572" s="21">
        <v>3332000</v>
      </c>
      <c r="L1572" s="21"/>
      <c r="M1572" s="22">
        <f>(PROVEEDORES[[#This Row],[SUBTOTAL]]-PROVEEDORES[[#This Row],[descuento sobre subtotal]])*VLOOKUP(PROVEEDORES[[#This Row],[PROVEEDOR]],TERCEROS_INFO[#All],3,FALSE)</f>
        <v>633080</v>
      </c>
      <c r="N1572" s="23"/>
      <c r="O1572" s="22">
        <f>+PROVEEDORES[[#This Row],[Descuento sobre subtotal %]]*(PROVEEDORES[[#This Row],[SUBTOTAL]]-PROVEEDORES[[#This Row],[descuento sobre subtotal]])</f>
        <v>0</v>
      </c>
      <c r="P1572" s="74">
        <f>+IF(PROVEEDORES[[#This Row],[SUBTOTAL]]&lt;PROVEEDORES[[#This Row],[base retencion]],0,PROVEEDORES[[#This Row],[retención aplicada]])</f>
        <v>2.5000000000000001E-2</v>
      </c>
      <c r="Q1572" s="22">
        <f>+PROVEEDORES[[#This Row],[Rete Fuente %]]*(PROVEEDORES[[#This Row],[SUBTOTAL]]-PROVEEDORES[[#This Row],[descuento sobre subtotal]])</f>
        <v>83300</v>
      </c>
      <c r="R1572" s="21">
        <f>+PROVEEDORES[[#This Row],[SUBTOTAL]]+PROVEEDORES[[#This Row],[IVA 19%]]-PROVEEDORES[[#This Row],[descuento sobre subtotal]]-PROVEEDORES[[#This Row],[Descuento sobre subtotal $2]]-PROVEEDORES[[#This Row],[Rete Fuente $]]</f>
        <v>3881780</v>
      </c>
      <c r="S157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2" s="63">
        <f ca="1">IF(PROVEEDORES[[#This Row],[FECHA DE PAGO]]=0,TODAY()-PROVEEDORES[[#This Row],[FECHA DE FACTURACIÓN]]-PROVEEDORES[[#This Row],[PLAZO Días]],0)</f>
        <v>0</v>
      </c>
      <c r="U1572" s="104" t="str">
        <f>+VLOOKUP(PROVEEDORES[[#This Row],[PROVEEDOR]],Terceros!$A:$D,4,FALSE)</f>
        <v>2,5% con base</v>
      </c>
      <c r="V1572" s="105">
        <f>+YEAR(PROVEEDORES[[#This Row],[FECHA DE FACTURACIÓN]])</f>
        <v>2023</v>
      </c>
      <c r="W1572" s="105">
        <f>+MATCH(PROVEEDORES[[#This Row],[año facturado]],Retenciones!$1:$1,0)</f>
        <v>6</v>
      </c>
      <c r="X1572" s="106">
        <f>+VLOOKUP(PROVEEDORES[[#This Row],[ID RETENCION]],Retenciones!$A$1:$O$25,PROVEEDORES[[#This Row],[indicador de columna]],FALSE)</f>
        <v>1145000</v>
      </c>
      <c r="Y1572" s="107">
        <f>+VLOOKUP(PROVEEDORES[[#This Row],[ID RETENCION]],Retenciones!$A$1:$O$25,2,FALSE)</f>
        <v>2.5000000000000001E-2</v>
      </c>
      <c r="Z1572" s="116" t="b">
        <f>OR(COUNTIF(PROVEEDORES[[#This Row],[PROVEEDOR]],"*"&amp;'Palabra no opera'!$A$2&amp;"*"))</f>
        <v>0</v>
      </c>
    </row>
    <row r="1573" spans="1:26" ht="22.35" customHeight="1" x14ac:dyDescent="0.3">
      <c r="A1573" s="67" t="str">
        <f>+IF(PROVEEDORES[[#This Row],[FECHA DE PAGO]]=PROVEEDORES[[#This Row],[FECHA DE FACTURACIÓN]],"DE CONTADO","CRÉDITO")</f>
        <v>DE CONTADO</v>
      </c>
      <c r="B1573" s="38" t="b">
        <f>+IF((PROVEEDORES[[#This Row],[FECHA DE PAGO]]-PROVEEDORES[[#This Row],[FECHA DE FACTURACIÓN]])&gt;PROVEEDORES[[#This Row],[PLAZO Días]],"PAGO VENCIDO")</f>
        <v>0</v>
      </c>
      <c r="C1573" s="20">
        <f>+VLOOKUP(PROVEEDORES[[#This Row],[PROVEEDOR]],TERCEROS_INFO[#All],2,FALSE)</f>
        <v>30</v>
      </c>
      <c r="D1573" s="25">
        <f>+SUMIFS(PROVEEDORES[Total],PROVEEDORES[PROVEEDOR],PROVEEDORES[[#This Row],[PROVEEDOR]],PROVEEDORES[FECHA DE PAGO],"")</f>
        <v>229206</v>
      </c>
      <c r="E1573" s="25"/>
      <c r="F157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573" s="68">
        <v>45090</v>
      </c>
      <c r="H1573" s="26" t="s">
        <v>95</v>
      </c>
      <c r="I1573" s="68">
        <v>45090</v>
      </c>
      <c r="J1573" s="35" t="s">
        <v>1745</v>
      </c>
      <c r="K1573" s="21">
        <v>1830000</v>
      </c>
      <c r="L1573" s="21"/>
      <c r="M1573" s="22">
        <f>(PROVEEDORES[[#This Row],[SUBTOTAL]]-PROVEEDORES[[#This Row],[descuento sobre subtotal]])*VLOOKUP(PROVEEDORES[[#This Row],[PROVEEDOR]],TERCEROS_INFO[#All],3,FALSE)</f>
        <v>0</v>
      </c>
      <c r="N1573" s="23"/>
      <c r="O1573" s="22">
        <f>+PROVEEDORES[[#This Row],[Descuento sobre subtotal %]]*(PROVEEDORES[[#This Row],[SUBTOTAL]]-PROVEEDORES[[#This Row],[descuento sobre subtotal]])</f>
        <v>0</v>
      </c>
      <c r="P1573" s="74">
        <f>+IF(PROVEEDORES[[#This Row],[SUBTOTAL]]&lt;PROVEEDORES[[#This Row],[base retencion]],0,PROVEEDORES[[#This Row],[retención aplicada]])</f>
        <v>0</v>
      </c>
      <c r="Q1573" s="22">
        <f>+PROVEEDORES[[#This Row],[Rete Fuente %]]*(PROVEEDORES[[#This Row],[SUBTOTAL]]-PROVEEDORES[[#This Row],[descuento sobre subtotal]])</f>
        <v>0</v>
      </c>
      <c r="R1573" s="21">
        <f>+PROVEEDORES[[#This Row],[SUBTOTAL]]+PROVEEDORES[[#This Row],[IVA 19%]]-PROVEEDORES[[#This Row],[descuento sobre subtotal]]-PROVEEDORES[[#This Row],[Descuento sobre subtotal $2]]-PROVEEDORES[[#This Row],[Rete Fuente $]]</f>
        <v>1830000</v>
      </c>
      <c r="S157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3" s="63">
        <f ca="1">IF(PROVEEDORES[[#This Row],[FECHA DE PAGO]]=0,TODAY()-PROVEEDORES[[#This Row],[FECHA DE FACTURACIÓN]]-PROVEEDORES[[#This Row],[PLAZO Días]],0)</f>
        <v>0</v>
      </c>
      <c r="U1573" s="104">
        <f>+VLOOKUP(PROVEEDORES[[#This Row],[PROVEEDOR]],Terceros!$A:$D,4,FALSE)</f>
        <v>0</v>
      </c>
      <c r="V1573" s="105">
        <f>+YEAR(PROVEEDORES[[#This Row],[FECHA DE FACTURACIÓN]])</f>
        <v>2023</v>
      </c>
      <c r="W1573" s="105">
        <f>+MATCH(PROVEEDORES[[#This Row],[año facturado]],Retenciones!$1:$1,0)</f>
        <v>6</v>
      </c>
      <c r="X1573" s="106">
        <f>+VLOOKUP(PROVEEDORES[[#This Row],[ID RETENCION]],Retenciones!$A$1:$O$25,PROVEEDORES[[#This Row],[indicador de columna]],FALSE)</f>
        <v>0</v>
      </c>
      <c r="Y1573" s="107">
        <f>+VLOOKUP(PROVEEDORES[[#This Row],[ID RETENCION]],Retenciones!$A$1:$O$25,2,FALSE)</f>
        <v>0</v>
      </c>
      <c r="Z1573" s="116" t="b">
        <f>OR(COUNTIF(PROVEEDORES[[#This Row],[PROVEEDOR]],"*"&amp;'Palabra no opera'!$A$2&amp;"*"))</f>
        <v>0</v>
      </c>
    </row>
    <row r="1574" spans="1:26" ht="22.35" customHeight="1" x14ac:dyDescent="0.3">
      <c r="A1574" s="67" t="str">
        <f>+IF(PROVEEDORES[[#This Row],[FECHA DE PAGO]]=PROVEEDORES[[#This Row],[FECHA DE FACTURACIÓN]],"DE CONTADO","CRÉDITO")</f>
        <v>CRÉDITO</v>
      </c>
      <c r="B1574" s="38" t="str">
        <f>+IF((PROVEEDORES[[#This Row],[FECHA DE PAGO]]-PROVEEDORES[[#This Row],[FECHA DE FACTURACIÓN]])&gt;PROVEEDORES[[#This Row],[PLAZO Días]],"PAGO VENCIDO")</f>
        <v>PAGO VENCIDO</v>
      </c>
      <c r="C1574" s="20">
        <f>+VLOOKUP(PROVEEDORES[[#This Row],[PROVEEDOR]],TERCEROS_INFO[#All],2,FALSE)</f>
        <v>10</v>
      </c>
      <c r="D1574" s="25">
        <f>+SUMIFS(PROVEEDORES[Total],PROVEEDORES[PROVEEDOR],PROVEEDORES[[#This Row],[PROVEEDOR]],PROVEEDORES[FECHA DE PAGO],"")</f>
        <v>0</v>
      </c>
      <c r="E1574" s="25"/>
      <c r="F1574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574" s="68">
        <v>45090</v>
      </c>
      <c r="H1574" s="26" t="s">
        <v>1202</v>
      </c>
      <c r="I1574" s="68">
        <v>45078</v>
      </c>
      <c r="J1574" s="35" t="s">
        <v>1723</v>
      </c>
      <c r="K1574" s="21">
        <v>5350576</v>
      </c>
      <c r="L1574" s="21"/>
      <c r="M1574" s="22">
        <v>1016609</v>
      </c>
      <c r="N1574" s="23"/>
      <c r="O1574" s="22">
        <f>+PROVEEDORES[[#This Row],[Descuento sobre subtotal %]]*(PROVEEDORES[[#This Row],[SUBTOTAL]]-PROVEEDORES[[#This Row],[descuento sobre subtotal]])</f>
        <v>0</v>
      </c>
      <c r="P1574" s="74">
        <f>+IF(PROVEEDORES[[#This Row],[SUBTOTAL]]&lt;PROVEEDORES[[#This Row],[base retencion]],0,PROVEEDORES[[#This Row],[retención aplicada]])</f>
        <v>0</v>
      </c>
      <c r="Q1574" s="22">
        <f>+PROVEEDORES[[#This Row],[Rete Fuente %]]*(PROVEEDORES[[#This Row],[SUBTOTAL]]-PROVEEDORES[[#This Row],[descuento sobre subtotal]])</f>
        <v>0</v>
      </c>
      <c r="R1574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5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4" s="63">
        <f ca="1">IF(PROVEEDORES[[#This Row],[FECHA DE PAGO]]=0,TODAY()-PROVEEDORES[[#This Row],[FECHA DE FACTURACIÓN]]-PROVEEDORES[[#This Row],[PLAZO Días]],0)</f>
        <v>0</v>
      </c>
      <c r="U1574" s="104">
        <f>+VLOOKUP(PROVEEDORES[[#This Row],[PROVEEDOR]],Terceros!$A:$D,4,FALSE)</f>
        <v>0</v>
      </c>
      <c r="V1574" s="105">
        <f>+YEAR(PROVEEDORES[[#This Row],[FECHA DE FACTURACIÓN]])</f>
        <v>2023</v>
      </c>
      <c r="W1574" s="105">
        <f>+MATCH(PROVEEDORES[[#This Row],[año facturado]],Retenciones!$1:$1,0)</f>
        <v>6</v>
      </c>
      <c r="X1574" s="106">
        <f>+VLOOKUP(PROVEEDORES[[#This Row],[ID RETENCION]],Retenciones!$A$1:$O$25,PROVEEDORES[[#This Row],[indicador de columna]],FALSE)</f>
        <v>0</v>
      </c>
      <c r="Y1574" s="107">
        <f>+VLOOKUP(PROVEEDORES[[#This Row],[ID RETENCION]],Retenciones!$A$1:$O$25,2,FALSE)</f>
        <v>0</v>
      </c>
      <c r="Z1574" s="116" t="b">
        <f>OR(COUNTIF(PROVEEDORES[[#This Row],[PROVEEDOR]],"*"&amp;'Palabra no opera'!$A$2&amp;"*"))</f>
        <v>1</v>
      </c>
    </row>
    <row r="1575" spans="1:26" ht="22.35" customHeight="1" x14ac:dyDescent="0.3">
      <c r="A1575" s="316" t="str">
        <f>+IF(PROVEEDORES[[#This Row],[FECHA DE PAGO]]=PROVEEDORES[[#This Row],[FECHA DE FACTURACIÓN]],"DE CONTADO","CRÉDITO")</f>
        <v>CRÉDITO</v>
      </c>
      <c r="B1575" s="38" t="b">
        <f>+IF((PROVEEDORES[[#This Row],[FECHA DE PAGO]]-PROVEEDORES[[#This Row],[FECHA DE FACTURACIÓN]])&gt;PROVEEDORES[[#This Row],[PLAZO Días]],"PAGO VENCIDO")</f>
        <v>0</v>
      </c>
      <c r="C1575" s="20">
        <f>+VLOOKUP(PROVEEDORES[[#This Row],[PROVEEDOR]],TERCEROS_INFO[#All],2,FALSE)</f>
        <v>30</v>
      </c>
      <c r="D1575" s="25">
        <f>+SUMIFS(PROVEEDORES[Total],PROVEEDORES[PROVEEDOR],PROVEEDORES[[#This Row],[PROVEEDOR]],PROVEEDORES[FECHA DE PAGO],"")</f>
        <v>0</v>
      </c>
      <c r="E1575" s="25"/>
      <c r="F1575" s="56">
        <f>+VLOOKUP(PROVEEDORES[[#This Row],[PROVEEDOR]],
                       Terceros!$A:$F,
                       5,
                       FALSE)</f>
        <v>0</v>
      </c>
      <c r="G1575" s="68">
        <v>45091</v>
      </c>
      <c r="H1575" s="95" t="s">
        <v>1709</v>
      </c>
      <c r="I1575" s="68">
        <v>45064</v>
      </c>
      <c r="J1575" s="35" t="s">
        <v>1705</v>
      </c>
      <c r="K1575" s="21">
        <v>400000</v>
      </c>
      <c r="L1575" s="21"/>
      <c r="M1575" s="22">
        <f>(PROVEEDORES[[#This Row],[SUBTOTAL]]-PROVEEDORES[[#This Row],[descuento sobre subtotal]])*VLOOKUP(PROVEEDORES[[#This Row],[PROVEEDOR]],TERCEROS_INFO[#All],3,FALSE)</f>
        <v>0</v>
      </c>
      <c r="N1575" s="23"/>
      <c r="O1575" s="22">
        <f>+PROVEEDORES[[#This Row],[Descuento sobre subtotal %]]*(PROVEEDORES[[#This Row],[SUBTOTAL]]-PROVEEDORES[[#This Row],[descuento sobre subtotal]])</f>
        <v>0</v>
      </c>
      <c r="P1575" s="74">
        <f>+IF(PROVEEDORES[[#This Row],[SUBTOTAL]]&lt;PROVEEDORES[[#This Row],[base retencion]],0,PROVEEDORES[[#This Row],[retención aplicada]])</f>
        <v>0</v>
      </c>
      <c r="Q1575" s="22">
        <f>+PROVEEDORES[[#This Row],[Rete Fuente %]]*(PROVEEDORES[[#This Row],[SUBTOTAL]]-PROVEEDORES[[#This Row],[descuento sobre subtotal]])</f>
        <v>0</v>
      </c>
      <c r="R1575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1575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5" s="63">
        <f ca="1">IF(PROVEEDORES[[#This Row],[FECHA DE PAGO]]=0,TODAY()-PROVEEDORES[[#This Row],[FECHA DE FACTURACIÓN]]-PROVEEDORES[[#This Row],[PLAZO Días]],0)</f>
        <v>0</v>
      </c>
      <c r="U1575" s="104">
        <f>+VLOOKUP(PROVEEDORES[[#This Row],[PROVEEDOR]],Terceros!$A:$D,4,FALSE)</f>
        <v>0</v>
      </c>
      <c r="V1575" s="105">
        <f>+YEAR(PROVEEDORES[[#This Row],[FECHA DE FACTURACIÓN]])</f>
        <v>2023</v>
      </c>
      <c r="W1575" s="105">
        <f>+MATCH(PROVEEDORES[[#This Row],[año facturado]],Retenciones!$1:$1,0)</f>
        <v>6</v>
      </c>
      <c r="X1575" s="106">
        <f>+VLOOKUP(PROVEEDORES[[#This Row],[ID RETENCION]],Retenciones!$A$1:$O$25,PROVEEDORES[[#This Row],[indicador de columna]],FALSE)</f>
        <v>0</v>
      </c>
      <c r="Y1575" s="107">
        <f>+VLOOKUP(PROVEEDORES[[#This Row],[ID RETENCION]],Retenciones!$A$1:$O$25,2,FALSE)</f>
        <v>0</v>
      </c>
      <c r="Z1575" s="116" t="b">
        <f>OR(COUNTIF(PROVEEDORES[[#This Row],[PROVEEDOR]],"*"&amp;'Palabra no opera'!$A$2&amp;"*"))</f>
        <v>0</v>
      </c>
    </row>
    <row r="1576" spans="1:26" ht="22.35" customHeight="1" x14ac:dyDescent="0.3">
      <c r="A1576" s="327" t="str">
        <f>+IF(PROVEEDORES[[#This Row],[FECHA DE PAGO]]=PROVEEDORES[[#This Row],[FECHA DE FACTURACIÓN]],"DE CONTADO","CRÉDITO")</f>
        <v>DE CONTADO</v>
      </c>
      <c r="B1576" s="38" t="b">
        <f>+IF((PROVEEDORES[[#This Row],[FECHA DE PAGO]]-PROVEEDORES[[#This Row],[FECHA DE FACTURACIÓN]])&gt;PROVEEDORES[[#This Row],[PLAZO Días]],"PAGO VENCIDO")</f>
        <v>0</v>
      </c>
      <c r="C1576" s="20">
        <f>+VLOOKUP(PROVEEDORES[[#This Row],[PROVEEDOR]],TERCEROS_INFO[#All],2,FALSE)</f>
        <v>30</v>
      </c>
      <c r="D1576" s="25">
        <f>+SUMIFS(PROVEEDORES[Total],PROVEEDORES[PROVEEDOR],PROVEEDORES[[#This Row],[PROVEEDOR]],PROVEEDORES[FECHA DE PAGO],"")</f>
        <v>0</v>
      </c>
      <c r="E1576" s="25"/>
      <c r="F1576" s="56" t="str">
        <f>+VLOOKUP(PROVEEDORES[[#This Row],[PROVEEDOR]],
                       Terceros!$A:$F,
                       5,
                       FALSE)</f>
        <v/>
      </c>
      <c r="G1576" s="68">
        <v>45092</v>
      </c>
      <c r="H1576" s="26" t="s">
        <v>832</v>
      </c>
      <c r="I1576" s="68">
        <v>45092</v>
      </c>
      <c r="J1576" s="35" t="s">
        <v>1766</v>
      </c>
      <c r="K1576" s="21">
        <v>171400</v>
      </c>
      <c r="L1576" s="21"/>
      <c r="M1576" s="22">
        <f>(PROVEEDORES[[#This Row],[SUBTOTAL]]-PROVEEDORES[[#This Row],[descuento sobre subtotal]])*VLOOKUP(PROVEEDORES[[#This Row],[PROVEEDOR]],TERCEROS_INFO[#All],3,FALSE)</f>
        <v>0</v>
      </c>
      <c r="N1576" s="23"/>
      <c r="O1576" s="22">
        <f>+PROVEEDORES[[#This Row],[Descuento sobre subtotal %]]*(PROVEEDORES[[#This Row],[SUBTOTAL]]-PROVEEDORES[[#This Row],[descuento sobre subtotal]])</f>
        <v>0</v>
      </c>
      <c r="P1576" s="74">
        <f>+IF(PROVEEDORES[[#This Row],[SUBTOTAL]]&lt;PROVEEDORES[[#This Row],[base retencion]],0,PROVEEDORES[[#This Row],[retención aplicada]])</f>
        <v>0</v>
      </c>
      <c r="Q1576" s="22">
        <f>+PROVEEDORES[[#This Row],[Rete Fuente %]]*(PROVEEDORES[[#This Row],[SUBTOTAL]]-PROVEEDORES[[#This Row],[descuento sobre subtotal]])</f>
        <v>0</v>
      </c>
      <c r="R1576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1576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6" s="63">
        <f ca="1">IF(PROVEEDORES[[#This Row],[FECHA DE PAGO]]=0,TODAY()-PROVEEDORES[[#This Row],[FECHA DE FACTURACIÓN]]-PROVEEDORES[[#This Row],[PLAZO Días]],0)</f>
        <v>0</v>
      </c>
      <c r="U1576" s="104">
        <f>+VLOOKUP(PROVEEDORES[[#This Row],[PROVEEDOR]],Terceros!$A:$D,4,FALSE)</f>
        <v>0</v>
      </c>
      <c r="V1576" s="105">
        <f>+YEAR(PROVEEDORES[[#This Row],[FECHA DE FACTURACIÓN]])</f>
        <v>2023</v>
      </c>
      <c r="W1576" s="105">
        <f>+MATCH(PROVEEDORES[[#This Row],[año facturado]],Retenciones!$1:$1,0)</f>
        <v>6</v>
      </c>
      <c r="X1576" s="106">
        <f>+VLOOKUP(PROVEEDORES[[#This Row],[ID RETENCION]],Retenciones!$A$1:$O$25,PROVEEDORES[[#This Row],[indicador de columna]],FALSE)</f>
        <v>0</v>
      </c>
      <c r="Y1576" s="107">
        <f>+VLOOKUP(PROVEEDORES[[#This Row],[ID RETENCION]],Retenciones!$A$1:$O$25,2,FALSE)</f>
        <v>0</v>
      </c>
      <c r="Z1576" s="116" t="b">
        <f>OR(COUNTIF(PROVEEDORES[[#This Row],[PROVEEDOR]],"*"&amp;'Palabra no opera'!$A$2&amp;"*"))</f>
        <v>1</v>
      </c>
    </row>
    <row r="1577" spans="1:26" ht="22.35" customHeight="1" x14ac:dyDescent="0.3">
      <c r="A1577" s="310" t="str">
        <f>+IF(PROVEEDORES[[#This Row],[FECHA DE PAGO]]=PROVEEDORES[[#This Row],[FECHA DE FACTURACIÓN]],"DE CONTADO","CRÉDITO")</f>
        <v>CRÉDITO</v>
      </c>
      <c r="B1577" s="38" t="str">
        <f>+IF((PROVEEDORES[[#This Row],[FECHA DE PAGO]]-PROVEEDORES[[#This Row],[FECHA DE FACTURACIÓN]])&gt;PROVEEDORES[[#This Row],[PLAZO Días]],"PAGO VENCIDO")</f>
        <v>PAGO VENCIDO</v>
      </c>
      <c r="C1577" s="20">
        <f>+VLOOKUP(PROVEEDORES[[#This Row],[PROVEEDOR]],TERCEROS_INFO[#All],2,FALSE)</f>
        <v>30</v>
      </c>
      <c r="D1577" s="25">
        <f>+SUMIFS(PROVEEDORES[Total],PROVEEDORES[PROVEEDOR],PROVEEDORES[[#This Row],[PROVEEDOR]],PROVEEDORES[FECHA DE PAGO],"")</f>
        <v>17870934.149999999</v>
      </c>
      <c r="E1577" s="25"/>
      <c r="F157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77" s="68">
        <v>45092</v>
      </c>
      <c r="H1577" s="26" t="s">
        <v>18</v>
      </c>
      <c r="I1577" s="68">
        <v>45036</v>
      </c>
      <c r="J1577" s="35" t="s">
        <v>1635</v>
      </c>
      <c r="K1577" s="21">
        <v>1692916</v>
      </c>
      <c r="L1577" s="21"/>
      <c r="M1577" s="22">
        <f>(PROVEEDORES[[#This Row],[SUBTOTAL]]-PROVEEDORES[[#This Row],[descuento sobre subtotal]])*VLOOKUP(PROVEEDORES[[#This Row],[PROVEEDOR]],TERCEROS_INFO[#All],3,FALSE)</f>
        <v>321654.03999999998</v>
      </c>
      <c r="N1577" s="23"/>
      <c r="O1577" s="22">
        <f>+PROVEEDORES[[#This Row],[Descuento sobre subtotal %]]*(PROVEEDORES[[#This Row],[SUBTOTAL]]-PROVEEDORES[[#This Row],[descuento sobre subtotal]])</f>
        <v>0</v>
      </c>
      <c r="P1577" s="74">
        <f>+IF(PROVEEDORES[[#This Row],[SUBTOTAL]]&lt;PROVEEDORES[[#This Row],[base retencion]],0,PROVEEDORES[[#This Row],[retención aplicada]])</f>
        <v>2.5000000000000001E-2</v>
      </c>
      <c r="Q1577" s="22">
        <f>+PROVEEDORES[[#This Row],[Rete Fuente %]]*(PROVEEDORES[[#This Row],[SUBTOTAL]]-PROVEEDORES[[#This Row],[descuento sobre subtotal]])</f>
        <v>42322.9</v>
      </c>
      <c r="R1577" s="21">
        <f>+PROVEEDORES[[#This Row],[SUBTOTAL]]+PROVEEDORES[[#This Row],[IVA 19%]]-PROVEEDORES[[#This Row],[descuento sobre subtotal]]-PROVEEDORES[[#This Row],[Descuento sobre subtotal $2]]-PROVEEDORES[[#This Row],[Rete Fuente $]]</f>
        <v>1972247.1400000001</v>
      </c>
      <c r="S1577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7" s="63">
        <f ca="1">IF(PROVEEDORES[[#This Row],[FECHA DE PAGO]]=0,TODAY()-PROVEEDORES[[#This Row],[FECHA DE FACTURACIÓN]]-PROVEEDORES[[#This Row],[PLAZO Días]],0)</f>
        <v>0</v>
      </c>
      <c r="U1577" s="104" t="str">
        <f>+VLOOKUP(PROVEEDORES[[#This Row],[PROVEEDOR]],Terceros!$A:$D,4,FALSE)</f>
        <v>2,5% con base</v>
      </c>
      <c r="V1577" s="105">
        <f>+YEAR(PROVEEDORES[[#This Row],[FECHA DE FACTURACIÓN]])</f>
        <v>2023</v>
      </c>
      <c r="W1577" s="105">
        <f>+MATCH(PROVEEDORES[[#This Row],[año facturado]],Retenciones!$1:$1,0)</f>
        <v>6</v>
      </c>
      <c r="X1577" s="106">
        <f>+VLOOKUP(PROVEEDORES[[#This Row],[ID RETENCION]],Retenciones!$A$1:$O$25,PROVEEDORES[[#This Row],[indicador de columna]],FALSE)</f>
        <v>1145000</v>
      </c>
      <c r="Y1577" s="107">
        <f>+VLOOKUP(PROVEEDORES[[#This Row],[ID RETENCION]],Retenciones!$A$1:$O$25,2,FALSE)</f>
        <v>2.5000000000000001E-2</v>
      </c>
      <c r="Z1577" s="116" t="b">
        <f>OR(COUNTIF(PROVEEDORES[[#This Row],[PROVEEDOR]],"*"&amp;'Palabra no opera'!$A$2&amp;"*"))</f>
        <v>0</v>
      </c>
    </row>
    <row r="1578" spans="1:26" ht="22.35" customHeight="1" x14ac:dyDescent="0.3">
      <c r="A1578" s="310" t="str">
        <f>+IF(PROVEEDORES[[#This Row],[FECHA DE PAGO]]=PROVEEDORES[[#This Row],[FECHA DE FACTURACIÓN]],"DE CONTADO","CRÉDITO")</f>
        <v>CRÉDITO</v>
      </c>
      <c r="B1578" s="38" t="str">
        <f>+IF((PROVEEDORES[[#This Row],[FECHA DE PAGO]]-PROVEEDORES[[#This Row],[FECHA DE FACTURACIÓN]])&gt;PROVEEDORES[[#This Row],[PLAZO Días]],"PAGO VENCIDO")</f>
        <v>PAGO VENCIDO</v>
      </c>
      <c r="C1578" s="20">
        <f>+VLOOKUP(PROVEEDORES[[#This Row],[PROVEEDOR]],TERCEROS_INFO[#All],2,FALSE)</f>
        <v>30</v>
      </c>
      <c r="D1578" s="25">
        <f>+SUMIFS(PROVEEDORES[Total],PROVEEDORES[PROVEEDOR],PROVEEDORES[[#This Row],[PROVEEDOR]],PROVEEDORES[FECHA DE PAGO],"")</f>
        <v>17870934.149999999</v>
      </c>
      <c r="E1578" s="25"/>
      <c r="F157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78" s="68">
        <v>45092</v>
      </c>
      <c r="H1578" s="26" t="s">
        <v>18</v>
      </c>
      <c r="I1578" s="68">
        <v>45042</v>
      </c>
      <c r="J1578" s="35" t="s">
        <v>1647</v>
      </c>
      <c r="K1578" s="21">
        <v>376982</v>
      </c>
      <c r="L1578" s="21"/>
      <c r="M1578" s="22">
        <f>(PROVEEDORES[[#This Row],[SUBTOTAL]]-PROVEEDORES[[#This Row],[descuento sobre subtotal]])*VLOOKUP(PROVEEDORES[[#This Row],[PROVEEDOR]],TERCEROS_INFO[#All],3,FALSE)</f>
        <v>71626.58</v>
      </c>
      <c r="N1578" s="23"/>
      <c r="O1578" s="22">
        <f>+PROVEEDORES[[#This Row],[Descuento sobre subtotal %]]*(PROVEEDORES[[#This Row],[SUBTOTAL]]-PROVEEDORES[[#This Row],[descuento sobre subtotal]])</f>
        <v>0</v>
      </c>
      <c r="P1578" s="74">
        <f>+IF(PROVEEDORES[[#This Row],[SUBTOTAL]]&lt;PROVEEDORES[[#This Row],[base retencion]],0,PROVEEDORES[[#This Row],[retención aplicada]])</f>
        <v>0</v>
      </c>
      <c r="Q1578" s="22">
        <f>+PROVEEDORES[[#This Row],[Rete Fuente %]]*(PROVEEDORES[[#This Row],[SUBTOTAL]]-PROVEEDORES[[#This Row],[descuento sobre subtotal]])</f>
        <v>0</v>
      </c>
      <c r="R1578" s="21">
        <f>+PROVEEDORES[[#This Row],[SUBTOTAL]]+PROVEEDORES[[#This Row],[IVA 19%]]-PROVEEDORES[[#This Row],[descuento sobre subtotal]]-PROVEEDORES[[#This Row],[Descuento sobre subtotal $2]]-PROVEEDORES[[#This Row],[Rete Fuente $]]</f>
        <v>448608.58</v>
      </c>
      <c r="S157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8" s="63">
        <f ca="1">IF(PROVEEDORES[[#This Row],[FECHA DE PAGO]]=0,TODAY()-PROVEEDORES[[#This Row],[FECHA DE FACTURACIÓN]]-PROVEEDORES[[#This Row],[PLAZO Días]],0)</f>
        <v>0</v>
      </c>
      <c r="U1578" s="104" t="str">
        <f>+VLOOKUP(PROVEEDORES[[#This Row],[PROVEEDOR]],Terceros!$A:$D,4,FALSE)</f>
        <v>2,5% con base</v>
      </c>
      <c r="V1578" s="105">
        <f>+YEAR(PROVEEDORES[[#This Row],[FECHA DE FACTURACIÓN]])</f>
        <v>2023</v>
      </c>
      <c r="W1578" s="105">
        <f>+MATCH(PROVEEDORES[[#This Row],[año facturado]],Retenciones!$1:$1,0)</f>
        <v>6</v>
      </c>
      <c r="X1578" s="106">
        <f>+VLOOKUP(PROVEEDORES[[#This Row],[ID RETENCION]],Retenciones!$A$1:$O$25,PROVEEDORES[[#This Row],[indicador de columna]],FALSE)</f>
        <v>1145000</v>
      </c>
      <c r="Y1578" s="107">
        <f>+VLOOKUP(PROVEEDORES[[#This Row],[ID RETENCION]],Retenciones!$A$1:$O$25,2,FALSE)</f>
        <v>2.5000000000000001E-2</v>
      </c>
      <c r="Z1578" s="116" t="b">
        <f>OR(COUNTIF(PROVEEDORES[[#This Row],[PROVEEDOR]],"*"&amp;'Palabra no opera'!$A$2&amp;"*"))</f>
        <v>0</v>
      </c>
    </row>
    <row r="1579" spans="1:26" ht="22.35" customHeight="1" x14ac:dyDescent="0.3">
      <c r="A1579" s="310" t="str">
        <f>+IF(PROVEEDORES[[#This Row],[FECHA DE PAGO]]=PROVEEDORES[[#This Row],[FECHA DE FACTURACIÓN]],"DE CONTADO","CRÉDITO")</f>
        <v>CRÉDITO</v>
      </c>
      <c r="B1579" s="38" t="str">
        <f>+IF((PROVEEDORES[[#This Row],[FECHA DE PAGO]]-PROVEEDORES[[#This Row],[FECHA DE FACTURACIÓN]])&gt;PROVEEDORES[[#This Row],[PLAZO Días]],"PAGO VENCIDO")</f>
        <v>PAGO VENCIDO</v>
      </c>
      <c r="C1579" s="20">
        <f>+VLOOKUP(PROVEEDORES[[#This Row],[PROVEEDOR]],TERCEROS_INFO[#All],2,FALSE)</f>
        <v>30</v>
      </c>
      <c r="D1579" s="25">
        <f>+SUMIFS(PROVEEDORES[Total],PROVEEDORES[PROVEEDOR],PROVEEDORES[[#This Row],[PROVEEDOR]],PROVEEDORES[FECHA DE PAGO],"")</f>
        <v>17870934.149999999</v>
      </c>
      <c r="E1579" s="25"/>
      <c r="F157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79" s="68">
        <v>45092</v>
      </c>
      <c r="H1579" s="26" t="s">
        <v>18</v>
      </c>
      <c r="I1579" s="68">
        <v>45042</v>
      </c>
      <c r="J1579" s="35" t="s">
        <v>1648</v>
      </c>
      <c r="K1579" s="21">
        <v>1354333</v>
      </c>
      <c r="L1579" s="21"/>
      <c r="M1579" s="22">
        <f>(PROVEEDORES[[#This Row],[SUBTOTAL]]-PROVEEDORES[[#This Row],[descuento sobre subtotal]])*VLOOKUP(PROVEEDORES[[#This Row],[PROVEEDOR]],TERCEROS_INFO[#All],3,FALSE)</f>
        <v>257323.27</v>
      </c>
      <c r="N1579" s="23"/>
      <c r="O1579" s="22">
        <f>+PROVEEDORES[[#This Row],[Descuento sobre subtotal %]]*(PROVEEDORES[[#This Row],[SUBTOTAL]]-PROVEEDORES[[#This Row],[descuento sobre subtotal]])</f>
        <v>0</v>
      </c>
      <c r="P1579" s="74">
        <f>+IF(PROVEEDORES[[#This Row],[SUBTOTAL]]&lt;PROVEEDORES[[#This Row],[base retencion]],0,PROVEEDORES[[#This Row],[retención aplicada]])</f>
        <v>2.5000000000000001E-2</v>
      </c>
      <c r="Q1579" s="22">
        <f>+PROVEEDORES[[#This Row],[Rete Fuente %]]*(PROVEEDORES[[#This Row],[SUBTOTAL]]-PROVEEDORES[[#This Row],[descuento sobre subtotal]])</f>
        <v>33858.325000000004</v>
      </c>
      <c r="R1579" s="21">
        <f>+PROVEEDORES[[#This Row],[SUBTOTAL]]+PROVEEDORES[[#This Row],[IVA 19%]]-PROVEEDORES[[#This Row],[descuento sobre subtotal]]-PROVEEDORES[[#This Row],[Descuento sobre subtotal $2]]-PROVEEDORES[[#This Row],[Rete Fuente $]]</f>
        <v>1577797.9450000001</v>
      </c>
      <c r="S1579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9" s="63">
        <f ca="1">IF(PROVEEDORES[[#This Row],[FECHA DE PAGO]]=0,TODAY()-PROVEEDORES[[#This Row],[FECHA DE FACTURACIÓN]]-PROVEEDORES[[#This Row],[PLAZO Días]],0)</f>
        <v>0</v>
      </c>
      <c r="U1579" s="104" t="str">
        <f>+VLOOKUP(PROVEEDORES[[#This Row],[PROVEEDOR]],Terceros!$A:$D,4,FALSE)</f>
        <v>2,5% con base</v>
      </c>
      <c r="V1579" s="105">
        <f>+YEAR(PROVEEDORES[[#This Row],[FECHA DE FACTURACIÓN]])</f>
        <v>2023</v>
      </c>
      <c r="W1579" s="105">
        <f>+MATCH(PROVEEDORES[[#This Row],[año facturado]],Retenciones!$1:$1,0)</f>
        <v>6</v>
      </c>
      <c r="X1579" s="106">
        <f>+VLOOKUP(PROVEEDORES[[#This Row],[ID RETENCION]],Retenciones!$A$1:$O$25,PROVEEDORES[[#This Row],[indicador de columna]],FALSE)</f>
        <v>1145000</v>
      </c>
      <c r="Y1579" s="107">
        <f>+VLOOKUP(PROVEEDORES[[#This Row],[ID RETENCION]],Retenciones!$A$1:$O$25,2,FALSE)</f>
        <v>2.5000000000000001E-2</v>
      </c>
      <c r="Z1579" s="116" t="b">
        <f>OR(COUNTIF(PROVEEDORES[[#This Row],[PROVEEDOR]],"*"&amp;'Palabra no opera'!$A$2&amp;"*"))</f>
        <v>0</v>
      </c>
    </row>
    <row r="1580" spans="1:26" ht="22.35" customHeight="1" x14ac:dyDescent="0.3">
      <c r="A1580" s="310" t="str">
        <f>+IF(PROVEEDORES[[#This Row],[FECHA DE PAGO]]=PROVEEDORES[[#This Row],[FECHA DE FACTURACIÓN]],"DE CONTADO","CRÉDITO")</f>
        <v>CRÉDITO</v>
      </c>
      <c r="B1580" s="38" t="str">
        <f>+IF((PROVEEDORES[[#This Row],[FECHA DE PAGO]]-PROVEEDORES[[#This Row],[FECHA DE FACTURACIÓN]])&gt;PROVEEDORES[[#This Row],[PLAZO Días]],"PAGO VENCIDO")</f>
        <v>PAGO VENCIDO</v>
      </c>
      <c r="C1580" s="20">
        <f>+VLOOKUP(PROVEEDORES[[#This Row],[PROVEEDOR]],TERCEROS_INFO[#All],2,FALSE)</f>
        <v>30</v>
      </c>
      <c r="D1580" s="25">
        <f>+SUMIFS(PROVEEDORES[Total],PROVEEDORES[PROVEEDOR],PROVEEDORES[[#This Row],[PROVEEDOR]],PROVEEDORES[FECHA DE PAGO],"")</f>
        <v>17870934.149999999</v>
      </c>
      <c r="E1580" s="25"/>
      <c r="F158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80" s="68">
        <v>45092</v>
      </c>
      <c r="H1580" s="26" t="s">
        <v>18</v>
      </c>
      <c r="I1580" s="68">
        <v>45042</v>
      </c>
      <c r="J1580" s="35" t="s">
        <v>1652</v>
      </c>
      <c r="K1580" s="21">
        <v>1206027</v>
      </c>
      <c r="L1580" s="21"/>
      <c r="M1580" s="22">
        <f>(PROVEEDORES[[#This Row],[SUBTOTAL]]-PROVEEDORES[[#This Row],[descuento sobre subtotal]])*VLOOKUP(PROVEEDORES[[#This Row],[PROVEEDOR]],TERCEROS_INFO[#All],3,FALSE)</f>
        <v>229145.13</v>
      </c>
      <c r="N1580" s="23"/>
      <c r="O1580" s="22">
        <f>+PROVEEDORES[[#This Row],[Descuento sobre subtotal %]]*(PROVEEDORES[[#This Row],[SUBTOTAL]]-PROVEEDORES[[#This Row],[descuento sobre subtotal]])</f>
        <v>0</v>
      </c>
      <c r="P1580" s="74">
        <f>+IF(PROVEEDORES[[#This Row],[SUBTOTAL]]&lt;PROVEEDORES[[#This Row],[base retencion]],0,PROVEEDORES[[#This Row],[retención aplicada]])</f>
        <v>2.5000000000000001E-2</v>
      </c>
      <c r="Q1580" s="22">
        <f>+PROVEEDORES[[#This Row],[Rete Fuente %]]*(PROVEEDORES[[#This Row],[SUBTOTAL]]-PROVEEDORES[[#This Row],[descuento sobre subtotal]])</f>
        <v>30150.675000000003</v>
      </c>
      <c r="R1580" s="21">
        <f>+PROVEEDORES[[#This Row],[SUBTOTAL]]+PROVEEDORES[[#This Row],[IVA 19%]]-PROVEEDORES[[#This Row],[descuento sobre subtotal]]-PROVEEDORES[[#This Row],[Descuento sobre subtotal $2]]-PROVEEDORES[[#This Row],[Rete Fuente $]]</f>
        <v>1405021.4549999998</v>
      </c>
      <c r="S1580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0" s="63">
        <f ca="1">IF(PROVEEDORES[[#This Row],[FECHA DE PAGO]]=0,TODAY()-PROVEEDORES[[#This Row],[FECHA DE FACTURACIÓN]]-PROVEEDORES[[#This Row],[PLAZO Días]],0)</f>
        <v>0</v>
      </c>
      <c r="U1580" s="104" t="str">
        <f>+VLOOKUP(PROVEEDORES[[#This Row],[PROVEEDOR]],Terceros!$A:$D,4,FALSE)</f>
        <v>2,5% con base</v>
      </c>
      <c r="V1580" s="105">
        <f>+YEAR(PROVEEDORES[[#This Row],[FECHA DE FACTURACIÓN]])</f>
        <v>2023</v>
      </c>
      <c r="W1580" s="105">
        <f>+MATCH(PROVEEDORES[[#This Row],[año facturado]],Retenciones!$1:$1,0)</f>
        <v>6</v>
      </c>
      <c r="X1580" s="106">
        <f>+VLOOKUP(PROVEEDORES[[#This Row],[ID RETENCION]],Retenciones!$A$1:$O$25,PROVEEDORES[[#This Row],[indicador de columna]],FALSE)</f>
        <v>1145000</v>
      </c>
      <c r="Y1580" s="107">
        <f>+VLOOKUP(PROVEEDORES[[#This Row],[ID RETENCION]],Retenciones!$A$1:$O$25,2,FALSE)</f>
        <v>2.5000000000000001E-2</v>
      </c>
      <c r="Z1580" s="116" t="b">
        <f>OR(COUNTIF(PROVEEDORES[[#This Row],[PROVEEDOR]],"*"&amp;'Palabra no opera'!$A$2&amp;"*"))</f>
        <v>0</v>
      </c>
    </row>
    <row r="1581" spans="1:26" ht="22.35" customHeight="1" x14ac:dyDescent="0.3">
      <c r="A1581" s="310" t="str">
        <f>+IF(PROVEEDORES[[#This Row],[FECHA DE PAGO]]=PROVEEDORES[[#This Row],[FECHA DE FACTURACIÓN]],"DE CONTADO","CRÉDITO")</f>
        <v>CRÉDITO</v>
      </c>
      <c r="B1581" s="38" t="str">
        <f>+IF((PROVEEDORES[[#This Row],[FECHA DE PAGO]]-PROVEEDORES[[#This Row],[FECHA DE FACTURACIÓN]])&gt;PROVEEDORES[[#This Row],[PLAZO Días]],"PAGO VENCIDO")</f>
        <v>PAGO VENCIDO</v>
      </c>
      <c r="C1581" s="20">
        <f>+VLOOKUP(PROVEEDORES[[#This Row],[PROVEEDOR]],TERCEROS_INFO[#All],2,FALSE)</f>
        <v>30</v>
      </c>
      <c r="D1581" s="25">
        <f>+SUMIFS(PROVEEDORES[Total],PROVEEDORES[PROVEEDOR],PROVEEDORES[[#This Row],[PROVEEDOR]],PROVEEDORES[FECHA DE PAGO],"")</f>
        <v>17870934.149999999</v>
      </c>
      <c r="E1581" s="25"/>
      <c r="F158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81" s="68">
        <v>45092</v>
      </c>
      <c r="H1581" s="26" t="s">
        <v>18</v>
      </c>
      <c r="I1581" s="68">
        <v>45044</v>
      </c>
      <c r="J1581" s="35" t="s">
        <v>1725</v>
      </c>
      <c r="K1581" s="21">
        <v>753964</v>
      </c>
      <c r="L1581" s="21"/>
      <c r="M1581" s="22">
        <f>(PROVEEDORES[[#This Row],[SUBTOTAL]]-PROVEEDORES[[#This Row],[descuento sobre subtotal]])*VLOOKUP(PROVEEDORES[[#This Row],[PROVEEDOR]],TERCEROS_INFO[#All],3,FALSE)</f>
        <v>143253.16</v>
      </c>
      <c r="N1581" s="23"/>
      <c r="O1581" s="22">
        <f>+PROVEEDORES[[#This Row],[Descuento sobre subtotal %]]*(PROVEEDORES[[#This Row],[SUBTOTAL]]-PROVEEDORES[[#This Row],[descuento sobre subtotal]])</f>
        <v>0</v>
      </c>
      <c r="P1581" s="74">
        <f>+IF(PROVEEDORES[[#This Row],[SUBTOTAL]]&lt;PROVEEDORES[[#This Row],[base retencion]],0,PROVEEDORES[[#This Row],[retención aplicada]])</f>
        <v>0</v>
      </c>
      <c r="Q1581" s="22">
        <f>+PROVEEDORES[[#This Row],[Rete Fuente %]]*(PROVEEDORES[[#This Row],[SUBTOTAL]]-PROVEEDORES[[#This Row],[descuento sobre subtotal]])</f>
        <v>0</v>
      </c>
      <c r="R1581" s="21">
        <f>+PROVEEDORES[[#This Row],[SUBTOTAL]]+PROVEEDORES[[#This Row],[IVA 19%]]-PROVEEDORES[[#This Row],[descuento sobre subtotal]]-PROVEEDORES[[#This Row],[Descuento sobre subtotal $2]]-PROVEEDORES[[#This Row],[Rete Fuente $]]</f>
        <v>897217.16</v>
      </c>
      <c r="S158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1" s="63">
        <f ca="1">IF(PROVEEDORES[[#This Row],[FECHA DE PAGO]]=0,TODAY()-PROVEEDORES[[#This Row],[FECHA DE FACTURACIÓN]]-PROVEEDORES[[#This Row],[PLAZO Días]],0)</f>
        <v>0</v>
      </c>
      <c r="U1581" s="104" t="str">
        <f>+VLOOKUP(PROVEEDORES[[#This Row],[PROVEEDOR]],Terceros!$A:$D,4,FALSE)</f>
        <v>2,5% con base</v>
      </c>
      <c r="V1581" s="105">
        <f>+YEAR(PROVEEDORES[[#This Row],[FECHA DE FACTURACIÓN]])</f>
        <v>2023</v>
      </c>
      <c r="W1581" s="105">
        <f>+MATCH(PROVEEDORES[[#This Row],[año facturado]],Retenciones!$1:$1,0)</f>
        <v>6</v>
      </c>
      <c r="X1581" s="106">
        <f>+VLOOKUP(PROVEEDORES[[#This Row],[ID RETENCION]],Retenciones!$A$1:$O$25,PROVEEDORES[[#This Row],[indicador de columna]],FALSE)</f>
        <v>1145000</v>
      </c>
      <c r="Y1581" s="107">
        <f>+VLOOKUP(PROVEEDORES[[#This Row],[ID RETENCION]],Retenciones!$A$1:$O$25,2,FALSE)</f>
        <v>2.5000000000000001E-2</v>
      </c>
      <c r="Z1581" s="116" t="b">
        <f>OR(COUNTIF(PROVEEDORES[[#This Row],[PROVEEDOR]],"*"&amp;'Palabra no opera'!$A$2&amp;"*"))</f>
        <v>0</v>
      </c>
    </row>
    <row r="1582" spans="1:26" ht="22.35" customHeight="1" x14ac:dyDescent="0.3">
      <c r="A1582" s="327" t="str">
        <f>+IF(PROVEEDORES[[#This Row],[FECHA DE PAGO]]=PROVEEDORES[[#This Row],[FECHA DE FACTURACIÓN]],"DE CONTADO","CRÉDITO")</f>
        <v>CRÉDITO</v>
      </c>
      <c r="B1582" s="38" t="b">
        <f>+IF((PROVEEDORES[[#This Row],[FECHA DE PAGO]]-PROVEEDORES[[#This Row],[FECHA DE FACTURACIÓN]])&gt;PROVEEDORES[[#This Row],[PLAZO Días]],"PAGO VENCIDO")</f>
        <v>0</v>
      </c>
      <c r="C1582" s="20">
        <f>+VLOOKUP(PROVEEDORES[[#This Row],[PROVEEDOR]],TERCEROS_INFO[#All],2,FALSE)</f>
        <v>30</v>
      </c>
      <c r="D1582" s="25">
        <f>+SUMIFS(PROVEEDORES[Total],PROVEEDORES[PROVEEDOR],PROVEEDORES[[#This Row],[PROVEEDOR]],PROVEEDORES[FECHA DE PAGO],"")</f>
        <v>0</v>
      </c>
      <c r="E1582" s="25"/>
      <c r="F1582" s="56" t="str">
        <f>+VLOOKUP(PROVEEDORES[[#This Row],[PROVEEDOR]],
                       Terceros!$A:$F,
                       5,
                       FALSE)</f>
        <v/>
      </c>
      <c r="G1582" s="68">
        <v>45093</v>
      </c>
      <c r="H1582" s="26" t="s">
        <v>1194</v>
      </c>
      <c r="I1582" s="68">
        <v>45091</v>
      </c>
      <c r="J1582" s="35" t="s">
        <v>1768</v>
      </c>
      <c r="K1582" s="21">
        <v>4477000</v>
      </c>
      <c r="L1582" s="21"/>
      <c r="M1582" s="22">
        <f>(PROVEEDORES[[#This Row],[SUBTOTAL]]-PROVEEDORES[[#This Row],[descuento sobre subtotal]])*VLOOKUP(PROVEEDORES[[#This Row],[PROVEEDOR]],TERCEROS_INFO[#All],3,FALSE)</f>
        <v>0</v>
      </c>
      <c r="N1582" s="23"/>
      <c r="O1582" s="22">
        <f>+PROVEEDORES[[#This Row],[Descuento sobre subtotal %]]*(PROVEEDORES[[#This Row],[SUBTOTAL]]-PROVEEDORES[[#This Row],[descuento sobre subtotal]])</f>
        <v>0</v>
      </c>
      <c r="P1582" s="74">
        <f>+IF(PROVEEDORES[[#This Row],[SUBTOTAL]]&lt;PROVEEDORES[[#This Row],[base retencion]],0,PROVEEDORES[[#This Row],[retención aplicada]])</f>
        <v>0</v>
      </c>
      <c r="Q1582" s="22">
        <f>+PROVEEDORES[[#This Row],[Rete Fuente %]]*(PROVEEDORES[[#This Row],[SUBTOTAL]]-PROVEEDORES[[#This Row],[descuento sobre subtotal]])</f>
        <v>0</v>
      </c>
      <c r="R1582" s="21">
        <f>+PROVEEDORES[[#This Row],[SUBTOTAL]]+PROVEEDORES[[#This Row],[IVA 19%]]-PROVEEDORES[[#This Row],[descuento sobre subtotal]]-PROVEEDORES[[#This Row],[Descuento sobre subtotal $2]]-PROVEEDORES[[#This Row],[Rete Fuente $]]</f>
        <v>4477000</v>
      </c>
      <c r="S1582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2" s="63">
        <f ca="1">IF(PROVEEDORES[[#This Row],[FECHA DE PAGO]]=0,TODAY()-PROVEEDORES[[#This Row],[FECHA DE FACTURACIÓN]]-PROVEEDORES[[#This Row],[PLAZO Días]],0)</f>
        <v>0</v>
      </c>
      <c r="U1582" s="104">
        <f>+VLOOKUP(PROVEEDORES[[#This Row],[PROVEEDOR]],Terceros!$A:$D,4,FALSE)</f>
        <v>0</v>
      </c>
      <c r="V1582" s="105">
        <f>+YEAR(PROVEEDORES[[#This Row],[FECHA DE FACTURACIÓN]])</f>
        <v>2023</v>
      </c>
      <c r="W1582" s="105">
        <f>+MATCH(PROVEEDORES[[#This Row],[año facturado]],Retenciones!$1:$1,0)</f>
        <v>6</v>
      </c>
      <c r="X1582" s="106">
        <f>+VLOOKUP(PROVEEDORES[[#This Row],[ID RETENCION]],Retenciones!$A$1:$O$25,PROVEEDORES[[#This Row],[indicador de columna]],FALSE)</f>
        <v>0</v>
      </c>
      <c r="Y1582" s="107">
        <f>+VLOOKUP(PROVEEDORES[[#This Row],[ID RETENCION]],Retenciones!$A$1:$O$25,2,FALSE)</f>
        <v>0</v>
      </c>
      <c r="Z1582" s="116" t="b">
        <f>OR(COUNTIF(PROVEEDORES[[#This Row],[PROVEEDOR]],"*"&amp;'Palabra no opera'!$A$2&amp;"*"))</f>
        <v>0</v>
      </c>
    </row>
    <row r="1583" spans="1:26" ht="22.35" customHeight="1" x14ac:dyDescent="0.3">
      <c r="A1583" s="322" t="str">
        <f>+IF(PROVEEDORES[[#This Row],[FECHA DE PAGO]]=PROVEEDORES[[#This Row],[FECHA DE FACTURACIÓN]],"DE CONTADO","CRÉDITO")</f>
        <v>CRÉDITO</v>
      </c>
      <c r="B1583" s="38" t="b">
        <f>+IF((PROVEEDORES[[#This Row],[FECHA DE PAGO]]-PROVEEDORES[[#This Row],[FECHA DE FACTURACIÓN]])&gt;PROVEEDORES[[#This Row],[PLAZO Días]],"PAGO VENCIDO")</f>
        <v>0</v>
      </c>
      <c r="C1583" s="20">
        <f>+VLOOKUP(PROVEEDORES[[#This Row],[PROVEEDOR]],TERCEROS_INFO[#All],2,FALSE)</f>
        <v>30</v>
      </c>
      <c r="D1583" s="25">
        <f>+SUMIFS(PROVEEDORES[Total],PROVEEDORES[PROVEEDOR],PROVEEDORES[[#This Row],[PROVEEDOR]],PROVEEDORES[FECHA DE PAGO],"")</f>
        <v>0</v>
      </c>
      <c r="E1583" s="25"/>
      <c r="F1583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583" s="68">
        <v>45093</v>
      </c>
      <c r="H1583" s="26" t="s">
        <v>628</v>
      </c>
      <c r="I1583" s="68">
        <v>45079</v>
      </c>
      <c r="J1583" s="35" t="s">
        <v>1732</v>
      </c>
      <c r="K1583" s="21">
        <v>1840056</v>
      </c>
      <c r="L1583" s="21"/>
      <c r="M1583" s="22">
        <f>(PROVEEDORES[[#This Row],[SUBTOTAL]]-PROVEEDORES[[#This Row],[descuento sobre subtotal]])*VLOOKUP(PROVEEDORES[[#This Row],[PROVEEDOR]],TERCEROS_INFO[#All],3,FALSE)</f>
        <v>0</v>
      </c>
      <c r="N1583" s="23"/>
      <c r="O1583" s="22">
        <v>105097</v>
      </c>
      <c r="P1583" s="74">
        <f>+IF(PROVEEDORES[[#This Row],[SUBTOTAL]]&lt;PROVEEDORES[[#This Row],[base retencion]],0,PROVEEDORES[[#This Row],[retención aplicada]])</f>
        <v>0</v>
      </c>
      <c r="Q1583" s="22">
        <f>+PROVEEDORES[[#This Row],[Rete Fuente %]]*(PROVEEDORES[[#This Row],[SUBTOTAL]]-PROVEEDORES[[#This Row],[descuento sobre subtotal]])</f>
        <v>0</v>
      </c>
      <c r="R1583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1583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3" s="63">
        <f ca="1">IF(PROVEEDORES[[#This Row],[FECHA DE PAGO]]=0,TODAY()-PROVEEDORES[[#This Row],[FECHA DE FACTURACIÓN]]-PROVEEDORES[[#This Row],[PLAZO Días]],0)</f>
        <v>0</v>
      </c>
      <c r="U1583" s="104">
        <f>+VLOOKUP(PROVEEDORES[[#This Row],[PROVEEDOR]],Terceros!$A:$D,4,FALSE)</f>
        <v>0</v>
      </c>
      <c r="V1583" s="105">
        <f>+YEAR(PROVEEDORES[[#This Row],[FECHA DE FACTURACIÓN]])</f>
        <v>2023</v>
      </c>
      <c r="W1583" s="105">
        <f>+MATCH(PROVEEDORES[[#This Row],[año facturado]],Retenciones!$1:$1,0)</f>
        <v>6</v>
      </c>
      <c r="X1583" s="106">
        <f>+VLOOKUP(PROVEEDORES[[#This Row],[ID RETENCION]],Retenciones!$A$1:$O$25,PROVEEDORES[[#This Row],[indicador de columna]],FALSE)</f>
        <v>0</v>
      </c>
      <c r="Y1583" s="107">
        <f>+VLOOKUP(PROVEEDORES[[#This Row],[ID RETENCION]],Retenciones!$A$1:$O$25,2,FALSE)</f>
        <v>0</v>
      </c>
      <c r="Z1583" s="116" t="b">
        <f>OR(COUNTIF(PROVEEDORES[[#This Row],[PROVEEDOR]],"*"&amp;'Palabra no opera'!$A$2&amp;"*"))</f>
        <v>1</v>
      </c>
    </row>
    <row r="1584" spans="1:26" ht="22.35" customHeight="1" x14ac:dyDescent="0.3">
      <c r="A1584" s="327" t="str">
        <f>+IF(PROVEEDORES[[#This Row],[FECHA DE PAGO]]=PROVEEDORES[[#This Row],[FECHA DE FACTURACIÓN]],"DE CONTADO","CRÉDITO")</f>
        <v>DE CONTADO</v>
      </c>
      <c r="B1584" s="38" t="b">
        <f>+IF((PROVEEDORES[[#This Row],[FECHA DE PAGO]]-PROVEEDORES[[#This Row],[FECHA DE FACTURACIÓN]])&gt;PROVEEDORES[[#This Row],[PLAZO Días]],"PAGO VENCIDO")</f>
        <v>0</v>
      </c>
      <c r="C1584" s="20">
        <f>+VLOOKUP(PROVEEDORES[[#This Row],[PROVEEDOR]],TERCEROS_INFO[#All],2,FALSE)</f>
        <v>30</v>
      </c>
      <c r="D1584" s="25">
        <f>+SUMIFS(PROVEEDORES[Total],PROVEEDORES[PROVEEDOR],PROVEEDORES[[#This Row],[PROVEEDOR]],PROVEEDORES[FECHA DE PAGO],"")</f>
        <v>0</v>
      </c>
      <c r="E1584" s="25"/>
      <c r="F1584" s="56" t="str">
        <f>+VLOOKUP(PROVEEDORES[[#This Row],[PROVEEDOR]],
                       Terceros!$A:$F,
                       5,
                       FALSE)</f>
        <v/>
      </c>
      <c r="G1584" s="68">
        <v>45094</v>
      </c>
      <c r="H1584" s="26" t="s">
        <v>353</v>
      </c>
      <c r="I1584" s="68">
        <v>45094</v>
      </c>
      <c r="J1584" s="35" t="s">
        <v>1769</v>
      </c>
      <c r="K1584" s="21">
        <v>820000</v>
      </c>
      <c r="L1584" s="21"/>
      <c r="M1584" s="22">
        <f>(PROVEEDORES[[#This Row],[SUBTOTAL]]-PROVEEDORES[[#This Row],[descuento sobre subtotal]])*VLOOKUP(PROVEEDORES[[#This Row],[PROVEEDOR]],TERCEROS_INFO[#All],3,FALSE)</f>
        <v>0</v>
      </c>
      <c r="N1584" s="23"/>
      <c r="O1584" s="22">
        <f>+PROVEEDORES[[#This Row],[Descuento sobre subtotal %]]*(PROVEEDORES[[#This Row],[SUBTOTAL]]-PROVEEDORES[[#This Row],[descuento sobre subtotal]])</f>
        <v>0</v>
      </c>
      <c r="P1584" s="74">
        <f>+IF(PROVEEDORES[[#This Row],[SUBTOTAL]]&lt;PROVEEDORES[[#This Row],[base retencion]],0,PROVEEDORES[[#This Row],[retención aplicada]])</f>
        <v>0</v>
      </c>
      <c r="Q1584" s="22">
        <f>+PROVEEDORES[[#This Row],[Rete Fuente %]]*(PROVEEDORES[[#This Row],[SUBTOTAL]]-PROVEEDORES[[#This Row],[descuento sobre subtotal]])</f>
        <v>0</v>
      </c>
      <c r="R1584" s="21">
        <f>+PROVEEDORES[[#This Row],[SUBTOTAL]]+PROVEEDORES[[#This Row],[IVA 19%]]-PROVEEDORES[[#This Row],[descuento sobre subtotal]]-PROVEEDORES[[#This Row],[Descuento sobre subtotal $2]]-PROVEEDORES[[#This Row],[Rete Fuente $]]</f>
        <v>820000</v>
      </c>
      <c r="S1584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4" s="63">
        <f ca="1">IF(PROVEEDORES[[#This Row],[FECHA DE PAGO]]=0,TODAY()-PROVEEDORES[[#This Row],[FECHA DE FACTURACIÓN]]-PROVEEDORES[[#This Row],[PLAZO Días]],0)</f>
        <v>0</v>
      </c>
      <c r="U1584" s="104">
        <f>+VLOOKUP(PROVEEDORES[[#This Row],[PROVEEDOR]],Terceros!$A:$D,4,FALSE)</f>
        <v>0</v>
      </c>
      <c r="V1584" s="105">
        <f>+YEAR(PROVEEDORES[[#This Row],[FECHA DE FACTURACIÓN]])</f>
        <v>2023</v>
      </c>
      <c r="W1584" s="105">
        <f>+MATCH(PROVEEDORES[[#This Row],[año facturado]],Retenciones!$1:$1,0)</f>
        <v>6</v>
      </c>
      <c r="X1584" s="106">
        <f>+VLOOKUP(PROVEEDORES[[#This Row],[ID RETENCION]],Retenciones!$A$1:$O$25,PROVEEDORES[[#This Row],[indicador de columna]],FALSE)</f>
        <v>0</v>
      </c>
      <c r="Y1584" s="107">
        <f>+VLOOKUP(PROVEEDORES[[#This Row],[ID RETENCION]],Retenciones!$A$1:$O$25,2,FALSE)</f>
        <v>0</v>
      </c>
      <c r="Z1584" s="116" t="b">
        <f>OR(COUNTIF(PROVEEDORES[[#This Row],[PROVEEDOR]],"*"&amp;'Palabra no opera'!$A$2&amp;"*"))</f>
        <v>0</v>
      </c>
    </row>
    <row r="1585" spans="1:26" ht="22.35" customHeight="1" x14ac:dyDescent="0.3">
      <c r="A1585" s="322" t="str">
        <f>+IF(PROVEEDORES[[#This Row],[FECHA DE PAGO]]=PROVEEDORES[[#This Row],[FECHA DE FACTURACIÓN]],"DE CONTADO","CRÉDITO")</f>
        <v>CRÉDITO</v>
      </c>
      <c r="B1585" s="38" t="b">
        <f>+IF((PROVEEDORES[[#This Row],[FECHA DE PAGO]]-PROVEEDORES[[#This Row],[FECHA DE FACTURACIÓN]])&gt;PROVEEDORES[[#This Row],[PLAZO Días]],"PAGO VENCIDO")</f>
        <v>0</v>
      </c>
      <c r="C1585" s="20">
        <f>+VLOOKUP(PROVEEDORES[[#This Row],[PROVEEDOR]],TERCEROS_INFO[#All],2,FALSE)</f>
        <v>30</v>
      </c>
      <c r="D1585" s="25">
        <f>+SUMIFS(PROVEEDORES[Total],PROVEEDORES[PROVEEDOR],PROVEEDORES[[#This Row],[PROVEEDOR]],PROVEEDORES[FECHA DE PAGO],"")</f>
        <v>0</v>
      </c>
      <c r="E1585" s="25"/>
      <c r="F158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585" s="68">
        <v>45094</v>
      </c>
      <c r="H1585" s="26" t="s">
        <v>966</v>
      </c>
      <c r="I1585" s="68">
        <v>45085</v>
      </c>
      <c r="J1585" s="35">
        <v>422</v>
      </c>
      <c r="K1585" s="21">
        <v>400000</v>
      </c>
      <c r="L1585" s="21"/>
      <c r="M1585" s="22">
        <f>(PROVEEDORES[[#This Row],[SUBTOTAL]]-PROVEEDORES[[#This Row],[descuento sobre subtotal]])*VLOOKUP(PROVEEDORES[[#This Row],[PROVEEDOR]],TERCEROS_INFO[#All],3,FALSE)</f>
        <v>0</v>
      </c>
      <c r="N1585" s="23"/>
      <c r="O1585" s="22">
        <f>+PROVEEDORES[[#This Row],[Descuento sobre subtotal %]]*(PROVEEDORES[[#This Row],[SUBTOTAL]]-PROVEEDORES[[#This Row],[descuento sobre subtotal]])</f>
        <v>0</v>
      </c>
      <c r="P1585" s="74">
        <f>+IF(PROVEEDORES[[#This Row],[SUBTOTAL]]&lt;PROVEEDORES[[#This Row],[base retencion]],0,PROVEEDORES[[#This Row],[retención aplicada]])</f>
        <v>0</v>
      </c>
      <c r="Q1585" s="22">
        <f>+PROVEEDORES[[#This Row],[Rete Fuente %]]*(PROVEEDORES[[#This Row],[SUBTOTAL]]-PROVEEDORES[[#This Row],[descuento sobre subtotal]])</f>
        <v>0</v>
      </c>
      <c r="R1585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1585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5" s="63">
        <f ca="1">IF(PROVEEDORES[[#This Row],[FECHA DE PAGO]]=0,TODAY()-PROVEEDORES[[#This Row],[FECHA DE FACTURACIÓN]]-PROVEEDORES[[#This Row],[PLAZO Días]],0)</f>
        <v>0</v>
      </c>
      <c r="U1585" s="104">
        <f>+VLOOKUP(PROVEEDORES[[#This Row],[PROVEEDOR]],Terceros!$A:$D,4,FALSE)</f>
        <v>0</v>
      </c>
      <c r="V1585" s="105">
        <f>+YEAR(PROVEEDORES[[#This Row],[FECHA DE FACTURACIÓN]])</f>
        <v>2023</v>
      </c>
      <c r="W1585" s="105">
        <f>+MATCH(PROVEEDORES[[#This Row],[año facturado]],Retenciones!$1:$1,0)</f>
        <v>6</v>
      </c>
      <c r="X1585" s="106">
        <f>+VLOOKUP(PROVEEDORES[[#This Row],[ID RETENCION]],Retenciones!$A$1:$O$25,PROVEEDORES[[#This Row],[indicador de columna]],FALSE)</f>
        <v>0</v>
      </c>
      <c r="Y1585" s="107">
        <f>+VLOOKUP(PROVEEDORES[[#This Row],[ID RETENCION]],Retenciones!$A$1:$O$25,2,FALSE)</f>
        <v>0</v>
      </c>
      <c r="Z1585" s="116" t="b">
        <f>OR(COUNTIF(PROVEEDORES[[#This Row],[PROVEEDOR]],"*"&amp;'Palabra no opera'!$A$2&amp;"*"))</f>
        <v>0</v>
      </c>
    </row>
    <row r="1586" spans="1:26" ht="22.35" customHeight="1" x14ac:dyDescent="0.3">
      <c r="A1586" s="322" t="str">
        <f>+IF(PROVEEDORES[[#This Row],[FECHA DE PAGO]]=PROVEEDORES[[#This Row],[FECHA DE FACTURACIÓN]],"DE CONTADO","CRÉDITO")</f>
        <v>CRÉDITO</v>
      </c>
      <c r="B1586" s="38" t="b">
        <f>+IF((PROVEEDORES[[#This Row],[FECHA DE PAGO]]-PROVEEDORES[[#This Row],[FECHA DE FACTURACIÓN]])&gt;PROVEEDORES[[#This Row],[PLAZO Días]],"PAGO VENCIDO")</f>
        <v>0</v>
      </c>
      <c r="C1586" s="20">
        <f>+VLOOKUP(PROVEEDORES[[#This Row],[PROVEEDOR]],TERCEROS_INFO[#All],2,FALSE)</f>
        <v>30</v>
      </c>
      <c r="D1586" s="25">
        <f>+SUMIFS(PROVEEDORES[Total],PROVEEDORES[PROVEEDOR],PROVEEDORES[[#This Row],[PROVEEDOR]],PROVEEDORES[FECHA DE PAGO],"")</f>
        <v>0</v>
      </c>
      <c r="E1586" s="25"/>
      <c r="F1586" s="56">
        <f>+VLOOKUP(PROVEEDORES[[#This Row],[PROVEEDOR]],
                       Terceros!$A:$F,
                       5,
                       FALSE)</f>
        <v>0</v>
      </c>
      <c r="G1586" s="68">
        <v>45094</v>
      </c>
      <c r="H1586" s="26" t="s">
        <v>1736</v>
      </c>
      <c r="I1586" s="68">
        <v>45088</v>
      </c>
      <c r="J1586" s="35">
        <v>2</v>
      </c>
      <c r="K1586" s="21">
        <v>424000</v>
      </c>
      <c r="L1586" s="21"/>
      <c r="M1586" s="22">
        <f>(PROVEEDORES[[#This Row],[SUBTOTAL]]-PROVEEDORES[[#This Row],[descuento sobre subtotal]])*VLOOKUP(PROVEEDORES[[#This Row],[PROVEEDOR]],TERCEROS_INFO[#All],3,FALSE)</f>
        <v>0</v>
      </c>
      <c r="N1586" s="23"/>
      <c r="O1586" s="22">
        <f>+PROVEEDORES[[#This Row],[Descuento sobre subtotal %]]*(PROVEEDORES[[#This Row],[SUBTOTAL]]-PROVEEDORES[[#This Row],[descuento sobre subtotal]])</f>
        <v>0</v>
      </c>
      <c r="P1586" s="74">
        <f>+IF(PROVEEDORES[[#This Row],[SUBTOTAL]]&lt;PROVEEDORES[[#This Row],[base retencion]],0,PROVEEDORES[[#This Row],[retención aplicada]])</f>
        <v>0</v>
      </c>
      <c r="Q1586" s="22">
        <f>+PROVEEDORES[[#This Row],[Rete Fuente %]]*(PROVEEDORES[[#This Row],[SUBTOTAL]]-PROVEEDORES[[#This Row],[descuento sobre subtotal]])</f>
        <v>0</v>
      </c>
      <c r="R1586" s="21">
        <f>+PROVEEDORES[[#This Row],[SUBTOTAL]]+PROVEEDORES[[#This Row],[IVA 19%]]-PROVEEDORES[[#This Row],[descuento sobre subtotal]]-PROVEEDORES[[#This Row],[Descuento sobre subtotal $2]]-PROVEEDORES[[#This Row],[Rete Fuente $]]</f>
        <v>424000</v>
      </c>
      <c r="S1586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6" s="63">
        <f ca="1">IF(PROVEEDORES[[#This Row],[FECHA DE PAGO]]=0,TODAY()-PROVEEDORES[[#This Row],[FECHA DE FACTURACIÓN]]-PROVEEDORES[[#This Row],[PLAZO Días]],0)</f>
        <v>0</v>
      </c>
      <c r="U1586" s="104">
        <f>+VLOOKUP(PROVEEDORES[[#This Row],[PROVEEDOR]],Terceros!$A:$D,4,FALSE)</f>
        <v>0</v>
      </c>
      <c r="V1586" s="105">
        <f>+YEAR(PROVEEDORES[[#This Row],[FECHA DE FACTURACIÓN]])</f>
        <v>2023</v>
      </c>
      <c r="W1586" s="105">
        <f>+MATCH(PROVEEDORES[[#This Row],[año facturado]],Retenciones!$1:$1,0)</f>
        <v>6</v>
      </c>
      <c r="X1586" s="106">
        <f>+VLOOKUP(PROVEEDORES[[#This Row],[ID RETENCION]],Retenciones!$A$1:$O$25,PROVEEDORES[[#This Row],[indicador de columna]],FALSE)</f>
        <v>0</v>
      </c>
      <c r="Y1586" s="107">
        <f>+VLOOKUP(PROVEEDORES[[#This Row],[ID RETENCION]],Retenciones!$A$1:$O$25,2,FALSE)</f>
        <v>0</v>
      </c>
      <c r="Z1586" s="116" t="b">
        <f>OR(COUNTIF(PROVEEDORES[[#This Row],[PROVEEDOR]],"*"&amp;'Palabra no opera'!$A$2&amp;"*"))</f>
        <v>0</v>
      </c>
    </row>
    <row r="1587" spans="1:26" ht="22.35" customHeight="1" x14ac:dyDescent="0.3">
      <c r="A1587" s="322" t="str">
        <f>+IF(PROVEEDORES[[#This Row],[FECHA DE PAGO]]=PROVEEDORES[[#This Row],[FECHA DE FACTURACIÓN]],"DE CONTADO","CRÉDITO")</f>
        <v>CRÉDITO</v>
      </c>
      <c r="B1587" s="38" t="b">
        <f>+IF((PROVEEDORES[[#This Row],[FECHA DE PAGO]]-PROVEEDORES[[#This Row],[FECHA DE FACTURACIÓN]])&gt;PROVEEDORES[[#This Row],[PLAZO Días]],"PAGO VENCIDO")</f>
        <v>0</v>
      </c>
      <c r="C1587" s="20">
        <f>+VLOOKUP(PROVEEDORES[[#This Row],[PROVEEDOR]],TERCEROS_INFO[#All],2,FALSE)</f>
        <v>30</v>
      </c>
      <c r="D1587" s="25">
        <f>+SUMIFS(PROVEEDORES[Total],PROVEEDORES[PROVEEDOR],PROVEEDORES[[#This Row],[PROVEEDOR]],PROVEEDORES[FECHA DE PAGO],"")</f>
        <v>0</v>
      </c>
      <c r="E1587" s="25"/>
      <c r="F1587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587" s="68">
        <v>45094</v>
      </c>
      <c r="H1587" s="26" t="s">
        <v>967</v>
      </c>
      <c r="I1587" s="68">
        <v>45085</v>
      </c>
      <c r="J1587" s="35" t="s">
        <v>1735</v>
      </c>
      <c r="K1587" s="21">
        <v>400000</v>
      </c>
      <c r="L1587" s="21"/>
      <c r="M1587" s="22">
        <f>(PROVEEDORES[[#This Row],[SUBTOTAL]]-PROVEEDORES[[#This Row],[descuento sobre subtotal]])*VLOOKUP(PROVEEDORES[[#This Row],[PROVEEDOR]],TERCEROS_INFO[#All],3,FALSE)</f>
        <v>0</v>
      </c>
      <c r="N1587" s="23"/>
      <c r="O1587" s="22">
        <f>+PROVEEDORES[[#This Row],[Descuento sobre subtotal %]]*(PROVEEDORES[[#This Row],[SUBTOTAL]]-PROVEEDORES[[#This Row],[descuento sobre subtotal]])</f>
        <v>0</v>
      </c>
      <c r="P1587" s="74">
        <f>+IF(PROVEEDORES[[#This Row],[SUBTOTAL]]&lt;PROVEEDORES[[#This Row],[base retencion]],0,PROVEEDORES[[#This Row],[retención aplicada]])</f>
        <v>0.01</v>
      </c>
      <c r="Q1587" s="22">
        <f>+PROVEEDORES[[#This Row],[Rete Fuente %]]*(PROVEEDORES[[#This Row],[SUBTOTAL]]-PROVEEDORES[[#This Row],[descuento sobre subtotal]])</f>
        <v>4000</v>
      </c>
      <c r="R1587" s="21">
        <f>+PROVEEDORES[[#This Row],[SUBTOTAL]]+PROVEEDORES[[#This Row],[IVA 19%]]-PROVEEDORES[[#This Row],[descuento sobre subtotal]]-PROVEEDORES[[#This Row],[Descuento sobre subtotal $2]]-PROVEEDORES[[#This Row],[Rete Fuente $]]</f>
        <v>396000</v>
      </c>
      <c r="S1587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7" s="63">
        <f ca="1">IF(PROVEEDORES[[#This Row],[FECHA DE PAGO]]=0,TODAY()-PROVEEDORES[[#This Row],[FECHA DE FACTURACIÓN]]-PROVEEDORES[[#This Row],[PLAZO Días]],0)</f>
        <v>0</v>
      </c>
      <c r="U1587" s="104" t="str">
        <f>+VLOOKUP(PROVEEDORES[[#This Row],[PROVEEDOR]],Terceros!$A:$D,4,FALSE)</f>
        <v>1% con base</v>
      </c>
      <c r="V1587" s="105">
        <f>+YEAR(PROVEEDORES[[#This Row],[FECHA DE FACTURACIÓN]])</f>
        <v>2023</v>
      </c>
      <c r="W1587" s="105">
        <f>+MATCH(PROVEEDORES[[#This Row],[año facturado]],Retenciones!$1:$1,0)</f>
        <v>6</v>
      </c>
      <c r="X1587" s="106">
        <f>+VLOOKUP(PROVEEDORES[[#This Row],[ID RETENCION]],Retenciones!$A$1:$O$25,PROVEEDORES[[#This Row],[indicador de columna]],FALSE)</f>
        <v>170000</v>
      </c>
      <c r="Y1587" s="107">
        <f>+VLOOKUP(PROVEEDORES[[#This Row],[ID RETENCION]],Retenciones!$A$1:$O$25,2,FALSE)</f>
        <v>0.01</v>
      </c>
      <c r="Z1587" s="116" t="b">
        <f>OR(COUNTIF(PROVEEDORES[[#This Row],[PROVEEDOR]],"*"&amp;'Palabra no opera'!$A$2&amp;"*"))</f>
        <v>0</v>
      </c>
    </row>
    <row r="1588" spans="1:26" ht="22.35" customHeight="1" x14ac:dyDescent="0.3">
      <c r="A1588" s="327" t="str">
        <f>+IF(PROVEEDORES[[#This Row],[FECHA DE PAGO]]=PROVEEDORES[[#This Row],[FECHA DE FACTURACIÓN]],"DE CONTADO","CRÉDITO")</f>
        <v>CRÉDITO</v>
      </c>
      <c r="B1588" s="38" t="b">
        <f>+IF((PROVEEDORES[[#This Row],[FECHA DE PAGO]]-PROVEEDORES[[#This Row],[FECHA DE FACTURACIÓN]])&gt;PROVEEDORES[[#This Row],[PLAZO Días]],"PAGO VENCIDO")</f>
        <v>0</v>
      </c>
      <c r="C1588" s="20">
        <f>+VLOOKUP(PROVEEDORES[[#This Row],[PROVEEDOR]],TERCEROS_INFO[#All],2,FALSE)</f>
        <v>30</v>
      </c>
      <c r="D1588" s="25">
        <f>+SUMIFS(PROVEEDORES[Total],PROVEEDORES[PROVEEDOR],PROVEEDORES[[#This Row],[PROVEEDOR]],PROVEEDORES[FECHA DE PAGO],"")</f>
        <v>0</v>
      </c>
      <c r="E1588" s="25"/>
      <c r="F1588" s="56" t="str">
        <f>+VLOOKUP(PROVEEDORES[[#This Row],[PROVEEDOR]],
                       Terceros!$A:$F,
                       5,
                       FALSE)</f>
        <v/>
      </c>
      <c r="G1588" s="68">
        <v>45097</v>
      </c>
      <c r="H1588" s="26" t="s">
        <v>1194</v>
      </c>
      <c r="I1588" s="68">
        <v>45095</v>
      </c>
      <c r="J1588" s="35" t="s">
        <v>1767</v>
      </c>
      <c r="K1588" s="21">
        <v>3718000</v>
      </c>
      <c r="L1588" s="21"/>
      <c r="M1588" s="22">
        <f>(PROVEEDORES[[#This Row],[SUBTOTAL]]-PROVEEDORES[[#This Row],[descuento sobre subtotal]])*VLOOKUP(PROVEEDORES[[#This Row],[PROVEEDOR]],TERCEROS_INFO[#All],3,FALSE)</f>
        <v>0</v>
      </c>
      <c r="N1588" s="23"/>
      <c r="O1588" s="22">
        <f>+PROVEEDORES[[#This Row],[Descuento sobre subtotal %]]*(PROVEEDORES[[#This Row],[SUBTOTAL]]-PROVEEDORES[[#This Row],[descuento sobre subtotal]])</f>
        <v>0</v>
      </c>
      <c r="P1588" s="74">
        <f>+IF(PROVEEDORES[[#This Row],[SUBTOTAL]]&lt;PROVEEDORES[[#This Row],[base retencion]],0,PROVEEDORES[[#This Row],[retención aplicada]])</f>
        <v>0</v>
      </c>
      <c r="Q1588" s="22">
        <f>+PROVEEDORES[[#This Row],[Rete Fuente %]]*(PROVEEDORES[[#This Row],[SUBTOTAL]]-PROVEEDORES[[#This Row],[descuento sobre subtotal]])</f>
        <v>0</v>
      </c>
      <c r="R1588" s="21">
        <f>+PROVEEDORES[[#This Row],[SUBTOTAL]]+PROVEEDORES[[#This Row],[IVA 19%]]-PROVEEDORES[[#This Row],[descuento sobre subtotal]]-PROVEEDORES[[#This Row],[Descuento sobre subtotal $2]]-PROVEEDORES[[#This Row],[Rete Fuente $]]</f>
        <v>3718000</v>
      </c>
      <c r="S1588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8" s="63">
        <f ca="1">IF(PROVEEDORES[[#This Row],[FECHA DE PAGO]]=0,TODAY()-PROVEEDORES[[#This Row],[FECHA DE FACTURACIÓN]]-PROVEEDORES[[#This Row],[PLAZO Días]],0)</f>
        <v>0</v>
      </c>
      <c r="U1588" s="104">
        <f>+VLOOKUP(PROVEEDORES[[#This Row],[PROVEEDOR]],Terceros!$A:$D,4,FALSE)</f>
        <v>0</v>
      </c>
      <c r="V1588" s="105">
        <f>+YEAR(PROVEEDORES[[#This Row],[FECHA DE FACTURACIÓN]])</f>
        <v>2023</v>
      </c>
      <c r="W1588" s="105">
        <f>+MATCH(PROVEEDORES[[#This Row],[año facturado]],Retenciones!$1:$1,0)</f>
        <v>6</v>
      </c>
      <c r="X1588" s="106">
        <f>+VLOOKUP(PROVEEDORES[[#This Row],[ID RETENCION]],Retenciones!$A$1:$O$25,PROVEEDORES[[#This Row],[indicador de columna]],FALSE)</f>
        <v>0</v>
      </c>
      <c r="Y1588" s="107">
        <f>+VLOOKUP(PROVEEDORES[[#This Row],[ID RETENCION]],Retenciones!$A$1:$O$25,2,FALSE)</f>
        <v>0</v>
      </c>
      <c r="Z1588" s="116" t="b">
        <f>OR(COUNTIF(PROVEEDORES[[#This Row],[PROVEEDOR]],"*"&amp;'Palabra no opera'!$A$2&amp;"*"))</f>
        <v>0</v>
      </c>
    </row>
    <row r="1589" spans="1:26" ht="22.35" customHeight="1" x14ac:dyDescent="0.3">
      <c r="A1589" s="310" t="str">
        <f>+IF(PROVEEDORES[[#This Row],[FECHA DE PAGO]]=PROVEEDORES[[#This Row],[FECHA DE FACTURACIÓN]],"DE CONTADO","CRÉDITO")</f>
        <v>CRÉDITO</v>
      </c>
      <c r="B1589" s="38" t="str">
        <f>+IF((PROVEEDORES[[#This Row],[FECHA DE PAGO]]-PROVEEDORES[[#This Row],[FECHA DE FACTURACIÓN]])&gt;PROVEEDORES[[#This Row],[PLAZO Días]],"PAGO VENCIDO")</f>
        <v>PAGO VENCIDO</v>
      </c>
      <c r="C1589" s="20">
        <f>+VLOOKUP(PROVEEDORES[[#This Row],[PROVEEDOR]],TERCEROS_INFO[#All],2,FALSE)</f>
        <v>30</v>
      </c>
      <c r="D1589" s="25">
        <f>+SUMIFS(PROVEEDORES[Total],PROVEEDORES[PROVEEDOR],PROVEEDORES[[#This Row],[PROVEEDOR]],PROVEEDORES[FECHA DE PAGO],"")</f>
        <v>4282200</v>
      </c>
      <c r="E1589" s="25"/>
      <c r="F1589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89" s="68">
        <v>45097</v>
      </c>
      <c r="H1589" s="26" t="s">
        <v>406</v>
      </c>
      <c r="I1589" s="68">
        <v>45030</v>
      </c>
      <c r="J1589" s="35">
        <v>4056</v>
      </c>
      <c r="K1589" s="21">
        <v>3121200</v>
      </c>
      <c r="L1589" s="21"/>
      <c r="M1589" s="22">
        <f>(PROVEEDORES[[#This Row],[SUBTOTAL]]-PROVEEDORES[[#This Row],[descuento sobre subtotal]])*VLOOKUP(PROVEEDORES[[#This Row],[PROVEEDOR]],TERCEROS_INFO[#All],3,FALSE)</f>
        <v>0</v>
      </c>
      <c r="N1589" s="23"/>
      <c r="O1589" s="22">
        <f>+PROVEEDORES[[#This Row],[Descuento sobre subtotal %]]*(PROVEEDORES[[#This Row],[SUBTOTAL]]-PROVEEDORES[[#This Row],[descuento sobre subtotal]])</f>
        <v>0</v>
      </c>
      <c r="P1589" s="74">
        <f>+IF(PROVEEDORES[[#This Row],[SUBTOTAL]]&lt;PROVEEDORES[[#This Row],[base retencion]],0,PROVEEDORES[[#This Row],[retención aplicada]])</f>
        <v>0</v>
      </c>
      <c r="Q1589" s="22">
        <f>+PROVEEDORES[[#This Row],[Rete Fuente %]]*(PROVEEDORES[[#This Row],[SUBTOTAL]]-PROVEEDORES[[#This Row],[descuento sobre subtotal]])</f>
        <v>0</v>
      </c>
      <c r="R1589" s="21">
        <f>+PROVEEDORES[[#This Row],[SUBTOTAL]]+PROVEEDORES[[#This Row],[IVA 19%]]-PROVEEDORES[[#This Row],[descuento sobre subtotal]]-PROVEEDORES[[#This Row],[Descuento sobre subtotal $2]]-PROVEEDORES[[#This Row],[Rete Fuente $]]</f>
        <v>3121200</v>
      </c>
      <c r="S1589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9" s="63">
        <f ca="1">IF(PROVEEDORES[[#This Row],[FECHA DE PAGO]]=0,TODAY()-PROVEEDORES[[#This Row],[FECHA DE FACTURACIÓN]]-PROVEEDORES[[#This Row],[PLAZO Días]],0)</f>
        <v>0</v>
      </c>
      <c r="U1589" s="104">
        <f>+VLOOKUP(PROVEEDORES[[#This Row],[PROVEEDOR]],Terceros!$A:$D,4,FALSE)</f>
        <v>0</v>
      </c>
      <c r="V1589" s="105">
        <f>+YEAR(PROVEEDORES[[#This Row],[FECHA DE FACTURACIÓN]])</f>
        <v>2023</v>
      </c>
      <c r="W1589" s="105">
        <f>+MATCH(PROVEEDORES[[#This Row],[año facturado]],Retenciones!$1:$1,0)</f>
        <v>6</v>
      </c>
      <c r="X1589" s="106">
        <f>+VLOOKUP(PROVEEDORES[[#This Row],[ID RETENCION]],Retenciones!$A$1:$O$25,PROVEEDORES[[#This Row],[indicador de columna]],FALSE)</f>
        <v>0</v>
      </c>
      <c r="Y1589" s="107">
        <f>+VLOOKUP(PROVEEDORES[[#This Row],[ID RETENCION]],Retenciones!$A$1:$O$25,2,FALSE)</f>
        <v>0</v>
      </c>
      <c r="Z1589" s="116" t="b">
        <f>OR(COUNTIF(PROVEEDORES[[#This Row],[PROVEEDOR]],"*"&amp;'Palabra no opera'!$A$2&amp;"*"))</f>
        <v>0</v>
      </c>
    </row>
    <row r="1590" spans="1:26" ht="22.35" customHeight="1" x14ac:dyDescent="0.3">
      <c r="A1590" s="67" t="str">
        <f>+IF(PROVEEDORES[[#This Row],[FECHA DE PAGO]]=PROVEEDORES[[#This Row],[FECHA DE FACTURACIÓN]],"DE CONTADO","CRÉDITO")</f>
        <v>CRÉDITO</v>
      </c>
      <c r="B1590" s="38" t="str">
        <f>+IF((PROVEEDORES[[#This Row],[FECHA DE PAGO]]-PROVEEDORES[[#This Row],[FECHA DE FACTURACIÓN]])&gt;PROVEEDORES[[#This Row],[PLAZO Días]],"PAGO VENCIDO")</f>
        <v>PAGO VENCIDO</v>
      </c>
      <c r="C1590" s="20">
        <f>+VLOOKUP(PROVEEDORES[[#This Row],[PROVEEDOR]],TERCEROS_INFO[#All],2,FALSE)</f>
        <v>30</v>
      </c>
      <c r="D1590" s="25">
        <f>+SUMIFS(PROVEEDORES[Total],PROVEEDORES[PROVEEDOR],PROVEEDORES[[#This Row],[PROVEEDOR]],PROVEEDORES[FECHA DE PAGO],"")</f>
        <v>0</v>
      </c>
      <c r="E1590" s="25"/>
      <c r="F1590" s="56">
        <f>+VLOOKUP(PROVEEDORES[[#This Row],[PROVEEDOR]],
                       Terceros!$A:$F,
                       5,
                       FALSE)</f>
        <v>0</v>
      </c>
      <c r="G1590" s="68">
        <v>45097</v>
      </c>
      <c r="H1590" s="26" t="s">
        <v>413</v>
      </c>
      <c r="I1590" s="68">
        <v>45026</v>
      </c>
      <c r="J1590" s="35" t="s">
        <v>1614</v>
      </c>
      <c r="K1590" s="21">
        <v>861000</v>
      </c>
      <c r="L1590" s="21"/>
      <c r="M1590" s="22">
        <f>(PROVEEDORES[[#This Row],[SUBTOTAL]]-PROVEEDORES[[#This Row],[descuento sobre subtotal]])*VLOOKUP(PROVEEDORES[[#This Row],[PROVEEDOR]],TERCEROS_INFO[#All],3,FALSE)</f>
        <v>0</v>
      </c>
      <c r="N1590" s="23"/>
      <c r="O1590" s="22">
        <f>+PROVEEDORES[[#This Row],[Descuento sobre subtotal %]]*(PROVEEDORES[[#This Row],[SUBTOTAL]]-PROVEEDORES[[#This Row],[descuento sobre subtotal]])</f>
        <v>0</v>
      </c>
      <c r="P1590" s="74">
        <f>+IF(PROVEEDORES[[#This Row],[SUBTOTAL]]&lt;PROVEEDORES[[#This Row],[base retencion]],0,PROVEEDORES[[#This Row],[retención aplicada]])</f>
        <v>0</v>
      </c>
      <c r="Q1590" s="22">
        <f>+PROVEEDORES[[#This Row],[Rete Fuente %]]*(PROVEEDORES[[#This Row],[SUBTOTAL]]-PROVEEDORES[[#This Row],[descuento sobre subtotal]])</f>
        <v>0</v>
      </c>
      <c r="R1590" s="21">
        <f>+PROVEEDORES[[#This Row],[SUBTOTAL]]+PROVEEDORES[[#This Row],[IVA 19%]]-PROVEEDORES[[#This Row],[descuento sobre subtotal]]-PROVEEDORES[[#This Row],[Descuento sobre subtotal $2]]-PROVEEDORES[[#This Row],[Rete Fuente $]]</f>
        <v>861000</v>
      </c>
      <c r="S15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0" s="63">
        <f ca="1">IF(PROVEEDORES[[#This Row],[FECHA DE PAGO]]=0,TODAY()-PROVEEDORES[[#This Row],[FECHA DE FACTURACIÓN]]-PROVEEDORES[[#This Row],[PLAZO Días]],0)</f>
        <v>0</v>
      </c>
      <c r="U1590" s="104">
        <f>+VLOOKUP(PROVEEDORES[[#This Row],[PROVEEDOR]],Terceros!$A:$D,4,FALSE)</f>
        <v>0</v>
      </c>
      <c r="V1590" s="105">
        <f>+YEAR(PROVEEDORES[[#This Row],[FECHA DE FACTURACIÓN]])</f>
        <v>2023</v>
      </c>
      <c r="W1590" s="105">
        <f>+MATCH(PROVEEDORES[[#This Row],[año facturado]],Retenciones!$1:$1,0)</f>
        <v>6</v>
      </c>
      <c r="X1590" s="106">
        <f>+VLOOKUP(PROVEEDORES[[#This Row],[ID RETENCION]],Retenciones!$A$1:$O$25,PROVEEDORES[[#This Row],[indicador de columna]],FALSE)</f>
        <v>0</v>
      </c>
      <c r="Y1590" s="107">
        <f>+VLOOKUP(PROVEEDORES[[#This Row],[ID RETENCION]],Retenciones!$A$1:$O$25,2,FALSE)</f>
        <v>0</v>
      </c>
      <c r="Z1590" s="116" t="b">
        <f>OR(COUNTIF(PROVEEDORES[[#This Row],[PROVEEDOR]],"*"&amp;'Palabra no opera'!$A$2&amp;"*"))</f>
        <v>0</v>
      </c>
    </row>
    <row r="1591" spans="1:26" ht="22.35" customHeight="1" x14ac:dyDescent="0.3">
      <c r="A1591" s="310" t="str">
        <f>+IF(PROVEEDORES[[#This Row],[FECHA DE PAGO]]=PROVEEDORES[[#This Row],[FECHA DE FACTURACIÓN]],"DE CONTADO","CRÉDITO")</f>
        <v>CRÉDITO</v>
      </c>
      <c r="B1591" s="38" t="str">
        <f>+IF((PROVEEDORES[[#This Row],[FECHA DE PAGO]]-PROVEEDORES[[#This Row],[FECHA DE FACTURACIÓN]])&gt;PROVEEDORES[[#This Row],[PLAZO Días]],"PAGO VENCIDO")</f>
        <v>PAGO VENCIDO</v>
      </c>
      <c r="C1591" s="20">
        <f>+VLOOKUP(PROVEEDORES[[#This Row],[PROVEEDOR]],TERCEROS_INFO[#All],2,FALSE)</f>
        <v>30</v>
      </c>
      <c r="D1591" s="25">
        <f>+SUMIFS(PROVEEDORES[Total],PROVEEDORES[PROVEEDOR],PROVEEDORES[[#This Row],[PROVEEDOR]],PROVEEDORES[FECHA DE PAGO],"")</f>
        <v>27189617.395</v>
      </c>
      <c r="E1591" s="25"/>
      <c r="F1591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1591" s="68">
        <v>45097</v>
      </c>
      <c r="H1591" s="26" t="s">
        <v>77</v>
      </c>
      <c r="I1591" s="68">
        <v>45042</v>
      </c>
      <c r="J1591" s="35" t="s">
        <v>1651</v>
      </c>
      <c r="K1591" s="21">
        <v>8754400</v>
      </c>
      <c r="L1591" s="21"/>
      <c r="M1591" s="22">
        <f>(PROVEEDORES[[#This Row],[SUBTOTAL]]-PROVEEDORES[[#This Row],[descuento sobre subtotal]])*VLOOKUP(PROVEEDORES[[#This Row],[PROVEEDOR]],TERCEROS_INFO[#All],3,FALSE)</f>
        <v>1663336</v>
      </c>
      <c r="N1591" s="23"/>
      <c r="O1591" s="22">
        <f>+PROVEEDORES[[#This Row],[Descuento sobre subtotal %]]*(PROVEEDORES[[#This Row],[SUBTOTAL]]-PROVEEDORES[[#This Row],[descuento sobre subtotal]])</f>
        <v>0</v>
      </c>
      <c r="P1591" s="74">
        <f>+IF(PROVEEDORES[[#This Row],[SUBTOTAL]]&lt;PROVEEDORES[[#This Row],[base retencion]],0,PROVEEDORES[[#This Row],[retención aplicada]])</f>
        <v>2.5000000000000001E-2</v>
      </c>
      <c r="Q1591" s="22">
        <f>+PROVEEDORES[[#This Row],[Rete Fuente %]]*(PROVEEDORES[[#This Row],[SUBTOTAL]]-PROVEEDORES[[#This Row],[descuento sobre subtotal]])</f>
        <v>218860</v>
      </c>
      <c r="R1591" s="21">
        <f>+PROVEEDORES[[#This Row],[SUBTOTAL]]+PROVEEDORES[[#This Row],[IVA 19%]]-PROVEEDORES[[#This Row],[descuento sobre subtotal]]-PROVEEDORES[[#This Row],[Descuento sobre subtotal $2]]-PROVEEDORES[[#This Row],[Rete Fuente $]]</f>
        <v>10198876</v>
      </c>
      <c r="S159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1" s="63">
        <f ca="1">IF(PROVEEDORES[[#This Row],[FECHA DE PAGO]]=0,TODAY()-PROVEEDORES[[#This Row],[FECHA DE FACTURACIÓN]]-PROVEEDORES[[#This Row],[PLAZO Días]],0)</f>
        <v>0</v>
      </c>
      <c r="U1591" s="104" t="str">
        <f>+VLOOKUP(PROVEEDORES[[#This Row],[PROVEEDOR]],Terceros!$A:$D,4,FALSE)</f>
        <v>2,5% con base</v>
      </c>
      <c r="V1591" s="105">
        <f>+YEAR(PROVEEDORES[[#This Row],[FECHA DE FACTURACIÓN]])</f>
        <v>2023</v>
      </c>
      <c r="W1591" s="105">
        <f>+MATCH(PROVEEDORES[[#This Row],[año facturado]],Retenciones!$1:$1,0)</f>
        <v>6</v>
      </c>
      <c r="X1591" s="106">
        <f>+VLOOKUP(PROVEEDORES[[#This Row],[ID RETENCION]],Retenciones!$A$1:$O$25,PROVEEDORES[[#This Row],[indicador de columna]],FALSE)</f>
        <v>1145000</v>
      </c>
      <c r="Y1591" s="107">
        <f>+VLOOKUP(PROVEEDORES[[#This Row],[ID RETENCION]],Retenciones!$A$1:$O$25,2,FALSE)</f>
        <v>2.5000000000000001E-2</v>
      </c>
      <c r="Z1591" s="116" t="b">
        <f>OR(COUNTIF(PROVEEDORES[[#This Row],[PROVEEDOR]],"*"&amp;'Palabra no opera'!$A$2&amp;"*"))</f>
        <v>0</v>
      </c>
    </row>
    <row r="1592" spans="1:26" ht="22.35" customHeight="1" x14ac:dyDescent="0.3">
      <c r="A1592" s="325" t="str">
        <f>+IF(PROVEEDORES[[#This Row],[FECHA DE PAGO]]=PROVEEDORES[[#This Row],[FECHA DE FACTURACIÓN]],"DE CONTADO","CRÉDITO")</f>
        <v>CRÉDITO</v>
      </c>
      <c r="B1592" s="38" t="str">
        <f>+IF((PROVEEDORES[[#This Row],[FECHA DE PAGO]]-PROVEEDORES[[#This Row],[FECHA DE FACTURACIÓN]])&gt;PROVEEDORES[[#This Row],[PLAZO Días]],"PAGO VENCIDO")</f>
        <v>PAGO VENCIDO</v>
      </c>
      <c r="C1592" s="20">
        <f>+VLOOKUP(PROVEEDORES[[#This Row],[PROVEEDOR]],TERCEROS_INFO[#All],2,FALSE)</f>
        <v>30</v>
      </c>
      <c r="D1592" s="25">
        <f>+SUMIFS(PROVEEDORES[Total],PROVEEDORES[PROVEEDOR],PROVEEDORES[[#This Row],[PROVEEDOR]],PROVEEDORES[FECHA DE PAGO],"")</f>
        <v>27189617.395</v>
      </c>
      <c r="E1592" s="25"/>
      <c r="F1592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1592" s="68">
        <v>45175</v>
      </c>
      <c r="H1592" s="26" t="s">
        <v>77</v>
      </c>
      <c r="I1592" s="68">
        <v>45090</v>
      </c>
      <c r="J1592" s="35" t="s">
        <v>1757</v>
      </c>
      <c r="K1592" s="21">
        <v>4576000</v>
      </c>
      <c r="L1592" s="21"/>
      <c r="M1592" s="22">
        <f>(PROVEEDORES[[#This Row],[SUBTOTAL]]-PROVEEDORES[[#This Row],[descuento sobre subtotal]])*VLOOKUP(PROVEEDORES[[#This Row],[PROVEEDOR]],TERCEROS_INFO[#All],3,FALSE)</f>
        <v>869440</v>
      </c>
      <c r="N1592" s="23"/>
      <c r="O1592" s="22">
        <f>+PROVEEDORES[[#This Row],[Descuento sobre subtotal %]]*(PROVEEDORES[[#This Row],[SUBTOTAL]]-PROVEEDORES[[#This Row],[descuento sobre subtotal]])</f>
        <v>0</v>
      </c>
      <c r="P1592" s="74">
        <f>+IF(PROVEEDORES[[#This Row],[SUBTOTAL]]&lt;PROVEEDORES[[#This Row],[base retencion]],0,PROVEEDORES[[#This Row],[retención aplicada]])</f>
        <v>2.5000000000000001E-2</v>
      </c>
      <c r="Q1592" s="22">
        <f>+PROVEEDORES[[#This Row],[Rete Fuente %]]*(PROVEEDORES[[#This Row],[SUBTOTAL]]-PROVEEDORES[[#This Row],[descuento sobre subtotal]])</f>
        <v>114400</v>
      </c>
      <c r="R1592" s="21">
        <f>+PROVEEDORES[[#This Row],[SUBTOTAL]]+PROVEEDORES[[#This Row],[IVA 19%]]-PROVEEDORES[[#This Row],[descuento sobre subtotal]]-PROVEEDORES[[#This Row],[Descuento sobre subtotal $2]]-PROVEEDORES[[#This Row],[Rete Fuente $]]</f>
        <v>5331040</v>
      </c>
      <c r="S1592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2" s="63">
        <f ca="1">IF(PROVEEDORES[[#This Row],[FECHA DE PAGO]]=0,TODAY()-PROVEEDORES[[#This Row],[FECHA DE FACTURACIÓN]]-PROVEEDORES[[#This Row],[PLAZO Días]],0)</f>
        <v>0</v>
      </c>
      <c r="U1592" s="104" t="str">
        <f>+VLOOKUP(PROVEEDORES[[#This Row],[PROVEEDOR]],Terceros!$A:$D,4,FALSE)</f>
        <v>2,5% con base</v>
      </c>
      <c r="V1592" s="105">
        <f>+YEAR(PROVEEDORES[[#This Row],[FECHA DE FACTURACIÓN]])</f>
        <v>2023</v>
      </c>
      <c r="W1592" s="105">
        <f>+MATCH(PROVEEDORES[[#This Row],[año facturado]],Retenciones!$1:$1,0)</f>
        <v>6</v>
      </c>
      <c r="X1592" s="106">
        <f>+VLOOKUP(PROVEEDORES[[#This Row],[ID RETENCION]],Retenciones!$A$1:$O$25,PROVEEDORES[[#This Row],[indicador de columna]],FALSE)</f>
        <v>1145000</v>
      </c>
      <c r="Y1592" s="107">
        <f>+VLOOKUP(PROVEEDORES[[#This Row],[ID RETENCION]],Retenciones!$A$1:$O$25,2,FALSE)</f>
        <v>2.5000000000000001E-2</v>
      </c>
      <c r="Z1592" s="116" t="b">
        <f>OR(COUNTIF(PROVEEDORES[[#This Row],[PROVEEDOR]],"*"&amp;'Palabra no opera'!$A$2&amp;"*"))</f>
        <v>0</v>
      </c>
    </row>
    <row r="1593" spans="1:26" ht="22.35" customHeight="1" x14ac:dyDescent="0.3">
      <c r="A1593" s="67" t="str">
        <f>+IF(PROVEEDORES[[#This Row],[FECHA DE PAGO]]=PROVEEDORES[[#This Row],[FECHA DE FACTURACIÓN]],"DE CONTADO","CRÉDITO")</f>
        <v>CRÉDITO</v>
      </c>
      <c r="B1593" s="38" t="str">
        <f>+IF((PROVEEDORES[[#This Row],[FECHA DE PAGO]]-PROVEEDORES[[#This Row],[FECHA DE FACTURACIÓN]])&gt;PROVEEDORES[[#This Row],[PLAZO Días]],"PAGO VENCIDO")</f>
        <v>PAGO VENCIDO</v>
      </c>
      <c r="C1593" s="20">
        <f>+VLOOKUP(PROVEEDORES[[#This Row],[PROVEEDOR]],TERCEROS_INFO[#All],2,FALSE)</f>
        <v>30</v>
      </c>
      <c r="D1593" s="25">
        <f>+SUMIFS(PROVEEDORES[Total],PROVEEDORES[PROVEEDOR],PROVEEDORES[[#This Row],[PROVEEDOR]],PROVEEDORES[FECHA DE PAGO],"")</f>
        <v>0</v>
      </c>
      <c r="E1593" s="25"/>
      <c r="F1593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93" s="68">
        <v>45097</v>
      </c>
      <c r="H1593" s="26" t="s">
        <v>257</v>
      </c>
      <c r="I1593" s="68">
        <v>45062</v>
      </c>
      <c r="J1593" s="68" t="s">
        <v>1692</v>
      </c>
      <c r="K1593" s="21">
        <v>1750000</v>
      </c>
      <c r="L1593" s="21"/>
      <c r="M1593" s="22">
        <f>(PROVEEDORES[[#This Row],[SUBTOTAL]]-PROVEEDORES[[#This Row],[descuento sobre subtotal]])*VLOOKUP(PROVEEDORES[[#This Row],[PROVEEDOR]],TERCEROS_INFO[#All],3,FALSE)</f>
        <v>332500</v>
      </c>
      <c r="N1593" s="23"/>
      <c r="O1593" s="22">
        <f>+PROVEEDORES[[#This Row],[Descuento sobre subtotal %]]*(PROVEEDORES[[#This Row],[SUBTOTAL]]-PROVEEDORES[[#This Row],[descuento sobre subtotal]])</f>
        <v>0</v>
      </c>
      <c r="P1593" s="74">
        <f>+IF(PROVEEDORES[[#This Row],[SUBTOTAL]]&lt;PROVEEDORES[[#This Row],[base retencion]],0,PROVEEDORES[[#This Row],[retención aplicada]])</f>
        <v>2.5000000000000001E-2</v>
      </c>
      <c r="Q1593" s="22">
        <f>+PROVEEDORES[[#This Row],[Rete Fuente %]]*(PROVEEDORES[[#This Row],[SUBTOTAL]]-PROVEEDORES[[#This Row],[descuento sobre subtotal]])</f>
        <v>43750</v>
      </c>
      <c r="R1593" s="21">
        <f>+PROVEEDORES[[#This Row],[SUBTOTAL]]+PROVEEDORES[[#This Row],[IVA 19%]]-PROVEEDORES[[#This Row],[descuento sobre subtotal]]-PROVEEDORES[[#This Row],[Descuento sobre subtotal $2]]-PROVEEDORES[[#This Row],[Rete Fuente $]]</f>
        <v>2038750</v>
      </c>
      <c r="S159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3" s="63">
        <f ca="1">IF(PROVEEDORES[[#This Row],[FECHA DE PAGO]]=0,TODAY()-PROVEEDORES[[#This Row],[FECHA DE FACTURACIÓN]]-PROVEEDORES[[#This Row],[PLAZO Días]],0)</f>
        <v>0</v>
      </c>
      <c r="U1593" s="104" t="str">
        <f>+VLOOKUP(PROVEEDORES[[#This Row],[PROVEEDOR]],Terceros!$A:$D,4,FALSE)</f>
        <v>2,5% con base</v>
      </c>
      <c r="V1593" s="105">
        <f>+YEAR(PROVEEDORES[[#This Row],[FECHA DE FACTURACIÓN]])</f>
        <v>2023</v>
      </c>
      <c r="W1593" s="105">
        <f>+MATCH(PROVEEDORES[[#This Row],[año facturado]],Retenciones!$1:$1,0)</f>
        <v>6</v>
      </c>
      <c r="X1593" s="106">
        <f>+VLOOKUP(PROVEEDORES[[#This Row],[ID RETENCION]],Retenciones!$A$1:$O$25,PROVEEDORES[[#This Row],[indicador de columna]],FALSE)</f>
        <v>1145000</v>
      </c>
      <c r="Y1593" s="107">
        <f>+VLOOKUP(PROVEEDORES[[#This Row],[ID RETENCION]],Retenciones!$A$1:$O$25,2,FALSE)</f>
        <v>2.5000000000000001E-2</v>
      </c>
      <c r="Z1593" s="116" t="b">
        <f>OR(COUNTIF(PROVEEDORES[[#This Row],[PROVEEDOR]],"*"&amp;'Palabra no opera'!$A$2&amp;"*"))</f>
        <v>0</v>
      </c>
    </row>
    <row r="1594" spans="1:26" ht="22.35" customHeight="1" x14ac:dyDescent="0.3">
      <c r="A1594" s="67" t="str">
        <f>+IF(PROVEEDORES[[#This Row],[FECHA DE PAGO]]=PROVEEDORES[[#This Row],[FECHA DE FACTURACIÓN]],"DE CONTADO","CRÉDITO")</f>
        <v>CRÉDITO</v>
      </c>
      <c r="B1594" s="38" t="b">
        <f>+IF((PROVEEDORES[[#This Row],[FECHA DE PAGO]]-PROVEEDORES[[#This Row],[FECHA DE FACTURACIÓN]])&gt;PROVEEDORES[[#This Row],[PLAZO Días]],"PAGO VENCIDO")</f>
        <v>0</v>
      </c>
      <c r="C1594" s="20">
        <f>+VLOOKUP(PROVEEDORES[[#This Row],[PROVEEDOR]],TERCEROS_INFO[#All],2,FALSE)</f>
        <v>30</v>
      </c>
      <c r="D1594" s="25">
        <f>+SUMIFS(PROVEEDORES[Total],PROVEEDORES[PROVEEDOR],PROVEEDORES[[#This Row],[PROVEEDOR]],PROVEEDORES[FECHA DE PAGO],"")</f>
        <v>352505.48</v>
      </c>
      <c r="E1594" s="25"/>
      <c r="F1594" s="56" t="str">
        <f>+VLOOKUP(PROVEEDORES[[#This Row],[PROVEEDOR]],
                       Terceros!$A:$F,
                       5,
                       FALSE)</f>
        <v>facturacion@losmolinos.com.co</v>
      </c>
      <c r="G1594" s="68">
        <v>45097</v>
      </c>
      <c r="H1594" s="26" t="s">
        <v>631</v>
      </c>
      <c r="I1594" s="68">
        <v>45078</v>
      </c>
      <c r="J1594" s="35" t="s">
        <v>1734</v>
      </c>
      <c r="K1594" s="21">
        <v>318603</v>
      </c>
      <c r="L1594" s="21">
        <v>9545.39</v>
      </c>
      <c r="M1594" s="22">
        <f>(PROVEEDORES[[#This Row],[SUBTOTAL]]-PROVEEDORES[[#This Row],[descuento sobre subtotal]])*VLOOKUP(PROVEEDORES[[#This Row],[PROVEEDOR]],TERCEROS_INFO[#All],3,FALSE)</f>
        <v>0</v>
      </c>
      <c r="N1594" s="23"/>
      <c r="O1594" s="22">
        <f>+PROVEEDORES[[#This Row],[Descuento sobre subtotal %]]*(PROVEEDORES[[#This Row],[SUBTOTAL]]-PROVEEDORES[[#This Row],[descuento sobre subtotal]])</f>
        <v>0</v>
      </c>
      <c r="P1594" s="74">
        <f>+IF(PROVEEDORES[[#This Row],[SUBTOTAL]]&lt;PROVEEDORES[[#This Row],[base retencion]],0,PROVEEDORES[[#This Row],[retención aplicada]])</f>
        <v>0</v>
      </c>
      <c r="Q1594" s="22">
        <f>+PROVEEDORES[[#This Row],[Rete Fuente %]]*(PROVEEDORES[[#This Row],[SUBTOTAL]]-PROVEEDORES[[#This Row],[descuento sobre subtotal]])</f>
        <v>0</v>
      </c>
      <c r="R1594" s="21">
        <f>+PROVEEDORES[[#This Row],[SUBTOTAL]]+PROVEEDORES[[#This Row],[IVA 19%]]-PROVEEDORES[[#This Row],[descuento sobre subtotal]]-PROVEEDORES[[#This Row],[Descuento sobre subtotal $2]]-PROVEEDORES[[#This Row],[Rete Fuente $]]</f>
        <v>309057.61</v>
      </c>
      <c r="S15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4" s="63">
        <f ca="1">IF(PROVEEDORES[[#This Row],[FECHA DE PAGO]]=0,TODAY()-PROVEEDORES[[#This Row],[FECHA DE FACTURACIÓN]]-PROVEEDORES[[#This Row],[PLAZO Días]],0)</f>
        <v>0</v>
      </c>
      <c r="U1594" s="104">
        <f>+VLOOKUP(PROVEEDORES[[#This Row],[PROVEEDOR]],Terceros!$A:$D,4,FALSE)</f>
        <v>0</v>
      </c>
      <c r="V1594" s="105">
        <f>+YEAR(PROVEEDORES[[#This Row],[FECHA DE FACTURACIÓN]])</f>
        <v>2023</v>
      </c>
      <c r="W1594" s="105">
        <f>+MATCH(PROVEEDORES[[#This Row],[año facturado]],Retenciones!$1:$1,0)</f>
        <v>6</v>
      </c>
      <c r="X1594" s="106">
        <f>+VLOOKUP(PROVEEDORES[[#This Row],[ID RETENCION]],Retenciones!$A$1:$O$25,PROVEEDORES[[#This Row],[indicador de columna]],FALSE)</f>
        <v>0</v>
      </c>
      <c r="Y1594" s="107">
        <f>+VLOOKUP(PROVEEDORES[[#This Row],[ID RETENCION]],Retenciones!$A$1:$O$25,2,FALSE)</f>
        <v>0</v>
      </c>
      <c r="Z1594" s="116" t="b">
        <f>OR(COUNTIF(PROVEEDORES[[#This Row],[PROVEEDOR]],"*"&amp;'Palabra no opera'!$A$2&amp;"*"))</f>
        <v>1</v>
      </c>
    </row>
    <row r="1595" spans="1:26" ht="22.35" customHeight="1" x14ac:dyDescent="0.3">
      <c r="A1595" s="67" t="str">
        <f>+IF(PROVEEDORES[[#This Row],[FECHA DE PAGO]]=PROVEEDORES[[#This Row],[FECHA DE FACTURACIÓN]],"DE CONTADO","CRÉDITO")</f>
        <v>CRÉDITO</v>
      </c>
      <c r="B1595" s="38" t="str">
        <f>+IF((PROVEEDORES[[#This Row],[FECHA DE PAGO]]-PROVEEDORES[[#This Row],[FECHA DE FACTURACIÓN]])&gt;PROVEEDORES[[#This Row],[PLAZO Días]],"PAGO VENCIDO")</f>
        <v>PAGO VENCIDO</v>
      </c>
      <c r="C1595" s="20">
        <f>+VLOOKUP(PROVEEDORES[[#This Row],[PROVEEDOR]],TERCEROS_INFO[#All],2,FALSE)</f>
        <v>45</v>
      </c>
      <c r="D1595" s="25">
        <f>+SUMIFS(PROVEEDORES[Total],PROVEEDORES[PROVEEDOR],PROVEEDORES[[#This Row],[PROVEEDOR]],PROVEEDORES[FECHA DE PAGO],"")</f>
        <v>15770594</v>
      </c>
      <c r="E1595" s="25"/>
      <c r="F1595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95" s="68">
        <v>45097</v>
      </c>
      <c r="H1595" s="26" t="s">
        <v>19</v>
      </c>
      <c r="I1595" s="68">
        <v>45015</v>
      </c>
      <c r="J1595" s="35" t="s">
        <v>1601</v>
      </c>
      <c r="K1595" s="21">
        <v>7884050</v>
      </c>
      <c r="L1595" s="21"/>
      <c r="M1595" s="22">
        <f>(PROVEEDORES[[#This Row],[SUBTOTAL]]-PROVEEDORES[[#This Row],[descuento sobre subtotal]])*VLOOKUP(PROVEEDORES[[#This Row],[PROVEEDOR]],TERCEROS_INFO[#All],3,FALSE)</f>
        <v>1497969.5</v>
      </c>
      <c r="N1595" s="23"/>
      <c r="O1595" s="22">
        <f>+PROVEEDORES[[#This Row],[Descuento sobre subtotal %]]*(PROVEEDORES[[#This Row],[SUBTOTAL]]-PROVEEDORES[[#This Row],[descuento sobre subtotal]])</f>
        <v>0</v>
      </c>
      <c r="P1595" s="74">
        <f>+IF(PROVEEDORES[[#This Row],[SUBTOTAL]]&lt;PROVEEDORES[[#This Row],[base retencion]],0,PROVEEDORES[[#This Row],[retención aplicada]])</f>
        <v>0</v>
      </c>
      <c r="Q1595" s="22">
        <f>+PROVEEDORES[[#This Row],[Rete Fuente %]]*(PROVEEDORES[[#This Row],[SUBTOTAL]]-PROVEEDORES[[#This Row],[descuento sobre subtotal]])</f>
        <v>0</v>
      </c>
      <c r="R1595" s="21">
        <f>+PROVEEDORES[[#This Row],[SUBTOTAL]]+PROVEEDORES[[#This Row],[IVA 19%]]-PROVEEDORES[[#This Row],[descuento sobre subtotal]]-PROVEEDORES[[#This Row],[Descuento sobre subtotal $2]]-PROVEEDORES[[#This Row],[Rete Fuente $]]</f>
        <v>9382019.5</v>
      </c>
      <c r="S159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5" s="63">
        <f ca="1">IF(PROVEEDORES[[#This Row],[FECHA DE PAGO]]=0,TODAY()-PROVEEDORES[[#This Row],[FECHA DE FACTURACIÓN]]-PROVEEDORES[[#This Row],[PLAZO Días]],0)</f>
        <v>0</v>
      </c>
      <c r="U1595" s="104">
        <f>+VLOOKUP(PROVEEDORES[[#This Row],[PROVEEDOR]],Terceros!$A:$D,4,FALSE)</f>
        <v>0</v>
      </c>
      <c r="V1595" s="105">
        <f>+YEAR(PROVEEDORES[[#This Row],[FECHA DE FACTURACIÓN]])</f>
        <v>2023</v>
      </c>
      <c r="W1595" s="105">
        <f>+MATCH(PROVEEDORES[[#This Row],[año facturado]],Retenciones!$1:$1,0)</f>
        <v>6</v>
      </c>
      <c r="X1595" s="106">
        <f>+VLOOKUP(PROVEEDORES[[#This Row],[ID RETENCION]],Retenciones!$A$1:$O$25,PROVEEDORES[[#This Row],[indicador de columna]],FALSE)</f>
        <v>0</v>
      </c>
      <c r="Y1595" s="107">
        <f>+VLOOKUP(PROVEEDORES[[#This Row],[ID RETENCION]],Retenciones!$A$1:$O$25,2,FALSE)</f>
        <v>0</v>
      </c>
      <c r="Z1595" s="116" t="b">
        <f>OR(COUNTIF(PROVEEDORES[[#This Row],[PROVEEDOR]],"*"&amp;'Palabra no opera'!$A$2&amp;"*"))</f>
        <v>0</v>
      </c>
    </row>
    <row r="1596" spans="1:26" ht="22.35" customHeight="1" x14ac:dyDescent="0.3">
      <c r="A1596" s="67" t="str">
        <f>+IF(PROVEEDORES[[#This Row],[FECHA DE PAGO]]=PROVEEDORES[[#This Row],[FECHA DE FACTURACIÓN]],"DE CONTADO","CRÉDITO")</f>
        <v>CRÉDITO</v>
      </c>
      <c r="B1596" s="38" t="str">
        <f>+IF((PROVEEDORES[[#This Row],[FECHA DE PAGO]]-PROVEEDORES[[#This Row],[FECHA DE FACTURACIÓN]])&gt;PROVEEDORES[[#This Row],[PLAZO Días]],"PAGO VENCIDO")</f>
        <v>PAGO VENCIDO</v>
      </c>
      <c r="C1596" s="20">
        <f>+VLOOKUP(PROVEEDORES[[#This Row],[PROVEEDOR]],TERCEROS_INFO[#All],2,FALSE)</f>
        <v>45</v>
      </c>
      <c r="D1596" s="25">
        <f>+SUMIFS(PROVEEDORES[Total],PROVEEDORES[PROVEEDOR],PROVEEDORES[[#This Row],[PROVEEDOR]],PROVEEDORES[FECHA DE PAGO],"")</f>
        <v>15770594</v>
      </c>
      <c r="E1596" s="25"/>
      <c r="F1596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96" s="68">
        <v>45097</v>
      </c>
      <c r="H1596" s="26" t="s">
        <v>19</v>
      </c>
      <c r="I1596" s="68">
        <v>45016</v>
      </c>
      <c r="J1596" s="35" t="s">
        <v>1602</v>
      </c>
      <c r="K1596" s="21">
        <v>826770</v>
      </c>
      <c r="L1596" s="21"/>
      <c r="M1596" s="22">
        <f>(PROVEEDORES[[#This Row],[SUBTOTAL]]-PROVEEDORES[[#This Row],[descuento sobre subtotal]])*VLOOKUP(PROVEEDORES[[#This Row],[PROVEEDOR]],TERCEROS_INFO[#All],3,FALSE)</f>
        <v>157086.29999999999</v>
      </c>
      <c r="N1596" s="23"/>
      <c r="O1596" s="22">
        <f>+PROVEEDORES[[#This Row],[Descuento sobre subtotal %]]*(PROVEEDORES[[#This Row],[SUBTOTAL]]-PROVEEDORES[[#This Row],[descuento sobre subtotal]])</f>
        <v>0</v>
      </c>
      <c r="P1596" s="74">
        <f>+IF(PROVEEDORES[[#This Row],[SUBTOTAL]]&lt;PROVEEDORES[[#This Row],[base retencion]],0,PROVEEDORES[[#This Row],[retención aplicada]])</f>
        <v>0</v>
      </c>
      <c r="Q1596" s="22">
        <f>+PROVEEDORES[[#This Row],[Rete Fuente %]]*(PROVEEDORES[[#This Row],[SUBTOTAL]]-PROVEEDORES[[#This Row],[descuento sobre subtotal]])</f>
        <v>0</v>
      </c>
      <c r="R1596" s="21">
        <f>+PROVEEDORES[[#This Row],[SUBTOTAL]]+PROVEEDORES[[#This Row],[IVA 19%]]-PROVEEDORES[[#This Row],[descuento sobre subtotal]]-PROVEEDORES[[#This Row],[Descuento sobre subtotal $2]]-PROVEEDORES[[#This Row],[Rete Fuente $]]</f>
        <v>983856.3</v>
      </c>
      <c r="S15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6" s="63">
        <f ca="1">IF(PROVEEDORES[[#This Row],[FECHA DE PAGO]]=0,TODAY()-PROVEEDORES[[#This Row],[FECHA DE FACTURACIÓN]]-PROVEEDORES[[#This Row],[PLAZO Días]],0)</f>
        <v>0</v>
      </c>
      <c r="U1596" s="104">
        <f>+VLOOKUP(PROVEEDORES[[#This Row],[PROVEEDOR]],Terceros!$A:$D,4,FALSE)</f>
        <v>0</v>
      </c>
      <c r="V1596" s="105">
        <f>+YEAR(PROVEEDORES[[#This Row],[FECHA DE FACTURACIÓN]])</f>
        <v>2023</v>
      </c>
      <c r="W1596" s="105">
        <f>+MATCH(PROVEEDORES[[#This Row],[año facturado]],Retenciones!$1:$1,0)</f>
        <v>6</v>
      </c>
      <c r="X1596" s="106">
        <f>+VLOOKUP(PROVEEDORES[[#This Row],[ID RETENCION]],Retenciones!$A$1:$O$25,PROVEEDORES[[#This Row],[indicador de columna]],FALSE)</f>
        <v>0</v>
      </c>
      <c r="Y1596" s="107">
        <f>+VLOOKUP(PROVEEDORES[[#This Row],[ID RETENCION]],Retenciones!$A$1:$O$25,2,FALSE)</f>
        <v>0</v>
      </c>
      <c r="Z1596" s="116" t="b">
        <f>OR(COUNTIF(PROVEEDORES[[#This Row],[PROVEEDOR]],"*"&amp;'Palabra no opera'!$A$2&amp;"*"))</f>
        <v>0</v>
      </c>
    </row>
    <row r="1597" spans="1:26" ht="22.35" customHeight="1" x14ac:dyDescent="0.3">
      <c r="A1597" s="310" t="str">
        <f>+IF(PROVEEDORES[[#This Row],[FECHA DE PAGO]]=PROVEEDORES[[#This Row],[FECHA DE FACTURACIÓN]],"DE CONTADO","CRÉDITO")</f>
        <v>CRÉDITO</v>
      </c>
      <c r="B1597" s="38" t="str">
        <f>+IF((PROVEEDORES[[#This Row],[FECHA DE PAGO]]-PROVEEDORES[[#This Row],[FECHA DE FACTURACIÓN]])&gt;PROVEEDORES[[#This Row],[PLAZO Días]],"PAGO VENCIDO")</f>
        <v>PAGO VENCIDO</v>
      </c>
      <c r="C1597" s="20">
        <f>+VLOOKUP(PROVEEDORES[[#This Row],[PROVEEDOR]],TERCEROS_INFO[#All],2,FALSE)</f>
        <v>30</v>
      </c>
      <c r="D1597" s="25">
        <f>+SUMIFS(PROVEEDORES[Total],PROVEEDORES[PROVEEDOR],PROVEEDORES[[#This Row],[PROVEEDOR]],PROVEEDORES[FECHA DE PAGO],"")</f>
        <v>0</v>
      </c>
      <c r="E1597" s="25"/>
      <c r="F1597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97" s="68">
        <v>45097</v>
      </c>
      <c r="H1597" s="26" t="s">
        <v>26</v>
      </c>
      <c r="I1597" s="68">
        <v>45041</v>
      </c>
      <c r="J1597" s="35" t="s">
        <v>1646</v>
      </c>
      <c r="K1597" s="21">
        <v>2657001</v>
      </c>
      <c r="L1597" s="21"/>
      <c r="M1597" s="22">
        <f>(PROVEEDORES[[#This Row],[SUBTOTAL]]-PROVEEDORES[[#This Row],[descuento sobre subtotal]])*VLOOKUP(PROVEEDORES[[#This Row],[PROVEEDOR]],TERCEROS_INFO[#All],3,FALSE)</f>
        <v>504830.19</v>
      </c>
      <c r="N1597" s="23"/>
      <c r="O1597" s="22">
        <v>8925</v>
      </c>
      <c r="P1597" s="74">
        <f>+IF(PROVEEDORES[[#This Row],[SUBTOTAL]]&lt;PROVEEDORES[[#This Row],[base retencion]],0,PROVEEDORES[[#This Row],[retención aplicada]])</f>
        <v>2.5000000000000001E-2</v>
      </c>
      <c r="Q1597" s="22">
        <f>+PROVEEDORES[[#This Row],[Rete Fuente %]]*(PROVEEDORES[[#This Row],[SUBTOTAL]]-PROVEEDORES[[#This Row],[descuento sobre subtotal]])</f>
        <v>66425.025000000009</v>
      </c>
      <c r="R1597" s="21">
        <f>+PROVEEDORES[[#This Row],[SUBTOTAL]]+PROVEEDORES[[#This Row],[IVA 19%]]-PROVEEDORES[[#This Row],[descuento sobre subtotal]]-PROVEEDORES[[#This Row],[Descuento sobre subtotal $2]]-PROVEEDORES[[#This Row],[Rete Fuente $]]</f>
        <v>3086481.165</v>
      </c>
      <c r="S1597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7" s="63">
        <f ca="1">IF(PROVEEDORES[[#This Row],[FECHA DE PAGO]]=0,TODAY()-PROVEEDORES[[#This Row],[FECHA DE FACTURACIÓN]]-PROVEEDORES[[#This Row],[PLAZO Días]],0)</f>
        <v>0</v>
      </c>
      <c r="U1597" s="104" t="str">
        <f>+VLOOKUP(PROVEEDORES[[#This Row],[PROVEEDOR]],Terceros!$A:$D,4,FALSE)</f>
        <v>2,5% con base</v>
      </c>
      <c r="V1597" s="105">
        <f>+YEAR(PROVEEDORES[[#This Row],[FECHA DE FACTURACIÓN]])</f>
        <v>2023</v>
      </c>
      <c r="W1597" s="105">
        <f>+MATCH(PROVEEDORES[[#This Row],[año facturado]],Retenciones!$1:$1,0)</f>
        <v>6</v>
      </c>
      <c r="X1597" s="106">
        <f>+VLOOKUP(PROVEEDORES[[#This Row],[ID RETENCION]],Retenciones!$A$1:$O$25,PROVEEDORES[[#This Row],[indicador de columna]],FALSE)</f>
        <v>1145000</v>
      </c>
      <c r="Y1597" s="107">
        <f>+VLOOKUP(PROVEEDORES[[#This Row],[ID RETENCION]],Retenciones!$A$1:$O$25,2,FALSE)</f>
        <v>2.5000000000000001E-2</v>
      </c>
      <c r="Z1597" s="116" t="b">
        <f>OR(COUNTIF(PROVEEDORES[[#This Row],[PROVEEDOR]],"*"&amp;'Palabra no opera'!$A$2&amp;"*"))</f>
        <v>0</v>
      </c>
    </row>
    <row r="1598" spans="1:26" ht="22.35" customHeight="1" x14ac:dyDescent="0.3">
      <c r="A1598" s="67" t="str">
        <f>+IF(PROVEEDORES[[#This Row],[FECHA DE PAGO]]=PROVEEDORES[[#This Row],[FECHA DE FACTURACIÓN]],"DE CONTADO","CRÉDITO")</f>
        <v>CRÉDITO</v>
      </c>
      <c r="B1598" s="38" t="str">
        <f>+IF((PROVEEDORES[[#This Row],[FECHA DE PAGO]]-PROVEEDORES[[#This Row],[FECHA DE FACTURACIÓN]])&gt;PROVEEDORES[[#This Row],[PLAZO Días]],"PAGO VENCIDO")</f>
        <v>PAGO VENCIDO</v>
      </c>
      <c r="C1598" s="20">
        <f>+VLOOKUP(PROVEEDORES[[#This Row],[PROVEEDOR]],TERCEROS_INFO[#All],2,FALSE)</f>
        <v>30</v>
      </c>
      <c r="D1598" s="25">
        <f>+SUMIFS(PROVEEDORES[Total],PROVEEDORES[PROVEEDOR],PROVEEDORES[[#This Row],[PROVEEDOR]],PROVEEDORES[FECHA DE PAGO],"")</f>
        <v>0</v>
      </c>
      <c r="E1598" s="25"/>
      <c r="F1598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98" s="68">
        <v>45097</v>
      </c>
      <c r="H1598" s="26" t="s">
        <v>26</v>
      </c>
      <c r="I1598" s="68">
        <v>45056</v>
      </c>
      <c r="J1598" s="35" t="s">
        <v>1698</v>
      </c>
      <c r="K1598" s="21">
        <v>1470000</v>
      </c>
      <c r="L1598" s="21"/>
      <c r="M1598" s="22">
        <f>(PROVEEDORES[[#This Row],[SUBTOTAL]]-PROVEEDORES[[#This Row],[descuento sobre subtotal]])*VLOOKUP(PROVEEDORES[[#This Row],[PROVEEDOR]],TERCEROS_INFO[#All],3,FALSE)</f>
        <v>279300</v>
      </c>
      <c r="N1598" s="23"/>
      <c r="O1598" s="22">
        <f>+PROVEEDORES[[#This Row],[Descuento sobre subtotal %]]*(PROVEEDORES[[#This Row],[SUBTOTAL]]-PROVEEDORES[[#This Row],[descuento sobre subtotal]])</f>
        <v>0</v>
      </c>
      <c r="P1598" s="74">
        <f>+IF(PROVEEDORES[[#This Row],[SUBTOTAL]]&lt;PROVEEDORES[[#This Row],[base retencion]],0,PROVEEDORES[[#This Row],[retención aplicada]])</f>
        <v>2.5000000000000001E-2</v>
      </c>
      <c r="Q1598" s="22">
        <f>+PROVEEDORES[[#This Row],[Rete Fuente %]]*(PROVEEDORES[[#This Row],[SUBTOTAL]]-PROVEEDORES[[#This Row],[descuento sobre subtotal]])</f>
        <v>36750</v>
      </c>
      <c r="R1598" s="21">
        <f>+PROVEEDORES[[#This Row],[SUBTOTAL]]+PROVEEDORES[[#This Row],[IVA 19%]]-PROVEEDORES[[#This Row],[descuento sobre subtotal]]-PROVEEDORES[[#This Row],[Descuento sobre subtotal $2]]-PROVEEDORES[[#This Row],[Rete Fuente $]]</f>
        <v>1712550</v>
      </c>
      <c r="S15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8" s="63">
        <f ca="1">IF(PROVEEDORES[[#This Row],[FECHA DE PAGO]]=0,TODAY()-PROVEEDORES[[#This Row],[FECHA DE FACTURACIÓN]]-PROVEEDORES[[#This Row],[PLAZO Días]],0)</f>
        <v>0</v>
      </c>
      <c r="U1598" s="104" t="str">
        <f>+VLOOKUP(PROVEEDORES[[#This Row],[PROVEEDOR]],Terceros!$A:$D,4,FALSE)</f>
        <v>2,5% con base</v>
      </c>
      <c r="V1598" s="105">
        <f>+YEAR(PROVEEDORES[[#This Row],[FECHA DE FACTURACIÓN]])</f>
        <v>2023</v>
      </c>
      <c r="W1598" s="105">
        <f>+MATCH(PROVEEDORES[[#This Row],[año facturado]],Retenciones!$1:$1,0)</f>
        <v>6</v>
      </c>
      <c r="X1598" s="106">
        <f>+VLOOKUP(PROVEEDORES[[#This Row],[ID RETENCION]],Retenciones!$A$1:$O$25,PROVEEDORES[[#This Row],[indicador de columna]],FALSE)</f>
        <v>1145000</v>
      </c>
      <c r="Y1598" s="107">
        <f>+VLOOKUP(PROVEEDORES[[#This Row],[ID RETENCION]],Retenciones!$A$1:$O$25,2,FALSE)</f>
        <v>2.5000000000000001E-2</v>
      </c>
      <c r="Z1598" s="116" t="b">
        <f>OR(COUNTIF(PROVEEDORES[[#This Row],[PROVEEDOR]],"*"&amp;'Palabra no opera'!$A$2&amp;"*"))</f>
        <v>0</v>
      </c>
    </row>
    <row r="1599" spans="1:26" ht="22.35" customHeight="1" x14ac:dyDescent="0.3">
      <c r="A1599" s="67" t="str">
        <f>+IF(PROVEEDORES[[#This Row],[FECHA DE PAGO]]=PROVEEDORES[[#This Row],[FECHA DE FACTURACIÓN]],"DE CONTADO","CRÉDITO")</f>
        <v>CRÉDITO</v>
      </c>
      <c r="B1599" s="38" t="b">
        <f>+IF((PROVEEDORES[[#This Row],[FECHA DE PAGO]]-PROVEEDORES[[#This Row],[FECHA DE FACTURACIÓN]])&gt;PROVEEDORES[[#This Row],[PLAZO Días]],"PAGO VENCIDO")</f>
        <v>0</v>
      </c>
      <c r="C1599" s="20">
        <f>+VLOOKUP(PROVEEDORES[[#This Row],[PROVEEDOR]],TERCEROS_INFO[#All],2,FALSE)</f>
        <v>30</v>
      </c>
      <c r="D1599" s="25">
        <f>+SUMIFS(PROVEEDORES[Total],PROVEEDORES[PROVEEDOR],PROVEEDORES[[#This Row],[PROVEEDOR]],PROVEEDORES[FECHA DE PAGO],"")</f>
        <v>0</v>
      </c>
      <c r="E1599" s="25"/>
      <c r="F1599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599" s="68">
        <v>45097</v>
      </c>
      <c r="H1599" s="26" t="s">
        <v>651</v>
      </c>
      <c r="I1599" s="68">
        <v>45078</v>
      </c>
      <c r="J1599" s="35" t="s">
        <v>1733</v>
      </c>
      <c r="K1599" s="21">
        <v>243611</v>
      </c>
      <c r="L1599" s="21"/>
      <c r="M1599" s="22">
        <f>(PROVEEDORES[[#This Row],[SUBTOTAL]]-PROVEEDORES[[#This Row],[descuento sobre subtotal]])*VLOOKUP(PROVEEDORES[[#This Row],[PROVEEDOR]],TERCEROS_INFO[#All],3,FALSE)</f>
        <v>46286.090000000004</v>
      </c>
      <c r="N1599" s="23"/>
      <c r="O1599" s="22">
        <f>+PROVEEDORES[[#This Row],[Descuento sobre subtotal %]]*(PROVEEDORES[[#This Row],[SUBTOTAL]]-PROVEEDORES[[#This Row],[descuento sobre subtotal]])</f>
        <v>0</v>
      </c>
      <c r="P1599" s="74">
        <f>+IF(PROVEEDORES[[#This Row],[SUBTOTAL]]&lt;PROVEEDORES[[#This Row],[base retencion]],0,PROVEEDORES[[#This Row],[retención aplicada]])</f>
        <v>3.5000000000000003E-2</v>
      </c>
      <c r="Q1599" s="22">
        <f>+PROVEEDORES[[#This Row],[Rete Fuente %]]*(PROVEEDORES[[#This Row],[SUBTOTAL]]-PROVEEDORES[[#This Row],[descuento sobre subtotal]])</f>
        <v>8526.3850000000002</v>
      </c>
      <c r="R1599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5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9" s="63">
        <f ca="1">IF(PROVEEDORES[[#This Row],[FECHA DE PAGO]]=0,TODAY()-PROVEEDORES[[#This Row],[FECHA DE FACTURACIÓN]]-PROVEEDORES[[#This Row],[PLAZO Días]],0)</f>
        <v>0</v>
      </c>
      <c r="U1599" s="104" t="str">
        <f>+VLOOKUP(PROVEEDORES[[#This Row],[PROVEEDOR]],Terceros!$A:$D,4,FALSE)</f>
        <v>3,5% sin base</v>
      </c>
      <c r="V1599" s="105">
        <f>+YEAR(PROVEEDORES[[#This Row],[FECHA DE FACTURACIÓN]])</f>
        <v>2023</v>
      </c>
      <c r="W1599" s="105">
        <f>+MATCH(PROVEEDORES[[#This Row],[año facturado]],Retenciones!$1:$1,0)</f>
        <v>6</v>
      </c>
      <c r="X1599" s="106">
        <f>+VLOOKUP(PROVEEDORES[[#This Row],[ID RETENCION]],Retenciones!$A$1:$O$25,PROVEEDORES[[#This Row],[indicador de columna]],FALSE)</f>
        <v>0</v>
      </c>
      <c r="Y1599" s="107">
        <f>+VLOOKUP(PROVEEDORES[[#This Row],[ID RETENCION]],Retenciones!$A$1:$O$25,2,FALSE)</f>
        <v>3.5000000000000003E-2</v>
      </c>
      <c r="Z1599" s="116" t="b">
        <f>OR(COUNTIF(PROVEEDORES[[#This Row],[PROVEEDOR]],"*"&amp;'Palabra no opera'!$A$2&amp;"*"))</f>
        <v>1</v>
      </c>
    </row>
    <row r="1600" spans="1:26" ht="22.35" customHeight="1" x14ac:dyDescent="0.3">
      <c r="A1600" s="67" t="str">
        <f>+IF(PROVEEDORES[[#This Row],[FECHA DE PAGO]]=PROVEEDORES[[#This Row],[FECHA DE FACTURACIÓN]],"DE CONTADO","CRÉDITO")</f>
        <v>CRÉDITO</v>
      </c>
      <c r="B1600" s="38" t="str">
        <f>+IF((PROVEEDORES[[#This Row],[FECHA DE PAGO]]-PROVEEDORES[[#This Row],[FECHA DE FACTURACIÓN]])&gt;PROVEEDORES[[#This Row],[PLAZO Días]],"PAGO VENCIDO")</f>
        <v>PAGO VENCIDO</v>
      </c>
      <c r="C1600" s="20">
        <f>+VLOOKUP(PROVEEDORES[[#This Row],[PROVEEDOR]],TERCEROS_INFO[#All],2,FALSE)</f>
        <v>30</v>
      </c>
      <c r="D1600" s="25">
        <f>+SUMIFS(PROVEEDORES[Total],PROVEEDORES[PROVEEDOR],PROVEEDORES[[#This Row],[PROVEEDOR]],PROVEEDORES[FECHA DE PAGO],"")</f>
        <v>0</v>
      </c>
      <c r="E1600" s="25"/>
      <c r="F1600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600" s="68">
        <v>45097</v>
      </c>
      <c r="H1600" s="26" t="s">
        <v>1069</v>
      </c>
      <c r="I1600" s="68">
        <v>45061</v>
      </c>
      <c r="J1600" s="35" t="s">
        <v>1693</v>
      </c>
      <c r="K1600" s="21">
        <v>4516272</v>
      </c>
      <c r="L1600" s="21"/>
      <c r="M1600" s="22">
        <f>(PROVEEDORES[[#This Row],[SUBTOTAL]]-PROVEEDORES[[#This Row],[descuento sobre subtotal]])*VLOOKUP(PROVEEDORES[[#This Row],[PROVEEDOR]],TERCEROS_INFO[#All],3,FALSE)</f>
        <v>858091.68</v>
      </c>
      <c r="N1600" s="23"/>
      <c r="O1600" s="22">
        <f>+PROVEEDORES[[#This Row],[Descuento sobre subtotal %]]*(PROVEEDORES[[#This Row],[SUBTOTAL]]-PROVEEDORES[[#This Row],[descuento sobre subtotal]])</f>
        <v>0</v>
      </c>
      <c r="P1600" s="74">
        <f>+IF(PROVEEDORES[[#This Row],[SUBTOTAL]]&lt;PROVEEDORES[[#This Row],[base retencion]],0,PROVEEDORES[[#This Row],[retención aplicada]])</f>
        <v>2.5000000000000001E-2</v>
      </c>
      <c r="Q1600" s="22">
        <f>+PROVEEDORES[[#This Row],[Rete Fuente %]]*(PROVEEDORES[[#This Row],[SUBTOTAL]]-PROVEEDORES[[#This Row],[descuento sobre subtotal]])</f>
        <v>112906.8</v>
      </c>
      <c r="R1600" s="21">
        <f>+PROVEEDORES[[#This Row],[SUBTOTAL]]+PROVEEDORES[[#This Row],[IVA 19%]]-PROVEEDORES[[#This Row],[descuento sobre subtotal]]-PROVEEDORES[[#This Row],[Descuento sobre subtotal $2]]-PROVEEDORES[[#This Row],[Rete Fuente $]]</f>
        <v>5261456.88</v>
      </c>
      <c r="S16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0" s="63">
        <f ca="1">IF(PROVEEDORES[[#This Row],[FECHA DE PAGO]]=0,TODAY()-PROVEEDORES[[#This Row],[FECHA DE FACTURACIÓN]]-PROVEEDORES[[#This Row],[PLAZO Días]],0)</f>
        <v>0</v>
      </c>
      <c r="U1600" s="104" t="str">
        <f>+VLOOKUP(PROVEEDORES[[#This Row],[PROVEEDOR]],Terceros!$A:$D,4,FALSE)</f>
        <v>2,5% con base</v>
      </c>
      <c r="V1600" s="105">
        <f>+YEAR(PROVEEDORES[[#This Row],[FECHA DE FACTURACIÓN]])</f>
        <v>2023</v>
      </c>
      <c r="W1600" s="105">
        <f>+MATCH(PROVEEDORES[[#This Row],[año facturado]],Retenciones!$1:$1,0)</f>
        <v>6</v>
      </c>
      <c r="X1600" s="106">
        <f>+VLOOKUP(PROVEEDORES[[#This Row],[ID RETENCION]],Retenciones!$A$1:$O$25,PROVEEDORES[[#This Row],[indicador de columna]],FALSE)</f>
        <v>1145000</v>
      </c>
      <c r="Y1600" s="107">
        <f>+VLOOKUP(PROVEEDORES[[#This Row],[ID RETENCION]],Retenciones!$A$1:$O$25,2,FALSE)</f>
        <v>2.5000000000000001E-2</v>
      </c>
      <c r="Z1600" s="116" t="b">
        <f>OR(COUNTIF(PROVEEDORES[[#This Row],[PROVEEDOR]],"*"&amp;'Palabra no opera'!$A$2&amp;"*"))</f>
        <v>0</v>
      </c>
    </row>
    <row r="1601" spans="1:26" ht="22.35" customHeight="1" x14ac:dyDescent="0.3">
      <c r="A1601" s="310" t="str">
        <f>+IF(PROVEEDORES[[#This Row],[FECHA DE PAGO]]=PROVEEDORES[[#This Row],[FECHA DE FACTURACIÓN]],"DE CONTADO","CRÉDITO")</f>
        <v>CRÉDITO</v>
      </c>
      <c r="B1601" s="38" t="str">
        <f>+IF((PROVEEDORES[[#This Row],[FECHA DE PAGO]]-PROVEEDORES[[#This Row],[FECHA DE FACTURACIÓN]])&gt;PROVEEDORES[[#This Row],[PLAZO Días]],"PAGO VENCIDO")</f>
        <v>PAGO VENCIDO</v>
      </c>
      <c r="C1601" s="20">
        <f>+VLOOKUP(PROVEEDORES[[#This Row],[PROVEEDOR]],TERCEROS_INFO[#All],2,FALSE)</f>
        <v>30</v>
      </c>
      <c r="D1601" s="25">
        <f>+SUMIFS(PROVEEDORES[Total],PROVEEDORES[PROVEEDOR],PROVEEDORES[[#This Row],[PROVEEDOR]],PROVEEDORES[FECHA DE PAGO],"")</f>
        <v>18444236.894999996</v>
      </c>
      <c r="E1601" s="25"/>
      <c r="F160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01" s="68">
        <v>45097</v>
      </c>
      <c r="H1601" s="26" t="s">
        <v>11</v>
      </c>
      <c r="I1601" s="68">
        <v>45044</v>
      </c>
      <c r="J1601" s="35" t="s">
        <v>1653</v>
      </c>
      <c r="K1601" s="21">
        <v>5732114</v>
      </c>
      <c r="L1601" s="21"/>
      <c r="M1601" s="22">
        <f>(PROVEEDORES[[#This Row],[SUBTOTAL]]-PROVEEDORES[[#This Row],[descuento sobre subtotal]])*VLOOKUP(PROVEEDORES[[#This Row],[PROVEEDOR]],TERCEROS_INFO[#All],3,FALSE)</f>
        <v>1089101.6599999999</v>
      </c>
      <c r="N1601" s="23"/>
      <c r="O1601" s="22">
        <f>+PROVEEDORES[[#This Row],[Descuento sobre subtotal %]]*(PROVEEDORES[[#This Row],[SUBTOTAL]]-PROVEEDORES[[#This Row],[descuento sobre subtotal]])</f>
        <v>0</v>
      </c>
      <c r="P1601" s="74">
        <f>+IF(PROVEEDORES[[#This Row],[SUBTOTAL]]&lt;PROVEEDORES[[#This Row],[base retencion]],0,PROVEEDORES[[#This Row],[retención aplicada]])</f>
        <v>2.5000000000000001E-2</v>
      </c>
      <c r="Q1601" s="22">
        <f>+PROVEEDORES[[#This Row],[Rete Fuente %]]*(PROVEEDORES[[#This Row],[SUBTOTAL]]-PROVEEDORES[[#This Row],[descuento sobre subtotal]])</f>
        <v>143302.85</v>
      </c>
      <c r="R1601" s="21">
        <f>+PROVEEDORES[[#This Row],[SUBTOTAL]]+PROVEEDORES[[#This Row],[IVA 19%]]-PROVEEDORES[[#This Row],[descuento sobre subtotal]]-PROVEEDORES[[#This Row],[Descuento sobre subtotal $2]]-PROVEEDORES[[#This Row],[Rete Fuente $]]</f>
        <v>6677912.8100000005</v>
      </c>
      <c r="S160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1" s="63">
        <f ca="1">IF(PROVEEDORES[[#This Row],[FECHA DE PAGO]]=0,TODAY()-PROVEEDORES[[#This Row],[FECHA DE FACTURACIÓN]]-PROVEEDORES[[#This Row],[PLAZO Días]],0)</f>
        <v>0</v>
      </c>
      <c r="U1601" s="104" t="str">
        <f>+VLOOKUP(PROVEEDORES[[#This Row],[PROVEEDOR]],Terceros!$A:$D,4,FALSE)</f>
        <v>2,5% con base</v>
      </c>
      <c r="V1601" s="105">
        <f>+YEAR(PROVEEDORES[[#This Row],[FECHA DE FACTURACIÓN]])</f>
        <v>2023</v>
      </c>
      <c r="W1601" s="105">
        <f>+MATCH(PROVEEDORES[[#This Row],[año facturado]],Retenciones!$1:$1,0)</f>
        <v>6</v>
      </c>
      <c r="X1601" s="106">
        <f>+VLOOKUP(PROVEEDORES[[#This Row],[ID RETENCION]],Retenciones!$A$1:$O$25,PROVEEDORES[[#This Row],[indicador de columna]],FALSE)</f>
        <v>1145000</v>
      </c>
      <c r="Y1601" s="107">
        <f>+VLOOKUP(PROVEEDORES[[#This Row],[ID RETENCION]],Retenciones!$A$1:$O$25,2,FALSE)</f>
        <v>2.5000000000000001E-2</v>
      </c>
      <c r="Z1601" s="116" t="b">
        <f>OR(COUNTIF(PROVEEDORES[[#This Row],[PROVEEDOR]],"*"&amp;'Palabra no opera'!$A$2&amp;"*"))</f>
        <v>0</v>
      </c>
    </row>
    <row r="1602" spans="1:26" ht="22.35" customHeight="1" x14ac:dyDescent="0.3">
      <c r="A1602" s="314" t="str">
        <f>+IF(PROVEEDORES[[#This Row],[FECHA DE PAGO]]=PROVEEDORES[[#This Row],[FECHA DE FACTURACIÓN]],"DE CONTADO","CRÉDITO")</f>
        <v>CRÉDITO</v>
      </c>
      <c r="B1602" s="38" t="str">
        <f>+IF((PROVEEDORES[[#This Row],[FECHA DE PAGO]]-PROVEEDORES[[#This Row],[FECHA DE FACTURACIÓN]])&gt;PROVEEDORES[[#This Row],[PLAZO Días]],"PAGO VENCIDO")</f>
        <v>PAGO VENCIDO</v>
      </c>
      <c r="C1602" s="20">
        <f>+VLOOKUP(PROVEEDORES[[#This Row],[PROVEEDOR]],TERCEROS_INFO[#All],2,FALSE)</f>
        <v>30</v>
      </c>
      <c r="D1602" s="25">
        <f>+SUMIFS(PROVEEDORES[Total],PROVEEDORES[PROVEEDOR],PROVEEDORES[[#This Row],[PROVEEDOR]],PROVEEDORES[FECHA DE PAGO],"")</f>
        <v>18444236.894999996</v>
      </c>
      <c r="E1602" s="25"/>
      <c r="F1602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02" s="68">
        <v>45097</v>
      </c>
      <c r="H1602" s="26" t="s">
        <v>11</v>
      </c>
      <c r="I1602" s="68">
        <v>45055</v>
      </c>
      <c r="J1602" s="35" t="s">
        <v>1675</v>
      </c>
      <c r="K1602" s="21">
        <v>854119</v>
      </c>
      <c r="L1602" s="21"/>
      <c r="M1602" s="22">
        <f>(PROVEEDORES[[#This Row],[SUBTOTAL]]-PROVEEDORES[[#This Row],[descuento sobre subtotal]])*VLOOKUP(PROVEEDORES[[#This Row],[PROVEEDOR]],TERCEROS_INFO[#All],3,FALSE)</f>
        <v>162282.61000000002</v>
      </c>
      <c r="N1602" s="23"/>
      <c r="O1602" s="22">
        <f>+PROVEEDORES[[#This Row],[Descuento sobre subtotal %]]*(PROVEEDORES[[#This Row],[SUBTOTAL]]-PROVEEDORES[[#This Row],[descuento sobre subtotal]])</f>
        <v>0</v>
      </c>
      <c r="P1602" s="74">
        <f>+IF(PROVEEDORES[[#This Row],[SUBTOTAL]]&lt;PROVEEDORES[[#This Row],[base retencion]],0,PROVEEDORES[[#This Row],[retención aplicada]])</f>
        <v>0</v>
      </c>
      <c r="Q1602" s="22">
        <f>+PROVEEDORES[[#This Row],[Rete Fuente %]]*(PROVEEDORES[[#This Row],[SUBTOTAL]]-PROVEEDORES[[#This Row],[descuento sobre subtotal]])</f>
        <v>0</v>
      </c>
      <c r="R1602" s="21">
        <f>+PROVEEDORES[[#This Row],[SUBTOTAL]]+PROVEEDORES[[#This Row],[IVA 19%]]-PROVEEDORES[[#This Row],[descuento sobre subtotal]]-PROVEEDORES[[#This Row],[Descuento sobre subtotal $2]]-PROVEEDORES[[#This Row],[Rete Fuente $]]</f>
        <v>1016401.61</v>
      </c>
      <c r="S1602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2" s="63">
        <f ca="1">IF(PROVEEDORES[[#This Row],[FECHA DE PAGO]]=0,TODAY()-PROVEEDORES[[#This Row],[FECHA DE FACTURACIÓN]]-PROVEEDORES[[#This Row],[PLAZO Días]],0)</f>
        <v>0</v>
      </c>
      <c r="U1602" s="104" t="str">
        <f>+VLOOKUP(PROVEEDORES[[#This Row],[PROVEEDOR]],Terceros!$A:$D,4,FALSE)</f>
        <v>2,5% con base</v>
      </c>
      <c r="V1602" s="105">
        <f>+YEAR(PROVEEDORES[[#This Row],[FECHA DE FACTURACIÓN]])</f>
        <v>2023</v>
      </c>
      <c r="W1602" s="105">
        <f>+MATCH(PROVEEDORES[[#This Row],[año facturado]],Retenciones!$1:$1,0)</f>
        <v>6</v>
      </c>
      <c r="X1602" s="106">
        <f>+VLOOKUP(PROVEEDORES[[#This Row],[ID RETENCION]],Retenciones!$A$1:$O$25,PROVEEDORES[[#This Row],[indicador de columna]],FALSE)</f>
        <v>1145000</v>
      </c>
      <c r="Y1602" s="107">
        <f>+VLOOKUP(PROVEEDORES[[#This Row],[ID RETENCION]],Retenciones!$A$1:$O$25,2,FALSE)</f>
        <v>2.5000000000000001E-2</v>
      </c>
      <c r="Z1602" s="116" t="b">
        <f>OR(COUNTIF(PROVEEDORES[[#This Row],[PROVEEDOR]],"*"&amp;'Palabra no opera'!$A$2&amp;"*"))</f>
        <v>0</v>
      </c>
    </row>
    <row r="1603" spans="1:26" ht="22.35" customHeight="1" x14ac:dyDescent="0.3">
      <c r="A1603" s="67" t="str">
        <f>+IF(PROVEEDORES[[#This Row],[FECHA DE PAGO]]=PROVEEDORES[[#This Row],[FECHA DE FACTURACIÓN]],"DE CONTADO","CRÉDITO")</f>
        <v>CRÉDITO</v>
      </c>
      <c r="B1603" s="38" t="str">
        <f>+IF((PROVEEDORES[[#This Row],[FECHA DE PAGO]]-PROVEEDORES[[#This Row],[FECHA DE FACTURACIÓN]])&gt;PROVEEDORES[[#This Row],[PLAZO Días]],"PAGO VENCIDO")</f>
        <v>PAGO VENCIDO</v>
      </c>
      <c r="C1603" s="20">
        <f>+VLOOKUP(PROVEEDORES[[#This Row],[PROVEEDOR]],TERCEROS_INFO[#All],2,FALSE)</f>
        <v>30</v>
      </c>
      <c r="D1603" s="25">
        <f>+SUMIFS(PROVEEDORES[Total],PROVEEDORES[PROVEEDOR],PROVEEDORES[[#This Row],[PROVEEDOR]],PROVEEDORES[FECHA DE PAGO],"")</f>
        <v>2100000</v>
      </c>
      <c r="E1603" s="25"/>
      <c r="F1603" s="56" t="str">
        <f>+VLOOKUP(PROVEEDORES[[#This Row],[PROVEEDOR]],
                       Terceros!$A:$F,
                       5,
                       FALSE)</f>
        <v/>
      </c>
      <c r="G1603" s="68">
        <v>45098</v>
      </c>
      <c r="H1603" s="26" t="s">
        <v>349</v>
      </c>
      <c r="I1603" s="68">
        <v>45051</v>
      </c>
      <c r="J1603" s="35" t="s">
        <v>1677</v>
      </c>
      <c r="K1603" s="21">
        <v>642250</v>
      </c>
      <c r="L1603" s="21"/>
      <c r="M1603" s="22">
        <f>(PROVEEDORES[[#This Row],[SUBTOTAL]]-PROVEEDORES[[#This Row],[descuento sobre subtotal]])*VLOOKUP(PROVEEDORES[[#This Row],[PROVEEDOR]],TERCEROS_INFO[#All],3,FALSE)</f>
        <v>0</v>
      </c>
      <c r="N1603" s="23"/>
      <c r="O1603" s="22">
        <f>+PROVEEDORES[[#This Row],[Descuento sobre subtotal %]]*(PROVEEDORES[[#This Row],[SUBTOTAL]]-PROVEEDORES[[#This Row],[descuento sobre subtotal]])</f>
        <v>0</v>
      </c>
      <c r="P1603" s="74">
        <f>+IF(PROVEEDORES[[#This Row],[SUBTOTAL]]&lt;PROVEEDORES[[#This Row],[base retencion]],0,PROVEEDORES[[#This Row],[retención aplicada]])</f>
        <v>0</v>
      </c>
      <c r="Q1603" s="22">
        <f>+PROVEEDORES[[#This Row],[Rete Fuente %]]*(PROVEEDORES[[#This Row],[SUBTOTAL]]-PROVEEDORES[[#This Row],[descuento sobre subtotal]])</f>
        <v>0</v>
      </c>
      <c r="R1603" s="21">
        <f>+PROVEEDORES[[#This Row],[SUBTOTAL]]+PROVEEDORES[[#This Row],[IVA 19%]]-PROVEEDORES[[#This Row],[descuento sobre subtotal]]-PROVEEDORES[[#This Row],[Descuento sobre subtotal $2]]-PROVEEDORES[[#This Row],[Rete Fuente $]]</f>
        <v>642250</v>
      </c>
      <c r="S16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3" s="63">
        <f ca="1">IF(PROVEEDORES[[#This Row],[FECHA DE PAGO]]=0,TODAY()-PROVEEDORES[[#This Row],[FECHA DE FACTURACIÓN]]-PROVEEDORES[[#This Row],[PLAZO Días]],0)</f>
        <v>0</v>
      </c>
      <c r="U1603" s="104">
        <f>+VLOOKUP(PROVEEDORES[[#This Row],[PROVEEDOR]],Terceros!$A:$D,4,FALSE)</f>
        <v>0</v>
      </c>
      <c r="V1603" s="105">
        <f>+YEAR(PROVEEDORES[[#This Row],[FECHA DE FACTURACIÓN]])</f>
        <v>2023</v>
      </c>
      <c r="W1603" s="105">
        <f>+MATCH(PROVEEDORES[[#This Row],[año facturado]],Retenciones!$1:$1,0)</f>
        <v>6</v>
      </c>
      <c r="X1603" s="106">
        <f>+VLOOKUP(PROVEEDORES[[#This Row],[ID RETENCION]],Retenciones!$A$1:$O$25,PROVEEDORES[[#This Row],[indicador de columna]],FALSE)</f>
        <v>0</v>
      </c>
      <c r="Y1603" s="107">
        <f>+VLOOKUP(PROVEEDORES[[#This Row],[ID RETENCION]],Retenciones!$A$1:$O$25,2,FALSE)</f>
        <v>0</v>
      </c>
      <c r="Z1603" s="116" t="b">
        <f>OR(COUNTIF(PROVEEDORES[[#This Row],[PROVEEDOR]],"*"&amp;'Palabra no opera'!$A$2&amp;"*"))</f>
        <v>0</v>
      </c>
    </row>
    <row r="1604" spans="1:26" ht="22.35" customHeight="1" x14ac:dyDescent="0.3">
      <c r="A1604" s="67" t="str">
        <f>+IF(PROVEEDORES[[#This Row],[FECHA DE PAGO]]=PROVEEDORES[[#This Row],[FECHA DE FACTURACIÓN]],"DE CONTADO","CRÉDITO")</f>
        <v>CRÉDITO</v>
      </c>
      <c r="B1604" s="38" t="b">
        <f>+IF((PROVEEDORES[[#This Row],[FECHA DE PAGO]]-PROVEEDORES[[#This Row],[FECHA DE FACTURACIÓN]])&gt;PROVEEDORES[[#This Row],[PLAZO Días]],"PAGO VENCIDO")</f>
        <v>0</v>
      </c>
      <c r="C1604" s="20">
        <f>+VLOOKUP(PROVEEDORES[[#This Row],[PROVEEDOR]],TERCEROS_INFO[#All],2,FALSE)</f>
        <v>30</v>
      </c>
      <c r="D1604" s="25">
        <f>+SUMIFS(PROVEEDORES[Total],PROVEEDORES[PROVEEDOR],PROVEEDORES[[#This Row],[PROVEEDOR]],PROVEEDORES[FECHA DE PAGO],"")</f>
        <v>0</v>
      </c>
      <c r="E1604" s="25"/>
      <c r="F1604" s="56">
        <f>+VLOOKUP(PROVEEDORES[[#This Row],[PROVEEDOR]],
                       Terceros!$A:$F,
                       5,
                       FALSE)</f>
        <v>0</v>
      </c>
      <c r="G1604" s="68">
        <v>45098</v>
      </c>
      <c r="H1604" s="26" t="s">
        <v>1287</v>
      </c>
      <c r="I1604" s="68">
        <v>45077</v>
      </c>
      <c r="J1604" s="35">
        <v>437</v>
      </c>
      <c r="K1604" s="21">
        <v>621600</v>
      </c>
      <c r="L1604" s="21"/>
      <c r="M1604" s="22">
        <f>(PROVEEDORES[[#This Row],[SUBTOTAL]]-PROVEEDORES[[#This Row],[descuento sobre subtotal]])*VLOOKUP(PROVEEDORES[[#This Row],[PROVEEDOR]],TERCEROS_INFO[#All],3,FALSE)</f>
        <v>0</v>
      </c>
      <c r="N1604" s="23"/>
      <c r="O1604" s="22">
        <v>118104</v>
      </c>
      <c r="P1604" s="74">
        <f>+IF(PROVEEDORES[[#This Row],[SUBTOTAL]]&lt;PROVEEDORES[[#This Row],[base retencion]],0,PROVEEDORES[[#This Row],[retención aplicada]])</f>
        <v>0</v>
      </c>
      <c r="Q1604" s="22">
        <f>+PROVEEDORES[[#This Row],[Rete Fuente %]]*(PROVEEDORES[[#This Row],[SUBTOTAL]]-PROVEEDORES[[#This Row],[descuento sobre subtotal]])</f>
        <v>0</v>
      </c>
      <c r="R1604" s="21">
        <f>+PROVEEDORES[[#This Row],[SUBTOTAL]]+PROVEEDORES[[#This Row],[IVA 19%]]-PROVEEDORES[[#This Row],[descuento sobre subtotal]]-PROVEEDORES[[#This Row],[Descuento sobre subtotal $2]]-PROVEEDORES[[#This Row],[Rete Fuente $]]</f>
        <v>503496</v>
      </c>
      <c r="S16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4" s="63">
        <f ca="1">IF(PROVEEDORES[[#This Row],[FECHA DE PAGO]]=0,TODAY()-PROVEEDORES[[#This Row],[FECHA DE FACTURACIÓN]]-PROVEEDORES[[#This Row],[PLAZO Días]],0)</f>
        <v>0</v>
      </c>
      <c r="U1604" s="104">
        <f>+VLOOKUP(PROVEEDORES[[#This Row],[PROVEEDOR]],Terceros!$A:$D,4,FALSE)</f>
        <v>0</v>
      </c>
      <c r="V1604" s="105">
        <f>+YEAR(PROVEEDORES[[#This Row],[FECHA DE FACTURACIÓN]])</f>
        <v>2023</v>
      </c>
      <c r="W1604" s="105">
        <f>+MATCH(PROVEEDORES[[#This Row],[año facturado]],Retenciones!$1:$1,0)</f>
        <v>6</v>
      </c>
      <c r="X1604" s="106">
        <f>+VLOOKUP(PROVEEDORES[[#This Row],[ID RETENCION]],Retenciones!$A$1:$O$25,PROVEEDORES[[#This Row],[indicador de columna]],FALSE)</f>
        <v>0</v>
      </c>
      <c r="Y1604" s="107">
        <f>+VLOOKUP(PROVEEDORES[[#This Row],[ID RETENCION]],Retenciones!$A$1:$O$25,2,FALSE)</f>
        <v>0</v>
      </c>
      <c r="Z1604" s="116" t="b">
        <f>OR(COUNTIF(PROVEEDORES[[#This Row],[PROVEEDOR]],"*"&amp;'Palabra no opera'!$A$2&amp;"*"))</f>
        <v>0</v>
      </c>
    </row>
    <row r="1605" spans="1:26" ht="22.35" customHeight="1" x14ac:dyDescent="0.3">
      <c r="A1605" s="67" t="str">
        <f>+IF(PROVEEDORES[[#This Row],[FECHA DE PAGO]]=PROVEEDORES[[#This Row],[FECHA DE FACTURACIÓN]],"DE CONTADO","CRÉDITO")</f>
        <v>DE CONTADO</v>
      </c>
      <c r="B1605" s="38" t="b">
        <f>+IF((PROVEEDORES[[#This Row],[FECHA DE PAGO]]-PROVEEDORES[[#This Row],[FECHA DE FACTURACIÓN]])&gt;PROVEEDORES[[#This Row],[PLAZO Días]],"PAGO VENCIDO")</f>
        <v>0</v>
      </c>
      <c r="C1605" s="20">
        <f>+VLOOKUP(PROVEEDORES[[#This Row],[PROVEEDOR]],TERCEROS_INFO[#All],2,FALSE)</f>
        <v>30</v>
      </c>
      <c r="D1605" s="25">
        <f>+SUMIFS(PROVEEDORES[Total],PROVEEDORES[PROVEEDOR],PROVEEDORES[[#This Row],[PROVEEDOR]],PROVEEDORES[FECHA DE PAGO],"")</f>
        <v>0</v>
      </c>
      <c r="E1605" s="25"/>
      <c r="F1605" s="56">
        <f>+VLOOKUP(PROVEEDORES[[#This Row],[PROVEEDOR]],
                       Terceros!$A:$F,
                       5,
                       FALSE)</f>
        <v>0</v>
      </c>
      <c r="G1605" s="68">
        <v>45098</v>
      </c>
      <c r="H1605" s="26" t="s">
        <v>1165</v>
      </c>
      <c r="I1605" s="68">
        <v>45098</v>
      </c>
      <c r="J1605" s="35" t="s">
        <v>1771</v>
      </c>
      <c r="K1605" s="21">
        <v>452795</v>
      </c>
      <c r="L1605" s="21"/>
      <c r="M1605" s="22">
        <f>(PROVEEDORES[[#This Row],[SUBTOTAL]]-PROVEEDORES[[#This Row],[descuento sobre subtotal]])*VLOOKUP(PROVEEDORES[[#This Row],[PROVEEDOR]],TERCEROS_INFO[#All],3,FALSE)</f>
        <v>0</v>
      </c>
      <c r="N1605" s="23"/>
      <c r="O1605" s="22">
        <f>+PROVEEDORES[[#This Row],[Descuento sobre subtotal %]]*(PROVEEDORES[[#This Row],[SUBTOTAL]]-PROVEEDORES[[#This Row],[descuento sobre subtotal]])</f>
        <v>0</v>
      </c>
      <c r="P1605" s="74">
        <f>+IF(PROVEEDORES[[#This Row],[SUBTOTAL]]&lt;PROVEEDORES[[#This Row],[base retencion]],0,PROVEEDORES[[#This Row],[retención aplicada]])</f>
        <v>0</v>
      </c>
      <c r="Q1605" s="22">
        <f>+PROVEEDORES[[#This Row],[Rete Fuente %]]*(PROVEEDORES[[#This Row],[SUBTOTAL]]-PROVEEDORES[[#This Row],[descuento sobre subtotal]])</f>
        <v>0</v>
      </c>
      <c r="R1605" s="21">
        <f>+PROVEEDORES[[#This Row],[SUBTOTAL]]+PROVEEDORES[[#This Row],[IVA 19%]]-PROVEEDORES[[#This Row],[descuento sobre subtotal]]-PROVEEDORES[[#This Row],[Descuento sobre subtotal $2]]-PROVEEDORES[[#This Row],[Rete Fuente $]]</f>
        <v>452795</v>
      </c>
      <c r="S16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5" s="63">
        <f ca="1">IF(PROVEEDORES[[#This Row],[FECHA DE PAGO]]=0,TODAY()-PROVEEDORES[[#This Row],[FECHA DE FACTURACIÓN]]-PROVEEDORES[[#This Row],[PLAZO Días]],0)</f>
        <v>0</v>
      </c>
      <c r="U1605" s="104">
        <f>+VLOOKUP(PROVEEDORES[[#This Row],[PROVEEDOR]],Terceros!$A:$D,4,FALSE)</f>
        <v>0</v>
      </c>
      <c r="V1605" s="105">
        <f>+YEAR(PROVEEDORES[[#This Row],[FECHA DE FACTURACIÓN]])</f>
        <v>2023</v>
      </c>
      <c r="W1605" s="105">
        <f>+MATCH(PROVEEDORES[[#This Row],[año facturado]],Retenciones!$1:$1,0)</f>
        <v>6</v>
      </c>
      <c r="X1605" s="106">
        <f>+VLOOKUP(PROVEEDORES[[#This Row],[ID RETENCION]],Retenciones!$A$1:$O$25,PROVEEDORES[[#This Row],[indicador de columna]],FALSE)</f>
        <v>0</v>
      </c>
      <c r="Y1605" s="107">
        <f>+VLOOKUP(PROVEEDORES[[#This Row],[ID RETENCION]],Retenciones!$A$1:$O$25,2,FALSE)</f>
        <v>0</v>
      </c>
      <c r="Z1605" s="116" t="b">
        <f>OR(COUNTIF(PROVEEDORES[[#This Row],[PROVEEDOR]],"*"&amp;'Palabra no opera'!$A$2&amp;"*"))</f>
        <v>0</v>
      </c>
    </row>
    <row r="1606" spans="1:26" ht="22.35" customHeight="1" x14ac:dyDescent="0.3">
      <c r="A1606" s="67" t="str">
        <f>+IF(PROVEEDORES[[#This Row],[FECHA DE PAGO]]=PROVEEDORES[[#This Row],[FECHA DE FACTURACIÓN]],"DE CONTADO","CRÉDITO")</f>
        <v>CRÉDITO</v>
      </c>
      <c r="B1606" s="38" t="str">
        <f>+IF((PROVEEDORES[[#This Row],[FECHA DE PAGO]]-PROVEEDORES[[#This Row],[FECHA DE FACTURACIÓN]])&gt;PROVEEDORES[[#This Row],[PLAZO Días]],"PAGO VENCIDO")</f>
        <v>PAGO VENCIDO</v>
      </c>
      <c r="C1606" s="20">
        <f>+VLOOKUP(PROVEEDORES[[#This Row],[PROVEEDOR]],TERCEROS_INFO[#All],2,FALSE)</f>
        <v>30</v>
      </c>
      <c r="D1606" s="25">
        <f>+SUMIFS(PROVEEDORES[Total],PROVEEDORES[PROVEEDOR],PROVEEDORES[[#This Row],[PROVEEDOR]],PROVEEDORES[FECHA DE PAGO],"")</f>
        <v>0</v>
      </c>
      <c r="E1606" s="25"/>
      <c r="F1606" s="56">
        <f>+VLOOKUP(PROVEEDORES[[#This Row],[PROVEEDOR]],
                       Terceros!$A:$F,
                       5,
                       FALSE)</f>
        <v>0</v>
      </c>
      <c r="G1606" s="68">
        <v>45098</v>
      </c>
      <c r="H1606" s="26" t="s">
        <v>413</v>
      </c>
      <c r="I1606" s="68">
        <v>45047</v>
      </c>
      <c r="J1606" s="35">
        <v>378</v>
      </c>
      <c r="K1606" s="21">
        <v>1512000</v>
      </c>
      <c r="L1606" s="21"/>
      <c r="M1606" s="22">
        <f>(PROVEEDORES[[#This Row],[SUBTOTAL]]-PROVEEDORES[[#This Row],[descuento sobre subtotal]])*VLOOKUP(PROVEEDORES[[#This Row],[PROVEEDOR]],TERCEROS_INFO[#All],3,FALSE)</f>
        <v>0</v>
      </c>
      <c r="N1606" s="23"/>
      <c r="O1606" s="22">
        <f>+PROVEEDORES[[#This Row],[Descuento sobre subtotal %]]*(PROVEEDORES[[#This Row],[SUBTOTAL]]-PROVEEDORES[[#This Row],[descuento sobre subtotal]])</f>
        <v>0</v>
      </c>
      <c r="P1606" s="74">
        <f>+IF(PROVEEDORES[[#This Row],[SUBTOTAL]]&lt;PROVEEDORES[[#This Row],[base retencion]],0,PROVEEDORES[[#This Row],[retención aplicada]])</f>
        <v>0</v>
      </c>
      <c r="Q1606" s="22">
        <f>+PROVEEDORES[[#This Row],[Rete Fuente %]]*(PROVEEDORES[[#This Row],[SUBTOTAL]]-PROVEEDORES[[#This Row],[descuento sobre subtotal]])</f>
        <v>0</v>
      </c>
      <c r="R1606" s="21">
        <f>+PROVEEDORES[[#This Row],[SUBTOTAL]]+PROVEEDORES[[#This Row],[IVA 19%]]-PROVEEDORES[[#This Row],[descuento sobre subtotal]]-PROVEEDORES[[#This Row],[Descuento sobre subtotal $2]]-PROVEEDORES[[#This Row],[Rete Fuente $]]</f>
        <v>1512000</v>
      </c>
      <c r="S16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6" s="63">
        <f ca="1">IF(PROVEEDORES[[#This Row],[FECHA DE PAGO]]=0,TODAY()-PROVEEDORES[[#This Row],[FECHA DE FACTURACIÓN]]-PROVEEDORES[[#This Row],[PLAZO Días]],0)</f>
        <v>0</v>
      </c>
      <c r="U1606" s="104">
        <f>+VLOOKUP(PROVEEDORES[[#This Row],[PROVEEDOR]],Terceros!$A:$D,4,FALSE)</f>
        <v>0</v>
      </c>
      <c r="V1606" s="105">
        <f>+YEAR(PROVEEDORES[[#This Row],[FECHA DE FACTURACIÓN]])</f>
        <v>2023</v>
      </c>
      <c r="W1606" s="105">
        <f>+MATCH(PROVEEDORES[[#This Row],[año facturado]],Retenciones!$1:$1,0)</f>
        <v>6</v>
      </c>
      <c r="X1606" s="106">
        <f>+VLOOKUP(PROVEEDORES[[#This Row],[ID RETENCION]],Retenciones!$A$1:$O$25,PROVEEDORES[[#This Row],[indicador de columna]],FALSE)</f>
        <v>0</v>
      </c>
      <c r="Y1606" s="107">
        <f>+VLOOKUP(PROVEEDORES[[#This Row],[ID RETENCION]],Retenciones!$A$1:$O$25,2,FALSE)</f>
        <v>0</v>
      </c>
      <c r="Z1606" s="116" t="b">
        <f>OR(COUNTIF(PROVEEDORES[[#This Row],[PROVEEDOR]],"*"&amp;'Palabra no opera'!$A$2&amp;"*"))</f>
        <v>0</v>
      </c>
    </row>
    <row r="1607" spans="1:26" ht="22.35" customHeight="1" x14ac:dyDescent="0.3">
      <c r="A1607" s="67" t="str">
        <f>+IF(PROVEEDORES[[#This Row],[FECHA DE PAGO]]=PROVEEDORES[[#This Row],[FECHA DE FACTURACIÓN]],"DE CONTADO","CRÉDITO")</f>
        <v>CRÉDITO</v>
      </c>
      <c r="B1607" s="38" t="b">
        <f>+IF((PROVEEDORES[[#This Row],[FECHA DE PAGO]]-PROVEEDORES[[#This Row],[FECHA DE FACTURACIÓN]])&gt;PROVEEDORES[[#This Row],[PLAZO Días]],"PAGO VENCIDO")</f>
        <v>0</v>
      </c>
      <c r="C1607" s="20">
        <f>+VLOOKUP(PROVEEDORES[[#This Row],[PROVEEDOR]],TERCEROS_INFO[#All],2,FALSE)</f>
        <v>30</v>
      </c>
      <c r="D1607" s="25">
        <f>+SUMIFS(PROVEEDORES[Total],PROVEEDORES[PROVEEDOR],PROVEEDORES[[#This Row],[PROVEEDOR]],PROVEEDORES[FECHA DE PAGO],"")</f>
        <v>0</v>
      </c>
      <c r="E1607" s="25"/>
      <c r="F1607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607" s="68">
        <v>45098</v>
      </c>
      <c r="H1607" s="26" t="s">
        <v>809</v>
      </c>
      <c r="I1607" s="68">
        <v>45077</v>
      </c>
      <c r="J1607" s="35">
        <v>2718</v>
      </c>
      <c r="K1607" s="21">
        <v>612000</v>
      </c>
      <c r="L1607" s="21"/>
      <c r="M1607" s="22">
        <f>(PROVEEDORES[[#This Row],[SUBTOTAL]]-PROVEEDORES[[#This Row],[descuento sobre subtotal]])*VLOOKUP(PROVEEDORES[[#This Row],[PROVEEDOR]],TERCEROS_INFO[#All],3,FALSE)</f>
        <v>116280</v>
      </c>
      <c r="N1607" s="23">
        <v>0.1</v>
      </c>
      <c r="O1607" s="22">
        <f>+PROVEEDORES[[#This Row],[Descuento sobre subtotal %]]*(PROVEEDORES[[#This Row],[SUBTOTAL]]-PROVEEDORES[[#This Row],[descuento sobre subtotal]])</f>
        <v>61200</v>
      </c>
      <c r="P1607" s="74">
        <f>+IF(PROVEEDORES[[#This Row],[SUBTOTAL]]&lt;PROVEEDORES[[#This Row],[base retencion]],0,PROVEEDORES[[#This Row],[retención aplicada]])</f>
        <v>0</v>
      </c>
      <c r="Q1607" s="22">
        <f>+PROVEEDORES[[#This Row],[Rete Fuente %]]*(PROVEEDORES[[#This Row],[SUBTOTAL]]-PROVEEDORES[[#This Row],[descuento sobre subtotal]])</f>
        <v>0</v>
      </c>
      <c r="R1607" s="21">
        <f>+PROVEEDORES[[#This Row],[SUBTOTAL]]+PROVEEDORES[[#This Row],[IVA 19%]]-PROVEEDORES[[#This Row],[descuento sobre subtotal]]-PROVEEDORES[[#This Row],[Descuento sobre subtotal $2]]-PROVEEDORES[[#This Row],[Rete Fuente $]]</f>
        <v>667080</v>
      </c>
      <c r="S16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7" s="63">
        <f ca="1">IF(PROVEEDORES[[#This Row],[FECHA DE PAGO]]=0,TODAY()-PROVEEDORES[[#This Row],[FECHA DE FACTURACIÓN]]-PROVEEDORES[[#This Row],[PLAZO Días]],0)</f>
        <v>0</v>
      </c>
      <c r="U1607" s="104" t="str">
        <f>+VLOOKUP(PROVEEDORES[[#This Row],[PROVEEDOR]],Terceros!$A:$D,4,FALSE)</f>
        <v>2,5% con base</v>
      </c>
      <c r="V1607" s="105">
        <f>+YEAR(PROVEEDORES[[#This Row],[FECHA DE FACTURACIÓN]])</f>
        <v>2023</v>
      </c>
      <c r="W1607" s="105">
        <f>+MATCH(PROVEEDORES[[#This Row],[año facturado]],Retenciones!$1:$1,0)</f>
        <v>6</v>
      </c>
      <c r="X1607" s="106">
        <f>+VLOOKUP(PROVEEDORES[[#This Row],[ID RETENCION]],Retenciones!$A$1:$O$25,PROVEEDORES[[#This Row],[indicador de columna]],FALSE)</f>
        <v>1145000</v>
      </c>
      <c r="Y1607" s="107">
        <f>+VLOOKUP(PROVEEDORES[[#This Row],[ID RETENCION]],Retenciones!$A$1:$O$25,2,FALSE)</f>
        <v>2.5000000000000001E-2</v>
      </c>
      <c r="Z1607" s="116" t="b">
        <f>OR(COUNTIF(PROVEEDORES[[#This Row],[PROVEEDOR]],"*"&amp;'Palabra no opera'!$A$2&amp;"*"))</f>
        <v>0</v>
      </c>
    </row>
    <row r="1608" spans="1:26" ht="22.35" customHeight="1" x14ac:dyDescent="0.3">
      <c r="A1608" s="67" t="str">
        <f>+IF(PROVEEDORES[[#This Row],[FECHA DE PAGO]]=PROVEEDORES[[#This Row],[FECHA DE FACTURACIÓN]],"DE CONTADO","CRÉDITO")</f>
        <v>DE CONTADO</v>
      </c>
      <c r="B1608" s="38" t="b">
        <f>+IF((PROVEEDORES[[#This Row],[FECHA DE PAGO]]-PROVEEDORES[[#This Row],[FECHA DE FACTURACIÓN]])&gt;PROVEEDORES[[#This Row],[PLAZO Días]],"PAGO VENCIDO")</f>
        <v>0</v>
      </c>
      <c r="C1608" s="20">
        <f>+VLOOKUP(PROVEEDORES[[#This Row],[PROVEEDOR]],TERCEROS_INFO[#All],2,FALSE)</f>
        <v>30</v>
      </c>
      <c r="D1608" s="25">
        <f>+SUMIFS(PROVEEDORES[Total],PROVEEDORES[PROVEEDOR],PROVEEDORES[[#This Row],[PROVEEDOR]],PROVEEDORES[FECHA DE PAGO],"")</f>
        <v>0</v>
      </c>
      <c r="E1608" s="25"/>
      <c r="F160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608" s="68">
        <v>45098</v>
      </c>
      <c r="H1608" s="26" t="s">
        <v>227</v>
      </c>
      <c r="I1608" s="68">
        <v>45098</v>
      </c>
      <c r="J1608" s="35" t="s">
        <v>1738</v>
      </c>
      <c r="K1608" s="21">
        <v>1632000</v>
      </c>
      <c r="L1608" s="21"/>
      <c r="M1608" s="22">
        <f>(PROVEEDORES[[#This Row],[SUBTOTAL]]-PROVEEDORES[[#This Row],[descuento sobre subtotal]])*VLOOKUP(PROVEEDORES[[#This Row],[PROVEEDOR]],TERCEROS_INFO[#All],3,FALSE)</f>
        <v>0</v>
      </c>
      <c r="N1608" s="23"/>
      <c r="O1608" s="22">
        <f>+PROVEEDORES[[#This Row],[Descuento sobre subtotal %]]*(PROVEEDORES[[#This Row],[SUBTOTAL]]-PROVEEDORES[[#This Row],[descuento sobre subtotal]])</f>
        <v>0</v>
      </c>
      <c r="P1608" s="74">
        <f>+IF(PROVEEDORES[[#This Row],[SUBTOTAL]]&lt;PROVEEDORES[[#This Row],[base retencion]],0,PROVEEDORES[[#This Row],[retención aplicada]])</f>
        <v>0</v>
      </c>
      <c r="Q1608" s="22">
        <f>+PROVEEDORES[[#This Row],[Rete Fuente %]]*(PROVEEDORES[[#This Row],[SUBTOTAL]]-PROVEEDORES[[#This Row],[descuento sobre subtotal]])</f>
        <v>0</v>
      </c>
      <c r="R1608" s="21">
        <f>+PROVEEDORES[[#This Row],[SUBTOTAL]]+PROVEEDORES[[#This Row],[IVA 19%]]-PROVEEDORES[[#This Row],[descuento sobre subtotal]]-PROVEEDORES[[#This Row],[Descuento sobre subtotal $2]]-PROVEEDORES[[#This Row],[Rete Fuente $]]</f>
        <v>1632000</v>
      </c>
      <c r="S16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8" s="63">
        <f ca="1">IF(PROVEEDORES[[#This Row],[FECHA DE PAGO]]=0,TODAY()-PROVEEDORES[[#This Row],[FECHA DE FACTURACIÓN]]-PROVEEDORES[[#This Row],[PLAZO Días]],0)</f>
        <v>0</v>
      </c>
      <c r="U1608" s="104">
        <f>+VLOOKUP(PROVEEDORES[[#This Row],[PROVEEDOR]],Terceros!$A:$D,4,FALSE)</f>
        <v>0</v>
      </c>
      <c r="V1608" s="105">
        <f>+YEAR(PROVEEDORES[[#This Row],[FECHA DE FACTURACIÓN]])</f>
        <v>2023</v>
      </c>
      <c r="W1608" s="105">
        <f>+MATCH(PROVEEDORES[[#This Row],[año facturado]],Retenciones!$1:$1,0)</f>
        <v>6</v>
      </c>
      <c r="X1608" s="106">
        <f>+VLOOKUP(PROVEEDORES[[#This Row],[ID RETENCION]],Retenciones!$A$1:$O$25,PROVEEDORES[[#This Row],[indicador de columna]],FALSE)</f>
        <v>0</v>
      </c>
      <c r="Y1608" s="107">
        <f>+VLOOKUP(PROVEEDORES[[#This Row],[ID RETENCION]],Retenciones!$A$1:$O$25,2,FALSE)</f>
        <v>0</v>
      </c>
      <c r="Z1608" s="116" t="b">
        <f>OR(COUNTIF(PROVEEDORES[[#This Row],[PROVEEDOR]],"*"&amp;'Palabra no opera'!$A$2&amp;"*"))</f>
        <v>0</v>
      </c>
    </row>
    <row r="1609" spans="1:26" ht="22.35" customHeight="1" x14ac:dyDescent="0.3">
      <c r="A1609" s="67" t="str">
        <f>+IF(PROVEEDORES[[#This Row],[FECHA DE PAGO]]=PROVEEDORES[[#This Row],[FECHA DE FACTURACIÓN]],"DE CONTADO","CRÉDITO")</f>
        <v>CRÉDITO</v>
      </c>
      <c r="B1609" s="38" t="str">
        <f>+IF((PROVEEDORES[[#This Row],[FECHA DE PAGO]]-PROVEEDORES[[#This Row],[FECHA DE FACTURACIÓN]])&gt;PROVEEDORES[[#This Row],[PLAZO Días]],"PAGO VENCIDO")</f>
        <v>PAGO VENCIDO</v>
      </c>
      <c r="C1609" s="20">
        <f>+VLOOKUP(PROVEEDORES[[#This Row],[PROVEEDOR]],TERCEROS_INFO[#All],2,FALSE)</f>
        <v>30</v>
      </c>
      <c r="D1609" s="25">
        <f>+SUMIFS(PROVEEDORES[Total],PROVEEDORES[PROVEEDOR],PROVEEDORES[[#This Row],[PROVEEDOR]],PROVEEDORES[FECHA DE PAGO],"")</f>
        <v>12030261.305</v>
      </c>
      <c r="E1609" s="25"/>
      <c r="F1609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609" s="68">
        <v>45099</v>
      </c>
      <c r="H1609" s="26" t="s">
        <v>12</v>
      </c>
      <c r="I1609" s="68">
        <v>45008</v>
      </c>
      <c r="J1609" s="35" t="s">
        <v>1599</v>
      </c>
      <c r="K1609" s="21">
        <v>537815</v>
      </c>
      <c r="L1609" s="21"/>
      <c r="M1609" s="22">
        <f>(PROVEEDORES[[#This Row],[SUBTOTAL]]-PROVEEDORES[[#This Row],[descuento sobre subtotal]])*VLOOKUP(PROVEEDORES[[#This Row],[PROVEEDOR]],TERCEROS_INFO[#All],3,FALSE)</f>
        <v>102184.85</v>
      </c>
      <c r="N1609" s="23"/>
      <c r="O1609" s="22">
        <f>+PROVEEDORES[[#This Row],[Descuento sobre subtotal %]]*(PROVEEDORES[[#This Row],[SUBTOTAL]]-PROVEEDORES[[#This Row],[descuento sobre subtotal]])</f>
        <v>0</v>
      </c>
      <c r="P1609" s="74">
        <f>+IF(PROVEEDORES[[#This Row],[SUBTOTAL]]&lt;PROVEEDORES[[#This Row],[base retencion]],0,PROVEEDORES[[#This Row],[retención aplicada]])</f>
        <v>0</v>
      </c>
      <c r="Q1609" s="22">
        <f>+PROVEEDORES[[#This Row],[Rete Fuente %]]*(PROVEEDORES[[#This Row],[SUBTOTAL]]-PROVEEDORES[[#This Row],[descuento sobre subtotal]])</f>
        <v>0</v>
      </c>
      <c r="R1609" s="21">
        <f>+PROVEEDORES[[#This Row],[SUBTOTAL]]+PROVEEDORES[[#This Row],[IVA 19%]]-PROVEEDORES[[#This Row],[descuento sobre subtotal]]-PROVEEDORES[[#This Row],[Descuento sobre subtotal $2]]-PROVEEDORES[[#This Row],[Rete Fuente $]]</f>
        <v>639999.85</v>
      </c>
      <c r="S16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9" s="63">
        <f ca="1">IF(PROVEEDORES[[#This Row],[FECHA DE PAGO]]=0,TODAY()-PROVEEDORES[[#This Row],[FECHA DE FACTURACIÓN]]-PROVEEDORES[[#This Row],[PLAZO Días]],0)</f>
        <v>0</v>
      </c>
      <c r="U1609" s="104" t="str">
        <f>+VLOOKUP(PROVEEDORES[[#This Row],[PROVEEDOR]],Terceros!$A:$D,4,FALSE)</f>
        <v>2,5% con base</v>
      </c>
      <c r="V1609" s="105">
        <f>+YEAR(PROVEEDORES[[#This Row],[FECHA DE FACTURACIÓN]])</f>
        <v>2023</v>
      </c>
      <c r="W1609" s="105">
        <f>+MATCH(PROVEEDORES[[#This Row],[año facturado]],Retenciones!$1:$1,0)</f>
        <v>6</v>
      </c>
      <c r="X1609" s="106">
        <f>+VLOOKUP(PROVEEDORES[[#This Row],[ID RETENCION]],Retenciones!$A$1:$O$25,PROVEEDORES[[#This Row],[indicador de columna]],FALSE)</f>
        <v>1145000</v>
      </c>
      <c r="Y1609" s="107">
        <f>+VLOOKUP(PROVEEDORES[[#This Row],[ID RETENCION]],Retenciones!$A$1:$O$25,2,FALSE)</f>
        <v>2.5000000000000001E-2</v>
      </c>
      <c r="Z1609" s="116" t="b">
        <f>OR(COUNTIF(PROVEEDORES[[#This Row],[PROVEEDOR]],"*"&amp;'Palabra no opera'!$A$2&amp;"*"))</f>
        <v>0</v>
      </c>
    </row>
    <row r="1610" spans="1:26" ht="22.35" customHeight="1" x14ac:dyDescent="0.3">
      <c r="A1610" s="67" t="str">
        <f>+IF(PROVEEDORES[[#This Row],[FECHA DE PAGO]]=PROVEEDORES[[#This Row],[FECHA DE FACTURACIÓN]],"DE CONTADO","CRÉDITO")</f>
        <v>CRÉDITO</v>
      </c>
      <c r="B1610" s="38" t="str">
        <f>+IF((PROVEEDORES[[#This Row],[FECHA DE PAGO]]-PROVEEDORES[[#This Row],[FECHA DE FACTURACIÓN]])&gt;PROVEEDORES[[#This Row],[PLAZO Días]],"PAGO VENCIDO")</f>
        <v>PAGO VENCIDO</v>
      </c>
      <c r="C1610" s="20">
        <f>+VLOOKUP(PROVEEDORES[[#This Row],[PROVEEDOR]],TERCEROS_INFO[#All],2,FALSE)</f>
        <v>30</v>
      </c>
      <c r="D1610" s="25">
        <f>+SUMIFS(PROVEEDORES[Total],PROVEEDORES[PROVEEDOR],PROVEEDORES[[#This Row],[PROVEEDOR]],PROVEEDORES[FECHA DE PAGO],"")</f>
        <v>12030261.305</v>
      </c>
      <c r="E1610" s="25"/>
      <c r="F1610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610" s="68">
        <v>45099</v>
      </c>
      <c r="H1610" s="26" t="s">
        <v>12</v>
      </c>
      <c r="I1610" s="68">
        <v>45030</v>
      </c>
      <c r="J1610" s="35" t="s">
        <v>1605</v>
      </c>
      <c r="K1610" s="21">
        <v>10529411</v>
      </c>
      <c r="L1610" s="21"/>
      <c r="M1610" s="22">
        <f>(PROVEEDORES[[#This Row],[SUBTOTAL]]-PROVEEDORES[[#This Row],[descuento sobre subtotal]])*VLOOKUP(PROVEEDORES[[#This Row],[PROVEEDOR]],TERCEROS_INFO[#All],3,FALSE)</f>
        <v>2000588.09</v>
      </c>
      <c r="N1610" s="23"/>
      <c r="O1610" s="22">
        <f>+PROVEEDORES[[#This Row],[Descuento sobre subtotal %]]*(PROVEEDORES[[#This Row],[SUBTOTAL]]-PROVEEDORES[[#This Row],[descuento sobre subtotal]])</f>
        <v>0</v>
      </c>
      <c r="P1610" s="74">
        <f>+IF(PROVEEDORES[[#This Row],[SUBTOTAL]]&lt;PROVEEDORES[[#This Row],[base retencion]],0,PROVEEDORES[[#This Row],[retención aplicada]])</f>
        <v>2.5000000000000001E-2</v>
      </c>
      <c r="Q1610" s="22">
        <f>+PROVEEDORES[[#This Row],[Rete Fuente %]]*(PROVEEDORES[[#This Row],[SUBTOTAL]]-PROVEEDORES[[#This Row],[descuento sobre subtotal]])</f>
        <v>263235.27500000002</v>
      </c>
      <c r="R1610" s="21">
        <f>+PROVEEDORES[[#This Row],[SUBTOTAL]]+PROVEEDORES[[#This Row],[IVA 19%]]-PROVEEDORES[[#This Row],[descuento sobre subtotal]]-PROVEEDORES[[#This Row],[Descuento sobre subtotal $2]]-PROVEEDORES[[#This Row],[Rete Fuente $]]</f>
        <v>12266763.814999999</v>
      </c>
      <c r="S16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0" s="63">
        <f ca="1">IF(PROVEEDORES[[#This Row],[FECHA DE PAGO]]=0,TODAY()-PROVEEDORES[[#This Row],[FECHA DE FACTURACIÓN]]-PROVEEDORES[[#This Row],[PLAZO Días]],0)</f>
        <v>0</v>
      </c>
      <c r="U1610" s="104" t="str">
        <f>+VLOOKUP(PROVEEDORES[[#This Row],[PROVEEDOR]],Terceros!$A:$D,4,FALSE)</f>
        <v>2,5% con base</v>
      </c>
      <c r="V1610" s="105">
        <f>+YEAR(PROVEEDORES[[#This Row],[FECHA DE FACTURACIÓN]])</f>
        <v>2023</v>
      </c>
      <c r="W1610" s="105">
        <f>+MATCH(PROVEEDORES[[#This Row],[año facturado]],Retenciones!$1:$1,0)</f>
        <v>6</v>
      </c>
      <c r="X1610" s="106">
        <f>+VLOOKUP(PROVEEDORES[[#This Row],[ID RETENCION]],Retenciones!$A$1:$O$25,PROVEEDORES[[#This Row],[indicador de columna]],FALSE)</f>
        <v>1145000</v>
      </c>
      <c r="Y1610" s="107">
        <f>+VLOOKUP(PROVEEDORES[[#This Row],[ID RETENCION]],Retenciones!$A$1:$O$25,2,FALSE)</f>
        <v>2.5000000000000001E-2</v>
      </c>
      <c r="Z1610" s="116" t="b">
        <f>OR(COUNTIF(PROVEEDORES[[#This Row],[PROVEEDOR]],"*"&amp;'Palabra no opera'!$A$2&amp;"*"))</f>
        <v>0</v>
      </c>
    </row>
    <row r="1611" spans="1:26" ht="22.35" customHeight="1" x14ac:dyDescent="0.3">
      <c r="A1611" s="67" t="str">
        <f>+IF(PROVEEDORES[[#This Row],[FECHA DE PAGO]]=PROVEEDORES[[#This Row],[FECHA DE FACTURACIÓN]],"DE CONTADO","CRÉDITO")</f>
        <v>CRÉDITO</v>
      </c>
      <c r="B1611" s="38" t="str">
        <f>+IF((PROVEEDORES[[#This Row],[FECHA DE PAGO]]-PROVEEDORES[[#This Row],[FECHA DE FACTURACIÓN]])&gt;PROVEEDORES[[#This Row],[PLAZO Días]],"PAGO VENCIDO")</f>
        <v>PAGO VENCIDO</v>
      </c>
      <c r="C1611" s="20">
        <f>+VLOOKUP(PROVEEDORES[[#This Row],[PROVEEDOR]],TERCEROS_INFO[#All],2,FALSE)</f>
        <v>30</v>
      </c>
      <c r="D1611" s="25">
        <f>+SUMIFS(PROVEEDORES[Total],PROVEEDORES[PROVEEDOR],PROVEEDORES[[#This Row],[PROVEEDOR]],PROVEEDORES[FECHA DE PAGO],"")</f>
        <v>0</v>
      </c>
      <c r="E1611" s="25"/>
      <c r="F1611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11" s="68">
        <v>45099</v>
      </c>
      <c r="H1611" s="26" t="s">
        <v>964</v>
      </c>
      <c r="I1611" s="68">
        <v>45058</v>
      </c>
      <c r="J1611" s="35" t="s">
        <v>1686</v>
      </c>
      <c r="K1611" s="21">
        <v>2352000</v>
      </c>
      <c r="L1611" s="21"/>
      <c r="M1611" s="22">
        <f>(PROVEEDORES[[#This Row],[SUBTOTAL]]-PROVEEDORES[[#This Row],[descuento sobre subtotal]])*VLOOKUP(PROVEEDORES[[#This Row],[PROVEEDOR]],TERCEROS_INFO[#All],3,FALSE)</f>
        <v>446880</v>
      </c>
      <c r="N1611" s="23"/>
      <c r="O1611" s="22">
        <f>+PROVEEDORES[[#This Row],[Descuento sobre subtotal %]]*(PROVEEDORES[[#This Row],[SUBTOTAL]]-PROVEEDORES[[#This Row],[descuento sobre subtotal]])</f>
        <v>0</v>
      </c>
      <c r="P1611" s="74">
        <f>+IF(PROVEEDORES[[#This Row],[SUBTOTAL]]&lt;PROVEEDORES[[#This Row],[base retencion]],0,PROVEEDORES[[#This Row],[retención aplicada]])</f>
        <v>0</v>
      </c>
      <c r="Q1611" s="22">
        <f>+PROVEEDORES[[#This Row],[Rete Fuente %]]*(PROVEEDORES[[#This Row],[SUBTOTAL]]-PROVEEDORES[[#This Row],[descuento sobre subtotal]])</f>
        <v>0</v>
      </c>
      <c r="R1611" s="21">
        <f>+PROVEEDORES[[#This Row],[SUBTOTAL]]+PROVEEDORES[[#This Row],[IVA 19%]]-PROVEEDORES[[#This Row],[descuento sobre subtotal]]-PROVEEDORES[[#This Row],[Descuento sobre subtotal $2]]-PROVEEDORES[[#This Row],[Rete Fuente $]]</f>
        <v>2798880</v>
      </c>
      <c r="S16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1" s="63">
        <f ca="1">IF(PROVEEDORES[[#This Row],[FECHA DE PAGO]]=0,TODAY()-PROVEEDORES[[#This Row],[FECHA DE FACTURACIÓN]]-PROVEEDORES[[#This Row],[PLAZO Días]],0)</f>
        <v>0</v>
      </c>
      <c r="U1611" s="104">
        <f>+VLOOKUP(PROVEEDORES[[#This Row],[PROVEEDOR]],Terceros!$A:$D,4,FALSE)</f>
        <v>0</v>
      </c>
      <c r="V1611" s="105">
        <f>+YEAR(PROVEEDORES[[#This Row],[FECHA DE FACTURACIÓN]])</f>
        <v>2023</v>
      </c>
      <c r="W1611" s="105">
        <f>+MATCH(PROVEEDORES[[#This Row],[año facturado]],Retenciones!$1:$1,0)</f>
        <v>6</v>
      </c>
      <c r="X1611" s="106">
        <f>+VLOOKUP(PROVEEDORES[[#This Row],[ID RETENCION]],Retenciones!$A$1:$O$25,PROVEEDORES[[#This Row],[indicador de columna]],FALSE)</f>
        <v>0</v>
      </c>
      <c r="Y1611" s="107">
        <f>+VLOOKUP(PROVEEDORES[[#This Row],[ID RETENCION]],Retenciones!$A$1:$O$25,2,FALSE)</f>
        <v>0</v>
      </c>
      <c r="Z1611" s="116" t="b">
        <f>OR(COUNTIF(PROVEEDORES[[#This Row],[PROVEEDOR]],"*"&amp;'Palabra no opera'!$A$2&amp;"*"))</f>
        <v>0</v>
      </c>
    </row>
    <row r="1612" spans="1:26" ht="22.35" customHeight="1" x14ac:dyDescent="0.3">
      <c r="A1612" s="67" t="str">
        <f>+IF(PROVEEDORES[[#This Row],[FECHA DE PAGO]]=PROVEEDORES[[#This Row],[FECHA DE FACTURACIÓN]],"DE CONTADO","CRÉDITO")</f>
        <v>CRÉDITO</v>
      </c>
      <c r="B1612" s="38" t="str">
        <f>+IF((PROVEEDORES[[#This Row],[FECHA DE PAGO]]-PROVEEDORES[[#This Row],[FECHA DE FACTURACIÓN]])&gt;PROVEEDORES[[#This Row],[PLAZO Días]],"PAGO VENCIDO")</f>
        <v>PAGO VENCIDO</v>
      </c>
      <c r="C1612" s="20">
        <f>+VLOOKUP(PROVEEDORES[[#This Row],[PROVEEDOR]],TERCEROS_INFO[#All],2,FALSE)</f>
        <v>30</v>
      </c>
      <c r="D1612" s="25">
        <f>+SUMIFS(PROVEEDORES[Total],PROVEEDORES[PROVEEDOR],PROVEEDORES[[#This Row],[PROVEEDOR]],PROVEEDORES[FECHA DE PAGO],"")</f>
        <v>1125118.8199999998</v>
      </c>
      <c r="E1612" s="25"/>
      <c r="F1612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612" s="68">
        <v>45099</v>
      </c>
      <c r="H1612" s="26" t="s">
        <v>279</v>
      </c>
      <c r="I1612" s="68">
        <v>45055</v>
      </c>
      <c r="J1612" s="35" t="s">
        <v>1682</v>
      </c>
      <c r="K1612" s="21">
        <v>709916</v>
      </c>
      <c r="L1612" s="21"/>
      <c r="M1612" s="22">
        <f>(PROVEEDORES[[#This Row],[SUBTOTAL]]-PROVEEDORES[[#This Row],[descuento sobre subtotal]])*VLOOKUP(PROVEEDORES[[#This Row],[PROVEEDOR]],TERCEROS_INFO[#All],3,FALSE)</f>
        <v>134884.04</v>
      </c>
      <c r="N1612" s="23"/>
      <c r="O1612" s="22">
        <f>+PROVEEDORES[[#This Row],[Descuento sobre subtotal %]]*(PROVEEDORES[[#This Row],[SUBTOTAL]]-PROVEEDORES[[#This Row],[descuento sobre subtotal]])</f>
        <v>0</v>
      </c>
      <c r="P1612" s="74">
        <f>+IF(PROVEEDORES[[#This Row],[SUBTOTAL]]&lt;PROVEEDORES[[#This Row],[base retencion]],0,PROVEEDORES[[#This Row],[retención aplicada]])</f>
        <v>0</v>
      </c>
      <c r="Q1612" s="22">
        <f>+PROVEEDORES[[#This Row],[Rete Fuente %]]*(PROVEEDORES[[#This Row],[SUBTOTAL]]-PROVEEDORES[[#This Row],[descuento sobre subtotal]])</f>
        <v>0</v>
      </c>
      <c r="R1612" s="21">
        <f>+PROVEEDORES[[#This Row],[SUBTOTAL]]+PROVEEDORES[[#This Row],[IVA 19%]]-PROVEEDORES[[#This Row],[descuento sobre subtotal]]-PROVEEDORES[[#This Row],[Descuento sobre subtotal $2]]-PROVEEDORES[[#This Row],[Rete Fuente $]]</f>
        <v>844800.04</v>
      </c>
      <c r="S16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2" s="63">
        <f ca="1">IF(PROVEEDORES[[#This Row],[FECHA DE PAGO]]=0,TODAY()-PROVEEDORES[[#This Row],[FECHA DE FACTURACIÓN]]-PROVEEDORES[[#This Row],[PLAZO Días]],0)</f>
        <v>0</v>
      </c>
      <c r="U1612" s="104" t="str">
        <f>+VLOOKUP(PROVEEDORES[[#This Row],[PROVEEDOR]],Terceros!$A:$D,4,FALSE)</f>
        <v>2,5% con base</v>
      </c>
      <c r="V1612" s="105">
        <f>+YEAR(PROVEEDORES[[#This Row],[FECHA DE FACTURACIÓN]])</f>
        <v>2023</v>
      </c>
      <c r="W1612" s="105">
        <f>+MATCH(PROVEEDORES[[#This Row],[año facturado]],Retenciones!$1:$1,0)</f>
        <v>6</v>
      </c>
      <c r="X1612" s="106">
        <f>+VLOOKUP(PROVEEDORES[[#This Row],[ID RETENCION]],Retenciones!$A$1:$O$25,PROVEEDORES[[#This Row],[indicador de columna]],FALSE)</f>
        <v>1145000</v>
      </c>
      <c r="Y1612" s="107">
        <f>+VLOOKUP(PROVEEDORES[[#This Row],[ID RETENCION]],Retenciones!$A$1:$O$25,2,FALSE)</f>
        <v>2.5000000000000001E-2</v>
      </c>
      <c r="Z1612" s="116" t="b">
        <f>OR(COUNTIF(PROVEEDORES[[#This Row],[PROVEEDOR]],"*"&amp;'Palabra no opera'!$A$2&amp;"*"))</f>
        <v>0</v>
      </c>
    </row>
    <row r="1613" spans="1:26" ht="22.35" customHeight="1" x14ac:dyDescent="0.3">
      <c r="A1613" s="67" t="str">
        <f>+IF(PROVEEDORES[[#This Row],[FECHA DE PAGO]]=PROVEEDORES[[#This Row],[FECHA DE FACTURACIÓN]],"DE CONTADO","CRÉDITO")</f>
        <v>CRÉDITO</v>
      </c>
      <c r="B1613" s="38" t="b">
        <f>+IF((PROVEEDORES[[#This Row],[FECHA DE PAGO]]-PROVEEDORES[[#This Row],[FECHA DE FACTURACIÓN]])&gt;PROVEEDORES[[#This Row],[PLAZO Días]],"PAGO VENCIDO")</f>
        <v>0</v>
      </c>
      <c r="C1613" s="20">
        <f>+VLOOKUP(PROVEEDORES[[#This Row],[PROVEEDOR]],TERCEROS_INFO[#All],2,FALSE)</f>
        <v>30</v>
      </c>
      <c r="D1613" s="25">
        <f>+SUMIFS(PROVEEDORES[Total],PROVEEDORES[PROVEEDOR],PROVEEDORES[[#This Row],[PROVEEDOR]],PROVEEDORES[FECHA DE PAGO],"")</f>
        <v>0</v>
      </c>
      <c r="E1613" s="25"/>
      <c r="F1613" s="56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613" s="68">
        <v>45099</v>
      </c>
      <c r="H1613" s="26" t="s">
        <v>640</v>
      </c>
      <c r="I1613" s="68">
        <v>45097</v>
      </c>
      <c r="J1613" s="35">
        <v>254</v>
      </c>
      <c r="K1613" s="21">
        <v>540000</v>
      </c>
      <c r="L1613" s="21"/>
      <c r="M1613" s="22">
        <f>(PROVEEDORES[[#This Row],[SUBTOTAL]]-PROVEEDORES[[#This Row],[descuento sobre subtotal]])*VLOOKUP(PROVEEDORES[[#This Row],[PROVEEDOR]],TERCEROS_INFO[#All],3,FALSE)</f>
        <v>0</v>
      </c>
      <c r="N1613" s="23"/>
      <c r="O1613" s="22">
        <f>+PROVEEDORES[[#This Row],[Descuento sobre subtotal %]]*(PROVEEDORES[[#This Row],[SUBTOTAL]]-PROVEEDORES[[#This Row],[descuento sobre subtotal]])</f>
        <v>0</v>
      </c>
      <c r="P1613" s="74">
        <f>+IF(PROVEEDORES[[#This Row],[SUBTOTAL]]&lt;PROVEEDORES[[#This Row],[base retencion]],0,PROVEEDORES[[#This Row],[retención aplicada]])</f>
        <v>3.5000000000000003E-2</v>
      </c>
      <c r="Q1613" s="22">
        <f>+PROVEEDORES[[#This Row],[Rete Fuente %]]*(PROVEEDORES[[#This Row],[SUBTOTAL]]-PROVEEDORES[[#This Row],[descuento sobre subtotal]])</f>
        <v>18900</v>
      </c>
      <c r="R1613" s="21">
        <f>+PROVEEDORES[[#This Row],[SUBTOTAL]]+PROVEEDORES[[#This Row],[IVA 19%]]-PROVEEDORES[[#This Row],[descuento sobre subtotal]]-PROVEEDORES[[#This Row],[Descuento sobre subtotal $2]]-PROVEEDORES[[#This Row],[Rete Fuente $]]</f>
        <v>521100</v>
      </c>
      <c r="S16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3" s="63">
        <f ca="1">IF(PROVEEDORES[[#This Row],[FECHA DE PAGO]]=0,TODAY()-PROVEEDORES[[#This Row],[FECHA DE FACTURACIÓN]]-PROVEEDORES[[#This Row],[PLAZO Días]],0)</f>
        <v>0</v>
      </c>
      <c r="U1613" s="104" t="str">
        <f>+VLOOKUP(PROVEEDORES[[#This Row],[PROVEEDOR]],Terceros!$A:$D,4,FALSE)</f>
        <v>3,5% sin base</v>
      </c>
      <c r="V1613" s="105">
        <f>+YEAR(PROVEEDORES[[#This Row],[FECHA DE FACTURACIÓN]])</f>
        <v>2023</v>
      </c>
      <c r="W1613" s="105">
        <f>+MATCH(PROVEEDORES[[#This Row],[año facturado]],Retenciones!$1:$1,0)</f>
        <v>6</v>
      </c>
      <c r="X1613" s="106">
        <f>+VLOOKUP(PROVEEDORES[[#This Row],[ID RETENCION]],Retenciones!$A$1:$O$25,PROVEEDORES[[#This Row],[indicador de columna]],FALSE)</f>
        <v>0</v>
      </c>
      <c r="Y1613" s="107">
        <f>+VLOOKUP(PROVEEDORES[[#This Row],[ID RETENCION]],Retenciones!$A$1:$O$25,2,FALSE)</f>
        <v>3.5000000000000003E-2</v>
      </c>
      <c r="Z1613" s="116" t="b">
        <f>OR(COUNTIF(PROVEEDORES[[#This Row],[PROVEEDOR]],"*"&amp;'Palabra no opera'!$A$2&amp;"*"))</f>
        <v>1</v>
      </c>
    </row>
    <row r="1614" spans="1:26" ht="22.35" customHeight="1" x14ac:dyDescent="0.3">
      <c r="A1614" s="322" t="str">
        <f>+IF(PROVEEDORES[[#This Row],[FECHA DE PAGO]]=PROVEEDORES[[#This Row],[FECHA DE FACTURACIÓN]],"DE CONTADO","CRÉDITO")</f>
        <v>CRÉDITO</v>
      </c>
      <c r="B1614" s="38" t="b">
        <f>+IF((PROVEEDORES[[#This Row],[FECHA DE PAGO]]-PROVEEDORES[[#This Row],[FECHA DE FACTURACIÓN]])&gt;PROVEEDORES[[#This Row],[PLAZO Días]],"PAGO VENCIDO")</f>
        <v>0</v>
      </c>
      <c r="C1614" s="20">
        <f>+VLOOKUP(PROVEEDORES[[#This Row],[PROVEEDOR]],TERCEROS_INFO[#All],2,FALSE)</f>
        <v>30</v>
      </c>
      <c r="D1614" s="25">
        <f>+SUMIFS(PROVEEDORES[Total],PROVEEDORES[PROVEEDOR],PROVEEDORES[[#This Row],[PROVEEDOR]],PROVEEDORES[FECHA DE PAGO],"")</f>
        <v>0</v>
      </c>
      <c r="E1614" s="25"/>
      <c r="F1614" s="56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1614" s="68">
        <v>45100</v>
      </c>
      <c r="H1614" s="26" t="s">
        <v>814</v>
      </c>
      <c r="I1614" s="68">
        <v>45098</v>
      </c>
      <c r="J1614" s="35">
        <v>21244</v>
      </c>
      <c r="K1614" s="21">
        <v>436800</v>
      </c>
      <c r="L1614" s="21"/>
      <c r="M1614" s="22">
        <f>(PROVEEDORES[[#This Row],[SUBTOTAL]]-PROVEEDORES[[#This Row],[descuento sobre subtotal]])*VLOOKUP(PROVEEDORES[[#This Row],[PROVEEDOR]],TERCEROS_INFO[#All],3,FALSE)</f>
        <v>82992</v>
      </c>
      <c r="N1614" s="23"/>
      <c r="O1614" s="22">
        <f>+PROVEEDORES[[#This Row],[Descuento sobre subtotal %]]*(PROVEEDORES[[#This Row],[SUBTOTAL]]-PROVEEDORES[[#This Row],[descuento sobre subtotal]])</f>
        <v>0</v>
      </c>
      <c r="P1614" s="74">
        <f>+IF(PROVEEDORES[[#This Row],[SUBTOTAL]]&lt;PROVEEDORES[[#This Row],[base retencion]],0,PROVEEDORES[[#This Row],[retención aplicada]])</f>
        <v>0</v>
      </c>
      <c r="Q1614" s="22">
        <f>+PROVEEDORES[[#This Row],[Rete Fuente %]]*(PROVEEDORES[[#This Row],[SUBTOTAL]]-PROVEEDORES[[#This Row],[descuento sobre subtotal]])</f>
        <v>0</v>
      </c>
      <c r="R1614" s="21">
        <f>+PROVEEDORES[[#This Row],[SUBTOTAL]]+PROVEEDORES[[#This Row],[IVA 19%]]-PROVEEDORES[[#This Row],[descuento sobre subtotal]]-PROVEEDORES[[#This Row],[Descuento sobre subtotal $2]]-PROVEEDORES[[#This Row],[Rete Fuente $]]</f>
        <v>519792</v>
      </c>
      <c r="S1614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4" s="63">
        <f ca="1">IF(PROVEEDORES[[#This Row],[FECHA DE PAGO]]=0,TODAY()-PROVEEDORES[[#This Row],[FECHA DE FACTURACIÓN]]-PROVEEDORES[[#This Row],[PLAZO Días]],0)</f>
        <v>0</v>
      </c>
      <c r="U1614" s="104">
        <f>+VLOOKUP(PROVEEDORES[[#This Row],[PROVEEDOR]],Terceros!$A:$D,4,FALSE)</f>
        <v>0</v>
      </c>
      <c r="V1614" s="105">
        <f>+YEAR(PROVEEDORES[[#This Row],[FECHA DE FACTURACIÓN]])</f>
        <v>2023</v>
      </c>
      <c r="W1614" s="105">
        <f>+MATCH(PROVEEDORES[[#This Row],[año facturado]],Retenciones!$1:$1,0)</f>
        <v>6</v>
      </c>
      <c r="X1614" s="106">
        <f>+VLOOKUP(PROVEEDORES[[#This Row],[ID RETENCION]],Retenciones!$A$1:$O$25,PROVEEDORES[[#This Row],[indicador de columna]],FALSE)</f>
        <v>0</v>
      </c>
      <c r="Y1614" s="107">
        <f>+VLOOKUP(PROVEEDORES[[#This Row],[ID RETENCION]],Retenciones!$A$1:$O$25,2,FALSE)</f>
        <v>0</v>
      </c>
      <c r="Z1614" s="116" t="b">
        <f>OR(COUNTIF(PROVEEDORES[[#This Row],[PROVEEDOR]],"*"&amp;'Palabra no opera'!$A$2&amp;"*"))</f>
        <v>1</v>
      </c>
    </row>
    <row r="1615" spans="1:26" ht="22.35" customHeight="1" x14ac:dyDescent="0.3">
      <c r="A1615" s="322" t="str">
        <f>+IF(PROVEEDORES[[#This Row],[FECHA DE PAGO]]=PROVEEDORES[[#This Row],[FECHA DE FACTURACIÓN]],"DE CONTADO","CRÉDITO")</f>
        <v>CRÉDITO</v>
      </c>
      <c r="B1615" s="38" t="b">
        <f>+IF((PROVEEDORES[[#This Row],[FECHA DE PAGO]]-PROVEEDORES[[#This Row],[FECHA DE FACTURACIÓN]])&gt;PROVEEDORES[[#This Row],[PLAZO Días]],"PAGO VENCIDO")</f>
        <v>0</v>
      </c>
      <c r="C1615" s="20">
        <f>+VLOOKUP(PROVEEDORES[[#This Row],[PROVEEDOR]],TERCEROS_INFO[#All],2,FALSE)</f>
        <v>30</v>
      </c>
      <c r="D1615" s="25">
        <f>+SUMIFS(PROVEEDORES[Total],PROVEEDORES[PROVEEDOR],PROVEEDORES[[#This Row],[PROVEEDOR]],PROVEEDORES[FECHA DE PAGO],"")</f>
        <v>0</v>
      </c>
      <c r="E1615" s="25"/>
      <c r="F1615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15" s="68">
        <v>45100</v>
      </c>
      <c r="H1615" s="26" t="s">
        <v>635</v>
      </c>
      <c r="I1615" s="68">
        <v>45087</v>
      </c>
      <c r="J1615" s="35" t="s">
        <v>1740</v>
      </c>
      <c r="K1615" s="21">
        <v>3456200</v>
      </c>
      <c r="L1615" s="21"/>
      <c r="M1615" s="22">
        <f>(PROVEEDORES[[#This Row],[SUBTOTAL]]-PROVEEDORES[[#This Row],[descuento sobre subtotal]])*VLOOKUP(PROVEEDORES[[#This Row],[PROVEEDOR]],TERCEROS_INFO[#All],3,FALSE)</f>
        <v>0</v>
      </c>
      <c r="N1615" s="23"/>
      <c r="O1615" s="22">
        <f>+PROVEEDORES[[#This Row],[Descuento sobre subtotal %]]*(PROVEEDORES[[#This Row],[SUBTOTAL]]-PROVEEDORES[[#This Row],[descuento sobre subtotal]])</f>
        <v>0</v>
      </c>
      <c r="P1615" s="74">
        <f>+IF(PROVEEDORES[[#This Row],[SUBTOTAL]]&lt;PROVEEDORES[[#This Row],[base retencion]],0,PROVEEDORES[[#This Row],[retención aplicada]])</f>
        <v>3.5000000000000003E-2</v>
      </c>
      <c r="Q1615" s="22">
        <f>+PROVEEDORES[[#This Row],[Rete Fuente %]]*(PROVEEDORES[[#This Row],[SUBTOTAL]]-PROVEEDORES[[#This Row],[descuento sobre subtotal]])</f>
        <v>120967.00000000001</v>
      </c>
      <c r="R1615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1615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5" s="63">
        <f ca="1">IF(PROVEEDORES[[#This Row],[FECHA DE PAGO]]=0,TODAY()-PROVEEDORES[[#This Row],[FECHA DE FACTURACIÓN]]-PROVEEDORES[[#This Row],[PLAZO Días]],0)</f>
        <v>0</v>
      </c>
      <c r="U1615" s="104" t="str">
        <f>+VLOOKUP(PROVEEDORES[[#This Row],[PROVEEDOR]],Terceros!$A:$D,4,FALSE)</f>
        <v>3,5% sin base</v>
      </c>
      <c r="V1615" s="105">
        <f>+YEAR(PROVEEDORES[[#This Row],[FECHA DE FACTURACIÓN]])</f>
        <v>2023</v>
      </c>
      <c r="W1615" s="105">
        <f>+MATCH(PROVEEDORES[[#This Row],[año facturado]],Retenciones!$1:$1,0)</f>
        <v>6</v>
      </c>
      <c r="X1615" s="106">
        <f>+VLOOKUP(PROVEEDORES[[#This Row],[ID RETENCION]],Retenciones!$A$1:$O$25,PROVEEDORES[[#This Row],[indicador de columna]],FALSE)</f>
        <v>0</v>
      </c>
      <c r="Y1615" s="107">
        <f>+VLOOKUP(PROVEEDORES[[#This Row],[ID RETENCION]],Retenciones!$A$1:$O$25,2,FALSE)</f>
        <v>3.5000000000000003E-2</v>
      </c>
      <c r="Z1615" s="116" t="b">
        <f>OR(COUNTIF(PROVEEDORES[[#This Row],[PROVEEDOR]],"*"&amp;'Palabra no opera'!$A$2&amp;"*"))</f>
        <v>1</v>
      </c>
    </row>
    <row r="1616" spans="1:26" ht="22.35" customHeight="1" x14ac:dyDescent="0.3">
      <c r="A1616" s="322" t="str">
        <f>+IF(PROVEEDORES[[#This Row],[FECHA DE PAGO]]=PROVEEDORES[[#This Row],[FECHA DE FACTURACIÓN]],"DE CONTADO","CRÉDITO")</f>
        <v>CRÉDITO</v>
      </c>
      <c r="B1616" s="38" t="b">
        <f>+IF((PROVEEDORES[[#This Row],[FECHA DE PAGO]]-PROVEEDORES[[#This Row],[FECHA DE FACTURACIÓN]])&gt;PROVEEDORES[[#This Row],[PLAZO Días]],"PAGO VENCIDO")</f>
        <v>0</v>
      </c>
      <c r="C1616" s="20">
        <f>+VLOOKUP(PROVEEDORES[[#This Row],[PROVEEDOR]],TERCEROS_INFO[#All],2,FALSE)</f>
        <v>30</v>
      </c>
      <c r="D1616" s="25">
        <f>+SUMIFS(PROVEEDORES[Total],PROVEEDORES[PROVEEDOR],PROVEEDORES[[#This Row],[PROVEEDOR]],PROVEEDORES[FECHA DE PAGO],"")</f>
        <v>0</v>
      </c>
      <c r="E1616" s="25"/>
      <c r="F161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16" s="68">
        <v>45100</v>
      </c>
      <c r="H1616" s="26" t="s">
        <v>637</v>
      </c>
      <c r="I1616" s="68">
        <v>45078</v>
      </c>
      <c r="J1616" s="35" t="s">
        <v>1743</v>
      </c>
      <c r="K1616" s="21">
        <v>934363</v>
      </c>
      <c r="L1616" s="21"/>
      <c r="M1616" s="22">
        <f>(PROVEEDORES[[#This Row],[SUBTOTAL]]-PROVEEDORES[[#This Row],[descuento sobre subtotal]])*VLOOKUP(PROVEEDORES[[#This Row],[PROVEEDOR]],TERCEROS_INFO[#All],3,FALSE)</f>
        <v>0</v>
      </c>
      <c r="N1616" s="23"/>
      <c r="O1616" s="22">
        <f>+PROVEEDORES[[#This Row],[Descuento sobre subtotal %]]*(PROVEEDORES[[#This Row],[SUBTOTAL]]-PROVEEDORES[[#This Row],[descuento sobre subtotal]])</f>
        <v>0</v>
      </c>
      <c r="P1616" s="74">
        <f>+IF(PROVEEDORES[[#This Row],[SUBTOTAL]]&lt;PROVEEDORES[[#This Row],[base retencion]],0,PROVEEDORES[[#This Row],[retención aplicada]])</f>
        <v>0</v>
      </c>
      <c r="Q1616" s="22">
        <f>+PROVEEDORES[[#This Row],[Rete Fuente %]]*(PROVEEDORES[[#This Row],[SUBTOTAL]]-PROVEEDORES[[#This Row],[descuento sobre subtotal]])</f>
        <v>0</v>
      </c>
      <c r="R1616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616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6" s="63">
        <f ca="1">IF(PROVEEDORES[[#This Row],[FECHA DE PAGO]]=0,TODAY()-PROVEEDORES[[#This Row],[FECHA DE FACTURACIÓN]]-PROVEEDORES[[#This Row],[PLAZO Días]],0)</f>
        <v>0</v>
      </c>
      <c r="U1616" s="104">
        <f>+VLOOKUP(PROVEEDORES[[#This Row],[PROVEEDOR]],Terceros!$A:$D,4,FALSE)</f>
        <v>0</v>
      </c>
      <c r="V1616" s="105">
        <f>+YEAR(PROVEEDORES[[#This Row],[FECHA DE FACTURACIÓN]])</f>
        <v>2023</v>
      </c>
      <c r="W1616" s="105">
        <f>+MATCH(PROVEEDORES[[#This Row],[año facturado]],Retenciones!$1:$1,0)</f>
        <v>6</v>
      </c>
      <c r="X1616" s="106">
        <f>+VLOOKUP(PROVEEDORES[[#This Row],[ID RETENCION]],Retenciones!$A$1:$O$25,PROVEEDORES[[#This Row],[indicador de columna]],FALSE)</f>
        <v>0</v>
      </c>
      <c r="Y1616" s="107">
        <f>+VLOOKUP(PROVEEDORES[[#This Row],[ID RETENCION]],Retenciones!$A$1:$O$25,2,FALSE)</f>
        <v>0</v>
      </c>
      <c r="Z1616" s="116" t="b">
        <f>OR(COUNTIF(PROVEEDORES[[#This Row],[PROVEEDOR]],"*"&amp;'Palabra no opera'!$A$2&amp;"*"))</f>
        <v>1</v>
      </c>
    </row>
    <row r="1617" spans="1:26" ht="22.35" customHeight="1" x14ac:dyDescent="0.3">
      <c r="A1617" s="322" t="str">
        <f>+IF(PROVEEDORES[[#This Row],[FECHA DE PAGO]]=PROVEEDORES[[#This Row],[FECHA DE FACTURACIÓN]],"DE CONTADO","CRÉDITO")</f>
        <v>CRÉDITO</v>
      </c>
      <c r="B1617" s="38" t="b">
        <f>+IF((PROVEEDORES[[#This Row],[FECHA DE PAGO]]-PROVEEDORES[[#This Row],[FECHA DE FACTURACIÓN]])&gt;PROVEEDORES[[#This Row],[PLAZO Días]],"PAGO VENCIDO")</f>
        <v>0</v>
      </c>
      <c r="C1617" s="20">
        <f>+VLOOKUP(PROVEEDORES[[#This Row],[PROVEEDOR]],TERCEROS_INFO[#All],2,FALSE)</f>
        <v>30</v>
      </c>
      <c r="D1617" s="25">
        <f>+SUMIFS(PROVEEDORES[Total],PROVEEDORES[PROVEEDOR],PROVEEDORES[[#This Row],[PROVEEDOR]],PROVEEDORES[FECHA DE PAGO],"")</f>
        <v>0</v>
      </c>
      <c r="E1617" s="25"/>
      <c r="F1617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17" s="68">
        <v>45100</v>
      </c>
      <c r="H1617" s="26" t="s">
        <v>637</v>
      </c>
      <c r="I1617" s="68">
        <v>45078</v>
      </c>
      <c r="J1617" s="35" t="s">
        <v>1744</v>
      </c>
      <c r="K1617" s="21">
        <v>914023</v>
      </c>
      <c r="L1617" s="21"/>
      <c r="M1617" s="22">
        <f>(PROVEEDORES[[#This Row],[SUBTOTAL]]-PROVEEDORES[[#This Row],[descuento sobre subtotal]])*VLOOKUP(PROVEEDORES[[#This Row],[PROVEEDOR]],TERCEROS_INFO[#All],3,FALSE)</f>
        <v>0</v>
      </c>
      <c r="N1617" s="23"/>
      <c r="O1617" s="22">
        <f>+PROVEEDORES[[#This Row],[Descuento sobre subtotal %]]*(PROVEEDORES[[#This Row],[SUBTOTAL]]-PROVEEDORES[[#This Row],[descuento sobre subtotal]])</f>
        <v>0</v>
      </c>
      <c r="P1617" s="74">
        <f>+IF(PROVEEDORES[[#This Row],[SUBTOTAL]]&lt;PROVEEDORES[[#This Row],[base retencion]],0,PROVEEDORES[[#This Row],[retención aplicada]])</f>
        <v>0</v>
      </c>
      <c r="Q1617" s="22">
        <f>+PROVEEDORES[[#This Row],[Rete Fuente %]]*(PROVEEDORES[[#This Row],[SUBTOTAL]]-PROVEEDORES[[#This Row],[descuento sobre subtotal]])</f>
        <v>0</v>
      </c>
      <c r="R1617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617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7" s="63">
        <f ca="1">IF(PROVEEDORES[[#This Row],[FECHA DE PAGO]]=0,TODAY()-PROVEEDORES[[#This Row],[FECHA DE FACTURACIÓN]]-PROVEEDORES[[#This Row],[PLAZO Días]],0)</f>
        <v>0</v>
      </c>
      <c r="U1617" s="104">
        <f>+VLOOKUP(PROVEEDORES[[#This Row],[PROVEEDOR]],Terceros!$A:$D,4,FALSE)</f>
        <v>0</v>
      </c>
      <c r="V1617" s="105">
        <f>+YEAR(PROVEEDORES[[#This Row],[FECHA DE FACTURACIÓN]])</f>
        <v>2023</v>
      </c>
      <c r="W1617" s="105">
        <f>+MATCH(PROVEEDORES[[#This Row],[año facturado]],Retenciones!$1:$1,0)</f>
        <v>6</v>
      </c>
      <c r="X1617" s="106">
        <f>+VLOOKUP(PROVEEDORES[[#This Row],[ID RETENCION]],Retenciones!$A$1:$O$25,PROVEEDORES[[#This Row],[indicador de columna]],FALSE)</f>
        <v>0</v>
      </c>
      <c r="Y1617" s="107">
        <f>+VLOOKUP(PROVEEDORES[[#This Row],[ID RETENCION]],Retenciones!$A$1:$O$25,2,FALSE)</f>
        <v>0</v>
      </c>
      <c r="Z1617" s="116" t="b">
        <f>OR(COUNTIF(PROVEEDORES[[#This Row],[PROVEEDOR]],"*"&amp;'Palabra no opera'!$A$2&amp;"*"))</f>
        <v>1</v>
      </c>
    </row>
    <row r="1618" spans="1:26" ht="22.35" customHeight="1" x14ac:dyDescent="0.3">
      <c r="A1618" s="322" t="str">
        <f>+IF(PROVEEDORES[[#This Row],[FECHA DE PAGO]]=PROVEEDORES[[#This Row],[FECHA DE FACTURACIÓN]],"DE CONTADO","CRÉDITO")</f>
        <v>CRÉDITO</v>
      </c>
      <c r="B1618" s="38" t="str">
        <f>+IF((PROVEEDORES[[#This Row],[FECHA DE PAGO]]-PROVEEDORES[[#This Row],[FECHA DE FACTURACIÓN]])&gt;PROVEEDORES[[#This Row],[PLAZO Días]],"PAGO VENCIDO")</f>
        <v>PAGO VENCIDO</v>
      </c>
      <c r="C1618" s="20">
        <f>+VLOOKUP(PROVEEDORES[[#This Row],[PROVEEDOR]],TERCEROS_INFO[#All],2,FALSE)</f>
        <v>30</v>
      </c>
      <c r="D1618" s="25">
        <f>+SUMIFS(PROVEEDORES[Total],PROVEEDORES[PROVEEDOR],PROVEEDORES[[#This Row],[PROVEEDOR]],PROVEEDORES[FECHA DE PAGO],"")</f>
        <v>0</v>
      </c>
      <c r="E1618" s="25"/>
      <c r="F1618" s="56">
        <f>+VLOOKUP(PROVEEDORES[[#This Row],[PROVEEDOR]],
                       Terceros!$A:$F,
                       5,
                       FALSE)</f>
        <v>0</v>
      </c>
      <c r="G1618" s="68">
        <v>45100</v>
      </c>
      <c r="H1618" s="26" t="s">
        <v>1427</v>
      </c>
      <c r="I1618" s="68">
        <v>44965</v>
      </c>
      <c r="J1618" s="35" t="s">
        <v>1742</v>
      </c>
      <c r="K1618" s="21">
        <v>5700</v>
      </c>
      <c r="L1618" s="21"/>
      <c r="M1618" s="22"/>
      <c r="N1618" s="23"/>
      <c r="O1618" s="22">
        <f>+PROVEEDORES[[#This Row],[Descuento sobre subtotal %]]*(PROVEEDORES[[#This Row],[SUBTOTAL]]-PROVEEDORES[[#This Row],[descuento sobre subtotal]])</f>
        <v>0</v>
      </c>
      <c r="P1618" s="74">
        <f>+IF(PROVEEDORES[[#This Row],[SUBTOTAL]]&lt;PROVEEDORES[[#This Row],[base retencion]],0,PROVEEDORES[[#This Row],[retención aplicada]])</f>
        <v>0</v>
      </c>
      <c r="Q1618" s="22">
        <f>+PROVEEDORES[[#This Row],[Rete Fuente %]]*(PROVEEDORES[[#This Row],[SUBTOTAL]]-PROVEEDORES[[#This Row],[descuento sobre subtotal]])</f>
        <v>0</v>
      </c>
      <c r="R1618" s="21">
        <f>+PROVEEDORES[[#This Row],[SUBTOTAL]]+PROVEEDORES[[#This Row],[IVA 19%]]-PROVEEDORES[[#This Row],[descuento sobre subtotal]]-PROVEEDORES[[#This Row],[Descuento sobre subtotal $2]]-PROVEEDORES[[#This Row],[Rete Fuente $]]</f>
        <v>5700</v>
      </c>
      <c r="S1618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8" s="63">
        <f ca="1">IF(PROVEEDORES[[#This Row],[FECHA DE PAGO]]=0,TODAY()-PROVEEDORES[[#This Row],[FECHA DE FACTURACIÓN]]-PROVEEDORES[[#This Row],[PLAZO Días]],0)</f>
        <v>0</v>
      </c>
      <c r="U1618" s="104" t="str">
        <f>+VLOOKUP(PROVEEDORES[[#This Row],[PROVEEDOR]],Terceros!$A:$D,4,FALSE)</f>
        <v>2,5% con base</v>
      </c>
      <c r="V1618" s="105">
        <f>+YEAR(PROVEEDORES[[#This Row],[FECHA DE FACTURACIÓN]])</f>
        <v>2023</v>
      </c>
      <c r="W1618" s="105">
        <f>+MATCH(PROVEEDORES[[#This Row],[año facturado]],Retenciones!$1:$1,0)</f>
        <v>6</v>
      </c>
      <c r="X1618" s="106">
        <f>+VLOOKUP(PROVEEDORES[[#This Row],[ID RETENCION]],Retenciones!$A$1:$O$25,PROVEEDORES[[#This Row],[indicador de columna]],FALSE)</f>
        <v>1145000</v>
      </c>
      <c r="Y1618" s="107">
        <f>+VLOOKUP(PROVEEDORES[[#This Row],[ID RETENCION]],Retenciones!$A$1:$O$25,2,FALSE)</f>
        <v>2.5000000000000001E-2</v>
      </c>
      <c r="Z1618" s="116" t="b">
        <f>OR(COUNTIF(PROVEEDORES[[#This Row],[PROVEEDOR]],"*"&amp;'Palabra no opera'!$A$2&amp;"*"))</f>
        <v>1</v>
      </c>
    </row>
    <row r="1619" spans="1:26" ht="22.35" customHeight="1" x14ac:dyDescent="0.3">
      <c r="A1619" s="322" t="str">
        <f>+IF(PROVEEDORES[[#This Row],[FECHA DE PAGO]]=PROVEEDORES[[#This Row],[FECHA DE FACTURACIÓN]],"DE CONTADO","CRÉDITO")</f>
        <v>CRÉDITO</v>
      </c>
      <c r="B1619" s="38" t="b">
        <f>+IF((PROVEEDORES[[#This Row],[FECHA DE PAGO]]-PROVEEDORES[[#This Row],[FECHA DE FACTURACIÓN]])&gt;PROVEEDORES[[#This Row],[PLAZO Días]],"PAGO VENCIDO")</f>
        <v>0</v>
      </c>
      <c r="C1619" s="20">
        <f>+VLOOKUP(PROVEEDORES[[#This Row],[PROVEEDOR]],TERCEROS_INFO[#All],2,FALSE)</f>
        <v>30</v>
      </c>
      <c r="D1619" s="25">
        <f>+SUMIFS(PROVEEDORES[Total],PROVEEDORES[PROVEEDOR],PROVEEDORES[[#This Row],[PROVEEDOR]],PROVEEDORES[FECHA DE PAGO],"")</f>
        <v>0</v>
      </c>
      <c r="E1619" s="25"/>
      <c r="F1619" s="56">
        <f>+VLOOKUP(PROVEEDORES[[#This Row],[PROVEEDOR]],
                       Terceros!$A:$F,
                       5,
                       FALSE)</f>
        <v>0</v>
      </c>
      <c r="G1619" s="68">
        <v>45100</v>
      </c>
      <c r="H1619" s="26" t="s">
        <v>1427</v>
      </c>
      <c r="I1619" s="68">
        <v>45098</v>
      </c>
      <c r="J1619" s="35" t="s">
        <v>1741</v>
      </c>
      <c r="K1619" s="21">
        <v>217200</v>
      </c>
      <c r="L1619" s="21"/>
      <c r="M1619" s="22">
        <f>(PROVEEDORES[[#This Row],[SUBTOTAL]]-PROVEEDORES[[#This Row],[descuento sobre subtotal]])*VLOOKUP(PROVEEDORES[[#This Row],[PROVEEDOR]],TERCEROS_INFO[#All],3,FALSE)</f>
        <v>41268</v>
      </c>
      <c r="N1619" s="23"/>
      <c r="O1619" s="22">
        <f>+PROVEEDORES[[#This Row],[Descuento sobre subtotal %]]*(PROVEEDORES[[#This Row],[SUBTOTAL]]-PROVEEDORES[[#This Row],[descuento sobre subtotal]])</f>
        <v>0</v>
      </c>
      <c r="P1619" s="74">
        <f>+IF(PROVEEDORES[[#This Row],[SUBTOTAL]]&lt;PROVEEDORES[[#This Row],[base retencion]],0,PROVEEDORES[[#This Row],[retención aplicada]])</f>
        <v>0</v>
      </c>
      <c r="Q1619" s="22">
        <f>+PROVEEDORES[[#This Row],[Rete Fuente %]]*(PROVEEDORES[[#This Row],[SUBTOTAL]]-PROVEEDORES[[#This Row],[descuento sobre subtotal]])</f>
        <v>0</v>
      </c>
      <c r="R1619" s="21">
        <f>+PROVEEDORES[[#This Row],[SUBTOTAL]]+PROVEEDORES[[#This Row],[IVA 19%]]-PROVEEDORES[[#This Row],[descuento sobre subtotal]]-PROVEEDORES[[#This Row],[Descuento sobre subtotal $2]]-PROVEEDORES[[#This Row],[Rete Fuente $]]</f>
        <v>258468</v>
      </c>
      <c r="S1619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9" s="63">
        <f ca="1">IF(PROVEEDORES[[#This Row],[FECHA DE PAGO]]=0,TODAY()-PROVEEDORES[[#This Row],[FECHA DE FACTURACIÓN]]-PROVEEDORES[[#This Row],[PLAZO Días]],0)</f>
        <v>0</v>
      </c>
      <c r="U1619" s="104" t="str">
        <f>+VLOOKUP(PROVEEDORES[[#This Row],[PROVEEDOR]],Terceros!$A:$D,4,FALSE)</f>
        <v>2,5% con base</v>
      </c>
      <c r="V1619" s="105">
        <f>+YEAR(PROVEEDORES[[#This Row],[FECHA DE FACTURACIÓN]])</f>
        <v>2023</v>
      </c>
      <c r="W1619" s="105">
        <f>+MATCH(PROVEEDORES[[#This Row],[año facturado]],Retenciones!$1:$1,0)</f>
        <v>6</v>
      </c>
      <c r="X1619" s="106">
        <f>+VLOOKUP(PROVEEDORES[[#This Row],[ID RETENCION]],Retenciones!$A$1:$O$25,PROVEEDORES[[#This Row],[indicador de columna]],FALSE)</f>
        <v>1145000</v>
      </c>
      <c r="Y1619" s="107">
        <f>+VLOOKUP(PROVEEDORES[[#This Row],[ID RETENCION]],Retenciones!$A$1:$O$25,2,FALSE)</f>
        <v>2.5000000000000001E-2</v>
      </c>
      <c r="Z1619" s="116" t="b">
        <f>OR(COUNTIF(PROVEEDORES[[#This Row],[PROVEEDOR]],"*"&amp;'Palabra no opera'!$A$2&amp;"*"))</f>
        <v>1</v>
      </c>
    </row>
    <row r="1620" spans="1:26" ht="22.35" customHeight="1" x14ac:dyDescent="0.3">
      <c r="A1620" s="327" t="str">
        <f>+IF(PROVEEDORES[[#This Row],[FECHA DE PAGO]]=PROVEEDORES[[#This Row],[FECHA DE FACTURACIÓN]],"DE CONTADO","CRÉDITO")</f>
        <v>DE CONTADO</v>
      </c>
      <c r="B1620" s="38" t="b">
        <f>+IF((PROVEEDORES[[#This Row],[FECHA DE PAGO]]-PROVEEDORES[[#This Row],[FECHA DE FACTURACIÓN]])&gt;PROVEEDORES[[#This Row],[PLAZO Días]],"PAGO VENCIDO")</f>
        <v>0</v>
      </c>
      <c r="C1620" s="20">
        <f>+VLOOKUP(PROVEEDORES[[#This Row],[PROVEEDOR]],TERCEROS_INFO[#All],2,FALSE)</f>
        <v>30</v>
      </c>
      <c r="D1620" s="25">
        <f>+SUMIFS(PROVEEDORES[Total],PROVEEDORES[PROVEEDOR],PROVEEDORES[[#This Row],[PROVEEDOR]],PROVEEDORES[FECHA DE PAGO],"")</f>
        <v>0</v>
      </c>
      <c r="E1620" s="25"/>
      <c r="F1620" s="56" t="str">
        <f>+VLOOKUP(PROVEEDORES[[#This Row],[PROVEEDOR]],
                       Terceros!$A:$F,
                       5,
                       FALSE)</f>
        <v/>
      </c>
      <c r="G1620" s="68">
        <v>45101</v>
      </c>
      <c r="H1620" s="26" t="s">
        <v>378</v>
      </c>
      <c r="I1620" s="68">
        <v>45101</v>
      </c>
      <c r="J1620" s="35" t="s">
        <v>1764</v>
      </c>
      <c r="K1620" s="21">
        <v>660000</v>
      </c>
      <c r="L1620" s="21"/>
      <c r="M1620" s="22">
        <f>(PROVEEDORES[[#This Row],[SUBTOTAL]]-PROVEEDORES[[#This Row],[descuento sobre subtotal]])*VLOOKUP(PROVEEDORES[[#This Row],[PROVEEDOR]],TERCEROS_INFO[#All],3,FALSE)</f>
        <v>0</v>
      </c>
      <c r="N1620" s="23"/>
      <c r="O1620" s="22">
        <f>+PROVEEDORES[[#This Row],[Descuento sobre subtotal %]]*(PROVEEDORES[[#This Row],[SUBTOTAL]]-PROVEEDORES[[#This Row],[descuento sobre subtotal]])</f>
        <v>0</v>
      </c>
      <c r="P1620" s="74">
        <f>+IF(PROVEEDORES[[#This Row],[SUBTOTAL]]&lt;PROVEEDORES[[#This Row],[base retencion]],0,PROVEEDORES[[#This Row],[retención aplicada]])</f>
        <v>0</v>
      </c>
      <c r="Q1620" s="22">
        <f>+PROVEEDORES[[#This Row],[Rete Fuente %]]*(PROVEEDORES[[#This Row],[SUBTOTAL]]-PROVEEDORES[[#This Row],[descuento sobre subtotal]])</f>
        <v>0</v>
      </c>
      <c r="R1620" s="21">
        <f>+PROVEEDORES[[#This Row],[SUBTOTAL]]+PROVEEDORES[[#This Row],[IVA 19%]]-PROVEEDORES[[#This Row],[descuento sobre subtotal]]-PROVEEDORES[[#This Row],[Descuento sobre subtotal $2]]-PROVEEDORES[[#This Row],[Rete Fuente $]]</f>
        <v>660000</v>
      </c>
      <c r="S1620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0" s="63">
        <f ca="1">IF(PROVEEDORES[[#This Row],[FECHA DE PAGO]]=0,TODAY()-PROVEEDORES[[#This Row],[FECHA DE FACTURACIÓN]]-PROVEEDORES[[#This Row],[PLAZO Días]],0)</f>
        <v>0</v>
      </c>
      <c r="U1620" s="104">
        <f>+VLOOKUP(PROVEEDORES[[#This Row],[PROVEEDOR]],Terceros!$A:$D,4,FALSE)</f>
        <v>0</v>
      </c>
      <c r="V1620" s="105">
        <f>+YEAR(PROVEEDORES[[#This Row],[FECHA DE FACTURACIÓN]])</f>
        <v>2023</v>
      </c>
      <c r="W1620" s="105">
        <f>+MATCH(PROVEEDORES[[#This Row],[año facturado]],Retenciones!$1:$1,0)</f>
        <v>6</v>
      </c>
      <c r="X1620" s="106">
        <f>+VLOOKUP(PROVEEDORES[[#This Row],[ID RETENCION]],Retenciones!$A$1:$O$25,PROVEEDORES[[#This Row],[indicador de columna]],FALSE)</f>
        <v>0</v>
      </c>
      <c r="Y1620" s="107">
        <f>+VLOOKUP(PROVEEDORES[[#This Row],[ID RETENCION]],Retenciones!$A$1:$O$25,2,FALSE)</f>
        <v>0</v>
      </c>
      <c r="Z1620" s="116" t="b">
        <f>OR(COUNTIF(PROVEEDORES[[#This Row],[PROVEEDOR]],"*"&amp;'Palabra no opera'!$A$2&amp;"*"))</f>
        <v>0</v>
      </c>
    </row>
    <row r="1621" spans="1:26" ht="22.35" customHeight="1" x14ac:dyDescent="0.3">
      <c r="A1621" s="310" t="str">
        <f>+IF(PROVEEDORES[[#This Row],[FECHA DE PAGO]]=PROVEEDORES[[#This Row],[FECHA DE FACTURACIÓN]],"DE CONTADO","CRÉDITO")</f>
        <v>CRÉDITO</v>
      </c>
      <c r="B1621" s="38" t="str">
        <f>+IF((PROVEEDORES[[#This Row],[FECHA DE PAGO]]-PROVEEDORES[[#This Row],[FECHA DE FACTURACIÓN]])&gt;PROVEEDORES[[#This Row],[PLAZO Días]],"PAGO VENCIDO")</f>
        <v>PAGO VENCIDO</v>
      </c>
      <c r="C1621" s="20">
        <f>+VLOOKUP(PROVEEDORES[[#This Row],[PROVEEDOR]],TERCEROS_INFO[#All],2,FALSE)</f>
        <v>45</v>
      </c>
      <c r="D1621" s="25">
        <f>+SUMIFS(PROVEEDORES[Total],PROVEEDORES[PROVEEDOR],PROVEEDORES[[#This Row],[PROVEEDOR]],PROVEEDORES[FECHA DE PAGO],"")</f>
        <v>15770594</v>
      </c>
      <c r="E1621" s="25"/>
      <c r="F162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21" s="68">
        <v>45103</v>
      </c>
      <c r="H1621" s="26" t="s">
        <v>19</v>
      </c>
      <c r="I1621" s="68">
        <v>45042</v>
      </c>
      <c r="J1621" s="35" t="s">
        <v>1654</v>
      </c>
      <c r="K1621" s="21">
        <v>10467600</v>
      </c>
      <c r="L1621" s="21"/>
      <c r="M1621" s="22">
        <f>(PROVEEDORES[[#This Row],[SUBTOTAL]]-PROVEEDORES[[#This Row],[descuento sobre subtotal]])*VLOOKUP(PROVEEDORES[[#This Row],[PROVEEDOR]],TERCEROS_INFO[#All],3,FALSE)</f>
        <v>1988844</v>
      </c>
      <c r="N1621" s="23"/>
      <c r="O1621" s="22">
        <f>+PROVEEDORES[[#This Row],[Descuento sobre subtotal %]]*(PROVEEDORES[[#This Row],[SUBTOTAL]]-PROVEEDORES[[#This Row],[descuento sobre subtotal]])</f>
        <v>0</v>
      </c>
      <c r="P1621" s="74">
        <f>+IF(PROVEEDORES[[#This Row],[SUBTOTAL]]&lt;PROVEEDORES[[#This Row],[base retencion]],0,PROVEEDORES[[#This Row],[retención aplicada]])</f>
        <v>0</v>
      </c>
      <c r="Q1621" s="22">
        <f>+PROVEEDORES[[#This Row],[Rete Fuente %]]*(PROVEEDORES[[#This Row],[SUBTOTAL]]-PROVEEDORES[[#This Row],[descuento sobre subtotal]])</f>
        <v>0</v>
      </c>
      <c r="R1621" s="21">
        <f>+PROVEEDORES[[#This Row],[SUBTOTAL]]+PROVEEDORES[[#This Row],[IVA 19%]]-PROVEEDORES[[#This Row],[descuento sobre subtotal]]-PROVEEDORES[[#This Row],[Descuento sobre subtotal $2]]-PROVEEDORES[[#This Row],[Rete Fuente $]]</f>
        <v>12456444</v>
      </c>
      <c r="S162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1" s="63">
        <f ca="1">IF(PROVEEDORES[[#This Row],[FECHA DE PAGO]]=0,TODAY()-PROVEEDORES[[#This Row],[FECHA DE FACTURACIÓN]]-PROVEEDORES[[#This Row],[PLAZO Días]],0)</f>
        <v>0</v>
      </c>
      <c r="U1621" s="104">
        <f>+VLOOKUP(PROVEEDORES[[#This Row],[PROVEEDOR]],Terceros!$A:$D,4,FALSE)</f>
        <v>0</v>
      </c>
      <c r="V1621" s="105">
        <f>+YEAR(PROVEEDORES[[#This Row],[FECHA DE FACTURACIÓN]])</f>
        <v>2023</v>
      </c>
      <c r="W1621" s="105">
        <f>+MATCH(PROVEEDORES[[#This Row],[año facturado]],Retenciones!$1:$1,0)</f>
        <v>6</v>
      </c>
      <c r="X1621" s="106">
        <f>+VLOOKUP(PROVEEDORES[[#This Row],[ID RETENCION]],Retenciones!$A$1:$O$25,PROVEEDORES[[#This Row],[indicador de columna]],FALSE)</f>
        <v>0</v>
      </c>
      <c r="Y1621" s="107">
        <f>+VLOOKUP(PROVEEDORES[[#This Row],[ID RETENCION]],Retenciones!$A$1:$O$25,2,FALSE)</f>
        <v>0</v>
      </c>
      <c r="Z1621" s="116" t="b">
        <f>OR(COUNTIF(PROVEEDORES[[#This Row],[PROVEEDOR]],"*"&amp;'Palabra no opera'!$A$2&amp;"*"))</f>
        <v>0</v>
      </c>
    </row>
    <row r="1622" spans="1:26" ht="22.35" customHeight="1" x14ac:dyDescent="0.3">
      <c r="A1622" s="310" t="str">
        <f>+IF(PROVEEDORES[[#This Row],[FECHA DE PAGO]]=PROVEEDORES[[#This Row],[FECHA DE FACTURACIÓN]],"DE CONTADO","CRÉDITO")</f>
        <v>CRÉDITO</v>
      </c>
      <c r="B1622" s="38" t="str">
        <f>+IF((PROVEEDORES[[#This Row],[FECHA DE PAGO]]-PROVEEDORES[[#This Row],[FECHA DE FACTURACIÓN]])&gt;PROVEEDORES[[#This Row],[PLAZO Días]],"PAGO VENCIDO")</f>
        <v>PAGO VENCIDO</v>
      </c>
      <c r="C1622" s="20">
        <f>+VLOOKUP(PROVEEDORES[[#This Row],[PROVEEDOR]],TERCEROS_INFO[#All],2,FALSE)</f>
        <v>45</v>
      </c>
      <c r="D1622" s="25">
        <f>+SUMIFS(PROVEEDORES[Total],PROVEEDORES[PROVEEDOR],PROVEEDORES[[#This Row],[PROVEEDOR]],PROVEEDORES[FECHA DE PAGO],"")</f>
        <v>8072960</v>
      </c>
      <c r="E1622" s="25"/>
      <c r="F162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22" s="68">
        <v>45103</v>
      </c>
      <c r="H1622" s="26" t="s">
        <v>10</v>
      </c>
      <c r="I1622" s="68">
        <v>45042</v>
      </c>
      <c r="J1622" s="35" t="s">
        <v>1644</v>
      </c>
      <c r="K1622" s="21">
        <v>2179700</v>
      </c>
      <c r="L1622" s="21"/>
      <c r="M1622" s="22">
        <f>(PROVEEDORES[[#This Row],[SUBTOTAL]]-PROVEEDORES[[#This Row],[descuento sobre subtotal]])*VLOOKUP(PROVEEDORES[[#This Row],[PROVEEDOR]],TERCEROS_INFO[#All],3,FALSE)</f>
        <v>414143</v>
      </c>
      <c r="N1622" s="23"/>
      <c r="O1622" s="22">
        <f>+PROVEEDORES[[#This Row],[Descuento sobre subtotal %]]*(PROVEEDORES[[#This Row],[SUBTOTAL]]-PROVEEDORES[[#This Row],[descuento sobre subtotal]])</f>
        <v>0</v>
      </c>
      <c r="P1622" s="74">
        <f>+IF(PROVEEDORES[[#This Row],[SUBTOTAL]]&lt;PROVEEDORES[[#This Row],[base retencion]],0,PROVEEDORES[[#This Row],[retención aplicada]])</f>
        <v>0</v>
      </c>
      <c r="Q1622" s="22">
        <f>+PROVEEDORES[[#This Row],[Rete Fuente %]]*(PROVEEDORES[[#This Row],[SUBTOTAL]]-PROVEEDORES[[#This Row],[descuento sobre subtotal]])</f>
        <v>0</v>
      </c>
      <c r="R1622" s="21">
        <f>+PROVEEDORES[[#This Row],[SUBTOTAL]]+PROVEEDORES[[#This Row],[IVA 19%]]-PROVEEDORES[[#This Row],[descuento sobre subtotal]]-PROVEEDORES[[#This Row],[Descuento sobre subtotal $2]]-PROVEEDORES[[#This Row],[Rete Fuente $]]</f>
        <v>2593843</v>
      </c>
      <c r="S1622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2" s="63">
        <f ca="1">IF(PROVEEDORES[[#This Row],[FECHA DE PAGO]]=0,TODAY()-PROVEEDORES[[#This Row],[FECHA DE FACTURACIÓN]]-PROVEEDORES[[#This Row],[PLAZO Días]],0)</f>
        <v>0</v>
      </c>
      <c r="U1622" s="104">
        <f>+VLOOKUP(PROVEEDORES[[#This Row],[PROVEEDOR]],Terceros!$A:$D,4,FALSE)</f>
        <v>0</v>
      </c>
      <c r="V1622" s="105">
        <f>+YEAR(PROVEEDORES[[#This Row],[FECHA DE FACTURACIÓN]])</f>
        <v>2023</v>
      </c>
      <c r="W1622" s="105">
        <f>+MATCH(PROVEEDORES[[#This Row],[año facturado]],Retenciones!$1:$1,0)</f>
        <v>6</v>
      </c>
      <c r="X1622" s="106">
        <f>+VLOOKUP(PROVEEDORES[[#This Row],[ID RETENCION]],Retenciones!$A$1:$O$25,PROVEEDORES[[#This Row],[indicador de columna]],FALSE)</f>
        <v>0</v>
      </c>
      <c r="Y1622" s="107">
        <f>+VLOOKUP(PROVEEDORES[[#This Row],[ID RETENCION]],Retenciones!$A$1:$O$25,2,FALSE)</f>
        <v>0</v>
      </c>
      <c r="Z1622" s="116" t="b">
        <f>OR(COUNTIF(PROVEEDORES[[#This Row],[PROVEEDOR]],"*"&amp;'Palabra no opera'!$A$2&amp;"*"))</f>
        <v>0</v>
      </c>
    </row>
    <row r="1623" spans="1:26" ht="22.35" customHeight="1" x14ac:dyDescent="0.3">
      <c r="A1623" s="67" t="str">
        <f>+IF(PROVEEDORES[[#This Row],[FECHA DE PAGO]]=PROVEEDORES[[#This Row],[FECHA DE FACTURACIÓN]],"DE CONTADO","CRÉDITO")</f>
        <v>CRÉDITO</v>
      </c>
      <c r="B1623" s="38" t="str">
        <f>+IF((PROVEEDORES[[#This Row],[FECHA DE PAGO]]-PROVEEDORES[[#This Row],[FECHA DE FACTURACIÓN]])&gt;PROVEEDORES[[#This Row],[PLAZO Días]],"PAGO VENCIDO")</f>
        <v>PAGO VENCIDO</v>
      </c>
      <c r="C1623" s="20">
        <f>+VLOOKUP(PROVEEDORES[[#This Row],[PROVEEDOR]],TERCEROS_INFO[#All],2,FALSE)</f>
        <v>30</v>
      </c>
      <c r="D1623" s="25">
        <f>+SUMIFS(PROVEEDORES[Total],PROVEEDORES[PROVEEDOR],PROVEEDORES[[#This Row],[PROVEEDOR]],PROVEEDORES[FECHA DE PAGO],"")</f>
        <v>0</v>
      </c>
      <c r="E1623" s="25"/>
      <c r="F1623" s="56" t="str">
        <f>+VLOOKUP(PROVEEDORES[[#This Row],[PROVEEDOR]],
                       Terceros!$A:$F,
                       5,
                       FALSE)</f>
        <v/>
      </c>
      <c r="G1623" s="68">
        <v>45104</v>
      </c>
      <c r="H1623" s="26" t="s">
        <v>396</v>
      </c>
      <c r="I1623" s="68">
        <v>45006</v>
      </c>
      <c r="J1623" s="35" t="s">
        <v>1550</v>
      </c>
      <c r="K1623" s="21">
        <v>230000</v>
      </c>
      <c r="L1623" s="21"/>
      <c r="M1623" s="22">
        <f>(PROVEEDORES[[#This Row],[SUBTOTAL]]-PROVEEDORES[[#This Row],[descuento sobre subtotal]])*VLOOKUP(PROVEEDORES[[#This Row],[PROVEEDOR]],TERCEROS_INFO[#All],3,FALSE)</f>
        <v>0</v>
      </c>
      <c r="N1623" s="23"/>
      <c r="O1623" s="22">
        <f>+PROVEEDORES[[#This Row],[Descuento sobre subtotal %]]*(PROVEEDORES[[#This Row],[SUBTOTAL]]-PROVEEDORES[[#This Row],[descuento sobre subtotal]])</f>
        <v>0</v>
      </c>
      <c r="P1623" s="74">
        <f>+IF(PROVEEDORES[[#This Row],[SUBTOTAL]]&lt;PROVEEDORES[[#This Row],[base retencion]],0,PROVEEDORES[[#This Row],[retención aplicada]])</f>
        <v>0</v>
      </c>
      <c r="Q1623" s="22">
        <f>+PROVEEDORES[[#This Row],[Rete Fuente %]]*(PROVEEDORES[[#This Row],[SUBTOTAL]]-PROVEEDORES[[#This Row],[descuento sobre subtotal]])</f>
        <v>0</v>
      </c>
      <c r="R1623" s="21">
        <f>+PROVEEDORES[[#This Row],[SUBTOTAL]]+PROVEEDORES[[#This Row],[IVA 19%]]-PROVEEDORES[[#This Row],[descuento sobre subtotal]]-PROVEEDORES[[#This Row],[Descuento sobre subtotal $2]]-PROVEEDORES[[#This Row],[Rete Fuente $]]</f>
        <v>230000</v>
      </c>
      <c r="S162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3" s="63">
        <f ca="1">IF(PROVEEDORES[[#This Row],[FECHA DE PAGO]]=0,TODAY()-PROVEEDORES[[#This Row],[FECHA DE FACTURACIÓN]]-PROVEEDORES[[#This Row],[PLAZO Días]],0)</f>
        <v>0</v>
      </c>
      <c r="U1623" s="104">
        <f>+VLOOKUP(PROVEEDORES[[#This Row],[PROVEEDOR]],Terceros!$A:$D,4,FALSE)</f>
        <v>0</v>
      </c>
      <c r="V1623" s="105">
        <f>+YEAR(PROVEEDORES[[#This Row],[FECHA DE FACTURACIÓN]])</f>
        <v>2023</v>
      </c>
      <c r="W1623" s="105">
        <f>+MATCH(PROVEEDORES[[#This Row],[año facturado]],Retenciones!$1:$1,0)</f>
        <v>6</v>
      </c>
      <c r="X1623" s="106">
        <f>+VLOOKUP(PROVEEDORES[[#This Row],[ID RETENCION]],Retenciones!$A$1:$O$25,PROVEEDORES[[#This Row],[indicador de columna]],FALSE)</f>
        <v>0</v>
      </c>
      <c r="Y1623" s="107">
        <f>+VLOOKUP(PROVEEDORES[[#This Row],[ID RETENCION]],Retenciones!$A$1:$O$25,2,FALSE)</f>
        <v>0</v>
      </c>
      <c r="Z1623" s="116" t="b">
        <f>OR(COUNTIF(PROVEEDORES[[#This Row],[PROVEEDOR]],"*"&amp;'Palabra no opera'!$A$2&amp;"*"))</f>
        <v>0</v>
      </c>
    </row>
    <row r="1624" spans="1:26" ht="22.35" customHeight="1" x14ac:dyDescent="0.3">
      <c r="A1624" s="67" t="str">
        <f>+IF(PROVEEDORES[[#This Row],[FECHA DE PAGO]]=PROVEEDORES[[#This Row],[FECHA DE FACTURACIÓN]],"DE CONTADO","CRÉDITO")</f>
        <v>CRÉDITO</v>
      </c>
      <c r="B1624" s="38" t="str">
        <f>+IF((PROVEEDORES[[#This Row],[FECHA DE PAGO]]-PROVEEDORES[[#This Row],[FECHA DE FACTURACIÓN]])&gt;PROVEEDORES[[#This Row],[PLAZO Días]],"PAGO VENCIDO")</f>
        <v>PAGO VENCIDO</v>
      </c>
      <c r="C1624" s="20">
        <f>+VLOOKUP(PROVEEDORES[[#This Row],[PROVEEDOR]],TERCEROS_INFO[#All],2,FALSE)</f>
        <v>30</v>
      </c>
      <c r="D1624" s="25">
        <f>+SUMIFS(PROVEEDORES[Total],PROVEEDORES[PROVEEDOR],PROVEEDORES[[#This Row],[PROVEEDOR]],PROVEEDORES[FECHA DE PAGO],"")</f>
        <v>17870934.149999999</v>
      </c>
      <c r="E1624" s="25"/>
      <c r="F162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4" s="68">
        <v>45104</v>
      </c>
      <c r="H1624" s="26" t="s">
        <v>18</v>
      </c>
      <c r="I1624" s="68">
        <v>45055</v>
      </c>
      <c r="J1624" s="35" t="s">
        <v>1683</v>
      </c>
      <c r="K1624" s="21">
        <v>743608</v>
      </c>
      <c r="L1624" s="21"/>
      <c r="M1624" s="22">
        <f>(PROVEEDORES[[#This Row],[SUBTOTAL]]-PROVEEDORES[[#This Row],[descuento sobre subtotal]])*VLOOKUP(PROVEEDORES[[#This Row],[PROVEEDOR]],TERCEROS_INFO[#All],3,FALSE)</f>
        <v>141285.51999999999</v>
      </c>
      <c r="N1624" s="23"/>
      <c r="O1624" s="22">
        <f>+PROVEEDORES[[#This Row],[Descuento sobre subtotal %]]*(PROVEEDORES[[#This Row],[SUBTOTAL]]-PROVEEDORES[[#This Row],[descuento sobre subtotal]])</f>
        <v>0</v>
      </c>
      <c r="P1624" s="74">
        <f>+IF(PROVEEDORES[[#This Row],[SUBTOTAL]]&lt;PROVEEDORES[[#This Row],[base retencion]],0,PROVEEDORES[[#This Row],[retención aplicada]])</f>
        <v>0</v>
      </c>
      <c r="Q1624" s="22">
        <f>+PROVEEDORES[[#This Row],[Rete Fuente %]]*(PROVEEDORES[[#This Row],[SUBTOTAL]]-PROVEEDORES[[#This Row],[descuento sobre subtotal]])</f>
        <v>0</v>
      </c>
      <c r="R1624" s="21">
        <f>+PROVEEDORES[[#This Row],[SUBTOTAL]]+PROVEEDORES[[#This Row],[IVA 19%]]-PROVEEDORES[[#This Row],[descuento sobre subtotal]]-PROVEEDORES[[#This Row],[Descuento sobre subtotal $2]]-PROVEEDORES[[#This Row],[Rete Fuente $]]</f>
        <v>884893.52</v>
      </c>
      <c r="S16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4" s="63">
        <f ca="1">IF(PROVEEDORES[[#This Row],[FECHA DE PAGO]]=0,TODAY()-PROVEEDORES[[#This Row],[FECHA DE FACTURACIÓN]]-PROVEEDORES[[#This Row],[PLAZO Días]],0)</f>
        <v>0</v>
      </c>
      <c r="U1624" s="104" t="str">
        <f>+VLOOKUP(PROVEEDORES[[#This Row],[PROVEEDOR]],Terceros!$A:$D,4,FALSE)</f>
        <v>2,5% con base</v>
      </c>
      <c r="V1624" s="105">
        <f>+YEAR(PROVEEDORES[[#This Row],[FECHA DE FACTURACIÓN]])</f>
        <v>2023</v>
      </c>
      <c r="W1624" s="105">
        <f>+MATCH(PROVEEDORES[[#This Row],[año facturado]],Retenciones!$1:$1,0)</f>
        <v>6</v>
      </c>
      <c r="X1624" s="106">
        <f>+VLOOKUP(PROVEEDORES[[#This Row],[ID RETENCION]],Retenciones!$A$1:$O$25,PROVEEDORES[[#This Row],[indicador de columna]],FALSE)</f>
        <v>1145000</v>
      </c>
      <c r="Y1624" s="107">
        <f>+VLOOKUP(PROVEEDORES[[#This Row],[ID RETENCION]],Retenciones!$A$1:$O$25,2,FALSE)</f>
        <v>2.5000000000000001E-2</v>
      </c>
      <c r="Z1624" s="116" t="b">
        <f>OR(COUNTIF(PROVEEDORES[[#This Row],[PROVEEDOR]],"*"&amp;'Palabra no opera'!$A$2&amp;"*"))</f>
        <v>0</v>
      </c>
    </row>
    <row r="1625" spans="1:26" ht="22.35" customHeight="1" x14ac:dyDescent="0.3">
      <c r="A1625" s="67" t="str">
        <f>+IF(PROVEEDORES[[#This Row],[FECHA DE PAGO]]=PROVEEDORES[[#This Row],[FECHA DE FACTURACIÓN]],"DE CONTADO","CRÉDITO")</f>
        <v>CRÉDITO</v>
      </c>
      <c r="B1625" s="38" t="str">
        <f>+IF((PROVEEDORES[[#This Row],[FECHA DE PAGO]]-PROVEEDORES[[#This Row],[FECHA DE FACTURACIÓN]])&gt;PROVEEDORES[[#This Row],[PLAZO Días]],"PAGO VENCIDO")</f>
        <v>PAGO VENCIDO</v>
      </c>
      <c r="C1625" s="20">
        <f>+VLOOKUP(PROVEEDORES[[#This Row],[PROVEEDOR]],TERCEROS_INFO[#All],2,FALSE)</f>
        <v>30</v>
      </c>
      <c r="D1625" s="25">
        <f>+SUMIFS(PROVEEDORES[Total],PROVEEDORES[PROVEEDOR],PROVEEDORES[[#This Row],[PROVEEDOR]],PROVEEDORES[FECHA DE PAGO],"")</f>
        <v>17870934.149999999</v>
      </c>
      <c r="E1625" s="25"/>
      <c r="F162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5" s="68">
        <v>45104</v>
      </c>
      <c r="H1625" s="26" t="s">
        <v>18</v>
      </c>
      <c r="I1625" s="68">
        <v>45057</v>
      </c>
      <c r="J1625" s="35" t="s">
        <v>1684</v>
      </c>
      <c r="K1625" s="21">
        <v>804018</v>
      </c>
      <c r="L1625" s="21"/>
      <c r="M1625" s="22">
        <f>(PROVEEDORES[[#This Row],[SUBTOTAL]]-PROVEEDORES[[#This Row],[descuento sobre subtotal]])*VLOOKUP(PROVEEDORES[[#This Row],[PROVEEDOR]],TERCEROS_INFO[#All],3,FALSE)</f>
        <v>152763.42000000001</v>
      </c>
      <c r="N1625" s="23"/>
      <c r="O1625" s="22">
        <f>+PROVEEDORES[[#This Row],[Descuento sobre subtotal %]]*(PROVEEDORES[[#This Row],[SUBTOTAL]]-PROVEEDORES[[#This Row],[descuento sobre subtotal]])</f>
        <v>0</v>
      </c>
      <c r="P1625" s="74">
        <f>+IF(PROVEEDORES[[#This Row],[SUBTOTAL]]&lt;PROVEEDORES[[#This Row],[base retencion]],0,PROVEEDORES[[#This Row],[retención aplicada]])</f>
        <v>0</v>
      </c>
      <c r="Q1625" s="22">
        <f>+PROVEEDORES[[#This Row],[Rete Fuente %]]*(PROVEEDORES[[#This Row],[SUBTOTAL]]-PROVEEDORES[[#This Row],[descuento sobre subtotal]])</f>
        <v>0</v>
      </c>
      <c r="R1625" s="21">
        <f>+PROVEEDORES[[#This Row],[SUBTOTAL]]+PROVEEDORES[[#This Row],[IVA 19%]]-PROVEEDORES[[#This Row],[descuento sobre subtotal]]-PROVEEDORES[[#This Row],[Descuento sobre subtotal $2]]-PROVEEDORES[[#This Row],[Rete Fuente $]]</f>
        <v>956781.42</v>
      </c>
      <c r="S162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5" s="63">
        <f ca="1">IF(PROVEEDORES[[#This Row],[FECHA DE PAGO]]=0,TODAY()-PROVEEDORES[[#This Row],[FECHA DE FACTURACIÓN]]-PROVEEDORES[[#This Row],[PLAZO Días]],0)</f>
        <v>0</v>
      </c>
      <c r="U1625" s="104" t="str">
        <f>+VLOOKUP(PROVEEDORES[[#This Row],[PROVEEDOR]],Terceros!$A:$D,4,FALSE)</f>
        <v>2,5% con base</v>
      </c>
      <c r="V1625" s="105">
        <f>+YEAR(PROVEEDORES[[#This Row],[FECHA DE FACTURACIÓN]])</f>
        <v>2023</v>
      </c>
      <c r="W1625" s="105">
        <f>+MATCH(PROVEEDORES[[#This Row],[año facturado]],Retenciones!$1:$1,0)</f>
        <v>6</v>
      </c>
      <c r="X1625" s="106">
        <f>+VLOOKUP(PROVEEDORES[[#This Row],[ID RETENCION]],Retenciones!$A$1:$O$25,PROVEEDORES[[#This Row],[indicador de columna]],FALSE)</f>
        <v>1145000</v>
      </c>
      <c r="Y1625" s="107">
        <f>+VLOOKUP(PROVEEDORES[[#This Row],[ID RETENCION]],Retenciones!$A$1:$O$25,2,FALSE)</f>
        <v>2.5000000000000001E-2</v>
      </c>
      <c r="Z1625" s="116" t="b">
        <f>OR(COUNTIF(PROVEEDORES[[#This Row],[PROVEEDOR]],"*"&amp;'Palabra no opera'!$A$2&amp;"*"))</f>
        <v>0</v>
      </c>
    </row>
    <row r="1626" spans="1:26" ht="22.35" customHeight="1" x14ac:dyDescent="0.3">
      <c r="A1626" s="310" t="str">
        <f>+IF(PROVEEDORES[[#This Row],[FECHA DE PAGO]]=PROVEEDORES[[#This Row],[FECHA DE FACTURACIÓN]],"DE CONTADO","CRÉDITO")</f>
        <v>CRÉDITO</v>
      </c>
      <c r="B1626" s="38" t="str">
        <f>+IF((PROVEEDORES[[#This Row],[FECHA DE PAGO]]-PROVEEDORES[[#This Row],[FECHA DE FACTURACIÓN]])&gt;PROVEEDORES[[#This Row],[PLAZO Días]],"PAGO VENCIDO")</f>
        <v>PAGO VENCIDO</v>
      </c>
      <c r="C1626" s="20">
        <f>+VLOOKUP(PROVEEDORES[[#This Row],[PROVEEDOR]],TERCEROS_INFO[#All],2,FALSE)</f>
        <v>30</v>
      </c>
      <c r="D1626" s="25">
        <f>+SUMIFS(PROVEEDORES[Total],PROVEEDORES[PROVEEDOR],PROVEEDORES[[#This Row],[PROVEEDOR]],PROVEEDORES[FECHA DE PAGO],"")</f>
        <v>380979.69</v>
      </c>
      <c r="E1626" s="25"/>
      <c r="F1626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26" s="68">
        <v>45105</v>
      </c>
      <c r="H1626" s="26" t="s">
        <v>615</v>
      </c>
      <c r="I1626" s="68">
        <v>45040</v>
      </c>
      <c r="J1626" s="35" t="s">
        <v>1650</v>
      </c>
      <c r="K1626" s="21">
        <v>2615172</v>
      </c>
      <c r="L1626" s="21"/>
      <c r="M1626" s="22">
        <f>(PROVEEDORES[[#This Row],[SUBTOTAL]]-PROVEEDORES[[#This Row],[descuento sobre subtotal]])*VLOOKUP(PROVEEDORES[[#This Row],[PROVEEDOR]],TERCEROS_INFO[#All],3,FALSE)</f>
        <v>496882.68</v>
      </c>
      <c r="N1626" s="23"/>
      <c r="O1626" s="22">
        <f>+PROVEEDORES[[#This Row],[Descuento sobre subtotal %]]*(PROVEEDORES[[#This Row],[SUBTOTAL]]-PROVEEDORES[[#This Row],[descuento sobre subtotal]])</f>
        <v>0</v>
      </c>
      <c r="P1626" s="74">
        <f>+IF(PROVEEDORES[[#This Row],[SUBTOTAL]]&lt;PROVEEDORES[[#This Row],[base retencion]],0,PROVEEDORES[[#This Row],[retención aplicada]])</f>
        <v>0</v>
      </c>
      <c r="Q1626" s="22">
        <f>+PROVEEDORES[[#This Row],[Rete Fuente %]]*(PROVEEDORES[[#This Row],[SUBTOTAL]]-PROVEEDORES[[#This Row],[descuento sobre subtotal]])</f>
        <v>0</v>
      </c>
      <c r="R1626" s="21">
        <f>+PROVEEDORES[[#This Row],[SUBTOTAL]]+PROVEEDORES[[#This Row],[IVA 19%]]-PROVEEDORES[[#This Row],[descuento sobre subtotal]]-PROVEEDORES[[#This Row],[Descuento sobre subtotal $2]]-PROVEEDORES[[#This Row],[Rete Fuente $]]</f>
        <v>3112054.68</v>
      </c>
      <c r="S1626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6" s="63">
        <f ca="1">IF(PROVEEDORES[[#This Row],[FECHA DE PAGO]]=0,TODAY()-PROVEEDORES[[#This Row],[FECHA DE FACTURACIÓN]]-PROVEEDORES[[#This Row],[PLAZO Días]],0)</f>
        <v>0</v>
      </c>
      <c r="U1626" s="104">
        <f>+VLOOKUP(PROVEEDORES[[#This Row],[PROVEEDOR]],Terceros!$A:$D,4,FALSE)</f>
        <v>0</v>
      </c>
      <c r="V1626" s="105">
        <f>+YEAR(PROVEEDORES[[#This Row],[FECHA DE FACTURACIÓN]])</f>
        <v>2023</v>
      </c>
      <c r="W1626" s="105">
        <f>+MATCH(PROVEEDORES[[#This Row],[año facturado]],Retenciones!$1:$1,0)</f>
        <v>6</v>
      </c>
      <c r="X1626" s="106">
        <f>+VLOOKUP(PROVEEDORES[[#This Row],[ID RETENCION]],Retenciones!$A$1:$O$25,PROVEEDORES[[#This Row],[indicador de columna]],FALSE)</f>
        <v>0</v>
      </c>
      <c r="Y1626" s="107">
        <f>+VLOOKUP(PROVEEDORES[[#This Row],[ID RETENCION]],Retenciones!$A$1:$O$25,2,FALSE)</f>
        <v>0</v>
      </c>
      <c r="Z1626" s="116" t="b">
        <f>OR(COUNTIF(PROVEEDORES[[#This Row],[PROVEEDOR]],"*"&amp;'Palabra no opera'!$A$2&amp;"*"))</f>
        <v>1</v>
      </c>
    </row>
    <row r="1627" spans="1:26" ht="22.35" customHeight="1" x14ac:dyDescent="0.3">
      <c r="A1627" s="327" t="str">
        <f>+IF(PROVEEDORES[[#This Row],[FECHA DE PAGO]]=PROVEEDORES[[#This Row],[FECHA DE FACTURACIÓN]],"DE CONTADO","CRÉDITO")</f>
        <v>DE CONTADO</v>
      </c>
      <c r="B1627" s="38" t="b">
        <f>+IF((PROVEEDORES[[#This Row],[FECHA DE PAGO]]-PROVEEDORES[[#This Row],[FECHA DE FACTURACIÓN]])&gt;PROVEEDORES[[#This Row],[PLAZO Días]],"PAGO VENCIDO")</f>
        <v>0</v>
      </c>
      <c r="C1627" s="20">
        <f>+VLOOKUP(PROVEEDORES[[#This Row],[PROVEEDOR]],TERCEROS_INFO[#All],2,FALSE)</f>
        <v>30</v>
      </c>
      <c r="D1627" s="25">
        <f>+SUMIFS(PROVEEDORES[Total],PROVEEDORES[PROVEEDOR],PROVEEDORES[[#This Row],[PROVEEDOR]],PROVEEDORES[FECHA DE PAGO],"")</f>
        <v>0</v>
      </c>
      <c r="E1627" s="25"/>
      <c r="F1627" s="56" t="str">
        <f>+VLOOKUP(PROVEEDORES[[#This Row],[PROVEEDOR]],
                       Terceros!$A:$F,
                       5,
                       FALSE)</f>
        <v/>
      </c>
      <c r="G1627" s="68">
        <v>45106</v>
      </c>
      <c r="H1627" s="26" t="s">
        <v>1401</v>
      </c>
      <c r="I1627" s="68">
        <v>45106</v>
      </c>
      <c r="J1627" s="35" t="s">
        <v>1761</v>
      </c>
      <c r="K1627" s="21">
        <v>375000</v>
      </c>
      <c r="L1627" s="21"/>
      <c r="M1627" s="22">
        <f>(PROVEEDORES[[#This Row],[SUBTOTAL]]-PROVEEDORES[[#This Row],[descuento sobre subtotal]])*VLOOKUP(PROVEEDORES[[#This Row],[PROVEEDOR]],TERCEROS_INFO[#All],3,FALSE)</f>
        <v>0</v>
      </c>
      <c r="N1627" s="23"/>
      <c r="O1627" s="22">
        <f>+PROVEEDORES[[#This Row],[Descuento sobre subtotal %]]*(PROVEEDORES[[#This Row],[SUBTOTAL]]-PROVEEDORES[[#This Row],[descuento sobre subtotal]])</f>
        <v>0</v>
      </c>
      <c r="P1627" s="74">
        <f>+IF(PROVEEDORES[[#This Row],[SUBTOTAL]]&lt;PROVEEDORES[[#This Row],[base retencion]],0,PROVEEDORES[[#This Row],[retención aplicada]])</f>
        <v>0</v>
      </c>
      <c r="Q1627" s="22">
        <f>+PROVEEDORES[[#This Row],[Rete Fuente %]]*(PROVEEDORES[[#This Row],[SUBTOTAL]]-PROVEEDORES[[#This Row],[descuento sobre subtotal]])</f>
        <v>0</v>
      </c>
      <c r="R1627" s="21">
        <f>+PROVEEDORES[[#This Row],[SUBTOTAL]]+PROVEEDORES[[#This Row],[IVA 19%]]-PROVEEDORES[[#This Row],[descuento sobre subtotal]]-PROVEEDORES[[#This Row],[Descuento sobre subtotal $2]]-PROVEEDORES[[#This Row],[Rete Fuente $]]</f>
        <v>375000</v>
      </c>
      <c r="S1627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7" s="63">
        <f ca="1">IF(PROVEEDORES[[#This Row],[FECHA DE PAGO]]=0,TODAY()-PROVEEDORES[[#This Row],[FECHA DE FACTURACIÓN]]-PROVEEDORES[[#This Row],[PLAZO Días]],0)</f>
        <v>0</v>
      </c>
      <c r="U1627" s="104">
        <f>+VLOOKUP(PROVEEDORES[[#This Row],[PROVEEDOR]],Terceros!$A:$D,4,FALSE)</f>
        <v>0</v>
      </c>
      <c r="V1627" s="105">
        <f>+YEAR(PROVEEDORES[[#This Row],[FECHA DE FACTURACIÓN]])</f>
        <v>2023</v>
      </c>
      <c r="W1627" s="105">
        <f>+MATCH(PROVEEDORES[[#This Row],[año facturado]],Retenciones!$1:$1,0)</f>
        <v>6</v>
      </c>
      <c r="X1627" s="106">
        <f>+VLOOKUP(PROVEEDORES[[#This Row],[ID RETENCION]],Retenciones!$A$1:$O$25,PROVEEDORES[[#This Row],[indicador de columna]],FALSE)</f>
        <v>0</v>
      </c>
      <c r="Y1627" s="107">
        <f>+VLOOKUP(PROVEEDORES[[#This Row],[ID RETENCION]],Retenciones!$A$1:$O$25,2,FALSE)</f>
        <v>0</v>
      </c>
      <c r="Z1627" s="116" t="b">
        <f>OR(COUNTIF(PROVEEDORES[[#This Row],[PROVEEDOR]],"*"&amp;'Palabra no opera'!$A$2&amp;"*"))</f>
        <v>0</v>
      </c>
    </row>
    <row r="1628" spans="1:26" ht="22.35" customHeight="1" x14ac:dyDescent="0.3">
      <c r="A1628" s="67" t="str">
        <f>+IF(PROVEEDORES[[#This Row],[FECHA DE PAGO]]=PROVEEDORES[[#This Row],[FECHA DE FACTURACIÓN]],"DE CONTADO","CRÉDITO")</f>
        <v>CRÉDITO</v>
      </c>
      <c r="B1628" s="38" t="b">
        <f>+IF((PROVEEDORES[[#This Row],[FECHA DE PAGO]]-PROVEEDORES[[#This Row],[FECHA DE FACTURACIÓN]])&gt;PROVEEDORES[[#This Row],[PLAZO Días]],"PAGO VENCIDO")</f>
        <v>0</v>
      </c>
      <c r="C1628" s="20">
        <f>+VLOOKUP(PROVEEDORES[[#This Row],[PROVEEDOR]],TERCEROS_INFO[#All],2,FALSE)</f>
        <v>30</v>
      </c>
      <c r="D1628" s="25">
        <f>+SUMIFS(PROVEEDORES[Total],PROVEEDORES[PROVEEDOR],PROVEEDORES[[#This Row],[PROVEEDOR]],PROVEEDORES[FECHA DE PAGO],"")</f>
        <v>0</v>
      </c>
      <c r="E1628" s="25"/>
      <c r="F1628" s="56" t="str">
        <f>+VLOOKUP(PROVEEDORES[[#This Row],[PROVEEDOR]],
                       Terceros!$A:$F,
                       5,
                       FALSE)</f>
        <v/>
      </c>
      <c r="G1628" s="68">
        <v>45108</v>
      </c>
      <c r="H1628" s="26" t="s">
        <v>1194</v>
      </c>
      <c r="I1628" s="68">
        <v>45107</v>
      </c>
      <c r="J1628" s="35" t="s">
        <v>1833</v>
      </c>
      <c r="K1628" s="21">
        <v>2505000</v>
      </c>
      <c r="L1628" s="21"/>
      <c r="M1628" s="22">
        <f>(PROVEEDORES[[#This Row],[SUBTOTAL]]-PROVEEDORES[[#This Row],[descuento sobre subtotal]])*VLOOKUP(PROVEEDORES[[#This Row],[PROVEEDOR]],TERCEROS_INFO[#All],3,FALSE)</f>
        <v>0</v>
      </c>
      <c r="N1628" s="23"/>
      <c r="O1628" s="22">
        <f>+PROVEEDORES[[#This Row],[Descuento sobre subtotal %]]*(PROVEEDORES[[#This Row],[SUBTOTAL]]-PROVEEDORES[[#This Row],[descuento sobre subtotal]])</f>
        <v>0</v>
      </c>
      <c r="P1628" s="74">
        <f>+IF(PROVEEDORES[[#This Row],[SUBTOTAL]]&lt;PROVEEDORES[[#This Row],[base retencion]],0,PROVEEDORES[[#This Row],[retención aplicada]])</f>
        <v>0</v>
      </c>
      <c r="Q1628" s="22">
        <f>+PROVEEDORES[[#This Row],[Rete Fuente %]]*(PROVEEDORES[[#This Row],[SUBTOTAL]]-PROVEEDORES[[#This Row],[descuento sobre subtotal]])</f>
        <v>0</v>
      </c>
      <c r="R1628" s="21">
        <f>+PROVEEDORES[[#This Row],[SUBTOTAL]]+PROVEEDORES[[#This Row],[IVA 19%]]-PROVEEDORES[[#This Row],[descuento sobre subtotal]]-PROVEEDORES[[#This Row],[Descuento sobre subtotal $2]]-PROVEEDORES[[#This Row],[Rete Fuente $]]</f>
        <v>2505000</v>
      </c>
      <c r="S162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8" s="63">
        <f ca="1">IF(PROVEEDORES[[#This Row],[FECHA DE PAGO]]=0,TODAY()-PROVEEDORES[[#This Row],[FECHA DE FACTURACIÓN]]-PROVEEDORES[[#This Row],[PLAZO Días]],0)</f>
        <v>0</v>
      </c>
      <c r="U1628" s="104">
        <f>+VLOOKUP(PROVEEDORES[[#This Row],[PROVEEDOR]],Terceros!$A:$D,4,FALSE)</f>
        <v>0</v>
      </c>
      <c r="V1628" s="105">
        <f>+YEAR(PROVEEDORES[[#This Row],[FECHA DE FACTURACIÓN]])</f>
        <v>2023</v>
      </c>
      <c r="W1628" s="105">
        <f>+MATCH(PROVEEDORES[[#This Row],[año facturado]],Retenciones!$1:$1,0)</f>
        <v>6</v>
      </c>
      <c r="X1628" s="106">
        <f>+VLOOKUP(PROVEEDORES[[#This Row],[ID RETENCION]],Retenciones!$A$1:$O$25,PROVEEDORES[[#This Row],[indicador de columna]],FALSE)</f>
        <v>0</v>
      </c>
      <c r="Y1628" s="107">
        <f>+VLOOKUP(PROVEEDORES[[#This Row],[ID RETENCION]],Retenciones!$A$1:$O$25,2,FALSE)</f>
        <v>0</v>
      </c>
      <c r="Z1628" s="116" t="b">
        <f>OR(COUNTIF(PROVEEDORES[[#This Row],[PROVEEDOR]],"*"&amp;'Palabra no opera'!$A$2&amp;"*"))</f>
        <v>0</v>
      </c>
    </row>
    <row r="1629" spans="1:26" ht="22.35" customHeight="1" x14ac:dyDescent="0.3">
      <c r="A1629" s="67" t="str">
        <f>+IF(PROVEEDORES[[#This Row],[FECHA DE PAGO]]=PROVEEDORES[[#This Row],[FECHA DE FACTURACIÓN]],"DE CONTADO","CRÉDITO")</f>
        <v>DE CONTADO</v>
      </c>
      <c r="B1629" s="38" t="b">
        <f>+IF((PROVEEDORES[[#This Row],[FECHA DE PAGO]]-PROVEEDORES[[#This Row],[FECHA DE FACTURACIÓN]])&gt;PROVEEDORES[[#This Row],[PLAZO Días]],"PAGO VENCIDO")</f>
        <v>0</v>
      </c>
      <c r="C1629" s="20">
        <f>+VLOOKUP(PROVEEDORES[[#This Row],[PROVEEDOR]],TERCEROS_INFO[#All],2,FALSE)</f>
        <v>30</v>
      </c>
      <c r="D1629" s="25">
        <f>+SUMIFS(PROVEEDORES[Total],PROVEEDORES[PROVEEDOR],PROVEEDORES[[#This Row],[PROVEEDOR]],PROVEEDORES[FECHA DE PAGO],"")</f>
        <v>0</v>
      </c>
      <c r="E1629" s="25"/>
      <c r="F1629" s="56" t="str">
        <f>+VLOOKUP(PROVEEDORES[[#This Row],[PROVEEDOR]],
                       Terceros!$A:$F,
                       5,
                       FALSE)</f>
        <v/>
      </c>
      <c r="G1629" s="68">
        <v>45108</v>
      </c>
      <c r="H1629" s="26" t="s">
        <v>1401</v>
      </c>
      <c r="I1629" s="68">
        <v>45108</v>
      </c>
      <c r="J1629" s="35" t="s">
        <v>1178</v>
      </c>
      <c r="K1629" s="21">
        <v>840000</v>
      </c>
      <c r="L1629" s="21"/>
      <c r="M1629" s="22">
        <f>(PROVEEDORES[[#This Row],[SUBTOTAL]]-PROVEEDORES[[#This Row],[descuento sobre subtotal]])*VLOOKUP(PROVEEDORES[[#This Row],[PROVEEDOR]],TERCEROS_INFO[#All],3,FALSE)</f>
        <v>0</v>
      </c>
      <c r="N1629" s="23"/>
      <c r="O1629" s="22">
        <f>+PROVEEDORES[[#This Row],[Descuento sobre subtotal %]]*(PROVEEDORES[[#This Row],[SUBTOTAL]]-PROVEEDORES[[#This Row],[descuento sobre subtotal]])</f>
        <v>0</v>
      </c>
      <c r="P1629" s="74">
        <f>+IF(PROVEEDORES[[#This Row],[SUBTOTAL]]&lt;PROVEEDORES[[#This Row],[base retencion]],0,PROVEEDORES[[#This Row],[retención aplicada]])</f>
        <v>0</v>
      </c>
      <c r="Q1629" s="22">
        <f>+PROVEEDORES[[#This Row],[Rete Fuente %]]*(PROVEEDORES[[#This Row],[SUBTOTAL]]-PROVEEDORES[[#This Row],[descuento sobre subtotal]])</f>
        <v>0</v>
      </c>
      <c r="R1629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16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9" s="63">
        <f ca="1">IF(PROVEEDORES[[#This Row],[FECHA DE PAGO]]=0,TODAY()-PROVEEDORES[[#This Row],[FECHA DE FACTURACIÓN]]-PROVEEDORES[[#This Row],[PLAZO Días]],0)</f>
        <v>0</v>
      </c>
      <c r="U1629" s="104">
        <f>+VLOOKUP(PROVEEDORES[[#This Row],[PROVEEDOR]],Terceros!$A:$D,4,FALSE)</f>
        <v>0</v>
      </c>
      <c r="V1629" s="105">
        <f>+YEAR(PROVEEDORES[[#This Row],[FECHA DE FACTURACIÓN]])</f>
        <v>2023</v>
      </c>
      <c r="W1629" s="105">
        <f>+MATCH(PROVEEDORES[[#This Row],[año facturado]],Retenciones!$1:$1,0)</f>
        <v>6</v>
      </c>
      <c r="X1629" s="106">
        <f>+VLOOKUP(PROVEEDORES[[#This Row],[ID RETENCION]],Retenciones!$A$1:$O$25,PROVEEDORES[[#This Row],[indicador de columna]],FALSE)</f>
        <v>0</v>
      </c>
      <c r="Y1629" s="107">
        <f>+VLOOKUP(PROVEEDORES[[#This Row],[ID RETENCION]],Retenciones!$A$1:$O$25,2,FALSE)</f>
        <v>0</v>
      </c>
      <c r="Z1629" s="116" t="b">
        <f>OR(COUNTIF(PROVEEDORES[[#This Row],[PROVEEDOR]],"*"&amp;'Palabra no opera'!$A$2&amp;"*"))</f>
        <v>0</v>
      </c>
    </row>
    <row r="1630" spans="1:26" ht="22.35" customHeight="1" x14ac:dyDescent="0.3">
      <c r="A1630" s="67" t="str">
        <f>+IF(PROVEEDORES[[#This Row],[FECHA DE PAGO]]=PROVEEDORES[[#This Row],[FECHA DE FACTURACIÓN]],"DE CONTADO","CRÉDITO")</f>
        <v>DE CONTADO</v>
      </c>
      <c r="B1630" s="38" t="b">
        <f>+IF((PROVEEDORES[[#This Row],[FECHA DE PAGO]]-PROVEEDORES[[#This Row],[FECHA DE FACTURACIÓN]])&gt;PROVEEDORES[[#This Row],[PLAZO Días]],"PAGO VENCIDO")</f>
        <v>0</v>
      </c>
      <c r="C1630" s="20">
        <f>+VLOOKUP(PROVEEDORES[[#This Row],[PROVEEDOR]],TERCEROS_INFO[#All],2,FALSE)</f>
        <v>30</v>
      </c>
      <c r="D1630" s="25">
        <f>+SUMIFS(PROVEEDORES[Total],PROVEEDORES[PROVEEDOR],PROVEEDORES[[#This Row],[PROVEEDOR]],PROVEEDORES[FECHA DE PAGO],"")</f>
        <v>0</v>
      </c>
      <c r="E1630" s="25"/>
      <c r="F1630" s="56" t="str">
        <f>+VLOOKUP(PROVEEDORES[[#This Row],[PROVEEDOR]],
                       Terceros!$A:$F,
                       5,
                       FALSE)</f>
        <v/>
      </c>
      <c r="G1630" s="68">
        <v>45108</v>
      </c>
      <c r="H1630" s="26" t="s">
        <v>1401</v>
      </c>
      <c r="I1630" s="68">
        <v>45108</v>
      </c>
      <c r="J1630" s="35" t="s">
        <v>1379</v>
      </c>
      <c r="K1630" s="21">
        <v>171400</v>
      </c>
      <c r="L1630" s="21"/>
      <c r="M1630" s="22">
        <f>(PROVEEDORES[[#This Row],[SUBTOTAL]]-PROVEEDORES[[#This Row],[descuento sobre subtotal]])*VLOOKUP(PROVEEDORES[[#This Row],[PROVEEDOR]],TERCEROS_INFO[#All],3,FALSE)</f>
        <v>0</v>
      </c>
      <c r="N1630" s="23"/>
      <c r="O1630" s="22">
        <f>+PROVEEDORES[[#This Row],[Descuento sobre subtotal %]]*(PROVEEDORES[[#This Row],[SUBTOTAL]]-PROVEEDORES[[#This Row],[descuento sobre subtotal]])</f>
        <v>0</v>
      </c>
      <c r="P1630" s="74">
        <f>+IF(PROVEEDORES[[#This Row],[SUBTOTAL]]&lt;PROVEEDORES[[#This Row],[base retencion]],0,PROVEEDORES[[#This Row],[retención aplicada]])</f>
        <v>0</v>
      </c>
      <c r="Q1630" s="22">
        <f>+PROVEEDORES[[#This Row],[Rete Fuente %]]*(PROVEEDORES[[#This Row],[SUBTOTAL]]-PROVEEDORES[[#This Row],[descuento sobre subtotal]])</f>
        <v>0</v>
      </c>
      <c r="R1630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16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0" s="63">
        <f ca="1">IF(PROVEEDORES[[#This Row],[FECHA DE PAGO]]=0,TODAY()-PROVEEDORES[[#This Row],[FECHA DE FACTURACIÓN]]-PROVEEDORES[[#This Row],[PLAZO Días]],0)</f>
        <v>0</v>
      </c>
      <c r="U1630" s="104">
        <f>+VLOOKUP(PROVEEDORES[[#This Row],[PROVEEDOR]],Terceros!$A:$D,4,FALSE)</f>
        <v>0</v>
      </c>
      <c r="V1630" s="105">
        <f>+YEAR(PROVEEDORES[[#This Row],[FECHA DE FACTURACIÓN]])</f>
        <v>2023</v>
      </c>
      <c r="W1630" s="105">
        <f>+MATCH(PROVEEDORES[[#This Row],[año facturado]],Retenciones!$1:$1,0)</f>
        <v>6</v>
      </c>
      <c r="X1630" s="106">
        <f>+VLOOKUP(PROVEEDORES[[#This Row],[ID RETENCION]],Retenciones!$A$1:$O$25,PROVEEDORES[[#This Row],[indicador de columna]],FALSE)</f>
        <v>0</v>
      </c>
      <c r="Y1630" s="107">
        <f>+VLOOKUP(PROVEEDORES[[#This Row],[ID RETENCION]],Retenciones!$A$1:$O$25,2,FALSE)</f>
        <v>0</v>
      </c>
      <c r="Z1630" s="116" t="b">
        <f>OR(COUNTIF(PROVEEDORES[[#This Row],[PROVEEDOR]],"*"&amp;'Palabra no opera'!$A$2&amp;"*"))</f>
        <v>0</v>
      </c>
    </row>
    <row r="1631" spans="1:26" ht="22.35" customHeight="1" x14ac:dyDescent="0.3">
      <c r="A1631" s="67" t="str">
        <f>+IF(PROVEEDORES[[#This Row],[FECHA DE PAGO]]=PROVEEDORES[[#This Row],[FECHA DE FACTURACIÓN]],"DE CONTADO","CRÉDITO")</f>
        <v>DE CONTADO</v>
      </c>
      <c r="B1631" s="38" t="b">
        <f>+IF((PROVEEDORES[[#This Row],[FECHA DE PAGO]]-PROVEEDORES[[#This Row],[FECHA DE FACTURACIÓN]])&gt;PROVEEDORES[[#This Row],[PLAZO Días]],"PAGO VENCIDO")</f>
        <v>0</v>
      </c>
      <c r="C1631" s="20">
        <f>+VLOOKUP(PROVEEDORES[[#This Row],[PROVEEDOR]],TERCEROS_INFO[#All],2,FALSE)</f>
        <v>30</v>
      </c>
      <c r="D1631" s="25">
        <f>+SUMIFS(PROVEEDORES[Total],PROVEEDORES[PROVEEDOR],PROVEEDORES[[#This Row],[PROVEEDOR]],PROVEEDORES[FECHA DE PAGO],"")</f>
        <v>0</v>
      </c>
      <c r="E1631" s="25"/>
      <c r="F1631" s="56" t="str">
        <f>+VLOOKUP(PROVEEDORES[[#This Row],[PROVEEDOR]],
                       Terceros!$A:$F,
                       5,
                       FALSE)</f>
        <v/>
      </c>
      <c r="G1631" s="68">
        <v>45108</v>
      </c>
      <c r="H1631" s="26" t="s">
        <v>1401</v>
      </c>
      <c r="I1631" s="68">
        <v>45108</v>
      </c>
      <c r="J1631" s="35" t="s">
        <v>1177</v>
      </c>
      <c r="K1631" s="21">
        <v>1419000</v>
      </c>
      <c r="L1631" s="21"/>
      <c r="M1631" s="22">
        <f>(PROVEEDORES[[#This Row],[SUBTOTAL]]-PROVEEDORES[[#This Row],[descuento sobre subtotal]])*VLOOKUP(PROVEEDORES[[#This Row],[PROVEEDOR]],TERCEROS_INFO[#All],3,FALSE)</f>
        <v>0</v>
      </c>
      <c r="N1631" s="23"/>
      <c r="O1631" s="22">
        <f>+PROVEEDORES[[#This Row],[Descuento sobre subtotal %]]*(PROVEEDORES[[#This Row],[SUBTOTAL]]-PROVEEDORES[[#This Row],[descuento sobre subtotal]])</f>
        <v>0</v>
      </c>
      <c r="P1631" s="74">
        <f>+IF(PROVEEDORES[[#This Row],[SUBTOTAL]]&lt;PROVEEDORES[[#This Row],[base retencion]],0,PROVEEDORES[[#This Row],[retención aplicada]])</f>
        <v>0</v>
      </c>
      <c r="Q1631" s="22">
        <f>+PROVEEDORES[[#This Row],[Rete Fuente %]]*(PROVEEDORES[[#This Row],[SUBTOTAL]]-PROVEEDORES[[#This Row],[descuento sobre subtotal]])</f>
        <v>0</v>
      </c>
      <c r="R1631" s="21">
        <f>+PROVEEDORES[[#This Row],[SUBTOTAL]]+PROVEEDORES[[#This Row],[IVA 19%]]-PROVEEDORES[[#This Row],[descuento sobre subtotal]]-PROVEEDORES[[#This Row],[Descuento sobre subtotal $2]]-PROVEEDORES[[#This Row],[Rete Fuente $]]</f>
        <v>1419000</v>
      </c>
      <c r="S16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1" s="63">
        <f ca="1">IF(PROVEEDORES[[#This Row],[FECHA DE PAGO]]=0,TODAY()-PROVEEDORES[[#This Row],[FECHA DE FACTURACIÓN]]-PROVEEDORES[[#This Row],[PLAZO Días]],0)</f>
        <v>0</v>
      </c>
      <c r="U1631" s="104">
        <f>+VLOOKUP(PROVEEDORES[[#This Row],[PROVEEDOR]],Terceros!$A:$D,4,FALSE)</f>
        <v>0</v>
      </c>
      <c r="V1631" s="105">
        <f>+YEAR(PROVEEDORES[[#This Row],[FECHA DE FACTURACIÓN]])</f>
        <v>2023</v>
      </c>
      <c r="W1631" s="105">
        <f>+MATCH(PROVEEDORES[[#This Row],[año facturado]],Retenciones!$1:$1,0)</f>
        <v>6</v>
      </c>
      <c r="X1631" s="106">
        <f>+VLOOKUP(PROVEEDORES[[#This Row],[ID RETENCION]],Retenciones!$A$1:$O$25,PROVEEDORES[[#This Row],[indicador de columna]],FALSE)</f>
        <v>0</v>
      </c>
      <c r="Y1631" s="107">
        <f>+VLOOKUP(PROVEEDORES[[#This Row],[ID RETENCION]],Retenciones!$A$1:$O$25,2,FALSE)</f>
        <v>0</v>
      </c>
      <c r="Z1631" s="116" t="b">
        <f>OR(COUNTIF(PROVEEDORES[[#This Row],[PROVEEDOR]],"*"&amp;'Palabra no opera'!$A$2&amp;"*"))</f>
        <v>0</v>
      </c>
    </row>
    <row r="1632" spans="1:26" ht="22.35" customHeight="1" x14ac:dyDescent="0.3">
      <c r="A1632" s="67" t="str">
        <f>+IF(PROVEEDORES[[#This Row],[FECHA DE PAGO]]=PROVEEDORES[[#This Row],[FECHA DE FACTURACIÓN]],"DE CONTADO","CRÉDITO")</f>
        <v>DE CONTADO</v>
      </c>
      <c r="B1632" s="38" t="b">
        <f>+IF((PROVEEDORES[[#This Row],[FECHA DE PAGO]]-PROVEEDORES[[#This Row],[FECHA DE FACTURACIÓN]])&gt;PROVEEDORES[[#This Row],[PLAZO Días]],"PAGO VENCIDO")</f>
        <v>0</v>
      </c>
      <c r="C1632" s="20">
        <f>+VLOOKUP(PROVEEDORES[[#This Row],[PROVEEDOR]],TERCEROS_INFO[#All],2,FALSE)</f>
        <v>30</v>
      </c>
      <c r="D1632" s="25">
        <f>+SUMIFS(PROVEEDORES[Total],PROVEEDORES[PROVEEDOR],PROVEEDORES[[#This Row],[PROVEEDOR]],PROVEEDORES[FECHA DE PAGO],"")</f>
        <v>0</v>
      </c>
      <c r="E1632" s="25"/>
      <c r="F1632" s="56" t="str">
        <f>+VLOOKUP(PROVEEDORES[[#This Row],[PROVEEDOR]],
                       Terceros!$A:$F,
                       5,
                       FALSE)</f>
        <v/>
      </c>
      <c r="G1632" s="68">
        <v>45108</v>
      </c>
      <c r="H1632" s="26" t="s">
        <v>1401</v>
      </c>
      <c r="I1632" s="68">
        <v>45108</v>
      </c>
      <c r="J1632" s="35" t="s">
        <v>1180</v>
      </c>
      <c r="K1632" s="21">
        <v>783800</v>
      </c>
      <c r="L1632" s="21"/>
      <c r="M1632" s="22">
        <f>(PROVEEDORES[[#This Row],[SUBTOTAL]]-PROVEEDORES[[#This Row],[descuento sobre subtotal]])*VLOOKUP(PROVEEDORES[[#This Row],[PROVEEDOR]],TERCEROS_INFO[#All],3,FALSE)</f>
        <v>0</v>
      </c>
      <c r="N1632" s="23"/>
      <c r="O1632" s="22">
        <f>+PROVEEDORES[[#This Row],[Descuento sobre subtotal %]]*(PROVEEDORES[[#This Row],[SUBTOTAL]]-PROVEEDORES[[#This Row],[descuento sobre subtotal]])</f>
        <v>0</v>
      </c>
      <c r="P1632" s="74">
        <f>+IF(PROVEEDORES[[#This Row],[SUBTOTAL]]&lt;PROVEEDORES[[#This Row],[base retencion]],0,PROVEEDORES[[#This Row],[retención aplicada]])</f>
        <v>0</v>
      </c>
      <c r="Q1632" s="22">
        <f>+PROVEEDORES[[#This Row],[Rete Fuente %]]*(PROVEEDORES[[#This Row],[SUBTOTAL]]-PROVEEDORES[[#This Row],[descuento sobre subtotal]])</f>
        <v>0</v>
      </c>
      <c r="R1632" s="21">
        <f>+PROVEEDORES[[#This Row],[SUBTOTAL]]+PROVEEDORES[[#This Row],[IVA 19%]]-PROVEEDORES[[#This Row],[descuento sobre subtotal]]-PROVEEDORES[[#This Row],[Descuento sobre subtotal $2]]-PROVEEDORES[[#This Row],[Rete Fuente $]]</f>
        <v>783800</v>
      </c>
      <c r="S16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2" s="63">
        <f ca="1">IF(PROVEEDORES[[#This Row],[FECHA DE PAGO]]=0,TODAY()-PROVEEDORES[[#This Row],[FECHA DE FACTURACIÓN]]-PROVEEDORES[[#This Row],[PLAZO Días]],0)</f>
        <v>0</v>
      </c>
      <c r="U1632" s="104">
        <f>+VLOOKUP(PROVEEDORES[[#This Row],[PROVEEDOR]],Terceros!$A:$D,4,FALSE)</f>
        <v>0</v>
      </c>
      <c r="V1632" s="105">
        <f>+YEAR(PROVEEDORES[[#This Row],[FECHA DE FACTURACIÓN]])</f>
        <v>2023</v>
      </c>
      <c r="W1632" s="105">
        <f>+MATCH(PROVEEDORES[[#This Row],[año facturado]],Retenciones!$1:$1,0)</f>
        <v>6</v>
      </c>
      <c r="X1632" s="106">
        <f>+VLOOKUP(PROVEEDORES[[#This Row],[ID RETENCION]],Retenciones!$A$1:$O$25,PROVEEDORES[[#This Row],[indicador de columna]],FALSE)</f>
        <v>0</v>
      </c>
      <c r="Y1632" s="107">
        <f>+VLOOKUP(PROVEEDORES[[#This Row],[ID RETENCION]],Retenciones!$A$1:$O$25,2,FALSE)</f>
        <v>0</v>
      </c>
      <c r="Z1632" s="116" t="b">
        <f>OR(COUNTIF(PROVEEDORES[[#This Row],[PROVEEDOR]],"*"&amp;'Palabra no opera'!$A$2&amp;"*"))</f>
        <v>0</v>
      </c>
    </row>
    <row r="1633" spans="1:26" ht="22.35" customHeight="1" x14ac:dyDescent="0.3">
      <c r="A1633" s="67" t="str">
        <f>+IF(PROVEEDORES[[#This Row],[FECHA DE PAGO]]=PROVEEDORES[[#This Row],[FECHA DE FACTURACIÓN]],"DE CONTADO","CRÉDITO")</f>
        <v>DE CONTADO</v>
      </c>
      <c r="B1633" s="38" t="b">
        <f>+IF((PROVEEDORES[[#This Row],[FECHA DE PAGO]]-PROVEEDORES[[#This Row],[FECHA DE FACTURACIÓN]])&gt;PROVEEDORES[[#This Row],[PLAZO Días]],"PAGO VENCIDO")</f>
        <v>0</v>
      </c>
      <c r="C1633" s="20">
        <f>+VLOOKUP(PROVEEDORES[[#This Row],[PROVEEDOR]],TERCEROS_INFO[#All],2,FALSE)</f>
        <v>30</v>
      </c>
      <c r="D1633" s="25">
        <f>+SUMIFS(PROVEEDORES[Total],PROVEEDORES[PROVEEDOR],PROVEEDORES[[#This Row],[PROVEEDOR]],PROVEEDORES[FECHA DE PAGO],"")</f>
        <v>0</v>
      </c>
      <c r="E1633" s="25"/>
      <c r="F1633" s="56" t="str">
        <f>+VLOOKUP(PROVEEDORES[[#This Row],[PROVEEDOR]],
                       Terceros!$A:$F,
                       5,
                       FALSE)</f>
        <v/>
      </c>
      <c r="G1633" s="68">
        <v>45108</v>
      </c>
      <c r="H1633" s="26" t="s">
        <v>1401</v>
      </c>
      <c r="I1633" s="68">
        <v>45108</v>
      </c>
      <c r="J1633" s="35" t="s">
        <v>1179</v>
      </c>
      <c r="K1633" s="21">
        <v>62997</v>
      </c>
      <c r="L1633" s="21"/>
      <c r="M1633" s="22">
        <f>(PROVEEDORES[[#This Row],[SUBTOTAL]]-PROVEEDORES[[#This Row],[descuento sobre subtotal]])*VLOOKUP(PROVEEDORES[[#This Row],[PROVEEDOR]],TERCEROS_INFO[#All],3,FALSE)</f>
        <v>0</v>
      </c>
      <c r="N1633" s="23"/>
      <c r="O1633" s="22">
        <f>+PROVEEDORES[[#This Row],[Descuento sobre subtotal %]]*(PROVEEDORES[[#This Row],[SUBTOTAL]]-PROVEEDORES[[#This Row],[descuento sobre subtotal]])</f>
        <v>0</v>
      </c>
      <c r="P1633" s="74">
        <f>+IF(PROVEEDORES[[#This Row],[SUBTOTAL]]&lt;PROVEEDORES[[#This Row],[base retencion]],0,PROVEEDORES[[#This Row],[retención aplicada]])</f>
        <v>0</v>
      </c>
      <c r="Q1633" s="22">
        <f>+PROVEEDORES[[#This Row],[Rete Fuente %]]*(PROVEEDORES[[#This Row],[SUBTOTAL]]-PROVEEDORES[[#This Row],[descuento sobre subtotal]])</f>
        <v>0</v>
      </c>
      <c r="R1633" s="21">
        <f>+PROVEEDORES[[#This Row],[SUBTOTAL]]+PROVEEDORES[[#This Row],[IVA 19%]]-PROVEEDORES[[#This Row],[descuento sobre subtotal]]-PROVEEDORES[[#This Row],[Descuento sobre subtotal $2]]-PROVEEDORES[[#This Row],[Rete Fuente $]]</f>
        <v>62997</v>
      </c>
      <c r="S16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3" s="63">
        <f ca="1">IF(PROVEEDORES[[#This Row],[FECHA DE PAGO]]=0,TODAY()-PROVEEDORES[[#This Row],[FECHA DE FACTURACIÓN]]-PROVEEDORES[[#This Row],[PLAZO Días]],0)</f>
        <v>0</v>
      </c>
      <c r="U1633" s="104">
        <f>+VLOOKUP(PROVEEDORES[[#This Row],[PROVEEDOR]],Terceros!$A:$D,4,FALSE)</f>
        <v>0</v>
      </c>
      <c r="V1633" s="105">
        <f>+YEAR(PROVEEDORES[[#This Row],[FECHA DE FACTURACIÓN]])</f>
        <v>2023</v>
      </c>
      <c r="W1633" s="105">
        <f>+MATCH(PROVEEDORES[[#This Row],[año facturado]],Retenciones!$1:$1,0)</f>
        <v>6</v>
      </c>
      <c r="X1633" s="106">
        <f>+VLOOKUP(PROVEEDORES[[#This Row],[ID RETENCION]],Retenciones!$A$1:$O$25,PROVEEDORES[[#This Row],[indicador de columna]],FALSE)</f>
        <v>0</v>
      </c>
      <c r="Y1633" s="107">
        <f>+VLOOKUP(PROVEEDORES[[#This Row],[ID RETENCION]],Retenciones!$A$1:$O$25,2,FALSE)</f>
        <v>0</v>
      </c>
      <c r="Z1633" s="116" t="b">
        <f>OR(COUNTIF(PROVEEDORES[[#This Row],[PROVEEDOR]],"*"&amp;'Palabra no opera'!$A$2&amp;"*"))</f>
        <v>0</v>
      </c>
    </row>
    <row r="1634" spans="1:26" ht="22.35" customHeight="1" x14ac:dyDescent="0.3">
      <c r="A1634" s="67" t="str">
        <f>+IF(PROVEEDORES[[#This Row],[FECHA DE PAGO]]=PROVEEDORES[[#This Row],[FECHA DE FACTURACIÓN]],"DE CONTADO","CRÉDITO")</f>
        <v>DE CONTADO</v>
      </c>
      <c r="B1634" s="38" t="b">
        <f>+IF((PROVEEDORES[[#This Row],[FECHA DE PAGO]]-PROVEEDORES[[#This Row],[FECHA DE FACTURACIÓN]])&gt;PROVEEDORES[[#This Row],[PLAZO Días]],"PAGO VENCIDO")</f>
        <v>0</v>
      </c>
      <c r="C1634" s="20">
        <f>+VLOOKUP(PROVEEDORES[[#This Row],[PROVEEDOR]],TERCEROS_INFO[#All],2,FALSE)</f>
        <v>30</v>
      </c>
      <c r="D1634" s="25">
        <f>+SUMIFS(PROVEEDORES[Total],PROVEEDORES[PROVEEDOR],PROVEEDORES[[#This Row],[PROVEEDOR]],PROVEEDORES[FECHA DE PAGO],"")</f>
        <v>0</v>
      </c>
      <c r="E1634" s="25"/>
      <c r="F1634" s="56" t="str">
        <f>+VLOOKUP(PROVEEDORES[[#This Row],[PROVEEDOR]],
                       Terceros!$A:$F,
                       5,
                       FALSE)</f>
        <v/>
      </c>
      <c r="G1634" s="68">
        <v>45108</v>
      </c>
      <c r="H1634" s="26" t="s">
        <v>1401</v>
      </c>
      <c r="I1634" s="68">
        <v>45108</v>
      </c>
      <c r="J1634" s="35" t="s">
        <v>1176</v>
      </c>
      <c r="K1634" s="21">
        <v>300500</v>
      </c>
      <c r="L1634" s="21"/>
      <c r="M1634" s="22">
        <f>(PROVEEDORES[[#This Row],[SUBTOTAL]]-PROVEEDORES[[#This Row],[descuento sobre subtotal]])*VLOOKUP(PROVEEDORES[[#This Row],[PROVEEDOR]],TERCEROS_INFO[#All],3,FALSE)</f>
        <v>0</v>
      </c>
      <c r="N1634" s="23"/>
      <c r="O1634" s="22">
        <f>+PROVEEDORES[[#This Row],[Descuento sobre subtotal %]]*(PROVEEDORES[[#This Row],[SUBTOTAL]]-PROVEEDORES[[#This Row],[descuento sobre subtotal]])</f>
        <v>0</v>
      </c>
      <c r="P1634" s="74">
        <f>+IF(PROVEEDORES[[#This Row],[SUBTOTAL]]&lt;PROVEEDORES[[#This Row],[base retencion]],0,PROVEEDORES[[#This Row],[retención aplicada]])</f>
        <v>0</v>
      </c>
      <c r="Q1634" s="22">
        <f>+PROVEEDORES[[#This Row],[Rete Fuente %]]*(PROVEEDORES[[#This Row],[SUBTOTAL]]-PROVEEDORES[[#This Row],[descuento sobre subtotal]])</f>
        <v>0</v>
      </c>
      <c r="R1634" s="21">
        <f>+PROVEEDORES[[#This Row],[SUBTOTAL]]+PROVEEDORES[[#This Row],[IVA 19%]]-PROVEEDORES[[#This Row],[descuento sobre subtotal]]-PROVEEDORES[[#This Row],[Descuento sobre subtotal $2]]-PROVEEDORES[[#This Row],[Rete Fuente $]]</f>
        <v>300500</v>
      </c>
      <c r="S163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4" s="63">
        <f ca="1">IF(PROVEEDORES[[#This Row],[FECHA DE PAGO]]=0,TODAY()-PROVEEDORES[[#This Row],[FECHA DE FACTURACIÓN]]-PROVEEDORES[[#This Row],[PLAZO Días]],0)</f>
        <v>0</v>
      </c>
      <c r="U1634" s="104">
        <f>+VLOOKUP(PROVEEDORES[[#This Row],[PROVEEDOR]],Terceros!$A:$D,4,FALSE)</f>
        <v>0</v>
      </c>
      <c r="V1634" s="105">
        <f>+YEAR(PROVEEDORES[[#This Row],[FECHA DE FACTURACIÓN]])</f>
        <v>2023</v>
      </c>
      <c r="W1634" s="105">
        <f>+MATCH(PROVEEDORES[[#This Row],[año facturado]],Retenciones!$1:$1,0)</f>
        <v>6</v>
      </c>
      <c r="X1634" s="106">
        <f>+VLOOKUP(PROVEEDORES[[#This Row],[ID RETENCION]],Retenciones!$A$1:$O$25,PROVEEDORES[[#This Row],[indicador de columna]],FALSE)</f>
        <v>0</v>
      </c>
      <c r="Y1634" s="107">
        <f>+VLOOKUP(PROVEEDORES[[#This Row],[ID RETENCION]],Retenciones!$A$1:$O$25,2,FALSE)</f>
        <v>0</v>
      </c>
      <c r="Z1634" s="116" t="b">
        <f>OR(COUNTIF(PROVEEDORES[[#This Row],[PROVEEDOR]],"*"&amp;'Palabra no opera'!$A$2&amp;"*"))</f>
        <v>0</v>
      </c>
    </row>
    <row r="1635" spans="1:26" ht="22.35" customHeight="1" x14ac:dyDescent="0.3">
      <c r="A1635" s="316" t="str">
        <f>+IF(PROVEEDORES[[#This Row],[FECHA DE PAGO]]=PROVEEDORES[[#This Row],[FECHA DE FACTURACIÓN]],"DE CONTADO","CRÉDITO")</f>
        <v>CRÉDITO</v>
      </c>
      <c r="B1635" s="38" t="str">
        <f>+IF((PROVEEDORES[[#This Row],[FECHA DE PAGO]]-PROVEEDORES[[#This Row],[FECHA DE FACTURACIÓN]])&gt;PROVEEDORES[[#This Row],[PLAZO Días]],"PAGO VENCIDO")</f>
        <v>PAGO VENCIDO</v>
      </c>
      <c r="C1635" s="20">
        <f>+VLOOKUP(PROVEEDORES[[#This Row],[PROVEEDOR]],TERCEROS_INFO[#All],2,FALSE)</f>
        <v>30</v>
      </c>
      <c r="D1635" s="25">
        <f>+SUMIFS(PROVEEDORES[Total],PROVEEDORES[PROVEEDOR],PROVEEDORES[[#This Row],[PROVEEDOR]],PROVEEDORES[FECHA DE PAGO],"")</f>
        <v>0</v>
      </c>
      <c r="E1635" s="25"/>
      <c r="F1635" s="56" t="str">
        <f>+VLOOKUP(PROVEEDORES[[#This Row],[PROVEEDOR]],
                       Terceros!$A:$F,
                       5,
                       FALSE)</f>
        <v/>
      </c>
      <c r="G1635" s="68">
        <v>45108</v>
      </c>
      <c r="H1635" s="26" t="s">
        <v>401</v>
      </c>
      <c r="I1635" s="68">
        <v>45072</v>
      </c>
      <c r="J1635" s="35" t="s">
        <v>1706</v>
      </c>
      <c r="K1635" s="21">
        <v>978000</v>
      </c>
      <c r="L1635" s="21"/>
      <c r="M1635" s="22">
        <f>(PROVEEDORES[[#This Row],[SUBTOTAL]]-PROVEEDORES[[#This Row],[descuento sobre subtotal]])*VLOOKUP(PROVEEDORES[[#This Row],[PROVEEDOR]],TERCEROS_INFO[#All],3,FALSE)</f>
        <v>0</v>
      </c>
      <c r="N1635" s="23"/>
      <c r="O1635" s="22">
        <f>+PROVEEDORES[[#This Row],[Descuento sobre subtotal %]]*(PROVEEDORES[[#This Row],[SUBTOTAL]]-PROVEEDORES[[#This Row],[descuento sobre subtotal]])</f>
        <v>0</v>
      </c>
      <c r="P1635" s="74">
        <f>+IF(PROVEEDORES[[#This Row],[SUBTOTAL]]&lt;PROVEEDORES[[#This Row],[base retencion]],0,PROVEEDORES[[#This Row],[retención aplicada]])</f>
        <v>0</v>
      </c>
      <c r="Q1635" s="22">
        <f>+PROVEEDORES[[#This Row],[Rete Fuente %]]*(PROVEEDORES[[#This Row],[SUBTOTAL]]-PROVEEDORES[[#This Row],[descuento sobre subtotal]])</f>
        <v>0</v>
      </c>
      <c r="R1635" s="21">
        <f>+PROVEEDORES[[#This Row],[SUBTOTAL]]+PROVEEDORES[[#This Row],[IVA 19%]]-PROVEEDORES[[#This Row],[descuento sobre subtotal]]-PROVEEDORES[[#This Row],[Descuento sobre subtotal $2]]-PROVEEDORES[[#This Row],[Rete Fuente $]]</f>
        <v>978000</v>
      </c>
      <c r="S1635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5" s="63">
        <f ca="1">IF(PROVEEDORES[[#This Row],[FECHA DE PAGO]]=0,TODAY()-PROVEEDORES[[#This Row],[FECHA DE FACTURACIÓN]]-PROVEEDORES[[#This Row],[PLAZO Días]],0)</f>
        <v>0</v>
      </c>
      <c r="U1635" s="104">
        <f>+VLOOKUP(PROVEEDORES[[#This Row],[PROVEEDOR]],Terceros!$A:$D,4,FALSE)</f>
        <v>0</v>
      </c>
      <c r="V1635" s="105">
        <f>+YEAR(PROVEEDORES[[#This Row],[FECHA DE FACTURACIÓN]])</f>
        <v>2023</v>
      </c>
      <c r="W1635" s="105">
        <f>+MATCH(PROVEEDORES[[#This Row],[año facturado]],Retenciones!$1:$1,0)</f>
        <v>6</v>
      </c>
      <c r="X1635" s="106">
        <f>+VLOOKUP(PROVEEDORES[[#This Row],[ID RETENCION]],Retenciones!$A$1:$O$25,PROVEEDORES[[#This Row],[indicador de columna]],FALSE)</f>
        <v>0</v>
      </c>
      <c r="Y1635" s="107">
        <f>+VLOOKUP(PROVEEDORES[[#This Row],[ID RETENCION]],Retenciones!$A$1:$O$25,2,FALSE)</f>
        <v>0</v>
      </c>
      <c r="Z1635" s="116" t="b">
        <f>OR(COUNTIF(PROVEEDORES[[#This Row],[PROVEEDOR]],"*"&amp;'Palabra no opera'!$A$2&amp;"*"))</f>
        <v>0</v>
      </c>
    </row>
    <row r="1636" spans="1:26" ht="22.35" customHeight="1" x14ac:dyDescent="0.3">
      <c r="A1636" s="327" t="str">
        <f>+IF(PROVEEDORES[[#This Row],[FECHA DE PAGO]]=PROVEEDORES[[#This Row],[FECHA DE FACTURACIÓN]],"DE CONTADO","CRÉDITO")</f>
        <v>CRÉDITO</v>
      </c>
      <c r="B1636" s="38" t="b">
        <f>+IF((PROVEEDORES[[#This Row],[FECHA DE PAGO]]-PROVEEDORES[[#This Row],[FECHA DE FACTURACIÓN]])&gt;PROVEEDORES[[#This Row],[PLAZO Días]],"PAGO VENCIDO")</f>
        <v>0</v>
      </c>
      <c r="C1636" s="20">
        <f>+VLOOKUP(PROVEEDORES[[#This Row],[PROVEEDOR]],TERCEROS_INFO[#All],2,FALSE)</f>
        <v>30</v>
      </c>
      <c r="D1636" s="25">
        <f>+SUMIFS(PROVEEDORES[Total],PROVEEDORES[PROVEEDOR],PROVEEDORES[[#This Row],[PROVEEDOR]],PROVEEDORES[FECHA DE PAGO],"")</f>
        <v>1320900</v>
      </c>
      <c r="E1636" s="25"/>
      <c r="F1636" s="56">
        <f>+VLOOKUP(PROVEEDORES[[#This Row],[PROVEEDOR]],
                       Terceros!$A:$F,
                       5,
                       FALSE)</f>
        <v>0</v>
      </c>
      <c r="G1636" s="68">
        <v>45108</v>
      </c>
      <c r="H1636" s="26" t="s">
        <v>1765</v>
      </c>
      <c r="I1636" s="68">
        <v>45083</v>
      </c>
      <c r="J1636" s="35">
        <v>1340</v>
      </c>
      <c r="K1636" s="21">
        <v>910000</v>
      </c>
      <c r="L1636" s="21"/>
      <c r="M1636" s="22">
        <v>0</v>
      </c>
      <c r="N1636" s="23"/>
      <c r="O1636" s="22">
        <f>+PROVEEDORES[[#This Row],[Descuento sobre subtotal %]]*(PROVEEDORES[[#This Row],[SUBTOTAL]]-PROVEEDORES[[#This Row],[descuento sobre subtotal]])</f>
        <v>0</v>
      </c>
      <c r="P1636" s="74">
        <f>+IF(PROVEEDORES[[#This Row],[SUBTOTAL]]&lt;PROVEEDORES[[#This Row],[base retencion]],0,PROVEEDORES[[#This Row],[retención aplicada]])</f>
        <v>0</v>
      </c>
      <c r="Q1636" s="22">
        <f>+PROVEEDORES[[#This Row],[Rete Fuente %]]*(PROVEEDORES[[#This Row],[SUBTOTAL]]-PROVEEDORES[[#This Row],[descuento sobre subtotal]])</f>
        <v>0</v>
      </c>
      <c r="R1636" s="21">
        <f>+PROVEEDORES[[#This Row],[SUBTOTAL]]+PROVEEDORES[[#This Row],[IVA 19%]]-PROVEEDORES[[#This Row],[descuento sobre subtotal]]-PROVEEDORES[[#This Row],[Descuento sobre subtotal $2]]-PROVEEDORES[[#This Row],[Rete Fuente $]]</f>
        <v>910000</v>
      </c>
      <c r="S1636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6" s="63">
        <f ca="1">IF(PROVEEDORES[[#This Row],[FECHA DE PAGO]]=0,TODAY()-PROVEEDORES[[#This Row],[FECHA DE FACTURACIÓN]]-PROVEEDORES[[#This Row],[PLAZO Días]],0)</f>
        <v>0</v>
      </c>
      <c r="U1636" s="104" t="str">
        <f>+VLOOKUP(PROVEEDORES[[#This Row],[PROVEEDOR]],Terceros!$A:$D,4,FALSE)</f>
        <v>2,5% con base</v>
      </c>
      <c r="V1636" s="105">
        <f>+YEAR(PROVEEDORES[[#This Row],[FECHA DE FACTURACIÓN]])</f>
        <v>2023</v>
      </c>
      <c r="W1636" s="105">
        <f>+MATCH(PROVEEDORES[[#This Row],[año facturado]],Retenciones!$1:$1,0)</f>
        <v>6</v>
      </c>
      <c r="X1636" s="106">
        <f>+VLOOKUP(PROVEEDORES[[#This Row],[ID RETENCION]],Retenciones!$A$1:$O$25,PROVEEDORES[[#This Row],[indicador de columna]],FALSE)</f>
        <v>1145000</v>
      </c>
      <c r="Y1636" s="107">
        <f>+VLOOKUP(PROVEEDORES[[#This Row],[ID RETENCION]],Retenciones!$A$1:$O$25,2,FALSE)</f>
        <v>2.5000000000000001E-2</v>
      </c>
      <c r="Z1636" s="116" t="b">
        <f>OR(COUNTIF(PROVEEDORES[[#This Row],[PROVEEDOR]],"*"&amp;'Palabra no opera'!$A$2&amp;"*"))</f>
        <v>0</v>
      </c>
    </row>
    <row r="1637" spans="1:26" ht="22.35" customHeight="1" x14ac:dyDescent="0.3">
      <c r="A1637" s="67" t="str">
        <f>+IF(PROVEEDORES[[#This Row],[FECHA DE PAGO]]=PROVEEDORES[[#This Row],[FECHA DE FACTURACIÓN]],"DE CONTADO","CRÉDITO")</f>
        <v>CRÉDITO</v>
      </c>
      <c r="B1637" s="38" t="str">
        <f>+IF((PROVEEDORES[[#This Row],[FECHA DE PAGO]]-PROVEEDORES[[#This Row],[FECHA DE FACTURACIÓN]])&gt;PROVEEDORES[[#This Row],[PLAZO Días]],"PAGO VENCIDO")</f>
        <v>PAGO VENCIDO</v>
      </c>
      <c r="C1637" s="20">
        <f>+VLOOKUP(PROVEEDORES[[#This Row],[PROVEEDOR]],TERCEROS_INFO[#All],2,FALSE)</f>
        <v>30</v>
      </c>
      <c r="D1637" s="25">
        <f>+SUMIFS(PROVEEDORES[Total],PROVEEDORES[PROVEEDOR],PROVEEDORES[[#This Row],[PROVEEDOR]],PROVEEDORES[FECHA DE PAGO],"")</f>
        <v>0</v>
      </c>
      <c r="E1637" s="25"/>
      <c r="F1637" s="56" t="str">
        <f>+VLOOKUP(PROVEEDORES[[#This Row],[PROVEEDOR]],
                       Terceros!$A:$F,
                       5,
                       FALSE)</f>
        <v/>
      </c>
      <c r="G1637" s="68">
        <v>45111</v>
      </c>
      <c r="H1637" s="26" t="s">
        <v>409</v>
      </c>
      <c r="I1637" s="68">
        <v>45047</v>
      </c>
      <c r="J1637" s="35">
        <v>45</v>
      </c>
      <c r="K1637" s="21">
        <v>420500</v>
      </c>
      <c r="L1637" s="21"/>
      <c r="M1637" s="22">
        <f>(PROVEEDORES[[#This Row],[SUBTOTAL]]-PROVEEDORES[[#This Row],[descuento sobre subtotal]])*VLOOKUP(PROVEEDORES[[#This Row],[PROVEEDOR]],TERCEROS_INFO[#All],3,FALSE)</f>
        <v>0</v>
      </c>
      <c r="N1637" s="23"/>
      <c r="O1637" s="22">
        <f>+PROVEEDORES[[#This Row],[Descuento sobre subtotal %]]*(PROVEEDORES[[#This Row],[SUBTOTAL]]-PROVEEDORES[[#This Row],[descuento sobre subtotal]])</f>
        <v>0</v>
      </c>
      <c r="P1637" s="74">
        <f>+IF(PROVEEDORES[[#This Row],[SUBTOTAL]]&lt;PROVEEDORES[[#This Row],[base retencion]],0,PROVEEDORES[[#This Row],[retención aplicada]])</f>
        <v>0</v>
      </c>
      <c r="Q1637" s="22">
        <f>+PROVEEDORES[[#This Row],[Rete Fuente %]]*(PROVEEDORES[[#This Row],[SUBTOTAL]]-PROVEEDORES[[#This Row],[descuento sobre subtotal]])</f>
        <v>0</v>
      </c>
      <c r="R1637" s="21">
        <f>+PROVEEDORES[[#This Row],[SUBTOTAL]]+PROVEEDORES[[#This Row],[IVA 19%]]-PROVEEDORES[[#This Row],[descuento sobre subtotal]]-PROVEEDORES[[#This Row],[Descuento sobre subtotal $2]]-PROVEEDORES[[#This Row],[Rete Fuente $]]</f>
        <v>420500</v>
      </c>
      <c r="S163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7" s="63">
        <f ca="1">IF(PROVEEDORES[[#This Row],[FECHA DE PAGO]]=0,TODAY()-PROVEEDORES[[#This Row],[FECHA DE FACTURACIÓN]]-PROVEEDORES[[#This Row],[PLAZO Días]],0)</f>
        <v>0</v>
      </c>
      <c r="U1637" s="104">
        <f>+VLOOKUP(PROVEEDORES[[#This Row],[PROVEEDOR]],Terceros!$A:$D,4,FALSE)</f>
        <v>0</v>
      </c>
      <c r="V1637" s="105">
        <f>+YEAR(PROVEEDORES[[#This Row],[FECHA DE FACTURACIÓN]])</f>
        <v>2023</v>
      </c>
      <c r="W1637" s="105">
        <f>+MATCH(PROVEEDORES[[#This Row],[año facturado]],Retenciones!$1:$1,0)</f>
        <v>6</v>
      </c>
      <c r="X1637" s="106">
        <f>+VLOOKUP(PROVEEDORES[[#This Row],[ID RETENCION]],Retenciones!$A$1:$O$25,PROVEEDORES[[#This Row],[indicador de columna]],FALSE)</f>
        <v>0</v>
      </c>
      <c r="Y1637" s="107">
        <f>+VLOOKUP(PROVEEDORES[[#This Row],[ID RETENCION]],Retenciones!$A$1:$O$25,2,FALSE)</f>
        <v>0</v>
      </c>
      <c r="Z1637" s="116" t="b">
        <f>OR(COUNTIF(PROVEEDORES[[#This Row],[PROVEEDOR]],"*"&amp;'Palabra no opera'!$A$2&amp;"*"))</f>
        <v>0</v>
      </c>
    </row>
    <row r="1638" spans="1:26" ht="22.35" customHeight="1" x14ac:dyDescent="0.3">
      <c r="A1638" s="67" t="str">
        <f>+IF(PROVEEDORES[[#This Row],[FECHA DE PAGO]]=PROVEEDORES[[#This Row],[FECHA DE FACTURACIÓN]],"DE CONTADO","CRÉDITO")</f>
        <v>CRÉDITO</v>
      </c>
      <c r="B1638" s="38" t="str">
        <f>+IF((PROVEEDORES[[#This Row],[FECHA DE PAGO]]-PROVEEDORES[[#This Row],[FECHA DE FACTURACIÓN]])&gt;PROVEEDORES[[#This Row],[PLAZO Días]],"PAGO VENCIDO")</f>
        <v>PAGO VENCIDO</v>
      </c>
      <c r="C1638" s="20">
        <f>+VLOOKUP(PROVEEDORES[[#This Row],[PROVEEDOR]],TERCEROS_INFO[#All],2,FALSE)</f>
        <v>30</v>
      </c>
      <c r="D1638" s="25">
        <f>+SUMIFS(PROVEEDORES[Total],PROVEEDORES[PROVEEDOR],PROVEEDORES[[#This Row],[PROVEEDOR]],PROVEEDORES[FECHA DE PAGO],"")</f>
        <v>0</v>
      </c>
      <c r="E1638" s="25"/>
      <c r="F1638" s="56" t="str">
        <f>+VLOOKUP(PROVEEDORES[[#This Row],[PROVEEDOR]],
                       Terceros!$A:$F,
                       5,
                       FALSE)</f>
        <v/>
      </c>
      <c r="G1638" s="68">
        <v>45111</v>
      </c>
      <c r="H1638" s="26" t="s">
        <v>1403</v>
      </c>
      <c r="I1638" s="68">
        <v>45055</v>
      </c>
      <c r="J1638" s="35">
        <v>46</v>
      </c>
      <c r="K1638" s="21">
        <v>59000</v>
      </c>
      <c r="L1638" s="21"/>
      <c r="M1638" s="22">
        <f>(PROVEEDORES[[#This Row],[SUBTOTAL]]-PROVEEDORES[[#This Row],[descuento sobre subtotal]])*VLOOKUP(PROVEEDORES[[#This Row],[PROVEEDOR]],TERCEROS_INFO[#All],3,FALSE)</f>
        <v>0</v>
      </c>
      <c r="N1638" s="23"/>
      <c r="O1638" s="22">
        <f>+PROVEEDORES[[#This Row],[Descuento sobre subtotal %]]*(PROVEEDORES[[#This Row],[SUBTOTAL]]-PROVEEDORES[[#This Row],[descuento sobre subtotal]])</f>
        <v>0</v>
      </c>
      <c r="P1638" s="74">
        <f>+IF(PROVEEDORES[[#This Row],[SUBTOTAL]]&lt;PROVEEDORES[[#This Row],[base retencion]],0,PROVEEDORES[[#This Row],[retención aplicada]])</f>
        <v>0</v>
      </c>
      <c r="Q1638" s="22">
        <f>+PROVEEDORES[[#This Row],[Rete Fuente %]]*(PROVEEDORES[[#This Row],[SUBTOTAL]]-PROVEEDORES[[#This Row],[descuento sobre subtotal]])</f>
        <v>0</v>
      </c>
      <c r="R1638" s="21">
        <f>+PROVEEDORES[[#This Row],[SUBTOTAL]]+PROVEEDORES[[#This Row],[IVA 19%]]-PROVEEDORES[[#This Row],[descuento sobre subtotal]]-PROVEEDORES[[#This Row],[Descuento sobre subtotal $2]]-PROVEEDORES[[#This Row],[Rete Fuente $]]</f>
        <v>59000</v>
      </c>
      <c r="S163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8" s="63">
        <f ca="1">IF(PROVEEDORES[[#This Row],[FECHA DE PAGO]]=0,TODAY()-PROVEEDORES[[#This Row],[FECHA DE FACTURACIÓN]]-PROVEEDORES[[#This Row],[PLAZO Días]],0)</f>
        <v>0</v>
      </c>
      <c r="U1638" s="104">
        <f>+VLOOKUP(PROVEEDORES[[#This Row],[PROVEEDOR]],Terceros!$A:$D,4,FALSE)</f>
        <v>0</v>
      </c>
      <c r="V1638" s="105">
        <f>+YEAR(PROVEEDORES[[#This Row],[FECHA DE FACTURACIÓN]])</f>
        <v>2023</v>
      </c>
      <c r="W1638" s="105">
        <f>+MATCH(PROVEEDORES[[#This Row],[año facturado]],Retenciones!$1:$1,0)</f>
        <v>6</v>
      </c>
      <c r="X1638" s="106">
        <f>+VLOOKUP(PROVEEDORES[[#This Row],[ID RETENCION]],Retenciones!$A$1:$O$25,PROVEEDORES[[#This Row],[indicador de columna]],FALSE)</f>
        <v>0</v>
      </c>
      <c r="Y1638" s="107">
        <f>+VLOOKUP(PROVEEDORES[[#This Row],[ID RETENCION]],Retenciones!$A$1:$O$25,2,FALSE)</f>
        <v>0</v>
      </c>
      <c r="Z1638" s="116" t="b">
        <f>OR(COUNTIF(PROVEEDORES[[#This Row],[PROVEEDOR]],"*"&amp;'Palabra no opera'!$A$2&amp;"*"))</f>
        <v>0</v>
      </c>
    </row>
    <row r="1639" spans="1:26" ht="22.35" customHeight="1" x14ac:dyDescent="0.3">
      <c r="A1639" s="67" t="str">
        <f>+IF(PROVEEDORES[[#This Row],[FECHA DE PAGO]]=PROVEEDORES[[#This Row],[FECHA DE FACTURACIÓN]],"DE CONTADO","CRÉDITO")</f>
        <v>CRÉDITO</v>
      </c>
      <c r="B1639" s="38" t="str">
        <f>+IF((PROVEEDORES[[#This Row],[FECHA DE PAGO]]-PROVEEDORES[[#This Row],[FECHA DE FACTURACIÓN]])&gt;PROVEEDORES[[#This Row],[PLAZO Días]],"PAGO VENCIDO")</f>
        <v>PAGO VENCIDO</v>
      </c>
      <c r="C1639" s="20">
        <f>+VLOOKUP(PROVEEDORES[[#This Row],[PROVEEDOR]],TERCEROS_INFO[#All],2,FALSE)</f>
        <v>30</v>
      </c>
      <c r="D1639" s="25">
        <f>+SUMIFS(PROVEEDORES[Total],PROVEEDORES[PROVEEDOR],PROVEEDORES[[#This Row],[PROVEEDOR]],PROVEEDORES[FECHA DE PAGO],"")</f>
        <v>0</v>
      </c>
      <c r="E1639" s="25"/>
      <c r="F1639" s="56" t="str">
        <f>+VLOOKUP(PROVEEDORES[[#This Row],[PROVEEDOR]],
                       Terceros!$A:$F,
                       5,
                       FALSE)</f>
        <v/>
      </c>
      <c r="G1639" s="68">
        <v>45111</v>
      </c>
      <c r="H1639" s="26" t="s">
        <v>1403</v>
      </c>
      <c r="I1639" s="68">
        <v>45065</v>
      </c>
      <c r="J1639" s="35">
        <v>47</v>
      </c>
      <c r="K1639" s="21">
        <v>58000</v>
      </c>
      <c r="L1639" s="21"/>
      <c r="M1639" s="22">
        <f>(PROVEEDORES[[#This Row],[SUBTOTAL]]-PROVEEDORES[[#This Row],[descuento sobre subtotal]])*VLOOKUP(PROVEEDORES[[#This Row],[PROVEEDOR]],TERCEROS_INFO[#All],3,FALSE)</f>
        <v>0</v>
      </c>
      <c r="N1639" s="23"/>
      <c r="O1639" s="22">
        <f>+PROVEEDORES[[#This Row],[Descuento sobre subtotal %]]*(PROVEEDORES[[#This Row],[SUBTOTAL]]-PROVEEDORES[[#This Row],[descuento sobre subtotal]])</f>
        <v>0</v>
      </c>
      <c r="P1639" s="74">
        <f>+IF(PROVEEDORES[[#This Row],[SUBTOTAL]]&lt;PROVEEDORES[[#This Row],[base retencion]],0,PROVEEDORES[[#This Row],[retención aplicada]])</f>
        <v>0</v>
      </c>
      <c r="Q1639" s="22">
        <f>+PROVEEDORES[[#This Row],[Rete Fuente %]]*(PROVEEDORES[[#This Row],[SUBTOTAL]]-PROVEEDORES[[#This Row],[descuento sobre subtotal]])</f>
        <v>0</v>
      </c>
      <c r="R1639" s="21">
        <f>+PROVEEDORES[[#This Row],[SUBTOTAL]]+PROVEEDORES[[#This Row],[IVA 19%]]-PROVEEDORES[[#This Row],[descuento sobre subtotal]]-PROVEEDORES[[#This Row],[Descuento sobre subtotal $2]]-PROVEEDORES[[#This Row],[Rete Fuente $]]</f>
        <v>58000</v>
      </c>
      <c r="S163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9" s="63">
        <f ca="1">IF(PROVEEDORES[[#This Row],[FECHA DE PAGO]]=0,TODAY()-PROVEEDORES[[#This Row],[FECHA DE FACTURACIÓN]]-PROVEEDORES[[#This Row],[PLAZO Días]],0)</f>
        <v>0</v>
      </c>
      <c r="U1639" s="104">
        <f>+VLOOKUP(PROVEEDORES[[#This Row],[PROVEEDOR]],Terceros!$A:$D,4,FALSE)</f>
        <v>0</v>
      </c>
      <c r="V1639" s="105">
        <f>+YEAR(PROVEEDORES[[#This Row],[FECHA DE FACTURACIÓN]])</f>
        <v>2023</v>
      </c>
      <c r="W1639" s="105">
        <f>+MATCH(PROVEEDORES[[#This Row],[año facturado]],Retenciones!$1:$1,0)</f>
        <v>6</v>
      </c>
      <c r="X1639" s="106">
        <f>+VLOOKUP(PROVEEDORES[[#This Row],[ID RETENCION]],Retenciones!$A$1:$O$25,PROVEEDORES[[#This Row],[indicador de columna]],FALSE)</f>
        <v>0</v>
      </c>
      <c r="Y1639" s="107">
        <f>+VLOOKUP(PROVEEDORES[[#This Row],[ID RETENCION]],Retenciones!$A$1:$O$25,2,FALSE)</f>
        <v>0</v>
      </c>
      <c r="Z1639" s="116" t="b">
        <f>OR(COUNTIF(PROVEEDORES[[#This Row],[PROVEEDOR]],"*"&amp;'Palabra no opera'!$A$2&amp;"*"))</f>
        <v>0</v>
      </c>
    </row>
    <row r="1640" spans="1:26" ht="22.35" customHeight="1" x14ac:dyDescent="0.3">
      <c r="A1640" s="67" t="str">
        <f>+IF(PROVEEDORES[[#This Row],[FECHA DE PAGO]]=PROVEEDORES[[#This Row],[FECHA DE FACTURACIÓN]],"DE CONTADO","CRÉDITO")</f>
        <v>CRÉDITO</v>
      </c>
      <c r="B1640" s="38" t="str">
        <f>+IF((PROVEEDORES[[#This Row],[FECHA DE PAGO]]-PROVEEDORES[[#This Row],[FECHA DE FACTURACIÓN]])&gt;PROVEEDORES[[#This Row],[PLAZO Días]],"PAGO VENCIDO")</f>
        <v>PAGO VENCIDO</v>
      </c>
      <c r="C1640" s="20">
        <f>+VLOOKUP(PROVEEDORES[[#This Row],[PROVEEDOR]],TERCEROS_INFO[#All],2,FALSE)</f>
        <v>30</v>
      </c>
      <c r="D1640" s="25">
        <f>+SUMIFS(PROVEEDORES[Total],PROVEEDORES[PROVEEDOR],PROVEEDORES[[#This Row],[PROVEEDOR]],PROVEEDORES[FECHA DE PAGO],"")</f>
        <v>0</v>
      </c>
      <c r="E1640" s="25"/>
      <c r="F1640" s="56" t="str">
        <f>+VLOOKUP(PROVEEDORES[[#This Row],[PROVEEDOR]],
                       Terceros!$A:$F,
                       5,
                       FALSE)</f>
        <v/>
      </c>
      <c r="G1640" s="68">
        <v>45111</v>
      </c>
      <c r="H1640" s="26" t="s">
        <v>1403</v>
      </c>
      <c r="I1640" s="68">
        <v>45067</v>
      </c>
      <c r="J1640" s="35">
        <v>48</v>
      </c>
      <c r="K1640" s="21">
        <v>54000</v>
      </c>
      <c r="L1640" s="21"/>
      <c r="M1640" s="22">
        <f>(PROVEEDORES[[#This Row],[SUBTOTAL]]-PROVEEDORES[[#This Row],[descuento sobre subtotal]])*VLOOKUP(PROVEEDORES[[#This Row],[PROVEEDOR]],TERCEROS_INFO[#All],3,FALSE)</f>
        <v>0</v>
      </c>
      <c r="N1640" s="23"/>
      <c r="O1640" s="22">
        <f>+PROVEEDORES[[#This Row],[Descuento sobre subtotal %]]*(PROVEEDORES[[#This Row],[SUBTOTAL]]-PROVEEDORES[[#This Row],[descuento sobre subtotal]])</f>
        <v>0</v>
      </c>
      <c r="P1640" s="74">
        <f>+IF(PROVEEDORES[[#This Row],[SUBTOTAL]]&lt;PROVEEDORES[[#This Row],[base retencion]],0,PROVEEDORES[[#This Row],[retención aplicada]])</f>
        <v>0</v>
      </c>
      <c r="Q1640" s="22">
        <f>+PROVEEDORES[[#This Row],[Rete Fuente %]]*(PROVEEDORES[[#This Row],[SUBTOTAL]]-PROVEEDORES[[#This Row],[descuento sobre subtotal]])</f>
        <v>0</v>
      </c>
      <c r="R1640" s="21">
        <f>+PROVEEDORES[[#This Row],[SUBTOTAL]]+PROVEEDORES[[#This Row],[IVA 19%]]-PROVEEDORES[[#This Row],[descuento sobre subtotal]]-PROVEEDORES[[#This Row],[Descuento sobre subtotal $2]]-PROVEEDORES[[#This Row],[Rete Fuente $]]</f>
        <v>54000</v>
      </c>
      <c r="S164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0" s="63">
        <f ca="1">IF(PROVEEDORES[[#This Row],[FECHA DE PAGO]]=0,TODAY()-PROVEEDORES[[#This Row],[FECHA DE FACTURACIÓN]]-PROVEEDORES[[#This Row],[PLAZO Días]],0)</f>
        <v>0</v>
      </c>
      <c r="U1640" s="104">
        <f>+VLOOKUP(PROVEEDORES[[#This Row],[PROVEEDOR]],Terceros!$A:$D,4,FALSE)</f>
        <v>0</v>
      </c>
      <c r="V1640" s="105">
        <f>+YEAR(PROVEEDORES[[#This Row],[FECHA DE FACTURACIÓN]])</f>
        <v>2023</v>
      </c>
      <c r="W1640" s="105">
        <f>+MATCH(PROVEEDORES[[#This Row],[año facturado]],Retenciones!$1:$1,0)</f>
        <v>6</v>
      </c>
      <c r="X1640" s="106">
        <f>+VLOOKUP(PROVEEDORES[[#This Row],[ID RETENCION]],Retenciones!$A$1:$O$25,PROVEEDORES[[#This Row],[indicador de columna]],FALSE)</f>
        <v>0</v>
      </c>
      <c r="Y1640" s="107">
        <f>+VLOOKUP(PROVEEDORES[[#This Row],[ID RETENCION]],Retenciones!$A$1:$O$25,2,FALSE)</f>
        <v>0</v>
      </c>
      <c r="Z1640" s="116" t="b">
        <f>OR(COUNTIF(PROVEEDORES[[#This Row],[PROVEEDOR]],"*"&amp;'Palabra no opera'!$A$2&amp;"*"))</f>
        <v>0</v>
      </c>
    </row>
    <row r="1641" spans="1:26" ht="22.35" customHeight="1" x14ac:dyDescent="0.3">
      <c r="A1641" s="67" t="str">
        <f>+IF(PROVEEDORES[[#This Row],[FECHA DE PAGO]]=PROVEEDORES[[#This Row],[FECHA DE FACTURACIÓN]],"DE CONTADO","CRÉDITO")</f>
        <v>CRÉDITO</v>
      </c>
      <c r="B1641" s="38" t="str">
        <f>+IF((PROVEEDORES[[#This Row],[FECHA DE PAGO]]-PROVEEDORES[[#This Row],[FECHA DE FACTURACIÓN]])&gt;PROVEEDORES[[#This Row],[PLAZO Días]],"PAGO VENCIDO")</f>
        <v>PAGO VENCIDO</v>
      </c>
      <c r="C1641" s="20">
        <f>+VLOOKUP(PROVEEDORES[[#This Row],[PROVEEDOR]],TERCEROS_INFO[#All],2,FALSE)</f>
        <v>30</v>
      </c>
      <c r="D1641" s="25">
        <f>+SUMIFS(PROVEEDORES[Total],PROVEEDORES[PROVEEDOR],PROVEEDORES[[#This Row],[PROVEEDOR]],PROVEEDORES[FECHA DE PAGO],"")</f>
        <v>0</v>
      </c>
      <c r="E1641" s="25"/>
      <c r="F1641" s="56" t="str">
        <f>+VLOOKUP(PROVEEDORES[[#This Row],[PROVEEDOR]],
                       Terceros!$A:$F,
                       5,
                       FALSE)</f>
        <v/>
      </c>
      <c r="G1641" s="68">
        <v>45111</v>
      </c>
      <c r="H1641" s="26" t="s">
        <v>1403</v>
      </c>
      <c r="I1641" s="68">
        <v>45076</v>
      </c>
      <c r="J1641" s="35">
        <v>49</v>
      </c>
      <c r="K1641" s="21">
        <v>101500</v>
      </c>
      <c r="L1641" s="21"/>
      <c r="M1641" s="22">
        <f>(PROVEEDORES[[#This Row],[SUBTOTAL]]-PROVEEDORES[[#This Row],[descuento sobre subtotal]])*VLOOKUP(PROVEEDORES[[#This Row],[PROVEEDOR]],TERCEROS_INFO[#All],3,FALSE)</f>
        <v>0</v>
      </c>
      <c r="N1641" s="23"/>
      <c r="O1641" s="22">
        <f>+PROVEEDORES[[#This Row],[Descuento sobre subtotal %]]*(PROVEEDORES[[#This Row],[SUBTOTAL]]-PROVEEDORES[[#This Row],[descuento sobre subtotal]])</f>
        <v>0</v>
      </c>
      <c r="P1641" s="74">
        <f>+IF(PROVEEDORES[[#This Row],[SUBTOTAL]]&lt;PROVEEDORES[[#This Row],[base retencion]],0,PROVEEDORES[[#This Row],[retención aplicada]])</f>
        <v>0</v>
      </c>
      <c r="Q1641" s="22">
        <f>+PROVEEDORES[[#This Row],[Rete Fuente %]]*(PROVEEDORES[[#This Row],[SUBTOTAL]]-PROVEEDORES[[#This Row],[descuento sobre subtotal]])</f>
        <v>0</v>
      </c>
      <c r="R1641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164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1" s="63">
        <f ca="1">IF(PROVEEDORES[[#This Row],[FECHA DE PAGO]]=0,TODAY()-PROVEEDORES[[#This Row],[FECHA DE FACTURACIÓN]]-PROVEEDORES[[#This Row],[PLAZO Días]],0)</f>
        <v>0</v>
      </c>
      <c r="U1641" s="104">
        <f>+VLOOKUP(PROVEEDORES[[#This Row],[PROVEEDOR]],Terceros!$A:$D,4,FALSE)</f>
        <v>0</v>
      </c>
      <c r="V1641" s="105">
        <f>+YEAR(PROVEEDORES[[#This Row],[FECHA DE FACTURACIÓN]])</f>
        <v>2023</v>
      </c>
      <c r="W1641" s="105">
        <f>+MATCH(PROVEEDORES[[#This Row],[año facturado]],Retenciones!$1:$1,0)</f>
        <v>6</v>
      </c>
      <c r="X1641" s="106">
        <f>+VLOOKUP(PROVEEDORES[[#This Row],[ID RETENCION]],Retenciones!$A$1:$O$25,PROVEEDORES[[#This Row],[indicador de columna]],FALSE)</f>
        <v>0</v>
      </c>
      <c r="Y1641" s="107">
        <f>+VLOOKUP(PROVEEDORES[[#This Row],[ID RETENCION]],Retenciones!$A$1:$O$25,2,FALSE)</f>
        <v>0</v>
      </c>
      <c r="Z1641" s="116" t="b">
        <f>OR(COUNTIF(PROVEEDORES[[#This Row],[PROVEEDOR]],"*"&amp;'Palabra no opera'!$A$2&amp;"*"))</f>
        <v>0</v>
      </c>
    </row>
    <row r="1642" spans="1:26" ht="22.35" customHeight="1" x14ac:dyDescent="0.3">
      <c r="A1642" s="67" t="str">
        <f>+IF(PROVEEDORES[[#This Row],[FECHA DE PAGO]]=PROVEEDORES[[#This Row],[FECHA DE FACTURACIÓN]],"DE CONTADO","CRÉDITO")</f>
        <v>CRÉDITO</v>
      </c>
      <c r="B1642" s="38" t="str">
        <f>+IF((PROVEEDORES[[#This Row],[FECHA DE PAGO]]-PROVEEDORES[[#This Row],[FECHA DE FACTURACIÓN]])&gt;PROVEEDORES[[#This Row],[PLAZO Días]],"PAGO VENCIDO")</f>
        <v>PAGO VENCIDO</v>
      </c>
      <c r="C1642" s="20">
        <f>+VLOOKUP(PROVEEDORES[[#This Row],[PROVEEDOR]],TERCEROS_INFO[#All],2,FALSE)</f>
        <v>30</v>
      </c>
      <c r="D1642" s="25">
        <f>+SUMIFS(PROVEEDORES[Total],PROVEEDORES[PROVEEDOR],PROVEEDORES[[#This Row],[PROVEEDOR]],PROVEEDORES[FECHA DE PAGO],"")</f>
        <v>0</v>
      </c>
      <c r="E1642" s="25"/>
      <c r="F1642" s="56" t="str">
        <f>+VLOOKUP(PROVEEDORES[[#This Row],[PROVEEDOR]],
                       Terceros!$A:$F,
                       5,
                       FALSE)</f>
        <v/>
      </c>
      <c r="G1642" s="68">
        <v>45111</v>
      </c>
      <c r="H1642" s="26" t="s">
        <v>1403</v>
      </c>
      <c r="I1642" s="68">
        <v>45079</v>
      </c>
      <c r="J1642" s="35">
        <v>50</v>
      </c>
      <c r="K1642" s="21">
        <v>170000</v>
      </c>
      <c r="L1642" s="21"/>
      <c r="M1642" s="22">
        <f>(PROVEEDORES[[#This Row],[SUBTOTAL]]-PROVEEDORES[[#This Row],[descuento sobre subtotal]])*VLOOKUP(PROVEEDORES[[#This Row],[PROVEEDOR]],TERCEROS_INFO[#All],3,FALSE)</f>
        <v>0</v>
      </c>
      <c r="N1642" s="23"/>
      <c r="O1642" s="22">
        <f>+PROVEEDORES[[#This Row],[Descuento sobre subtotal %]]*(PROVEEDORES[[#This Row],[SUBTOTAL]]-PROVEEDORES[[#This Row],[descuento sobre subtotal]])</f>
        <v>0</v>
      </c>
      <c r="P1642" s="74">
        <f>+IF(PROVEEDORES[[#This Row],[SUBTOTAL]]&lt;PROVEEDORES[[#This Row],[base retencion]],0,PROVEEDORES[[#This Row],[retención aplicada]])</f>
        <v>0</v>
      </c>
      <c r="Q1642" s="22">
        <f>+PROVEEDORES[[#This Row],[Rete Fuente %]]*(PROVEEDORES[[#This Row],[SUBTOTAL]]-PROVEEDORES[[#This Row],[descuento sobre subtotal]])</f>
        <v>0</v>
      </c>
      <c r="R1642" s="21">
        <f>+PROVEEDORES[[#This Row],[SUBTOTAL]]+PROVEEDORES[[#This Row],[IVA 19%]]-PROVEEDORES[[#This Row],[descuento sobre subtotal]]-PROVEEDORES[[#This Row],[Descuento sobre subtotal $2]]-PROVEEDORES[[#This Row],[Rete Fuente $]]</f>
        <v>170000</v>
      </c>
      <c r="S16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2" s="63">
        <f ca="1">IF(PROVEEDORES[[#This Row],[FECHA DE PAGO]]=0,TODAY()-PROVEEDORES[[#This Row],[FECHA DE FACTURACIÓN]]-PROVEEDORES[[#This Row],[PLAZO Días]],0)</f>
        <v>0</v>
      </c>
      <c r="U1642" s="104">
        <f>+VLOOKUP(PROVEEDORES[[#This Row],[PROVEEDOR]],Terceros!$A:$D,4,FALSE)</f>
        <v>0</v>
      </c>
      <c r="V1642" s="105">
        <f>+YEAR(PROVEEDORES[[#This Row],[FECHA DE FACTURACIÓN]])</f>
        <v>2023</v>
      </c>
      <c r="W1642" s="105">
        <f>+MATCH(PROVEEDORES[[#This Row],[año facturado]],Retenciones!$1:$1,0)</f>
        <v>6</v>
      </c>
      <c r="X1642" s="106">
        <f>+VLOOKUP(PROVEEDORES[[#This Row],[ID RETENCION]],Retenciones!$A$1:$O$25,PROVEEDORES[[#This Row],[indicador de columna]],FALSE)</f>
        <v>0</v>
      </c>
      <c r="Y1642" s="107">
        <f>+VLOOKUP(PROVEEDORES[[#This Row],[ID RETENCION]],Retenciones!$A$1:$O$25,2,FALSE)</f>
        <v>0</v>
      </c>
      <c r="Z1642" s="116" t="b">
        <f>OR(COUNTIF(PROVEEDORES[[#This Row],[PROVEEDOR]],"*"&amp;'Palabra no opera'!$A$2&amp;"*"))</f>
        <v>0</v>
      </c>
    </row>
    <row r="1643" spans="1:26" ht="22.35" customHeight="1" x14ac:dyDescent="0.3">
      <c r="A1643" s="327" t="str">
        <f>+IF(PROVEEDORES[[#This Row],[FECHA DE PAGO]]=PROVEEDORES[[#This Row],[FECHA DE FACTURACIÓN]],"DE CONTADO","CRÉDITO")</f>
        <v>CRÉDITO</v>
      </c>
      <c r="B1643" s="38" t="b">
        <f>+IF((PROVEEDORES[[#This Row],[FECHA DE PAGO]]-PROVEEDORES[[#This Row],[FECHA DE FACTURACIÓN]])&gt;PROVEEDORES[[#This Row],[PLAZO Días]],"PAGO VENCIDO")</f>
        <v>0</v>
      </c>
      <c r="C1643" s="20">
        <f>+VLOOKUP(PROVEEDORES[[#This Row],[PROVEEDOR]],TERCEROS_INFO[#All],2,FALSE)</f>
        <v>30</v>
      </c>
      <c r="D1643" s="25">
        <f>+SUMIFS(PROVEEDORES[Total],PROVEEDORES[PROVEEDOR],PROVEEDORES[[#This Row],[PROVEEDOR]],PROVEEDORES[FECHA DE PAGO],"")</f>
        <v>0</v>
      </c>
      <c r="E1643" s="25"/>
      <c r="F1643" s="56" t="str">
        <f>+VLOOKUP(PROVEEDORES[[#This Row],[PROVEEDOR]],
                       Terceros!$A:$F,
                       5,
                       FALSE)</f>
        <v/>
      </c>
      <c r="G1643" s="68">
        <v>45111</v>
      </c>
      <c r="H1643" s="26" t="s">
        <v>1403</v>
      </c>
      <c r="I1643" s="68">
        <v>45083</v>
      </c>
      <c r="J1643" s="35">
        <v>51</v>
      </c>
      <c r="K1643" s="21">
        <v>330000</v>
      </c>
      <c r="L1643" s="21"/>
      <c r="M1643" s="22">
        <f>(PROVEEDORES[[#This Row],[SUBTOTAL]]-PROVEEDORES[[#This Row],[descuento sobre subtotal]])*VLOOKUP(PROVEEDORES[[#This Row],[PROVEEDOR]],TERCEROS_INFO[#All],3,FALSE)</f>
        <v>0</v>
      </c>
      <c r="N1643" s="23"/>
      <c r="O1643" s="22">
        <f>+PROVEEDORES[[#This Row],[Descuento sobre subtotal %]]*(PROVEEDORES[[#This Row],[SUBTOTAL]]-PROVEEDORES[[#This Row],[descuento sobre subtotal]])</f>
        <v>0</v>
      </c>
      <c r="P1643" s="74">
        <f>+IF(PROVEEDORES[[#This Row],[SUBTOTAL]]&lt;PROVEEDORES[[#This Row],[base retencion]],0,PROVEEDORES[[#This Row],[retención aplicada]])</f>
        <v>0</v>
      </c>
      <c r="Q1643" s="22">
        <f>+PROVEEDORES[[#This Row],[Rete Fuente %]]*(PROVEEDORES[[#This Row],[SUBTOTAL]]-PROVEEDORES[[#This Row],[descuento sobre subtotal]])</f>
        <v>0</v>
      </c>
      <c r="R1643" s="21">
        <f>+PROVEEDORES[[#This Row],[SUBTOTAL]]+PROVEEDORES[[#This Row],[IVA 19%]]-PROVEEDORES[[#This Row],[descuento sobre subtotal]]-PROVEEDORES[[#This Row],[Descuento sobre subtotal $2]]-PROVEEDORES[[#This Row],[Rete Fuente $]]</f>
        <v>330000</v>
      </c>
      <c r="S1643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3" s="63">
        <f ca="1">IF(PROVEEDORES[[#This Row],[FECHA DE PAGO]]=0,TODAY()-PROVEEDORES[[#This Row],[FECHA DE FACTURACIÓN]]-PROVEEDORES[[#This Row],[PLAZO Días]],0)</f>
        <v>0</v>
      </c>
      <c r="U1643" s="104">
        <f>+VLOOKUP(PROVEEDORES[[#This Row],[PROVEEDOR]],Terceros!$A:$D,4,FALSE)</f>
        <v>0</v>
      </c>
      <c r="V1643" s="105">
        <f>+YEAR(PROVEEDORES[[#This Row],[FECHA DE FACTURACIÓN]])</f>
        <v>2023</v>
      </c>
      <c r="W1643" s="105">
        <f>+MATCH(PROVEEDORES[[#This Row],[año facturado]],Retenciones!$1:$1,0)</f>
        <v>6</v>
      </c>
      <c r="X1643" s="106">
        <f>+VLOOKUP(PROVEEDORES[[#This Row],[ID RETENCION]],Retenciones!$A$1:$O$25,PROVEEDORES[[#This Row],[indicador de columna]],FALSE)</f>
        <v>0</v>
      </c>
      <c r="Y1643" s="107">
        <f>+VLOOKUP(PROVEEDORES[[#This Row],[ID RETENCION]],Retenciones!$A$1:$O$25,2,FALSE)</f>
        <v>0</v>
      </c>
      <c r="Z1643" s="116" t="b">
        <f>OR(COUNTIF(PROVEEDORES[[#This Row],[PROVEEDOR]],"*"&amp;'Palabra no opera'!$A$2&amp;"*"))</f>
        <v>0</v>
      </c>
    </row>
    <row r="1644" spans="1:26" ht="22.35" customHeight="1" x14ac:dyDescent="0.3">
      <c r="A1644" s="67" t="str">
        <f>+IF(PROVEEDORES[[#This Row],[FECHA DE PAGO]]=PROVEEDORES[[#This Row],[FECHA DE FACTURACIÓN]],"DE CONTADO","CRÉDITO")</f>
        <v>CRÉDITO</v>
      </c>
      <c r="B1644" s="38" t="b">
        <f>+IF((PROVEEDORES[[#This Row],[FECHA DE PAGO]]-PROVEEDORES[[#This Row],[FECHA DE FACTURACIÓN]])&gt;PROVEEDORES[[#This Row],[PLAZO Días]],"PAGO VENCIDO")</f>
        <v>0</v>
      </c>
      <c r="C1644" s="20">
        <f>+VLOOKUP(PROVEEDORES[[#This Row],[PROVEEDOR]],TERCEROS_INFO[#All],2,FALSE)</f>
        <v>30</v>
      </c>
      <c r="D1644" s="25">
        <f>+SUMIFS(PROVEEDORES[Total],PROVEEDORES[PROVEEDOR],PROVEEDORES[[#This Row],[PROVEEDOR]],PROVEEDORES[FECHA DE PAGO],"")</f>
        <v>0</v>
      </c>
      <c r="E1644" s="25"/>
      <c r="F1644" s="56" t="str">
        <f>+VLOOKUP(PROVEEDORES[[#This Row],[PROVEEDOR]],
                       Terceros!$A:$F,
                       5,
                       FALSE)</f>
        <v/>
      </c>
      <c r="G1644" s="68">
        <v>45111</v>
      </c>
      <c r="H1644" s="26" t="s">
        <v>1403</v>
      </c>
      <c r="I1644" s="68">
        <v>45084</v>
      </c>
      <c r="J1644" s="35">
        <v>52</v>
      </c>
      <c r="K1644" s="21">
        <v>110000</v>
      </c>
      <c r="L1644" s="21"/>
      <c r="M1644" s="22">
        <f>(PROVEEDORES[[#This Row],[SUBTOTAL]]-PROVEEDORES[[#This Row],[descuento sobre subtotal]])*VLOOKUP(PROVEEDORES[[#This Row],[PROVEEDOR]],TERCEROS_INFO[#All],3,FALSE)</f>
        <v>0</v>
      </c>
      <c r="N1644" s="23"/>
      <c r="O1644" s="22">
        <f>+PROVEEDORES[[#This Row],[Descuento sobre subtotal %]]*(PROVEEDORES[[#This Row],[SUBTOTAL]]-PROVEEDORES[[#This Row],[descuento sobre subtotal]])</f>
        <v>0</v>
      </c>
      <c r="P1644" s="74">
        <f>+IF(PROVEEDORES[[#This Row],[SUBTOTAL]]&lt;PROVEEDORES[[#This Row],[base retencion]],0,PROVEEDORES[[#This Row],[retención aplicada]])</f>
        <v>0</v>
      </c>
      <c r="Q1644" s="22">
        <f>+PROVEEDORES[[#This Row],[Rete Fuente %]]*(PROVEEDORES[[#This Row],[SUBTOTAL]]-PROVEEDORES[[#This Row],[descuento sobre subtotal]])</f>
        <v>0</v>
      </c>
      <c r="R1644" s="21">
        <f>+PROVEEDORES[[#This Row],[SUBTOTAL]]+PROVEEDORES[[#This Row],[IVA 19%]]-PROVEEDORES[[#This Row],[descuento sobre subtotal]]-PROVEEDORES[[#This Row],[Descuento sobre subtotal $2]]-PROVEEDORES[[#This Row],[Rete Fuente $]]</f>
        <v>110000</v>
      </c>
      <c r="S16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4" s="63">
        <f ca="1">IF(PROVEEDORES[[#This Row],[FECHA DE PAGO]]=0,TODAY()-PROVEEDORES[[#This Row],[FECHA DE FACTURACIÓN]]-PROVEEDORES[[#This Row],[PLAZO Días]],0)</f>
        <v>0</v>
      </c>
      <c r="U1644" s="104">
        <f>+VLOOKUP(PROVEEDORES[[#This Row],[PROVEEDOR]],Terceros!$A:$D,4,FALSE)</f>
        <v>0</v>
      </c>
      <c r="V1644" s="105">
        <f>+YEAR(PROVEEDORES[[#This Row],[FECHA DE FACTURACIÓN]])</f>
        <v>2023</v>
      </c>
      <c r="W1644" s="105">
        <f>+MATCH(PROVEEDORES[[#This Row],[año facturado]],Retenciones!$1:$1,0)</f>
        <v>6</v>
      </c>
      <c r="X1644" s="106">
        <f>+VLOOKUP(PROVEEDORES[[#This Row],[ID RETENCION]],Retenciones!$A$1:$O$25,PROVEEDORES[[#This Row],[indicador de columna]],FALSE)</f>
        <v>0</v>
      </c>
      <c r="Y1644" s="107">
        <f>+VLOOKUP(PROVEEDORES[[#This Row],[ID RETENCION]],Retenciones!$A$1:$O$25,2,FALSE)</f>
        <v>0</v>
      </c>
      <c r="Z1644" s="116" t="b">
        <f>OR(COUNTIF(PROVEEDORES[[#This Row],[PROVEEDOR]],"*"&amp;'Palabra no opera'!$A$2&amp;"*"))</f>
        <v>0</v>
      </c>
    </row>
    <row r="1645" spans="1:26" ht="22.35" customHeight="1" x14ac:dyDescent="0.3">
      <c r="A1645" s="327" t="str">
        <f>+IF(PROVEEDORES[[#This Row],[FECHA DE PAGO]]=PROVEEDORES[[#This Row],[FECHA DE FACTURACIÓN]],"DE CONTADO","CRÉDITO")</f>
        <v>CRÉDITO</v>
      </c>
      <c r="B1645" s="38" t="b">
        <f>+IF((PROVEEDORES[[#This Row],[FECHA DE PAGO]]-PROVEEDORES[[#This Row],[FECHA DE FACTURACIÓN]])&gt;PROVEEDORES[[#This Row],[PLAZO Días]],"PAGO VENCIDO")</f>
        <v>0</v>
      </c>
      <c r="C1645" s="20">
        <f>+VLOOKUP(PROVEEDORES[[#This Row],[PROVEEDOR]],TERCEROS_INFO[#All],2,FALSE)</f>
        <v>30</v>
      </c>
      <c r="D1645" s="25">
        <f>+SUMIFS(PROVEEDORES[Total],PROVEEDORES[PROVEEDOR],PROVEEDORES[[#This Row],[PROVEEDOR]],PROVEEDORES[FECHA DE PAGO],"")</f>
        <v>0</v>
      </c>
      <c r="E1645" s="25"/>
      <c r="F1645" s="56" t="str">
        <f>+VLOOKUP(PROVEEDORES[[#This Row],[PROVEEDOR]],
                       Terceros!$A:$F,
                       5,
                       FALSE)</f>
        <v/>
      </c>
      <c r="G1645" s="68">
        <v>45111</v>
      </c>
      <c r="H1645" s="26" t="s">
        <v>1403</v>
      </c>
      <c r="I1645" s="68">
        <v>45093</v>
      </c>
      <c r="J1645" s="35">
        <v>53</v>
      </c>
      <c r="K1645" s="21">
        <v>170000</v>
      </c>
      <c r="L1645" s="21"/>
      <c r="M1645" s="22">
        <f>(PROVEEDORES[[#This Row],[SUBTOTAL]]-PROVEEDORES[[#This Row],[descuento sobre subtotal]])*VLOOKUP(PROVEEDORES[[#This Row],[PROVEEDOR]],TERCEROS_INFO[#All],3,FALSE)</f>
        <v>0</v>
      </c>
      <c r="N1645" s="23"/>
      <c r="O1645" s="22">
        <f>+PROVEEDORES[[#This Row],[Descuento sobre subtotal %]]*(PROVEEDORES[[#This Row],[SUBTOTAL]]-PROVEEDORES[[#This Row],[descuento sobre subtotal]])</f>
        <v>0</v>
      </c>
      <c r="P1645" s="74">
        <f>+IF(PROVEEDORES[[#This Row],[SUBTOTAL]]&lt;PROVEEDORES[[#This Row],[base retencion]],0,PROVEEDORES[[#This Row],[retención aplicada]])</f>
        <v>0</v>
      </c>
      <c r="Q1645" s="22">
        <f>+PROVEEDORES[[#This Row],[Rete Fuente %]]*(PROVEEDORES[[#This Row],[SUBTOTAL]]-PROVEEDORES[[#This Row],[descuento sobre subtotal]])</f>
        <v>0</v>
      </c>
      <c r="R1645" s="21">
        <f>+PROVEEDORES[[#This Row],[SUBTOTAL]]+PROVEEDORES[[#This Row],[IVA 19%]]-PROVEEDORES[[#This Row],[descuento sobre subtotal]]-PROVEEDORES[[#This Row],[Descuento sobre subtotal $2]]-PROVEEDORES[[#This Row],[Rete Fuente $]]</f>
        <v>170000</v>
      </c>
      <c r="S1645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5" s="63">
        <f ca="1">IF(PROVEEDORES[[#This Row],[FECHA DE PAGO]]=0,TODAY()-PROVEEDORES[[#This Row],[FECHA DE FACTURACIÓN]]-PROVEEDORES[[#This Row],[PLAZO Días]],0)</f>
        <v>0</v>
      </c>
      <c r="U1645" s="104">
        <f>+VLOOKUP(PROVEEDORES[[#This Row],[PROVEEDOR]],Terceros!$A:$D,4,FALSE)</f>
        <v>0</v>
      </c>
      <c r="V1645" s="105">
        <f>+YEAR(PROVEEDORES[[#This Row],[FECHA DE FACTURACIÓN]])</f>
        <v>2023</v>
      </c>
      <c r="W1645" s="105">
        <f>+MATCH(PROVEEDORES[[#This Row],[año facturado]],Retenciones!$1:$1,0)</f>
        <v>6</v>
      </c>
      <c r="X1645" s="106">
        <f>+VLOOKUP(PROVEEDORES[[#This Row],[ID RETENCION]],Retenciones!$A$1:$O$25,PROVEEDORES[[#This Row],[indicador de columna]],FALSE)</f>
        <v>0</v>
      </c>
      <c r="Y1645" s="107">
        <f>+VLOOKUP(PROVEEDORES[[#This Row],[ID RETENCION]],Retenciones!$A$1:$O$25,2,FALSE)</f>
        <v>0</v>
      </c>
      <c r="Z1645" s="116" t="b">
        <f>OR(COUNTIF(PROVEEDORES[[#This Row],[PROVEEDOR]],"*"&amp;'Palabra no opera'!$A$2&amp;"*"))</f>
        <v>0</v>
      </c>
    </row>
    <row r="1646" spans="1:26" ht="22.35" customHeight="1" x14ac:dyDescent="0.3">
      <c r="A1646" s="327" t="str">
        <f>+IF(PROVEEDORES[[#This Row],[FECHA DE PAGO]]=PROVEEDORES[[#This Row],[FECHA DE FACTURACIÓN]],"DE CONTADO","CRÉDITO")</f>
        <v>CRÉDITO</v>
      </c>
      <c r="B1646" s="38" t="b">
        <f>+IF((PROVEEDORES[[#This Row],[FECHA DE PAGO]]-PROVEEDORES[[#This Row],[FECHA DE FACTURACIÓN]])&gt;PROVEEDORES[[#This Row],[PLAZO Días]],"PAGO VENCIDO")</f>
        <v>0</v>
      </c>
      <c r="C1646" s="20">
        <f>+VLOOKUP(PROVEEDORES[[#This Row],[PROVEEDOR]],TERCEROS_INFO[#All],2,FALSE)</f>
        <v>30</v>
      </c>
      <c r="D1646" s="25">
        <f>+SUMIFS(PROVEEDORES[Total],PROVEEDORES[PROVEEDOR],PROVEEDORES[[#This Row],[PROVEEDOR]],PROVEEDORES[FECHA DE PAGO],"")</f>
        <v>0</v>
      </c>
      <c r="E1646" s="25"/>
      <c r="F1646" s="56" t="str">
        <f>+VLOOKUP(PROVEEDORES[[#This Row],[PROVEEDOR]],
                       Terceros!$A:$F,
                       5,
                       FALSE)</f>
        <v/>
      </c>
      <c r="G1646" s="68">
        <v>45111</v>
      </c>
      <c r="H1646" s="26" t="s">
        <v>1403</v>
      </c>
      <c r="I1646" s="68">
        <v>45097</v>
      </c>
      <c r="J1646" s="35">
        <v>54</v>
      </c>
      <c r="K1646" s="21">
        <v>103000</v>
      </c>
      <c r="L1646" s="21"/>
      <c r="M1646" s="22">
        <f>(PROVEEDORES[[#This Row],[SUBTOTAL]]-PROVEEDORES[[#This Row],[descuento sobre subtotal]])*VLOOKUP(PROVEEDORES[[#This Row],[PROVEEDOR]],TERCEROS_INFO[#All],3,FALSE)</f>
        <v>0</v>
      </c>
      <c r="N1646" s="23"/>
      <c r="O1646" s="22">
        <f>+PROVEEDORES[[#This Row],[Descuento sobre subtotal %]]*(PROVEEDORES[[#This Row],[SUBTOTAL]]-PROVEEDORES[[#This Row],[descuento sobre subtotal]])</f>
        <v>0</v>
      </c>
      <c r="P1646" s="74">
        <f>+IF(PROVEEDORES[[#This Row],[SUBTOTAL]]&lt;PROVEEDORES[[#This Row],[base retencion]],0,PROVEEDORES[[#This Row],[retención aplicada]])</f>
        <v>0</v>
      </c>
      <c r="Q1646" s="22">
        <f>+PROVEEDORES[[#This Row],[Rete Fuente %]]*(PROVEEDORES[[#This Row],[SUBTOTAL]]-PROVEEDORES[[#This Row],[descuento sobre subtotal]])</f>
        <v>0</v>
      </c>
      <c r="R1646" s="21">
        <f>+PROVEEDORES[[#This Row],[SUBTOTAL]]+PROVEEDORES[[#This Row],[IVA 19%]]-PROVEEDORES[[#This Row],[descuento sobre subtotal]]-PROVEEDORES[[#This Row],[Descuento sobre subtotal $2]]-PROVEEDORES[[#This Row],[Rete Fuente $]]</f>
        <v>103000</v>
      </c>
      <c r="S1646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6" s="63">
        <f ca="1">IF(PROVEEDORES[[#This Row],[FECHA DE PAGO]]=0,TODAY()-PROVEEDORES[[#This Row],[FECHA DE FACTURACIÓN]]-PROVEEDORES[[#This Row],[PLAZO Días]],0)</f>
        <v>0</v>
      </c>
      <c r="U1646" s="104">
        <f>+VLOOKUP(PROVEEDORES[[#This Row],[PROVEEDOR]],Terceros!$A:$D,4,FALSE)</f>
        <v>0</v>
      </c>
      <c r="V1646" s="105">
        <f>+YEAR(PROVEEDORES[[#This Row],[FECHA DE FACTURACIÓN]])</f>
        <v>2023</v>
      </c>
      <c r="W1646" s="105">
        <f>+MATCH(PROVEEDORES[[#This Row],[año facturado]],Retenciones!$1:$1,0)</f>
        <v>6</v>
      </c>
      <c r="X1646" s="106">
        <f>+VLOOKUP(PROVEEDORES[[#This Row],[ID RETENCION]],Retenciones!$A$1:$O$25,PROVEEDORES[[#This Row],[indicador de columna]],FALSE)</f>
        <v>0</v>
      </c>
      <c r="Y1646" s="107">
        <f>+VLOOKUP(PROVEEDORES[[#This Row],[ID RETENCION]],Retenciones!$A$1:$O$25,2,FALSE)</f>
        <v>0</v>
      </c>
      <c r="Z1646" s="116" t="b">
        <f>OR(COUNTIF(PROVEEDORES[[#This Row],[PROVEEDOR]],"*"&amp;'Palabra no opera'!$A$2&amp;"*"))</f>
        <v>0</v>
      </c>
    </row>
    <row r="1647" spans="1:26" ht="22.35" customHeight="1" x14ac:dyDescent="0.3">
      <c r="A1647" s="67" t="str">
        <f>+IF(PROVEEDORES[[#This Row],[FECHA DE PAGO]]=PROVEEDORES[[#This Row],[FECHA DE FACTURACIÓN]],"DE CONTADO","CRÉDITO")</f>
        <v>CRÉDITO</v>
      </c>
      <c r="B1647" s="38" t="b">
        <f>+IF((PROVEEDORES[[#This Row],[FECHA DE PAGO]]-PROVEEDORES[[#This Row],[FECHA DE FACTURACIÓN]])&gt;PROVEEDORES[[#This Row],[PLAZO Días]],"PAGO VENCIDO")</f>
        <v>0</v>
      </c>
      <c r="C1647" s="20">
        <f>+VLOOKUP(PROVEEDORES[[#This Row],[PROVEEDOR]],TERCEROS_INFO[#All],2,FALSE)</f>
        <v>30</v>
      </c>
      <c r="D1647" s="25">
        <f>+SUMIFS(PROVEEDORES[Total],PROVEEDORES[PROVEEDOR],PROVEEDORES[[#This Row],[PROVEEDOR]],PROVEEDORES[FECHA DE PAGO],"")</f>
        <v>0</v>
      </c>
      <c r="E1647" s="25"/>
      <c r="F1647" s="56" t="str">
        <f>+VLOOKUP(PROVEEDORES[[#This Row],[PROVEEDOR]],
                       Terceros!$A:$F,
                       5,
                       FALSE)</f>
        <v/>
      </c>
      <c r="G1647" s="68">
        <v>45111</v>
      </c>
      <c r="H1647" s="26" t="s">
        <v>1403</v>
      </c>
      <c r="I1647" s="68">
        <v>45098</v>
      </c>
      <c r="J1647" s="35">
        <v>55</v>
      </c>
      <c r="K1647" s="21">
        <v>687000</v>
      </c>
      <c r="L1647" s="21"/>
      <c r="M1647" s="22">
        <f>(PROVEEDORES[[#This Row],[SUBTOTAL]]-PROVEEDORES[[#This Row],[descuento sobre subtotal]])*VLOOKUP(PROVEEDORES[[#This Row],[PROVEEDOR]],TERCEROS_INFO[#All],3,FALSE)</f>
        <v>0</v>
      </c>
      <c r="N1647" s="23"/>
      <c r="O1647" s="22">
        <f>+PROVEEDORES[[#This Row],[Descuento sobre subtotal %]]*(PROVEEDORES[[#This Row],[SUBTOTAL]]-PROVEEDORES[[#This Row],[descuento sobre subtotal]])</f>
        <v>0</v>
      </c>
      <c r="P1647" s="74">
        <f>+IF(PROVEEDORES[[#This Row],[SUBTOTAL]]&lt;PROVEEDORES[[#This Row],[base retencion]],0,PROVEEDORES[[#This Row],[retención aplicada]])</f>
        <v>0</v>
      </c>
      <c r="Q1647" s="22">
        <f>+PROVEEDORES[[#This Row],[Rete Fuente %]]*(PROVEEDORES[[#This Row],[SUBTOTAL]]-PROVEEDORES[[#This Row],[descuento sobre subtotal]])</f>
        <v>0</v>
      </c>
      <c r="R1647" s="21">
        <f>+PROVEEDORES[[#This Row],[SUBTOTAL]]+PROVEEDORES[[#This Row],[IVA 19%]]-PROVEEDORES[[#This Row],[descuento sobre subtotal]]-PROVEEDORES[[#This Row],[Descuento sobre subtotal $2]]-PROVEEDORES[[#This Row],[Rete Fuente $]]</f>
        <v>687000</v>
      </c>
      <c r="S16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7" s="63">
        <f ca="1">IF(PROVEEDORES[[#This Row],[FECHA DE PAGO]]=0,TODAY()-PROVEEDORES[[#This Row],[FECHA DE FACTURACIÓN]]-PROVEEDORES[[#This Row],[PLAZO Días]],0)</f>
        <v>0</v>
      </c>
      <c r="U1647" s="104">
        <f>+VLOOKUP(PROVEEDORES[[#This Row],[PROVEEDOR]],Terceros!$A:$D,4,FALSE)</f>
        <v>0</v>
      </c>
      <c r="V1647" s="105">
        <f>+YEAR(PROVEEDORES[[#This Row],[FECHA DE FACTURACIÓN]])</f>
        <v>2023</v>
      </c>
      <c r="W1647" s="105">
        <f>+MATCH(PROVEEDORES[[#This Row],[año facturado]],Retenciones!$1:$1,0)</f>
        <v>6</v>
      </c>
      <c r="X1647" s="106">
        <f>+VLOOKUP(PROVEEDORES[[#This Row],[ID RETENCION]],Retenciones!$A$1:$O$25,PROVEEDORES[[#This Row],[indicador de columna]],FALSE)</f>
        <v>0</v>
      </c>
      <c r="Y1647" s="107">
        <f>+VLOOKUP(PROVEEDORES[[#This Row],[ID RETENCION]],Retenciones!$A$1:$O$25,2,FALSE)</f>
        <v>0</v>
      </c>
      <c r="Z1647" s="116" t="b">
        <f>OR(COUNTIF(PROVEEDORES[[#This Row],[PROVEEDOR]],"*"&amp;'Palabra no opera'!$A$2&amp;"*"))</f>
        <v>0</v>
      </c>
    </row>
    <row r="1648" spans="1:26" ht="22.35" customHeight="1" x14ac:dyDescent="0.3">
      <c r="A1648" s="67" t="str">
        <f>+IF(PROVEEDORES[[#This Row],[FECHA DE PAGO]]=PROVEEDORES[[#This Row],[FECHA DE FACTURACIÓN]],"DE CONTADO","CRÉDITO")</f>
        <v>CRÉDITO</v>
      </c>
      <c r="B1648" s="38" t="b">
        <f>+IF((PROVEEDORES[[#This Row],[FECHA DE PAGO]]-PROVEEDORES[[#This Row],[FECHA DE FACTURACIÓN]])&gt;PROVEEDORES[[#This Row],[PLAZO Días]],"PAGO VENCIDO")</f>
        <v>0</v>
      </c>
      <c r="C1648" s="20">
        <f>+VLOOKUP(PROVEEDORES[[#This Row],[PROVEEDOR]],TERCEROS_INFO[#All],2,FALSE)</f>
        <v>30</v>
      </c>
      <c r="D1648" s="25">
        <f>+SUMIFS(PROVEEDORES[Total],PROVEEDORES[PROVEEDOR],PROVEEDORES[[#This Row],[PROVEEDOR]],PROVEEDORES[FECHA DE PAGO],"")</f>
        <v>0</v>
      </c>
      <c r="E1648" s="25"/>
      <c r="F1648" s="56" t="str">
        <f>+VLOOKUP(PROVEEDORES[[#This Row],[PROVEEDOR]],
                       Terceros!$A:$F,
                       5,
                       FALSE)</f>
        <v/>
      </c>
      <c r="G1648" s="68">
        <v>45111</v>
      </c>
      <c r="H1648" s="26" t="s">
        <v>1403</v>
      </c>
      <c r="I1648" s="68">
        <v>45098</v>
      </c>
      <c r="J1648" s="35">
        <v>56</v>
      </c>
      <c r="K1648" s="21">
        <v>302000</v>
      </c>
      <c r="L1648" s="21"/>
      <c r="M1648" s="22">
        <f>(PROVEEDORES[[#This Row],[SUBTOTAL]]-PROVEEDORES[[#This Row],[descuento sobre subtotal]])*VLOOKUP(PROVEEDORES[[#This Row],[PROVEEDOR]],TERCEROS_INFO[#All],3,FALSE)</f>
        <v>0</v>
      </c>
      <c r="N1648" s="23"/>
      <c r="O1648" s="22">
        <f>+PROVEEDORES[[#This Row],[Descuento sobre subtotal %]]*(PROVEEDORES[[#This Row],[SUBTOTAL]]-PROVEEDORES[[#This Row],[descuento sobre subtotal]])</f>
        <v>0</v>
      </c>
      <c r="P1648" s="74">
        <f>+IF(PROVEEDORES[[#This Row],[SUBTOTAL]]&lt;PROVEEDORES[[#This Row],[base retencion]],0,PROVEEDORES[[#This Row],[retención aplicada]])</f>
        <v>0</v>
      </c>
      <c r="Q1648" s="22">
        <f>+PROVEEDORES[[#This Row],[Rete Fuente %]]*(PROVEEDORES[[#This Row],[SUBTOTAL]]-PROVEEDORES[[#This Row],[descuento sobre subtotal]])</f>
        <v>0</v>
      </c>
      <c r="R1648" s="21">
        <f>+PROVEEDORES[[#This Row],[SUBTOTAL]]+PROVEEDORES[[#This Row],[IVA 19%]]-PROVEEDORES[[#This Row],[descuento sobre subtotal]]-PROVEEDORES[[#This Row],[Descuento sobre subtotal $2]]-PROVEEDORES[[#This Row],[Rete Fuente $]]</f>
        <v>302000</v>
      </c>
      <c r="S164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8" s="63">
        <f ca="1">IF(PROVEEDORES[[#This Row],[FECHA DE PAGO]]=0,TODAY()-PROVEEDORES[[#This Row],[FECHA DE FACTURACIÓN]]-PROVEEDORES[[#This Row],[PLAZO Días]],0)</f>
        <v>0</v>
      </c>
      <c r="U1648" s="104">
        <f>+VLOOKUP(PROVEEDORES[[#This Row],[PROVEEDOR]],Terceros!$A:$D,4,FALSE)</f>
        <v>0</v>
      </c>
      <c r="V1648" s="105">
        <f>+YEAR(PROVEEDORES[[#This Row],[FECHA DE FACTURACIÓN]])</f>
        <v>2023</v>
      </c>
      <c r="W1648" s="105">
        <f>+MATCH(PROVEEDORES[[#This Row],[año facturado]],Retenciones!$1:$1,0)</f>
        <v>6</v>
      </c>
      <c r="X1648" s="106">
        <f>+VLOOKUP(PROVEEDORES[[#This Row],[ID RETENCION]],Retenciones!$A$1:$O$25,PROVEEDORES[[#This Row],[indicador de columna]],FALSE)</f>
        <v>0</v>
      </c>
      <c r="Y1648" s="107">
        <f>+VLOOKUP(PROVEEDORES[[#This Row],[ID RETENCION]],Retenciones!$A$1:$O$25,2,FALSE)</f>
        <v>0</v>
      </c>
      <c r="Z1648" s="116" t="b">
        <f>OR(COUNTIF(PROVEEDORES[[#This Row],[PROVEEDOR]],"*"&amp;'Palabra no opera'!$A$2&amp;"*"))</f>
        <v>0</v>
      </c>
    </row>
    <row r="1649" spans="1:26" ht="22.35" customHeight="1" x14ac:dyDescent="0.3">
      <c r="A1649" s="67" t="str">
        <f>+IF(PROVEEDORES[[#This Row],[FECHA DE PAGO]]=PROVEEDORES[[#This Row],[FECHA DE FACTURACIÓN]],"DE CONTADO","CRÉDITO")</f>
        <v>CRÉDITO</v>
      </c>
      <c r="B1649" s="38" t="str">
        <f>+IF((PROVEEDORES[[#This Row],[FECHA DE PAGO]]-PROVEEDORES[[#This Row],[FECHA DE FACTURACIÓN]])&gt;PROVEEDORES[[#This Row],[PLAZO Días]],"PAGO VENCIDO")</f>
        <v>PAGO VENCIDO</v>
      </c>
      <c r="C1649" s="20">
        <f>+VLOOKUP(PROVEEDORES[[#This Row],[PROVEEDOR]],TERCEROS_INFO[#All],2,FALSE)</f>
        <v>30</v>
      </c>
      <c r="D1649" s="25">
        <f>+SUMIFS(PROVEEDORES[Total],PROVEEDORES[PROVEEDOR],PROVEEDORES[[#This Row],[PROVEEDOR]],PROVEEDORES[FECHA DE PAGO],"")</f>
        <v>0</v>
      </c>
      <c r="E1649" s="25"/>
      <c r="F1649" s="56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649" s="68">
        <v>45111</v>
      </c>
      <c r="H1649" s="26" t="s">
        <v>16</v>
      </c>
      <c r="I1649" s="68">
        <v>45057</v>
      </c>
      <c r="J1649" s="35" t="s">
        <v>1694</v>
      </c>
      <c r="K1649" s="21">
        <v>436975</v>
      </c>
      <c r="L1649" s="21"/>
      <c r="M1649" s="22">
        <f>(PROVEEDORES[[#This Row],[SUBTOTAL]]-PROVEEDORES[[#This Row],[descuento sobre subtotal]])*VLOOKUP(PROVEEDORES[[#This Row],[PROVEEDOR]],TERCEROS_INFO[#All],3,FALSE)</f>
        <v>83025.25</v>
      </c>
      <c r="N1649" s="23"/>
      <c r="O1649" s="22">
        <f>+PROVEEDORES[[#This Row],[Descuento sobre subtotal %]]*(PROVEEDORES[[#This Row],[SUBTOTAL]]-PROVEEDORES[[#This Row],[descuento sobre subtotal]])</f>
        <v>0</v>
      </c>
      <c r="P1649" s="74">
        <f>+IF(PROVEEDORES[[#This Row],[SUBTOTAL]]&lt;PROVEEDORES[[#This Row],[base retencion]],0,PROVEEDORES[[#This Row],[retención aplicada]])</f>
        <v>0</v>
      </c>
      <c r="Q1649" s="22">
        <f>+PROVEEDORES[[#This Row],[Rete Fuente %]]*(PROVEEDORES[[#This Row],[SUBTOTAL]]-PROVEEDORES[[#This Row],[descuento sobre subtotal]])</f>
        <v>0</v>
      </c>
      <c r="R1649" s="21">
        <f>+PROVEEDORES[[#This Row],[SUBTOTAL]]+PROVEEDORES[[#This Row],[IVA 19%]]-PROVEEDORES[[#This Row],[descuento sobre subtotal]]-PROVEEDORES[[#This Row],[Descuento sobre subtotal $2]]-PROVEEDORES[[#This Row],[Rete Fuente $]]</f>
        <v>520000.25</v>
      </c>
      <c r="S16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9" s="63">
        <f ca="1">IF(PROVEEDORES[[#This Row],[FECHA DE PAGO]]=0,TODAY()-PROVEEDORES[[#This Row],[FECHA DE FACTURACIÓN]]-PROVEEDORES[[#This Row],[PLAZO Días]],0)</f>
        <v>0</v>
      </c>
      <c r="U1649" s="104" t="str">
        <f>+VLOOKUP(PROVEEDORES[[#This Row],[PROVEEDOR]],Terceros!$A:$D,4,FALSE)</f>
        <v>2,5% con base</v>
      </c>
      <c r="V1649" s="105">
        <f>+YEAR(PROVEEDORES[[#This Row],[FECHA DE FACTURACIÓN]])</f>
        <v>2023</v>
      </c>
      <c r="W1649" s="105">
        <f>+MATCH(PROVEEDORES[[#This Row],[año facturado]],Retenciones!$1:$1,0)</f>
        <v>6</v>
      </c>
      <c r="X1649" s="106">
        <f>+VLOOKUP(PROVEEDORES[[#This Row],[ID RETENCION]],Retenciones!$A$1:$O$25,PROVEEDORES[[#This Row],[indicador de columna]],FALSE)</f>
        <v>1145000</v>
      </c>
      <c r="Y1649" s="107">
        <f>+VLOOKUP(PROVEEDORES[[#This Row],[ID RETENCION]],Retenciones!$A$1:$O$25,2,FALSE)</f>
        <v>2.5000000000000001E-2</v>
      </c>
      <c r="Z1649" s="116" t="b">
        <f>OR(COUNTIF(PROVEEDORES[[#This Row],[PROVEEDOR]],"*"&amp;'Palabra no opera'!$A$2&amp;"*"))</f>
        <v>0</v>
      </c>
    </row>
    <row r="1650" spans="1:26" ht="22.35" customHeight="1" x14ac:dyDescent="0.3">
      <c r="A1650" s="67" t="str">
        <f>+IF(PROVEEDORES[[#This Row],[FECHA DE PAGO]]=PROVEEDORES[[#This Row],[FECHA DE FACTURACIÓN]],"DE CONTADO","CRÉDITO")</f>
        <v>CRÉDITO</v>
      </c>
      <c r="B1650" s="38" t="str">
        <f>+IF((PROVEEDORES[[#This Row],[FECHA DE PAGO]]-PROVEEDORES[[#This Row],[FECHA DE FACTURACIÓN]])&gt;PROVEEDORES[[#This Row],[PLAZO Días]],"PAGO VENCIDO")</f>
        <v>PAGO VENCIDO</v>
      </c>
      <c r="C1650" s="20">
        <f>+VLOOKUP(PROVEEDORES[[#This Row],[PROVEEDOR]],TERCEROS_INFO[#All],2,FALSE)</f>
        <v>30</v>
      </c>
      <c r="D1650" s="25">
        <f>+SUMIFS(PROVEEDORES[Total],PROVEEDORES[PROVEEDOR],PROVEEDORES[[#This Row],[PROVEEDOR]],PROVEEDORES[FECHA DE PAGO],"")</f>
        <v>5537221.7000000002</v>
      </c>
      <c r="E1650" s="25"/>
      <c r="F1650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650" s="68">
        <v>45111</v>
      </c>
      <c r="H1650" s="26" t="s">
        <v>293</v>
      </c>
      <c r="I1650" s="68">
        <v>45056</v>
      </c>
      <c r="J1650" s="35" t="s">
        <v>1695</v>
      </c>
      <c r="K1650" s="21">
        <v>3156811</v>
      </c>
      <c r="L1650" s="21"/>
      <c r="M1650" s="22">
        <f>(PROVEEDORES[[#This Row],[SUBTOTAL]]-PROVEEDORES[[#This Row],[descuento sobre subtotal]])*VLOOKUP(PROVEEDORES[[#This Row],[PROVEEDOR]],TERCEROS_INFO[#All],3,FALSE)</f>
        <v>599794.09</v>
      </c>
      <c r="N1650" s="23"/>
      <c r="O1650" s="22">
        <v>72735</v>
      </c>
      <c r="P1650" s="74">
        <f>+IF(PROVEEDORES[[#This Row],[SUBTOTAL]]&lt;PROVEEDORES[[#This Row],[base retencion]],0,PROVEEDORES[[#This Row],[retención aplicada]])</f>
        <v>2.5000000000000001E-2</v>
      </c>
      <c r="Q1650" s="22">
        <f>+PROVEEDORES[[#This Row],[Rete Fuente %]]*(PROVEEDORES[[#This Row],[SUBTOTAL]]-PROVEEDORES[[#This Row],[descuento sobre subtotal]])</f>
        <v>78920.275000000009</v>
      </c>
      <c r="R1650" s="21">
        <f>+PROVEEDORES[[#This Row],[SUBTOTAL]]+PROVEEDORES[[#This Row],[IVA 19%]]-PROVEEDORES[[#This Row],[descuento sobre subtotal]]-PROVEEDORES[[#This Row],[Descuento sobre subtotal $2]]-PROVEEDORES[[#This Row],[Rete Fuente $]]</f>
        <v>3604949.8149999999</v>
      </c>
      <c r="S16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0" s="63">
        <f ca="1">IF(PROVEEDORES[[#This Row],[FECHA DE PAGO]]=0,TODAY()-PROVEEDORES[[#This Row],[FECHA DE FACTURACIÓN]]-PROVEEDORES[[#This Row],[PLAZO Días]],0)</f>
        <v>0</v>
      </c>
      <c r="U1650" s="104" t="str">
        <f>+VLOOKUP(PROVEEDORES[[#This Row],[PROVEEDOR]],Terceros!$A:$D,4,FALSE)</f>
        <v>2,5% con base</v>
      </c>
      <c r="V1650" s="105">
        <f>+YEAR(PROVEEDORES[[#This Row],[FECHA DE FACTURACIÓN]])</f>
        <v>2023</v>
      </c>
      <c r="W1650" s="105">
        <f>+MATCH(PROVEEDORES[[#This Row],[año facturado]],Retenciones!$1:$1,0)</f>
        <v>6</v>
      </c>
      <c r="X1650" s="106">
        <f>+VLOOKUP(PROVEEDORES[[#This Row],[ID RETENCION]],Retenciones!$A$1:$O$25,PROVEEDORES[[#This Row],[indicador de columna]],FALSE)</f>
        <v>1145000</v>
      </c>
      <c r="Y1650" s="107">
        <f>+VLOOKUP(PROVEEDORES[[#This Row],[ID RETENCION]],Retenciones!$A$1:$O$25,2,FALSE)</f>
        <v>2.5000000000000001E-2</v>
      </c>
      <c r="Z1650" s="116" t="b">
        <f>OR(COUNTIF(PROVEEDORES[[#This Row],[PROVEEDOR]],"*"&amp;'Palabra no opera'!$A$2&amp;"*"))</f>
        <v>0</v>
      </c>
    </row>
    <row r="1651" spans="1:26" ht="22.35" customHeight="1" x14ac:dyDescent="0.3">
      <c r="A1651" s="67" t="str">
        <f>+IF(PROVEEDORES[[#This Row],[FECHA DE PAGO]]=PROVEEDORES[[#This Row],[FECHA DE FACTURACIÓN]],"DE CONTADO","CRÉDITO")</f>
        <v>CRÉDITO</v>
      </c>
      <c r="B1651" s="38" t="str">
        <f>+IF((PROVEEDORES[[#This Row],[FECHA DE PAGO]]-PROVEEDORES[[#This Row],[FECHA DE FACTURACIÓN]])&gt;PROVEEDORES[[#This Row],[PLAZO Días]],"PAGO VENCIDO")</f>
        <v>PAGO VENCIDO</v>
      </c>
      <c r="C1651" s="20">
        <f>+VLOOKUP(PROVEEDORES[[#This Row],[PROVEEDOR]],TERCEROS_INFO[#All],2,FALSE)</f>
        <v>30</v>
      </c>
      <c r="D1651" s="25">
        <f>+SUMIFS(PROVEEDORES[Total],PROVEEDORES[PROVEEDOR],PROVEEDORES[[#This Row],[PROVEEDOR]],PROVEEDORES[FECHA DE PAGO],"")</f>
        <v>5537221.7000000002</v>
      </c>
      <c r="E1651" s="25"/>
      <c r="F1651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651" s="68">
        <v>45111</v>
      </c>
      <c r="H1651" s="26" t="s">
        <v>293</v>
      </c>
      <c r="I1651" s="68">
        <v>45062</v>
      </c>
      <c r="J1651" s="35" t="s">
        <v>1696</v>
      </c>
      <c r="K1651" s="21">
        <v>-123655</v>
      </c>
      <c r="L1651" s="21"/>
      <c r="M1651" s="22">
        <f>(PROVEEDORES[[#This Row],[SUBTOTAL]]-PROVEEDORES[[#This Row],[descuento sobre subtotal]])*VLOOKUP(PROVEEDORES[[#This Row],[PROVEEDOR]],TERCEROS_INFO[#All],3,FALSE)</f>
        <v>-23494.45</v>
      </c>
      <c r="N1651" s="23"/>
      <c r="O1651" s="22">
        <f>+PROVEEDORES[[#This Row],[Descuento sobre subtotal %]]*(PROVEEDORES[[#This Row],[SUBTOTAL]]-PROVEEDORES[[#This Row],[descuento sobre subtotal]])</f>
        <v>0</v>
      </c>
      <c r="P1651" s="74">
        <f>+IF(PROVEEDORES[[#This Row],[SUBTOTAL]]&lt;PROVEEDORES[[#This Row],[base retencion]],0,PROVEEDORES[[#This Row],[retención aplicada]])</f>
        <v>0</v>
      </c>
      <c r="Q1651" s="22">
        <f>+PROVEEDORES[[#This Row],[Rete Fuente %]]*(PROVEEDORES[[#This Row],[SUBTOTAL]]-PROVEEDORES[[#This Row],[descuento sobre subtotal]])</f>
        <v>0</v>
      </c>
      <c r="R1651" s="21">
        <f>+PROVEEDORES[[#This Row],[SUBTOTAL]]+PROVEEDORES[[#This Row],[IVA 19%]]-PROVEEDORES[[#This Row],[descuento sobre subtotal]]-PROVEEDORES[[#This Row],[Descuento sobre subtotal $2]]-PROVEEDORES[[#This Row],[Rete Fuente $]]</f>
        <v>-147149.45000000001</v>
      </c>
      <c r="S16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1" s="63">
        <f ca="1">IF(PROVEEDORES[[#This Row],[FECHA DE PAGO]]=0,TODAY()-PROVEEDORES[[#This Row],[FECHA DE FACTURACIÓN]]-PROVEEDORES[[#This Row],[PLAZO Días]],0)</f>
        <v>0</v>
      </c>
      <c r="U1651" s="104" t="str">
        <f>+VLOOKUP(PROVEEDORES[[#This Row],[PROVEEDOR]],Terceros!$A:$D,4,FALSE)</f>
        <v>2,5% con base</v>
      </c>
      <c r="V1651" s="105">
        <f>+YEAR(PROVEEDORES[[#This Row],[FECHA DE FACTURACIÓN]])</f>
        <v>2023</v>
      </c>
      <c r="W1651" s="105">
        <f>+MATCH(PROVEEDORES[[#This Row],[año facturado]],Retenciones!$1:$1,0)</f>
        <v>6</v>
      </c>
      <c r="X1651" s="106">
        <f>+VLOOKUP(PROVEEDORES[[#This Row],[ID RETENCION]],Retenciones!$A$1:$O$25,PROVEEDORES[[#This Row],[indicador de columna]],FALSE)</f>
        <v>1145000</v>
      </c>
      <c r="Y1651" s="107">
        <f>+VLOOKUP(PROVEEDORES[[#This Row],[ID RETENCION]],Retenciones!$A$1:$O$25,2,FALSE)</f>
        <v>2.5000000000000001E-2</v>
      </c>
      <c r="Z1651" s="116" t="b">
        <f>OR(COUNTIF(PROVEEDORES[[#This Row],[PROVEEDOR]],"*"&amp;'Palabra no opera'!$A$2&amp;"*"))</f>
        <v>0</v>
      </c>
    </row>
    <row r="1652" spans="1:26" ht="22.35" customHeight="1" x14ac:dyDescent="0.3">
      <c r="A1652" s="67" t="str">
        <f>+IF(PROVEEDORES[[#This Row],[FECHA DE PAGO]]=PROVEEDORES[[#This Row],[FECHA DE FACTURACIÓN]],"DE CONTADO","CRÉDITO")</f>
        <v>DE CONTADO</v>
      </c>
      <c r="B1652" s="38" t="b">
        <f>+IF((PROVEEDORES[[#This Row],[FECHA DE PAGO]]-PROVEEDORES[[#This Row],[FECHA DE FACTURACIÓN]])&gt;PROVEEDORES[[#This Row],[PLAZO Días]],"PAGO VENCIDO")</f>
        <v>0</v>
      </c>
      <c r="C1652" s="20">
        <f>+VLOOKUP(PROVEEDORES[[#This Row],[PROVEEDOR]],TERCEROS_INFO[#All],2,FALSE)</f>
        <v>30</v>
      </c>
      <c r="D1652" s="25">
        <f>+SUMIFS(PROVEEDORES[Total],PROVEEDORES[PROVEEDOR],PROVEEDORES[[#This Row],[PROVEEDOR]],PROVEEDORES[FECHA DE PAGO],"")</f>
        <v>0</v>
      </c>
      <c r="E1652" s="25"/>
      <c r="F1652" s="56">
        <f>+VLOOKUP(PROVEEDORES[[#This Row],[PROVEEDOR]],
                       Terceros!$A:$F,
                       5,
                       FALSE)</f>
        <v>0</v>
      </c>
      <c r="G1652" s="68">
        <v>45113</v>
      </c>
      <c r="H1652" s="95" t="s">
        <v>1800</v>
      </c>
      <c r="I1652" s="68">
        <v>45113</v>
      </c>
      <c r="J1652" s="35" t="s">
        <v>1801</v>
      </c>
      <c r="K1652" s="21">
        <v>587000</v>
      </c>
      <c r="L1652" s="21"/>
      <c r="M1652" s="22">
        <f>(PROVEEDORES[[#This Row],[SUBTOTAL]]-PROVEEDORES[[#This Row],[descuento sobre subtotal]])*VLOOKUP(PROVEEDORES[[#This Row],[PROVEEDOR]],TERCEROS_INFO[#All],3,FALSE)</f>
        <v>0</v>
      </c>
      <c r="N1652" s="23"/>
      <c r="O1652" s="22">
        <f>+PROVEEDORES[[#This Row],[Descuento sobre subtotal %]]*(PROVEEDORES[[#This Row],[SUBTOTAL]]-PROVEEDORES[[#This Row],[descuento sobre subtotal]])</f>
        <v>0</v>
      </c>
      <c r="P1652" s="74">
        <f>+IF(PROVEEDORES[[#This Row],[SUBTOTAL]]&lt;PROVEEDORES[[#This Row],[base retencion]],0,PROVEEDORES[[#This Row],[retención aplicada]])</f>
        <v>0</v>
      </c>
      <c r="Q1652" s="22">
        <f>+PROVEEDORES[[#This Row],[Rete Fuente %]]*(PROVEEDORES[[#This Row],[SUBTOTAL]]-PROVEEDORES[[#This Row],[descuento sobre subtotal]])</f>
        <v>0</v>
      </c>
      <c r="R1652" s="21">
        <f>+PROVEEDORES[[#This Row],[SUBTOTAL]]+PROVEEDORES[[#This Row],[IVA 19%]]-PROVEEDORES[[#This Row],[descuento sobre subtotal]]-PROVEEDORES[[#This Row],[Descuento sobre subtotal $2]]-PROVEEDORES[[#This Row],[Rete Fuente $]]</f>
        <v>587000</v>
      </c>
      <c r="S165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2" s="63">
        <f ca="1">IF(PROVEEDORES[[#This Row],[FECHA DE PAGO]]=0,TODAY()-PROVEEDORES[[#This Row],[FECHA DE FACTURACIÓN]]-PROVEEDORES[[#This Row],[PLAZO Días]],0)</f>
        <v>0</v>
      </c>
      <c r="U1652" s="104">
        <f>+VLOOKUP(PROVEEDORES[[#This Row],[PROVEEDOR]],Terceros!$A:$D,4,FALSE)</f>
        <v>0</v>
      </c>
      <c r="V1652" s="105">
        <f>+YEAR(PROVEEDORES[[#This Row],[FECHA DE FACTURACIÓN]])</f>
        <v>2023</v>
      </c>
      <c r="W1652" s="105">
        <f>+MATCH(PROVEEDORES[[#This Row],[año facturado]],Retenciones!$1:$1,0)</f>
        <v>6</v>
      </c>
      <c r="X1652" s="106">
        <f>+VLOOKUP(PROVEEDORES[[#This Row],[ID RETENCION]],Retenciones!$A$1:$O$25,PROVEEDORES[[#This Row],[indicador de columna]],FALSE)</f>
        <v>0</v>
      </c>
      <c r="Y1652" s="107">
        <f>+VLOOKUP(PROVEEDORES[[#This Row],[ID RETENCION]],Retenciones!$A$1:$O$25,2,FALSE)</f>
        <v>0</v>
      </c>
      <c r="Z1652" s="116" t="b">
        <f>OR(COUNTIF(PROVEEDORES[[#This Row],[PROVEEDOR]],"*"&amp;'Palabra no opera'!$A$2&amp;"*"))</f>
        <v>0</v>
      </c>
    </row>
    <row r="1653" spans="1:26" ht="22.35" customHeight="1" x14ac:dyDescent="0.3">
      <c r="A1653" s="67" t="str">
        <f>+IF(PROVEEDORES[[#This Row],[FECHA DE PAGO]]=PROVEEDORES[[#This Row],[FECHA DE FACTURACIÓN]],"DE CONTADO","CRÉDITO")</f>
        <v>DE CONTADO</v>
      </c>
      <c r="B1653" s="38" t="b">
        <f>+IF((PROVEEDORES[[#This Row],[FECHA DE PAGO]]-PROVEEDORES[[#This Row],[FECHA DE FACTURACIÓN]])&gt;PROVEEDORES[[#This Row],[PLAZO Días]],"PAGO VENCIDO")</f>
        <v>0</v>
      </c>
      <c r="C1653" s="20">
        <f>+VLOOKUP(PROVEEDORES[[#This Row],[PROVEEDOR]],TERCEROS_INFO[#All],2,FALSE)</f>
        <v>30</v>
      </c>
      <c r="D1653" s="25">
        <f>+SUMIFS(PROVEEDORES[Total],PROVEEDORES[PROVEEDOR],PROVEEDORES[[#This Row],[PROVEEDOR]],PROVEEDORES[FECHA DE PAGO],"")</f>
        <v>0</v>
      </c>
      <c r="E1653" s="25"/>
      <c r="F1653" s="56">
        <f>+VLOOKUP(PROVEEDORES[[#This Row],[PROVEEDOR]],
                       Terceros!$A:$F,
                       5,
                       FALSE)</f>
        <v>0</v>
      </c>
      <c r="G1653" s="68">
        <v>45113</v>
      </c>
      <c r="H1653" s="26" t="s">
        <v>1762</v>
      </c>
      <c r="I1653" s="68">
        <v>45113</v>
      </c>
      <c r="J1653" s="35" t="s">
        <v>1799</v>
      </c>
      <c r="K1653" s="21">
        <v>582000</v>
      </c>
      <c r="L1653" s="21"/>
      <c r="M1653" s="22">
        <f>(PROVEEDORES[[#This Row],[SUBTOTAL]]-PROVEEDORES[[#This Row],[descuento sobre subtotal]])*VLOOKUP(PROVEEDORES[[#This Row],[PROVEEDOR]],TERCEROS_INFO[#All],3,FALSE)</f>
        <v>0</v>
      </c>
      <c r="N1653" s="23"/>
      <c r="O1653" s="22">
        <f>+PROVEEDORES[[#This Row],[Descuento sobre subtotal %]]*(PROVEEDORES[[#This Row],[SUBTOTAL]]-PROVEEDORES[[#This Row],[descuento sobre subtotal]])</f>
        <v>0</v>
      </c>
      <c r="P1653" s="74">
        <f>+IF(PROVEEDORES[[#This Row],[SUBTOTAL]]&lt;PROVEEDORES[[#This Row],[base retencion]],0,PROVEEDORES[[#This Row],[retención aplicada]])</f>
        <v>0</v>
      </c>
      <c r="Q1653" s="22">
        <f>+PROVEEDORES[[#This Row],[Rete Fuente %]]*(PROVEEDORES[[#This Row],[SUBTOTAL]]-PROVEEDORES[[#This Row],[descuento sobre subtotal]])</f>
        <v>0</v>
      </c>
      <c r="R1653" s="21">
        <f>+PROVEEDORES[[#This Row],[SUBTOTAL]]+PROVEEDORES[[#This Row],[IVA 19%]]-PROVEEDORES[[#This Row],[descuento sobre subtotal]]-PROVEEDORES[[#This Row],[Descuento sobre subtotal $2]]-PROVEEDORES[[#This Row],[Rete Fuente $]]</f>
        <v>582000</v>
      </c>
      <c r="S16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3" s="63">
        <f ca="1">IF(PROVEEDORES[[#This Row],[FECHA DE PAGO]]=0,TODAY()-PROVEEDORES[[#This Row],[FECHA DE FACTURACIÓN]]-PROVEEDORES[[#This Row],[PLAZO Días]],0)</f>
        <v>0</v>
      </c>
      <c r="U1653" s="104">
        <f>+VLOOKUP(PROVEEDORES[[#This Row],[PROVEEDOR]],Terceros!$A:$D,4,FALSE)</f>
        <v>0</v>
      </c>
      <c r="V1653" s="105">
        <f>+YEAR(PROVEEDORES[[#This Row],[FECHA DE FACTURACIÓN]])</f>
        <v>2023</v>
      </c>
      <c r="W1653" s="105">
        <f>+MATCH(PROVEEDORES[[#This Row],[año facturado]],Retenciones!$1:$1,0)</f>
        <v>6</v>
      </c>
      <c r="X1653" s="106">
        <f>+VLOOKUP(PROVEEDORES[[#This Row],[ID RETENCION]],Retenciones!$A$1:$O$25,PROVEEDORES[[#This Row],[indicador de columna]],FALSE)</f>
        <v>0</v>
      </c>
      <c r="Y1653" s="107">
        <f>+VLOOKUP(PROVEEDORES[[#This Row],[ID RETENCION]],Retenciones!$A$1:$O$25,2,FALSE)</f>
        <v>0</v>
      </c>
      <c r="Z1653" s="116" t="b">
        <f>OR(COUNTIF(PROVEEDORES[[#This Row],[PROVEEDOR]],"*"&amp;'Palabra no opera'!$A$2&amp;"*"))</f>
        <v>0</v>
      </c>
    </row>
    <row r="1654" spans="1:26" ht="22.35" customHeight="1" x14ac:dyDescent="0.3">
      <c r="A1654" s="67" t="str">
        <f>+IF(PROVEEDORES[[#This Row],[FECHA DE PAGO]]=PROVEEDORES[[#This Row],[FECHA DE FACTURACIÓN]],"DE CONTADO","CRÉDITO")</f>
        <v>DE CONTADO</v>
      </c>
      <c r="B1654" s="38" t="b">
        <f>+IF((PROVEEDORES[[#This Row],[FECHA DE PAGO]]-PROVEEDORES[[#This Row],[FECHA DE FACTURACIÓN]])&gt;PROVEEDORES[[#This Row],[PLAZO Días]],"PAGO VENCIDO")</f>
        <v>0</v>
      </c>
      <c r="C1654" s="20">
        <f>+VLOOKUP(PROVEEDORES[[#This Row],[PROVEEDOR]],TERCEROS_INFO[#All],2,FALSE)</f>
        <v>30</v>
      </c>
      <c r="D1654" s="25">
        <f>+SUMIFS(PROVEEDORES[Total],PROVEEDORES[PROVEEDOR],PROVEEDORES[[#This Row],[PROVEEDOR]],PROVEEDORES[FECHA DE PAGO],"")</f>
        <v>0</v>
      </c>
      <c r="E1654" s="25"/>
      <c r="F1654" s="56" t="str">
        <f>+VLOOKUP(PROVEEDORES[[#This Row],[PROVEEDOR]],
                       Terceros!$A:$F,
                       5,
                       FALSE)</f>
        <v/>
      </c>
      <c r="G1654" s="68">
        <v>45115</v>
      </c>
      <c r="H1654" s="26" t="s">
        <v>378</v>
      </c>
      <c r="I1654" s="68">
        <v>45115</v>
      </c>
      <c r="J1654" s="35" t="s">
        <v>1798</v>
      </c>
      <c r="K1654" s="21">
        <v>625000</v>
      </c>
      <c r="L1654" s="21"/>
      <c r="M1654" s="22">
        <f>(PROVEEDORES[[#This Row],[SUBTOTAL]]-PROVEEDORES[[#This Row],[descuento sobre subtotal]])*VLOOKUP(PROVEEDORES[[#This Row],[PROVEEDOR]],TERCEROS_INFO[#All],3,FALSE)</f>
        <v>0</v>
      </c>
      <c r="N1654" s="23"/>
      <c r="O1654" s="22">
        <f>+PROVEEDORES[[#This Row],[Descuento sobre subtotal %]]*(PROVEEDORES[[#This Row],[SUBTOTAL]]-PROVEEDORES[[#This Row],[descuento sobre subtotal]])</f>
        <v>0</v>
      </c>
      <c r="P1654" s="74">
        <f>+IF(PROVEEDORES[[#This Row],[SUBTOTAL]]&lt;PROVEEDORES[[#This Row],[base retencion]],0,PROVEEDORES[[#This Row],[retención aplicada]])</f>
        <v>0</v>
      </c>
      <c r="Q1654" s="22">
        <f>+PROVEEDORES[[#This Row],[Rete Fuente %]]*(PROVEEDORES[[#This Row],[SUBTOTAL]]-PROVEEDORES[[#This Row],[descuento sobre subtotal]])</f>
        <v>0</v>
      </c>
      <c r="R1654" s="21">
        <f>+PROVEEDORES[[#This Row],[SUBTOTAL]]+PROVEEDORES[[#This Row],[IVA 19%]]-PROVEEDORES[[#This Row],[descuento sobre subtotal]]-PROVEEDORES[[#This Row],[Descuento sobre subtotal $2]]-PROVEEDORES[[#This Row],[Rete Fuente $]]</f>
        <v>625000</v>
      </c>
      <c r="S16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4" s="63">
        <f ca="1">IF(PROVEEDORES[[#This Row],[FECHA DE PAGO]]=0,TODAY()-PROVEEDORES[[#This Row],[FECHA DE FACTURACIÓN]]-PROVEEDORES[[#This Row],[PLAZO Días]],0)</f>
        <v>0</v>
      </c>
      <c r="U1654" s="104">
        <f>+VLOOKUP(PROVEEDORES[[#This Row],[PROVEEDOR]],Terceros!$A:$D,4,FALSE)</f>
        <v>0</v>
      </c>
      <c r="V1654" s="105">
        <f>+YEAR(PROVEEDORES[[#This Row],[FECHA DE FACTURACIÓN]])</f>
        <v>2023</v>
      </c>
      <c r="W1654" s="105">
        <f>+MATCH(PROVEEDORES[[#This Row],[año facturado]],Retenciones!$1:$1,0)</f>
        <v>6</v>
      </c>
      <c r="X1654" s="106">
        <f>+VLOOKUP(PROVEEDORES[[#This Row],[ID RETENCION]],Retenciones!$A$1:$O$25,PROVEEDORES[[#This Row],[indicador de columna]],FALSE)</f>
        <v>0</v>
      </c>
      <c r="Y1654" s="107">
        <f>+VLOOKUP(PROVEEDORES[[#This Row],[ID RETENCION]],Retenciones!$A$1:$O$25,2,FALSE)</f>
        <v>0</v>
      </c>
      <c r="Z1654" s="116" t="b">
        <f>OR(COUNTIF(PROVEEDORES[[#This Row],[PROVEEDOR]],"*"&amp;'Palabra no opera'!$A$2&amp;"*"))</f>
        <v>0</v>
      </c>
    </row>
    <row r="1655" spans="1:26" ht="22.35" customHeight="1" x14ac:dyDescent="0.3">
      <c r="A1655" s="329" t="str">
        <f>+IF(PROVEEDORES[[#This Row],[FECHA DE PAGO]]=PROVEEDORES[[#This Row],[FECHA DE FACTURACIÓN]],"DE CONTADO","CRÉDITO")</f>
        <v>CRÉDITO</v>
      </c>
      <c r="B1655" s="38" t="b">
        <f>+IF((PROVEEDORES[[#This Row],[FECHA DE PAGO]]-PROVEEDORES[[#This Row],[FECHA DE FACTURACIÓN]])&gt;PROVEEDORES[[#This Row],[PLAZO Días]],"PAGO VENCIDO")</f>
        <v>0</v>
      </c>
      <c r="C1655" s="20">
        <f>+VLOOKUP(PROVEEDORES[[#This Row],[PROVEEDOR]],TERCEROS_INFO[#All],2,FALSE)</f>
        <v>30</v>
      </c>
      <c r="D1655" s="25">
        <f>+SUMIFS(PROVEEDORES[Total],PROVEEDORES[PROVEEDOR],PROVEEDORES[[#This Row],[PROVEEDOR]],PROVEEDORES[FECHA DE PAGO],"")</f>
        <v>0</v>
      </c>
      <c r="E1655" s="25"/>
      <c r="F1655" s="56">
        <f>+VLOOKUP(PROVEEDORES[[#This Row],[PROVEEDOR]],
                       Terceros!$A:$F,
                       5,
                       FALSE)</f>
        <v>0</v>
      </c>
      <c r="G1655" s="68">
        <v>45115</v>
      </c>
      <c r="H1655" s="26" t="s">
        <v>1736</v>
      </c>
      <c r="I1655" s="68">
        <v>45111</v>
      </c>
      <c r="J1655" s="35">
        <v>3</v>
      </c>
      <c r="K1655" s="21">
        <v>430000</v>
      </c>
      <c r="L1655" s="21"/>
      <c r="M1655" s="22">
        <f>(PROVEEDORES[[#This Row],[SUBTOTAL]]-PROVEEDORES[[#This Row],[descuento sobre subtotal]])*VLOOKUP(PROVEEDORES[[#This Row],[PROVEEDOR]],TERCEROS_INFO[#All],3,FALSE)</f>
        <v>0</v>
      </c>
      <c r="N1655" s="23"/>
      <c r="O1655" s="22">
        <f>+PROVEEDORES[[#This Row],[Descuento sobre subtotal %]]*(PROVEEDORES[[#This Row],[SUBTOTAL]]-PROVEEDORES[[#This Row],[descuento sobre subtotal]])</f>
        <v>0</v>
      </c>
      <c r="P1655" s="74">
        <f>+IF(PROVEEDORES[[#This Row],[SUBTOTAL]]&lt;PROVEEDORES[[#This Row],[base retencion]],0,PROVEEDORES[[#This Row],[retención aplicada]])</f>
        <v>0</v>
      </c>
      <c r="Q1655" s="22">
        <f>+PROVEEDORES[[#This Row],[Rete Fuente %]]*(PROVEEDORES[[#This Row],[SUBTOTAL]]-PROVEEDORES[[#This Row],[descuento sobre subtotal]])</f>
        <v>0</v>
      </c>
      <c r="R1655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1655" s="3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5" s="63">
        <f ca="1">IF(PROVEEDORES[[#This Row],[FECHA DE PAGO]]=0,TODAY()-PROVEEDORES[[#This Row],[FECHA DE FACTURACIÓN]]-PROVEEDORES[[#This Row],[PLAZO Días]],0)</f>
        <v>0</v>
      </c>
      <c r="U1655" s="104">
        <f>+VLOOKUP(PROVEEDORES[[#This Row],[PROVEEDOR]],Terceros!$A:$D,4,FALSE)</f>
        <v>0</v>
      </c>
      <c r="V1655" s="105">
        <f>+YEAR(PROVEEDORES[[#This Row],[FECHA DE FACTURACIÓN]])</f>
        <v>2023</v>
      </c>
      <c r="W1655" s="105">
        <f>+MATCH(PROVEEDORES[[#This Row],[año facturado]],Retenciones!$1:$1,0)</f>
        <v>6</v>
      </c>
      <c r="X1655" s="106">
        <f>+VLOOKUP(PROVEEDORES[[#This Row],[ID RETENCION]],Retenciones!$A$1:$O$25,PROVEEDORES[[#This Row],[indicador de columna]],FALSE)</f>
        <v>0</v>
      </c>
      <c r="Y1655" s="107">
        <f>+VLOOKUP(PROVEEDORES[[#This Row],[ID RETENCION]],Retenciones!$A$1:$O$25,2,FALSE)</f>
        <v>0</v>
      </c>
      <c r="Z1655" s="116" t="b">
        <f>OR(COUNTIF(PROVEEDORES[[#This Row],[PROVEEDOR]],"*"&amp;'Palabra no opera'!$A$2&amp;"*"))</f>
        <v>0</v>
      </c>
    </row>
    <row r="1656" spans="1:26" ht="22.35" customHeight="1" x14ac:dyDescent="0.3">
      <c r="A1656" s="67" t="str">
        <f>+IF(PROVEEDORES[[#This Row],[FECHA DE PAGO]]=PROVEEDORES[[#This Row],[FECHA DE FACTURACIÓN]],"DE CONTADO","CRÉDITO")</f>
        <v>CRÉDITO</v>
      </c>
      <c r="B1656" s="38" t="b">
        <f>+IF((PROVEEDORES[[#This Row],[FECHA DE PAGO]]-PROVEEDORES[[#This Row],[FECHA DE FACTURACIÓN]])&gt;PROVEEDORES[[#This Row],[PLAZO Días]],"PAGO VENCIDO")</f>
        <v>0</v>
      </c>
      <c r="C1656" s="20">
        <f>+VLOOKUP(PROVEEDORES[[#This Row],[PROVEEDOR]],TERCEROS_INFO[#All],2,FALSE)</f>
        <v>30</v>
      </c>
      <c r="D1656" s="25">
        <f>+SUMIFS(PROVEEDORES[Total],PROVEEDORES[PROVEEDOR],PROVEEDORES[[#This Row],[PROVEEDOR]],PROVEEDORES[FECHA DE PAGO],"")</f>
        <v>0</v>
      </c>
      <c r="E1656" s="25"/>
      <c r="F1656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656" s="68">
        <v>45116</v>
      </c>
      <c r="H1656" s="26" t="s">
        <v>638</v>
      </c>
      <c r="I1656" s="68">
        <v>45108</v>
      </c>
      <c r="J1656" s="35" t="s">
        <v>1886</v>
      </c>
      <c r="K1656" s="21">
        <v>3935776</v>
      </c>
      <c r="L1656" s="21"/>
      <c r="M1656" s="22">
        <v>665000</v>
      </c>
      <c r="N1656" s="23"/>
      <c r="O1656" s="22">
        <f>+PROVEEDORES[[#This Row],[Descuento sobre subtotal %]]*(PROVEEDORES[[#This Row],[SUBTOTAL]]-PROVEEDORES[[#This Row],[descuento sobre subtotal]])</f>
        <v>0</v>
      </c>
      <c r="P1656" s="74">
        <f>+IF(PROVEEDORES[[#This Row],[SUBTOTAL]]&lt;PROVEEDORES[[#This Row],[base retencion]],0,PROVEEDORES[[#This Row],[retención aplicada]])</f>
        <v>3.5000000000000003E-2</v>
      </c>
      <c r="Q1656" s="22"/>
      <c r="R1656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6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6" s="63">
        <f ca="1">IF(PROVEEDORES[[#This Row],[FECHA DE PAGO]]=0,TODAY()-PROVEEDORES[[#This Row],[FECHA DE FACTURACIÓN]]-PROVEEDORES[[#This Row],[PLAZO Días]],0)</f>
        <v>0</v>
      </c>
      <c r="U1656" s="104" t="str">
        <f>+VLOOKUP(PROVEEDORES[[#This Row],[PROVEEDOR]],Terceros!$A:$D,4,FALSE)</f>
        <v>3,5% sin base</v>
      </c>
      <c r="V1656" s="105">
        <f>+YEAR(PROVEEDORES[[#This Row],[FECHA DE FACTURACIÓN]])</f>
        <v>2023</v>
      </c>
      <c r="W1656" s="105">
        <f>+MATCH(PROVEEDORES[[#This Row],[año facturado]],Retenciones!$1:$1,0)</f>
        <v>6</v>
      </c>
      <c r="X1656" s="106">
        <f>+VLOOKUP(PROVEEDORES[[#This Row],[ID RETENCION]],Retenciones!$A$1:$O$25,PROVEEDORES[[#This Row],[indicador de columna]],FALSE)</f>
        <v>0</v>
      </c>
      <c r="Y1656" s="107">
        <f>+VLOOKUP(PROVEEDORES[[#This Row],[ID RETENCION]],Retenciones!$A$1:$O$25,2,FALSE)</f>
        <v>3.5000000000000003E-2</v>
      </c>
      <c r="Z1656" s="116" t="b">
        <f>OR(COUNTIF(PROVEEDORES[[#This Row],[PROVEEDOR]],"*"&amp;'Palabra no opera'!$A$2&amp;"*"))</f>
        <v>1</v>
      </c>
    </row>
    <row r="1657" spans="1:26" ht="22.35" customHeight="1" x14ac:dyDescent="0.3">
      <c r="A1657" s="67" t="str">
        <f>+IF(PROVEEDORES[[#This Row],[FECHA DE PAGO]]=PROVEEDORES[[#This Row],[FECHA DE FACTURACIÓN]],"DE CONTADO","CRÉDITO")</f>
        <v>CRÉDITO</v>
      </c>
      <c r="B1657" s="38" t="str">
        <f>+IF((PROVEEDORES[[#This Row],[FECHA DE PAGO]]-PROVEEDORES[[#This Row],[FECHA DE FACTURACIÓN]])&gt;PROVEEDORES[[#This Row],[PLAZO Días]],"PAGO VENCIDO")</f>
        <v>PAGO VENCIDO</v>
      </c>
      <c r="C1657" s="20">
        <f>+VLOOKUP(PROVEEDORES[[#This Row],[PROVEEDOR]],TERCEROS_INFO[#All],2,FALSE)</f>
        <v>30</v>
      </c>
      <c r="D1657" s="25">
        <f>+SUMIFS(PROVEEDORES[Total],PROVEEDORES[PROVEEDOR],PROVEEDORES[[#This Row],[PROVEEDOR]],PROVEEDORES[FECHA DE PAGO],"")</f>
        <v>0</v>
      </c>
      <c r="E1657" s="25"/>
      <c r="F1657" s="56">
        <f>+VLOOKUP(PROVEEDORES[[#This Row],[PROVEEDOR]],
                       Terceros!$A:$F,
                       5,
                       FALSE)</f>
        <v>0</v>
      </c>
      <c r="G1657" s="68">
        <v>45117</v>
      </c>
      <c r="H1657" s="26" t="s">
        <v>734</v>
      </c>
      <c r="I1657" s="68">
        <v>45083</v>
      </c>
      <c r="J1657" s="35" t="s">
        <v>1727</v>
      </c>
      <c r="K1657" s="21">
        <v>720000</v>
      </c>
      <c r="L1657" s="21"/>
      <c r="M1657" s="22">
        <f>(PROVEEDORES[[#This Row],[SUBTOTAL]]-PROVEEDORES[[#This Row],[descuento sobre subtotal]])*VLOOKUP(PROVEEDORES[[#This Row],[PROVEEDOR]],TERCEROS_INFO[#All],3,FALSE)</f>
        <v>136800</v>
      </c>
      <c r="N1657" s="23"/>
      <c r="O1657" s="22">
        <f>+PROVEEDORES[[#This Row],[Descuento sobre subtotal %]]*(PROVEEDORES[[#This Row],[SUBTOTAL]]-PROVEEDORES[[#This Row],[descuento sobre subtotal]])</f>
        <v>0</v>
      </c>
      <c r="P1657" s="74">
        <f>+IF(PROVEEDORES[[#This Row],[SUBTOTAL]]&lt;PROVEEDORES[[#This Row],[base retencion]],0,PROVEEDORES[[#This Row],[retención aplicada]])</f>
        <v>0</v>
      </c>
      <c r="Q1657" s="22">
        <f>+PROVEEDORES[[#This Row],[Rete Fuente %]]*(PROVEEDORES[[#This Row],[SUBTOTAL]]-PROVEEDORES[[#This Row],[descuento sobre subtotal]])</f>
        <v>0</v>
      </c>
      <c r="R1657" s="21">
        <f>+PROVEEDORES[[#This Row],[SUBTOTAL]]+PROVEEDORES[[#This Row],[IVA 19%]]-PROVEEDORES[[#This Row],[descuento sobre subtotal]]-PROVEEDORES[[#This Row],[Descuento sobre subtotal $2]]-PROVEEDORES[[#This Row],[Rete Fuente $]]</f>
        <v>856800</v>
      </c>
      <c r="S16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7" s="63">
        <f ca="1">IF(PROVEEDORES[[#This Row],[FECHA DE PAGO]]=0,TODAY()-PROVEEDORES[[#This Row],[FECHA DE FACTURACIÓN]]-PROVEEDORES[[#This Row],[PLAZO Días]],0)</f>
        <v>0</v>
      </c>
      <c r="U1657" s="104" t="str">
        <f>+VLOOKUP(PROVEEDORES[[#This Row],[PROVEEDOR]],Terceros!$A:$D,4,FALSE)</f>
        <v>2,5% con base</v>
      </c>
      <c r="V1657" s="105">
        <f>+YEAR(PROVEEDORES[[#This Row],[FECHA DE FACTURACIÓN]])</f>
        <v>2023</v>
      </c>
      <c r="W1657" s="105">
        <f>+MATCH(PROVEEDORES[[#This Row],[año facturado]],Retenciones!$1:$1,0)</f>
        <v>6</v>
      </c>
      <c r="X1657" s="106">
        <f>+VLOOKUP(PROVEEDORES[[#This Row],[ID RETENCION]],Retenciones!$A$1:$O$25,PROVEEDORES[[#This Row],[indicador de columna]],FALSE)</f>
        <v>1145000</v>
      </c>
      <c r="Y1657" s="107">
        <f>+VLOOKUP(PROVEEDORES[[#This Row],[ID RETENCION]],Retenciones!$A$1:$O$25,2,FALSE)</f>
        <v>2.5000000000000001E-2</v>
      </c>
      <c r="Z1657" s="116" t="b">
        <f>OR(COUNTIF(PROVEEDORES[[#This Row],[PROVEEDOR]],"*"&amp;'Palabra no opera'!$A$2&amp;"*"))</f>
        <v>0</v>
      </c>
    </row>
    <row r="1658" spans="1:26" ht="22.35" customHeight="1" x14ac:dyDescent="0.3">
      <c r="A1658" s="67" t="str">
        <f>+IF(PROVEEDORES[[#This Row],[FECHA DE PAGO]]=PROVEEDORES[[#This Row],[FECHA DE FACTURACIÓN]],"DE CONTADO","CRÉDITO")</f>
        <v>CRÉDITO</v>
      </c>
      <c r="B1658" s="38" t="str">
        <f>+IF((PROVEEDORES[[#This Row],[FECHA DE PAGO]]-PROVEEDORES[[#This Row],[FECHA DE FACTURACIÓN]])&gt;PROVEEDORES[[#This Row],[PLAZO Días]],"PAGO VENCIDO")</f>
        <v>PAGO VENCIDO</v>
      </c>
      <c r="C1658" s="20">
        <f>+VLOOKUP(PROVEEDORES[[#This Row],[PROVEEDOR]],TERCEROS_INFO[#All],2,FALSE)</f>
        <v>30</v>
      </c>
      <c r="D1658" s="25">
        <f>+SUMIFS(PROVEEDORES[Total],PROVEEDORES[PROVEEDOR],PROVEEDORES[[#This Row],[PROVEEDOR]],PROVEEDORES[FECHA DE PAGO],"")</f>
        <v>0</v>
      </c>
      <c r="E1658" s="25"/>
      <c r="F1658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658" s="68">
        <v>45117</v>
      </c>
      <c r="H1658" s="26" t="s">
        <v>343</v>
      </c>
      <c r="I1658" s="68">
        <v>45026</v>
      </c>
      <c r="J1658" s="35" t="s">
        <v>1612</v>
      </c>
      <c r="K1658" s="21">
        <v>2131000</v>
      </c>
      <c r="L1658" s="21"/>
      <c r="M1658" s="22">
        <f>(PROVEEDORES[[#This Row],[SUBTOTAL]]-PROVEEDORES[[#This Row],[descuento sobre subtotal]])*VLOOKUP(PROVEEDORES[[#This Row],[PROVEEDOR]],TERCEROS_INFO[#All],3,FALSE)</f>
        <v>0</v>
      </c>
      <c r="N1658" s="23"/>
      <c r="O1658" s="22">
        <f>+PROVEEDORES[[#This Row],[Descuento sobre subtotal %]]*(PROVEEDORES[[#This Row],[SUBTOTAL]]-PROVEEDORES[[#This Row],[descuento sobre subtotal]])</f>
        <v>0</v>
      </c>
      <c r="P1658" s="74">
        <f>+IF(PROVEEDORES[[#This Row],[SUBTOTAL]]&lt;PROVEEDORES[[#This Row],[base retencion]],0,PROVEEDORES[[#This Row],[retención aplicada]])</f>
        <v>0</v>
      </c>
      <c r="Q1658" s="22">
        <f>+PROVEEDORES[[#This Row],[Rete Fuente %]]*(PROVEEDORES[[#This Row],[SUBTOTAL]]-PROVEEDORES[[#This Row],[descuento sobre subtotal]])</f>
        <v>0</v>
      </c>
      <c r="R1658" s="21">
        <f>+PROVEEDORES[[#This Row],[SUBTOTAL]]+PROVEEDORES[[#This Row],[IVA 19%]]-PROVEEDORES[[#This Row],[descuento sobre subtotal]]-PROVEEDORES[[#This Row],[Descuento sobre subtotal $2]]-PROVEEDORES[[#This Row],[Rete Fuente $]]</f>
        <v>2131000</v>
      </c>
      <c r="S16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8" s="63">
        <f ca="1">IF(PROVEEDORES[[#This Row],[FECHA DE PAGO]]=0,TODAY()-PROVEEDORES[[#This Row],[FECHA DE FACTURACIÓN]]-PROVEEDORES[[#This Row],[PLAZO Días]],0)</f>
        <v>0</v>
      </c>
      <c r="U1658" s="104">
        <f>+VLOOKUP(PROVEEDORES[[#This Row],[PROVEEDOR]],Terceros!$A:$D,4,FALSE)</f>
        <v>0</v>
      </c>
      <c r="V1658" s="105">
        <f>+YEAR(PROVEEDORES[[#This Row],[FECHA DE FACTURACIÓN]])</f>
        <v>2023</v>
      </c>
      <c r="W1658" s="105">
        <f>+MATCH(PROVEEDORES[[#This Row],[año facturado]],Retenciones!$1:$1,0)</f>
        <v>6</v>
      </c>
      <c r="X1658" s="106">
        <f>+VLOOKUP(PROVEEDORES[[#This Row],[ID RETENCION]],Retenciones!$A$1:$O$25,PROVEEDORES[[#This Row],[indicador de columna]],FALSE)</f>
        <v>0</v>
      </c>
      <c r="Y1658" s="107">
        <f>+VLOOKUP(PROVEEDORES[[#This Row],[ID RETENCION]],Retenciones!$A$1:$O$25,2,FALSE)</f>
        <v>0</v>
      </c>
      <c r="Z1658" s="116" t="b">
        <f>OR(COUNTIF(PROVEEDORES[[#This Row],[PROVEEDOR]],"*"&amp;'Palabra no opera'!$A$2&amp;"*"))</f>
        <v>0</v>
      </c>
    </row>
    <row r="1659" spans="1:26" ht="22.35" customHeight="1" x14ac:dyDescent="0.3">
      <c r="A1659" s="67" t="str">
        <f>+IF(PROVEEDORES[[#This Row],[FECHA DE PAGO]]=PROVEEDORES[[#This Row],[FECHA DE FACTURACIÓN]],"DE CONTADO","CRÉDITO")</f>
        <v>CRÉDITO</v>
      </c>
      <c r="B1659" s="38" t="str">
        <f>+IF((PROVEEDORES[[#This Row],[FECHA DE PAGO]]-PROVEEDORES[[#This Row],[FECHA DE FACTURACIÓN]])&gt;PROVEEDORES[[#This Row],[PLAZO Días]],"PAGO VENCIDO")</f>
        <v>PAGO VENCIDO</v>
      </c>
      <c r="C1659" s="20">
        <f>+VLOOKUP(PROVEEDORES[[#This Row],[PROVEEDOR]],TERCEROS_INFO[#All],2,FALSE)</f>
        <v>30</v>
      </c>
      <c r="D1659" s="25">
        <f>+SUMIFS(PROVEEDORES[Total],PROVEEDORES[PROVEEDOR],PROVEEDORES[[#This Row],[PROVEEDOR]],PROVEEDORES[FECHA DE PAGO],"")</f>
        <v>2950000</v>
      </c>
      <c r="E1659" s="25"/>
      <c r="F1659" s="56">
        <f>+VLOOKUP(PROVEEDORES[[#This Row],[PROVEEDOR]],
                       Terceros!$A:$F,
                       5,
                       FALSE)</f>
        <v>0</v>
      </c>
      <c r="G1659" s="68">
        <v>45117</v>
      </c>
      <c r="H1659" s="26" t="s">
        <v>1152</v>
      </c>
      <c r="I1659" s="68">
        <v>45056</v>
      </c>
      <c r="J1659" s="35">
        <v>843</v>
      </c>
      <c r="K1659" s="21">
        <v>1294500</v>
      </c>
      <c r="L1659" s="21"/>
      <c r="M1659" s="22">
        <f>(PROVEEDORES[[#This Row],[SUBTOTAL]]-PROVEEDORES[[#This Row],[descuento sobre subtotal]])*VLOOKUP(PROVEEDORES[[#This Row],[PROVEEDOR]],TERCEROS_INFO[#All],3,FALSE)</f>
        <v>0</v>
      </c>
      <c r="N1659" s="23"/>
      <c r="O1659" s="22">
        <f>+PROVEEDORES[[#This Row],[Descuento sobre subtotal %]]*(PROVEEDORES[[#This Row],[SUBTOTAL]]-PROVEEDORES[[#This Row],[descuento sobre subtotal]])</f>
        <v>0</v>
      </c>
      <c r="P1659" s="74">
        <f>+IF(PROVEEDORES[[#This Row],[SUBTOTAL]]&lt;PROVEEDORES[[#This Row],[base retencion]],0,PROVEEDORES[[#This Row],[retención aplicada]])</f>
        <v>0</v>
      </c>
      <c r="Q1659" s="22">
        <f>+PROVEEDORES[[#This Row],[Rete Fuente %]]*(PROVEEDORES[[#This Row],[SUBTOTAL]]-PROVEEDORES[[#This Row],[descuento sobre subtotal]])</f>
        <v>0</v>
      </c>
      <c r="R1659" s="21">
        <f>+PROVEEDORES[[#This Row],[SUBTOTAL]]+PROVEEDORES[[#This Row],[IVA 19%]]-PROVEEDORES[[#This Row],[descuento sobre subtotal]]-PROVEEDORES[[#This Row],[Descuento sobre subtotal $2]]-PROVEEDORES[[#This Row],[Rete Fuente $]]</f>
        <v>1294500</v>
      </c>
      <c r="S16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9" s="63">
        <f ca="1">IF(PROVEEDORES[[#This Row],[FECHA DE PAGO]]=0,TODAY()-PROVEEDORES[[#This Row],[FECHA DE FACTURACIÓN]]-PROVEEDORES[[#This Row],[PLAZO Días]],0)</f>
        <v>0</v>
      </c>
      <c r="U1659" s="104">
        <f>+VLOOKUP(PROVEEDORES[[#This Row],[PROVEEDOR]],Terceros!$A:$D,4,FALSE)</f>
        <v>0</v>
      </c>
      <c r="V1659" s="105">
        <f>+YEAR(PROVEEDORES[[#This Row],[FECHA DE FACTURACIÓN]])</f>
        <v>2023</v>
      </c>
      <c r="W1659" s="105">
        <f>+MATCH(PROVEEDORES[[#This Row],[año facturado]],Retenciones!$1:$1,0)</f>
        <v>6</v>
      </c>
      <c r="X1659" s="106">
        <f>+VLOOKUP(PROVEEDORES[[#This Row],[ID RETENCION]],Retenciones!$A$1:$O$25,PROVEEDORES[[#This Row],[indicador de columna]],FALSE)</f>
        <v>0</v>
      </c>
      <c r="Y1659" s="107">
        <f>+VLOOKUP(PROVEEDORES[[#This Row],[ID RETENCION]],Retenciones!$A$1:$O$25,2,FALSE)</f>
        <v>0</v>
      </c>
      <c r="Z1659" s="116" t="b">
        <f>OR(COUNTIF(PROVEEDORES[[#This Row],[PROVEEDOR]],"*"&amp;'Palabra no opera'!$A$2&amp;"*"))</f>
        <v>0</v>
      </c>
    </row>
    <row r="1660" spans="1:26" ht="22.35" customHeight="1" x14ac:dyDescent="0.3">
      <c r="A1660" s="329" t="str">
        <f>+IF(PROVEEDORES[[#This Row],[FECHA DE PAGO]]=PROVEEDORES[[#This Row],[FECHA DE FACTURACIÓN]],"DE CONTADO","CRÉDITO")</f>
        <v>CRÉDITO</v>
      </c>
      <c r="B1660" s="38" t="b">
        <f>+IF((PROVEEDORES[[#This Row],[FECHA DE PAGO]]-PROVEEDORES[[#This Row],[FECHA DE FACTURACIÓN]])&gt;PROVEEDORES[[#This Row],[PLAZO Días]],"PAGO VENCIDO")</f>
        <v>0</v>
      </c>
      <c r="C1660" s="20">
        <f>+VLOOKUP(PROVEEDORES[[#This Row],[PROVEEDOR]],TERCEROS_INFO[#All],2,FALSE)</f>
        <v>30</v>
      </c>
      <c r="D1660" s="25">
        <f>+SUMIFS(PROVEEDORES[Total],PROVEEDORES[PROVEEDOR],PROVEEDORES[[#This Row],[PROVEEDOR]],PROVEEDORES[FECHA DE PAGO],"")</f>
        <v>0</v>
      </c>
      <c r="E1660" s="25"/>
      <c r="F166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660" s="68">
        <v>45117</v>
      </c>
      <c r="H1660" s="26" t="s">
        <v>623</v>
      </c>
      <c r="I1660" s="68">
        <v>45108</v>
      </c>
      <c r="J1660" s="35" t="s">
        <v>1865</v>
      </c>
      <c r="K1660" s="21">
        <v>3792544</v>
      </c>
      <c r="L1660" s="21"/>
      <c r="M1660" s="22">
        <f>(PROVEEDORES[[#This Row],[SUBTOTAL]]-PROVEEDORES[[#This Row],[descuento sobre subtotal]])*VLOOKUP(PROVEEDORES[[#This Row],[PROVEEDOR]],TERCEROS_INFO[#All],3,FALSE)</f>
        <v>720583.36</v>
      </c>
      <c r="N1660" s="23"/>
      <c r="O1660" s="22">
        <f>+PROVEEDORES[[#This Row],[Descuento sobre subtotal %]]*(PROVEEDORES[[#This Row],[SUBTOTAL]]-PROVEEDORES[[#This Row],[descuento sobre subtotal]])</f>
        <v>0</v>
      </c>
      <c r="P1660" s="74">
        <v>0</v>
      </c>
      <c r="Q1660" s="22">
        <f>+PROVEEDORES[[#This Row],[Rete Fuente %]]*(PROVEEDORES[[#This Row],[SUBTOTAL]]-PROVEEDORES[[#This Row],[descuento sobre subtotal]])</f>
        <v>0</v>
      </c>
      <c r="R1660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660" s="3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0" s="63">
        <f ca="1">IF(PROVEEDORES[[#This Row],[FECHA DE PAGO]]=0,TODAY()-PROVEEDORES[[#This Row],[FECHA DE FACTURACIÓN]]-PROVEEDORES[[#This Row],[PLAZO Días]],0)</f>
        <v>0</v>
      </c>
      <c r="U1660" s="104" t="str">
        <f>+VLOOKUP(PROVEEDORES[[#This Row],[PROVEEDOR]],Terceros!$A:$D,4,FALSE)</f>
        <v>4% sin base</v>
      </c>
      <c r="V1660" s="105">
        <f>+YEAR(PROVEEDORES[[#This Row],[FECHA DE FACTURACIÓN]])</f>
        <v>2023</v>
      </c>
      <c r="W1660" s="105">
        <f>+MATCH(PROVEEDORES[[#This Row],[año facturado]],Retenciones!$1:$1,0)</f>
        <v>6</v>
      </c>
      <c r="X1660" s="106">
        <f>+VLOOKUP(PROVEEDORES[[#This Row],[ID RETENCION]],Retenciones!$A$1:$O$25,PROVEEDORES[[#This Row],[indicador de columna]],FALSE)</f>
        <v>0</v>
      </c>
      <c r="Y1660" s="107">
        <f>+VLOOKUP(PROVEEDORES[[#This Row],[ID RETENCION]],Retenciones!$A$1:$O$25,2,FALSE)</f>
        <v>0.04</v>
      </c>
      <c r="Z1660" s="116" t="b">
        <f>OR(COUNTIF(PROVEEDORES[[#This Row],[PROVEEDOR]],"*"&amp;'Palabra no opera'!$A$2&amp;"*"))</f>
        <v>1</v>
      </c>
    </row>
    <row r="1661" spans="1:26" ht="22.35" customHeight="1" x14ac:dyDescent="0.3">
      <c r="A1661" s="329" t="str">
        <f>+IF(PROVEEDORES[[#This Row],[FECHA DE PAGO]]=PROVEEDORES[[#This Row],[FECHA DE FACTURACIÓN]],"DE CONTADO","CRÉDITO")</f>
        <v>CRÉDITO</v>
      </c>
      <c r="B1661" s="38" t="b">
        <f>+IF((PROVEEDORES[[#This Row],[FECHA DE PAGO]]-PROVEEDORES[[#This Row],[FECHA DE FACTURACIÓN]])&gt;PROVEEDORES[[#This Row],[PLAZO Días]],"PAGO VENCIDO")</f>
        <v>0</v>
      </c>
      <c r="C1661" s="20">
        <f>+VLOOKUP(PROVEEDORES[[#This Row],[PROVEEDOR]],TERCEROS_INFO[#All],2,FALSE)</f>
        <v>30</v>
      </c>
      <c r="D1661" s="25">
        <f>+SUMIFS(PROVEEDORES[Total],PROVEEDORES[PROVEEDOR],PROVEEDORES[[#This Row],[PROVEEDOR]],PROVEEDORES[FECHA DE PAGO],"")</f>
        <v>0</v>
      </c>
      <c r="E1661" s="25"/>
      <c r="F166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661" s="68">
        <v>45117</v>
      </c>
      <c r="H1661" s="26" t="s">
        <v>623</v>
      </c>
      <c r="I1661" s="68">
        <v>45108</v>
      </c>
      <c r="J1661" s="35" t="s">
        <v>1864</v>
      </c>
      <c r="K1661" s="21">
        <v>908172</v>
      </c>
      <c r="L1661" s="21"/>
      <c r="M1661" s="22">
        <f>(PROVEEDORES[[#This Row],[SUBTOTAL]]-PROVEEDORES[[#This Row],[descuento sobre subtotal]])*VLOOKUP(PROVEEDORES[[#This Row],[PROVEEDOR]],TERCEROS_INFO[#All],3,FALSE)</f>
        <v>172552.68</v>
      </c>
      <c r="N1661" s="23"/>
      <c r="O1661" s="22">
        <f>+PROVEEDORES[[#This Row],[Descuento sobre subtotal %]]*(PROVEEDORES[[#This Row],[SUBTOTAL]]-PROVEEDORES[[#This Row],[descuento sobre subtotal]])</f>
        <v>0</v>
      </c>
      <c r="P1661" s="74">
        <f>+IF(PROVEEDORES[[#This Row],[SUBTOTAL]]&lt;PROVEEDORES[[#This Row],[base retencion]],0,PROVEEDORES[[#This Row],[retención aplicada]])</f>
        <v>0.04</v>
      </c>
      <c r="Q1661" s="22">
        <f>+PROVEEDORES[[#This Row],[Rete Fuente %]]*(PROVEEDORES[[#This Row],[SUBTOTAL]]-PROVEEDORES[[#This Row],[descuento sobre subtotal]])</f>
        <v>36326.879999999997</v>
      </c>
      <c r="R1661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1661" s="3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1" s="63">
        <f ca="1">IF(PROVEEDORES[[#This Row],[FECHA DE PAGO]]=0,TODAY()-PROVEEDORES[[#This Row],[FECHA DE FACTURACIÓN]]-PROVEEDORES[[#This Row],[PLAZO Días]],0)</f>
        <v>0</v>
      </c>
      <c r="U1661" s="104" t="str">
        <f>+VLOOKUP(PROVEEDORES[[#This Row],[PROVEEDOR]],Terceros!$A:$D,4,FALSE)</f>
        <v>4% sin base</v>
      </c>
      <c r="V1661" s="105">
        <f>+YEAR(PROVEEDORES[[#This Row],[FECHA DE FACTURACIÓN]])</f>
        <v>2023</v>
      </c>
      <c r="W1661" s="105">
        <f>+MATCH(PROVEEDORES[[#This Row],[año facturado]],Retenciones!$1:$1,0)</f>
        <v>6</v>
      </c>
      <c r="X1661" s="106">
        <f>+VLOOKUP(PROVEEDORES[[#This Row],[ID RETENCION]],Retenciones!$A$1:$O$25,PROVEEDORES[[#This Row],[indicador de columna]],FALSE)</f>
        <v>0</v>
      </c>
      <c r="Y1661" s="107">
        <f>+VLOOKUP(PROVEEDORES[[#This Row],[ID RETENCION]],Retenciones!$A$1:$O$25,2,FALSE)</f>
        <v>0.04</v>
      </c>
      <c r="Z1661" s="116" t="b">
        <f>OR(COUNTIF(PROVEEDORES[[#This Row],[PROVEEDOR]],"*"&amp;'Palabra no opera'!$A$2&amp;"*"))</f>
        <v>1</v>
      </c>
    </row>
    <row r="1662" spans="1:26" ht="22.35" customHeight="1" x14ac:dyDescent="0.3">
      <c r="A1662" s="67" t="str">
        <f>+IF(PROVEEDORES[[#This Row],[FECHA DE PAGO]]=PROVEEDORES[[#This Row],[FECHA DE FACTURACIÓN]],"DE CONTADO","CRÉDITO")</f>
        <v>CRÉDITO</v>
      </c>
      <c r="B1662" s="38" t="str">
        <f>+IF((PROVEEDORES[[#This Row],[FECHA DE PAGO]]-PROVEEDORES[[#This Row],[FECHA DE FACTURACIÓN]])&gt;PROVEEDORES[[#This Row],[PLAZO Días]],"PAGO VENCIDO")</f>
        <v>PAGO VENCIDO</v>
      </c>
      <c r="C1662" s="20">
        <f>+VLOOKUP(PROVEEDORES[[#This Row],[PROVEEDOR]],TERCEROS_INFO[#All],2,FALSE)</f>
        <v>30</v>
      </c>
      <c r="D1662" s="25">
        <f>+SUMIFS(PROVEEDORES[Total],PROVEEDORES[PROVEEDOR],PROVEEDORES[[#This Row],[PROVEEDOR]],PROVEEDORES[FECHA DE PAGO],"")</f>
        <v>17870934.149999999</v>
      </c>
      <c r="E1662" s="25"/>
      <c r="F166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62" s="68">
        <v>45117</v>
      </c>
      <c r="H1662" s="26" t="s">
        <v>18</v>
      </c>
      <c r="I1662" s="68">
        <v>45058</v>
      </c>
      <c r="J1662" s="35" t="s">
        <v>1685</v>
      </c>
      <c r="K1662" s="21">
        <v>2115236</v>
      </c>
      <c r="L1662" s="21"/>
      <c r="M1662" s="22">
        <f>(PROVEEDORES[[#This Row],[SUBTOTAL]]-PROVEEDORES[[#This Row],[descuento sobre subtotal]])*VLOOKUP(PROVEEDORES[[#This Row],[PROVEEDOR]],TERCEROS_INFO[#All],3,FALSE)</f>
        <v>401894.84</v>
      </c>
      <c r="N1662" s="23"/>
      <c r="O1662" s="22">
        <f>+PROVEEDORES[[#This Row],[Descuento sobre subtotal %]]*(PROVEEDORES[[#This Row],[SUBTOTAL]]-PROVEEDORES[[#This Row],[descuento sobre subtotal]])</f>
        <v>0</v>
      </c>
      <c r="P1662" s="74">
        <f>+IF(PROVEEDORES[[#This Row],[SUBTOTAL]]&lt;PROVEEDORES[[#This Row],[base retencion]],0,PROVEEDORES[[#This Row],[retención aplicada]])</f>
        <v>2.5000000000000001E-2</v>
      </c>
      <c r="Q1662" s="22">
        <f>+PROVEEDORES[[#This Row],[Rete Fuente %]]*(PROVEEDORES[[#This Row],[SUBTOTAL]]-PROVEEDORES[[#This Row],[descuento sobre subtotal]])</f>
        <v>52880.9</v>
      </c>
      <c r="R1662" s="21">
        <f>+PROVEEDORES[[#This Row],[SUBTOTAL]]+PROVEEDORES[[#This Row],[IVA 19%]]-PROVEEDORES[[#This Row],[descuento sobre subtotal]]-PROVEEDORES[[#This Row],[Descuento sobre subtotal $2]]-PROVEEDORES[[#This Row],[Rete Fuente $]]</f>
        <v>2464249.94</v>
      </c>
      <c r="S16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2" s="63">
        <f ca="1">IF(PROVEEDORES[[#This Row],[FECHA DE PAGO]]=0,TODAY()-PROVEEDORES[[#This Row],[FECHA DE FACTURACIÓN]]-PROVEEDORES[[#This Row],[PLAZO Días]],0)</f>
        <v>0</v>
      </c>
      <c r="U1662" s="104" t="str">
        <f>+VLOOKUP(PROVEEDORES[[#This Row],[PROVEEDOR]],Terceros!$A:$D,4,FALSE)</f>
        <v>2,5% con base</v>
      </c>
      <c r="V1662" s="105">
        <f>+YEAR(PROVEEDORES[[#This Row],[FECHA DE FACTURACIÓN]])</f>
        <v>2023</v>
      </c>
      <c r="W1662" s="105">
        <f>+MATCH(PROVEEDORES[[#This Row],[año facturado]],Retenciones!$1:$1,0)</f>
        <v>6</v>
      </c>
      <c r="X1662" s="106">
        <f>+VLOOKUP(PROVEEDORES[[#This Row],[ID RETENCION]],Retenciones!$A$1:$O$25,PROVEEDORES[[#This Row],[indicador de columna]],FALSE)</f>
        <v>1145000</v>
      </c>
      <c r="Y1662" s="107">
        <f>+VLOOKUP(PROVEEDORES[[#This Row],[ID RETENCION]],Retenciones!$A$1:$O$25,2,FALSE)</f>
        <v>2.5000000000000001E-2</v>
      </c>
      <c r="Z1662" s="116" t="b">
        <f>OR(COUNTIF(PROVEEDORES[[#This Row],[PROVEEDOR]],"*"&amp;'Palabra no opera'!$A$2&amp;"*"))</f>
        <v>0</v>
      </c>
    </row>
    <row r="1663" spans="1:26" ht="22.35" customHeight="1" x14ac:dyDescent="0.3">
      <c r="A1663" s="316" t="str">
        <f>+IF(PROVEEDORES[[#This Row],[FECHA DE PAGO]]=PROVEEDORES[[#This Row],[FECHA DE FACTURACIÓN]],"DE CONTADO","CRÉDITO")</f>
        <v>CRÉDITO</v>
      </c>
      <c r="B1663" s="38" t="str">
        <f>+IF((PROVEEDORES[[#This Row],[FECHA DE PAGO]]-PROVEEDORES[[#This Row],[FECHA DE FACTURACIÓN]])&gt;PROVEEDORES[[#This Row],[PLAZO Días]],"PAGO VENCIDO")</f>
        <v>PAGO VENCIDO</v>
      </c>
      <c r="C1663" s="20">
        <f>+VLOOKUP(PROVEEDORES[[#This Row],[PROVEEDOR]],TERCEROS_INFO[#All],2,FALSE)</f>
        <v>30</v>
      </c>
      <c r="D1663" s="25">
        <f>+SUMIFS(PROVEEDORES[Total],PROVEEDORES[PROVEEDOR],PROVEEDORES[[#This Row],[PROVEEDOR]],PROVEEDORES[FECHA DE PAGO],"")</f>
        <v>17870934.149999999</v>
      </c>
      <c r="E1663" s="25"/>
      <c r="F166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63" s="68">
        <v>45117</v>
      </c>
      <c r="H1663" s="26" t="s">
        <v>18</v>
      </c>
      <c r="I1663" s="68">
        <v>45071</v>
      </c>
      <c r="J1663" s="35" t="s">
        <v>1787</v>
      </c>
      <c r="K1663" s="21">
        <v>2231250</v>
      </c>
      <c r="L1663" s="21"/>
      <c r="M1663" s="22">
        <f>(PROVEEDORES[[#This Row],[SUBTOTAL]]-PROVEEDORES[[#This Row],[descuento sobre subtotal]])*VLOOKUP(PROVEEDORES[[#This Row],[PROVEEDOR]],TERCEROS_INFO[#All],3,FALSE)</f>
        <v>423937.5</v>
      </c>
      <c r="N1663" s="23"/>
      <c r="O1663" s="22">
        <f>+PROVEEDORES[[#This Row],[Descuento sobre subtotal %]]*(PROVEEDORES[[#This Row],[SUBTOTAL]]-PROVEEDORES[[#This Row],[descuento sobre subtotal]])</f>
        <v>0</v>
      </c>
      <c r="P1663" s="74">
        <f>+IF(PROVEEDORES[[#This Row],[SUBTOTAL]]&lt;PROVEEDORES[[#This Row],[base retencion]],0,PROVEEDORES[[#This Row],[retención aplicada]])</f>
        <v>2.5000000000000001E-2</v>
      </c>
      <c r="Q1663" s="22">
        <f>+PROVEEDORES[[#This Row],[Rete Fuente %]]*(PROVEEDORES[[#This Row],[SUBTOTAL]]-PROVEEDORES[[#This Row],[descuento sobre subtotal]])</f>
        <v>55781.25</v>
      </c>
      <c r="R1663" s="21">
        <f>+PROVEEDORES[[#This Row],[SUBTOTAL]]+PROVEEDORES[[#This Row],[IVA 19%]]-PROVEEDORES[[#This Row],[descuento sobre subtotal]]-PROVEEDORES[[#This Row],[Descuento sobre subtotal $2]]-PROVEEDORES[[#This Row],[Rete Fuente $]]</f>
        <v>2599406.25</v>
      </c>
      <c r="S1663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3" s="63">
        <f ca="1">IF(PROVEEDORES[[#This Row],[FECHA DE PAGO]]=0,TODAY()-PROVEEDORES[[#This Row],[FECHA DE FACTURACIÓN]]-PROVEEDORES[[#This Row],[PLAZO Días]],0)</f>
        <v>0</v>
      </c>
      <c r="U1663" s="104" t="str">
        <f>+VLOOKUP(PROVEEDORES[[#This Row],[PROVEEDOR]],Terceros!$A:$D,4,FALSE)</f>
        <v>2,5% con base</v>
      </c>
      <c r="V1663" s="105">
        <f>+YEAR(PROVEEDORES[[#This Row],[FECHA DE FACTURACIÓN]])</f>
        <v>2023</v>
      </c>
      <c r="W1663" s="105">
        <f>+MATCH(PROVEEDORES[[#This Row],[año facturado]],Retenciones!$1:$1,0)</f>
        <v>6</v>
      </c>
      <c r="X1663" s="106">
        <f>+VLOOKUP(PROVEEDORES[[#This Row],[ID RETENCION]],Retenciones!$A$1:$O$25,PROVEEDORES[[#This Row],[indicador de columna]],FALSE)</f>
        <v>1145000</v>
      </c>
      <c r="Y1663" s="107">
        <f>+VLOOKUP(PROVEEDORES[[#This Row],[ID RETENCION]],Retenciones!$A$1:$O$25,2,FALSE)</f>
        <v>2.5000000000000001E-2</v>
      </c>
      <c r="Z1663" s="116" t="b">
        <f>OR(COUNTIF(PROVEEDORES[[#This Row],[PROVEEDOR]],"*"&amp;'Palabra no opera'!$A$2&amp;"*"))</f>
        <v>0</v>
      </c>
    </row>
    <row r="1664" spans="1:26" ht="22.35" customHeight="1" x14ac:dyDescent="0.3">
      <c r="A1664" s="329" t="str">
        <f>+IF(PROVEEDORES[[#This Row],[FECHA DE PAGO]]=PROVEEDORES[[#This Row],[FECHA DE FACTURACIÓN]],"DE CONTADO","CRÉDITO")</f>
        <v>CRÉDITO</v>
      </c>
      <c r="B1664" s="38" t="b">
        <f>+IF((PROVEEDORES[[#This Row],[FECHA DE PAGO]]-PROVEEDORES[[#This Row],[FECHA DE FACTURACIÓN]])&gt;PROVEEDORES[[#This Row],[PLAZO Días]],"PAGO VENCIDO")</f>
        <v>0</v>
      </c>
      <c r="C1664" s="20">
        <f>+VLOOKUP(PROVEEDORES[[#This Row],[PROVEEDOR]],TERCEROS_INFO[#All],2,FALSE)</f>
        <v>30</v>
      </c>
      <c r="D1664" s="25">
        <f>+SUMIFS(PROVEEDORES[Total],PROVEEDORES[PROVEEDOR],PROVEEDORES[[#This Row],[PROVEEDOR]],PROVEEDORES[FECHA DE PAGO],"")</f>
        <v>0</v>
      </c>
      <c r="E1664" s="25"/>
      <c r="F1664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664" s="68">
        <v>45117</v>
      </c>
      <c r="H1664" s="26" t="s">
        <v>651</v>
      </c>
      <c r="I1664" s="68">
        <v>45108</v>
      </c>
      <c r="J1664" s="35" t="s">
        <v>1788</v>
      </c>
      <c r="K1664" s="21">
        <v>243611</v>
      </c>
      <c r="L1664" s="21"/>
      <c r="M1664" s="22">
        <f>(PROVEEDORES[[#This Row],[SUBTOTAL]]-PROVEEDORES[[#This Row],[descuento sobre subtotal]])*VLOOKUP(PROVEEDORES[[#This Row],[PROVEEDOR]],TERCEROS_INFO[#All],3,FALSE)</f>
        <v>46286.090000000004</v>
      </c>
      <c r="N1664" s="23"/>
      <c r="O1664" s="22">
        <f>+PROVEEDORES[[#This Row],[Descuento sobre subtotal %]]*(PROVEEDORES[[#This Row],[SUBTOTAL]]-PROVEEDORES[[#This Row],[descuento sobre subtotal]])</f>
        <v>0</v>
      </c>
      <c r="P1664" s="74">
        <f>+IF(PROVEEDORES[[#This Row],[SUBTOTAL]]&lt;PROVEEDORES[[#This Row],[base retencion]],0,PROVEEDORES[[#This Row],[retención aplicada]])</f>
        <v>3.5000000000000003E-2</v>
      </c>
      <c r="Q1664" s="22">
        <f>+PROVEEDORES[[#This Row],[Rete Fuente %]]*(PROVEEDORES[[#This Row],[SUBTOTAL]]-PROVEEDORES[[#This Row],[descuento sobre subtotal]])</f>
        <v>8526.3850000000002</v>
      </c>
      <c r="R1664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664" s="3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4" s="63">
        <f ca="1">IF(PROVEEDORES[[#This Row],[FECHA DE PAGO]]=0,TODAY()-PROVEEDORES[[#This Row],[FECHA DE FACTURACIÓN]]-PROVEEDORES[[#This Row],[PLAZO Días]],0)</f>
        <v>0</v>
      </c>
      <c r="U1664" s="104" t="str">
        <f>+VLOOKUP(PROVEEDORES[[#This Row],[PROVEEDOR]],Terceros!$A:$D,4,FALSE)</f>
        <v>3,5% sin base</v>
      </c>
      <c r="V1664" s="105">
        <f>+YEAR(PROVEEDORES[[#This Row],[FECHA DE FACTURACIÓN]])</f>
        <v>2023</v>
      </c>
      <c r="W1664" s="105">
        <f>+MATCH(PROVEEDORES[[#This Row],[año facturado]],Retenciones!$1:$1,0)</f>
        <v>6</v>
      </c>
      <c r="X1664" s="106">
        <f>+VLOOKUP(PROVEEDORES[[#This Row],[ID RETENCION]],Retenciones!$A$1:$O$25,PROVEEDORES[[#This Row],[indicador de columna]],FALSE)</f>
        <v>0</v>
      </c>
      <c r="Y1664" s="107">
        <f>+VLOOKUP(PROVEEDORES[[#This Row],[ID RETENCION]],Retenciones!$A$1:$O$25,2,FALSE)</f>
        <v>3.5000000000000003E-2</v>
      </c>
      <c r="Z1664" s="116" t="b">
        <f>OR(COUNTIF(PROVEEDORES[[#This Row],[PROVEEDOR]],"*"&amp;'Palabra no opera'!$A$2&amp;"*"))</f>
        <v>1</v>
      </c>
    </row>
    <row r="1665" spans="1:26" ht="22.35" customHeight="1" x14ac:dyDescent="0.3">
      <c r="A1665" s="67" t="str">
        <f>+IF(PROVEEDORES[[#This Row],[FECHA DE PAGO]]=PROVEEDORES[[#This Row],[FECHA DE FACTURACIÓN]],"DE CONTADO","CRÉDITO")</f>
        <v>CRÉDITO</v>
      </c>
      <c r="B1665" s="38" t="str">
        <f>+IF((PROVEEDORES[[#This Row],[FECHA DE PAGO]]-PROVEEDORES[[#This Row],[FECHA DE FACTURACIÓN]])&gt;PROVEEDORES[[#This Row],[PLAZO Días]],"PAGO VENCIDO")</f>
        <v>PAGO VENCIDO</v>
      </c>
      <c r="C1665" s="20">
        <f>+VLOOKUP(PROVEEDORES[[#This Row],[PROVEEDOR]],TERCEROS_INFO[#All],2,FALSE)</f>
        <v>30</v>
      </c>
      <c r="D1665" s="25">
        <f>+SUMIFS(PROVEEDORES[Total],PROVEEDORES[PROVEEDOR],PROVEEDORES[[#This Row],[PROVEEDOR]],PROVEEDORES[FECHA DE PAGO],"")</f>
        <v>0</v>
      </c>
      <c r="E1665" s="25"/>
      <c r="F1665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665" s="68">
        <v>45118</v>
      </c>
      <c r="H1665" s="26" t="s">
        <v>394</v>
      </c>
      <c r="I1665" s="68">
        <v>45076</v>
      </c>
      <c r="J1665" s="35">
        <v>85</v>
      </c>
      <c r="K1665" s="21">
        <v>1980000</v>
      </c>
      <c r="L1665" s="21"/>
      <c r="M1665" s="22">
        <f>(PROVEEDORES[[#This Row],[SUBTOTAL]]-PROVEEDORES[[#This Row],[descuento sobre subtotal]])*VLOOKUP(PROVEEDORES[[#This Row],[PROVEEDOR]],TERCEROS_INFO[#All],3,FALSE)</f>
        <v>0</v>
      </c>
      <c r="N1665" s="23"/>
      <c r="O1665" s="22">
        <f>+PROVEEDORES[[#This Row],[Descuento sobre subtotal %]]*(PROVEEDORES[[#This Row],[SUBTOTAL]]-PROVEEDORES[[#This Row],[descuento sobre subtotal]])</f>
        <v>0</v>
      </c>
      <c r="P1665" s="74">
        <f>+IF(PROVEEDORES[[#This Row],[SUBTOTAL]]&lt;PROVEEDORES[[#This Row],[base retencion]],0,PROVEEDORES[[#This Row],[retención aplicada]])</f>
        <v>0</v>
      </c>
      <c r="Q1665" s="22">
        <f>+PROVEEDORES[[#This Row],[Rete Fuente %]]*(PROVEEDORES[[#This Row],[SUBTOTAL]]-PROVEEDORES[[#This Row],[descuento sobre subtotal]])</f>
        <v>0</v>
      </c>
      <c r="R1665" s="21">
        <f>+PROVEEDORES[[#This Row],[SUBTOTAL]]+PROVEEDORES[[#This Row],[IVA 19%]]-PROVEEDORES[[#This Row],[descuento sobre subtotal]]-PROVEEDORES[[#This Row],[Descuento sobre subtotal $2]]-PROVEEDORES[[#This Row],[Rete Fuente $]]</f>
        <v>1980000</v>
      </c>
      <c r="S16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5" s="63">
        <f ca="1">IF(PROVEEDORES[[#This Row],[FECHA DE PAGO]]=0,TODAY()-PROVEEDORES[[#This Row],[FECHA DE FACTURACIÓN]]-PROVEEDORES[[#This Row],[PLAZO Días]],0)</f>
        <v>0</v>
      </c>
      <c r="U1665" s="104">
        <f>+VLOOKUP(PROVEEDORES[[#This Row],[PROVEEDOR]],Terceros!$A:$D,4,FALSE)</f>
        <v>0</v>
      </c>
      <c r="V1665" s="105">
        <f>+YEAR(PROVEEDORES[[#This Row],[FECHA DE FACTURACIÓN]])</f>
        <v>2023</v>
      </c>
      <c r="W1665" s="105">
        <f>+MATCH(PROVEEDORES[[#This Row],[año facturado]],Retenciones!$1:$1,0)</f>
        <v>6</v>
      </c>
      <c r="X1665" s="106">
        <f>+VLOOKUP(PROVEEDORES[[#This Row],[ID RETENCION]],Retenciones!$A$1:$O$25,PROVEEDORES[[#This Row],[indicador de columna]],FALSE)</f>
        <v>0</v>
      </c>
      <c r="Y1665" s="107">
        <f>+VLOOKUP(PROVEEDORES[[#This Row],[ID RETENCION]],Retenciones!$A$1:$O$25,2,FALSE)</f>
        <v>0</v>
      </c>
      <c r="Z1665" s="116" t="b">
        <f>OR(COUNTIF(PROVEEDORES[[#This Row],[PROVEEDOR]],"*"&amp;'Palabra no opera'!$A$2&amp;"*"))</f>
        <v>0</v>
      </c>
    </row>
    <row r="1666" spans="1:26" ht="22.35" customHeight="1" x14ac:dyDescent="0.3">
      <c r="A1666" s="316" t="str">
        <f>+IF(PROVEEDORES[[#This Row],[FECHA DE PAGO]]=PROVEEDORES[[#This Row],[FECHA DE FACTURACIÓN]],"DE CONTADO","CRÉDITO")</f>
        <v>CRÉDITO</v>
      </c>
      <c r="B1666" s="38" t="str">
        <f>+IF((PROVEEDORES[[#This Row],[FECHA DE PAGO]]-PROVEEDORES[[#This Row],[FECHA DE FACTURACIÓN]])&gt;PROVEEDORES[[#This Row],[PLAZO Días]],"PAGO VENCIDO")</f>
        <v>PAGO VENCIDO</v>
      </c>
      <c r="C1666" s="20">
        <f>+VLOOKUP(PROVEEDORES[[#This Row],[PROVEEDOR]],TERCEROS_INFO[#All],2,FALSE)</f>
        <v>30</v>
      </c>
      <c r="D1666" s="25">
        <f>+SUMIFS(PROVEEDORES[Total],PROVEEDORES[PROVEEDOR],PROVEEDORES[[#This Row],[PROVEEDOR]],PROVEEDORES[FECHA DE PAGO],"")</f>
        <v>0</v>
      </c>
      <c r="E1666" s="25"/>
      <c r="F1666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666" s="68">
        <v>45118</v>
      </c>
      <c r="H1666" s="26" t="s">
        <v>1371</v>
      </c>
      <c r="I1666" s="68">
        <v>45076</v>
      </c>
      <c r="J1666" s="35">
        <v>2127</v>
      </c>
      <c r="K1666" s="21">
        <v>84000</v>
      </c>
      <c r="L1666" s="21"/>
      <c r="M1666" s="22">
        <f>(PROVEEDORES[[#This Row],[SUBTOTAL]]-PROVEEDORES[[#This Row],[descuento sobre subtotal]])*VLOOKUP(PROVEEDORES[[#This Row],[PROVEEDOR]],TERCEROS_INFO[#All],3,FALSE)</f>
        <v>0</v>
      </c>
      <c r="N1666" s="23"/>
      <c r="O1666" s="22">
        <f>+PROVEEDORES[[#This Row],[Descuento sobre subtotal %]]*(PROVEEDORES[[#This Row],[SUBTOTAL]]-PROVEEDORES[[#This Row],[descuento sobre subtotal]])</f>
        <v>0</v>
      </c>
      <c r="P1666" s="74">
        <f>+IF(PROVEEDORES[[#This Row],[SUBTOTAL]]&lt;PROVEEDORES[[#This Row],[base retencion]],0,PROVEEDORES[[#This Row],[retención aplicada]])</f>
        <v>0</v>
      </c>
      <c r="Q1666" s="22">
        <f>+PROVEEDORES[[#This Row],[Rete Fuente %]]*(PROVEEDORES[[#This Row],[SUBTOTAL]]-PROVEEDORES[[#This Row],[descuento sobre subtotal]])</f>
        <v>0</v>
      </c>
      <c r="R1666" s="21">
        <f>+PROVEEDORES[[#This Row],[SUBTOTAL]]+PROVEEDORES[[#This Row],[IVA 19%]]-PROVEEDORES[[#This Row],[descuento sobre subtotal]]-PROVEEDORES[[#This Row],[Descuento sobre subtotal $2]]-PROVEEDORES[[#This Row],[Rete Fuente $]]</f>
        <v>84000</v>
      </c>
      <c r="S1666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6" s="63">
        <f ca="1">IF(PROVEEDORES[[#This Row],[FECHA DE PAGO]]=0,TODAY()-PROVEEDORES[[#This Row],[FECHA DE FACTURACIÓN]]-PROVEEDORES[[#This Row],[PLAZO Días]],0)</f>
        <v>0</v>
      </c>
      <c r="U1666" s="104">
        <f>+VLOOKUP(PROVEEDORES[[#This Row],[PROVEEDOR]],Terceros!$A:$D,4,FALSE)</f>
        <v>0</v>
      </c>
      <c r="V1666" s="105">
        <f>+YEAR(PROVEEDORES[[#This Row],[FECHA DE FACTURACIÓN]])</f>
        <v>2023</v>
      </c>
      <c r="W1666" s="105">
        <f>+MATCH(PROVEEDORES[[#This Row],[año facturado]],Retenciones!$1:$1,0)</f>
        <v>6</v>
      </c>
      <c r="X1666" s="106">
        <f>+VLOOKUP(PROVEEDORES[[#This Row],[ID RETENCION]],Retenciones!$A$1:$O$25,PROVEEDORES[[#This Row],[indicador de columna]],FALSE)</f>
        <v>0</v>
      </c>
      <c r="Y1666" s="107">
        <f>+VLOOKUP(PROVEEDORES[[#This Row],[ID RETENCION]],Retenciones!$A$1:$O$25,2,FALSE)</f>
        <v>0</v>
      </c>
      <c r="Z1666" s="116" t="b">
        <f>OR(COUNTIF(PROVEEDORES[[#This Row],[PROVEEDOR]],"*"&amp;'Palabra no opera'!$A$2&amp;"*"))</f>
        <v>0</v>
      </c>
    </row>
    <row r="1667" spans="1:26" ht="22.35" customHeight="1" x14ac:dyDescent="0.3">
      <c r="A1667" s="316" t="str">
        <f>+IF(PROVEEDORES[[#This Row],[FECHA DE PAGO]]=PROVEEDORES[[#This Row],[FECHA DE FACTURACIÓN]],"DE CONTADO","CRÉDITO")</f>
        <v>CRÉDITO</v>
      </c>
      <c r="B1667" s="38" t="str">
        <f>+IF((PROVEEDORES[[#This Row],[FECHA DE PAGO]]-PROVEEDORES[[#This Row],[FECHA DE FACTURACIÓN]])&gt;PROVEEDORES[[#This Row],[PLAZO Días]],"PAGO VENCIDO")</f>
        <v>PAGO VENCIDO</v>
      </c>
      <c r="C1667" s="20">
        <f>+VLOOKUP(PROVEEDORES[[#This Row],[PROVEEDOR]],TERCEROS_INFO[#All],2,FALSE)</f>
        <v>30</v>
      </c>
      <c r="D1667" s="25">
        <f>+SUMIFS(PROVEEDORES[Total],PROVEEDORES[PROVEEDOR],PROVEEDORES[[#This Row],[PROVEEDOR]],PROVEEDORES[FECHA DE PAGO],"")</f>
        <v>4248480.9550000001</v>
      </c>
      <c r="E1667" s="25"/>
      <c r="F1667" s="56" t="str">
        <f>+VLOOKUP(PROVEEDORES[[#This Row],[PROVEEDOR]],
                       Terceros!$A:$F,
                       5,
                       FALSE)</f>
        <v/>
      </c>
      <c r="G1667" s="68">
        <v>45118</v>
      </c>
      <c r="H1667" s="26" t="s">
        <v>78</v>
      </c>
      <c r="I1667" s="68">
        <v>45072</v>
      </c>
      <c r="J1667" s="35" t="s">
        <v>1708</v>
      </c>
      <c r="K1667" s="21">
        <v>151261</v>
      </c>
      <c r="L1667" s="21"/>
      <c r="M1667" s="22">
        <f>(PROVEEDORES[[#This Row],[SUBTOTAL]]-PROVEEDORES[[#This Row],[descuento sobre subtotal]])*VLOOKUP(PROVEEDORES[[#This Row],[PROVEEDOR]],TERCEROS_INFO[#All],3,FALSE)</f>
        <v>28739.59</v>
      </c>
      <c r="N1667" s="23"/>
      <c r="O1667" s="22">
        <f>+PROVEEDORES[[#This Row],[Descuento sobre subtotal %]]*(PROVEEDORES[[#This Row],[SUBTOTAL]]-PROVEEDORES[[#This Row],[descuento sobre subtotal]])</f>
        <v>0</v>
      </c>
      <c r="P1667" s="74">
        <f>+IF(PROVEEDORES[[#This Row],[SUBTOTAL]]&lt;PROVEEDORES[[#This Row],[base retencion]],0,PROVEEDORES[[#This Row],[retención aplicada]])</f>
        <v>0</v>
      </c>
      <c r="Q1667" s="22">
        <f>+PROVEEDORES[[#This Row],[Rete Fuente %]]*(PROVEEDORES[[#This Row],[SUBTOTAL]]-PROVEEDORES[[#This Row],[descuento sobre subtotal]])</f>
        <v>0</v>
      </c>
      <c r="R1667" s="21">
        <f>+PROVEEDORES[[#This Row],[SUBTOTAL]]+PROVEEDORES[[#This Row],[IVA 19%]]-PROVEEDORES[[#This Row],[descuento sobre subtotal]]-PROVEEDORES[[#This Row],[Descuento sobre subtotal $2]]-PROVEEDORES[[#This Row],[Rete Fuente $]]</f>
        <v>180000.59</v>
      </c>
      <c r="S1667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7" s="63">
        <f ca="1">IF(PROVEEDORES[[#This Row],[FECHA DE PAGO]]=0,TODAY()-PROVEEDORES[[#This Row],[FECHA DE FACTURACIÓN]]-PROVEEDORES[[#This Row],[PLAZO Días]],0)</f>
        <v>0</v>
      </c>
      <c r="U1667" s="104" t="str">
        <f>+VLOOKUP(PROVEEDORES[[#This Row],[PROVEEDOR]],Terceros!$A:$D,4,FALSE)</f>
        <v>2,5% con base</v>
      </c>
      <c r="V1667" s="105">
        <f>+YEAR(PROVEEDORES[[#This Row],[FECHA DE FACTURACIÓN]])</f>
        <v>2023</v>
      </c>
      <c r="W1667" s="105">
        <f>+MATCH(PROVEEDORES[[#This Row],[año facturado]],Retenciones!$1:$1,0)</f>
        <v>6</v>
      </c>
      <c r="X1667" s="106">
        <f>+VLOOKUP(PROVEEDORES[[#This Row],[ID RETENCION]],Retenciones!$A$1:$O$25,PROVEEDORES[[#This Row],[indicador de columna]],FALSE)</f>
        <v>1145000</v>
      </c>
      <c r="Y1667" s="107">
        <f>+VLOOKUP(PROVEEDORES[[#This Row],[ID RETENCION]],Retenciones!$A$1:$O$25,2,FALSE)</f>
        <v>2.5000000000000001E-2</v>
      </c>
      <c r="Z1667" s="116" t="b">
        <f>OR(COUNTIF(PROVEEDORES[[#This Row],[PROVEEDOR]],"*"&amp;'Palabra no opera'!$A$2&amp;"*"))</f>
        <v>0</v>
      </c>
    </row>
    <row r="1668" spans="1:26" ht="22.35" customHeight="1" x14ac:dyDescent="0.3">
      <c r="A1668" s="67" t="str">
        <f>+IF(PROVEEDORES[[#This Row],[FECHA DE PAGO]]=PROVEEDORES[[#This Row],[FECHA DE FACTURACIÓN]],"DE CONTADO","CRÉDITO")</f>
        <v>CRÉDITO</v>
      </c>
      <c r="B1668" s="38" t="str">
        <f>+IF((PROVEEDORES[[#This Row],[FECHA DE PAGO]]-PROVEEDORES[[#This Row],[FECHA DE FACTURACIÓN]])&gt;PROVEEDORES[[#This Row],[PLAZO Días]],"PAGO VENCIDO")</f>
        <v>PAGO VENCIDO</v>
      </c>
      <c r="C1668" s="20">
        <f>+VLOOKUP(PROVEEDORES[[#This Row],[PROVEEDOR]],TERCEROS_INFO[#All],2,FALSE)</f>
        <v>30</v>
      </c>
      <c r="D1668" s="25">
        <f>+SUMIFS(PROVEEDORES[Total],PROVEEDORES[PROVEEDOR],PROVEEDORES[[#This Row],[PROVEEDOR]],PROVEEDORES[FECHA DE PAGO],"")</f>
        <v>4248480.9550000001</v>
      </c>
      <c r="E1668" s="25"/>
      <c r="F1668" s="56" t="str">
        <f>+VLOOKUP(PROVEEDORES[[#This Row],[PROVEEDOR]],
                       Terceros!$A:$F,
                       5,
                       FALSE)</f>
        <v/>
      </c>
      <c r="G1668" s="68">
        <v>45118</v>
      </c>
      <c r="H1668" s="26" t="s">
        <v>78</v>
      </c>
      <c r="I1668" s="68">
        <v>45082</v>
      </c>
      <c r="J1668" s="35" t="s">
        <v>1731</v>
      </c>
      <c r="K1668" s="21">
        <v>1949799</v>
      </c>
      <c r="L1668" s="21"/>
      <c r="M1668" s="22">
        <f>(PROVEEDORES[[#This Row],[SUBTOTAL]]-PROVEEDORES[[#This Row],[descuento sobre subtotal]])*VLOOKUP(PROVEEDORES[[#This Row],[PROVEEDOR]],TERCEROS_INFO[#All],3,FALSE)</f>
        <v>370461.81</v>
      </c>
      <c r="N1668" s="23"/>
      <c r="O1668" s="22">
        <f>+PROVEEDORES[[#This Row],[Descuento sobre subtotal %]]*(PROVEEDORES[[#This Row],[SUBTOTAL]]-PROVEEDORES[[#This Row],[descuento sobre subtotal]])</f>
        <v>0</v>
      </c>
      <c r="P1668" s="74">
        <f>+IF(PROVEEDORES[[#This Row],[SUBTOTAL]]&lt;PROVEEDORES[[#This Row],[base retencion]],0,PROVEEDORES[[#This Row],[retención aplicada]])</f>
        <v>2.5000000000000001E-2</v>
      </c>
      <c r="Q1668" s="22">
        <f>+PROVEEDORES[[#This Row],[Rete Fuente %]]*(PROVEEDORES[[#This Row],[SUBTOTAL]]-PROVEEDORES[[#This Row],[descuento sobre subtotal]])</f>
        <v>48744.975000000006</v>
      </c>
      <c r="R1668" s="21">
        <f>+PROVEEDORES[[#This Row],[SUBTOTAL]]+PROVEEDORES[[#This Row],[IVA 19%]]-PROVEEDORES[[#This Row],[descuento sobre subtotal]]-PROVEEDORES[[#This Row],[Descuento sobre subtotal $2]]-PROVEEDORES[[#This Row],[Rete Fuente $]]</f>
        <v>2271515.835</v>
      </c>
      <c r="S16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8" s="63">
        <f ca="1">IF(PROVEEDORES[[#This Row],[FECHA DE PAGO]]=0,TODAY()-PROVEEDORES[[#This Row],[FECHA DE FACTURACIÓN]]-PROVEEDORES[[#This Row],[PLAZO Días]],0)</f>
        <v>0</v>
      </c>
      <c r="U1668" s="104" t="str">
        <f>+VLOOKUP(PROVEEDORES[[#This Row],[PROVEEDOR]],Terceros!$A:$D,4,FALSE)</f>
        <v>2,5% con base</v>
      </c>
      <c r="V1668" s="105">
        <f>+YEAR(PROVEEDORES[[#This Row],[FECHA DE FACTURACIÓN]])</f>
        <v>2023</v>
      </c>
      <c r="W1668" s="105">
        <f>+MATCH(PROVEEDORES[[#This Row],[año facturado]],Retenciones!$1:$1,0)</f>
        <v>6</v>
      </c>
      <c r="X1668" s="106">
        <f>+VLOOKUP(PROVEEDORES[[#This Row],[ID RETENCION]],Retenciones!$A$1:$O$25,PROVEEDORES[[#This Row],[indicador de columna]],FALSE)</f>
        <v>1145000</v>
      </c>
      <c r="Y1668" s="107">
        <f>+VLOOKUP(PROVEEDORES[[#This Row],[ID RETENCION]],Retenciones!$A$1:$O$25,2,FALSE)</f>
        <v>2.5000000000000001E-2</v>
      </c>
      <c r="Z1668" s="116" t="b">
        <f>OR(COUNTIF(PROVEEDORES[[#This Row],[PROVEEDOR]],"*"&amp;'Palabra no opera'!$A$2&amp;"*"))</f>
        <v>0</v>
      </c>
    </row>
    <row r="1669" spans="1:26" ht="22.35" customHeight="1" x14ac:dyDescent="0.3">
      <c r="A1669" s="325" t="str">
        <f>+IF(PROVEEDORES[[#This Row],[FECHA DE PAGO]]=PROVEEDORES[[#This Row],[FECHA DE FACTURACIÓN]],"DE CONTADO","CRÉDITO")</f>
        <v>CRÉDITO</v>
      </c>
      <c r="B1669" s="38" t="str">
        <f>+IF((PROVEEDORES[[#This Row],[FECHA DE PAGO]]-PROVEEDORES[[#This Row],[FECHA DE FACTURACIÓN]])&gt;PROVEEDORES[[#This Row],[PLAZO Días]],"PAGO VENCIDO")</f>
        <v>PAGO VENCIDO</v>
      </c>
      <c r="C1669" s="20">
        <f>+VLOOKUP(PROVEEDORES[[#This Row],[PROVEEDOR]],TERCEROS_INFO[#All],2,FALSE)</f>
        <v>30</v>
      </c>
      <c r="D1669" s="25">
        <f>+SUMIFS(PROVEEDORES[Total],PROVEEDORES[PROVEEDOR],PROVEEDORES[[#This Row],[PROVEEDOR]],PROVEEDORES[FECHA DE PAGO],"")</f>
        <v>4248480.9550000001</v>
      </c>
      <c r="E1669" s="25"/>
      <c r="F1669" s="56" t="str">
        <f>+VLOOKUP(PROVEEDORES[[#This Row],[PROVEEDOR]],
                       Terceros!$A:$F,
                       5,
                       FALSE)</f>
        <v/>
      </c>
      <c r="G1669" s="68">
        <v>45118</v>
      </c>
      <c r="H1669" s="26" t="s">
        <v>78</v>
      </c>
      <c r="I1669" s="68">
        <v>45084</v>
      </c>
      <c r="J1669" s="35" t="s">
        <v>1758</v>
      </c>
      <c r="K1669" s="21">
        <v>458352</v>
      </c>
      <c r="L1669" s="21"/>
      <c r="M1669" s="22">
        <f>(PROVEEDORES[[#This Row],[SUBTOTAL]]-PROVEEDORES[[#This Row],[descuento sobre subtotal]])*VLOOKUP(PROVEEDORES[[#This Row],[PROVEEDOR]],TERCEROS_INFO[#All],3,FALSE)</f>
        <v>87086.88</v>
      </c>
      <c r="N1669" s="23"/>
      <c r="O1669" s="22">
        <f>+PROVEEDORES[[#This Row],[Descuento sobre subtotal %]]*(PROVEEDORES[[#This Row],[SUBTOTAL]]-PROVEEDORES[[#This Row],[descuento sobre subtotal]])</f>
        <v>0</v>
      </c>
      <c r="P1669" s="74">
        <f>+IF(PROVEEDORES[[#This Row],[SUBTOTAL]]&lt;PROVEEDORES[[#This Row],[base retencion]],0,PROVEEDORES[[#This Row],[retención aplicada]])</f>
        <v>0</v>
      </c>
      <c r="Q1669" s="22">
        <f>+PROVEEDORES[[#This Row],[Rete Fuente %]]*(PROVEEDORES[[#This Row],[SUBTOTAL]]-PROVEEDORES[[#This Row],[descuento sobre subtotal]])</f>
        <v>0</v>
      </c>
      <c r="R1669" s="21">
        <f>+PROVEEDORES[[#This Row],[SUBTOTAL]]+PROVEEDORES[[#This Row],[IVA 19%]]-PROVEEDORES[[#This Row],[descuento sobre subtotal]]-PROVEEDORES[[#This Row],[Descuento sobre subtotal $2]]-PROVEEDORES[[#This Row],[Rete Fuente $]]</f>
        <v>545438.88</v>
      </c>
      <c r="S1669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9" s="63">
        <f ca="1">IF(PROVEEDORES[[#This Row],[FECHA DE PAGO]]=0,TODAY()-PROVEEDORES[[#This Row],[FECHA DE FACTURACIÓN]]-PROVEEDORES[[#This Row],[PLAZO Días]],0)</f>
        <v>0</v>
      </c>
      <c r="U1669" s="104" t="str">
        <f>+VLOOKUP(PROVEEDORES[[#This Row],[PROVEEDOR]],Terceros!$A:$D,4,FALSE)</f>
        <v>2,5% con base</v>
      </c>
      <c r="V1669" s="105">
        <f>+YEAR(PROVEEDORES[[#This Row],[FECHA DE FACTURACIÓN]])</f>
        <v>2023</v>
      </c>
      <c r="W1669" s="105">
        <f>+MATCH(PROVEEDORES[[#This Row],[año facturado]],Retenciones!$1:$1,0)</f>
        <v>6</v>
      </c>
      <c r="X1669" s="106">
        <f>+VLOOKUP(PROVEEDORES[[#This Row],[ID RETENCION]],Retenciones!$A$1:$O$25,PROVEEDORES[[#This Row],[indicador de columna]],FALSE)</f>
        <v>1145000</v>
      </c>
      <c r="Y1669" s="107">
        <f>+VLOOKUP(PROVEEDORES[[#This Row],[ID RETENCION]],Retenciones!$A$1:$O$25,2,FALSE)</f>
        <v>2.5000000000000001E-2</v>
      </c>
      <c r="Z1669" s="116" t="b">
        <f>OR(COUNTIF(PROVEEDORES[[#This Row],[PROVEEDOR]],"*"&amp;'Palabra no opera'!$A$2&amp;"*"))</f>
        <v>0</v>
      </c>
    </row>
    <row r="1670" spans="1:26" ht="22.35" customHeight="1" x14ac:dyDescent="0.3">
      <c r="A1670" s="325" t="str">
        <f>+IF(PROVEEDORES[[#This Row],[FECHA DE PAGO]]=PROVEEDORES[[#This Row],[FECHA DE FACTURACIÓN]],"DE CONTADO","CRÉDITO")</f>
        <v>CRÉDITO</v>
      </c>
      <c r="B1670" s="38" t="str">
        <f>+IF((PROVEEDORES[[#This Row],[FECHA DE PAGO]]-PROVEEDORES[[#This Row],[FECHA DE FACTURACIÓN]])&gt;PROVEEDORES[[#This Row],[PLAZO Días]],"PAGO VENCIDO")</f>
        <v>PAGO VENCIDO</v>
      </c>
      <c r="C1670" s="20">
        <f>+VLOOKUP(PROVEEDORES[[#This Row],[PROVEEDOR]],TERCEROS_INFO[#All],2,FALSE)</f>
        <v>30</v>
      </c>
      <c r="D1670" s="25">
        <f>+SUMIFS(PROVEEDORES[Total],PROVEEDORES[PROVEEDOR],PROVEEDORES[[#This Row],[PROVEEDOR]],PROVEEDORES[FECHA DE PAGO],"")</f>
        <v>4248480.9550000001</v>
      </c>
      <c r="E1670" s="25"/>
      <c r="F1670" s="56" t="str">
        <f>+VLOOKUP(PROVEEDORES[[#This Row],[PROVEEDOR]],
                       Terceros!$A:$F,
                       5,
                       FALSE)</f>
        <v/>
      </c>
      <c r="G1670" s="68">
        <v>45118</v>
      </c>
      <c r="H1670" s="26" t="s">
        <v>78</v>
      </c>
      <c r="I1670" s="68">
        <v>45084</v>
      </c>
      <c r="J1670" s="35" t="s">
        <v>1759</v>
      </c>
      <c r="K1670" s="21">
        <v>128033</v>
      </c>
      <c r="L1670" s="21"/>
      <c r="M1670" s="22">
        <f>(PROVEEDORES[[#This Row],[SUBTOTAL]]-PROVEEDORES[[#This Row],[descuento sobre subtotal]])*VLOOKUP(PROVEEDORES[[#This Row],[PROVEEDOR]],TERCEROS_INFO[#All],3,FALSE)</f>
        <v>24326.27</v>
      </c>
      <c r="N1670" s="23"/>
      <c r="O1670" s="22">
        <f>+PROVEEDORES[[#This Row],[Descuento sobre subtotal %]]*(PROVEEDORES[[#This Row],[SUBTOTAL]]-PROVEEDORES[[#This Row],[descuento sobre subtotal]])</f>
        <v>0</v>
      </c>
      <c r="P1670" s="74">
        <f>+IF(PROVEEDORES[[#This Row],[SUBTOTAL]]&lt;PROVEEDORES[[#This Row],[base retencion]],0,PROVEEDORES[[#This Row],[retención aplicada]])</f>
        <v>0</v>
      </c>
      <c r="Q1670" s="22">
        <f>+PROVEEDORES[[#This Row],[Rete Fuente %]]*(PROVEEDORES[[#This Row],[SUBTOTAL]]-PROVEEDORES[[#This Row],[descuento sobre subtotal]])</f>
        <v>0</v>
      </c>
      <c r="R1670" s="21">
        <f>+PROVEEDORES[[#This Row],[SUBTOTAL]]+PROVEEDORES[[#This Row],[IVA 19%]]-PROVEEDORES[[#This Row],[descuento sobre subtotal]]-PROVEEDORES[[#This Row],[Descuento sobre subtotal $2]]-PROVEEDORES[[#This Row],[Rete Fuente $]]</f>
        <v>152359.26999999999</v>
      </c>
      <c r="S1670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0" s="63">
        <f ca="1">IF(PROVEEDORES[[#This Row],[FECHA DE PAGO]]=0,TODAY()-PROVEEDORES[[#This Row],[FECHA DE FACTURACIÓN]]-PROVEEDORES[[#This Row],[PLAZO Días]],0)</f>
        <v>0</v>
      </c>
      <c r="U1670" s="104" t="str">
        <f>+VLOOKUP(PROVEEDORES[[#This Row],[PROVEEDOR]],Terceros!$A:$D,4,FALSE)</f>
        <v>2,5% con base</v>
      </c>
      <c r="V1670" s="105">
        <f>+YEAR(PROVEEDORES[[#This Row],[FECHA DE FACTURACIÓN]])</f>
        <v>2023</v>
      </c>
      <c r="W1670" s="105">
        <f>+MATCH(PROVEEDORES[[#This Row],[año facturado]],Retenciones!$1:$1,0)</f>
        <v>6</v>
      </c>
      <c r="X1670" s="106">
        <f>+VLOOKUP(PROVEEDORES[[#This Row],[ID RETENCION]],Retenciones!$A$1:$O$25,PROVEEDORES[[#This Row],[indicador de columna]],FALSE)</f>
        <v>1145000</v>
      </c>
      <c r="Y1670" s="107">
        <f>+VLOOKUP(PROVEEDORES[[#This Row],[ID RETENCION]],Retenciones!$A$1:$O$25,2,FALSE)</f>
        <v>2.5000000000000001E-2</v>
      </c>
      <c r="Z1670" s="116" t="b">
        <f>OR(COUNTIF(PROVEEDORES[[#This Row],[PROVEEDOR]],"*"&amp;'Palabra no opera'!$A$2&amp;"*"))</f>
        <v>0</v>
      </c>
    </row>
    <row r="1671" spans="1:26" ht="22.35" customHeight="1" x14ac:dyDescent="0.3">
      <c r="A1671" s="67" t="str">
        <f>+IF(PROVEEDORES[[#This Row],[FECHA DE PAGO]]=PROVEEDORES[[#This Row],[FECHA DE FACTURACIÓN]],"DE CONTADO","CRÉDITO")</f>
        <v>CRÉDITO</v>
      </c>
      <c r="B1671" s="38" t="b">
        <f>+IF((PROVEEDORES[[#This Row],[FECHA DE PAGO]]-PROVEEDORES[[#This Row],[FECHA DE FACTURACIÓN]])&gt;PROVEEDORES[[#This Row],[PLAZO Días]],"PAGO VENCIDO")</f>
        <v>0</v>
      </c>
      <c r="C1671" s="20">
        <f>+VLOOKUP(PROVEEDORES[[#This Row],[PROVEEDOR]],TERCEROS_INFO[#All],2,FALSE)</f>
        <v>30</v>
      </c>
      <c r="D1671" s="25">
        <f>+SUMIFS(PROVEEDORES[Total],PROVEEDORES[PROVEEDOR],PROVEEDORES[[#This Row],[PROVEEDOR]],PROVEEDORES[FECHA DE PAGO],"")</f>
        <v>0</v>
      </c>
      <c r="E1671" s="25"/>
      <c r="F1671" s="56" t="str">
        <f>+VLOOKUP(PROVEEDORES[[#This Row],[PROVEEDOR]],
                       Terceros!$A:$F,
                       5,
                       FALSE)</f>
        <v/>
      </c>
      <c r="G1671" s="68">
        <v>45119</v>
      </c>
      <c r="H1671" s="26" t="s">
        <v>1194</v>
      </c>
      <c r="I1671" s="68">
        <v>45118</v>
      </c>
      <c r="J1671" s="35" t="s">
        <v>1834</v>
      </c>
      <c r="K1671" s="21">
        <v>4587000</v>
      </c>
      <c r="L1671" s="21"/>
      <c r="M1671" s="22">
        <f>(PROVEEDORES[[#This Row],[SUBTOTAL]]-PROVEEDORES[[#This Row],[descuento sobre subtotal]])*VLOOKUP(PROVEEDORES[[#This Row],[PROVEEDOR]],TERCEROS_INFO[#All],3,FALSE)</f>
        <v>0</v>
      </c>
      <c r="N1671" s="23"/>
      <c r="O1671" s="22">
        <f>+PROVEEDORES[[#This Row],[Descuento sobre subtotal %]]*(PROVEEDORES[[#This Row],[SUBTOTAL]]-PROVEEDORES[[#This Row],[descuento sobre subtotal]])</f>
        <v>0</v>
      </c>
      <c r="P1671" s="74">
        <f>+IF(PROVEEDORES[[#This Row],[SUBTOTAL]]&lt;PROVEEDORES[[#This Row],[base retencion]],0,PROVEEDORES[[#This Row],[retención aplicada]])</f>
        <v>0</v>
      </c>
      <c r="Q1671" s="22">
        <f>+PROVEEDORES[[#This Row],[Rete Fuente %]]*(PROVEEDORES[[#This Row],[SUBTOTAL]]-PROVEEDORES[[#This Row],[descuento sobre subtotal]])</f>
        <v>0</v>
      </c>
      <c r="R1671" s="21">
        <f>+PROVEEDORES[[#This Row],[SUBTOTAL]]+PROVEEDORES[[#This Row],[IVA 19%]]-PROVEEDORES[[#This Row],[descuento sobre subtotal]]-PROVEEDORES[[#This Row],[Descuento sobre subtotal $2]]-PROVEEDORES[[#This Row],[Rete Fuente $]]</f>
        <v>4587000</v>
      </c>
      <c r="S16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1" s="63">
        <f ca="1">IF(PROVEEDORES[[#This Row],[FECHA DE PAGO]]=0,TODAY()-PROVEEDORES[[#This Row],[FECHA DE FACTURACIÓN]]-PROVEEDORES[[#This Row],[PLAZO Días]],0)</f>
        <v>0</v>
      </c>
      <c r="U1671" s="104">
        <f>+VLOOKUP(PROVEEDORES[[#This Row],[PROVEEDOR]],Terceros!$A:$D,4,FALSE)</f>
        <v>0</v>
      </c>
      <c r="V1671" s="105">
        <f>+YEAR(PROVEEDORES[[#This Row],[FECHA DE FACTURACIÓN]])</f>
        <v>2023</v>
      </c>
      <c r="W1671" s="105">
        <f>+MATCH(PROVEEDORES[[#This Row],[año facturado]],Retenciones!$1:$1,0)</f>
        <v>6</v>
      </c>
      <c r="X1671" s="106">
        <f>+VLOOKUP(PROVEEDORES[[#This Row],[ID RETENCION]],Retenciones!$A$1:$O$25,PROVEEDORES[[#This Row],[indicador de columna]],FALSE)</f>
        <v>0</v>
      </c>
      <c r="Y1671" s="107">
        <f>+VLOOKUP(PROVEEDORES[[#This Row],[ID RETENCION]],Retenciones!$A$1:$O$25,2,FALSE)</f>
        <v>0</v>
      </c>
      <c r="Z1671" s="116" t="b">
        <f>OR(COUNTIF(PROVEEDORES[[#This Row],[PROVEEDOR]],"*"&amp;'Palabra no opera'!$A$2&amp;"*"))</f>
        <v>0</v>
      </c>
    </row>
    <row r="1672" spans="1:26" ht="22.35" customHeight="1" x14ac:dyDescent="0.3">
      <c r="A1672" s="67" t="str">
        <f>+IF(PROVEEDORES[[#This Row],[FECHA DE PAGO]]=PROVEEDORES[[#This Row],[FECHA DE FACTURACIÓN]],"DE CONTADO","CRÉDITO")</f>
        <v>DE CONTADO</v>
      </c>
      <c r="B1672" s="38" t="b">
        <f>+IF((PROVEEDORES[[#This Row],[FECHA DE PAGO]]-PROVEEDORES[[#This Row],[FECHA DE FACTURACIÓN]])&gt;PROVEEDORES[[#This Row],[PLAZO Días]],"PAGO VENCIDO")</f>
        <v>0</v>
      </c>
      <c r="C1672" s="20">
        <f>+VLOOKUP(PROVEEDORES[[#This Row],[PROVEEDOR]],TERCEROS_INFO[#All],2,FALSE)</f>
        <v>30</v>
      </c>
      <c r="D1672" s="25">
        <f>+SUMIFS(PROVEEDORES[Total],PROVEEDORES[PROVEEDOR],PROVEEDORES[[#This Row],[PROVEEDOR]],PROVEEDORES[FECHA DE PAGO],"")</f>
        <v>0</v>
      </c>
      <c r="E1672" s="25"/>
      <c r="F1672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672" s="68">
        <v>45121</v>
      </c>
      <c r="H1672" s="26" t="s">
        <v>227</v>
      </c>
      <c r="I1672" s="68">
        <v>45121</v>
      </c>
      <c r="J1672" s="35" t="s">
        <v>1802</v>
      </c>
      <c r="K1672" s="21">
        <v>1550000</v>
      </c>
      <c r="L1672" s="21"/>
      <c r="M1672" s="22">
        <f>(PROVEEDORES[[#This Row],[SUBTOTAL]]-PROVEEDORES[[#This Row],[descuento sobre subtotal]])*VLOOKUP(PROVEEDORES[[#This Row],[PROVEEDOR]],TERCEROS_INFO[#All],3,FALSE)</f>
        <v>0</v>
      </c>
      <c r="N1672" s="23"/>
      <c r="O1672" s="22">
        <f>+PROVEEDORES[[#This Row],[Descuento sobre subtotal %]]*(PROVEEDORES[[#This Row],[SUBTOTAL]]-PROVEEDORES[[#This Row],[descuento sobre subtotal]])</f>
        <v>0</v>
      </c>
      <c r="P1672" s="74">
        <f>+IF(PROVEEDORES[[#This Row],[SUBTOTAL]]&lt;PROVEEDORES[[#This Row],[base retencion]],0,PROVEEDORES[[#This Row],[retención aplicada]])</f>
        <v>0</v>
      </c>
      <c r="Q1672" s="22">
        <f>+PROVEEDORES[[#This Row],[Rete Fuente %]]*(PROVEEDORES[[#This Row],[SUBTOTAL]]-PROVEEDORES[[#This Row],[descuento sobre subtotal]])</f>
        <v>0</v>
      </c>
      <c r="R1672" s="21">
        <f>+PROVEEDORES[[#This Row],[SUBTOTAL]]+PROVEEDORES[[#This Row],[IVA 19%]]-PROVEEDORES[[#This Row],[descuento sobre subtotal]]-PROVEEDORES[[#This Row],[Descuento sobre subtotal $2]]-PROVEEDORES[[#This Row],[Rete Fuente $]]</f>
        <v>1550000</v>
      </c>
      <c r="S167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2" s="63">
        <f ca="1">IF(PROVEEDORES[[#This Row],[FECHA DE PAGO]]=0,TODAY()-PROVEEDORES[[#This Row],[FECHA DE FACTURACIÓN]]-PROVEEDORES[[#This Row],[PLAZO Días]],0)</f>
        <v>0</v>
      </c>
      <c r="U1672" s="104">
        <f>+VLOOKUP(PROVEEDORES[[#This Row],[PROVEEDOR]],Terceros!$A:$D,4,FALSE)</f>
        <v>0</v>
      </c>
      <c r="V1672" s="105">
        <f>+YEAR(PROVEEDORES[[#This Row],[FECHA DE FACTURACIÓN]])</f>
        <v>2023</v>
      </c>
      <c r="W1672" s="105">
        <f>+MATCH(PROVEEDORES[[#This Row],[año facturado]],Retenciones!$1:$1,0)</f>
        <v>6</v>
      </c>
      <c r="X1672" s="106">
        <f>+VLOOKUP(PROVEEDORES[[#This Row],[ID RETENCION]],Retenciones!$A$1:$O$25,PROVEEDORES[[#This Row],[indicador de columna]],FALSE)</f>
        <v>0</v>
      </c>
      <c r="Y1672" s="107">
        <f>+VLOOKUP(PROVEEDORES[[#This Row],[ID RETENCION]],Retenciones!$A$1:$O$25,2,FALSE)</f>
        <v>0</v>
      </c>
      <c r="Z1672" s="116" t="b">
        <f>OR(COUNTIF(PROVEEDORES[[#This Row],[PROVEEDOR]],"*"&amp;'Palabra no opera'!$A$2&amp;"*"))</f>
        <v>0</v>
      </c>
    </row>
    <row r="1673" spans="1:26" ht="22.35" customHeight="1" x14ac:dyDescent="0.3">
      <c r="A1673" s="67" t="str">
        <f>+IF(PROVEEDORES[[#This Row],[FECHA DE PAGO]]=PROVEEDORES[[#This Row],[FECHA DE FACTURACIÓN]],"DE CONTADO","CRÉDITO")</f>
        <v>CRÉDITO</v>
      </c>
      <c r="B1673" s="38" t="str">
        <f>+IF((PROVEEDORES[[#This Row],[FECHA DE PAGO]]-PROVEEDORES[[#This Row],[FECHA DE FACTURACIÓN]])&gt;PROVEEDORES[[#This Row],[PLAZO Días]],"PAGO VENCIDO")</f>
        <v>PAGO VENCIDO</v>
      </c>
      <c r="C1673" s="20">
        <f>+VLOOKUP(PROVEEDORES[[#This Row],[PROVEEDOR]],TERCEROS_INFO[#All],2,FALSE)</f>
        <v>10</v>
      </c>
      <c r="D1673" s="25">
        <f>+SUMIFS(PROVEEDORES[Total],PROVEEDORES[PROVEEDOR],PROVEEDORES[[#This Row],[PROVEEDOR]],PROVEEDORES[FECHA DE PAGO],"")</f>
        <v>0</v>
      </c>
      <c r="E1673" s="25"/>
      <c r="F1673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673" s="68">
        <v>45121</v>
      </c>
      <c r="H1673" s="26" t="s">
        <v>1202</v>
      </c>
      <c r="I1673" s="68">
        <v>45108</v>
      </c>
      <c r="J1673" s="35" t="s">
        <v>1793</v>
      </c>
      <c r="K1673" s="21">
        <v>5350576</v>
      </c>
      <c r="L1673" s="21"/>
      <c r="M1673" s="22">
        <v>1016609</v>
      </c>
      <c r="N1673" s="23"/>
      <c r="O1673" s="22">
        <f>+PROVEEDORES[[#This Row],[Descuento sobre subtotal %]]*(PROVEEDORES[[#This Row],[SUBTOTAL]]-PROVEEDORES[[#This Row],[descuento sobre subtotal]])</f>
        <v>0</v>
      </c>
      <c r="P1673" s="74">
        <f>+IF(PROVEEDORES[[#This Row],[SUBTOTAL]]&lt;PROVEEDORES[[#This Row],[base retencion]],0,PROVEEDORES[[#This Row],[retención aplicada]])</f>
        <v>0</v>
      </c>
      <c r="Q1673" s="22">
        <f>+PROVEEDORES[[#This Row],[Rete Fuente %]]*(PROVEEDORES[[#This Row],[SUBTOTAL]]-PROVEEDORES[[#This Row],[descuento sobre subtotal]])</f>
        <v>0</v>
      </c>
      <c r="R1673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67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3" s="63">
        <f ca="1">IF(PROVEEDORES[[#This Row],[FECHA DE PAGO]]=0,TODAY()-PROVEEDORES[[#This Row],[FECHA DE FACTURACIÓN]]-PROVEEDORES[[#This Row],[PLAZO Días]],0)</f>
        <v>0</v>
      </c>
      <c r="U1673" s="104">
        <f>+VLOOKUP(PROVEEDORES[[#This Row],[PROVEEDOR]],Terceros!$A:$D,4,FALSE)</f>
        <v>0</v>
      </c>
      <c r="V1673" s="105">
        <f>+YEAR(PROVEEDORES[[#This Row],[FECHA DE FACTURACIÓN]])</f>
        <v>2023</v>
      </c>
      <c r="W1673" s="105">
        <f>+MATCH(PROVEEDORES[[#This Row],[año facturado]],Retenciones!$1:$1,0)</f>
        <v>6</v>
      </c>
      <c r="X1673" s="106">
        <f>+VLOOKUP(PROVEEDORES[[#This Row],[ID RETENCION]],Retenciones!$A$1:$O$25,PROVEEDORES[[#This Row],[indicador de columna]],FALSE)</f>
        <v>0</v>
      </c>
      <c r="Y1673" s="107">
        <f>+VLOOKUP(PROVEEDORES[[#This Row],[ID RETENCION]],Retenciones!$A$1:$O$25,2,FALSE)</f>
        <v>0</v>
      </c>
      <c r="Z1673" s="116" t="b">
        <f>OR(COUNTIF(PROVEEDORES[[#This Row],[PROVEEDOR]],"*"&amp;'Palabra no opera'!$A$2&amp;"*"))</f>
        <v>1</v>
      </c>
    </row>
    <row r="1674" spans="1:26" ht="22.35" customHeight="1" x14ac:dyDescent="0.3">
      <c r="A1674" s="67" t="str">
        <f>+IF(PROVEEDORES[[#This Row],[FECHA DE PAGO]]=PROVEEDORES[[#This Row],[FECHA DE FACTURACIÓN]],"DE CONTADO","CRÉDITO")</f>
        <v>CRÉDITO</v>
      </c>
      <c r="B1674" s="38" t="b">
        <f>+IF((PROVEEDORES[[#This Row],[FECHA DE PAGO]]-PROVEEDORES[[#This Row],[FECHA DE FACTURACIÓN]])&gt;PROVEEDORES[[#This Row],[PLAZO Días]],"PAGO VENCIDO")</f>
        <v>0</v>
      </c>
      <c r="C1674" s="20">
        <f>+VLOOKUP(PROVEEDORES[[#This Row],[PROVEEDOR]],TERCEROS_INFO[#All],2,FALSE)</f>
        <v>30</v>
      </c>
      <c r="D1674" s="25">
        <f>+SUMIFS(PROVEEDORES[Total],PROVEEDORES[PROVEEDOR],PROVEEDORES[[#This Row],[PROVEEDOR]],PROVEEDORES[FECHA DE PAGO],"")</f>
        <v>0</v>
      </c>
      <c r="E1674" s="25"/>
      <c r="F1674" s="56" t="str">
        <f>+VLOOKUP(PROVEEDORES[[#This Row],[PROVEEDOR]],
                       Terceros!$A:$F,
                       5,
                       FALSE)</f>
        <v/>
      </c>
      <c r="G1674" s="68">
        <v>45122</v>
      </c>
      <c r="H1674" s="26" t="s">
        <v>1194</v>
      </c>
      <c r="I1674" s="68">
        <v>45121</v>
      </c>
      <c r="J1674" s="35" t="s">
        <v>1835</v>
      </c>
      <c r="K1674" s="21">
        <v>6643000</v>
      </c>
      <c r="L1674" s="21"/>
      <c r="M1674" s="22">
        <f>(PROVEEDORES[[#This Row],[SUBTOTAL]]-PROVEEDORES[[#This Row],[descuento sobre subtotal]])*VLOOKUP(PROVEEDORES[[#This Row],[PROVEEDOR]],TERCEROS_INFO[#All],3,FALSE)</f>
        <v>0</v>
      </c>
      <c r="N1674" s="23"/>
      <c r="O1674" s="22">
        <f>+PROVEEDORES[[#This Row],[Descuento sobre subtotal %]]*(PROVEEDORES[[#This Row],[SUBTOTAL]]-PROVEEDORES[[#This Row],[descuento sobre subtotal]])</f>
        <v>0</v>
      </c>
      <c r="P1674" s="74">
        <f>+IF(PROVEEDORES[[#This Row],[SUBTOTAL]]&lt;PROVEEDORES[[#This Row],[base retencion]],0,PROVEEDORES[[#This Row],[retención aplicada]])</f>
        <v>0</v>
      </c>
      <c r="Q1674" s="22">
        <f>+PROVEEDORES[[#This Row],[Rete Fuente %]]*(PROVEEDORES[[#This Row],[SUBTOTAL]]-PROVEEDORES[[#This Row],[descuento sobre subtotal]])</f>
        <v>0</v>
      </c>
      <c r="R1674" s="21">
        <f>+PROVEEDORES[[#This Row],[SUBTOTAL]]+PROVEEDORES[[#This Row],[IVA 19%]]-PROVEEDORES[[#This Row],[descuento sobre subtotal]]-PROVEEDORES[[#This Row],[Descuento sobre subtotal $2]]-PROVEEDORES[[#This Row],[Rete Fuente $]]</f>
        <v>6643000</v>
      </c>
      <c r="S16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4" s="63">
        <f ca="1">IF(PROVEEDORES[[#This Row],[FECHA DE PAGO]]=0,TODAY()-PROVEEDORES[[#This Row],[FECHA DE FACTURACIÓN]]-PROVEEDORES[[#This Row],[PLAZO Días]],0)</f>
        <v>0</v>
      </c>
      <c r="U1674" s="104">
        <f>+VLOOKUP(PROVEEDORES[[#This Row],[PROVEEDOR]],Terceros!$A:$D,4,FALSE)</f>
        <v>0</v>
      </c>
      <c r="V1674" s="105">
        <f>+YEAR(PROVEEDORES[[#This Row],[FECHA DE FACTURACIÓN]])</f>
        <v>2023</v>
      </c>
      <c r="W1674" s="105">
        <f>+MATCH(PROVEEDORES[[#This Row],[año facturado]],Retenciones!$1:$1,0)</f>
        <v>6</v>
      </c>
      <c r="X1674" s="106">
        <f>+VLOOKUP(PROVEEDORES[[#This Row],[ID RETENCION]],Retenciones!$A$1:$O$25,PROVEEDORES[[#This Row],[indicador de columna]],FALSE)</f>
        <v>0</v>
      </c>
      <c r="Y1674" s="107">
        <f>+VLOOKUP(PROVEEDORES[[#This Row],[ID RETENCION]],Retenciones!$A$1:$O$25,2,FALSE)</f>
        <v>0</v>
      </c>
      <c r="Z1674" s="116" t="b">
        <f>OR(COUNTIF(PROVEEDORES[[#This Row],[PROVEEDOR]],"*"&amp;'Palabra no opera'!$A$2&amp;"*"))</f>
        <v>0</v>
      </c>
    </row>
    <row r="1675" spans="1:26" ht="22.35" customHeight="1" x14ac:dyDescent="0.3">
      <c r="A1675" s="345" t="str">
        <f>+IF(PROVEEDORES[[#This Row],[FECHA DE PAGO]]=PROVEEDORES[[#This Row],[FECHA DE FACTURACIÓN]],"DE CONTADO","CRÉDITO")</f>
        <v>CRÉDITO</v>
      </c>
      <c r="B1675" s="38" t="b">
        <f>+IF((PROVEEDORES[[#This Row],[FECHA DE PAGO]]-PROVEEDORES[[#This Row],[FECHA DE FACTURACIÓN]])&gt;PROVEEDORES[[#This Row],[PLAZO Días]],"PAGO VENCIDO")</f>
        <v>0</v>
      </c>
      <c r="C1675" s="20">
        <f>+VLOOKUP(PROVEEDORES[[#This Row],[PROVEEDOR]],TERCEROS_INFO[#All],2,FALSE)</f>
        <v>30</v>
      </c>
      <c r="D1675" s="25">
        <f>+SUMIFS(PROVEEDORES[Total],PROVEEDORES[PROVEEDOR],PROVEEDORES[[#This Row],[PROVEEDOR]],PROVEEDORES[FECHA DE PAGO],"")</f>
        <v>0</v>
      </c>
      <c r="E1675" s="25"/>
      <c r="F1675" s="56">
        <f>+VLOOKUP(PROVEEDORES[[#This Row],[PROVEEDOR]],
                       Terceros!$A:$F,
                       5,
                       FALSE)</f>
        <v>0</v>
      </c>
      <c r="G1675" s="68">
        <v>45124</v>
      </c>
      <c r="H1675" s="26" t="s">
        <v>1736</v>
      </c>
      <c r="I1675" s="68">
        <v>45122</v>
      </c>
      <c r="J1675" s="35">
        <v>4</v>
      </c>
      <c r="K1675" s="21">
        <v>369000</v>
      </c>
      <c r="L1675" s="21"/>
      <c r="M1675" s="22">
        <f>(PROVEEDORES[[#This Row],[SUBTOTAL]]-PROVEEDORES[[#This Row],[descuento sobre subtotal]])*VLOOKUP(PROVEEDORES[[#This Row],[PROVEEDOR]],TERCEROS_INFO[#All],3,FALSE)</f>
        <v>0</v>
      </c>
      <c r="N1675" s="23"/>
      <c r="O1675" s="22">
        <f>+PROVEEDORES[[#This Row],[Descuento sobre subtotal %]]*(PROVEEDORES[[#This Row],[SUBTOTAL]]-PROVEEDORES[[#This Row],[descuento sobre subtotal]])</f>
        <v>0</v>
      </c>
      <c r="P1675" s="74">
        <f>+IF(PROVEEDORES[[#This Row],[SUBTOTAL]]&lt;PROVEEDORES[[#This Row],[base retencion]],0,PROVEEDORES[[#This Row],[retención aplicada]])</f>
        <v>0</v>
      </c>
      <c r="Q1675" s="22">
        <f>+PROVEEDORES[[#This Row],[Rete Fuente %]]*(PROVEEDORES[[#This Row],[SUBTOTAL]]-PROVEEDORES[[#This Row],[descuento sobre subtotal]])</f>
        <v>0</v>
      </c>
      <c r="R1675" s="21">
        <f>+PROVEEDORES[[#This Row],[SUBTOTAL]]+PROVEEDORES[[#This Row],[IVA 19%]]-PROVEEDORES[[#This Row],[descuento sobre subtotal]]-PROVEEDORES[[#This Row],[Descuento sobre subtotal $2]]-PROVEEDORES[[#This Row],[Rete Fuente $]]</f>
        <v>369000</v>
      </c>
      <c r="S1675" s="3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5" s="63">
        <f ca="1">IF(PROVEEDORES[[#This Row],[FECHA DE PAGO]]=0,TODAY()-PROVEEDORES[[#This Row],[FECHA DE FACTURACIÓN]]-PROVEEDORES[[#This Row],[PLAZO Días]],0)</f>
        <v>0</v>
      </c>
      <c r="U1675" s="104">
        <f>+VLOOKUP(PROVEEDORES[[#This Row],[PROVEEDOR]],Terceros!$A:$D,4,FALSE)</f>
        <v>0</v>
      </c>
      <c r="V1675" s="105">
        <f>+YEAR(PROVEEDORES[[#This Row],[FECHA DE FACTURACIÓN]])</f>
        <v>2023</v>
      </c>
      <c r="W1675" s="105">
        <f>+MATCH(PROVEEDORES[[#This Row],[año facturado]],Retenciones!$1:$1,0)</f>
        <v>6</v>
      </c>
      <c r="X1675" s="106">
        <f>+VLOOKUP(PROVEEDORES[[#This Row],[ID RETENCION]],Retenciones!$A$1:$O$25,PROVEEDORES[[#This Row],[indicador de columna]],FALSE)</f>
        <v>0</v>
      </c>
      <c r="Y1675" s="107">
        <f>+VLOOKUP(PROVEEDORES[[#This Row],[ID RETENCION]],Retenciones!$A$1:$O$25,2,FALSE)</f>
        <v>0</v>
      </c>
      <c r="Z1675" s="116" t="b">
        <f>OR(COUNTIF(PROVEEDORES[[#This Row],[PROVEEDOR]],"*"&amp;'Palabra no opera'!$A$2&amp;"*"))</f>
        <v>0</v>
      </c>
    </row>
    <row r="1676" spans="1:26" ht="22.35" customHeight="1" x14ac:dyDescent="0.3">
      <c r="A1676" s="67" t="str">
        <f>+IF(PROVEEDORES[[#This Row],[FECHA DE PAGO]]=PROVEEDORES[[#This Row],[FECHA DE FACTURACIÓN]],"DE CONTADO","CRÉDITO")</f>
        <v>CRÉDITO</v>
      </c>
      <c r="B1676" s="38" t="str">
        <f>+IF((PROVEEDORES[[#This Row],[FECHA DE PAGO]]-PROVEEDORES[[#This Row],[FECHA DE FACTURACIÓN]])&gt;PROVEEDORES[[#This Row],[PLAZO Días]],"PAGO VENCIDO")</f>
        <v>PAGO VENCIDO</v>
      </c>
      <c r="C1676" s="20">
        <f>+VLOOKUP(PROVEEDORES[[#This Row],[PROVEEDOR]],TERCEROS_INFO[#All],2,FALSE)</f>
        <v>60</v>
      </c>
      <c r="D1676" s="25">
        <f>+SUMIFS(PROVEEDORES[Total],PROVEEDORES[PROVEEDOR],PROVEEDORES[[#This Row],[PROVEEDOR]],PROVEEDORES[FECHA DE PAGO],"")</f>
        <v>395600</v>
      </c>
      <c r="E1676" s="25"/>
      <c r="F167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76" s="68">
        <v>45124</v>
      </c>
      <c r="H1676" s="26" t="s">
        <v>287</v>
      </c>
      <c r="I1676" s="68">
        <v>45051</v>
      </c>
      <c r="J1676" s="35">
        <v>1672</v>
      </c>
      <c r="K1676" s="21">
        <v>224640</v>
      </c>
      <c r="L1676" s="21"/>
      <c r="M1676" s="22">
        <f>(PROVEEDORES[[#This Row],[SUBTOTAL]]-PROVEEDORES[[#This Row],[descuento sobre subtotal]])*VLOOKUP(PROVEEDORES[[#This Row],[PROVEEDOR]],TERCEROS_INFO[#All],3,FALSE)</f>
        <v>0</v>
      </c>
      <c r="N1676" s="23"/>
      <c r="O1676" s="22">
        <f>+PROVEEDORES[[#This Row],[Descuento sobre subtotal %]]*(PROVEEDORES[[#This Row],[SUBTOTAL]]-PROVEEDORES[[#This Row],[descuento sobre subtotal]])</f>
        <v>0</v>
      </c>
      <c r="P1676" s="74">
        <f>+IF(PROVEEDORES[[#This Row],[SUBTOTAL]]&lt;PROVEEDORES[[#This Row],[base retencion]],0,PROVEEDORES[[#This Row],[retención aplicada]])</f>
        <v>0</v>
      </c>
      <c r="Q1676" s="22">
        <f>+PROVEEDORES[[#This Row],[Rete Fuente %]]*(PROVEEDORES[[#This Row],[SUBTOTAL]]-PROVEEDORES[[#This Row],[descuento sobre subtotal]])</f>
        <v>0</v>
      </c>
      <c r="R1676" s="21">
        <f>+PROVEEDORES[[#This Row],[SUBTOTAL]]+PROVEEDORES[[#This Row],[IVA 19%]]-PROVEEDORES[[#This Row],[descuento sobre subtotal]]-PROVEEDORES[[#This Row],[Descuento sobre subtotal $2]]-PROVEEDORES[[#This Row],[Rete Fuente $]]</f>
        <v>224640</v>
      </c>
      <c r="S16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6" s="63">
        <f ca="1">IF(PROVEEDORES[[#This Row],[FECHA DE PAGO]]=0,TODAY()-PROVEEDORES[[#This Row],[FECHA DE FACTURACIÓN]]-PROVEEDORES[[#This Row],[PLAZO Días]],0)</f>
        <v>0</v>
      </c>
      <c r="U1676" s="104">
        <f>+VLOOKUP(PROVEEDORES[[#This Row],[PROVEEDOR]],Terceros!$A:$D,4,FALSE)</f>
        <v>0</v>
      </c>
      <c r="V1676" s="105">
        <f>+YEAR(PROVEEDORES[[#This Row],[FECHA DE FACTURACIÓN]])</f>
        <v>2023</v>
      </c>
      <c r="W1676" s="105">
        <f>+MATCH(PROVEEDORES[[#This Row],[año facturado]],Retenciones!$1:$1,0)</f>
        <v>6</v>
      </c>
      <c r="X1676" s="106">
        <f>+VLOOKUP(PROVEEDORES[[#This Row],[ID RETENCION]],Retenciones!$A$1:$O$25,PROVEEDORES[[#This Row],[indicador de columna]],FALSE)</f>
        <v>0</v>
      </c>
      <c r="Y1676" s="107">
        <f>+VLOOKUP(PROVEEDORES[[#This Row],[ID RETENCION]],Retenciones!$A$1:$O$25,2,FALSE)</f>
        <v>0</v>
      </c>
      <c r="Z1676" s="116" t="b">
        <f>OR(COUNTIF(PROVEEDORES[[#This Row],[PROVEEDOR]],"*"&amp;'Palabra no opera'!$A$2&amp;"*"))</f>
        <v>0</v>
      </c>
    </row>
    <row r="1677" spans="1:26" ht="22.35" customHeight="1" x14ac:dyDescent="0.3">
      <c r="A1677" s="67" t="str">
        <f>+IF(PROVEEDORES[[#This Row],[FECHA DE PAGO]]=PROVEEDORES[[#This Row],[FECHA DE FACTURACIÓN]],"DE CONTADO","CRÉDITO")</f>
        <v>CRÉDITO</v>
      </c>
      <c r="B1677" s="38" t="str">
        <f>+IF((PROVEEDORES[[#This Row],[FECHA DE PAGO]]-PROVEEDORES[[#This Row],[FECHA DE FACTURACIÓN]])&gt;PROVEEDORES[[#This Row],[PLAZO Días]],"PAGO VENCIDO")</f>
        <v>PAGO VENCIDO</v>
      </c>
      <c r="C1677" s="20">
        <f>+VLOOKUP(PROVEEDORES[[#This Row],[PROVEEDOR]],TERCEROS_INFO[#All],2,FALSE)</f>
        <v>60</v>
      </c>
      <c r="D1677" s="25">
        <f>+SUMIFS(PROVEEDORES[Total],PROVEEDORES[PROVEEDOR],PROVEEDORES[[#This Row],[PROVEEDOR]],PROVEEDORES[FECHA DE PAGO],"")</f>
        <v>395600</v>
      </c>
      <c r="E1677" s="25"/>
      <c r="F167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77" s="68">
        <v>45124</v>
      </c>
      <c r="H1677" s="26" t="s">
        <v>287</v>
      </c>
      <c r="I1677" s="68">
        <v>45051</v>
      </c>
      <c r="J1677" s="35">
        <v>1673</v>
      </c>
      <c r="K1677" s="21">
        <v>187200</v>
      </c>
      <c r="L1677" s="21"/>
      <c r="M1677" s="22">
        <f>(PROVEEDORES[[#This Row],[SUBTOTAL]]-PROVEEDORES[[#This Row],[descuento sobre subtotal]])*VLOOKUP(PROVEEDORES[[#This Row],[PROVEEDOR]],TERCEROS_INFO[#All],3,FALSE)</f>
        <v>0</v>
      </c>
      <c r="N1677" s="23"/>
      <c r="O1677" s="22">
        <f>+PROVEEDORES[[#This Row],[Descuento sobre subtotal %]]*(PROVEEDORES[[#This Row],[SUBTOTAL]]-PROVEEDORES[[#This Row],[descuento sobre subtotal]])</f>
        <v>0</v>
      </c>
      <c r="P1677" s="74">
        <f>+IF(PROVEEDORES[[#This Row],[SUBTOTAL]]&lt;PROVEEDORES[[#This Row],[base retencion]],0,PROVEEDORES[[#This Row],[retención aplicada]])</f>
        <v>0</v>
      </c>
      <c r="Q1677" s="22">
        <f>+PROVEEDORES[[#This Row],[Rete Fuente %]]*(PROVEEDORES[[#This Row],[SUBTOTAL]]-PROVEEDORES[[#This Row],[descuento sobre subtotal]])</f>
        <v>0</v>
      </c>
      <c r="R1677" s="21">
        <f>+PROVEEDORES[[#This Row],[SUBTOTAL]]+PROVEEDORES[[#This Row],[IVA 19%]]-PROVEEDORES[[#This Row],[descuento sobre subtotal]]-PROVEEDORES[[#This Row],[Descuento sobre subtotal $2]]-PROVEEDORES[[#This Row],[Rete Fuente $]]</f>
        <v>187200</v>
      </c>
      <c r="S16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7" s="63">
        <f ca="1">IF(PROVEEDORES[[#This Row],[FECHA DE PAGO]]=0,TODAY()-PROVEEDORES[[#This Row],[FECHA DE FACTURACIÓN]]-PROVEEDORES[[#This Row],[PLAZO Días]],0)</f>
        <v>0</v>
      </c>
      <c r="U1677" s="104">
        <f>+VLOOKUP(PROVEEDORES[[#This Row],[PROVEEDOR]],Terceros!$A:$D,4,FALSE)</f>
        <v>0</v>
      </c>
      <c r="V1677" s="105">
        <f>+YEAR(PROVEEDORES[[#This Row],[FECHA DE FACTURACIÓN]])</f>
        <v>2023</v>
      </c>
      <c r="W1677" s="105">
        <f>+MATCH(PROVEEDORES[[#This Row],[año facturado]],Retenciones!$1:$1,0)</f>
        <v>6</v>
      </c>
      <c r="X1677" s="106">
        <f>+VLOOKUP(PROVEEDORES[[#This Row],[ID RETENCION]],Retenciones!$A$1:$O$25,PROVEEDORES[[#This Row],[indicador de columna]],FALSE)</f>
        <v>0</v>
      </c>
      <c r="Y1677" s="107">
        <f>+VLOOKUP(PROVEEDORES[[#This Row],[ID RETENCION]],Retenciones!$A$1:$O$25,2,FALSE)</f>
        <v>0</v>
      </c>
      <c r="Z1677" s="116" t="b">
        <f>OR(COUNTIF(PROVEEDORES[[#This Row],[PROVEEDOR]],"*"&amp;'Palabra no opera'!$A$2&amp;"*"))</f>
        <v>0</v>
      </c>
    </row>
    <row r="1678" spans="1:26" ht="22.35" customHeight="1" x14ac:dyDescent="0.3">
      <c r="A1678" s="67" t="str">
        <f>+IF(PROVEEDORES[[#This Row],[FECHA DE PAGO]]=PROVEEDORES[[#This Row],[FECHA DE FACTURACIÓN]],"DE CONTADO","CRÉDITO")</f>
        <v>CRÉDITO</v>
      </c>
      <c r="B1678" s="38" t="str">
        <f>+IF((PROVEEDORES[[#This Row],[FECHA DE PAGO]]-PROVEEDORES[[#This Row],[FECHA DE FACTURACIÓN]])&gt;PROVEEDORES[[#This Row],[PLAZO Días]],"PAGO VENCIDO")</f>
        <v>PAGO VENCIDO</v>
      </c>
      <c r="C1678" s="20">
        <f>+VLOOKUP(PROVEEDORES[[#This Row],[PROVEEDOR]],TERCEROS_INFO[#All],2,FALSE)</f>
        <v>60</v>
      </c>
      <c r="D1678" s="25">
        <f>+SUMIFS(PROVEEDORES[Total],PROVEEDORES[PROVEEDOR],PROVEEDORES[[#This Row],[PROVEEDOR]],PROVEEDORES[FECHA DE PAGO],"")</f>
        <v>395600</v>
      </c>
      <c r="E1678" s="25"/>
      <c r="F167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78" s="68">
        <v>45124</v>
      </c>
      <c r="H1678" s="26" t="s">
        <v>287</v>
      </c>
      <c r="I1678" s="68">
        <v>45051</v>
      </c>
      <c r="J1678" s="35">
        <v>1681</v>
      </c>
      <c r="K1678" s="21">
        <v>355680</v>
      </c>
      <c r="L1678" s="21"/>
      <c r="M1678" s="22">
        <f>(PROVEEDORES[[#This Row],[SUBTOTAL]]-PROVEEDORES[[#This Row],[descuento sobre subtotal]])*VLOOKUP(PROVEEDORES[[#This Row],[PROVEEDOR]],TERCEROS_INFO[#All],3,FALSE)</f>
        <v>0</v>
      </c>
      <c r="N1678" s="23"/>
      <c r="O1678" s="22">
        <f>+PROVEEDORES[[#This Row],[Descuento sobre subtotal %]]*(PROVEEDORES[[#This Row],[SUBTOTAL]]-PROVEEDORES[[#This Row],[descuento sobre subtotal]])</f>
        <v>0</v>
      </c>
      <c r="P1678" s="74">
        <f>+IF(PROVEEDORES[[#This Row],[SUBTOTAL]]&lt;PROVEEDORES[[#This Row],[base retencion]],0,PROVEEDORES[[#This Row],[retención aplicada]])</f>
        <v>0</v>
      </c>
      <c r="Q1678" s="22">
        <f>+PROVEEDORES[[#This Row],[Rete Fuente %]]*(PROVEEDORES[[#This Row],[SUBTOTAL]]-PROVEEDORES[[#This Row],[descuento sobre subtotal]])</f>
        <v>0</v>
      </c>
      <c r="R1678" s="21">
        <f>+PROVEEDORES[[#This Row],[SUBTOTAL]]+PROVEEDORES[[#This Row],[IVA 19%]]-PROVEEDORES[[#This Row],[descuento sobre subtotal]]-PROVEEDORES[[#This Row],[Descuento sobre subtotal $2]]-PROVEEDORES[[#This Row],[Rete Fuente $]]</f>
        <v>355680</v>
      </c>
      <c r="S16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8" s="63">
        <f ca="1">IF(PROVEEDORES[[#This Row],[FECHA DE PAGO]]=0,TODAY()-PROVEEDORES[[#This Row],[FECHA DE FACTURACIÓN]]-PROVEEDORES[[#This Row],[PLAZO Días]],0)</f>
        <v>0</v>
      </c>
      <c r="U1678" s="104">
        <f>+VLOOKUP(PROVEEDORES[[#This Row],[PROVEEDOR]],Terceros!$A:$D,4,FALSE)</f>
        <v>0</v>
      </c>
      <c r="V1678" s="105">
        <f>+YEAR(PROVEEDORES[[#This Row],[FECHA DE FACTURACIÓN]])</f>
        <v>2023</v>
      </c>
      <c r="W1678" s="105">
        <f>+MATCH(PROVEEDORES[[#This Row],[año facturado]],Retenciones!$1:$1,0)</f>
        <v>6</v>
      </c>
      <c r="X1678" s="106">
        <f>+VLOOKUP(PROVEEDORES[[#This Row],[ID RETENCION]],Retenciones!$A$1:$O$25,PROVEEDORES[[#This Row],[indicador de columna]],FALSE)</f>
        <v>0</v>
      </c>
      <c r="Y1678" s="107">
        <f>+VLOOKUP(PROVEEDORES[[#This Row],[ID RETENCION]],Retenciones!$A$1:$O$25,2,FALSE)</f>
        <v>0</v>
      </c>
      <c r="Z1678" s="116" t="b">
        <f>OR(COUNTIF(PROVEEDORES[[#This Row],[PROVEEDOR]],"*"&amp;'Palabra no opera'!$A$2&amp;"*"))</f>
        <v>0</v>
      </c>
    </row>
    <row r="1679" spans="1:26" ht="22.35" customHeight="1" x14ac:dyDescent="0.3">
      <c r="A1679" s="67" t="str">
        <f>+IF(PROVEEDORES[[#This Row],[FECHA DE PAGO]]=PROVEEDORES[[#This Row],[FECHA DE FACTURACIÓN]],"DE CONTADO","CRÉDITO")</f>
        <v>CRÉDITO</v>
      </c>
      <c r="B1679" s="38" t="str">
        <f>+IF((PROVEEDORES[[#This Row],[FECHA DE PAGO]]-PROVEEDORES[[#This Row],[FECHA DE FACTURACIÓN]])&gt;PROVEEDORES[[#This Row],[PLAZO Días]],"PAGO VENCIDO")</f>
        <v>PAGO VENCIDO</v>
      </c>
      <c r="C1679" s="20">
        <f>+VLOOKUP(PROVEEDORES[[#This Row],[PROVEEDOR]],TERCEROS_INFO[#All],2,FALSE)</f>
        <v>60</v>
      </c>
      <c r="D1679" s="25">
        <f>+SUMIFS(PROVEEDORES[Total],PROVEEDORES[PROVEEDOR],PROVEEDORES[[#This Row],[PROVEEDOR]],PROVEEDORES[FECHA DE PAGO],"")</f>
        <v>395600</v>
      </c>
      <c r="E1679" s="25"/>
      <c r="F167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79" s="68">
        <v>45124</v>
      </c>
      <c r="H1679" s="26" t="s">
        <v>287</v>
      </c>
      <c r="I1679" s="68">
        <v>45051</v>
      </c>
      <c r="J1679" s="35">
        <v>1682</v>
      </c>
      <c r="K1679" s="21">
        <v>411840</v>
      </c>
      <c r="L1679" s="21"/>
      <c r="M1679" s="22">
        <f>(PROVEEDORES[[#This Row],[SUBTOTAL]]-PROVEEDORES[[#This Row],[descuento sobre subtotal]])*VLOOKUP(PROVEEDORES[[#This Row],[PROVEEDOR]],TERCEROS_INFO[#All],3,FALSE)</f>
        <v>0</v>
      </c>
      <c r="N1679" s="23"/>
      <c r="O1679" s="22">
        <f>+PROVEEDORES[[#This Row],[Descuento sobre subtotal %]]*(PROVEEDORES[[#This Row],[SUBTOTAL]]-PROVEEDORES[[#This Row],[descuento sobre subtotal]])</f>
        <v>0</v>
      </c>
      <c r="P1679" s="74">
        <f>+IF(PROVEEDORES[[#This Row],[SUBTOTAL]]&lt;PROVEEDORES[[#This Row],[base retencion]],0,PROVEEDORES[[#This Row],[retención aplicada]])</f>
        <v>0</v>
      </c>
      <c r="Q1679" s="22">
        <f>+PROVEEDORES[[#This Row],[Rete Fuente %]]*(PROVEEDORES[[#This Row],[SUBTOTAL]]-PROVEEDORES[[#This Row],[descuento sobre subtotal]])</f>
        <v>0</v>
      </c>
      <c r="R1679" s="21">
        <f>+PROVEEDORES[[#This Row],[SUBTOTAL]]+PROVEEDORES[[#This Row],[IVA 19%]]-PROVEEDORES[[#This Row],[descuento sobre subtotal]]-PROVEEDORES[[#This Row],[Descuento sobre subtotal $2]]-PROVEEDORES[[#This Row],[Rete Fuente $]]</f>
        <v>411840</v>
      </c>
      <c r="S16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9" s="63">
        <f ca="1">IF(PROVEEDORES[[#This Row],[FECHA DE PAGO]]=0,TODAY()-PROVEEDORES[[#This Row],[FECHA DE FACTURACIÓN]]-PROVEEDORES[[#This Row],[PLAZO Días]],0)</f>
        <v>0</v>
      </c>
      <c r="U1679" s="104">
        <f>+VLOOKUP(PROVEEDORES[[#This Row],[PROVEEDOR]],Terceros!$A:$D,4,FALSE)</f>
        <v>0</v>
      </c>
      <c r="V1679" s="105">
        <f>+YEAR(PROVEEDORES[[#This Row],[FECHA DE FACTURACIÓN]])</f>
        <v>2023</v>
      </c>
      <c r="W1679" s="105">
        <f>+MATCH(PROVEEDORES[[#This Row],[año facturado]],Retenciones!$1:$1,0)</f>
        <v>6</v>
      </c>
      <c r="X1679" s="106">
        <f>+VLOOKUP(PROVEEDORES[[#This Row],[ID RETENCION]],Retenciones!$A$1:$O$25,PROVEEDORES[[#This Row],[indicador de columna]],FALSE)</f>
        <v>0</v>
      </c>
      <c r="Y1679" s="107">
        <f>+VLOOKUP(PROVEEDORES[[#This Row],[ID RETENCION]],Retenciones!$A$1:$O$25,2,FALSE)</f>
        <v>0</v>
      </c>
      <c r="Z1679" s="116" t="b">
        <f>OR(COUNTIF(PROVEEDORES[[#This Row],[PROVEEDOR]],"*"&amp;'Palabra no opera'!$A$2&amp;"*"))</f>
        <v>0</v>
      </c>
    </row>
    <row r="1680" spans="1:26" ht="22.35" customHeight="1" x14ac:dyDescent="0.3">
      <c r="A1680" s="67" t="str">
        <f>+IF(PROVEEDORES[[#This Row],[FECHA DE PAGO]]=PROVEEDORES[[#This Row],[FECHA DE FACTURACIÓN]],"DE CONTADO","CRÉDITO")</f>
        <v>CRÉDITO</v>
      </c>
      <c r="B1680" s="38" t="str">
        <f>+IF((PROVEEDORES[[#This Row],[FECHA DE PAGO]]-PROVEEDORES[[#This Row],[FECHA DE FACTURACIÓN]])&gt;PROVEEDORES[[#This Row],[PLAZO Días]],"PAGO VENCIDO")</f>
        <v>PAGO VENCIDO</v>
      </c>
      <c r="C1680" s="20">
        <f>+VLOOKUP(PROVEEDORES[[#This Row],[PROVEEDOR]],TERCEROS_INFO[#All],2,FALSE)</f>
        <v>60</v>
      </c>
      <c r="D1680" s="25">
        <f>+SUMIFS(PROVEEDORES[Total],PROVEEDORES[PROVEEDOR],PROVEEDORES[[#This Row],[PROVEEDOR]],PROVEEDORES[FECHA DE PAGO],"")</f>
        <v>395600</v>
      </c>
      <c r="E1680" s="25"/>
      <c r="F168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0" s="68">
        <v>45124</v>
      </c>
      <c r="H1680" s="26" t="s">
        <v>287</v>
      </c>
      <c r="I1680" s="68">
        <v>45051</v>
      </c>
      <c r="J1680" s="35">
        <v>1683</v>
      </c>
      <c r="K1680" s="21">
        <v>430560</v>
      </c>
      <c r="L1680" s="21"/>
      <c r="M1680" s="22">
        <f>(PROVEEDORES[[#This Row],[SUBTOTAL]]-PROVEEDORES[[#This Row],[descuento sobre subtotal]])*VLOOKUP(PROVEEDORES[[#This Row],[PROVEEDOR]],TERCEROS_INFO[#All],3,FALSE)</f>
        <v>0</v>
      </c>
      <c r="N1680" s="23"/>
      <c r="O1680" s="22">
        <f>+PROVEEDORES[[#This Row],[Descuento sobre subtotal %]]*(PROVEEDORES[[#This Row],[SUBTOTAL]]-PROVEEDORES[[#This Row],[descuento sobre subtotal]])</f>
        <v>0</v>
      </c>
      <c r="P1680" s="74">
        <f>+IF(PROVEEDORES[[#This Row],[SUBTOTAL]]&lt;PROVEEDORES[[#This Row],[base retencion]],0,PROVEEDORES[[#This Row],[retención aplicada]])</f>
        <v>0</v>
      </c>
      <c r="Q1680" s="22">
        <f>+PROVEEDORES[[#This Row],[Rete Fuente %]]*(PROVEEDORES[[#This Row],[SUBTOTAL]]-PROVEEDORES[[#This Row],[descuento sobre subtotal]])</f>
        <v>0</v>
      </c>
      <c r="R1680" s="21">
        <f>+PROVEEDORES[[#This Row],[SUBTOTAL]]+PROVEEDORES[[#This Row],[IVA 19%]]-PROVEEDORES[[#This Row],[descuento sobre subtotal]]-PROVEEDORES[[#This Row],[Descuento sobre subtotal $2]]-PROVEEDORES[[#This Row],[Rete Fuente $]]</f>
        <v>430560</v>
      </c>
      <c r="S16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0" s="63">
        <f ca="1">IF(PROVEEDORES[[#This Row],[FECHA DE PAGO]]=0,TODAY()-PROVEEDORES[[#This Row],[FECHA DE FACTURACIÓN]]-PROVEEDORES[[#This Row],[PLAZO Días]],0)</f>
        <v>0</v>
      </c>
      <c r="U1680" s="104">
        <f>+VLOOKUP(PROVEEDORES[[#This Row],[PROVEEDOR]],Terceros!$A:$D,4,FALSE)</f>
        <v>0</v>
      </c>
      <c r="V1680" s="105">
        <f>+YEAR(PROVEEDORES[[#This Row],[FECHA DE FACTURACIÓN]])</f>
        <v>2023</v>
      </c>
      <c r="W1680" s="105">
        <f>+MATCH(PROVEEDORES[[#This Row],[año facturado]],Retenciones!$1:$1,0)</f>
        <v>6</v>
      </c>
      <c r="X1680" s="106">
        <f>+VLOOKUP(PROVEEDORES[[#This Row],[ID RETENCION]],Retenciones!$A$1:$O$25,PROVEEDORES[[#This Row],[indicador de columna]],FALSE)</f>
        <v>0</v>
      </c>
      <c r="Y1680" s="107">
        <f>+VLOOKUP(PROVEEDORES[[#This Row],[ID RETENCION]],Retenciones!$A$1:$O$25,2,FALSE)</f>
        <v>0</v>
      </c>
      <c r="Z1680" s="116" t="b">
        <f>OR(COUNTIF(PROVEEDORES[[#This Row],[PROVEEDOR]],"*"&amp;'Palabra no opera'!$A$2&amp;"*"))</f>
        <v>0</v>
      </c>
    </row>
    <row r="1681" spans="1:26" ht="22.35" customHeight="1" x14ac:dyDescent="0.3">
      <c r="A1681" s="316" t="str">
        <f>+IF(PROVEEDORES[[#This Row],[FECHA DE PAGO]]=PROVEEDORES[[#This Row],[FECHA DE FACTURACIÓN]],"DE CONTADO","CRÉDITO")</f>
        <v>CRÉDITO</v>
      </c>
      <c r="B1681" s="38" t="b">
        <f>+IF((PROVEEDORES[[#This Row],[FECHA DE PAGO]]-PROVEEDORES[[#This Row],[FECHA DE FACTURACIÓN]])&gt;PROVEEDORES[[#This Row],[PLAZO Días]],"PAGO VENCIDO")</f>
        <v>0</v>
      </c>
      <c r="C1681" s="20">
        <f>+VLOOKUP(PROVEEDORES[[#This Row],[PROVEEDOR]],TERCEROS_INFO[#All],2,FALSE)</f>
        <v>60</v>
      </c>
      <c r="D1681" s="25">
        <f>+SUMIFS(PROVEEDORES[Total],PROVEEDORES[PROVEEDOR],PROVEEDORES[[#This Row],[PROVEEDOR]],PROVEEDORES[FECHA DE PAGO],"")</f>
        <v>395600</v>
      </c>
      <c r="E1681" s="25"/>
      <c r="F168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1" s="68">
        <v>45124</v>
      </c>
      <c r="H1681" s="26" t="s">
        <v>287</v>
      </c>
      <c r="I1681" s="69">
        <v>45076</v>
      </c>
      <c r="J1681" s="35">
        <v>1687</v>
      </c>
      <c r="K1681" s="21">
        <v>180000</v>
      </c>
      <c r="L1681" s="21"/>
      <c r="M1681" s="22">
        <f>(PROVEEDORES[[#This Row],[SUBTOTAL]]-PROVEEDORES[[#This Row],[descuento sobre subtotal]])*VLOOKUP(PROVEEDORES[[#This Row],[PROVEEDOR]],TERCEROS_INFO[#All],3,FALSE)</f>
        <v>0</v>
      </c>
      <c r="N1681" s="23"/>
      <c r="O1681" s="22">
        <f>+PROVEEDORES[[#This Row],[Descuento sobre subtotal %]]*(PROVEEDORES[[#This Row],[SUBTOTAL]]-PROVEEDORES[[#This Row],[descuento sobre subtotal]])</f>
        <v>0</v>
      </c>
      <c r="P1681" s="74">
        <f>+IF(PROVEEDORES[[#This Row],[SUBTOTAL]]&lt;PROVEEDORES[[#This Row],[base retencion]],0,PROVEEDORES[[#This Row],[retención aplicada]])</f>
        <v>0</v>
      </c>
      <c r="Q1681" s="22">
        <f>+PROVEEDORES[[#This Row],[Rete Fuente %]]*(PROVEEDORES[[#This Row],[SUBTOTAL]]-PROVEEDORES[[#This Row],[descuento sobre subtotal]])</f>
        <v>0</v>
      </c>
      <c r="R1681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1681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1" s="63">
        <f ca="1">IF(PROVEEDORES[[#This Row],[FECHA DE PAGO]]=0,TODAY()-PROVEEDORES[[#This Row],[FECHA DE FACTURACIÓN]]-PROVEEDORES[[#This Row],[PLAZO Días]],0)</f>
        <v>0</v>
      </c>
      <c r="U1681" s="104">
        <f>+VLOOKUP(PROVEEDORES[[#This Row],[PROVEEDOR]],Terceros!$A:$D,4,FALSE)</f>
        <v>0</v>
      </c>
      <c r="V1681" s="105">
        <f>+YEAR(PROVEEDORES[[#This Row],[FECHA DE FACTURACIÓN]])</f>
        <v>2023</v>
      </c>
      <c r="W1681" s="105">
        <f>+MATCH(PROVEEDORES[[#This Row],[año facturado]],Retenciones!$1:$1,0)</f>
        <v>6</v>
      </c>
      <c r="X1681" s="106">
        <f>+VLOOKUP(PROVEEDORES[[#This Row],[ID RETENCION]],Retenciones!$A$1:$O$25,PROVEEDORES[[#This Row],[indicador de columna]],FALSE)</f>
        <v>0</v>
      </c>
      <c r="Y1681" s="107">
        <f>+VLOOKUP(PROVEEDORES[[#This Row],[ID RETENCION]],Retenciones!$A$1:$O$25,2,FALSE)</f>
        <v>0</v>
      </c>
      <c r="Z1681" s="116" t="b">
        <f>OR(COUNTIF(PROVEEDORES[[#This Row],[PROVEEDOR]],"*"&amp;'Palabra no opera'!$A$2&amp;"*"))</f>
        <v>0</v>
      </c>
    </row>
    <row r="1682" spans="1:26" ht="22.35" customHeight="1" x14ac:dyDescent="0.3">
      <c r="A1682" s="316" t="str">
        <f>+IF(PROVEEDORES[[#This Row],[FECHA DE PAGO]]=PROVEEDORES[[#This Row],[FECHA DE FACTURACIÓN]],"DE CONTADO","CRÉDITO")</f>
        <v>CRÉDITO</v>
      </c>
      <c r="B1682" s="38" t="b">
        <f>+IF((PROVEEDORES[[#This Row],[FECHA DE PAGO]]-PROVEEDORES[[#This Row],[FECHA DE FACTURACIÓN]])&gt;PROVEEDORES[[#This Row],[PLAZO Días]],"PAGO VENCIDO")</f>
        <v>0</v>
      </c>
      <c r="C1682" s="20">
        <f>+VLOOKUP(PROVEEDORES[[#This Row],[PROVEEDOR]],TERCEROS_INFO[#All],2,FALSE)</f>
        <v>60</v>
      </c>
      <c r="D1682" s="25">
        <f>+SUMIFS(PROVEEDORES[Total],PROVEEDORES[PROVEEDOR],PROVEEDORES[[#This Row],[PROVEEDOR]],PROVEEDORES[FECHA DE PAGO],"")</f>
        <v>395600</v>
      </c>
      <c r="E1682" s="25"/>
      <c r="F168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2" s="68">
        <v>45124</v>
      </c>
      <c r="H1682" s="26" t="s">
        <v>287</v>
      </c>
      <c r="I1682" s="69">
        <v>45076</v>
      </c>
      <c r="J1682" s="35">
        <v>1688</v>
      </c>
      <c r="K1682" s="21">
        <v>180000</v>
      </c>
      <c r="L1682" s="21"/>
      <c r="M1682" s="22">
        <f>(PROVEEDORES[[#This Row],[SUBTOTAL]]-PROVEEDORES[[#This Row],[descuento sobre subtotal]])*VLOOKUP(PROVEEDORES[[#This Row],[PROVEEDOR]],TERCEROS_INFO[#All],3,FALSE)</f>
        <v>0</v>
      </c>
      <c r="N1682" s="23"/>
      <c r="O1682" s="22">
        <f>+PROVEEDORES[[#This Row],[Descuento sobre subtotal %]]*(PROVEEDORES[[#This Row],[SUBTOTAL]]-PROVEEDORES[[#This Row],[descuento sobre subtotal]])</f>
        <v>0</v>
      </c>
      <c r="P1682" s="74">
        <f>+IF(PROVEEDORES[[#This Row],[SUBTOTAL]]&lt;PROVEEDORES[[#This Row],[base retencion]],0,PROVEEDORES[[#This Row],[retención aplicada]])</f>
        <v>0</v>
      </c>
      <c r="Q1682" s="22">
        <f>+PROVEEDORES[[#This Row],[Rete Fuente %]]*(PROVEEDORES[[#This Row],[SUBTOTAL]]-PROVEEDORES[[#This Row],[descuento sobre subtotal]])</f>
        <v>0</v>
      </c>
      <c r="R1682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1682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2" s="63">
        <f ca="1">IF(PROVEEDORES[[#This Row],[FECHA DE PAGO]]=0,TODAY()-PROVEEDORES[[#This Row],[FECHA DE FACTURACIÓN]]-PROVEEDORES[[#This Row],[PLAZO Días]],0)</f>
        <v>0</v>
      </c>
      <c r="U1682" s="104">
        <f>+VLOOKUP(PROVEEDORES[[#This Row],[PROVEEDOR]],Terceros!$A:$D,4,FALSE)</f>
        <v>0</v>
      </c>
      <c r="V1682" s="105">
        <f>+YEAR(PROVEEDORES[[#This Row],[FECHA DE FACTURACIÓN]])</f>
        <v>2023</v>
      </c>
      <c r="W1682" s="105">
        <f>+MATCH(PROVEEDORES[[#This Row],[año facturado]],Retenciones!$1:$1,0)</f>
        <v>6</v>
      </c>
      <c r="X1682" s="106">
        <f>+VLOOKUP(PROVEEDORES[[#This Row],[ID RETENCION]],Retenciones!$A$1:$O$25,PROVEEDORES[[#This Row],[indicador de columna]],FALSE)</f>
        <v>0</v>
      </c>
      <c r="Y1682" s="107">
        <f>+VLOOKUP(PROVEEDORES[[#This Row],[ID RETENCION]],Retenciones!$A$1:$O$25,2,FALSE)</f>
        <v>0</v>
      </c>
      <c r="Z1682" s="116" t="b">
        <f>OR(COUNTIF(PROVEEDORES[[#This Row],[PROVEEDOR]],"*"&amp;'Palabra no opera'!$A$2&amp;"*"))</f>
        <v>0</v>
      </c>
    </row>
    <row r="1683" spans="1:26" ht="22.35" customHeight="1" x14ac:dyDescent="0.3">
      <c r="A1683" s="325" t="str">
        <f>+IF(PROVEEDORES[[#This Row],[FECHA DE PAGO]]=PROVEEDORES[[#This Row],[FECHA DE FACTURACIÓN]],"DE CONTADO","CRÉDITO")</f>
        <v>CRÉDITO</v>
      </c>
      <c r="B1683" s="38" t="b">
        <f>+IF((PROVEEDORES[[#This Row],[FECHA DE PAGO]]-PROVEEDORES[[#This Row],[FECHA DE FACTURACIÓN]])&gt;PROVEEDORES[[#This Row],[PLAZO Días]],"PAGO VENCIDO")</f>
        <v>0</v>
      </c>
      <c r="C1683" s="20">
        <f>+VLOOKUP(PROVEEDORES[[#This Row],[PROVEEDOR]],TERCEROS_INFO[#All],2,FALSE)</f>
        <v>60</v>
      </c>
      <c r="D1683" s="25">
        <f>+SUMIFS(PROVEEDORES[Total],PROVEEDORES[PROVEEDOR],PROVEEDORES[[#This Row],[PROVEEDOR]],PROVEEDORES[FECHA DE PAGO],"")</f>
        <v>395600</v>
      </c>
      <c r="E1683" s="25"/>
      <c r="F168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3" s="68">
        <v>45124</v>
      </c>
      <c r="H1683" s="26" t="s">
        <v>287</v>
      </c>
      <c r="I1683" s="68">
        <v>45096</v>
      </c>
      <c r="J1683" s="35">
        <v>1698</v>
      </c>
      <c r="K1683" s="21">
        <v>174000</v>
      </c>
      <c r="L1683" s="21"/>
      <c r="M1683" s="22">
        <f>(PROVEEDORES[[#This Row],[SUBTOTAL]]-PROVEEDORES[[#This Row],[descuento sobre subtotal]])*VLOOKUP(PROVEEDORES[[#This Row],[PROVEEDOR]],TERCEROS_INFO[#All],3,FALSE)</f>
        <v>0</v>
      </c>
      <c r="N1683" s="23"/>
      <c r="O1683" s="22">
        <f>+PROVEEDORES[[#This Row],[Descuento sobre subtotal %]]*(PROVEEDORES[[#This Row],[SUBTOTAL]]-PROVEEDORES[[#This Row],[descuento sobre subtotal]])</f>
        <v>0</v>
      </c>
      <c r="P1683" s="74">
        <f>+IF(PROVEEDORES[[#This Row],[SUBTOTAL]]&lt;PROVEEDORES[[#This Row],[base retencion]],0,PROVEEDORES[[#This Row],[retención aplicada]])</f>
        <v>0</v>
      </c>
      <c r="Q1683" s="22">
        <f>+PROVEEDORES[[#This Row],[Rete Fuente %]]*(PROVEEDORES[[#This Row],[SUBTOTAL]]-PROVEEDORES[[#This Row],[descuento sobre subtotal]])</f>
        <v>0</v>
      </c>
      <c r="R1683" s="21">
        <f>+PROVEEDORES[[#This Row],[SUBTOTAL]]+PROVEEDORES[[#This Row],[IVA 19%]]-PROVEEDORES[[#This Row],[descuento sobre subtotal]]-PROVEEDORES[[#This Row],[Descuento sobre subtotal $2]]-PROVEEDORES[[#This Row],[Rete Fuente $]]</f>
        <v>174000</v>
      </c>
      <c r="S1683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3" s="63">
        <f ca="1">IF(PROVEEDORES[[#This Row],[FECHA DE PAGO]]=0,TODAY()-PROVEEDORES[[#This Row],[FECHA DE FACTURACIÓN]]-PROVEEDORES[[#This Row],[PLAZO Días]],0)</f>
        <v>0</v>
      </c>
      <c r="U1683" s="104">
        <f>+VLOOKUP(PROVEEDORES[[#This Row],[PROVEEDOR]],Terceros!$A:$D,4,FALSE)</f>
        <v>0</v>
      </c>
      <c r="V1683" s="105">
        <f>+YEAR(PROVEEDORES[[#This Row],[FECHA DE FACTURACIÓN]])</f>
        <v>2023</v>
      </c>
      <c r="W1683" s="105">
        <f>+MATCH(PROVEEDORES[[#This Row],[año facturado]],Retenciones!$1:$1,0)</f>
        <v>6</v>
      </c>
      <c r="X1683" s="106">
        <f>+VLOOKUP(PROVEEDORES[[#This Row],[ID RETENCION]],Retenciones!$A$1:$O$25,PROVEEDORES[[#This Row],[indicador de columna]],FALSE)</f>
        <v>0</v>
      </c>
      <c r="Y1683" s="107">
        <f>+VLOOKUP(PROVEEDORES[[#This Row],[ID RETENCION]],Retenciones!$A$1:$O$25,2,FALSE)</f>
        <v>0</v>
      </c>
      <c r="Z1683" s="116" t="b">
        <f>OR(COUNTIF(PROVEEDORES[[#This Row],[PROVEEDOR]],"*"&amp;'Palabra no opera'!$A$2&amp;"*"))</f>
        <v>0</v>
      </c>
    </row>
    <row r="1684" spans="1:26" ht="22.35" customHeight="1" x14ac:dyDescent="0.3">
      <c r="A1684" s="325" t="str">
        <f>+IF(PROVEEDORES[[#This Row],[FECHA DE PAGO]]=PROVEEDORES[[#This Row],[FECHA DE FACTURACIÓN]],"DE CONTADO","CRÉDITO")</f>
        <v>CRÉDITO</v>
      </c>
      <c r="B1684" s="38" t="b">
        <f>+IF((PROVEEDORES[[#This Row],[FECHA DE PAGO]]-PROVEEDORES[[#This Row],[FECHA DE FACTURACIÓN]])&gt;PROVEEDORES[[#This Row],[PLAZO Días]],"PAGO VENCIDO")</f>
        <v>0</v>
      </c>
      <c r="C1684" s="20">
        <f>+VLOOKUP(PROVEEDORES[[#This Row],[PROVEEDOR]],TERCEROS_INFO[#All],2,FALSE)</f>
        <v>60</v>
      </c>
      <c r="D1684" s="25">
        <f>+SUMIFS(PROVEEDORES[Total],PROVEEDORES[PROVEEDOR],PROVEEDORES[[#This Row],[PROVEEDOR]],PROVEEDORES[FECHA DE PAGO],"")</f>
        <v>395600</v>
      </c>
      <c r="E1684" s="25"/>
      <c r="F168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4" s="68">
        <v>45124</v>
      </c>
      <c r="H1684" s="26" t="s">
        <v>287</v>
      </c>
      <c r="I1684" s="68">
        <v>45096</v>
      </c>
      <c r="J1684" s="35">
        <v>1699</v>
      </c>
      <c r="K1684" s="21">
        <v>174000</v>
      </c>
      <c r="L1684" s="21"/>
      <c r="M1684" s="22">
        <f>(PROVEEDORES[[#This Row],[SUBTOTAL]]-PROVEEDORES[[#This Row],[descuento sobre subtotal]])*VLOOKUP(PROVEEDORES[[#This Row],[PROVEEDOR]],TERCEROS_INFO[#All],3,FALSE)</f>
        <v>0</v>
      </c>
      <c r="N1684" s="23"/>
      <c r="O1684" s="22">
        <f>+PROVEEDORES[[#This Row],[Descuento sobre subtotal %]]*(PROVEEDORES[[#This Row],[SUBTOTAL]]-PROVEEDORES[[#This Row],[descuento sobre subtotal]])</f>
        <v>0</v>
      </c>
      <c r="P1684" s="74">
        <f>+IF(PROVEEDORES[[#This Row],[SUBTOTAL]]&lt;PROVEEDORES[[#This Row],[base retencion]],0,PROVEEDORES[[#This Row],[retención aplicada]])</f>
        <v>0</v>
      </c>
      <c r="Q1684" s="22">
        <f>+PROVEEDORES[[#This Row],[Rete Fuente %]]*(PROVEEDORES[[#This Row],[SUBTOTAL]]-PROVEEDORES[[#This Row],[descuento sobre subtotal]])</f>
        <v>0</v>
      </c>
      <c r="R1684" s="21">
        <f>+PROVEEDORES[[#This Row],[SUBTOTAL]]+PROVEEDORES[[#This Row],[IVA 19%]]-PROVEEDORES[[#This Row],[descuento sobre subtotal]]-PROVEEDORES[[#This Row],[Descuento sobre subtotal $2]]-PROVEEDORES[[#This Row],[Rete Fuente $]]</f>
        <v>174000</v>
      </c>
      <c r="S1684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4" s="63">
        <f ca="1">IF(PROVEEDORES[[#This Row],[FECHA DE PAGO]]=0,TODAY()-PROVEEDORES[[#This Row],[FECHA DE FACTURACIÓN]]-PROVEEDORES[[#This Row],[PLAZO Días]],0)</f>
        <v>0</v>
      </c>
      <c r="U1684" s="104">
        <f>+VLOOKUP(PROVEEDORES[[#This Row],[PROVEEDOR]],Terceros!$A:$D,4,FALSE)</f>
        <v>0</v>
      </c>
      <c r="V1684" s="105">
        <f>+YEAR(PROVEEDORES[[#This Row],[FECHA DE FACTURACIÓN]])</f>
        <v>2023</v>
      </c>
      <c r="W1684" s="105">
        <f>+MATCH(PROVEEDORES[[#This Row],[año facturado]],Retenciones!$1:$1,0)</f>
        <v>6</v>
      </c>
      <c r="X1684" s="106">
        <f>+VLOOKUP(PROVEEDORES[[#This Row],[ID RETENCION]],Retenciones!$A$1:$O$25,PROVEEDORES[[#This Row],[indicador de columna]],FALSE)</f>
        <v>0</v>
      </c>
      <c r="Y1684" s="107">
        <f>+VLOOKUP(PROVEEDORES[[#This Row],[ID RETENCION]],Retenciones!$A$1:$O$25,2,FALSE)</f>
        <v>0</v>
      </c>
      <c r="Z1684" s="116" t="b">
        <f>OR(COUNTIF(PROVEEDORES[[#This Row],[PROVEEDOR]],"*"&amp;'Palabra no opera'!$A$2&amp;"*"))</f>
        <v>0</v>
      </c>
    </row>
    <row r="1685" spans="1:26" ht="22.35" customHeight="1" x14ac:dyDescent="0.3">
      <c r="A1685" s="325" t="str">
        <f>+IF(PROVEEDORES[[#This Row],[FECHA DE PAGO]]=PROVEEDORES[[#This Row],[FECHA DE FACTURACIÓN]],"DE CONTADO","CRÉDITO")</f>
        <v>CRÉDITO</v>
      </c>
      <c r="B1685" s="38" t="b">
        <f>+IF((PROVEEDORES[[#This Row],[FECHA DE PAGO]]-PROVEEDORES[[#This Row],[FECHA DE FACTURACIÓN]])&gt;PROVEEDORES[[#This Row],[PLAZO Días]],"PAGO VENCIDO")</f>
        <v>0</v>
      </c>
      <c r="C1685" s="20">
        <f>+VLOOKUP(PROVEEDORES[[#This Row],[PROVEEDOR]],TERCEROS_INFO[#All],2,FALSE)</f>
        <v>60</v>
      </c>
      <c r="D1685" s="25">
        <f>+SUMIFS(PROVEEDORES[Total],PROVEEDORES[PROVEEDOR],PROVEEDORES[[#This Row],[PROVEEDOR]],PROVEEDORES[FECHA DE PAGO],"")</f>
        <v>395600</v>
      </c>
      <c r="E1685" s="25"/>
      <c r="F168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5" s="68">
        <v>45124</v>
      </c>
      <c r="H1685" s="26" t="s">
        <v>287</v>
      </c>
      <c r="I1685" s="68">
        <v>45096</v>
      </c>
      <c r="J1685" s="35">
        <v>1700</v>
      </c>
      <c r="K1685" s="21">
        <v>191400</v>
      </c>
      <c r="L1685" s="21"/>
      <c r="M1685" s="22">
        <f>(PROVEEDORES[[#This Row],[SUBTOTAL]]-PROVEEDORES[[#This Row],[descuento sobre subtotal]])*VLOOKUP(PROVEEDORES[[#This Row],[PROVEEDOR]],TERCEROS_INFO[#All],3,FALSE)</f>
        <v>0</v>
      </c>
      <c r="N1685" s="23"/>
      <c r="O1685" s="22">
        <f>+PROVEEDORES[[#This Row],[Descuento sobre subtotal %]]*(PROVEEDORES[[#This Row],[SUBTOTAL]]-PROVEEDORES[[#This Row],[descuento sobre subtotal]])</f>
        <v>0</v>
      </c>
      <c r="P1685" s="74">
        <f>+IF(PROVEEDORES[[#This Row],[SUBTOTAL]]&lt;PROVEEDORES[[#This Row],[base retencion]],0,PROVEEDORES[[#This Row],[retención aplicada]])</f>
        <v>0</v>
      </c>
      <c r="Q1685" s="22">
        <f>+PROVEEDORES[[#This Row],[Rete Fuente %]]*(PROVEEDORES[[#This Row],[SUBTOTAL]]-PROVEEDORES[[#This Row],[descuento sobre subtotal]])</f>
        <v>0</v>
      </c>
      <c r="R1685" s="21">
        <f>+PROVEEDORES[[#This Row],[SUBTOTAL]]+PROVEEDORES[[#This Row],[IVA 19%]]-PROVEEDORES[[#This Row],[descuento sobre subtotal]]-PROVEEDORES[[#This Row],[Descuento sobre subtotal $2]]-PROVEEDORES[[#This Row],[Rete Fuente $]]</f>
        <v>191400</v>
      </c>
      <c r="S1685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5" s="63">
        <f ca="1">IF(PROVEEDORES[[#This Row],[FECHA DE PAGO]]=0,TODAY()-PROVEEDORES[[#This Row],[FECHA DE FACTURACIÓN]]-PROVEEDORES[[#This Row],[PLAZO Días]],0)</f>
        <v>0</v>
      </c>
      <c r="U1685" s="104">
        <f>+VLOOKUP(PROVEEDORES[[#This Row],[PROVEEDOR]],Terceros!$A:$D,4,FALSE)</f>
        <v>0</v>
      </c>
      <c r="V1685" s="105">
        <f>+YEAR(PROVEEDORES[[#This Row],[FECHA DE FACTURACIÓN]])</f>
        <v>2023</v>
      </c>
      <c r="W1685" s="105">
        <f>+MATCH(PROVEEDORES[[#This Row],[año facturado]],Retenciones!$1:$1,0)</f>
        <v>6</v>
      </c>
      <c r="X1685" s="106">
        <f>+VLOOKUP(PROVEEDORES[[#This Row],[ID RETENCION]],Retenciones!$A$1:$O$25,PROVEEDORES[[#This Row],[indicador de columna]],FALSE)</f>
        <v>0</v>
      </c>
      <c r="Y1685" s="107">
        <f>+VLOOKUP(PROVEEDORES[[#This Row],[ID RETENCION]],Retenciones!$A$1:$O$25,2,FALSE)</f>
        <v>0</v>
      </c>
      <c r="Z1685" s="116" t="b">
        <f>OR(COUNTIF(PROVEEDORES[[#This Row],[PROVEEDOR]],"*"&amp;'Palabra no opera'!$A$2&amp;"*"))</f>
        <v>0</v>
      </c>
    </row>
    <row r="1686" spans="1:26" ht="22.35" customHeight="1" x14ac:dyDescent="0.3">
      <c r="A1686" s="325" t="str">
        <f>+IF(PROVEEDORES[[#This Row],[FECHA DE PAGO]]=PROVEEDORES[[#This Row],[FECHA DE FACTURACIÓN]],"DE CONTADO","CRÉDITO")</f>
        <v>CRÉDITO</v>
      </c>
      <c r="B1686" s="38" t="b">
        <f>+IF((PROVEEDORES[[#This Row],[FECHA DE PAGO]]-PROVEEDORES[[#This Row],[FECHA DE FACTURACIÓN]])&gt;PROVEEDORES[[#This Row],[PLAZO Días]],"PAGO VENCIDO")</f>
        <v>0</v>
      </c>
      <c r="C1686" s="20">
        <f>+VLOOKUP(PROVEEDORES[[#This Row],[PROVEEDOR]],TERCEROS_INFO[#All],2,FALSE)</f>
        <v>60</v>
      </c>
      <c r="D1686" s="25">
        <f>+SUMIFS(PROVEEDORES[Total],PROVEEDORES[PROVEEDOR],PROVEEDORES[[#This Row],[PROVEEDOR]],PROVEEDORES[FECHA DE PAGO],"")</f>
        <v>395600</v>
      </c>
      <c r="E1686" s="25"/>
      <c r="F168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6" s="68">
        <v>45124</v>
      </c>
      <c r="H1686" s="26" t="s">
        <v>287</v>
      </c>
      <c r="I1686" s="68">
        <v>45096</v>
      </c>
      <c r="J1686" s="35">
        <v>1701</v>
      </c>
      <c r="K1686" s="21">
        <v>191400</v>
      </c>
      <c r="L1686" s="21"/>
      <c r="M1686" s="22">
        <f>(PROVEEDORES[[#This Row],[SUBTOTAL]]-PROVEEDORES[[#This Row],[descuento sobre subtotal]])*VLOOKUP(PROVEEDORES[[#This Row],[PROVEEDOR]],TERCEROS_INFO[#All],3,FALSE)</f>
        <v>0</v>
      </c>
      <c r="N1686" s="23"/>
      <c r="O1686" s="22">
        <f>+PROVEEDORES[[#This Row],[Descuento sobre subtotal %]]*(PROVEEDORES[[#This Row],[SUBTOTAL]]-PROVEEDORES[[#This Row],[descuento sobre subtotal]])</f>
        <v>0</v>
      </c>
      <c r="P1686" s="74">
        <f>+IF(PROVEEDORES[[#This Row],[SUBTOTAL]]&lt;PROVEEDORES[[#This Row],[base retencion]],0,PROVEEDORES[[#This Row],[retención aplicada]])</f>
        <v>0</v>
      </c>
      <c r="Q1686" s="22">
        <f>+PROVEEDORES[[#This Row],[Rete Fuente %]]*(PROVEEDORES[[#This Row],[SUBTOTAL]]-PROVEEDORES[[#This Row],[descuento sobre subtotal]])</f>
        <v>0</v>
      </c>
      <c r="R1686" s="21">
        <f>+PROVEEDORES[[#This Row],[SUBTOTAL]]+PROVEEDORES[[#This Row],[IVA 19%]]-PROVEEDORES[[#This Row],[descuento sobre subtotal]]-PROVEEDORES[[#This Row],[Descuento sobre subtotal $2]]-PROVEEDORES[[#This Row],[Rete Fuente $]]</f>
        <v>191400</v>
      </c>
      <c r="S1686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6" s="63">
        <f ca="1">IF(PROVEEDORES[[#This Row],[FECHA DE PAGO]]=0,TODAY()-PROVEEDORES[[#This Row],[FECHA DE FACTURACIÓN]]-PROVEEDORES[[#This Row],[PLAZO Días]],0)</f>
        <v>0</v>
      </c>
      <c r="U1686" s="104">
        <f>+VLOOKUP(PROVEEDORES[[#This Row],[PROVEEDOR]],Terceros!$A:$D,4,FALSE)</f>
        <v>0</v>
      </c>
      <c r="V1686" s="105">
        <f>+YEAR(PROVEEDORES[[#This Row],[FECHA DE FACTURACIÓN]])</f>
        <v>2023</v>
      </c>
      <c r="W1686" s="105">
        <f>+MATCH(PROVEEDORES[[#This Row],[año facturado]],Retenciones!$1:$1,0)</f>
        <v>6</v>
      </c>
      <c r="X1686" s="106">
        <f>+VLOOKUP(PROVEEDORES[[#This Row],[ID RETENCION]],Retenciones!$A$1:$O$25,PROVEEDORES[[#This Row],[indicador de columna]],FALSE)</f>
        <v>0</v>
      </c>
      <c r="Y1686" s="107">
        <f>+VLOOKUP(PROVEEDORES[[#This Row],[ID RETENCION]],Retenciones!$A$1:$O$25,2,FALSE)</f>
        <v>0</v>
      </c>
      <c r="Z1686" s="116" t="b">
        <f>OR(COUNTIF(PROVEEDORES[[#This Row],[PROVEEDOR]],"*"&amp;'Palabra no opera'!$A$2&amp;"*"))</f>
        <v>0</v>
      </c>
    </row>
    <row r="1687" spans="1:26" ht="22.35" customHeight="1" x14ac:dyDescent="0.3">
      <c r="A1687" s="325" t="str">
        <f>+IF(PROVEEDORES[[#This Row],[FECHA DE PAGO]]=PROVEEDORES[[#This Row],[FECHA DE FACTURACIÓN]],"DE CONTADO","CRÉDITO")</f>
        <v>CRÉDITO</v>
      </c>
      <c r="B1687" s="38" t="b">
        <f>+IF((PROVEEDORES[[#This Row],[FECHA DE PAGO]]-PROVEEDORES[[#This Row],[FECHA DE FACTURACIÓN]])&gt;PROVEEDORES[[#This Row],[PLAZO Días]],"PAGO VENCIDO")</f>
        <v>0</v>
      </c>
      <c r="C1687" s="20">
        <f>+VLOOKUP(PROVEEDORES[[#This Row],[PROVEEDOR]],TERCEROS_INFO[#All],2,FALSE)</f>
        <v>60</v>
      </c>
      <c r="D1687" s="25">
        <f>+SUMIFS(PROVEEDORES[Total],PROVEEDORES[PROVEEDOR],PROVEEDORES[[#This Row],[PROVEEDOR]],PROVEEDORES[FECHA DE PAGO],"")</f>
        <v>395600</v>
      </c>
      <c r="E1687" s="25"/>
      <c r="F168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7" s="68">
        <v>45124</v>
      </c>
      <c r="H1687" s="26" t="s">
        <v>287</v>
      </c>
      <c r="I1687" s="68">
        <v>45107</v>
      </c>
      <c r="J1687" s="35">
        <v>1715</v>
      </c>
      <c r="K1687" s="21">
        <v>226200</v>
      </c>
      <c r="L1687" s="21"/>
      <c r="M1687" s="22">
        <f>(PROVEEDORES[[#This Row],[SUBTOTAL]]-PROVEEDORES[[#This Row],[descuento sobre subtotal]])*VLOOKUP(PROVEEDORES[[#This Row],[PROVEEDOR]],TERCEROS_INFO[#All],3,FALSE)</f>
        <v>0</v>
      </c>
      <c r="N1687" s="23"/>
      <c r="O1687" s="22">
        <f>+PROVEEDORES[[#This Row],[Descuento sobre subtotal %]]*(PROVEEDORES[[#This Row],[SUBTOTAL]]-PROVEEDORES[[#This Row],[descuento sobre subtotal]])</f>
        <v>0</v>
      </c>
      <c r="P1687" s="74">
        <f>+IF(PROVEEDORES[[#This Row],[SUBTOTAL]]&lt;PROVEEDORES[[#This Row],[base retencion]],0,PROVEEDORES[[#This Row],[retención aplicada]])</f>
        <v>0</v>
      </c>
      <c r="Q1687" s="22">
        <f>+PROVEEDORES[[#This Row],[Rete Fuente %]]*(PROVEEDORES[[#This Row],[SUBTOTAL]]-PROVEEDORES[[#This Row],[descuento sobre subtotal]])</f>
        <v>0</v>
      </c>
      <c r="R1687" s="21">
        <f>+PROVEEDORES[[#This Row],[SUBTOTAL]]+PROVEEDORES[[#This Row],[IVA 19%]]-PROVEEDORES[[#This Row],[descuento sobre subtotal]]-PROVEEDORES[[#This Row],[Descuento sobre subtotal $2]]-PROVEEDORES[[#This Row],[Rete Fuente $]]</f>
        <v>226200</v>
      </c>
      <c r="S1687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7" s="63">
        <f ca="1">IF(PROVEEDORES[[#This Row],[FECHA DE PAGO]]=0,TODAY()-PROVEEDORES[[#This Row],[FECHA DE FACTURACIÓN]]-PROVEEDORES[[#This Row],[PLAZO Días]],0)</f>
        <v>0</v>
      </c>
      <c r="U1687" s="104">
        <f>+VLOOKUP(PROVEEDORES[[#This Row],[PROVEEDOR]],Terceros!$A:$D,4,FALSE)</f>
        <v>0</v>
      </c>
      <c r="V1687" s="105">
        <f>+YEAR(PROVEEDORES[[#This Row],[FECHA DE FACTURACIÓN]])</f>
        <v>2023</v>
      </c>
      <c r="W1687" s="105">
        <f>+MATCH(PROVEEDORES[[#This Row],[año facturado]],Retenciones!$1:$1,0)</f>
        <v>6</v>
      </c>
      <c r="X1687" s="106">
        <f>+VLOOKUP(PROVEEDORES[[#This Row],[ID RETENCION]],Retenciones!$A$1:$O$25,PROVEEDORES[[#This Row],[indicador de columna]],FALSE)</f>
        <v>0</v>
      </c>
      <c r="Y1687" s="107">
        <f>+VLOOKUP(PROVEEDORES[[#This Row],[ID RETENCION]],Retenciones!$A$1:$O$25,2,FALSE)</f>
        <v>0</v>
      </c>
      <c r="Z1687" s="116" t="b">
        <f>OR(COUNTIF(PROVEEDORES[[#This Row],[PROVEEDOR]],"*"&amp;'Palabra no opera'!$A$2&amp;"*"))</f>
        <v>0</v>
      </c>
    </row>
    <row r="1688" spans="1:26" ht="22.35" customHeight="1" x14ac:dyDescent="0.3">
      <c r="A1688" s="325" t="str">
        <f>+IF(PROVEEDORES[[#This Row],[FECHA DE PAGO]]=PROVEEDORES[[#This Row],[FECHA DE FACTURACIÓN]],"DE CONTADO","CRÉDITO")</f>
        <v>CRÉDITO</v>
      </c>
      <c r="B1688" s="38" t="b">
        <f>+IF((PROVEEDORES[[#This Row],[FECHA DE PAGO]]-PROVEEDORES[[#This Row],[FECHA DE FACTURACIÓN]])&gt;PROVEEDORES[[#This Row],[PLAZO Días]],"PAGO VENCIDO")</f>
        <v>0</v>
      </c>
      <c r="C1688" s="20">
        <f>+VLOOKUP(PROVEEDORES[[#This Row],[PROVEEDOR]],TERCEROS_INFO[#All],2,FALSE)</f>
        <v>60</v>
      </c>
      <c r="D1688" s="25">
        <f>+SUMIFS(PROVEEDORES[Total],PROVEEDORES[PROVEEDOR],PROVEEDORES[[#This Row],[PROVEEDOR]],PROVEEDORES[FECHA DE PAGO],"")</f>
        <v>395600</v>
      </c>
      <c r="E1688" s="25"/>
      <c r="F168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8" s="68">
        <v>45124</v>
      </c>
      <c r="H1688" s="26" t="s">
        <v>287</v>
      </c>
      <c r="I1688" s="68">
        <v>45107</v>
      </c>
      <c r="J1688" s="35">
        <v>1716</v>
      </c>
      <c r="K1688" s="21">
        <v>226200</v>
      </c>
      <c r="L1688" s="21"/>
      <c r="M1688" s="22">
        <f>(PROVEEDORES[[#This Row],[SUBTOTAL]]-PROVEEDORES[[#This Row],[descuento sobre subtotal]])*VLOOKUP(PROVEEDORES[[#This Row],[PROVEEDOR]],TERCEROS_INFO[#All],3,FALSE)</f>
        <v>0</v>
      </c>
      <c r="N1688" s="23"/>
      <c r="O1688" s="22">
        <f>+PROVEEDORES[[#This Row],[Descuento sobre subtotal %]]*(PROVEEDORES[[#This Row],[SUBTOTAL]]-PROVEEDORES[[#This Row],[descuento sobre subtotal]])</f>
        <v>0</v>
      </c>
      <c r="P1688" s="74">
        <f>+IF(PROVEEDORES[[#This Row],[SUBTOTAL]]&lt;PROVEEDORES[[#This Row],[base retencion]],0,PROVEEDORES[[#This Row],[retención aplicada]])</f>
        <v>0</v>
      </c>
      <c r="Q1688" s="22">
        <f>+PROVEEDORES[[#This Row],[Rete Fuente %]]*(PROVEEDORES[[#This Row],[SUBTOTAL]]-PROVEEDORES[[#This Row],[descuento sobre subtotal]])</f>
        <v>0</v>
      </c>
      <c r="R1688" s="21">
        <f>+PROVEEDORES[[#This Row],[SUBTOTAL]]+PROVEEDORES[[#This Row],[IVA 19%]]-PROVEEDORES[[#This Row],[descuento sobre subtotal]]-PROVEEDORES[[#This Row],[Descuento sobre subtotal $2]]-PROVEEDORES[[#This Row],[Rete Fuente $]]</f>
        <v>226200</v>
      </c>
      <c r="S1688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8" s="63">
        <f ca="1">IF(PROVEEDORES[[#This Row],[FECHA DE PAGO]]=0,TODAY()-PROVEEDORES[[#This Row],[FECHA DE FACTURACIÓN]]-PROVEEDORES[[#This Row],[PLAZO Días]],0)</f>
        <v>0</v>
      </c>
      <c r="U1688" s="104">
        <f>+VLOOKUP(PROVEEDORES[[#This Row],[PROVEEDOR]],Terceros!$A:$D,4,FALSE)</f>
        <v>0</v>
      </c>
      <c r="V1688" s="105">
        <f>+YEAR(PROVEEDORES[[#This Row],[FECHA DE FACTURACIÓN]])</f>
        <v>2023</v>
      </c>
      <c r="W1688" s="105">
        <f>+MATCH(PROVEEDORES[[#This Row],[año facturado]],Retenciones!$1:$1,0)</f>
        <v>6</v>
      </c>
      <c r="X1688" s="106">
        <f>+VLOOKUP(PROVEEDORES[[#This Row],[ID RETENCION]],Retenciones!$A$1:$O$25,PROVEEDORES[[#This Row],[indicador de columna]],FALSE)</f>
        <v>0</v>
      </c>
      <c r="Y1688" s="107">
        <f>+VLOOKUP(PROVEEDORES[[#This Row],[ID RETENCION]],Retenciones!$A$1:$O$25,2,FALSE)</f>
        <v>0</v>
      </c>
      <c r="Z1688" s="116" t="b">
        <f>OR(COUNTIF(PROVEEDORES[[#This Row],[PROVEEDOR]],"*"&amp;'Palabra no opera'!$A$2&amp;"*"))</f>
        <v>0</v>
      </c>
    </row>
    <row r="1689" spans="1:26" ht="22.35" customHeight="1" x14ac:dyDescent="0.3">
      <c r="A1689" s="325" t="str">
        <f>+IF(PROVEEDORES[[#This Row],[FECHA DE PAGO]]=PROVEEDORES[[#This Row],[FECHA DE FACTURACIÓN]],"DE CONTADO","CRÉDITO")</f>
        <v>CRÉDITO</v>
      </c>
      <c r="B1689" s="38" t="b">
        <f>+IF((PROVEEDORES[[#This Row],[FECHA DE PAGO]]-PROVEEDORES[[#This Row],[FECHA DE FACTURACIÓN]])&gt;PROVEEDORES[[#This Row],[PLAZO Días]],"PAGO VENCIDO")</f>
        <v>0</v>
      </c>
      <c r="C1689" s="20">
        <f>+VLOOKUP(PROVEEDORES[[#This Row],[PROVEEDOR]],TERCEROS_INFO[#All],2,FALSE)</f>
        <v>45</v>
      </c>
      <c r="D1689" s="25">
        <f>+SUMIFS(PROVEEDORES[Total],PROVEEDORES[PROVEEDOR],PROVEEDORES[[#This Row],[PROVEEDOR]],PROVEEDORES[FECHA DE PAGO],"")</f>
        <v>3074500</v>
      </c>
      <c r="E1689" s="25"/>
      <c r="F168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89" s="68">
        <v>45124</v>
      </c>
      <c r="H1689" s="26" t="s">
        <v>289</v>
      </c>
      <c r="I1689" s="68">
        <v>45100</v>
      </c>
      <c r="J1689" s="35">
        <v>1706</v>
      </c>
      <c r="K1689" s="21">
        <v>2781390</v>
      </c>
      <c r="L1689" s="21"/>
      <c r="M1689" s="22">
        <f>(PROVEEDORES[[#This Row],[SUBTOTAL]]-PROVEEDORES[[#This Row],[descuento sobre subtotal]])*VLOOKUP(PROVEEDORES[[#This Row],[PROVEEDOR]],TERCEROS_INFO[#All],3,FALSE)</f>
        <v>0</v>
      </c>
      <c r="N1689" s="23"/>
      <c r="O1689" s="22">
        <f>+PROVEEDORES[[#This Row],[Descuento sobre subtotal %]]*(PROVEEDORES[[#This Row],[SUBTOTAL]]-PROVEEDORES[[#This Row],[descuento sobre subtotal]])</f>
        <v>0</v>
      </c>
      <c r="P1689" s="74">
        <f>+IF(PROVEEDORES[[#This Row],[SUBTOTAL]]&lt;PROVEEDORES[[#This Row],[base retencion]],0,PROVEEDORES[[#This Row],[retención aplicada]])</f>
        <v>0</v>
      </c>
      <c r="Q1689" s="22">
        <f>+PROVEEDORES[[#This Row],[Rete Fuente %]]*(PROVEEDORES[[#This Row],[SUBTOTAL]]-PROVEEDORES[[#This Row],[descuento sobre subtotal]])</f>
        <v>0</v>
      </c>
      <c r="R1689" s="21">
        <f>+PROVEEDORES[[#This Row],[SUBTOTAL]]+PROVEEDORES[[#This Row],[IVA 19%]]-PROVEEDORES[[#This Row],[descuento sobre subtotal]]-PROVEEDORES[[#This Row],[Descuento sobre subtotal $2]]-PROVEEDORES[[#This Row],[Rete Fuente $]]</f>
        <v>2781390</v>
      </c>
      <c r="S1689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9" s="63">
        <f ca="1">IF(PROVEEDORES[[#This Row],[FECHA DE PAGO]]=0,TODAY()-PROVEEDORES[[#This Row],[FECHA DE FACTURACIÓN]]-PROVEEDORES[[#This Row],[PLAZO Días]],0)</f>
        <v>0</v>
      </c>
      <c r="U1689" s="104">
        <f>+VLOOKUP(PROVEEDORES[[#This Row],[PROVEEDOR]],Terceros!$A:$D,4,FALSE)</f>
        <v>0</v>
      </c>
      <c r="V1689" s="105">
        <f>+YEAR(PROVEEDORES[[#This Row],[FECHA DE FACTURACIÓN]])</f>
        <v>2023</v>
      </c>
      <c r="W1689" s="105">
        <f>+MATCH(PROVEEDORES[[#This Row],[año facturado]],Retenciones!$1:$1,0)</f>
        <v>6</v>
      </c>
      <c r="X1689" s="106">
        <f>+VLOOKUP(PROVEEDORES[[#This Row],[ID RETENCION]],Retenciones!$A$1:$O$25,PROVEEDORES[[#This Row],[indicador de columna]],FALSE)</f>
        <v>0</v>
      </c>
      <c r="Y1689" s="107">
        <f>+VLOOKUP(PROVEEDORES[[#This Row],[ID RETENCION]],Retenciones!$A$1:$O$25,2,FALSE)</f>
        <v>0</v>
      </c>
      <c r="Z1689" s="116" t="b">
        <f>OR(COUNTIF(PROVEEDORES[[#This Row],[PROVEEDOR]],"*"&amp;'Palabra no opera'!$A$2&amp;"*"))</f>
        <v>0</v>
      </c>
    </row>
    <row r="1690" spans="1:26" ht="22.35" customHeight="1" x14ac:dyDescent="0.3">
      <c r="A1690" s="316" t="str">
        <f>+IF(PROVEEDORES[[#This Row],[FECHA DE PAGO]]=PROVEEDORES[[#This Row],[FECHA DE FACTURACIÓN]],"DE CONTADO","CRÉDITO")</f>
        <v>CRÉDITO</v>
      </c>
      <c r="B1690" s="38" t="str">
        <f>+IF((PROVEEDORES[[#This Row],[FECHA DE PAGO]]-PROVEEDORES[[#This Row],[FECHA DE FACTURACIÓN]])&gt;PROVEEDORES[[#This Row],[PLAZO Días]],"PAGO VENCIDO")</f>
        <v>PAGO VENCIDO</v>
      </c>
      <c r="C1690" s="20">
        <f>+VLOOKUP(PROVEEDORES[[#This Row],[PROVEEDOR]],TERCEROS_INFO[#All],2,FALSE)</f>
        <v>30</v>
      </c>
      <c r="D1690" s="25">
        <f>+SUMIFS(PROVEEDORES[Total],PROVEEDORES[PROVEEDOR],PROVEEDORES[[#This Row],[PROVEEDOR]],PROVEEDORES[FECHA DE PAGO],"")</f>
        <v>380979.69</v>
      </c>
      <c r="E1690" s="25"/>
      <c r="F169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90" s="68">
        <v>45124</v>
      </c>
      <c r="H1690" s="26" t="s">
        <v>615</v>
      </c>
      <c r="I1690" s="68">
        <v>45069</v>
      </c>
      <c r="J1690" s="35" t="s">
        <v>1710</v>
      </c>
      <c r="K1690" s="21">
        <v>3548068</v>
      </c>
      <c r="L1690" s="21"/>
      <c r="M1690" s="22">
        <f>(PROVEEDORES[[#This Row],[SUBTOTAL]]-PROVEEDORES[[#This Row],[descuento sobre subtotal]])*VLOOKUP(PROVEEDORES[[#This Row],[PROVEEDOR]],TERCEROS_INFO[#All],3,FALSE)</f>
        <v>674132.92</v>
      </c>
      <c r="N1690" s="23"/>
      <c r="O1690" s="22">
        <f>+PROVEEDORES[[#This Row],[Descuento sobre subtotal %]]*(PROVEEDORES[[#This Row],[SUBTOTAL]]-PROVEEDORES[[#This Row],[descuento sobre subtotal]])</f>
        <v>0</v>
      </c>
      <c r="P1690" s="74">
        <f>+IF(PROVEEDORES[[#This Row],[SUBTOTAL]]&lt;PROVEEDORES[[#This Row],[base retencion]],0,PROVEEDORES[[#This Row],[retención aplicada]])</f>
        <v>0</v>
      </c>
      <c r="Q1690" s="22">
        <f>+PROVEEDORES[[#This Row],[Rete Fuente %]]*(PROVEEDORES[[#This Row],[SUBTOTAL]]-PROVEEDORES[[#This Row],[descuento sobre subtotal]])</f>
        <v>0</v>
      </c>
      <c r="R1690" s="21">
        <f>+PROVEEDORES[[#This Row],[SUBTOTAL]]+PROVEEDORES[[#This Row],[IVA 19%]]-PROVEEDORES[[#This Row],[descuento sobre subtotal]]-PROVEEDORES[[#This Row],[Descuento sobre subtotal $2]]-PROVEEDORES[[#This Row],[Rete Fuente $]]</f>
        <v>4222200.92</v>
      </c>
      <c r="S1690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0" s="63">
        <f ca="1">IF(PROVEEDORES[[#This Row],[FECHA DE PAGO]]=0,TODAY()-PROVEEDORES[[#This Row],[FECHA DE FACTURACIÓN]]-PROVEEDORES[[#This Row],[PLAZO Días]],0)</f>
        <v>0</v>
      </c>
      <c r="U1690" s="104">
        <f>+VLOOKUP(PROVEEDORES[[#This Row],[PROVEEDOR]],Terceros!$A:$D,4,FALSE)</f>
        <v>0</v>
      </c>
      <c r="V1690" s="105">
        <f>+YEAR(PROVEEDORES[[#This Row],[FECHA DE FACTURACIÓN]])</f>
        <v>2023</v>
      </c>
      <c r="W1690" s="105">
        <f>+MATCH(PROVEEDORES[[#This Row],[año facturado]],Retenciones!$1:$1,0)</f>
        <v>6</v>
      </c>
      <c r="X1690" s="106">
        <f>+VLOOKUP(PROVEEDORES[[#This Row],[ID RETENCION]],Retenciones!$A$1:$O$25,PROVEEDORES[[#This Row],[indicador de columna]],FALSE)</f>
        <v>0</v>
      </c>
      <c r="Y1690" s="107">
        <f>+VLOOKUP(PROVEEDORES[[#This Row],[ID RETENCION]],Retenciones!$A$1:$O$25,2,FALSE)</f>
        <v>0</v>
      </c>
      <c r="Z1690" s="116" t="b">
        <f>OR(COUNTIF(PROVEEDORES[[#This Row],[PROVEEDOR]],"*"&amp;'Palabra no opera'!$A$2&amp;"*"))</f>
        <v>1</v>
      </c>
    </row>
    <row r="1691" spans="1:26" ht="22.35" customHeight="1" x14ac:dyDescent="0.3">
      <c r="A1691" s="316" t="str">
        <f>+IF(PROVEEDORES[[#This Row],[FECHA DE PAGO]]=PROVEEDORES[[#This Row],[FECHA DE FACTURACIÓN]],"DE CONTADO","CRÉDITO")</f>
        <v>CRÉDITO</v>
      </c>
      <c r="B1691" s="38" t="str">
        <f>+IF((PROVEEDORES[[#This Row],[FECHA DE PAGO]]-PROVEEDORES[[#This Row],[FECHA DE FACTURACIÓN]])&gt;PROVEEDORES[[#This Row],[PLAZO Días]],"PAGO VENCIDO")</f>
        <v>PAGO VENCIDO</v>
      </c>
      <c r="C1691" s="20">
        <f>+VLOOKUP(PROVEEDORES[[#This Row],[PROVEEDOR]],TERCEROS_INFO[#All],2,FALSE)</f>
        <v>30</v>
      </c>
      <c r="D1691" s="25">
        <f>+SUMIFS(PROVEEDORES[Total],PROVEEDORES[PROVEEDOR],PROVEEDORES[[#This Row],[PROVEEDOR]],PROVEEDORES[FECHA DE PAGO],"")</f>
        <v>380979.69</v>
      </c>
      <c r="E1691" s="25"/>
      <c r="F169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91" s="68">
        <v>45124</v>
      </c>
      <c r="H1691" s="26" t="s">
        <v>615</v>
      </c>
      <c r="I1691" s="68">
        <v>45069</v>
      </c>
      <c r="J1691" s="35" t="s">
        <v>1711</v>
      </c>
      <c r="K1691" s="21">
        <v>3548068</v>
      </c>
      <c r="L1691" s="21"/>
      <c r="M1691" s="22">
        <f>(PROVEEDORES[[#This Row],[SUBTOTAL]]-PROVEEDORES[[#This Row],[descuento sobre subtotal]])*VLOOKUP(PROVEEDORES[[#This Row],[PROVEEDOR]],TERCEROS_INFO[#All],3,FALSE)</f>
        <v>674132.92</v>
      </c>
      <c r="N1691" s="23"/>
      <c r="O1691" s="22">
        <f>+PROVEEDORES[[#This Row],[Descuento sobre subtotal %]]*(PROVEEDORES[[#This Row],[SUBTOTAL]]-PROVEEDORES[[#This Row],[descuento sobre subtotal]])</f>
        <v>0</v>
      </c>
      <c r="P1691" s="74">
        <f>+IF(PROVEEDORES[[#This Row],[SUBTOTAL]]&lt;PROVEEDORES[[#This Row],[base retencion]],0,PROVEEDORES[[#This Row],[retención aplicada]])</f>
        <v>0</v>
      </c>
      <c r="Q1691" s="22">
        <f>+PROVEEDORES[[#This Row],[Rete Fuente %]]*(PROVEEDORES[[#This Row],[SUBTOTAL]]-PROVEEDORES[[#This Row],[descuento sobre subtotal]])</f>
        <v>0</v>
      </c>
      <c r="R1691" s="21">
        <f>+PROVEEDORES[[#This Row],[SUBTOTAL]]+PROVEEDORES[[#This Row],[IVA 19%]]-PROVEEDORES[[#This Row],[descuento sobre subtotal]]-PROVEEDORES[[#This Row],[Descuento sobre subtotal $2]]-PROVEEDORES[[#This Row],[Rete Fuente $]]</f>
        <v>4222200.92</v>
      </c>
      <c r="S1691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1" s="63">
        <f ca="1">IF(PROVEEDORES[[#This Row],[FECHA DE PAGO]]=0,TODAY()-PROVEEDORES[[#This Row],[FECHA DE FACTURACIÓN]]-PROVEEDORES[[#This Row],[PLAZO Días]],0)</f>
        <v>0</v>
      </c>
      <c r="U1691" s="104">
        <f>+VLOOKUP(PROVEEDORES[[#This Row],[PROVEEDOR]],Terceros!$A:$D,4,FALSE)</f>
        <v>0</v>
      </c>
      <c r="V1691" s="105">
        <f>+YEAR(PROVEEDORES[[#This Row],[FECHA DE FACTURACIÓN]])</f>
        <v>2023</v>
      </c>
      <c r="W1691" s="105">
        <f>+MATCH(PROVEEDORES[[#This Row],[año facturado]],Retenciones!$1:$1,0)</f>
        <v>6</v>
      </c>
      <c r="X1691" s="106">
        <f>+VLOOKUP(PROVEEDORES[[#This Row],[ID RETENCION]],Retenciones!$A$1:$O$25,PROVEEDORES[[#This Row],[indicador de columna]],FALSE)</f>
        <v>0</v>
      </c>
      <c r="Y1691" s="107">
        <f>+VLOOKUP(PROVEEDORES[[#This Row],[ID RETENCION]],Retenciones!$A$1:$O$25,2,FALSE)</f>
        <v>0</v>
      </c>
      <c r="Z1691" s="116" t="b">
        <f>OR(COUNTIF(PROVEEDORES[[#This Row],[PROVEEDOR]],"*"&amp;'Palabra no opera'!$A$2&amp;"*"))</f>
        <v>1</v>
      </c>
    </row>
    <row r="1692" spans="1:26" ht="22.35" customHeight="1" x14ac:dyDescent="0.3">
      <c r="A1692" s="67" t="str">
        <f>+IF(PROVEEDORES[[#This Row],[FECHA DE PAGO]]=PROVEEDORES[[#This Row],[FECHA DE FACTURACIÓN]],"DE CONTADO","CRÉDITO")</f>
        <v>CRÉDITO</v>
      </c>
      <c r="B1692" s="38" t="str">
        <f>+IF((PROVEEDORES[[#This Row],[FECHA DE PAGO]]-PROVEEDORES[[#This Row],[FECHA DE FACTURACIÓN]])&gt;PROVEEDORES[[#This Row],[PLAZO Días]],"PAGO VENCIDO")</f>
        <v>PAGO VENCIDO</v>
      </c>
      <c r="C1692" s="20">
        <f>+VLOOKUP(PROVEEDORES[[#This Row],[PROVEEDOR]],TERCEROS_INFO[#All],2,FALSE)</f>
        <v>30</v>
      </c>
      <c r="D1692" s="25">
        <f>+SUMIFS(PROVEEDORES[Total],PROVEEDORES[PROVEEDOR],PROVEEDORES[[#This Row],[PROVEEDOR]],PROVEEDORES[FECHA DE PAGO],"")</f>
        <v>0</v>
      </c>
      <c r="E1692" s="25"/>
      <c r="F1692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92" s="68">
        <v>45124</v>
      </c>
      <c r="H1692" s="26" t="s">
        <v>964</v>
      </c>
      <c r="I1692" s="68">
        <v>45078</v>
      </c>
      <c r="J1692" s="35" t="s">
        <v>1730</v>
      </c>
      <c r="K1692" s="21">
        <v>4512000</v>
      </c>
      <c r="L1692" s="21"/>
      <c r="M1692" s="22">
        <f>(PROVEEDORES[[#This Row],[SUBTOTAL]]-PROVEEDORES[[#This Row],[descuento sobre subtotal]])*VLOOKUP(PROVEEDORES[[#This Row],[PROVEEDOR]],TERCEROS_INFO[#All],3,FALSE)</f>
        <v>857280</v>
      </c>
      <c r="N1692" s="23"/>
      <c r="O1692" s="22">
        <f>+PROVEEDORES[[#This Row],[Descuento sobre subtotal %]]*(PROVEEDORES[[#This Row],[SUBTOTAL]]-PROVEEDORES[[#This Row],[descuento sobre subtotal]])</f>
        <v>0</v>
      </c>
      <c r="P1692" s="74">
        <f>+IF(PROVEEDORES[[#This Row],[SUBTOTAL]]&lt;PROVEEDORES[[#This Row],[base retencion]],0,PROVEEDORES[[#This Row],[retención aplicada]])</f>
        <v>0</v>
      </c>
      <c r="Q1692" s="22">
        <f>+PROVEEDORES[[#This Row],[Rete Fuente %]]*(PROVEEDORES[[#This Row],[SUBTOTAL]]-PROVEEDORES[[#This Row],[descuento sobre subtotal]])</f>
        <v>0</v>
      </c>
      <c r="R1692" s="21">
        <f>+PROVEEDORES[[#This Row],[SUBTOTAL]]+PROVEEDORES[[#This Row],[IVA 19%]]-PROVEEDORES[[#This Row],[descuento sobre subtotal]]-PROVEEDORES[[#This Row],[Descuento sobre subtotal $2]]-PROVEEDORES[[#This Row],[Rete Fuente $]]</f>
        <v>5369280</v>
      </c>
      <c r="S169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2" s="63">
        <f ca="1">IF(PROVEEDORES[[#This Row],[FECHA DE PAGO]]=0,TODAY()-PROVEEDORES[[#This Row],[FECHA DE FACTURACIÓN]]-PROVEEDORES[[#This Row],[PLAZO Días]],0)</f>
        <v>0</v>
      </c>
      <c r="U1692" s="104">
        <f>+VLOOKUP(PROVEEDORES[[#This Row],[PROVEEDOR]],Terceros!$A:$D,4,FALSE)</f>
        <v>0</v>
      </c>
      <c r="V1692" s="105">
        <f>+YEAR(PROVEEDORES[[#This Row],[FECHA DE FACTURACIÓN]])</f>
        <v>2023</v>
      </c>
      <c r="W1692" s="105">
        <f>+MATCH(PROVEEDORES[[#This Row],[año facturado]],Retenciones!$1:$1,0)</f>
        <v>6</v>
      </c>
      <c r="X1692" s="106">
        <f>+VLOOKUP(PROVEEDORES[[#This Row],[ID RETENCION]],Retenciones!$A$1:$O$25,PROVEEDORES[[#This Row],[indicador de columna]],FALSE)</f>
        <v>0</v>
      </c>
      <c r="Y1692" s="107">
        <f>+VLOOKUP(PROVEEDORES[[#This Row],[ID RETENCION]],Retenciones!$A$1:$O$25,2,FALSE)</f>
        <v>0</v>
      </c>
      <c r="Z1692" s="116" t="b">
        <f>OR(COUNTIF(PROVEEDORES[[#This Row],[PROVEEDOR]],"*"&amp;'Palabra no opera'!$A$2&amp;"*"))</f>
        <v>0</v>
      </c>
    </row>
    <row r="1693" spans="1:26" ht="22.35" customHeight="1" x14ac:dyDescent="0.3">
      <c r="A1693" s="325" t="str">
        <f>+IF(PROVEEDORES[[#This Row],[FECHA DE PAGO]]=PROVEEDORES[[#This Row],[FECHA DE FACTURACIÓN]],"DE CONTADO","CRÉDITO")</f>
        <v>CRÉDITO</v>
      </c>
      <c r="B1693" s="38" t="str">
        <f>+IF((PROVEEDORES[[#This Row],[FECHA DE PAGO]]-PROVEEDORES[[#This Row],[FECHA DE FACTURACIÓN]])&gt;PROVEEDORES[[#This Row],[PLAZO Días]],"PAGO VENCIDO")</f>
        <v>PAGO VENCIDO</v>
      </c>
      <c r="C1693" s="20">
        <f>+VLOOKUP(PROVEEDORES[[#This Row],[PROVEEDOR]],TERCEROS_INFO[#All],2,FALSE)</f>
        <v>30</v>
      </c>
      <c r="D1693" s="25">
        <f>+SUMIFS(PROVEEDORES[Total],PROVEEDORES[PROVEEDOR],PROVEEDORES[[#This Row],[PROVEEDOR]],PROVEEDORES[FECHA DE PAGO],"")</f>
        <v>0</v>
      </c>
      <c r="E1693" s="25"/>
      <c r="F1693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93" s="68">
        <v>45124</v>
      </c>
      <c r="H1693" s="26" t="s">
        <v>964</v>
      </c>
      <c r="I1693" s="68">
        <v>45086</v>
      </c>
      <c r="J1693" s="35" t="s">
        <v>1754</v>
      </c>
      <c r="K1693" s="21">
        <v>7056000</v>
      </c>
      <c r="L1693" s="21"/>
      <c r="M1693" s="22">
        <f>(PROVEEDORES[[#This Row],[SUBTOTAL]]-PROVEEDORES[[#This Row],[descuento sobre subtotal]])*VLOOKUP(PROVEEDORES[[#This Row],[PROVEEDOR]],TERCEROS_INFO[#All],3,FALSE)</f>
        <v>1340640</v>
      </c>
      <c r="N1693" s="23"/>
      <c r="O1693" s="22">
        <f>+PROVEEDORES[[#This Row],[Descuento sobre subtotal %]]*(PROVEEDORES[[#This Row],[SUBTOTAL]]-PROVEEDORES[[#This Row],[descuento sobre subtotal]])</f>
        <v>0</v>
      </c>
      <c r="P1693" s="74">
        <f>+IF(PROVEEDORES[[#This Row],[SUBTOTAL]]&lt;PROVEEDORES[[#This Row],[base retencion]],0,PROVEEDORES[[#This Row],[retención aplicada]])</f>
        <v>0</v>
      </c>
      <c r="Q1693" s="22">
        <f>+PROVEEDORES[[#This Row],[Rete Fuente %]]*(PROVEEDORES[[#This Row],[SUBTOTAL]]-PROVEEDORES[[#This Row],[descuento sobre subtotal]])</f>
        <v>0</v>
      </c>
      <c r="R1693" s="21">
        <f>+PROVEEDORES[[#This Row],[SUBTOTAL]]+PROVEEDORES[[#This Row],[IVA 19%]]-PROVEEDORES[[#This Row],[descuento sobre subtotal]]-PROVEEDORES[[#This Row],[Descuento sobre subtotal $2]]-PROVEEDORES[[#This Row],[Rete Fuente $]]</f>
        <v>8396640</v>
      </c>
      <c r="S1693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3" s="63">
        <f ca="1">IF(PROVEEDORES[[#This Row],[FECHA DE PAGO]]=0,TODAY()-PROVEEDORES[[#This Row],[FECHA DE FACTURACIÓN]]-PROVEEDORES[[#This Row],[PLAZO Días]],0)</f>
        <v>0</v>
      </c>
      <c r="U1693" s="104">
        <f>+VLOOKUP(PROVEEDORES[[#This Row],[PROVEEDOR]],Terceros!$A:$D,4,FALSE)</f>
        <v>0</v>
      </c>
      <c r="V1693" s="105">
        <f>+YEAR(PROVEEDORES[[#This Row],[FECHA DE FACTURACIÓN]])</f>
        <v>2023</v>
      </c>
      <c r="W1693" s="105">
        <f>+MATCH(PROVEEDORES[[#This Row],[año facturado]],Retenciones!$1:$1,0)</f>
        <v>6</v>
      </c>
      <c r="X1693" s="106">
        <f>+VLOOKUP(PROVEEDORES[[#This Row],[ID RETENCION]],Retenciones!$A$1:$O$25,PROVEEDORES[[#This Row],[indicador de columna]],FALSE)</f>
        <v>0</v>
      </c>
      <c r="Y1693" s="107">
        <f>+VLOOKUP(PROVEEDORES[[#This Row],[ID RETENCION]],Retenciones!$A$1:$O$25,2,FALSE)</f>
        <v>0</v>
      </c>
      <c r="Z1693" s="116" t="b">
        <f>OR(COUNTIF(PROVEEDORES[[#This Row],[PROVEEDOR]],"*"&amp;'Palabra no opera'!$A$2&amp;"*"))</f>
        <v>0</v>
      </c>
    </row>
    <row r="1694" spans="1:26" ht="22.35" customHeight="1" x14ac:dyDescent="0.3">
      <c r="A1694" s="67" t="str">
        <f>+IF(PROVEEDORES[[#This Row],[FECHA DE PAGO]]=PROVEEDORES[[#This Row],[FECHA DE FACTURACIÓN]],"DE CONTADO","CRÉDITO")</f>
        <v>CRÉDITO</v>
      </c>
      <c r="B1694" s="38" t="str">
        <f>+IF((PROVEEDORES[[#This Row],[FECHA DE PAGO]]-PROVEEDORES[[#This Row],[FECHA DE FACTURACIÓN]])&gt;PROVEEDORES[[#This Row],[PLAZO Días]],"PAGO VENCIDO")</f>
        <v>PAGO VENCIDO</v>
      </c>
      <c r="C1694" s="20">
        <f>+VLOOKUP(PROVEEDORES[[#This Row],[PROVEEDOR]],TERCEROS_INFO[#All],2,FALSE)</f>
        <v>30</v>
      </c>
      <c r="D1694" s="25">
        <f>+SUMIFS(PROVEEDORES[Total],PROVEEDORES[PROVEEDOR],PROVEEDORES[[#This Row],[PROVEEDOR]],PROVEEDORES[FECHA DE PAGO],"")</f>
        <v>0</v>
      </c>
      <c r="E1694" s="25"/>
      <c r="F1694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94" s="68">
        <v>45124</v>
      </c>
      <c r="H1694" s="26" t="s">
        <v>964</v>
      </c>
      <c r="I1694" s="68">
        <v>45091</v>
      </c>
      <c r="J1694" s="35" t="s">
        <v>1776</v>
      </c>
      <c r="K1694" s="21">
        <v>930000</v>
      </c>
      <c r="L1694" s="21"/>
      <c r="M1694" s="22">
        <f>(PROVEEDORES[[#This Row],[SUBTOTAL]]-PROVEEDORES[[#This Row],[descuento sobre subtotal]])*VLOOKUP(PROVEEDORES[[#This Row],[PROVEEDOR]],TERCEROS_INFO[#All],3,FALSE)</f>
        <v>176700</v>
      </c>
      <c r="N1694" s="23"/>
      <c r="O1694" s="22">
        <f>+PROVEEDORES[[#This Row],[Descuento sobre subtotal %]]*(PROVEEDORES[[#This Row],[SUBTOTAL]]-PROVEEDORES[[#This Row],[descuento sobre subtotal]])</f>
        <v>0</v>
      </c>
      <c r="P1694" s="74">
        <f>+IF(PROVEEDORES[[#This Row],[SUBTOTAL]]&lt;PROVEEDORES[[#This Row],[base retencion]],0,PROVEEDORES[[#This Row],[retención aplicada]])</f>
        <v>0</v>
      </c>
      <c r="Q1694" s="22">
        <f>+PROVEEDORES[[#This Row],[Rete Fuente %]]*(PROVEEDORES[[#This Row],[SUBTOTAL]]-PROVEEDORES[[#This Row],[descuento sobre subtotal]])</f>
        <v>0</v>
      </c>
      <c r="R1694" s="21">
        <f>+PROVEEDORES[[#This Row],[SUBTOTAL]]+PROVEEDORES[[#This Row],[IVA 19%]]-PROVEEDORES[[#This Row],[descuento sobre subtotal]]-PROVEEDORES[[#This Row],[Descuento sobre subtotal $2]]-PROVEEDORES[[#This Row],[Rete Fuente $]]</f>
        <v>1106700</v>
      </c>
      <c r="S16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4" s="63">
        <f ca="1">IF(PROVEEDORES[[#This Row],[FECHA DE PAGO]]=0,TODAY()-PROVEEDORES[[#This Row],[FECHA DE FACTURACIÓN]]-PROVEEDORES[[#This Row],[PLAZO Días]],0)</f>
        <v>0</v>
      </c>
      <c r="U1694" s="104">
        <f>+VLOOKUP(PROVEEDORES[[#This Row],[PROVEEDOR]],Terceros!$A:$D,4,FALSE)</f>
        <v>0</v>
      </c>
      <c r="V1694" s="105">
        <f>+YEAR(PROVEEDORES[[#This Row],[FECHA DE FACTURACIÓN]])</f>
        <v>2023</v>
      </c>
      <c r="W1694" s="105">
        <f>+MATCH(PROVEEDORES[[#This Row],[año facturado]],Retenciones!$1:$1,0)</f>
        <v>6</v>
      </c>
      <c r="X1694" s="106">
        <f>+VLOOKUP(PROVEEDORES[[#This Row],[ID RETENCION]],Retenciones!$A$1:$O$25,PROVEEDORES[[#This Row],[indicador de columna]],FALSE)</f>
        <v>0</v>
      </c>
      <c r="Y1694" s="107">
        <f>+VLOOKUP(PROVEEDORES[[#This Row],[ID RETENCION]],Retenciones!$A$1:$O$25,2,FALSE)</f>
        <v>0</v>
      </c>
      <c r="Z1694" s="116" t="b">
        <f>OR(COUNTIF(PROVEEDORES[[#This Row],[PROVEEDOR]],"*"&amp;'Palabra no opera'!$A$2&amp;"*"))</f>
        <v>0</v>
      </c>
    </row>
    <row r="1695" spans="1:26" ht="22.35" customHeight="1" x14ac:dyDescent="0.3">
      <c r="A1695" s="67" t="str">
        <f>+IF(PROVEEDORES[[#This Row],[FECHA DE PAGO]]=PROVEEDORES[[#This Row],[FECHA DE FACTURACIÓN]],"DE CONTADO","CRÉDITO")</f>
        <v>CRÉDITO</v>
      </c>
      <c r="B1695" s="38" t="str">
        <f>+IF((PROVEEDORES[[#This Row],[FECHA DE PAGO]]-PROVEEDORES[[#This Row],[FECHA DE FACTURACIÓN]])&gt;PROVEEDORES[[#This Row],[PLAZO Días]],"PAGO VENCIDO")</f>
        <v>PAGO VENCIDO</v>
      </c>
      <c r="C1695" s="20">
        <f>+VLOOKUP(PROVEEDORES[[#This Row],[PROVEEDOR]],TERCEROS_INFO[#All],2,FALSE)</f>
        <v>30</v>
      </c>
      <c r="D1695" s="25">
        <f>+SUMIFS(PROVEEDORES[Total],PROVEEDORES[PROVEEDOR],PROVEEDORES[[#This Row],[PROVEEDOR]],PROVEEDORES[FECHA DE PAGO],"")</f>
        <v>0</v>
      </c>
      <c r="E1695" s="25"/>
      <c r="F1695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95" s="68">
        <v>45124</v>
      </c>
      <c r="H1695" s="26" t="s">
        <v>964</v>
      </c>
      <c r="I1695" s="68">
        <v>45093</v>
      </c>
      <c r="J1695" s="35" t="s">
        <v>1777</v>
      </c>
      <c r="K1695" s="21">
        <v>420000</v>
      </c>
      <c r="L1695" s="21"/>
      <c r="M1695" s="22">
        <f>(PROVEEDORES[[#This Row],[SUBTOTAL]]-PROVEEDORES[[#This Row],[descuento sobre subtotal]])*VLOOKUP(PROVEEDORES[[#This Row],[PROVEEDOR]],TERCEROS_INFO[#All],3,FALSE)</f>
        <v>79800</v>
      </c>
      <c r="N1695" s="23"/>
      <c r="O1695" s="22">
        <f>+PROVEEDORES[[#This Row],[Descuento sobre subtotal %]]*(PROVEEDORES[[#This Row],[SUBTOTAL]]-PROVEEDORES[[#This Row],[descuento sobre subtotal]])</f>
        <v>0</v>
      </c>
      <c r="P1695" s="74">
        <f>+IF(PROVEEDORES[[#This Row],[SUBTOTAL]]&lt;PROVEEDORES[[#This Row],[base retencion]],0,PROVEEDORES[[#This Row],[retención aplicada]])</f>
        <v>0</v>
      </c>
      <c r="Q1695" s="22">
        <f>+PROVEEDORES[[#This Row],[Rete Fuente %]]*(PROVEEDORES[[#This Row],[SUBTOTAL]]-PROVEEDORES[[#This Row],[descuento sobre subtotal]])</f>
        <v>0</v>
      </c>
      <c r="R1695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169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5" s="63">
        <f ca="1">IF(PROVEEDORES[[#This Row],[FECHA DE PAGO]]=0,TODAY()-PROVEEDORES[[#This Row],[FECHA DE FACTURACIÓN]]-PROVEEDORES[[#This Row],[PLAZO Días]],0)</f>
        <v>0</v>
      </c>
      <c r="U1695" s="104">
        <f>+VLOOKUP(PROVEEDORES[[#This Row],[PROVEEDOR]],Terceros!$A:$D,4,FALSE)</f>
        <v>0</v>
      </c>
      <c r="V1695" s="105">
        <f>+YEAR(PROVEEDORES[[#This Row],[FECHA DE FACTURACIÓN]])</f>
        <v>2023</v>
      </c>
      <c r="W1695" s="105">
        <f>+MATCH(PROVEEDORES[[#This Row],[año facturado]],Retenciones!$1:$1,0)</f>
        <v>6</v>
      </c>
      <c r="X1695" s="106">
        <f>+VLOOKUP(PROVEEDORES[[#This Row],[ID RETENCION]],Retenciones!$A$1:$O$25,PROVEEDORES[[#This Row],[indicador de columna]],FALSE)</f>
        <v>0</v>
      </c>
      <c r="Y1695" s="107">
        <f>+VLOOKUP(PROVEEDORES[[#This Row],[ID RETENCION]],Retenciones!$A$1:$O$25,2,FALSE)</f>
        <v>0</v>
      </c>
      <c r="Z1695" s="116" t="b">
        <f>OR(COUNTIF(PROVEEDORES[[#This Row],[PROVEEDOR]],"*"&amp;'Palabra no opera'!$A$2&amp;"*"))</f>
        <v>0</v>
      </c>
    </row>
    <row r="1696" spans="1:26" ht="22.35" customHeight="1" x14ac:dyDescent="0.3">
      <c r="A1696" s="331" t="str">
        <f>+IF(PROVEEDORES[[#This Row],[FECHA DE PAGO]]=PROVEEDORES[[#This Row],[FECHA DE FACTURACIÓN]],"DE CONTADO","CRÉDITO")</f>
        <v>CRÉDITO</v>
      </c>
      <c r="B1696" s="38" t="b">
        <f>+IF((PROVEEDORES[[#This Row],[FECHA DE PAGO]]-PROVEEDORES[[#This Row],[FECHA DE FACTURACIÓN]])&gt;PROVEEDORES[[#This Row],[PLAZO Días]],"PAGO VENCIDO")</f>
        <v>0</v>
      </c>
      <c r="C1696" s="20">
        <f>+VLOOKUP(PROVEEDORES[[#This Row],[PROVEEDOR]],TERCEROS_INFO[#All],2,FALSE)</f>
        <v>30</v>
      </c>
      <c r="D1696" s="25">
        <f>+SUMIFS(PROVEEDORES[Total],PROVEEDORES[PROVEEDOR],PROVEEDORES[[#This Row],[PROVEEDOR]],PROVEEDORES[FECHA DE PAGO],"")</f>
        <v>0</v>
      </c>
      <c r="E1696" s="25"/>
      <c r="F1696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696" s="68">
        <v>45124</v>
      </c>
      <c r="H1696" s="26" t="s">
        <v>628</v>
      </c>
      <c r="I1696" s="68">
        <v>45109</v>
      </c>
      <c r="J1696" s="35" t="s">
        <v>1794</v>
      </c>
      <c r="K1696" s="21">
        <v>1840056</v>
      </c>
      <c r="L1696" s="21"/>
      <c r="M1696" s="22">
        <f>(PROVEEDORES[[#This Row],[SUBTOTAL]]-PROVEEDORES[[#This Row],[descuento sobre subtotal]])*VLOOKUP(PROVEEDORES[[#This Row],[PROVEEDOR]],TERCEROS_INFO[#All],3,FALSE)</f>
        <v>0</v>
      </c>
      <c r="N1696" s="23"/>
      <c r="O1696" s="22">
        <v>105097</v>
      </c>
      <c r="P1696" s="74">
        <f>+IF(PROVEEDORES[[#This Row],[SUBTOTAL]]&lt;PROVEEDORES[[#This Row],[base retencion]],0,PROVEEDORES[[#This Row],[retención aplicada]])</f>
        <v>0</v>
      </c>
      <c r="Q1696" s="22">
        <f>+PROVEEDORES[[#This Row],[Rete Fuente %]]*(PROVEEDORES[[#This Row],[SUBTOTAL]]-PROVEEDORES[[#This Row],[descuento sobre subtotal]])</f>
        <v>0</v>
      </c>
      <c r="R1696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1696" s="3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6" s="63">
        <f ca="1">IF(PROVEEDORES[[#This Row],[FECHA DE PAGO]]=0,TODAY()-PROVEEDORES[[#This Row],[FECHA DE FACTURACIÓN]]-PROVEEDORES[[#This Row],[PLAZO Días]],0)</f>
        <v>0</v>
      </c>
      <c r="U1696" s="104">
        <f>+VLOOKUP(PROVEEDORES[[#This Row],[PROVEEDOR]],Terceros!$A:$D,4,FALSE)</f>
        <v>0</v>
      </c>
      <c r="V1696" s="105">
        <f>+YEAR(PROVEEDORES[[#This Row],[FECHA DE FACTURACIÓN]])</f>
        <v>2023</v>
      </c>
      <c r="W1696" s="105">
        <f>+MATCH(PROVEEDORES[[#This Row],[año facturado]],Retenciones!$1:$1,0)</f>
        <v>6</v>
      </c>
      <c r="X1696" s="106">
        <f>+VLOOKUP(PROVEEDORES[[#This Row],[ID RETENCION]],Retenciones!$A$1:$O$25,PROVEEDORES[[#This Row],[indicador de columna]],FALSE)</f>
        <v>0</v>
      </c>
      <c r="Y1696" s="107">
        <f>+VLOOKUP(PROVEEDORES[[#This Row],[ID RETENCION]],Retenciones!$A$1:$O$25,2,FALSE)</f>
        <v>0</v>
      </c>
      <c r="Z1696" s="116" t="b">
        <f>OR(COUNTIF(PROVEEDORES[[#This Row],[PROVEEDOR]],"*"&amp;'Palabra no opera'!$A$2&amp;"*"))</f>
        <v>1</v>
      </c>
    </row>
    <row r="1697" spans="1:26" ht="22.35" customHeight="1" x14ac:dyDescent="0.3">
      <c r="A1697" s="325" t="str">
        <f>+IF(PROVEEDORES[[#This Row],[FECHA DE PAGO]]=PROVEEDORES[[#This Row],[FECHA DE FACTURACIÓN]],"DE CONTADO","CRÉDITO")</f>
        <v>CRÉDITO</v>
      </c>
      <c r="B1697" s="38" t="str">
        <f>+IF((PROVEEDORES[[#This Row],[FECHA DE PAGO]]-PROVEEDORES[[#This Row],[FECHA DE FACTURACIÓN]])&gt;PROVEEDORES[[#This Row],[PLAZO Días]],"PAGO VENCIDO")</f>
        <v>PAGO VENCIDO</v>
      </c>
      <c r="C1697" s="20">
        <f>+VLOOKUP(PROVEEDORES[[#This Row],[PROVEEDOR]],TERCEROS_INFO[#All],2,FALSE)</f>
        <v>30</v>
      </c>
      <c r="D1697" s="25">
        <f>+SUMIFS(PROVEEDORES[Total],PROVEEDORES[PROVEEDOR],PROVEEDORES[[#This Row],[PROVEEDOR]],PROVEEDORES[FECHA DE PAGO],"")</f>
        <v>0</v>
      </c>
      <c r="E1697" s="25"/>
      <c r="F1697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97" s="68">
        <v>45124</v>
      </c>
      <c r="H1697" s="26" t="s">
        <v>248</v>
      </c>
      <c r="I1697" s="68">
        <v>45090</v>
      </c>
      <c r="J1697" s="35" t="s">
        <v>1750</v>
      </c>
      <c r="K1697" s="21">
        <v>974525</v>
      </c>
      <c r="L1697" s="21"/>
      <c r="M1697" s="22">
        <f>(PROVEEDORES[[#This Row],[SUBTOTAL]]-PROVEEDORES[[#This Row],[descuento sobre subtotal]])*VLOOKUP(PROVEEDORES[[#This Row],[PROVEEDOR]],TERCEROS_INFO[#All],3,FALSE)</f>
        <v>185159.75</v>
      </c>
      <c r="N1697" s="23"/>
      <c r="O1697" s="22">
        <f>+PROVEEDORES[[#This Row],[Descuento sobre subtotal %]]*(PROVEEDORES[[#This Row],[SUBTOTAL]]-PROVEEDORES[[#This Row],[descuento sobre subtotal]])</f>
        <v>0</v>
      </c>
      <c r="P1697" s="74">
        <f>+IF(PROVEEDORES[[#This Row],[SUBTOTAL]]&lt;PROVEEDORES[[#This Row],[base retencion]],0,PROVEEDORES[[#This Row],[retención aplicada]])</f>
        <v>0</v>
      </c>
      <c r="Q1697" s="22">
        <f>+PROVEEDORES[[#This Row],[Rete Fuente %]]*(PROVEEDORES[[#This Row],[SUBTOTAL]]-PROVEEDORES[[#This Row],[descuento sobre subtotal]])</f>
        <v>0</v>
      </c>
      <c r="R1697" s="21">
        <f>+PROVEEDORES[[#This Row],[SUBTOTAL]]+PROVEEDORES[[#This Row],[IVA 19%]]-PROVEEDORES[[#This Row],[descuento sobre subtotal]]-PROVEEDORES[[#This Row],[Descuento sobre subtotal $2]]-PROVEEDORES[[#This Row],[Rete Fuente $]]</f>
        <v>1159684.75</v>
      </c>
      <c r="S1697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7" s="63">
        <f ca="1">IF(PROVEEDORES[[#This Row],[FECHA DE PAGO]]=0,TODAY()-PROVEEDORES[[#This Row],[FECHA DE FACTURACIÓN]]-PROVEEDORES[[#This Row],[PLAZO Días]],0)</f>
        <v>0</v>
      </c>
      <c r="U1697" s="104">
        <f>+VLOOKUP(PROVEEDORES[[#This Row],[PROVEEDOR]],Terceros!$A:$D,4,FALSE)</f>
        <v>0</v>
      </c>
      <c r="V1697" s="105">
        <f>+YEAR(PROVEEDORES[[#This Row],[FECHA DE FACTURACIÓN]])</f>
        <v>2023</v>
      </c>
      <c r="W1697" s="105">
        <f>+MATCH(PROVEEDORES[[#This Row],[año facturado]],Retenciones!$1:$1,0)</f>
        <v>6</v>
      </c>
      <c r="X1697" s="106">
        <f>+VLOOKUP(PROVEEDORES[[#This Row],[ID RETENCION]],Retenciones!$A$1:$O$25,PROVEEDORES[[#This Row],[indicador de columna]],FALSE)</f>
        <v>0</v>
      </c>
      <c r="Y1697" s="107">
        <f>+VLOOKUP(PROVEEDORES[[#This Row],[ID RETENCION]],Retenciones!$A$1:$O$25,2,FALSE)</f>
        <v>0</v>
      </c>
      <c r="Z1697" s="116" t="b">
        <f>OR(COUNTIF(PROVEEDORES[[#This Row],[PROVEEDOR]],"*"&amp;'Palabra no opera'!$A$2&amp;"*"))</f>
        <v>0</v>
      </c>
    </row>
    <row r="1698" spans="1:26" ht="22.35" customHeight="1" x14ac:dyDescent="0.3">
      <c r="A1698" s="331" t="str">
        <f>+IF(PROVEEDORES[[#This Row],[FECHA DE PAGO]]=PROVEEDORES[[#This Row],[FECHA DE FACTURACIÓN]],"DE CONTADO","CRÉDITO")</f>
        <v>CRÉDITO</v>
      </c>
      <c r="B1698" s="38" t="b">
        <f>+IF((PROVEEDORES[[#This Row],[FECHA DE PAGO]]-PROVEEDORES[[#This Row],[FECHA DE FACTURACIÓN]])&gt;PROVEEDORES[[#This Row],[PLAZO Días]],"PAGO VENCIDO")</f>
        <v>0</v>
      </c>
      <c r="C1698" s="20">
        <f>+VLOOKUP(PROVEEDORES[[#This Row],[PROVEEDOR]],TERCEROS_INFO[#All],2,FALSE)</f>
        <v>30</v>
      </c>
      <c r="D1698" s="25">
        <f>+SUMIFS(PROVEEDORES[Total],PROVEEDORES[PROVEEDOR],PROVEEDORES[[#This Row],[PROVEEDOR]],PROVEEDORES[FECHA DE PAGO],"")</f>
        <v>0</v>
      </c>
      <c r="E1698" s="25"/>
      <c r="F1698" s="56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698" s="68">
        <v>45125</v>
      </c>
      <c r="H1698" s="26" t="s">
        <v>636</v>
      </c>
      <c r="I1698" s="68">
        <v>45124</v>
      </c>
      <c r="J1698" s="35" t="s">
        <v>1803</v>
      </c>
      <c r="K1698" s="21">
        <v>1650000</v>
      </c>
      <c r="L1698" s="21">
        <v>16500</v>
      </c>
      <c r="M1698" s="22">
        <f>(PROVEEDORES[[#This Row],[SUBTOTAL]]-PROVEEDORES[[#This Row],[descuento sobre subtotal]])*VLOOKUP(PROVEEDORES[[#This Row],[PROVEEDOR]],TERCEROS_INFO[#All],3,FALSE)</f>
        <v>310365</v>
      </c>
      <c r="N1698" s="23"/>
      <c r="O1698" s="22">
        <f>+PROVEEDORES[[#This Row],[Descuento sobre subtotal %]]*(PROVEEDORES[[#This Row],[SUBTOTAL]]-PROVEEDORES[[#This Row],[descuento sobre subtotal]])</f>
        <v>0</v>
      </c>
      <c r="P1698" s="74">
        <f>+IF(PROVEEDORES[[#This Row],[SUBTOTAL]]&lt;PROVEEDORES[[#This Row],[base retencion]],0,PROVEEDORES[[#This Row],[retención aplicada]])</f>
        <v>0.11</v>
      </c>
      <c r="Q1698" s="22">
        <f>+PROVEEDORES[[#This Row],[Rete Fuente %]]*(PROVEEDORES[[#This Row],[SUBTOTAL]]-PROVEEDORES[[#This Row],[descuento sobre subtotal]])</f>
        <v>179685</v>
      </c>
      <c r="R1698" s="21">
        <f>+PROVEEDORES[[#This Row],[SUBTOTAL]]+PROVEEDORES[[#This Row],[IVA 19%]]-PROVEEDORES[[#This Row],[descuento sobre subtotal]]-PROVEEDORES[[#This Row],[Descuento sobre subtotal $2]]-PROVEEDORES[[#This Row],[Rete Fuente $]]</f>
        <v>1764180</v>
      </c>
      <c r="S1698" s="3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8" s="63">
        <f ca="1">IF(PROVEEDORES[[#This Row],[FECHA DE PAGO]]=0,TODAY()-PROVEEDORES[[#This Row],[FECHA DE FACTURACIÓN]]-PROVEEDORES[[#This Row],[PLAZO Días]],0)</f>
        <v>0</v>
      </c>
      <c r="U1698" s="104" t="str">
        <f>+VLOOKUP(PROVEEDORES[[#This Row],[PROVEEDOR]],Terceros!$A:$D,4,FALSE)</f>
        <v>11% sin base</v>
      </c>
      <c r="V1698" s="105">
        <f>+YEAR(PROVEEDORES[[#This Row],[FECHA DE FACTURACIÓN]])</f>
        <v>2023</v>
      </c>
      <c r="W1698" s="105">
        <f>+MATCH(PROVEEDORES[[#This Row],[año facturado]],Retenciones!$1:$1,0)</f>
        <v>6</v>
      </c>
      <c r="X1698" s="106">
        <f>+VLOOKUP(PROVEEDORES[[#This Row],[ID RETENCION]],Retenciones!$A$1:$O$25,PROVEEDORES[[#This Row],[indicador de columna]],FALSE)</f>
        <v>0</v>
      </c>
      <c r="Y1698" s="107">
        <f>+VLOOKUP(PROVEEDORES[[#This Row],[ID RETENCION]],Retenciones!$A$1:$O$25,2,FALSE)</f>
        <v>0.11</v>
      </c>
      <c r="Z1698" s="116" t="b">
        <f>OR(COUNTIF(PROVEEDORES[[#This Row],[PROVEEDOR]],"*"&amp;'Palabra no opera'!$A$2&amp;"*"))</f>
        <v>1</v>
      </c>
    </row>
    <row r="1699" spans="1:26" ht="22.35" customHeight="1" x14ac:dyDescent="0.3">
      <c r="A1699" s="67" t="str">
        <f>+IF(PROVEEDORES[[#This Row],[FECHA DE PAGO]]=PROVEEDORES[[#This Row],[FECHA DE FACTURACIÓN]],"DE CONTADO","CRÉDITO")</f>
        <v>DE CONTADO</v>
      </c>
      <c r="B1699" s="38" t="b">
        <f>+IF((PROVEEDORES[[#This Row],[FECHA DE PAGO]]-PROVEEDORES[[#This Row],[FECHA DE FACTURACIÓN]])&gt;PROVEEDORES[[#This Row],[PLAZO Días]],"PAGO VENCIDO")</f>
        <v>0</v>
      </c>
      <c r="C1699" s="20">
        <f>+VLOOKUP(PROVEEDORES[[#This Row],[PROVEEDOR]],TERCEROS_INFO[#All],2,FALSE)</f>
        <v>30</v>
      </c>
      <c r="D1699" s="25">
        <f>+SUMIFS(PROVEEDORES[Total],PROVEEDORES[PROVEEDOR],PROVEEDORES[[#This Row],[PROVEEDOR]],PROVEEDORES[FECHA DE PAGO],"")</f>
        <v>0</v>
      </c>
      <c r="E1699" s="25"/>
      <c r="F1699" s="56">
        <f>+VLOOKUP(PROVEEDORES[[#This Row],[PROVEEDOR]],
                       Terceros!$A:$F,
                       5,
                       FALSE)</f>
        <v>0</v>
      </c>
      <c r="G1699" s="68">
        <v>45125</v>
      </c>
      <c r="H1699" s="26" t="s">
        <v>471</v>
      </c>
      <c r="I1699" s="68">
        <v>45125</v>
      </c>
      <c r="J1699" s="35" t="s">
        <v>1795</v>
      </c>
      <c r="K1699" s="21">
        <v>1431255</v>
      </c>
      <c r="L1699" s="21"/>
      <c r="M1699" s="22">
        <f>(PROVEEDORES[[#This Row],[SUBTOTAL]]-PROVEEDORES[[#This Row],[descuento sobre subtotal]])*VLOOKUP(PROVEEDORES[[#This Row],[PROVEEDOR]],TERCEROS_INFO[#All],3,FALSE)</f>
        <v>271938.45</v>
      </c>
      <c r="N1699" s="23"/>
      <c r="O1699" s="22">
        <f>+PROVEEDORES[[#This Row],[Descuento sobre subtotal %]]*(PROVEEDORES[[#This Row],[SUBTOTAL]]-PROVEEDORES[[#This Row],[descuento sobre subtotal]])</f>
        <v>0</v>
      </c>
      <c r="P1699" s="74">
        <f>+IF(PROVEEDORES[[#This Row],[SUBTOTAL]]&lt;PROVEEDORES[[#This Row],[base retencion]],0,PROVEEDORES[[#This Row],[retención aplicada]])</f>
        <v>2.5000000000000001E-2</v>
      </c>
      <c r="Q1699" s="22">
        <f>+PROVEEDORES[[#This Row],[Rete Fuente %]]*(PROVEEDORES[[#This Row],[SUBTOTAL]]-PROVEEDORES[[#This Row],[descuento sobre subtotal]])</f>
        <v>35781.375</v>
      </c>
      <c r="R1699" s="21">
        <f>+PROVEEDORES[[#This Row],[SUBTOTAL]]+PROVEEDORES[[#This Row],[IVA 19%]]-PROVEEDORES[[#This Row],[descuento sobre subtotal]]-PROVEEDORES[[#This Row],[Descuento sobre subtotal $2]]-PROVEEDORES[[#This Row],[Rete Fuente $]]</f>
        <v>1667412.075</v>
      </c>
      <c r="S16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9" s="63">
        <f ca="1">IF(PROVEEDORES[[#This Row],[FECHA DE PAGO]]=0,TODAY()-PROVEEDORES[[#This Row],[FECHA DE FACTURACIÓN]]-PROVEEDORES[[#This Row],[PLAZO Días]],0)</f>
        <v>0</v>
      </c>
      <c r="U1699" s="104" t="str">
        <f>+VLOOKUP(PROVEEDORES[[#This Row],[PROVEEDOR]],Terceros!$A:$D,4,FALSE)</f>
        <v>2,5% con base</v>
      </c>
      <c r="V1699" s="105">
        <f>+YEAR(PROVEEDORES[[#This Row],[FECHA DE FACTURACIÓN]])</f>
        <v>2023</v>
      </c>
      <c r="W1699" s="105">
        <f>+MATCH(PROVEEDORES[[#This Row],[año facturado]],Retenciones!$1:$1,0)</f>
        <v>6</v>
      </c>
      <c r="X1699" s="106">
        <f>+VLOOKUP(PROVEEDORES[[#This Row],[ID RETENCION]],Retenciones!$A$1:$O$25,PROVEEDORES[[#This Row],[indicador de columna]],FALSE)</f>
        <v>1145000</v>
      </c>
      <c r="Y1699" s="107">
        <f>+VLOOKUP(PROVEEDORES[[#This Row],[ID RETENCION]],Retenciones!$A$1:$O$25,2,FALSE)</f>
        <v>2.5000000000000001E-2</v>
      </c>
      <c r="Z1699" s="116" t="b">
        <f>OR(COUNTIF(PROVEEDORES[[#This Row],[PROVEEDOR]],"*"&amp;'Palabra no opera'!$A$2&amp;"*"))</f>
        <v>0</v>
      </c>
    </row>
    <row r="1700" spans="1:26" ht="22.35" customHeight="1" x14ac:dyDescent="0.3">
      <c r="A1700" s="67" t="str">
        <f>+IF(PROVEEDORES[[#This Row],[FECHA DE PAGO]]=PROVEEDORES[[#This Row],[FECHA DE FACTURACIÓN]],"DE CONTADO","CRÉDITO")</f>
        <v>CRÉDITO</v>
      </c>
      <c r="B1700" s="38" t="str">
        <f>+IF((PROVEEDORES[[#This Row],[FECHA DE PAGO]]-PROVEEDORES[[#This Row],[FECHA DE FACTURACIÓN]])&gt;PROVEEDORES[[#This Row],[PLAZO Días]],"PAGO VENCIDO")</f>
        <v>PAGO VENCIDO</v>
      </c>
      <c r="C1700" s="20">
        <f>+VLOOKUP(PROVEEDORES[[#This Row],[PROVEEDOR]],TERCEROS_INFO[#All],2,FALSE)</f>
        <v>30</v>
      </c>
      <c r="D1700" s="25">
        <f>+SUMIFS(PROVEEDORES[Total],PROVEEDORES[PROVEEDOR],PROVEEDORES[[#This Row],[PROVEEDOR]],PROVEEDORES[FECHA DE PAGO],"")</f>
        <v>3209330.35</v>
      </c>
      <c r="E1700" s="25"/>
      <c r="F1700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00" s="68">
        <v>45126</v>
      </c>
      <c r="H1700" s="26" t="s">
        <v>282</v>
      </c>
      <c r="I1700" s="68">
        <v>45057</v>
      </c>
      <c r="J1700" s="35" t="s">
        <v>1691</v>
      </c>
      <c r="K1700" s="21">
        <v>2302268</v>
      </c>
      <c r="L1700" s="21"/>
      <c r="M1700" s="22">
        <f>(PROVEEDORES[[#This Row],[SUBTOTAL]]-PROVEEDORES[[#This Row],[descuento sobre subtotal]])*VLOOKUP(PROVEEDORES[[#This Row],[PROVEEDOR]],TERCEROS_INFO[#All],3,FALSE)</f>
        <v>437430.92</v>
      </c>
      <c r="N1700" s="23"/>
      <c r="O1700" s="22">
        <f>+PROVEEDORES[[#This Row],[Descuento sobre subtotal %]]*(PROVEEDORES[[#This Row],[SUBTOTAL]]-PROVEEDORES[[#This Row],[descuento sobre subtotal]])</f>
        <v>0</v>
      </c>
      <c r="P1700" s="74">
        <f>+IF(PROVEEDORES[[#This Row],[SUBTOTAL]]&lt;PROVEEDORES[[#This Row],[base retencion]],0,PROVEEDORES[[#This Row],[retención aplicada]])</f>
        <v>2.5000000000000001E-2</v>
      </c>
      <c r="Q1700" s="22">
        <f>+PROVEEDORES[[#This Row],[Rete Fuente %]]*(PROVEEDORES[[#This Row],[SUBTOTAL]]-PROVEEDORES[[#This Row],[descuento sobre subtotal]])</f>
        <v>57556.700000000004</v>
      </c>
      <c r="R1700" s="21">
        <f>+PROVEEDORES[[#This Row],[SUBTOTAL]]+PROVEEDORES[[#This Row],[IVA 19%]]-PROVEEDORES[[#This Row],[descuento sobre subtotal]]-PROVEEDORES[[#This Row],[Descuento sobre subtotal $2]]-PROVEEDORES[[#This Row],[Rete Fuente $]]</f>
        <v>2682142.2199999997</v>
      </c>
      <c r="S17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0" s="63">
        <f ca="1">IF(PROVEEDORES[[#This Row],[FECHA DE PAGO]]=0,TODAY()-PROVEEDORES[[#This Row],[FECHA DE FACTURACIÓN]]-PROVEEDORES[[#This Row],[PLAZO Días]],0)</f>
        <v>0</v>
      </c>
      <c r="U1700" s="104" t="str">
        <f>+VLOOKUP(PROVEEDORES[[#This Row],[PROVEEDOR]],Terceros!$A:$D,4,FALSE)</f>
        <v>2,5% con base</v>
      </c>
      <c r="V1700" s="105">
        <f>+YEAR(PROVEEDORES[[#This Row],[FECHA DE FACTURACIÓN]])</f>
        <v>2023</v>
      </c>
      <c r="W1700" s="105">
        <f>+MATCH(PROVEEDORES[[#This Row],[año facturado]],Retenciones!$1:$1,0)</f>
        <v>6</v>
      </c>
      <c r="X1700" s="106">
        <f>+VLOOKUP(PROVEEDORES[[#This Row],[ID RETENCION]],Retenciones!$A$1:$O$25,PROVEEDORES[[#This Row],[indicador de columna]],FALSE)</f>
        <v>1145000</v>
      </c>
      <c r="Y1700" s="107">
        <f>+VLOOKUP(PROVEEDORES[[#This Row],[ID RETENCION]],Retenciones!$A$1:$O$25,2,FALSE)</f>
        <v>2.5000000000000001E-2</v>
      </c>
      <c r="Z1700" s="116" t="b">
        <f>OR(COUNTIF(PROVEEDORES[[#This Row],[PROVEEDOR]],"*"&amp;'Palabra no opera'!$A$2&amp;"*"))</f>
        <v>0</v>
      </c>
    </row>
    <row r="1701" spans="1:26" ht="22.35" customHeight="1" x14ac:dyDescent="0.3">
      <c r="A1701" s="331" t="str">
        <f>+IF(PROVEEDORES[[#This Row],[FECHA DE PAGO]]=PROVEEDORES[[#This Row],[FECHA DE FACTURACIÓN]],"DE CONTADO","CRÉDITO")</f>
        <v>CRÉDITO</v>
      </c>
      <c r="B1701" s="38" t="b">
        <f>+IF((PROVEEDORES[[#This Row],[FECHA DE PAGO]]-PROVEEDORES[[#This Row],[FECHA DE FACTURACIÓN]])&gt;PROVEEDORES[[#This Row],[PLAZO Días]],"PAGO VENCIDO")</f>
        <v>0</v>
      </c>
      <c r="C1701" s="20">
        <f>+VLOOKUP(PROVEEDORES[[#This Row],[PROVEEDOR]],TERCEROS_INFO[#All],2,FALSE)</f>
        <v>30</v>
      </c>
      <c r="D1701" s="25">
        <f>+SUMIFS(PROVEEDORES[Total],PROVEEDORES[PROVEEDOR],PROVEEDORES[[#This Row],[PROVEEDOR]],PROVEEDORES[FECHA DE PAGO],"")</f>
        <v>352505.48</v>
      </c>
      <c r="E1701" s="25"/>
      <c r="F1701" s="56" t="str">
        <f>+VLOOKUP(PROVEEDORES[[#This Row],[PROVEEDOR]],
                       Terceros!$A:$F,
                       5,
                       FALSE)</f>
        <v>facturacion@losmolinos.com.co</v>
      </c>
      <c r="G1701" s="68">
        <v>45126</v>
      </c>
      <c r="H1701" s="26" t="s">
        <v>631</v>
      </c>
      <c r="I1701" s="68">
        <v>45108</v>
      </c>
      <c r="J1701" s="35" t="s">
        <v>1796</v>
      </c>
      <c r="K1701" s="21">
        <v>318603</v>
      </c>
      <c r="L1701" s="21">
        <v>9545</v>
      </c>
      <c r="M1701" s="22">
        <f>(PROVEEDORES[[#This Row],[SUBTOTAL]]-PROVEEDORES[[#This Row],[descuento sobre subtotal]])*VLOOKUP(PROVEEDORES[[#This Row],[PROVEEDOR]],TERCEROS_INFO[#All],3,FALSE)</f>
        <v>0</v>
      </c>
      <c r="N1701" s="23"/>
      <c r="O1701" s="22">
        <f>+PROVEEDORES[[#This Row],[Descuento sobre subtotal %]]*(PROVEEDORES[[#This Row],[SUBTOTAL]]-PROVEEDORES[[#This Row],[descuento sobre subtotal]])</f>
        <v>0</v>
      </c>
      <c r="P1701" s="74">
        <f>+IF(PROVEEDORES[[#This Row],[SUBTOTAL]]&lt;PROVEEDORES[[#This Row],[base retencion]],0,PROVEEDORES[[#This Row],[retención aplicada]])</f>
        <v>0</v>
      </c>
      <c r="Q1701" s="22">
        <f>+PROVEEDORES[[#This Row],[Rete Fuente %]]*(PROVEEDORES[[#This Row],[SUBTOTAL]]-PROVEEDORES[[#This Row],[descuento sobre subtotal]])</f>
        <v>0</v>
      </c>
      <c r="R1701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1701" s="3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1" s="63">
        <f ca="1">IF(PROVEEDORES[[#This Row],[FECHA DE PAGO]]=0,TODAY()-PROVEEDORES[[#This Row],[FECHA DE FACTURACIÓN]]-PROVEEDORES[[#This Row],[PLAZO Días]],0)</f>
        <v>0</v>
      </c>
      <c r="U1701" s="104">
        <f>+VLOOKUP(PROVEEDORES[[#This Row],[PROVEEDOR]],Terceros!$A:$D,4,FALSE)</f>
        <v>0</v>
      </c>
      <c r="V1701" s="105">
        <f>+YEAR(PROVEEDORES[[#This Row],[FECHA DE FACTURACIÓN]])</f>
        <v>2023</v>
      </c>
      <c r="W1701" s="105">
        <f>+MATCH(PROVEEDORES[[#This Row],[año facturado]],Retenciones!$1:$1,0)</f>
        <v>6</v>
      </c>
      <c r="X1701" s="106">
        <f>+VLOOKUP(PROVEEDORES[[#This Row],[ID RETENCION]],Retenciones!$A$1:$O$25,PROVEEDORES[[#This Row],[indicador de columna]],FALSE)</f>
        <v>0</v>
      </c>
      <c r="Y1701" s="107">
        <f>+VLOOKUP(PROVEEDORES[[#This Row],[ID RETENCION]],Retenciones!$A$1:$O$25,2,FALSE)</f>
        <v>0</v>
      </c>
      <c r="Z1701" s="116" t="b">
        <f>OR(COUNTIF(PROVEEDORES[[#This Row],[PROVEEDOR]],"*"&amp;'Palabra no opera'!$A$2&amp;"*"))</f>
        <v>1</v>
      </c>
    </row>
    <row r="1702" spans="1:26" ht="22.35" customHeight="1" x14ac:dyDescent="0.3">
      <c r="A1702" s="339" t="str">
        <f>+IF(PROVEEDORES[[#This Row],[FECHA DE PAGO]]=PROVEEDORES[[#This Row],[FECHA DE FACTURACIÓN]],"DE CONTADO","CRÉDITO")</f>
        <v>DE CONTADO</v>
      </c>
      <c r="B1702" s="38" t="b">
        <f>+IF((PROVEEDORES[[#This Row],[FECHA DE PAGO]]-PROVEEDORES[[#This Row],[FECHA DE FACTURACIÓN]])&gt;PROVEEDORES[[#This Row],[PLAZO Días]],"PAGO VENCIDO")</f>
        <v>0</v>
      </c>
      <c r="C1702" s="20">
        <f>+VLOOKUP(PROVEEDORES[[#This Row],[PROVEEDOR]],TERCEROS_INFO[#All],2,FALSE)</f>
        <v>30</v>
      </c>
      <c r="D1702" s="25">
        <f>+SUMIFS(PROVEEDORES[Total],PROVEEDORES[PROVEEDOR],PROVEEDORES[[#This Row],[PROVEEDOR]],PROVEEDORES[FECHA DE PAGO],"")</f>
        <v>0</v>
      </c>
      <c r="E1702" s="25"/>
      <c r="F1702" s="56" t="str">
        <f>+VLOOKUP(PROVEEDORES[[#This Row],[PROVEEDOR]],
                       Terceros!$A:$F,
                       5,
                       FALSE)</f>
        <v/>
      </c>
      <c r="G1702" s="68">
        <v>45128</v>
      </c>
      <c r="H1702" s="26" t="s">
        <v>401</v>
      </c>
      <c r="I1702" s="68">
        <v>45128</v>
      </c>
      <c r="J1702" s="35" t="s">
        <v>1845</v>
      </c>
      <c r="K1702" s="21">
        <v>263800</v>
      </c>
      <c r="L1702" s="21"/>
      <c r="M1702" s="22">
        <f>(PROVEEDORES[[#This Row],[SUBTOTAL]]-PROVEEDORES[[#This Row],[descuento sobre subtotal]])*VLOOKUP(PROVEEDORES[[#This Row],[PROVEEDOR]],TERCEROS_INFO[#All],3,FALSE)</f>
        <v>0</v>
      </c>
      <c r="N1702" s="23"/>
      <c r="O1702" s="22">
        <f>+PROVEEDORES[[#This Row],[Descuento sobre subtotal %]]*(PROVEEDORES[[#This Row],[SUBTOTAL]]-PROVEEDORES[[#This Row],[descuento sobre subtotal]])</f>
        <v>0</v>
      </c>
      <c r="P1702" s="74">
        <f>+IF(PROVEEDORES[[#This Row],[SUBTOTAL]]&lt;PROVEEDORES[[#This Row],[base retencion]],0,PROVEEDORES[[#This Row],[retención aplicada]])</f>
        <v>0</v>
      </c>
      <c r="Q1702" s="22">
        <f>+PROVEEDORES[[#This Row],[Rete Fuente %]]*(PROVEEDORES[[#This Row],[SUBTOTAL]]-PROVEEDORES[[#This Row],[descuento sobre subtotal]])</f>
        <v>0</v>
      </c>
      <c r="R1702" s="21">
        <f>+PROVEEDORES[[#This Row],[SUBTOTAL]]+PROVEEDORES[[#This Row],[IVA 19%]]-PROVEEDORES[[#This Row],[descuento sobre subtotal]]-PROVEEDORES[[#This Row],[Descuento sobre subtotal $2]]-PROVEEDORES[[#This Row],[Rete Fuente $]]</f>
        <v>263800</v>
      </c>
      <c r="S1702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2" s="63">
        <f ca="1">IF(PROVEEDORES[[#This Row],[FECHA DE PAGO]]=0,TODAY()-PROVEEDORES[[#This Row],[FECHA DE FACTURACIÓN]]-PROVEEDORES[[#This Row],[PLAZO Días]],0)</f>
        <v>0</v>
      </c>
      <c r="U1702" s="104">
        <f>+VLOOKUP(PROVEEDORES[[#This Row],[PROVEEDOR]],Terceros!$A:$D,4,FALSE)</f>
        <v>0</v>
      </c>
      <c r="V1702" s="105">
        <f>+YEAR(PROVEEDORES[[#This Row],[FECHA DE FACTURACIÓN]])</f>
        <v>2023</v>
      </c>
      <c r="W1702" s="105">
        <f>+MATCH(PROVEEDORES[[#This Row],[año facturado]],Retenciones!$1:$1,0)</f>
        <v>6</v>
      </c>
      <c r="X1702" s="106">
        <f>+VLOOKUP(PROVEEDORES[[#This Row],[ID RETENCION]],Retenciones!$A$1:$O$25,PROVEEDORES[[#This Row],[indicador de columna]],FALSE)</f>
        <v>0</v>
      </c>
      <c r="Y1702" s="107">
        <f>+VLOOKUP(PROVEEDORES[[#This Row],[ID RETENCION]],Retenciones!$A$1:$O$25,2,FALSE)</f>
        <v>0</v>
      </c>
      <c r="Z1702" s="116" t="b">
        <f>OR(COUNTIF(PROVEEDORES[[#This Row],[PROVEEDOR]],"*"&amp;'Palabra no opera'!$A$2&amp;"*"))</f>
        <v>0</v>
      </c>
    </row>
    <row r="1703" spans="1:26" ht="22.35" customHeight="1" x14ac:dyDescent="0.3">
      <c r="A1703" s="331" t="str">
        <f>+IF(PROVEEDORES[[#This Row],[FECHA DE PAGO]]=PROVEEDORES[[#This Row],[FECHA DE FACTURACIÓN]],"DE CONTADO","CRÉDITO")</f>
        <v>CRÉDITO</v>
      </c>
      <c r="B1703" s="38" t="b">
        <f>+IF((PROVEEDORES[[#This Row],[FECHA DE PAGO]]-PROVEEDORES[[#This Row],[FECHA DE FACTURACIÓN]])&gt;PROVEEDORES[[#This Row],[PLAZO Días]],"PAGO VENCIDO")</f>
        <v>0</v>
      </c>
      <c r="C1703" s="20">
        <f>+VLOOKUP(PROVEEDORES[[#This Row],[PROVEEDOR]],TERCEROS_INFO[#All],2,FALSE)</f>
        <v>30</v>
      </c>
      <c r="D1703" s="25">
        <f>+SUMIFS(PROVEEDORES[Total],PROVEEDORES[PROVEEDOR],PROVEEDORES[[#This Row],[PROVEEDOR]],PROVEEDORES[FECHA DE PAGO],"")</f>
        <v>0</v>
      </c>
      <c r="E1703" s="25"/>
      <c r="F1703" s="56">
        <f>+VLOOKUP(PROVEEDORES[[#This Row],[PROVEEDOR]],
                       Terceros!$A:$F,
                       5,
                       FALSE)</f>
        <v>0</v>
      </c>
      <c r="G1703" s="68">
        <v>45128</v>
      </c>
      <c r="H1703" s="26" t="s">
        <v>262</v>
      </c>
      <c r="I1703" s="68">
        <v>45126</v>
      </c>
      <c r="J1703" s="35" t="s">
        <v>1797</v>
      </c>
      <c r="K1703" s="21">
        <v>2030000</v>
      </c>
      <c r="L1703" s="21"/>
      <c r="M1703" s="22">
        <f>(PROVEEDORES[[#This Row],[SUBTOTAL]]-PROVEEDORES[[#This Row],[descuento sobre subtotal]])*VLOOKUP(PROVEEDORES[[#This Row],[PROVEEDOR]],TERCEROS_INFO[#All],3,FALSE)</f>
        <v>385700</v>
      </c>
      <c r="N1703" s="23"/>
      <c r="O1703" s="22">
        <f>+PROVEEDORES[[#This Row],[Descuento sobre subtotal %]]*(PROVEEDORES[[#This Row],[SUBTOTAL]]-PROVEEDORES[[#This Row],[descuento sobre subtotal]])</f>
        <v>0</v>
      </c>
      <c r="P1703" s="74">
        <f>+IF(PROVEEDORES[[#This Row],[SUBTOTAL]]&lt;PROVEEDORES[[#This Row],[base retencion]],0,PROVEEDORES[[#This Row],[retención aplicada]])</f>
        <v>2.5000000000000001E-2</v>
      </c>
      <c r="Q1703" s="22">
        <f>+PROVEEDORES[[#This Row],[Rete Fuente %]]*(PROVEEDORES[[#This Row],[SUBTOTAL]]-PROVEEDORES[[#This Row],[descuento sobre subtotal]])</f>
        <v>50750</v>
      </c>
      <c r="R1703" s="21">
        <f>+PROVEEDORES[[#This Row],[SUBTOTAL]]+PROVEEDORES[[#This Row],[IVA 19%]]-PROVEEDORES[[#This Row],[descuento sobre subtotal]]-PROVEEDORES[[#This Row],[Descuento sobre subtotal $2]]-PROVEEDORES[[#This Row],[Rete Fuente $]]</f>
        <v>2364950</v>
      </c>
      <c r="S1703" s="3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3" s="63">
        <f ca="1">IF(PROVEEDORES[[#This Row],[FECHA DE PAGO]]=0,TODAY()-PROVEEDORES[[#This Row],[FECHA DE FACTURACIÓN]]-PROVEEDORES[[#This Row],[PLAZO Días]],0)</f>
        <v>0</v>
      </c>
      <c r="U1703" s="104" t="str">
        <f>+VLOOKUP(PROVEEDORES[[#This Row],[PROVEEDOR]],Terceros!$A:$D,4,FALSE)</f>
        <v>2,5% con base</v>
      </c>
      <c r="V1703" s="105">
        <f>+YEAR(PROVEEDORES[[#This Row],[FECHA DE FACTURACIÓN]])</f>
        <v>2023</v>
      </c>
      <c r="W1703" s="105">
        <f>+MATCH(PROVEEDORES[[#This Row],[año facturado]],Retenciones!$1:$1,0)</f>
        <v>6</v>
      </c>
      <c r="X1703" s="106">
        <f>+VLOOKUP(PROVEEDORES[[#This Row],[ID RETENCION]],Retenciones!$A$1:$O$25,PROVEEDORES[[#This Row],[indicador de columna]],FALSE)</f>
        <v>1145000</v>
      </c>
      <c r="Y1703" s="107">
        <f>+VLOOKUP(PROVEEDORES[[#This Row],[ID RETENCION]],Retenciones!$A$1:$O$25,2,FALSE)</f>
        <v>2.5000000000000001E-2</v>
      </c>
      <c r="Z1703" s="116" t="b">
        <f>OR(COUNTIF(PROVEEDORES[[#This Row],[PROVEEDOR]],"*"&amp;'Palabra no opera'!$A$2&amp;"*"))</f>
        <v>0</v>
      </c>
    </row>
    <row r="1704" spans="1:26" ht="22.35" customHeight="1" x14ac:dyDescent="0.3">
      <c r="A1704" s="67" t="str">
        <f>+IF(PROVEEDORES[[#This Row],[FECHA DE PAGO]]=PROVEEDORES[[#This Row],[FECHA DE FACTURACIÓN]],"DE CONTADO","CRÉDITO")</f>
        <v>CRÉDITO</v>
      </c>
      <c r="B1704" s="38" t="str">
        <f>+IF((PROVEEDORES[[#This Row],[FECHA DE PAGO]]-PROVEEDORES[[#This Row],[FECHA DE FACTURACIÓN]])&gt;PROVEEDORES[[#This Row],[PLAZO Días]],"PAGO VENCIDO")</f>
        <v>PAGO VENCIDO</v>
      </c>
      <c r="C1704" s="20">
        <f>+VLOOKUP(PROVEEDORES[[#This Row],[PROVEEDOR]],TERCEROS_INFO[#All],2,FALSE)</f>
        <v>30</v>
      </c>
      <c r="D1704" s="25">
        <f>+SUMIFS(PROVEEDORES[Total],PROVEEDORES[PROVEEDOR],PROVEEDORES[[#This Row],[PROVEEDOR]],PROVEEDORES[FECHA DE PAGO],"")</f>
        <v>3669750</v>
      </c>
      <c r="E1704" s="25"/>
      <c r="F1704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704" s="68">
        <v>45128</v>
      </c>
      <c r="H1704" s="26" t="s">
        <v>24</v>
      </c>
      <c r="I1704" s="68">
        <v>45085</v>
      </c>
      <c r="J1704" s="35" t="s">
        <v>1728</v>
      </c>
      <c r="K1704" s="21">
        <v>2926800</v>
      </c>
      <c r="L1704" s="21"/>
      <c r="M1704" s="22">
        <f>(PROVEEDORES[[#This Row],[SUBTOTAL]]-PROVEEDORES[[#This Row],[descuento sobre subtotal]])*VLOOKUP(PROVEEDORES[[#This Row],[PROVEEDOR]],TERCEROS_INFO[#All],3,FALSE)</f>
        <v>556092</v>
      </c>
      <c r="N1704" s="23"/>
      <c r="O1704" s="22">
        <f>+PROVEEDORES[[#This Row],[Descuento sobre subtotal %]]*(PROVEEDORES[[#This Row],[SUBTOTAL]]-PROVEEDORES[[#This Row],[descuento sobre subtotal]])</f>
        <v>0</v>
      </c>
      <c r="P1704" s="74">
        <f>+IF(PROVEEDORES[[#This Row],[SUBTOTAL]]&lt;PROVEEDORES[[#This Row],[base retencion]],0,PROVEEDORES[[#This Row],[retención aplicada]])</f>
        <v>2.5000000000000001E-2</v>
      </c>
      <c r="Q1704" s="22">
        <f>+PROVEEDORES[[#This Row],[Rete Fuente %]]*(PROVEEDORES[[#This Row],[SUBTOTAL]]-PROVEEDORES[[#This Row],[descuento sobre subtotal]])</f>
        <v>73170</v>
      </c>
      <c r="R1704" s="21">
        <f>+PROVEEDORES[[#This Row],[SUBTOTAL]]+PROVEEDORES[[#This Row],[IVA 19%]]-PROVEEDORES[[#This Row],[descuento sobre subtotal]]-PROVEEDORES[[#This Row],[Descuento sobre subtotal $2]]-PROVEEDORES[[#This Row],[Rete Fuente $]]</f>
        <v>3409722</v>
      </c>
      <c r="S17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4" s="63">
        <f ca="1">IF(PROVEEDORES[[#This Row],[FECHA DE PAGO]]=0,TODAY()-PROVEEDORES[[#This Row],[FECHA DE FACTURACIÓN]]-PROVEEDORES[[#This Row],[PLAZO Días]],0)</f>
        <v>0</v>
      </c>
      <c r="U1704" s="104" t="str">
        <f>+VLOOKUP(PROVEEDORES[[#This Row],[PROVEEDOR]],Terceros!$A:$D,4,FALSE)</f>
        <v>2,5% con base</v>
      </c>
      <c r="V1704" s="105">
        <f>+YEAR(PROVEEDORES[[#This Row],[FECHA DE FACTURACIÓN]])</f>
        <v>2023</v>
      </c>
      <c r="W1704" s="105">
        <f>+MATCH(PROVEEDORES[[#This Row],[año facturado]],Retenciones!$1:$1,0)</f>
        <v>6</v>
      </c>
      <c r="X1704" s="106">
        <f>+VLOOKUP(PROVEEDORES[[#This Row],[ID RETENCION]],Retenciones!$A$1:$O$25,PROVEEDORES[[#This Row],[indicador de columna]],FALSE)</f>
        <v>1145000</v>
      </c>
      <c r="Y1704" s="107">
        <f>+VLOOKUP(PROVEEDORES[[#This Row],[ID RETENCION]],Retenciones!$A$1:$O$25,2,FALSE)</f>
        <v>2.5000000000000001E-2</v>
      </c>
      <c r="Z1704" s="116" t="b">
        <f>OR(COUNTIF(PROVEEDORES[[#This Row],[PROVEEDOR]],"*"&amp;'Palabra no opera'!$A$2&amp;"*"))</f>
        <v>0</v>
      </c>
    </row>
    <row r="1705" spans="1:26" ht="22.35" customHeight="1" x14ac:dyDescent="0.3">
      <c r="A1705" s="325" t="str">
        <f>+IF(PROVEEDORES[[#This Row],[FECHA DE PAGO]]=PROVEEDORES[[#This Row],[FECHA DE FACTURACIÓN]],"DE CONTADO","CRÉDITO")</f>
        <v>CRÉDITO</v>
      </c>
      <c r="B1705" s="38" t="str">
        <f>+IF((PROVEEDORES[[#This Row],[FECHA DE PAGO]]-PROVEEDORES[[#This Row],[FECHA DE FACTURACIÓN]])&gt;PROVEEDORES[[#This Row],[PLAZO Días]],"PAGO VENCIDO")</f>
        <v>PAGO VENCIDO</v>
      </c>
      <c r="C1705" s="20">
        <f>+VLOOKUP(PROVEEDORES[[#This Row],[PROVEEDOR]],TERCEROS_INFO[#All],2,FALSE)</f>
        <v>30</v>
      </c>
      <c r="D1705" s="25">
        <f>+SUMIFS(PROVEEDORES[Total],PROVEEDORES[PROVEEDOR],PROVEEDORES[[#This Row],[PROVEEDOR]],PROVEEDORES[FECHA DE PAGO],"")</f>
        <v>3669750</v>
      </c>
      <c r="E1705" s="25"/>
      <c r="F1705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705" s="68">
        <v>45128</v>
      </c>
      <c r="H1705" s="26" t="s">
        <v>24</v>
      </c>
      <c r="I1705" s="68">
        <v>45090</v>
      </c>
      <c r="J1705" s="35" t="s">
        <v>1756</v>
      </c>
      <c r="K1705" s="21">
        <v>4904750</v>
      </c>
      <c r="L1705" s="21"/>
      <c r="M1705" s="22">
        <f>(PROVEEDORES[[#This Row],[SUBTOTAL]]-PROVEEDORES[[#This Row],[descuento sobre subtotal]])*VLOOKUP(PROVEEDORES[[#This Row],[PROVEEDOR]],TERCEROS_INFO[#All],3,FALSE)</f>
        <v>931902.5</v>
      </c>
      <c r="N1705" s="23"/>
      <c r="O1705" s="22">
        <f>+PROVEEDORES[[#This Row],[Descuento sobre subtotal %]]*(PROVEEDORES[[#This Row],[SUBTOTAL]]-PROVEEDORES[[#This Row],[descuento sobre subtotal]])</f>
        <v>0</v>
      </c>
      <c r="P1705" s="74">
        <f>+IF(PROVEEDORES[[#This Row],[SUBTOTAL]]&lt;PROVEEDORES[[#This Row],[base retencion]],0,PROVEEDORES[[#This Row],[retención aplicada]])</f>
        <v>2.5000000000000001E-2</v>
      </c>
      <c r="Q1705" s="22">
        <f>+PROVEEDORES[[#This Row],[Rete Fuente %]]*(PROVEEDORES[[#This Row],[SUBTOTAL]]-PROVEEDORES[[#This Row],[descuento sobre subtotal]])</f>
        <v>122618.75</v>
      </c>
      <c r="R1705" s="21">
        <f>+PROVEEDORES[[#This Row],[SUBTOTAL]]+PROVEEDORES[[#This Row],[IVA 19%]]-PROVEEDORES[[#This Row],[descuento sobre subtotal]]-PROVEEDORES[[#This Row],[Descuento sobre subtotal $2]]-PROVEEDORES[[#This Row],[Rete Fuente $]]</f>
        <v>5714033.75</v>
      </c>
      <c r="S1705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5" s="63">
        <f ca="1">IF(PROVEEDORES[[#This Row],[FECHA DE PAGO]]=0,TODAY()-PROVEEDORES[[#This Row],[FECHA DE FACTURACIÓN]]-PROVEEDORES[[#This Row],[PLAZO Días]],0)</f>
        <v>0</v>
      </c>
      <c r="U1705" s="104" t="str">
        <f>+VLOOKUP(PROVEEDORES[[#This Row],[PROVEEDOR]],Terceros!$A:$D,4,FALSE)</f>
        <v>2,5% con base</v>
      </c>
      <c r="V1705" s="105">
        <f>+YEAR(PROVEEDORES[[#This Row],[FECHA DE FACTURACIÓN]])</f>
        <v>2023</v>
      </c>
      <c r="W1705" s="105">
        <f>+MATCH(PROVEEDORES[[#This Row],[año facturado]],Retenciones!$1:$1,0)</f>
        <v>6</v>
      </c>
      <c r="X1705" s="106">
        <f>+VLOOKUP(PROVEEDORES[[#This Row],[ID RETENCION]],Retenciones!$A$1:$O$25,PROVEEDORES[[#This Row],[indicador de columna]],FALSE)</f>
        <v>1145000</v>
      </c>
      <c r="Y1705" s="107">
        <f>+VLOOKUP(PROVEEDORES[[#This Row],[ID RETENCION]],Retenciones!$A$1:$O$25,2,FALSE)</f>
        <v>2.5000000000000001E-2</v>
      </c>
      <c r="Z1705" s="116" t="b">
        <f>OR(COUNTIF(PROVEEDORES[[#This Row],[PROVEEDOR]],"*"&amp;'Palabra no opera'!$A$2&amp;"*"))</f>
        <v>0</v>
      </c>
    </row>
    <row r="1706" spans="1:26" ht="22.35" customHeight="1" x14ac:dyDescent="0.3">
      <c r="A1706" s="325" t="str">
        <f>+IF(PROVEEDORES[[#This Row],[FECHA DE PAGO]]=PROVEEDORES[[#This Row],[FECHA DE FACTURACIÓN]],"DE CONTADO","CRÉDITO")</f>
        <v>CRÉDITO</v>
      </c>
      <c r="B1706" s="38" t="str">
        <f>+IF((PROVEEDORES[[#This Row],[FECHA DE PAGO]]-PROVEEDORES[[#This Row],[FECHA DE FACTURACIÓN]])&gt;PROVEEDORES[[#This Row],[PLAZO Días]],"PAGO VENCIDO")</f>
        <v>PAGO VENCIDO</v>
      </c>
      <c r="C1706" s="20">
        <f>+VLOOKUP(PROVEEDORES[[#This Row],[PROVEEDOR]],TERCEROS_INFO[#All],2,FALSE)</f>
        <v>30</v>
      </c>
      <c r="D1706" s="25">
        <f>+SUMIFS(PROVEEDORES[Total],PROVEEDORES[PROVEEDOR],PROVEEDORES[[#This Row],[PROVEEDOR]],PROVEEDORES[FECHA DE PAGO],"")</f>
        <v>17870934.149999999</v>
      </c>
      <c r="E1706" s="25"/>
      <c r="F170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06" s="68">
        <v>45128</v>
      </c>
      <c r="H1706" s="26" t="s">
        <v>18</v>
      </c>
      <c r="I1706" s="68">
        <v>45093</v>
      </c>
      <c r="J1706" s="35" t="s">
        <v>1755</v>
      </c>
      <c r="K1706" s="21">
        <v>2002181</v>
      </c>
      <c r="L1706" s="21"/>
      <c r="M1706" s="22">
        <f>(PROVEEDORES[[#This Row],[SUBTOTAL]]-PROVEEDORES[[#This Row],[descuento sobre subtotal]])*VLOOKUP(PROVEEDORES[[#This Row],[PROVEEDOR]],TERCEROS_INFO[#All],3,FALSE)</f>
        <v>380414.39</v>
      </c>
      <c r="N1706" s="23"/>
      <c r="O1706" s="22">
        <f>+PROVEEDORES[[#This Row],[Descuento sobre subtotal %]]*(PROVEEDORES[[#This Row],[SUBTOTAL]]-PROVEEDORES[[#This Row],[descuento sobre subtotal]])</f>
        <v>0</v>
      </c>
      <c r="P1706" s="74">
        <f>+IF(PROVEEDORES[[#This Row],[SUBTOTAL]]&lt;PROVEEDORES[[#This Row],[base retencion]],0,PROVEEDORES[[#This Row],[retención aplicada]])</f>
        <v>2.5000000000000001E-2</v>
      </c>
      <c r="Q1706" s="22">
        <f>+PROVEEDORES[[#This Row],[Rete Fuente %]]*(PROVEEDORES[[#This Row],[SUBTOTAL]]-PROVEEDORES[[#This Row],[descuento sobre subtotal]])</f>
        <v>50054.525000000001</v>
      </c>
      <c r="R1706" s="21">
        <f>+PROVEEDORES[[#This Row],[SUBTOTAL]]+PROVEEDORES[[#This Row],[IVA 19%]]-PROVEEDORES[[#This Row],[descuento sobre subtotal]]-PROVEEDORES[[#This Row],[Descuento sobre subtotal $2]]-PROVEEDORES[[#This Row],[Rete Fuente $]]</f>
        <v>2332540.8650000002</v>
      </c>
      <c r="S1706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6" s="63">
        <f ca="1">IF(PROVEEDORES[[#This Row],[FECHA DE PAGO]]=0,TODAY()-PROVEEDORES[[#This Row],[FECHA DE FACTURACIÓN]]-PROVEEDORES[[#This Row],[PLAZO Días]],0)</f>
        <v>0</v>
      </c>
      <c r="U1706" s="104" t="str">
        <f>+VLOOKUP(PROVEEDORES[[#This Row],[PROVEEDOR]],Terceros!$A:$D,4,FALSE)</f>
        <v>2,5% con base</v>
      </c>
      <c r="V1706" s="105">
        <f>+YEAR(PROVEEDORES[[#This Row],[FECHA DE FACTURACIÓN]])</f>
        <v>2023</v>
      </c>
      <c r="W1706" s="105">
        <f>+MATCH(PROVEEDORES[[#This Row],[año facturado]],Retenciones!$1:$1,0)</f>
        <v>6</v>
      </c>
      <c r="X1706" s="106">
        <f>+VLOOKUP(PROVEEDORES[[#This Row],[ID RETENCION]],Retenciones!$A$1:$O$25,PROVEEDORES[[#This Row],[indicador de columna]],FALSE)</f>
        <v>1145000</v>
      </c>
      <c r="Y1706" s="107">
        <f>+VLOOKUP(PROVEEDORES[[#This Row],[ID RETENCION]],Retenciones!$A$1:$O$25,2,FALSE)</f>
        <v>2.5000000000000001E-2</v>
      </c>
      <c r="Z1706" s="116" t="b">
        <f>OR(COUNTIF(PROVEEDORES[[#This Row],[PROVEEDOR]],"*"&amp;'Palabra no opera'!$A$2&amp;"*"))</f>
        <v>0</v>
      </c>
    </row>
    <row r="1707" spans="1:26" ht="22.35" customHeight="1" x14ac:dyDescent="0.3">
      <c r="A1707" s="316" t="str">
        <f>+IF(PROVEEDORES[[#This Row],[FECHA DE PAGO]]=PROVEEDORES[[#This Row],[FECHA DE FACTURACIÓN]],"DE CONTADO","CRÉDITO")</f>
        <v>CRÉDITO</v>
      </c>
      <c r="B1707" s="38" t="str">
        <f>+IF((PROVEEDORES[[#This Row],[FECHA DE PAGO]]-PROVEEDORES[[#This Row],[FECHA DE FACTURACIÓN]])&gt;PROVEEDORES[[#This Row],[PLAZO Días]],"PAGO VENCIDO")</f>
        <v>PAGO VENCIDO</v>
      </c>
      <c r="C1707" s="20">
        <f>+VLOOKUP(PROVEEDORES[[#This Row],[PROVEEDOR]],TERCEROS_INFO[#All],2,FALSE)</f>
        <v>30</v>
      </c>
      <c r="D1707" s="25">
        <f>+SUMIFS(PROVEEDORES[Total],PROVEEDORES[PROVEEDOR],PROVEEDORES[[#This Row],[PROVEEDOR]],PROVEEDORES[FECHA DE PAGO],"")</f>
        <v>10321993.199999999</v>
      </c>
      <c r="E1707" s="25"/>
      <c r="F170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07" s="68">
        <v>45128</v>
      </c>
      <c r="H1707" s="26" t="s">
        <v>1068</v>
      </c>
      <c r="I1707" s="68">
        <v>45072</v>
      </c>
      <c r="J1707" s="35" t="s">
        <v>1712</v>
      </c>
      <c r="K1707" s="21">
        <v>470000</v>
      </c>
      <c r="L1707" s="21"/>
      <c r="M1707" s="22">
        <f>(PROVEEDORES[[#This Row],[SUBTOTAL]]-PROVEEDORES[[#This Row],[descuento sobre subtotal]])*VLOOKUP(PROVEEDORES[[#This Row],[PROVEEDOR]],TERCEROS_INFO[#All],3,FALSE)</f>
        <v>89300</v>
      </c>
      <c r="N1707" s="23"/>
      <c r="O1707" s="22">
        <f>+PROVEEDORES[[#This Row],[Descuento sobre subtotal %]]*(PROVEEDORES[[#This Row],[SUBTOTAL]]-PROVEEDORES[[#This Row],[descuento sobre subtotal]])</f>
        <v>0</v>
      </c>
      <c r="P1707" s="74">
        <f>+IF(PROVEEDORES[[#This Row],[SUBTOTAL]]&lt;PROVEEDORES[[#This Row],[base retencion]],0,PROVEEDORES[[#This Row],[retención aplicada]])</f>
        <v>0</v>
      </c>
      <c r="Q1707" s="22">
        <f>+PROVEEDORES[[#This Row],[Rete Fuente %]]*(PROVEEDORES[[#This Row],[SUBTOTAL]]-PROVEEDORES[[#This Row],[descuento sobre subtotal]])</f>
        <v>0</v>
      </c>
      <c r="R1707" s="21">
        <f>+PROVEEDORES[[#This Row],[SUBTOTAL]]+PROVEEDORES[[#This Row],[IVA 19%]]-PROVEEDORES[[#This Row],[descuento sobre subtotal]]-PROVEEDORES[[#This Row],[Descuento sobre subtotal $2]]-PROVEEDORES[[#This Row],[Rete Fuente $]]</f>
        <v>559300</v>
      </c>
      <c r="S1707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7" s="63">
        <f ca="1">IF(PROVEEDORES[[#This Row],[FECHA DE PAGO]]=0,TODAY()-PROVEEDORES[[#This Row],[FECHA DE FACTURACIÓN]]-PROVEEDORES[[#This Row],[PLAZO Días]],0)</f>
        <v>0</v>
      </c>
      <c r="U1707" s="104" t="str">
        <f>+VLOOKUP(PROVEEDORES[[#This Row],[PROVEEDOR]],Terceros!$A:$D,4,FALSE)</f>
        <v>2,5% con base</v>
      </c>
      <c r="V1707" s="105">
        <f>+YEAR(PROVEEDORES[[#This Row],[FECHA DE FACTURACIÓN]])</f>
        <v>2023</v>
      </c>
      <c r="W1707" s="105">
        <f>+MATCH(PROVEEDORES[[#This Row],[año facturado]],Retenciones!$1:$1,0)</f>
        <v>6</v>
      </c>
      <c r="X1707" s="106">
        <f>+VLOOKUP(PROVEEDORES[[#This Row],[ID RETENCION]],Retenciones!$A$1:$O$25,PROVEEDORES[[#This Row],[indicador de columna]],FALSE)</f>
        <v>1145000</v>
      </c>
      <c r="Y1707" s="107">
        <f>+VLOOKUP(PROVEEDORES[[#This Row],[ID RETENCION]],Retenciones!$A$1:$O$25,2,FALSE)</f>
        <v>2.5000000000000001E-2</v>
      </c>
      <c r="Z1707" s="116" t="b">
        <f>OR(COUNTIF(PROVEEDORES[[#This Row],[PROVEEDOR]],"*"&amp;'Palabra no opera'!$A$2&amp;"*"))</f>
        <v>0</v>
      </c>
    </row>
    <row r="1708" spans="1:26" ht="22.35" customHeight="1" x14ac:dyDescent="0.3">
      <c r="A1708" s="325" t="str">
        <f>+IF(PROVEEDORES[[#This Row],[FECHA DE PAGO]]=PROVEEDORES[[#This Row],[FECHA DE FACTURACIÓN]],"DE CONTADO","CRÉDITO")</f>
        <v>CRÉDITO</v>
      </c>
      <c r="B1708" s="38" t="str">
        <f>+IF((PROVEEDORES[[#This Row],[FECHA DE PAGO]]-PROVEEDORES[[#This Row],[FECHA DE FACTURACIÓN]])&gt;PROVEEDORES[[#This Row],[PLAZO Días]],"PAGO VENCIDO")</f>
        <v>PAGO VENCIDO</v>
      </c>
      <c r="C1708" s="20">
        <f>+VLOOKUP(PROVEEDORES[[#This Row],[PROVEEDOR]],TERCEROS_INFO[#All],2,FALSE)</f>
        <v>30</v>
      </c>
      <c r="D1708" s="25">
        <f>+SUMIFS(PROVEEDORES[Total],PROVEEDORES[PROVEEDOR],PROVEEDORES[[#This Row],[PROVEEDOR]],PROVEEDORES[FECHA DE PAGO],"")</f>
        <v>10321993.199999999</v>
      </c>
      <c r="E1708" s="25"/>
      <c r="F170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08" s="68">
        <v>45128</v>
      </c>
      <c r="H1708" s="26" t="s">
        <v>1068</v>
      </c>
      <c r="I1708" s="68">
        <v>45090</v>
      </c>
      <c r="J1708" s="35" t="s">
        <v>1751</v>
      </c>
      <c r="K1708" s="21">
        <v>2058355</v>
      </c>
      <c r="L1708" s="21">
        <v>158335</v>
      </c>
      <c r="M1708" s="22">
        <f>(PROVEEDORES[[#This Row],[SUBTOTAL]]-PROVEEDORES[[#This Row],[descuento sobre subtotal]])*VLOOKUP(PROVEEDORES[[#This Row],[PROVEEDOR]],TERCEROS_INFO[#All],3,FALSE)</f>
        <v>361003.8</v>
      </c>
      <c r="N1708" s="23"/>
      <c r="O1708" s="22">
        <f>+PROVEEDORES[[#This Row],[Descuento sobre subtotal %]]*(PROVEEDORES[[#This Row],[SUBTOTAL]]-PROVEEDORES[[#This Row],[descuento sobre subtotal]])</f>
        <v>0</v>
      </c>
      <c r="P1708" s="74">
        <f>+IF(PROVEEDORES[[#This Row],[SUBTOTAL]]&lt;PROVEEDORES[[#This Row],[base retencion]],0,PROVEEDORES[[#This Row],[retención aplicada]])</f>
        <v>2.5000000000000001E-2</v>
      </c>
      <c r="Q1708" s="22">
        <f>+PROVEEDORES[[#This Row],[Rete Fuente %]]*(PROVEEDORES[[#This Row],[SUBTOTAL]]-PROVEEDORES[[#This Row],[descuento sobre subtotal]])</f>
        <v>47500.5</v>
      </c>
      <c r="R1708" s="21">
        <f>+PROVEEDORES[[#This Row],[SUBTOTAL]]+PROVEEDORES[[#This Row],[IVA 19%]]-PROVEEDORES[[#This Row],[descuento sobre subtotal]]-PROVEEDORES[[#This Row],[Descuento sobre subtotal $2]]-PROVEEDORES[[#This Row],[Rete Fuente $]]</f>
        <v>2213523.2999999998</v>
      </c>
      <c r="S1708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8" s="63">
        <f ca="1">IF(PROVEEDORES[[#This Row],[FECHA DE PAGO]]=0,TODAY()-PROVEEDORES[[#This Row],[FECHA DE FACTURACIÓN]]-PROVEEDORES[[#This Row],[PLAZO Días]],0)</f>
        <v>0</v>
      </c>
      <c r="U1708" s="104" t="str">
        <f>+VLOOKUP(PROVEEDORES[[#This Row],[PROVEEDOR]],Terceros!$A:$D,4,FALSE)</f>
        <v>2,5% con base</v>
      </c>
      <c r="V1708" s="105">
        <f>+YEAR(PROVEEDORES[[#This Row],[FECHA DE FACTURACIÓN]])</f>
        <v>2023</v>
      </c>
      <c r="W1708" s="105">
        <f>+MATCH(PROVEEDORES[[#This Row],[año facturado]],Retenciones!$1:$1,0)</f>
        <v>6</v>
      </c>
      <c r="X1708" s="106">
        <f>+VLOOKUP(PROVEEDORES[[#This Row],[ID RETENCION]],Retenciones!$A$1:$O$25,PROVEEDORES[[#This Row],[indicador de columna]],FALSE)</f>
        <v>1145000</v>
      </c>
      <c r="Y1708" s="107">
        <f>+VLOOKUP(PROVEEDORES[[#This Row],[ID RETENCION]],Retenciones!$A$1:$O$25,2,FALSE)</f>
        <v>2.5000000000000001E-2</v>
      </c>
      <c r="Z1708" s="116" t="b">
        <f>OR(COUNTIF(PROVEEDORES[[#This Row],[PROVEEDOR]],"*"&amp;'Palabra no opera'!$A$2&amp;"*"))</f>
        <v>0</v>
      </c>
    </row>
    <row r="1709" spans="1:26" ht="22.35" customHeight="1" x14ac:dyDescent="0.3">
      <c r="A1709" s="325" t="str">
        <f>+IF(PROVEEDORES[[#This Row],[FECHA DE PAGO]]=PROVEEDORES[[#This Row],[FECHA DE FACTURACIÓN]],"DE CONTADO","CRÉDITO")</f>
        <v>CRÉDITO</v>
      </c>
      <c r="B1709" s="38" t="str">
        <f>+IF((PROVEEDORES[[#This Row],[FECHA DE PAGO]]-PROVEEDORES[[#This Row],[FECHA DE FACTURACIÓN]])&gt;PROVEEDORES[[#This Row],[PLAZO Días]],"PAGO VENCIDO")</f>
        <v>PAGO VENCIDO</v>
      </c>
      <c r="C1709" s="20">
        <f>+VLOOKUP(PROVEEDORES[[#This Row],[PROVEEDOR]],TERCEROS_INFO[#All],2,FALSE)</f>
        <v>30</v>
      </c>
      <c r="D1709" s="25">
        <f>+SUMIFS(PROVEEDORES[Total],PROVEEDORES[PROVEEDOR],PROVEEDORES[[#This Row],[PROVEEDOR]],PROVEEDORES[FECHA DE PAGO],"")</f>
        <v>10321993.199999999</v>
      </c>
      <c r="E1709" s="25"/>
      <c r="F170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09" s="68">
        <v>45128</v>
      </c>
      <c r="H1709" s="26" t="s">
        <v>1068</v>
      </c>
      <c r="I1709" s="68">
        <v>45093</v>
      </c>
      <c r="J1709" s="35" t="s">
        <v>1752</v>
      </c>
      <c r="K1709" s="21">
        <v>1260000</v>
      </c>
      <c r="L1709" s="21"/>
      <c r="M1709" s="22">
        <f>(PROVEEDORES[[#This Row],[SUBTOTAL]]-PROVEEDORES[[#This Row],[descuento sobre subtotal]])*VLOOKUP(PROVEEDORES[[#This Row],[PROVEEDOR]],TERCEROS_INFO[#All],3,FALSE)</f>
        <v>239400</v>
      </c>
      <c r="N1709" s="23"/>
      <c r="O1709" s="22">
        <f>+PROVEEDORES[[#This Row],[Descuento sobre subtotal %]]*(PROVEEDORES[[#This Row],[SUBTOTAL]]-PROVEEDORES[[#This Row],[descuento sobre subtotal]])</f>
        <v>0</v>
      </c>
      <c r="P1709" s="74">
        <f>+IF(PROVEEDORES[[#This Row],[SUBTOTAL]]&lt;PROVEEDORES[[#This Row],[base retencion]],0,PROVEEDORES[[#This Row],[retención aplicada]])</f>
        <v>2.5000000000000001E-2</v>
      </c>
      <c r="Q1709" s="22">
        <f>+PROVEEDORES[[#This Row],[Rete Fuente %]]*(PROVEEDORES[[#This Row],[SUBTOTAL]]-PROVEEDORES[[#This Row],[descuento sobre subtotal]])</f>
        <v>31500</v>
      </c>
      <c r="R1709" s="21">
        <f>+PROVEEDORES[[#This Row],[SUBTOTAL]]+PROVEEDORES[[#This Row],[IVA 19%]]-PROVEEDORES[[#This Row],[descuento sobre subtotal]]-PROVEEDORES[[#This Row],[Descuento sobre subtotal $2]]-PROVEEDORES[[#This Row],[Rete Fuente $]]</f>
        <v>1467900</v>
      </c>
      <c r="S1709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9" s="63">
        <f ca="1">IF(PROVEEDORES[[#This Row],[FECHA DE PAGO]]=0,TODAY()-PROVEEDORES[[#This Row],[FECHA DE FACTURACIÓN]]-PROVEEDORES[[#This Row],[PLAZO Días]],0)</f>
        <v>0</v>
      </c>
      <c r="U1709" s="104" t="str">
        <f>+VLOOKUP(PROVEEDORES[[#This Row],[PROVEEDOR]],Terceros!$A:$D,4,FALSE)</f>
        <v>2,5% con base</v>
      </c>
      <c r="V1709" s="105">
        <f>+YEAR(PROVEEDORES[[#This Row],[FECHA DE FACTURACIÓN]])</f>
        <v>2023</v>
      </c>
      <c r="W1709" s="105">
        <f>+MATCH(PROVEEDORES[[#This Row],[año facturado]],Retenciones!$1:$1,0)</f>
        <v>6</v>
      </c>
      <c r="X1709" s="106">
        <f>+VLOOKUP(PROVEEDORES[[#This Row],[ID RETENCION]],Retenciones!$A$1:$O$25,PROVEEDORES[[#This Row],[indicador de columna]],FALSE)</f>
        <v>1145000</v>
      </c>
      <c r="Y1709" s="107">
        <f>+VLOOKUP(PROVEEDORES[[#This Row],[ID RETENCION]],Retenciones!$A$1:$O$25,2,FALSE)</f>
        <v>2.5000000000000001E-2</v>
      </c>
      <c r="Z1709" s="116" t="b">
        <f>OR(COUNTIF(PROVEEDORES[[#This Row],[PROVEEDOR]],"*"&amp;'Palabra no opera'!$A$2&amp;"*"))</f>
        <v>0</v>
      </c>
    </row>
    <row r="1710" spans="1:26" ht="22.35" customHeight="1" x14ac:dyDescent="0.3">
      <c r="A1710" s="325" t="str">
        <f>+IF(PROVEEDORES[[#This Row],[FECHA DE PAGO]]=PROVEEDORES[[#This Row],[FECHA DE FACTURACIÓN]],"DE CONTADO","CRÉDITO")</f>
        <v>CRÉDITO</v>
      </c>
      <c r="B1710" s="38" t="str">
        <f>+IF((PROVEEDORES[[#This Row],[FECHA DE PAGO]]-PROVEEDORES[[#This Row],[FECHA DE FACTURACIÓN]])&gt;PROVEEDORES[[#This Row],[PLAZO Días]],"PAGO VENCIDO")</f>
        <v>PAGO VENCIDO</v>
      </c>
      <c r="C1710" s="20">
        <f>+VLOOKUP(PROVEEDORES[[#This Row],[PROVEEDOR]],TERCEROS_INFO[#All],2,FALSE)</f>
        <v>30</v>
      </c>
      <c r="D1710" s="25">
        <f>+SUMIFS(PROVEEDORES[Total],PROVEEDORES[PROVEEDOR],PROVEEDORES[[#This Row],[PROVEEDOR]],PROVEEDORES[FECHA DE PAGO],"")</f>
        <v>10321993.199999999</v>
      </c>
      <c r="E1710" s="25"/>
      <c r="F1710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10" s="68">
        <v>45128</v>
      </c>
      <c r="H1710" s="26" t="s">
        <v>1068</v>
      </c>
      <c r="I1710" s="68">
        <v>45093</v>
      </c>
      <c r="J1710" s="35" t="s">
        <v>1753</v>
      </c>
      <c r="K1710" s="21">
        <v>776000</v>
      </c>
      <c r="L1710" s="21"/>
      <c r="M1710" s="22">
        <f>(PROVEEDORES[[#This Row],[SUBTOTAL]]-PROVEEDORES[[#This Row],[descuento sobre subtotal]])*VLOOKUP(PROVEEDORES[[#This Row],[PROVEEDOR]],TERCEROS_INFO[#All],3,FALSE)</f>
        <v>147440</v>
      </c>
      <c r="N1710" s="23"/>
      <c r="O1710" s="22">
        <f>+PROVEEDORES[[#This Row],[Descuento sobre subtotal %]]*(PROVEEDORES[[#This Row],[SUBTOTAL]]-PROVEEDORES[[#This Row],[descuento sobre subtotal]])</f>
        <v>0</v>
      </c>
      <c r="P1710" s="74">
        <f>+IF(PROVEEDORES[[#This Row],[SUBTOTAL]]&lt;PROVEEDORES[[#This Row],[base retencion]],0,PROVEEDORES[[#This Row],[retención aplicada]])</f>
        <v>0</v>
      </c>
      <c r="Q1710" s="22">
        <f>+PROVEEDORES[[#This Row],[Rete Fuente %]]*(PROVEEDORES[[#This Row],[SUBTOTAL]]-PROVEEDORES[[#This Row],[descuento sobre subtotal]])</f>
        <v>0</v>
      </c>
      <c r="R1710" s="21">
        <f>+PROVEEDORES[[#This Row],[SUBTOTAL]]+PROVEEDORES[[#This Row],[IVA 19%]]-PROVEEDORES[[#This Row],[descuento sobre subtotal]]-PROVEEDORES[[#This Row],[Descuento sobre subtotal $2]]-PROVEEDORES[[#This Row],[Rete Fuente $]]</f>
        <v>923440</v>
      </c>
      <c r="S1710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0" s="63">
        <f ca="1">IF(PROVEEDORES[[#This Row],[FECHA DE PAGO]]=0,TODAY()-PROVEEDORES[[#This Row],[FECHA DE FACTURACIÓN]]-PROVEEDORES[[#This Row],[PLAZO Días]],0)</f>
        <v>0</v>
      </c>
      <c r="U1710" s="104" t="str">
        <f>+VLOOKUP(PROVEEDORES[[#This Row],[PROVEEDOR]],Terceros!$A:$D,4,FALSE)</f>
        <v>2,5% con base</v>
      </c>
      <c r="V1710" s="105">
        <f>+YEAR(PROVEEDORES[[#This Row],[FECHA DE FACTURACIÓN]])</f>
        <v>2023</v>
      </c>
      <c r="W1710" s="105">
        <f>+MATCH(PROVEEDORES[[#This Row],[año facturado]],Retenciones!$1:$1,0)</f>
        <v>6</v>
      </c>
      <c r="X1710" s="106">
        <f>+VLOOKUP(PROVEEDORES[[#This Row],[ID RETENCION]],Retenciones!$A$1:$O$25,PROVEEDORES[[#This Row],[indicador de columna]],FALSE)</f>
        <v>1145000</v>
      </c>
      <c r="Y1710" s="107">
        <f>+VLOOKUP(PROVEEDORES[[#This Row],[ID RETENCION]],Retenciones!$A$1:$O$25,2,FALSE)</f>
        <v>2.5000000000000001E-2</v>
      </c>
      <c r="Z1710" s="116" t="b">
        <f>OR(COUNTIF(PROVEEDORES[[#This Row],[PROVEEDOR]],"*"&amp;'Palabra no opera'!$A$2&amp;"*"))</f>
        <v>0</v>
      </c>
    </row>
    <row r="1711" spans="1:26" ht="22.35" customHeight="1" x14ac:dyDescent="0.3">
      <c r="A1711" s="67" t="str">
        <f>+IF(PROVEEDORES[[#This Row],[FECHA DE PAGO]]=PROVEEDORES[[#This Row],[FECHA DE FACTURACIÓN]],"DE CONTADO","CRÉDITO")</f>
        <v>CRÉDITO</v>
      </c>
      <c r="B1711" s="38" t="b">
        <f>+IF((PROVEEDORES[[#This Row],[FECHA DE PAGO]]-PROVEEDORES[[#This Row],[FECHA DE FACTURACIÓN]])&gt;PROVEEDORES[[#This Row],[PLAZO Días]],"PAGO VENCIDO")</f>
        <v>0</v>
      </c>
      <c r="C1711" s="20">
        <f>+VLOOKUP(PROVEEDORES[[#This Row],[PROVEEDOR]],TERCEROS_INFO[#All],2,FALSE)</f>
        <v>30</v>
      </c>
      <c r="D1711" s="25">
        <f>+SUMIFS(PROVEEDORES[Total],PROVEEDORES[PROVEEDOR],PROVEEDORES[[#This Row],[PROVEEDOR]],PROVEEDORES[FECHA DE PAGO],"")</f>
        <v>10321993.199999999</v>
      </c>
      <c r="E1711" s="25"/>
      <c r="F171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11" s="68">
        <v>45128</v>
      </c>
      <c r="H1711" s="26" t="s">
        <v>1068</v>
      </c>
      <c r="I1711" s="68">
        <v>45100</v>
      </c>
      <c r="J1711" s="35" t="s">
        <v>1781</v>
      </c>
      <c r="K1711" s="21">
        <v>252000</v>
      </c>
      <c r="L1711" s="21"/>
      <c r="M1711" s="22">
        <f>(PROVEEDORES[[#This Row],[SUBTOTAL]]-PROVEEDORES[[#This Row],[descuento sobre subtotal]])*VLOOKUP(PROVEEDORES[[#This Row],[PROVEEDOR]],TERCEROS_INFO[#All],3,FALSE)</f>
        <v>47880</v>
      </c>
      <c r="N1711" s="23"/>
      <c r="O1711" s="22">
        <f>+PROVEEDORES[[#This Row],[Descuento sobre subtotal %]]*(PROVEEDORES[[#This Row],[SUBTOTAL]]-PROVEEDORES[[#This Row],[descuento sobre subtotal]])</f>
        <v>0</v>
      </c>
      <c r="P1711" s="74">
        <f>+IF(PROVEEDORES[[#This Row],[SUBTOTAL]]&lt;PROVEEDORES[[#This Row],[base retencion]],0,PROVEEDORES[[#This Row],[retención aplicada]])</f>
        <v>0</v>
      </c>
      <c r="Q1711" s="22">
        <f>+PROVEEDORES[[#This Row],[Rete Fuente %]]*(PROVEEDORES[[#This Row],[SUBTOTAL]]-PROVEEDORES[[#This Row],[descuento sobre subtotal]])</f>
        <v>0</v>
      </c>
      <c r="R1711" s="21">
        <f>+PROVEEDORES[[#This Row],[SUBTOTAL]]+PROVEEDORES[[#This Row],[IVA 19%]]-PROVEEDORES[[#This Row],[descuento sobre subtotal]]-PROVEEDORES[[#This Row],[Descuento sobre subtotal $2]]-PROVEEDORES[[#This Row],[Rete Fuente $]]</f>
        <v>299880</v>
      </c>
      <c r="S17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1" s="63">
        <f ca="1">IF(PROVEEDORES[[#This Row],[FECHA DE PAGO]]=0,TODAY()-PROVEEDORES[[#This Row],[FECHA DE FACTURACIÓN]]-PROVEEDORES[[#This Row],[PLAZO Días]],0)</f>
        <v>0</v>
      </c>
      <c r="U1711" s="104" t="str">
        <f>+VLOOKUP(PROVEEDORES[[#This Row],[PROVEEDOR]],Terceros!$A:$D,4,FALSE)</f>
        <v>2,5% con base</v>
      </c>
      <c r="V1711" s="105">
        <f>+YEAR(PROVEEDORES[[#This Row],[FECHA DE FACTURACIÓN]])</f>
        <v>2023</v>
      </c>
      <c r="W1711" s="105">
        <f>+MATCH(PROVEEDORES[[#This Row],[año facturado]],Retenciones!$1:$1,0)</f>
        <v>6</v>
      </c>
      <c r="X1711" s="106">
        <f>+VLOOKUP(PROVEEDORES[[#This Row],[ID RETENCION]],Retenciones!$A$1:$O$25,PROVEEDORES[[#This Row],[indicador de columna]],FALSE)</f>
        <v>1145000</v>
      </c>
      <c r="Y1711" s="107">
        <f>+VLOOKUP(PROVEEDORES[[#This Row],[ID RETENCION]],Retenciones!$A$1:$O$25,2,FALSE)</f>
        <v>2.5000000000000001E-2</v>
      </c>
      <c r="Z1711" s="116" t="b">
        <f>OR(COUNTIF(PROVEEDORES[[#This Row],[PROVEEDOR]],"*"&amp;'Palabra no opera'!$A$2&amp;"*"))</f>
        <v>0</v>
      </c>
    </row>
    <row r="1712" spans="1:26" ht="22.35" customHeight="1" x14ac:dyDescent="0.3">
      <c r="A1712" s="67" t="str">
        <f>+IF(PROVEEDORES[[#This Row],[FECHA DE PAGO]]=PROVEEDORES[[#This Row],[FECHA DE FACTURACIÓN]],"DE CONTADO","CRÉDITO")</f>
        <v>CRÉDITO</v>
      </c>
      <c r="B1712" s="38" t="b">
        <f>+IF((PROVEEDORES[[#This Row],[FECHA DE PAGO]]-PROVEEDORES[[#This Row],[FECHA DE FACTURACIÓN]])&gt;PROVEEDORES[[#This Row],[PLAZO Días]],"PAGO VENCIDO")</f>
        <v>0</v>
      </c>
      <c r="C1712" s="20">
        <f>+VLOOKUP(PROVEEDORES[[#This Row],[PROVEEDOR]],TERCEROS_INFO[#All],2,FALSE)</f>
        <v>30</v>
      </c>
      <c r="D1712" s="25">
        <f>+SUMIFS(PROVEEDORES[Total],PROVEEDORES[PROVEEDOR],PROVEEDORES[[#This Row],[PROVEEDOR]],PROVEEDORES[FECHA DE PAGO],"")</f>
        <v>0</v>
      </c>
      <c r="E1712" s="25"/>
      <c r="F1712" s="56" t="str">
        <f>+VLOOKUP(PROVEEDORES[[#This Row],[PROVEEDOR]],
                       Terceros!$A:$F,
                       5,
                       FALSE)</f>
        <v/>
      </c>
      <c r="G1712" s="68">
        <v>45129</v>
      </c>
      <c r="H1712" s="26" t="s">
        <v>1194</v>
      </c>
      <c r="I1712" s="68">
        <v>45128</v>
      </c>
      <c r="J1712" s="35" t="s">
        <v>1836</v>
      </c>
      <c r="K1712" s="21">
        <v>1600000</v>
      </c>
      <c r="L1712" s="21"/>
      <c r="M1712" s="22">
        <f>(PROVEEDORES[[#This Row],[SUBTOTAL]]-PROVEEDORES[[#This Row],[descuento sobre subtotal]])*VLOOKUP(PROVEEDORES[[#This Row],[PROVEEDOR]],TERCEROS_INFO[#All],3,FALSE)</f>
        <v>0</v>
      </c>
      <c r="N1712" s="23"/>
      <c r="O1712" s="22">
        <f>+PROVEEDORES[[#This Row],[Descuento sobre subtotal %]]*(PROVEEDORES[[#This Row],[SUBTOTAL]]-PROVEEDORES[[#This Row],[descuento sobre subtotal]])</f>
        <v>0</v>
      </c>
      <c r="P1712" s="74">
        <f>+IF(PROVEEDORES[[#This Row],[SUBTOTAL]]&lt;PROVEEDORES[[#This Row],[base retencion]],0,PROVEEDORES[[#This Row],[retención aplicada]])</f>
        <v>0</v>
      </c>
      <c r="Q1712" s="22">
        <f>+PROVEEDORES[[#This Row],[Rete Fuente %]]*(PROVEEDORES[[#This Row],[SUBTOTAL]]-PROVEEDORES[[#This Row],[descuento sobre subtotal]])</f>
        <v>0</v>
      </c>
      <c r="R1712" s="21">
        <f>+PROVEEDORES[[#This Row],[SUBTOTAL]]+PROVEEDORES[[#This Row],[IVA 19%]]-PROVEEDORES[[#This Row],[descuento sobre subtotal]]-PROVEEDORES[[#This Row],[Descuento sobre subtotal $2]]-PROVEEDORES[[#This Row],[Rete Fuente $]]</f>
        <v>1600000</v>
      </c>
      <c r="S17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2" s="63">
        <f ca="1">IF(PROVEEDORES[[#This Row],[FECHA DE PAGO]]=0,TODAY()-PROVEEDORES[[#This Row],[FECHA DE FACTURACIÓN]]-PROVEEDORES[[#This Row],[PLAZO Días]],0)</f>
        <v>0</v>
      </c>
      <c r="U1712" s="104">
        <f>+VLOOKUP(PROVEEDORES[[#This Row],[PROVEEDOR]],Terceros!$A:$D,4,FALSE)</f>
        <v>0</v>
      </c>
      <c r="V1712" s="105">
        <f>+YEAR(PROVEEDORES[[#This Row],[FECHA DE FACTURACIÓN]])</f>
        <v>2023</v>
      </c>
      <c r="W1712" s="105">
        <f>+MATCH(PROVEEDORES[[#This Row],[año facturado]],Retenciones!$1:$1,0)</f>
        <v>6</v>
      </c>
      <c r="X1712" s="106">
        <f>+VLOOKUP(PROVEEDORES[[#This Row],[ID RETENCION]],Retenciones!$A$1:$O$25,PROVEEDORES[[#This Row],[indicador de columna]],FALSE)</f>
        <v>0</v>
      </c>
      <c r="Y1712" s="107">
        <f>+VLOOKUP(PROVEEDORES[[#This Row],[ID RETENCION]],Retenciones!$A$1:$O$25,2,FALSE)</f>
        <v>0</v>
      </c>
      <c r="Z1712" s="116" t="b">
        <f>OR(COUNTIF(PROVEEDORES[[#This Row],[PROVEEDOR]],"*"&amp;'Palabra no opera'!$A$2&amp;"*"))</f>
        <v>0</v>
      </c>
    </row>
    <row r="1713" spans="1:26" ht="22.35" customHeight="1" x14ac:dyDescent="0.3">
      <c r="A1713" s="67" t="str">
        <f>+IF(PROVEEDORES[[#This Row],[FECHA DE PAGO]]=PROVEEDORES[[#This Row],[FECHA DE FACTURACIÓN]],"DE CONTADO","CRÉDITO")</f>
        <v>DE CONTADO</v>
      </c>
      <c r="B1713" s="38" t="b">
        <f>+IF((PROVEEDORES[[#This Row],[FECHA DE PAGO]]-PROVEEDORES[[#This Row],[FECHA DE FACTURACIÓN]])&gt;PROVEEDORES[[#This Row],[PLAZO Días]],"PAGO VENCIDO")</f>
        <v>0</v>
      </c>
      <c r="C1713" s="20">
        <f>+VLOOKUP(PROVEEDORES[[#This Row],[PROVEEDOR]],TERCEROS_INFO[#All],2,FALSE)</f>
        <v>30</v>
      </c>
      <c r="D1713" s="25">
        <f>+SUMIFS(PROVEEDORES[Total],PROVEEDORES[PROVEEDOR],PROVEEDORES[[#This Row],[PROVEEDOR]],PROVEEDORES[FECHA DE PAGO],"")</f>
        <v>0</v>
      </c>
      <c r="E1713" s="25"/>
      <c r="F1713" s="56" t="str">
        <f>+VLOOKUP(PROVEEDORES[[#This Row],[PROVEEDOR]],
                       Terceros!$A:$F,
                       5,
                       FALSE)</f>
        <v/>
      </c>
      <c r="G1713" s="68">
        <v>45131</v>
      </c>
      <c r="H1713" s="26" t="s">
        <v>1401</v>
      </c>
      <c r="I1713" s="68">
        <v>45131</v>
      </c>
      <c r="J1713" s="35" t="s">
        <v>1828</v>
      </c>
      <c r="K1713" s="21">
        <v>280000</v>
      </c>
      <c r="L1713" s="21"/>
      <c r="M1713" s="22">
        <f>(PROVEEDORES[[#This Row],[SUBTOTAL]]-PROVEEDORES[[#This Row],[descuento sobre subtotal]])*VLOOKUP(PROVEEDORES[[#This Row],[PROVEEDOR]],TERCEROS_INFO[#All],3,FALSE)</f>
        <v>0</v>
      </c>
      <c r="N1713" s="23"/>
      <c r="O1713" s="22">
        <f>+PROVEEDORES[[#This Row],[Descuento sobre subtotal %]]*(PROVEEDORES[[#This Row],[SUBTOTAL]]-PROVEEDORES[[#This Row],[descuento sobre subtotal]])</f>
        <v>0</v>
      </c>
      <c r="P1713" s="74">
        <f>+IF(PROVEEDORES[[#This Row],[SUBTOTAL]]&lt;PROVEEDORES[[#This Row],[base retencion]],0,PROVEEDORES[[#This Row],[retención aplicada]])</f>
        <v>0</v>
      </c>
      <c r="Q1713" s="22">
        <f>+PROVEEDORES[[#This Row],[Rete Fuente %]]*(PROVEEDORES[[#This Row],[SUBTOTAL]]-PROVEEDORES[[#This Row],[descuento sobre subtotal]])</f>
        <v>0</v>
      </c>
      <c r="R1713" s="21">
        <f>+PROVEEDORES[[#This Row],[SUBTOTAL]]+PROVEEDORES[[#This Row],[IVA 19%]]-PROVEEDORES[[#This Row],[descuento sobre subtotal]]-PROVEEDORES[[#This Row],[Descuento sobre subtotal $2]]-PROVEEDORES[[#This Row],[Rete Fuente $]]</f>
        <v>280000</v>
      </c>
      <c r="S17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3" s="63">
        <f ca="1">IF(PROVEEDORES[[#This Row],[FECHA DE PAGO]]=0,TODAY()-PROVEEDORES[[#This Row],[FECHA DE FACTURACIÓN]]-PROVEEDORES[[#This Row],[PLAZO Días]],0)</f>
        <v>0</v>
      </c>
      <c r="U1713" s="104">
        <f>+VLOOKUP(PROVEEDORES[[#This Row],[PROVEEDOR]],Terceros!$A:$D,4,FALSE)</f>
        <v>0</v>
      </c>
      <c r="V1713" s="105">
        <f>+YEAR(PROVEEDORES[[#This Row],[FECHA DE FACTURACIÓN]])</f>
        <v>2023</v>
      </c>
      <c r="W1713" s="105">
        <f>+MATCH(PROVEEDORES[[#This Row],[año facturado]],Retenciones!$1:$1,0)</f>
        <v>6</v>
      </c>
      <c r="X1713" s="106">
        <f>+VLOOKUP(PROVEEDORES[[#This Row],[ID RETENCION]],Retenciones!$A$1:$O$25,PROVEEDORES[[#This Row],[indicador de columna]],FALSE)</f>
        <v>0</v>
      </c>
      <c r="Y1713" s="107">
        <f>+VLOOKUP(PROVEEDORES[[#This Row],[ID RETENCION]],Retenciones!$A$1:$O$25,2,FALSE)</f>
        <v>0</v>
      </c>
      <c r="Z1713" s="116" t="b">
        <f>OR(COUNTIF(PROVEEDORES[[#This Row],[PROVEEDOR]],"*"&amp;'Palabra no opera'!$A$2&amp;"*"))</f>
        <v>0</v>
      </c>
    </row>
    <row r="1714" spans="1:26" ht="22.35" customHeight="1" x14ac:dyDescent="0.3">
      <c r="A1714" s="331" t="str">
        <f>+IF(PROVEEDORES[[#This Row],[FECHA DE PAGO]]=PROVEEDORES[[#This Row],[FECHA DE FACTURACIÓN]],"DE CONTADO","CRÉDITO")</f>
        <v>CRÉDITO</v>
      </c>
      <c r="B1714" s="38" t="b">
        <f>+IF((PROVEEDORES[[#This Row],[FECHA DE PAGO]]-PROVEEDORES[[#This Row],[FECHA DE FACTURACIÓN]])&gt;PROVEEDORES[[#This Row],[PLAZO Días]],"PAGO VENCIDO")</f>
        <v>0</v>
      </c>
      <c r="C1714" s="20">
        <f>+VLOOKUP(PROVEEDORES[[#This Row],[PROVEEDOR]],TERCEROS_INFO[#All],2,FALSE)</f>
        <v>30</v>
      </c>
      <c r="D1714" s="25">
        <f>+SUMIFS(PROVEEDORES[Total],PROVEEDORES[PROVEEDOR],PROVEEDORES[[#This Row],[PROVEEDOR]],PROVEEDORES[FECHA DE PAGO],"")</f>
        <v>0</v>
      </c>
      <c r="E1714" s="25"/>
      <c r="F1714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14" s="68">
        <v>45131</v>
      </c>
      <c r="H1714" s="26" t="s">
        <v>635</v>
      </c>
      <c r="I1714" s="68">
        <v>45117</v>
      </c>
      <c r="J1714" s="35" t="s">
        <v>1807</v>
      </c>
      <c r="K1714" s="21">
        <v>3456200</v>
      </c>
      <c r="L1714" s="21"/>
      <c r="M1714" s="22">
        <f>(PROVEEDORES[[#This Row],[SUBTOTAL]]-PROVEEDORES[[#This Row],[descuento sobre subtotal]])*VLOOKUP(PROVEEDORES[[#This Row],[PROVEEDOR]],TERCEROS_INFO[#All],3,FALSE)</f>
        <v>0</v>
      </c>
      <c r="N1714" s="23"/>
      <c r="O1714" s="22">
        <f>+PROVEEDORES[[#This Row],[Descuento sobre subtotal %]]*(PROVEEDORES[[#This Row],[SUBTOTAL]]-PROVEEDORES[[#This Row],[descuento sobre subtotal]])</f>
        <v>0</v>
      </c>
      <c r="P1714" s="74">
        <f>+IF(PROVEEDORES[[#This Row],[SUBTOTAL]]&lt;PROVEEDORES[[#This Row],[base retencion]],0,PROVEEDORES[[#This Row],[retención aplicada]])</f>
        <v>3.5000000000000003E-2</v>
      </c>
      <c r="Q1714" s="22">
        <f>+PROVEEDORES[[#This Row],[Rete Fuente %]]*(PROVEEDORES[[#This Row],[SUBTOTAL]]-PROVEEDORES[[#This Row],[descuento sobre subtotal]])</f>
        <v>120967.00000000001</v>
      </c>
      <c r="R1714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1714" s="3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4" s="63">
        <f ca="1">IF(PROVEEDORES[[#This Row],[FECHA DE PAGO]]=0,TODAY()-PROVEEDORES[[#This Row],[FECHA DE FACTURACIÓN]]-PROVEEDORES[[#This Row],[PLAZO Días]],0)</f>
        <v>0</v>
      </c>
      <c r="U1714" s="104" t="str">
        <f>+VLOOKUP(PROVEEDORES[[#This Row],[PROVEEDOR]],Terceros!$A:$D,4,FALSE)</f>
        <v>3,5% sin base</v>
      </c>
      <c r="V1714" s="105">
        <f>+YEAR(PROVEEDORES[[#This Row],[FECHA DE FACTURACIÓN]])</f>
        <v>2023</v>
      </c>
      <c r="W1714" s="105">
        <f>+MATCH(PROVEEDORES[[#This Row],[año facturado]],Retenciones!$1:$1,0)</f>
        <v>6</v>
      </c>
      <c r="X1714" s="106">
        <f>+VLOOKUP(PROVEEDORES[[#This Row],[ID RETENCION]],Retenciones!$A$1:$O$25,PROVEEDORES[[#This Row],[indicador de columna]],FALSE)</f>
        <v>0</v>
      </c>
      <c r="Y1714" s="107">
        <f>+VLOOKUP(PROVEEDORES[[#This Row],[ID RETENCION]],Retenciones!$A$1:$O$25,2,FALSE)</f>
        <v>3.5000000000000003E-2</v>
      </c>
      <c r="Z1714" s="116" t="b">
        <f>OR(COUNTIF(PROVEEDORES[[#This Row],[PROVEEDOR]],"*"&amp;'Palabra no opera'!$A$2&amp;"*"))</f>
        <v>1</v>
      </c>
    </row>
    <row r="1715" spans="1:26" ht="22.35" customHeight="1" x14ac:dyDescent="0.3">
      <c r="A1715" s="331" t="str">
        <f>+IF(PROVEEDORES[[#This Row],[FECHA DE PAGO]]=PROVEEDORES[[#This Row],[FECHA DE FACTURACIÓN]],"DE CONTADO","CRÉDITO")</f>
        <v>CRÉDITO</v>
      </c>
      <c r="B1715" s="38" t="b">
        <f>+IF((PROVEEDORES[[#This Row],[FECHA DE PAGO]]-PROVEEDORES[[#This Row],[FECHA DE FACTURACIÓN]])&gt;PROVEEDORES[[#This Row],[PLAZO Días]],"PAGO VENCIDO")</f>
        <v>0</v>
      </c>
      <c r="C1715" s="20">
        <f>+VLOOKUP(PROVEEDORES[[#This Row],[PROVEEDOR]],TERCEROS_INFO[#All],2,FALSE)</f>
        <v>30</v>
      </c>
      <c r="D1715" s="25">
        <f>+SUMIFS(PROVEEDORES[Total],PROVEEDORES[PROVEEDOR],PROVEEDORES[[#This Row],[PROVEEDOR]],PROVEEDORES[FECHA DE PAGO],"")</f>
        <v>0</v>
      </c>
      <c r="E1715" s="25"/>
      <c r="F171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15" s="68">
        <v>45131</v>
      </c>
      <c r="H1715" s="26" t="s">
        <v>637</v>
      </c>
      <c r="I1715" s="68">
        <v>45108</v>
      </c>
      <c r="J1715" s="35" t="s">
        <v>1805</v>
      </c>
      <c r="K1715" s="21">
        <v>914023</v>
      </c>
      <c r="L1715" s="21"/>
      <c r="M1715" s="22">
        <f>(PROVEEDORES[[#This Row],[SUBTOTAL]]-PROVEEDORES[[#This Row],[descuento sobre subtotal]])*VLOOKUP(PROVEEDORES[[#This Row],[PROVEEDOR]],TERCEROS_INFO[#All],3,FALSE)</f>
        <v>0</v>
      </c>
      <c r="N1715" s="23"/>
      <c r="O1715" s="22">
        <f>+PROVEEDORES[[#This Row],[Descuento sobre subtotal %]]*(PROVEEDORES[[#This Row],[SUBTOTAL]]-PROVEEDORES[[#This Row],[descuento sobre subtotal]])</f>
        <v>0</v>
      </c>
      <c r="P1715" s="74">
        <f>+IF(PROVEEDORES[[#This Row],[SUBTOTAL]]&lt;PROVEEDORES[[#This Row],[base retencion]],0,PROVEEDORES[[#This Row],[retención aplicada]])</f>
        <v>0</v>
      </c>
      <c r="Q1715" s="22">
        <f>+PROVEEDORES[[#This Row],[Rete Fuente %]]*(PROVEEDORES[[#This Row],[SUBTOTAL]]-PROVEEDORES[[#This Row],[descuento sobre subtotal]])</f>
        <v>0</v>
      </c>
      <c r="R1715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715" s="3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5" s="63">
        <f ca="1">IF(PROVEEDORES[[#This Row],[FECHA DE PAGO]]=0,TODAY()-PROVEEDORES[[#This Row],[FECHA DE FACTURACIÓN]]-PROVEEDORES[[#This Row],[PLAZO Días]],0)</f>
        <v>0</v>
      </c>
      <c r="U1715" s="104">
        <f>+VLOOKUP(PROVEEDORES[[#This Row],[PROVEEDOR]],Terceros!$A:$D,4,FALSE)</f>
        <v>0</v>
      </c>
      <c r="V1715" s="105">
        <f>+YEAR(PROVEEDORES[[#This Row],[FECHA DE FACTURACIÓN]])</f>
        <v>2023</v>
      </c>
      <c r="W1715" s="105">
        <f>+MATCH(PROVEEDORES[[#This Row],[año facturado]],Retenciones!$1:$1,0)</f>
        <v>6</v>
      </c>
      <c r="X1715" s="106">
        <f>+VLOOKUP(PROVEEDORES[[#This Row],[ID RETENCION]],Retenciones!$A$1:$O$25,PROVEEDORES[[#This Row],[indicador de columna]],FALSE)</f>
        <v>0</v>
      </c>
      <c r="Y1715" s="107">
        <f>+VLOOKUP(PROVEEDORES[[#This Row],[ID RETENCION]],Retenciones!$A$1:$O$25,2,FALSE)</f>
        <v>0</v>
      </c>
      <c r="Z1715" s="116" t="b">
        <f>OR(COUNTIF(PROVEEDORES[[#This Row],[PROVEEDOR]],"*"&amp;'Palabra no opera'!$A$2&amp;"*"))</f>
        <v>1</v>
      </c>
    </row>
    <row r="1716" spans="1:26" ht="22.35" customHeight="1" x14ac:dyDescent="0.3">
      <c r="A1716" s="331" t="str">
        <f>+IF(PROVEEDORES[[#This Row],[FECHA DE PAGO]]=PROVEEDORES[[#This Row],[FECHA DE FACTURACIÓN]],"DE CONTADO","CRÉDITO")</f>
        <v>CRÉDITO</v>
      </c>
      <c r="B1716" s="38" t="b">
        <f>+IF((PROVEEDORES[[#This Row],[FECHA DE PAGO]]-PROVEEDORES[[#This Row],[FECHA DE FACTURACIÓN]])&gt;PROVEEDORES[[#This Row],[PLAZO Días]],"PAGO VENCIDO")</f>
        <v>0</v>
      </c>
      <c r="C1716" s="20">
        <f>+VLOOKUP(PROVEEDORES[[#This Row],[PROVEEDOR]],TERCEROS_INFO[#All],2,FALSE)</f>
        <v>30</v>
      </c>
      <c r="D1716" s="25">
        <f>+SUMIFS(PROVEEDORES[Total],PROVEEDORES[PROVEEDOR],PROVEEDORES[[#This Row],[PROVEEDOR]],PROVEEDORES[FECHA DE PAGO],"")</f>
        <v>0</v>
      </c>
      <c r="E1716" s="25"/>
      <c r="F171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16" s="68">
        <v>45131</v>
      </c>
      <c r="H1716" s="26" t="s">
        <v>637</v>
      </c>
      <c r="I1716" s="68">
        <v>45108</v>
      </c>
      <c r="J1716" s="35" t="s">
        <v>1806</v>
      </c>
      <c r="K1716" s="21">
        <v>934363</v>
      </c>
      <c r="L1716" s="21"/>
      <c r="M1716" s="22">
        <f>(PROVEEDORES[[#This Row],[SUBTOTAL]]-PROVEEDORES[[#This Row],[descuento sobre subtotal]])*VLOOKUP(PROVEEDORES[[#This Row],[PROVEEDOR]],TERCEROS_INFO[#All],3,FALSE)</f>
        <v>0</v>
      </c>
      <c r="N1716" s="23"/>
      <c r="O1716" s="22">
        <f>+PROVEEDORES[[#This Row],[Descuento sobre subtotal %]]*(PROVEEDORES[[#This Row],[SUBTOTAL]]-PROVEEDORES[[#This Row],[descuento sobre subtotal]])</f>
        <v>0</v>
      </c>
      <c r="P1716" s="74">
        <f>+IF(PROVEEDORES[[#This Row],[SUBTOTAL]]&lt;PROVEEDORES[[#This Row],[base retencion]],0,PROVEEDORES[[#This Row],[retención aplicada]])</f>
        <v>0</v>
      </c>
      <c r="Q1716" s="22">
        <f>+PROVEEDORES[[#This Row],[Rete Fuente %]]*(PROVEEDORES[[#This Row],[SUBTOTAL]]-PROVEEDORES[[#This Row],[descuento sobre subtotal]])</f>
        <v>0</v>
      </c>
      <c r="R1716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716" s="3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6" s="63">
        <f ca="1">IF(PROVEEDORES[[#This Row],[FECHA DE PAGO]]=0,TODAY()-PROVEEDORES[[#This Row],[FECHA DE FACTURACIÓN]]-PROVEEDORES[[#This Row],[PLAZO Días]],0)</f>
        <v>0</v>
      </c>
      <c r="U1716" s="104">
        <f>+VLOOKUP(PROVEEDORES[[#This Row],[PROVEEDOR]],Terceros!$A:$D,4,FALSE)</f>
        <v>0</v>
      </c>
      <c r="V1716" s="105">
        <f>+YEAR(PROVEEDORES[[#This Row],[FECHA DE FACTURACIÓN]])</f>
        <v>2023</v>
      </c>
      <c r="W1716" s="105">
        <f>+MATCH(PROVEEDORES[[#This Row],[año facturado]],Retenciones!$1:$1,0)</f>
        <v>6</v>
      </c>
      <c r="X1716" s="106">
        <f>+VLOOKUP(PROVEEDORES[[#This Row],[ID RETENCION]],Retenciones!$A$1:$O$25,PROVEEDORES[[#This Row],[indicador de columna]],FALSE)</f>
        <v>0</v>
      </c>
      <c r="Y1716" s="107">
        <f>+VLOOKUP(PROVEEDORES[[#This Row],[ID RETENCION]],Retenciones!$A$1:$O$25,2,FALSE)</f>
        <v>0</v>
      </c>
      <c r="Z1716" s="116" t="b">
        <f>OR(COUNTIF(PROVEEDORES[[#This Row],[PROVEEDOR]],"*"&amp;'Palabra no opera'!$A$2&amp;"*"))</f>
        <v>1</v>
      </c>
    </row>
    <row r="1717" spans="1:26" ht="22.35" customHeight="1" x14ac:dyDescent="0.3">
      <c r="A1717" s="67" t="str">
        <f>+IF(PROVEEDORES[[#This Row],[FECHA DE PAGO]]=PROVEEDORES[[#This Row],[FECHA DE FACTURACIÓN]],"DE CONTADO","CRÉDITO")</f>
        <v>CRÉDITO</v>
      </c>
      <c r="B1717" s="38" t="b">
        <f>+IF((PROVEEDORES[[#This Row],[FECHA DE PAGO]]-PROVEEDORES[[#This Row],[FECHA DE FACTURACIÓN]])&gt;PROVEEDORES[[#This Row],[PLAZO Días]],"PAGO VENCIDO")</f>
        <v>0</v>
      </c>
      <c r="C1717" s="20">
        <f>+VLOOKUP(PROVEEDORES[[#This Row],[PROVEEDOR]],TERCEROS_INFO[#All],2,FALSE)</f>
        <v>30</v>
      </c>
      <c r="D1717" s="25">
        <f>+SUMIFS(PROVEEDORES[Total],PROVEEDORES[PROVEEDOR],PROVEEDORES[[#This Row],[PROVEEDOR]],PROVEEDORES[FECHA DE PAGO],"")</f>
        <v>0</v>
      </c>
      <c r="E1717" s="25"/>
      <c r="F1717" s="56" t="str">
        <f>+VLOOKUP(PROVEEDORES[[#This Row],[PROVEEDOR]],
                       Terceros!$A:$F,
                       5,
                       FALSE)</f>
        <v/>
      </c>
      <c r="G1717" s="68">
        <v>45132</v>
      </c>
      <c r="H1717" s="26" t="s">
        <v>1401</v>
      </c>
      <c r="I1717" s="68">
        <v>45131</v>
      </c>
      <c r="J1717" s="35" t="s">
        <v>1829</v>
      </c>
      <c r="K1717" s="21">
        <v>330000</v>
      </c>
      <c r="L1717" s="21"/>
      <c r="M1717" s="22">
        <f>(PROVEEDORES[[#This Row],[SUBTOTAL]]-PROVEEDORES[[#This Row],[descuento sobre subtotal]])*VLOOKUP(PROVEEDORES[[#This Row],[PROVEEDOR]],TERCEROS_INFO[#All],3,FALSE)</f>
        <v>0</v>
      </c>
      <c r="N1717" s="23"/>
      <c r="O1717" s="22">
        <f>+PROVEEDORES[[#This Row],[Descuento sobre subtotal %]]*(PROVEEDORES[[#This Row],[SUBTOTAL]]-PROVEEDORES[[#This Row],[descuento sobre subtotal]])</f>
        <v>0</v>
      </c>
      <c r="P1717" s="74">
        <f>+IF(PROVEEDORES[[#This Row],[SUBTOTAL]]&lt;PROVEEDORES[[#This Row],[base retencion]],0,PROVEEDORES[[#This Row],[retención aplicada]])</f>
        <v>0</v>
      </c>
      <c r="Q1717" s="22">
        <f>+PROVEEDORES[[#This Row],[Rete Fuente %]]*(PROVEEDORES[[#This Row],[SUBTOTAL]]-PROVEEDORES[[#This Row],[descuento sobre subtotal]])</f>
        <v>0</v>
      </c>
      <c r="R1717" s="21">
        <f>+PROVEEDORES[[#This Row],[SUBTOTAL]]+PROVEEDORES[[#This Row],[IVA 19%]]-PROVEEDORES[[#This Row],[descuento sobre subtotal]]-PROVEEDORES[[#This Row],[Descuento sobre subtotal $2]]-PROVEEDORES[[#This Row],[Rete Fuente $]]</f>
        <v>330000</v>
      </c>
      <c r="S171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7" s="63">
        <f ca="1">IF(PROVEEDORES[[#This Row],[FECHA DE PAGO]]=0,TODAY()-PROVEEDORES[[#This Row],[FECHA DE FACTURACIÓN]]-PROVEEDORES[[#This Row],[PLAZO Días]],0)</f>
        <v>0</v>
      </c>
      <c r="U1717" s="104">
        <f>+VLOOKUP(PROVEEDORES[[#This Row],[PROVEEDOR]],Terceros!$A:$D,4,FALSE)</f>
        <v>0</v>
      </c>
      <c r="V1717" s="105">
        <f>+YEAR(PROVEEDORES[[#This Row],[FECHA DE FACTURACIÓN]])</f>
        <v>2023</v>
      </c>
      <c r="W1717" s="105">
        <f>+MATCH(PROVEEDORES[[#This Row],[año facturado]],Retenciones!$1:$1,0)</f>
        <v>6</v>
      </c>
      <c r="X1717" s="106">
        <f>+VLOOKUP(PROVEEDORES[[#This Row],[ID RETENCION]],Retenciones!$A$1:$O$25,PROVEEDORES[[#This Row],[indicador de columna]],FALSE)</f>
        <v>0</v>
      </c>
      <c r="Y1717" s="107">
        <f>+VLOOKUP(PROVEEDORES[[#This Row],[ID RETENCION]],Retenciones!$A$1:$O$25,2,FALSE)</f>
        <v>0</v>
      </c>
      <c r="Z1717" s="116" t="b">
        <f>OR(COUNTIF(PROVEEDORES[[#This Row],[PROVEEDOR]],"*"&amp;'Palabra no opera'!$A$2&amp;"*"))</f>
        <v>0</v>
      </c>
    </row>
    <row r="1718" spans="1:26" ht="22.35" customHeight="1" x14ac:dyDescent="0.3">
      <c r="A1718" s="67" t="str">
        <f>+IF(PROVEEDORES[[#This Row],[FECHA DE PAGO]]=PROVEEDORES[[#This Row],[FECHA DE FACTURACIÓN]],"DE CONTADO","CRÉDITO")</f>
        <v>CRÉDITO</v>
      </c>
      <c r="B1718" s="38" t="str">
        <f>+IF((PROVEEDORES[[#This Row],[FECHA DE PAGO]]-PROVEEDORES[[#This Row],[FECHA DE FACTURACIÓN]])&gt;PROVEEDORES[[#This Row],[PLAZO Días]],"PAGO VENCIDO")</f>
        <v>PAGO VENCIDO</v>
      </c>
      <c r="C1718" s="20">
        <f>+VLOOKUP(PROVEEDORES[[#This Row],[PROVEEDOR]],TERCEROS_INFO[#All],2,FALSE)</f>
        <v>45</v>
      </c>
      <c r="D1718" s="25">
        <f>+SUMIFS(PROVEEDORES[Total],PROVEEDORES[PROVEEDOR],PROVEEDORES[[#This Row],[PROVEEDOR]],PROVEEDORES[FECHA DE PAGO],"")</f>
        <v>8072960</v>
      </c>
      <c r="E1718" s="25"/>
      <c r="F1718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718" s="68">
        <v>45132</v>
      </c>
      <c r="H1718" s="26" t="s">
        <v>10</v>
      </c>
      <c r="I1718" s="68">
        <v>45085</v>
      </c>
      <c r="J1718" s="35" t="s">
        <v>1729</v>
      </c>
      <c r="K1718" s="21">
        <v>1265000</v>
      </c>
      <c r="L1718" s="21"/>
      <c r="M1718" s="22">
        <f>(PROVEEDORES[[#This Row],[SUBTOTAL]]-PROVEEDORES[[#This Row],[descuento sobre subtotal]])*VLOOKUP(PROVEEDORES[[#This Row],[PROVEEDOR]],TERCEROS_INFO[#All],3,FALSE)</f>
        <v>240350</v>
      </c>
      <c r="N1718" s="23"/>
      <c r="O1718" s="22">
        <f>+PROVEEDORES[[#This Row],[Descuento sobre subtotal %]]*(PROVEEDORES[[#This Row],[SUBTOTAL]]-PROVEEDORES[[#This Row],[descuento sobre subtotal]])</f>
        <v>0</v>
      </c>
      <c r="P1718" s="74">
        <f>+IF(PROVEEDORES[[#This Row],[SUBTOTAL]]&lt;PROVEEDORES[[#This Row],[base retencion]],0,PROVEEDORES[[#This Row],[retención aplicada]])</f>
        <v>0</v>
      </c>
      <c r="Q1718" s="22">
        <f>+PROVEEDORES[[#This Row],[Rete Fuente %]]*(PROVEEDORES[[#This Row],[SUBTOTAL]]-PROVEEDORES[[#This Row],[descuento sobre subtotal]])</f>
        <v>0</v>
      </c>
      <c r="R1718" s="21">
        <f>+PROVEEDORES[[#This Row],[SUBTOTAL]]+PROVEEDORES[[#This Row],[IVA 19%]]-PROVEEDORES[[#This Row],[descuento sobre subtotal]]-PROVEEDORES[[#This Row],[Descuento sobre subtotal $2]]-PROVEEDORES[[#This Row],[Rete Fuente $]]</f>
        <v>1505350</v>
      </c>
      <c r="S17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8" s="63">
        <f ca="1">IF(PROVEEDORES[[#This Row],[FECHA DE PAGO]]=0,TODAY()-PROVEEDORES[[#This Row],[FECHA DE FACTURACIÓN]]-PROVEEDORES[[#This Row],[PLAZO Días]],0)</f>
        <v>0</v>
      </c>
      <c r="U1718" s="104">
        <f>+VLOOKUP(PROVEEDORES[[#This Row],[PROVEEDOR]],Terceros!$A:$D,4,FALSE)</f>
        <v>0</v>
      </c>
      <c r="V1718" s="105">
        <f>+YEAR(PROVEEDORES[[#This Row],[FECHA DE FACTURACIÓN]])</f>
        <v>2023</v>
      </c>
      <c r="W1718" s="105">
        <f>+MATCH(PROVEEDORES[[#This Row],[año facturado]],Retenciones!$1:$1,0)</f>
        <v>6</v>
      </c>
      <c r="X1718" s="106">
        <f>+VLOOKUP(PROVEEDORES[[#This Row],[ID RETENCION]],Retenciones!$A$1:$O$25,PROVEEDORES[[#This Row],[indicador de columna]],FALSE)</f>
        <v>0</v>
      </c>
      <c r="Y1718" s="107">
        <f>+VLOOKUP(PROVEEDORES[[#This Row],[ID RETENCION]],Retenciones!$A$1:$O$25,2,FALSE)</f>
        <v>0</v>
      </c>
      <c r="Z1718" s="116" t="b">
        <f>OR(COUNTIF(PROVEEDORES[[#This Row],[PROVEEDOR]],"*"&amp;'Palabra no opera'!$A$2&amp;"*"))</f>
        <v>0</v>
      </c>
    </row>
    <row r="1719" spans="1:26" ht="22.35" customHeight="1" x14ac:dyDescent="0.3">
      <c r="A1719" s="322" t="str">
        <f>+IF(PROVEEDORES[[#This Row],[FECHA DE PAGO]]=PROVEEDORES[[#This Row],[FECHA DE FACTURACIÓN]],"DE CONTADO","CRÉDITO")</f>
        <v>CRÉDITO</v>
      </c>
      <c r="B1719" s="38" t="str">
        <f>+IF((PROVEEDORES[[#This Row],[FECHA DE PAGO]]-PROVEEDORES[[#This Row],[FECHA DE FACTURACIÓN]])&gt;PROVEEDORES[[#This Row],[PLAZO Días]],"PAGO VENCIDO")</f>
        <v>PAGO VENCIDO</v>
      </c>
      <c r="C1719" s="20">
        <f>+VLOOKUP(PROVEEDORES[[#This Row],[PROVEEDOR]],TERCEROS_INFO[#All],2,FALSE)</f>
        <v>30</v>
      </c>
      <c r="D1719" s="25">
        <f>+SUMIFS(PROVEEDORES[Total],PROVEEDORES[PROVEEDOR],PROVEEDORES[[#This Row],[PROVEEDOR]],PROVEEDORES[FECHA DE PAGO],"")</f>
        <v>229206</v>
      </c>
      <c r="E1719" s="25"/>
      <c r="F171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19" s="68">
        <v>45133</v>
      </c>
      <c r="H1719" s="26" t="s">
        <v>95</v>
      </c>
      <c r="I1719" s="68">
        <v>45099</v>
      </c>
      <c r="J1719" s="35" t="s">
        <v>1746</v>
      </c>
      <c r="K1719" s="21">
        <v>0</v>
      </c>
      <c r="L1719" s="21"/>
      <c r="M1719" s="22">
        <f>(PROVEEDORES[[#This Row],[SUBTOTAL]]-PROVEEDORES[[#This Row],[descuento sobre subtotal]])*VLOOKUP(PROVEEDORES[[#This Row],[PROVEEDOR]],TERCEROS_INFO[#All],3,FALSE)</f>
        <v>0</v>
      </c>
      <c r="N1719" s="23"/>
      <c r="O1719" s="22">
        <f>+PROVEEDORES[[#This Row],[Descuento sobre subtotal %]]*(PROVEEDORES[[#This Row],[SUBTOTAL]]-PROVEEDORES[[#This Row],[descuento sobre subtotal]])</f>
        <v>0</v>
      </c>
      <c r="P1719" s="74">
        <f>+IF(PROVEEDORES[[#This Row],[SUBTOTAL]]&lt;PROVEEDORES[[#This Row],[base retencion]],0,PROVEEDORES[[#This Row],[retención aplicada]])</f>
        <v>0</v>
      </c>
      <c r="Q1719" s="22">
        <f>+PROVEEDORES[[#This Row],[Rete Fuente %]]*(PROVEEDORES[[#This Row],[SUBTOTAL]]-PROVEEDORES[[#This Row],[descuento sobre subtotal]])</f>
        <v>0</v>
      </c>
      <c r="R1719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19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9" s="63">
        <f ca="1">IF(PROVEEDORES[[#This Row],[FECHA DE PAGO]]=0,TODAY()-PROVEEDORES[[#This Row],[FECHA DE FACTURACIÓN]]-PROVEEDORES[[#This Row],[PLAZO Días]],0)</f>
        <v>0</v>
      </c>
      <c r="U1719" s="104">
        <f>+VLOOKUP(PROVEEDORES[[#This Row],[PROVEEDOR]],Terceros!$A:$D,4,FALSE)</f>
        <v>0</v>
      </c>
      <c r="V1719" s="105">
        <f>+YEAR(PROVEEDORES[[#This Row],[FECHA DE FACTURACIÓN]])</f>
        <v>2023</v>
      </c>
      <c r="W1719" s="105">
        <f>+MATCH(PROVEEDORES[[#This Row],[año facturado]],Retenciones!$1:$1,0)</f>
        <v>6</v>
      </c>
      <c r="X1719" s="106">
        <f>+VLOOKUP(PROVEEDORES[[#This Row],[ID RETENCION]],Retenciones!$A$1:$O$25,PROVEEDORES[[#This Row],[indicador de columna]],FALSE)</f>
        <v>0</v>
      </c>
      <c r="Y1719" s="107">
        <f>+VLOOKUP(PROVEEDORES[[#This Row],[ID RETENCION]],Retenciones!$A$1:$O$25,2,FALSE)</f>
        <v>0</v>
      </c>
      <c r="Z1719" s="116" t="b">
        <f>OR(COUNTIF(PROVEEDORES[[#This Row],[PROVEEDOR]],"*"&amp;'Palabra no opera'!$A$2&amp;"*"))</f>
        <v>0</v>
      </c>
    </row>
    <row r="1720" spans="1:26" ht="22.35" customHeight="1" x14ac:dyDescent="0.3">
      <c r="A1720" s="322" t="str">
        <f>+IF(PROVEEDORES[[#This Row],[FECHA DE PAGO]]=PROVEEDORES[[#This Row],[FECHA DE FACTURACIÓN]],"DE CONTADO","CRÉDITO")</f>
        <v>CRÉDITO</v>
      </c>
      <c r="B1720" s="38" t="str">
        <f>+IF((PROVEEDORES[[#This Row],[FECHA DE PAGO]]-PROVEEDORES[[#This Row],[FECHA DE FACTURACIÓN]])&gt;PROVEEDORES[[#This Row],[PLAZO Días]],"PAGO VENCIDO")</f>
        <v>PAGO VENCIDO</v>
      </c>
      <c r="C1720" s="20">
        <f>+VLOOKUP(PROVEEDORES[[#This Row],[PROVEEDOR]],TERCEROS_INFO[#All],2,FALSE)</f>
        <v>30</v>
      </c>
      <c r="D1720" s="25">
        <f>+SUMIFS(PROVEEDORES[Total],PROVEEDORES[PROVEEDOR],PROVEEDORES[[#This Row],[PROVEEDOR]],PROVEEDORES[FECHA DE PAGO],"")</f>
        <v>229206</v>
      </c>
      <c r="E1720" s="25"/>
      <c r="F1720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0" s="68">
        <v>45133</v>
      </c>
      <c r="H1720" s="26" t="s">
        <v>95</v>
      </c>
      <c r="I1720" s="68">
        <v>45099</v>
      </c>
      <c r="J1720" s="35" t="s">
        <v>1747</v>
      </c>
      <c r="K1720" s="21">
        <v>116984</v>
      </c>
      <c r="L1720" s="21"/>
      <c r="M1720" s="22">
        <f>(PROVEEDORES[[#This Row],[SUBTOTAL]]-PROVEEDORES[[#This Row],[descuento sobre subtotal]])*VLOOKUP(PROVEEDORES[[#This Row],[PROVEEDOR]],TERCEROS_INFO[#All],3,FALSE)</f>
        <v>0</v>
      </c>
      <c r="N1720" s="23"/>
      <c r="O1720" s="22">
        <f>+PROVEEDORES[[#This Row],[Descuento sobre subtotal %]]*(PROVEEDORES[[#This Row],[SUBTOTAL]]-PROVEEDORES[[#This Row],[descuento sobre subtotal]])</f>
        <v>0</v>
      </c>
      <c r="P1720" s="74">
        <f>+IF(PROVEEDORES[[#This Row],[SUBTOTAL]]&lt;PROVEEDORES[[#This Row],[base retencion]],0,PROVEEDORES[[#This Row],[retención aplicada]])</f>
        <v>0</v>
      </c>
      <c r="Q1720" s="22">
        <f>+PROVEEDORES[[#This Row],[Rete Fuente %]]*(PROVEEDORES[[#This Row],[SUBTOTAL]]-PROVEEDORES[[#This Row],[descuento sobre subtotal]])</f>
        <v>0</v>
      </c>
      <c r="R1720" s="21">
        <f>+PROVEEDORES[[#This Row],[SUBTOTAL]]+PROVEEDORES[[#This Row],[IVA 19%]]-PROVEEDORES[[#This Row],[descuento sobre subtotal]]-PROVEEDORES[[#This Row],[Descuento sobre subtotal $2]]-PROVEEDORES[[#This Row],[Rete Fuente $]]</f>
        <v>116984</v>
      </c>
      <c r="S1720" s="32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0" s="63">
        <f ca="1">IF(PROVEEDORES[[#This Row],[FECHA DE PAGO]]=0,TODAY()-PROVEEDORES[[#This Row],[FECHA DE FACTURACIÓN]]-PROVEEDORES[[#This Row],[PLAZO Días]],0)</f>
        <v>0</v>
      </c>
      <c r="U1720" s="104">
        <f>+VLOOKUP(PROVEEDORES[[#This Row],[PROVEEDOR]],Terceros!$A:$D,4,FALSE)</f>
        <v>0</v>
      </c>
      <c r="V1720" s="105">
        <f>+YEAR(PROVEEDORES[[#This Row],[FECHA DE FACTURACIÓN]])</f>
        <v>2023</v>
      </c>
      <c r="W1720" s="105">
        <f>+MATCH(PROVEEDORES[[#This Row],[año facturado]],Retenciones!$1:$1,0)</f>
        <v>6</v>
      </c>
      <c r="X1720" s="106">
        <f>+VLOOKUP(PROVEEDORES[[#This Row],[ID RETENCION]],Retenciones!$A$1:$O$25,PROVEEDORES[[#This Row],[indicador de columna]],FALSE)</f>
        <v>0</v>
      </c>
      <c r="Y1720" s="107">
        <f>+VLOOKUP(PROVEEDORES[[#This Row],[ID RETENCION]],Retenciones!$A$1:$O$25,2,FALSE)</f>
        <v>0</v>
      </c>
      <c r="Z1720" s="116" t="b">
        <f>OR(COUNTIF(PROVEEDORES[[#This Row],[PROVEEDOR]],"*"&amp;'Palabra no opera'!$A$2&amp;"*"))</f>
        <v>0</v>
      </c>
    </row>
    <row r="1721" spans="1:26" ht="22.35" customHeight="1" x14ac:dyDescent="0.3">
      <c r="A1721" s="67" t="str">
        <f>+IF(PROVEEDORES[[#This Row],[FECHA DE PAGO]]=PROVEEDORES[[#This Row],[FECHA DE FACTURACIÓN]],"DE CONTADO","CRÉDITO")</f>
        <v>CRÉDITO</v>
      </c>
      <c r="B1721" s="38" t="str">
        <f>+IF((PROVEEDORES[[#This Row],[FECHA DE PAGO]]-PROVEEDORES[[#This Row],[FECHA DE FACTURACIÓN]])&gt;PROVEEDORES[[#This Row],[PLAZO Días]],"PAGO VENCIDO")</f>
        <v>PAGO VENCIDO</v>
      </c>
      <c r="C1721" s="20">
        <f>+VLOOKUP(PROVEEDORES[[#This Row],[PROVEEDOR]],TERCEROS_INFO[#All],2,FALSE)</f>
        <v>30</v>
      </c>
      <c r="D1721" s="25">
        <f>+SUMIFS(PROVEEDORES[Total],PROVEEDORES[PROVEEDOR],PROVEEDORES[[#This Row],[PROVEEDOR]],PROVEEDORES[FECHA DE PAGO],"")</f>
        <v>0</v>
      </c>
      <c r="E1721" s="25"/>
      <c r="F1721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1" s="68">
        <v>45133</v>
      </c>
      <c r="H1721" s="26" t="s">
        <v>227</v>
      </c>
      <c r="I1721" s="68">
        <v>45056</v>
      </c>
      <c r="J1721" s="35" t="s">
        <v>1673</v>
      </c>
      <c r="K1721" s="21">
        <v>0</v>
      </c>
      <c r="L1721" s="21"/>
      <c r="M1721" s="22">
        <f>(PROVEEDORES[[#This Row],[SUBTOTAL]]-PROVEEDORES[[#This Row],[descuento sobre subtotal]])*VLOOKUP(PROVEEDORES[[#This Row],[PROVEEDOR]],TERCEROS_INFO[#All],3,FALSE)</f>
        <v>0</v>
      </c>
      <c r="N1721" s="23"/>
      <c r="O1721" s="22">
        <f>+PROVEEDORES[[#This Row],[Descuento sobre subtotal %]]*(PROVEEDORES[[#This Row],[SUBTOTAL]]-PROVEEDORES[[#This Row],[descuento sobre subtotal]])</f>
        <v>0</v>
      </c>
      <c r="P1721" s="74">
        <f>+IF(PROVEEDORES[[#This Row],[SUBTOTAL]]&lt;PROVEEDORES[[#This Row],[base retencion]],0,PROVEEDORES[[#This Row],[retención aplicada]])</f>
        <v>0</v>
      </c>
      <c r="Q1721" s="22">
        <f>+PROVEEDORES[[#This Row],[Rete Fuente %]]*(PROVEEDORES[[#This Row],[SUBTOTAL]]-PROVEEDORES[[#This Row],[descuento sobre subtotal]])</f>
        <v>0</v>
      </c>
      <c r="R1721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1" s="63">
        <f ca="1">IF(PROVEEDORES[[#This Row],[FECHA DE PAGO]]=0,TODAY()-PROVEEDORES[[#This Row],[FECHA DE FACTURACIÓN]]-PROVEEDORES[[#This Row],[PLAZO Días]],0)</f>
        <v>0</v>
      </c>
      <c r="U1721" s="104">
        <f>+VLOOKUP(PROVEEDORES[[#This Row],[PROVEEDOR]],Terceros!$A:$D,4,FALSE)</f>
        <v>0</v>
      </c>
      <c r="V1721" s="105">
        <f>+YEAR(PROVEEDORES[[#This Row],[FECHA DE FACTURACIÓN]])</f>
        <v>2023</v>
      </c>
      <c r="W1721" s="105">
        <f>+MATCH(PROVEEDORES[[#This Row],[año facturado]],Retenciones!$1:$1,0)</f>
        <v>6</v>
      </c>
      <c r="X1721" s="106">
        <f>+VLOOKUP(PROVEEDORES[[#This Row],[ID RETENCION]],Retenciones!$A$1:$O$25,PROVEEDORES[[#This Row],[indicador de columna]],FALSE)</f>
        <v>0</v>
      </c>
      <c r="Y1721" s="107">
        <f>+VLOOKUP(PROVEEDORES[[#This Row],[ID RETENCION]],Retenciones!$A$1:$O$25,2,FALSE)</f>
        <v>0</v>
      </c>
      <c r="Z1721" s="116" t="b">
        <f>OR(COUNTIF(PROVEEDORES[[#This Row],[PROVEEDOR]],"*"&amp;'Palabra no opera'!$A$2&amp;"*"))</f>
        <v>0</v>
      </c>
    </row>
    <row r="1722" spans="1:26" ht="22.35" customHeight="1" x14ac:dyDescent="0.3">
      <c r="A1722" s="67" t="str">
        <f>+IF(PROVEEDORES[[#This Row],[FECHA DE PAGO]]=PROVEEDORES[[#This Row],[FECHA DE FACTURACIÓN]],"DE CONTADO","CRÉDITO")</f>
        <v>CRÉDITO</v>
      </c>
      <c r="B1722" s="38" t="str">
        <f>+IF((PROVEEDORES[[#This Row],[FECHA DE PAGO]]-PROVEEDORES[[#This Row],[FECHA DE FACTURACIÓN]])&gt;PROVEEDORES[[#This Row],[PLAZO Días]],"PAGO VENCIDO")</f>
        <v>PAGO VENCIDO</v>
      </c>
      <c r="C1722" s="20">
        <f>+VLOOKUP(PROVEEDORES[[#This Row],[PROVEEDOR]],TERCEROS_INFO[#All],2,FALSE)</f>
        <v>30</v>
      </c>
      <c r="D1722" s="25">
        <f>+SUMIFS(PROVEEDORES[Total],PROVEEDORES[PROVEEDOR],PROVEEDORES[[#This Row],[PROVEEDOR]],PROVEEDORES[FECHA DE PAGO],"")</f>
        <v>0</v>
      </c>
      <c r="E1722" s="25"/>
      <c r="F1722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2" s="68">
        <v>45133</v>
      </c>
      <c r="H1722" s="26" t="s">
        <v>227</v>
      </c>
      <c r="I1722" s="68">
        <v>45056</v>
      </c>
      <c r="J1722" s="35" t="s">
        <v>1674</v>
      </c>
      <c r="K1722" s="21">
        <v>216983</v>
      </c>
      <c r="L1722" s="21"/>
      <c r="M1722" s="22">
        <f>(PROVEEDORES[[#This Row],[SUBTOTAL]]-PROVEEDORES[[#This Row],[descuento sobre subtotal]])*VLOOKUP(PROVEEDORES[[#This Row],[PROVEEDOR]],TERCEROS_INFO[#All],3,FALSE)</f>
        <v>0</v>
      </c>
      <c r="N1722" s="23"/>
      <c r="O1722" s="22">
        <f>+PROVEEDORES[[#This Row],[Descuento sobre subtotal %]]*(PROVEEDORES[[#This Row],[SUBTOTAL]]-PROVEEDORES[[#This Row],[descuento sobre subtotal]])</f>
        <v>0</v>
      </c>
      <c r="P1722" s="74">
        <f>+IF(PROVEEDORES[[#This Row],[SUBTOTAL]]&lt;PROVEEDORES[[#This Row],[base retencion]],0,PROVEEDORES[[#This Row],[retención aplicada]])</f>
        <v>0</v>
      </c>
      <c r="Q1722" s="22">
        <f>+PROVEEDORES[[#This Row],[Rete Fuente %]]*(PROVEEDORES[[#This Row],[SUBTOTAL]]-PROVEEDORES[[#This Row],[descuento sobre subtotal]])</f>
        <v>0</v>
      </c>
      <c r="R1722" s="21">
        <f>+PROVEEDORES[[#This Row],[SUBTOTAL]]+PROVEEDORES[[#This Row],[IVA 19%]]-PROVEEDORES[[#This Row],[descuento sobre subtotal]]-PROVEEDORES[[#This Row],[Descuento sobre subtotal $2]]-PROVEEDORES[[#This Row],[Rete Fuente $]]</f>
        <v>216983</v>
      </c>
      <c r="S17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2" s="63">
        <f ca="1">IF(PROVEEDORES[[#This Row],[FECHA DE PAGO]]=0,TODAY()-PROVEEDORES[[#This Row],[FECHA DE FACTURACIÓN]]-PROVEEDORES[[#This Row],[PLAZO Días]],0)</f>
        <v>0</v>
      </c>
      <c r="U1722" s="104">
        <f>+VLOOKUP(PROVEEDORES[[#This Row],[PROVEEDOR]],Terceros!$A:$D,4,FALSE)</f>
        <v>0</v>
      </c>
      <c r="V1722" s="105">
        <f>+YEAR(PROVEEDORES[[#This Row],[FECHA DE FACTURACIÓN]])</f>
        <v>2023</v>
      </c>
      <c r="W1722" s="105">
        <f>+MATCH(PROVEEDORES[[#This Row],[año facturado]],Retenciones!$1:$1,0)</f>
        <v>6</v>
      </c>
      <c r="X1722" s="106">
        <f>+VLOOKUP(PROVEEDORES[[#This Row],[ID RETENCION]],Retenciones!$A$1:$O$25,PROVEEDORES[[#This Row],[indicador de columna]],FALSE)</f>
        <v>0</v>
      </c>
      <c r="Y1722" s="107">
        <f>+VLOOKUP(PROVEEDORES[[#This Row],[ID RETENCION]],Retenciones!$A$1:$O$25,2,FALSE)</f>
        <v>0</v>
      </c>
      <c r="Z1722" s="116" t="b">
        <f>OR(COUNTIF(PROVEEDORES[[#This Row],[PROVEEDOR]],"*"&amp;'Palabra no opera'!$A$2&amp;"*"))</f>
        <v>0</v>
      </c>
    </row>
    <row r="1723" spans="1:26" ht="22.35" customHeight="1" x14ac:dyDescent="0.3">
      <c r="A1723" s="67" t="str">
        <f>+IF(PROVEEDORES[[#This Row],[FECHA DE PAGO]]=PROVEEDORES[[#This Row],[FECHA DE FACTURACIÓN]],"DE CONTADO","CRÉDITO")</f>
        <v>CRÉDITO</v>
      </c>
      <c r="B1723" s="38" t="str">
        <f>+IF((PROVEEDORES[[#This Row],[FECHA DE PAGO]]-PROVEEDORES[[#This Row],[FECHA DE FACTURACIÓN]])&gt;PROVEEDORES[[#This Row],[PLAZO Días]],"PAGO VENCIDO")</f>
        <v>PAGO VENCIDO</v>
      </c>
      <c r="C1723" s="20">
        <f>+VLOOKUP(PROVEEDORES[[#This Row],[PROVEEDOR]],TERCEROS_INFO[#All],2,FALSE)</f>
        <v>30</v>
      </c>
      <c r="D1723" s="25">
        <f>+SUMIFS(PROVEEDORES[Total],PROVEEDORES[PROVEEDOR],PROVEEDORES[[#This Row],[PROVEEDOR]],PROVEEDORES[FECHA DE PAGO],"")</f>
        <v>0</v>
      </c>
      <c r="E1723" s="25"/>
      <c r="F172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3" s="68">
        <v>45133</v>
      </c>
      <c r="H1723" s="26" t="s">
        <v>227</v>
      </c>
      <c r="I1723" s="68">
        <v>45061</v>
      </c>
      <c r="J1723" s="35" t="s">
        <v>1688</v>
      </c>
      <c r="K1723" s="21">
        <v>0</v>
      </c>
      <c r="L1723" s="21"/>
      <c r="M1723" s="22">
        <f>(PROVEEDORES[[#This Row],[SUBTOTAL]]-PROVEEDORES[[#This Row],[descuento sobre subtotal]])*VLOOKUP(PROVEEDORES[[#This Row],[PROVEEDOR]],TERCEROS_INFO[#All],3,FALSE)</f>
        <v>0</v>
      </c>
      <c r="N1723" s="23"/>
      <c r="O1723" s="22">
        <f>+PROVEEDORES[[#This Row],[Descuento sobre subtotal %]]*(PROVEEDORES[[#This Row],[SUBTOTAL]]-PROVEEDORES[[#This Row],[descuento sobre subtotal]])</f>
        <v>0</v>
      </c>
      <c r="P1723" s="74">
        <f>+IF(PROVEEDORES[[#This Row],[SUBTOTAL]]&lt;PROVEEDORES[[#This Row],[base retencion]],0,PROVEEDORES[[#This Row],[retención aplicada]])</f>
        <v>0</v>
      </c>
      <c r="Q1723" s="22">
        <f>+PROVEEDORES[[#This Row],[Rete Fuente %]]*(PROVEEDORES[[#This Row],[SUBTOTAL]]-PROVEEDORES[[#This Row],[descuento sobre subtotal]])</f>
        <v>0</v>
      </c>
      <c r="R172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2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3" s="63">
        <f ca="1">IF(PROVEEDORES[[#This Row],[FECHA DE PAGO]]=0,TODAY()-PROVEEDORES[[#This Row],[FECHA DE FACTURACIÓN]]-PROVEEDORES[[#This Row],[PLAZO Días]],0)</f>
        <v>0</v>
      </c>
      <c r="U1723" s="104">
        <f>+VLOOKUP(PROVEEDORES[[#This Row],[PROVEEDOR]],Terceros!$A:$D,4,FALSE)</f>
        <v>0</v>
      </c>
      <c r="V1723" s="105">
        <f>+YEAR(PROVEEDORES[[#This Row],[FECHA DE FACTURACIÓN]])</f>
        <v>2023</v>
      </c>
      <c r="W1723" s="105">
        <f>+MATCH(PROVEEDORES[[#This Row],[año facturado]],Retenciones!$1:$1,0)</f>
        <v>6</v>
      </c>
      <c r="X1723" s="106">
        <f>+VLOOKUP(PROVEEDORES[[#This Row],[ID RETENCION]],Retenciones!$A$1:$O$25,PROVEEDORES[[#This Row],[indicador de columna]],FALSE)</f>
        <v>0</v>
      </c>
      <c r="Y1723" s="107">
        <f>+VLOOKUP(PROVEEDORES[[#This Row],[ID RETENCION]],Retenciones!$A$1:$O$25,2,FALSE)</f>
        <v>0</v>
      </c>
      <c r="Z1723" s="116" t="b">
        <f>OR(COUNTIF(PROVEEDORES[[#This Row],[PROVEEDOR]],"*"&amp;'Palabra no opera'!$A$2&amp;"*"))</f>
        <v>0</v>
      </c>
    </row>
    <row r="1724" spans="1:26" ht="22.35" customHeight="1" x14ac:dyDescent="0.3">
      <c r="A1724" s="67" t="str">
        <f>+IF(PROVEEDORES[[#This Row],[FECHA DE PAGO]]=PROVEEDORES[[#This Row],[FECHA DE FACTURACIÓN]],"DE CONTADO","CRÉDITO")</f>
        <v>CRÉDITO</v>
      </c>
      <c r="B1724" s="38" t="str">
        <f>+IF((PROVEEDORES[[#This Row],[FECHA DE PAGO]]-PROVEEDORES[[#This Row],[FECHA DE FACTURACIÓN]])&gt;PROVEEDORES[[#This Row],[PLAZO Días]],"PAGO VENCIDO")</f>
        <v>PAGO VENCIDO</v>
      </c>
      <c r="C1724" s="20">
        <f>+VLOOKUP(PROVEEDORES[[#This Row],[PROVEEDOR]],TERCEROS_INFO[#All],2,FALSE)</f>
        <v>30</v>
      </c>
      <c r="D1724" s="25">
        <f>+SUMIFS(PROVEEDORES[Total],PROVEEDORES[PROVEEDOR],PROVEEDORES[[#This Row],[PROVEEDOR]],PROVEEDORES[FECHA DE PAGO],"")</f>
        <v>0</v>
      </c>
      <c r="E1724" s="25"/>
      <c r="F1724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4" s="68">
        <v>45133</v>
      </c>
      <c r="H1724" s="26" t="s">
        <v>227</v>
      </c>
      <c r="I1724" s="68">
        <v>45061</v>
      </c>
      <c r="J1724" s="35" t="s">
        <v>1689</v>
      </c>
      <c r="K1724" s="21">
        <v>0</v>
      </c>
      <c r="L1724" s="21"/>
      <c r="M1724" s="22">
        <f>(PROVEEDORES[[#This Row],[SUBTOTAL]]-PROVEEDORES[[#This Row],[descuento sobre subtotal]])*VLOOKUP(PROVEEDORES[[#This Row],[PROVEEDOR]],TERCEROS_INFO[#All],3,FALSE)</f>
        <v>0</v>
      </c>
      <c r="N1724" s="23"/>
      <c r="O1724" s="22">
        <f>+PROVEEDORES[[#This Row],[Descuento sobre subtotal %]]*(PROVEEDORES[[#This Row],[SUBTOTAL]]-PROVEEDORES[[#This Row],[descuento sobre subtotal]])</f>
        <v>0</v>
      </c>
      <c r="P1724" s="74">
        <f>+IF(PROVEEDORES[[#This Row],[SUBTOTAL]]&lt;PROVEEDORES[[#This Row],[base retencion]],0,PROVEEDORES[[#This Row],[retención aplicada]])</f>
        <v>0</v>
      </c>
      <c r="Q1724" s="22">
        <f>+PROVEEDORES[[#This Row],[Rete Fuente %]]*(PROVEEDORES[[#This Row],[SUBTOTAL]]-PROVEEDORES[[#This Row],[descuento sobre subtotal]])</f>
        <v>0</v>
      </c>
      <c r="R172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4" s="63">
        <f ca="1">IF(PROVEEDORES[[#This Row],[FECHA DE PAGO]]=0,TODAY()-PROVEEDORES[[#This Row],[FECHA DE FACTURACIÓN]]-PROVEEDORES[[#This Row],[PLAZO Días]],0)</f>
        <v>0</v>
      </c>
      <c r="U1724" s="104">
        <f>+VLOOKUP(PROVEEDORES[[#This Row],[PROVEEDOR]],Terceros!$A:$D,4,FALSE)</f>
        <v>0</v>
      </c>
      <c r="V1724" s="105">
        <f>+YEAR(PROVEEDORES[[#This Row],[FECHA DE FACTURACIÓN]])</f>
        <v>2023</v>
      </c>
      <c r="W1724" s="105">
        <f>+MATCH(PROVEEDORES[[#This Row],[año facturado]],Retenciones!$1:$1,0)</f>
        <v>6</v>
      </c>
      <c r="X1724" s="106">
        <f>+VLOOKUP(PROVEEDORES[[#This Row],[ID RETENCION]],Retenciones!$A$1:$O$25,PROVEEDORES[[#This Row],[indicador de columna]],FALSE)</f>
        <v>0</v>
      </c>
      <c r="Y1724" s="107">
        <f>+VLOOKUP(PROVEEDORES[[#This Row],[ID RETENCION]],Retenciones!$A$1:$O$25,2,FALSE)</f>
        <v>0</v>
      </c>
      <c r="Z1724" s="116" t="b">
        <f>OR(COUNTIF(PROVEEDORES[[#This Row],[PROVEEDOR]],"*"&amp;'Palabra no opera'!$A$2&amp;"*"))</f>
        <v>0</v>
      </c>
    </row>
    <row r="1725" spans="1:26" ht="22.35" customHeight="1" x14ac:dyDescent="0.3">
      <c r="A1725" s="67" t="str">
        <f>+IF(PROVEEDORES[[#This Row],[FECHA DE PAGO]]=PROVEEDORES[[#This Row],[FECHA DE FACTURACIÓN]],"DE CONTADO","CRÉDITO")</f>
        <v>CRÉDITO</v>
      </c>
      <c r="B1725" s="38" t="str">
        <f>+IF((PROVEEDORES[[#This Row],[FECHA DE PAGO]]-PROVEEDORES[[#This Row],[FECHA DE FACTURACIÓN]])&gt;PROVEEDORES[[#This Row],[PLAZO Días]],"PAGO VENCIDO")</f>
        <v>PAGO VENCIDO</v>
      </c>
      <c r="C1725" s="20">
        <f>+VLOOKUP(PROVEEDORES[[#This Row],[PROVEEDOR]],TERCEROS_INFO[#All],2,FALSE)</f>
        <v>30</v>
      </c>
      <c r="D1725" s="25">
        <f>+SUMIFS(PROVEEDORES[Total],PROVEEDORES[PROVEEDOR],PROVEEDORES[[#This Row],[PROVEEDOR]],PROVEEDORES[FECHA DE PAGO],"")</f>
        <v>0</v>
      </c>
      <c r="E1725" s="25"/>
      <c r="F1725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5" s="68">
        <v>45133</v>
      </c>
      <c r="H1725" s="26" t="s">
        <v>227</v>
      </c>
      <c r="I1725" s="68">
        <v>45061</v>
      </c>
      <c r="J1725" s="35" t="s">
        <v>1690</v>
      </c>
      <c r="K1725" s="21">
        <v>-188821</v>
      </c>
      <c r="L1725" s="21"/>
      <c r="M1725" s="22">
        <f>(PROVEEDORES[[#This Row],[SUBTOTAL]]-PROVEEDORES[[#This Row],[descuento sobre subtotal]])*VLOOKUP(PROVEEDORES[[#This Row],[PROVEEDOR]],TERCEROS_INFO[#All],3,FALSE)</f>
        <v>0</v>
      </c>
      <c r="N1725" s="23"/>
      <c r="O1725" s="22">
        <f>+PROVEEDORES[[#This Row],[Descuento sobre subtotal %]]*(PROVEEDORES[[#This Row],[SUBTOTAL]]-PROVEEDORES[[#This Row],[descuento sobre subtotal]])</f>
        <v>0</v>
      </c>
      <c r="P1725" s="74">
        <f>+IF(PROVEEDORES[[#This Row],[SUBTOTAL]]&lt;PROVEEDORES[[#This Row],[base retencion]],0,PROVEEDORES[[#This Row],[retención aplicada]])</f>
        <v>0</v>
      </c>
      <c r="Q1725" s="22">
        <f>+PROVEEDORES[[#This Row],[Rete Fuente %]]*(PROVEEDORES[[#This Row],[SUBTOTAL]]-PROVEEDORES[[#This Row],[descuento sobre subtotal]])</f>
        <v>0</v>
      </c>
      <c r="R1725" s="21">
        <f>+PROVEEDORES[[#This Row],[SUBTOTAL]]+PROVEEDORES[[#This Row],[IVA 19%]]-PROVEEDORES[[#This Row],[descuento sobre subtotal]]-PROVEEDORES[[#This Row],[Descuento sobre subtotal $2]]-PROVEEDORES[[#This Row],[Rete Fuente $]]</f>
        <v>-188821</v>
      </c>
      <c r="S172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5" s="63">
        <f ca="1">IF(PROVEEDORES[[#This Row],[FECHA DE PAGO]]=0,TODAY()-PROVEEDORES[[#This Row],[FECHA DE FACTURACIÓN]]-PROVEEDORES[[#This Row],[PLAZO Días]],0)</f>
        <v>0</v>
      </c>
      <c r="U1725" s="104">
        <f>+VLOOKUP(PROVEEDORES[[#This Row],[PROVEEDOR]],Terceros!$A:$D,4,FALSE)</f>
        <v>0</v>
      </c>
      <c r="V1725" s="105">
        <f>+YEAR(PROVEEDORES[[#This Row],[FECHA DE FACTURACIÓN]])</f>
        <v>2023</v>
      </c>
      <c r="W1725" s="105">
        <f>+MATCH(PROVEEDORES[[#This Row],[año facturado]],Retenciones!$1:$1,0)</f>
        <v>6</v>
      </c>
      <c r="X1725" s="106">
        <f>+VLOOKUP(PROVEEDORES[[#This Row],[ID RETENCION]],Retenciones!$A$1:$O$25,PROVEEDORES[[#This Row],[indicador de columna]],FALSE)</f>
        <v>0</v>
      </c>
      <c r="Y1725" s="107">
        <f>+VLOOKUP(PROVEEDORES[[#This Row],[ID RETENCION]],Retenciones!$A$1:$O$25,2,FALSE)</f>
        <v>0</v>
      </c>
      <c r="Z1725" s="116" t="b">
        <f>OR(COUNTIF(PROVEEDORES[[#This Row],[PROVEEDOR]],"*"&amp;'Palabra no opera'!$A$2&amp;"*"))</f>
        <v>0</v>
      </c>
    </row>
    <row r="1726" spans="1:26" ht="22.35" customHeight="1" x14ac:dyDescent="0.3">
      <c r="A1726" s="67" t="str">
        <f>+IF(PROVEEDORES[[#This Row],[FECHA DE PAGO]]=PROVEEDORES[[#This Row],[FECHA DE FACTURACIÓN]],"DE CONTADO","CRÉDITO")</f>
        <v>CRÉDITO</v>
      </c>
      <c r="B1726" s="38" t="str">
        <f>+IF((PROVEEDORES[[#This Row],[FECHA DE PAGO]]-PROVEEDORES[[#This Row],[FECHA DE FACTURACIÓN]])&gt;PROVEEDORES[[#This Row],[PLAZO Días]],"PAGO VENCIDO")</f>
        <v>PAGO VENCIDO</v>
      </c>
      <c r="C1726" s="20">
        <f>+VLOOKUP(PROVEEDORES[[#This Row],[PROVEEDOR]],TERCEROS_INFO[#All],2,FALSE)</f>
        <v>30</v>
      </c>
      <c r="D1726" s="25">
        <f>+SUMIFS(PROVEEDORES[Total],PROVEEDORES[PROVEEDOR],PROVEEDORES[[#This Row],[PROVEEDOR]],PROVEEDORES[FECHA DE PAGO],"")</f>
        <v>0</v>
      </c>
      <c r="E1726" s="25"/>
      <c r="F1726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6" s="68">
        <v>45133</v>
      </c>
      <c r="H1726" s="26" t="s">
        <v>227</v>
      </c>
      <c r="I1726" s="68">
        <v>45099</v>
      </c>
      <c r="J1726" s="35" t="s">
        <v>1737</v>
      </c>
      <c r="K1726" s="21">
        <v>0</v>
      </c>
      <c r="L1726" s="21"/>
      <c r="M1726" s="22">
        <f>(PROVEEDORES[[#This Row],[SUBTOTAL]]-PROVEEDORES[[#This Row],[descuento sobre subtotal]])*VLOOKUP(PROVEEDORES[[#This Row],[PROVEEDOR]],TERCEROS_INFO[#All],3,FALSE)</f>
        <v>0</v>
      </c>
      <c r="N1726" s="23"/>
      <c r="O1726" s="22">
        <f>+PROVEEDORES[[#This Row],[Descuento sobre subtotal %]]*(PROVEEDORES[[#This Row],[SUBTOTAL]]-PROVEEDORES[[#This Row],[descuento sobre subtotal]])</f>
        <v>0</v>
      </c>
      <c r="P1726" s="74">
        <f>+IF(PROVEEDORES[[#This Row],[SUBTOTAL]]&lt;PROVEEDORES[[#This Row],[base retencion]],0,PROVEEDORES[[#This Row],[retención aplicada]])</f>
        <v>0</v>
      </c>
      <c r="Q1726" s="22">
        <f>+PROVEEDORES[[#This Row],[Rete Fuente %]]*(PROVEEDORES[[#This Row],[SUBTOTAL]]-PROVEEDORES[[#This Row],[descuento sobre subtotal]])</f>
        <v>0</v>
      </c>
      <c r="R172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2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6" s="63">
        <f ca="1">IF(PROVEEDORES[[#This Row],[FECHA DE PAGO]]=0,TODAY()-PROVEEDORES[[#This Row],[FECHA DE FACTURACIÓN]]-PROVEEDORES[[#This Row],[PLAZO Días]],0)</f>
        <v>0</v>
      </c>
      <c r="U1726" s="104">
        <f>+VLOOKUP(PROVEEDORES[[#This Row],[PROVEEDOR]],Terceros!$A:$D,4,FALSE)</f>
        <v>0</v>
      </c>
      <c r="V1726" s="105">
        <f>+YEAR(PROVEEDORES[[#This Row],[FECHA DE FACTURACIÓN]])</f>
        <v>2023</v>
      </c>
      <c r="W1726" s="105">
        <f>+MATCH(PROVEEDORES[[#This Row],[año facturado]],Retenciones!$1:$1,0)</f>
        <v>6</v>
      </c>
      <c r="X1726" s="106">
        <f>+VLOOKUP(PROVEEDORES[[#This Row],[ID RETENCION]],Retenciones!$A$1:$O$25,PROVEEDORES[[#This Row],[indicador de columna]],FALSE)</f>
        <v>0</v>
      </c>
      <c r="Y1726" s="107">
        <f>+VLOOKUP(PROVEEDORES[[#This Row],[ID RETENCION]],Retenciones!$A$1:$O$25,2,FALSE)</f>
        <v>0</v>
      </c>
      <c r="Z1726" s="116" t="b">
        <f>OR(COUNTIF(PROVEEDORES[[#This Row],[PROVEEDOR]],"*"&amp;'Palabra no opera'!$A$2&amp;"*"))</f>
        <v>0</v>
      </c>
    </row>
    <row r="1727" spans="1:26" ht="22.35" customHeight="1" x14ac:dyDescent="0.3">
      <c r="A1727" s="67" t="str">
        <f>+IF(PROVEEDORES[[#This Row],[FECHA DE PAGO]]=PROVEEDORES[[#This Row],[FECHA DE FACTURACIÓN]],"DE CONTADO","CRÉDITO")</f>
        <v>CRÉDITO</v>
      </c>
      <c r="B1727" s="38" t="str">
        <f>+IF((PROVEEDORES[[#This Row],[FECHA DE PAGO]]-PROVEEDORES[[#This Row],[FECHA DE FACTURACIÓN]])&gt;PROVEEDORES[[#This Row],[PLAZO Días]],"PAGO VENCIDO")</f>
        <v>PAGO VENCIDO</v>
      </c>
      <c r="C1727" s="20">
        <f>+VLOOKUP(PROVEEDORES[[#This Row],[PROVEEDOR]],TERCEROS_INFO[#All],2,FALSE)</f>
        <v>30</v>
      </c>
      <c r="D1727" s="25">
        <f>+SUMIFS(PROVEEDORES[Total],PROVEEDORES[PROVEEDOR],PROVEEDORES[[#This Row],[PROVEEDOR]],PROVEEDORES[FECHA DE PAGO],"")</f>
        <v>0</v>
      </c>
      <c r="E1727" s="25"/>
      <c r="F1727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7" s="68">
        <v>45133</v>
      </c>
      <c r="H1727" s="26" t="s">
        <v>227</v>
      </c>
      <c r="I1727" s="68">
        <v>45099</v>
      </c>
      <c r="J1727" s="35" t="s">
        <v>1739</v>
      </c>
      <c r="K1727" s="21">
        <v>142484</v>
      </c>
      <c r="L1727" s="21"/>
      <c r="M1727" s="22">
        <f>(PROVEEDORES[[#This Row],[SUBTOTAL]]-PROVEEDORES[[#This Row],[descuento sobre subtotal]])*VLOOKUP(PROVEEDORES[[#This Row],[PROVEEDOR]],TERCEROS_INFO[#All],3,FALSE)</f>
        <v>0</v>
      </c>
      <c r="N1727" s="23"/>
      <c r="O1727" s="22">
        <f>+PROVEEDORES[[#This Row],[Descuento sobre subtotal %]]*(PROVEEDORES[[#This Row],[SUBTOTAL]]-PROVEEDORES[[#This Row],[descuento sobre subtotal]])</f>
        <v>0</v>
      </c>
      <c r="P1727" s="74">
        <f>+IF(PROVEEDORES[[#This Row],[SUBTOTAL]]&lt;PROVEEDORES[[#This Row],[base retencion]],0,PROVEEDORES[[#This Row],[retención aplicada]])</f>
        <v>0</v>
      </c>
      <c r="Q1727" s="22">
        <f>+PROVEEDORES[[#This Row],[Rete Fuente %]]*(PROVEEDORES[[#This Row],[SUBTOTAL]]-PROVEEDORES[[#This Row],[descuento sobre subtotal]])</f>
        <v>0</v>
      </c>
      <c r="R1727" s="21">
        <f>+PROVEEDORES[[#This Row],[SUBTOTAL]]+PROVEEDORES[[#This Row],[IVA 19%]]-PROVEEDORES[[#This Row],[descuento sobre subtotal]]-PROVEEDORES[[#This Row],[Descuento sobre subtotal $2]]-PROVEEDORES[[#This Row],[Rete Fuente $]]</f>
        <v>142484</v>
      </c>
      <c r="S172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7" s="63">
        <f ca="1">IF(PROVEEDORES[[#This Row],[FECHA DE PAGO]]=0,TODAY()-PROVEEDORES[[#This Row],[FECHA DE FACTURACIÓN]]-PROVEEDORES[[#This Row],[PLAZO Días]],0)</f>
        <v>0</v>
      </c>
      <c r="U1727" s="104">
        <f>+VLOOKUP(PROVEEDORES[[#This Row],[PROVEEDOR]],Terceros!$A:$D,4,FALSE)</f>
        <v>0</v>
      </c>
      <c r="V1727" s="105">
        <f>+YEAR(PROVEEDORES[[#This Row],[FECHA DE FACTURACIÓN]])</f>
        <v>2023</v>
      </c>
      <c r="W1727" s="105">
        <f>+MATCH(PROVEEDORES[[#This Row],[año facturado]],Retenciones!$1:$1,0)</f>
        <v>6</v>
      </c>
      <c r="X1727" s="106">
        <f>+VLOOKUP(PROVEEDORES[[#This Row],[ID RETENCION]],Retenciones!$A$1:$O$25,PROVEEDORES[[#This Row],[indicador de columna]],FALSE)</f>
        <v>0</v>
      </c>
      <c r="Y1727" s="107">
        <f>+VLOOKUP(PROVEEDORES[[#This Row],[ID RETENCION]],Retenciones!$A$1:$O$25,2,FALSE)</f>
        <v>0</v>
      </c>
      <c r="Z1727" s="116" t="b">
        <f>OR(COUNTIF(PROVEEDORES[[#This Row],[PROVEEDOR]],"*"&amp;'Palabra no opera'!$A$2&amp;"*"))</f>
        <v>0</v>
      </c>
    </row>
    <row r="1728" spans="1:26" ht="22.35" customHeight="1" x14ac:dyDescent="0.3">
      <c r="A1728" s="67" t="str">
        <f>+IF(PROVEEDORES[[#This Row],[FECHA DE PAGO]]=PROVEEDORES[[#This Row],[FECHA DE FACTURACIÓN]],"DE CONTADO","CRÉDITO")</f>
        <v>CRÉDITO</v>
      </c>
      <c r="B1728" s="38" t="b">
        <f>+IF((PROVEEDORES[[#This Row],[FECHA DE PAGO]]-PROVEEDORES[[#This Row],[FECHA DE FACTURACIÓN]])&gt;PROVEEDORES[[#This Row],[PLAZO Días]],"PAGO VENCIDO")</f>
        <v>0</v>
      </c>
      <c r="C1728" s="20">
        <f>+VLOOKUP(PROVEEDORES[[#This Row],[PROVEEDOR]],TERCEROS_INFO[#All],2,FALSE)</f>
        <v>30</v>
      </c>
      <c r="D1728" s="25">
        <f>+SUMIFS(PROVEEDORES[Total],PROVEEDORES[PROVEEDOR],PROVEEDORES[[#This Row],[PROVEEDOR]],PROVEEDORES[FECHA DE PAGO],"")</f>
        <v>0</v>
      </c>
      <c r="E1728" s="25"/>
      <c r="F172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8" s="68">
        <v>45133</v>
      </c>
      <c r="H1728" s="26" t="s">
        <v>227</v>
      </c>
      <c r="I1728" s="68">
        <v>45128</v>
      </c>
      <c r="J1728" s="35">
        <v>652</v>
      </c>
      <c r="K1728" s="21">
        <v>0</v>
      </c>
      <c r="L1728" s="21"/>
      <c r="M1728" s="22">
        <f>(PROVEEDORES[[#This Row],[SUBTOTAL]]-PROVEEDORES[[#This Row],[descuento sobre subtotal]])*VLOOKUP(PROVEEDORES[[#This Row],[PROVEEDOR]],TERCEROS_INFO[#All],3,FALSE)</f>
        <v>0</v>
      </c>
      <c r="N1728" s="23"/>
      <c r="O1728" s="22">
        <f>+PROVEEDORES[[#This Row],[Descuento sobre subtotal %]]*(PROVEEDORES[[#This Row],[SUBTOTAL]]-PROVEEDORES[[#This Row],[descuento sobre subtotal]])</f>
        <v>0</v>
      </c>
      <c r="P1728" s="74">
        <f>+IF(PROVEEDORES[[#This Row],[SUBTOTAL]]&lt;PROVEEDORES[[#This Row],[base retencion]],0,PROVEEDORES[[#This Row],[retención aplicada]])</f>
        <v>0</v>
      </c>
      <c r="Q1728" s="22">
        <f>+PROVEEDORES[[#This Row],[Rete Fuente %]]*(PROVEEDORES[[#This Row],[SUBTOTAL]]-PROVEEDORES[[#This Row],[descuento sobre subtotal]])</f>
        <v>0</v>
      </c>
      <c r="R1728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72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8" s="63">
        <f ca="1">IF(PROVEEDORES[[#This Row],[FECHA DE PAGO]]=0,TODAY()-PROVEEDORES[[#This Row],[FECHA DE FACTURACIÓN]]-PROVEEDORES[[#This Row],[PLAZO Días]],0)</f>
        <v>0</v>
      </c>
      <c r="U1728" s="104">
        <f>+VLOOKUP(PROVEEDORES[[#This Row],[PROVEEDOR]],Terceros!$A:$D,4,FALSE)</f>
        <v>0</v>
      </c>
      <c r="V1728" s="105">
        <f>+YEAR(PROVEEDORES[[#This Row],[FECHA DE FACTURACIÓN]])</f>
        <v>2023</v>
      </c>
      <c r="W1728" s="105">
        <f>+MATCH(PROVEEDORES[[#This Row],[año facturado]],Retenciones!$1:$1,0)</f>
        <v>6</v>
      </c>
      <c r="X1728" s="106">
        <f>+VLOOKUP(PROVEEDORES[[#This Row],[ID RETENCION]],Retenciones!$A$1:$O$25,PROVEEDORES[[#This Row],[indicador de columna]],FALSE)</f>
        <v>0</v>
      </c>
      <c r="Y1728" s="107">
        <f>+VLOOKUP(PROVEEDORES[[#This Row],[ID RETENCION]],Retenciones!$A$1:$O$25,2,FALSE)</f>
        <v>0</v>
      </c>
      <c r="Z1728" s="116" t="b">
        <f>OR(COUNTIF(PROVEEDORES[[#This Row],[PROVEEDOR]],"*"&amp;'Palabra no opera'!$A$2&amp;"*"))</f>
        <v>0</v>
      </c>
    </row>
    <row r="1729" spans="1:26" ht="22.35" customHeight="1" x14ac:dyDescent="0.3">
      <c r="A1729" s="67" t="str">
        <f>+IF(PROVEEDORES[[#This Row],[FECHA DE PAGO]]=PROVEEDORES[[#This Row],[FECHA DE FACTURACIÓN]],"DE CONTADO","CRÉDITO")</f>
        <v>CRÉDITO</v>
      </c>
      <c r="B1729" s="38" t="b">
        <f>+IF((PROVEEDORES[[#This Row],[FECHA DE PAGO]]-PROVEEDORES[[#This Row],[FECHA DE FACTURACIÓN]])&gt;PROVEEDORES[[#This Row],[PLAZO Días]],"PAGO VENCIDO")</f>
        <v>0</v>
      </c>
      <c r="C1729" s="20">
        <f>+VLOOKUP(PROVEEDORES[[#This Row],[PROVEEDOR]],TERCEROS_INFO[#All],2,FALSE)</f>
        <v>30</v>
      </c>
      <c r="D1729" s="25">
        <f>+SUMIFS(PROVEEDORES[Total],PROVEEDORES[PROVEEDOR],PROVEEDORES[[#This Row],[PROVEEDOR]],PROVEEDORES[FECHA DE PAGO],"")</f>
        <v>0</v>
      </c>
      <c r="E1729" s="25"/>
      <c r="F172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29" s="68">
        <v>45133</v>
      </c>
      <c r="H1729" s="26" t="s">
        <v>227</v>
      </c>
      <c r="I1729" s="68">
        <v>45128</v>
      </c>
      <c r="J1729" s="35">
        <v>653</v>
      </c>
      <c r="K1729" s="21">
        <v>527</v>
      </c>
      <c r="L1729" s="21"/>
      <c r="M1729" s="22">
        <f>(PROVEEDORES[[#This Row],[SUBTOTAL]]-PROVEEDORES[[#This Row],[descuento sobre subtotal]])*VLOOKUP(PROVEEDORES[[#This Row],[PROVEEDOR]],TERCEROS_INFO[#All],3,FALSE)</f>
        <v>0</v>
      </c>
      <c r="N1729" s="23"/>
      <c r="O1729" s="22">
        <f>+PROVEEDORES[[#This Row],[Descuento sobre subtotal %]]*(PROVEEDORES[[#This Row],[SUBTOTAL]]-PROVEEDORES[[#This Row],[descuento sobre subtotal]])</f>
        <v>0</v>
      </c>
      <c r="P1729" s="74">
        <f>+IF(PROVEEDORES[[#This Row],[SUBTOTAL]]&lt;PROVEEDORES[[#This Row],[base retencion]],0,PROVEEDORES[[#This Row],[retención aplicada]])</f>
        <v>0</v>
      </c>
      <c r="Q1729" s="22">
        <f>+PROVEEDORES[[#This Row],[Rete Fuente %]]*(PROVEEDORES[[#This Row],[SUBTOTAL]]-PROVEEDORES[[#This Row],[descuento sobre subtotal]])</f>
        <v>0</v>
      </c>
      <c r="R1729" s="21">
        <f>+PROVEEDORES[[#This Row],[SUBTOTAL]]+PROVEEDORES[[#This Row],[IVA 19%]]-PROVEEDORES[[#This Row],[descuento sobre subtotal]]-PROVEEDORES[[#This Row],[Descuento sobre subtotal $2]]-PROVEEDORES[[#This Row],[Rete Fuente $]]</f>
        <v>527</v>
      </c>
      <c r="S17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9" s="63">
        <f ca="1">IF(PROVEEDORES[[#This Row],[FECHA DE PAGO]]=0,TODAY()-PROVEEDORES[[#This Row],[FECHA DE FACTURACIÓN]]-PROVEEDORES[[#This Row],[PLAZO Días]],0)</f>
        <v>0</v>
      </c>
      <c r="U1729" s="104">
        <f>+VLOOKUP(PROVEEDORES[[#This Row],[PROVEEDOR]],Terceros!$A:$D,4,FALSE)</f>
        <v>0</v>
      </c>
      <c r="V1729" s="105">
        <f>+YEAR(PROVEEDORES[[#This Row],[FECHA DE FACTURACIÓN]])</f>
        <v>2023</v>
      </c>
      <c r="W1729" s="105">
        <f>+MATCH(PROVEEDORES[[#This Row],[año facturado]],Retenciones!$1:$1,0)</f>
        <v>6</v>
      </c>
      <c r="X1729" s="106">
        <f>+VLOOKUP(PROVEEDORES[[#This Row],[ID RETENCION]],Retenciones!$A$1:$O$25,PROVEEDORES[[#This Row],[indicador de columna]],FALSE)</f>
        <v>0</v>
      </c>
      <c r="Y1729" s="107">
        <f>+VLOOKUP(PROVEEDORES[[#This Row],[ID RETENCION]],Retenciones!$A$1:$O$25,2,FALSE)</f>
        <v>0</v>
      </c>
      <c r="Z1729" s="116" t="b">
        <f>OR(COUNTIF(PROVEEDORES[[#This Row],[PROVEEDOR]],"*"&amp;'Palabra no opera'!$A$2&amp;"*"))</f>
        <v>0</v>
      </c>
    </row>
    <row r="1730" spans="1:26" ht="22.35" customHeight="1" x14ac:dyDescent="0.3">
      <c r="A1730" s="310" t="str">
        <f>+IF(PROVEEDORES[[#This Row],[FECHA DE PAGO]]=PROVEEDORES[[#This Row],[FECHA DE FACTURACIÓN]],"DE CONTADO","CRÉDITO")</f>
        <v>CRÉDITO</v>
      </c>
      <c r="B1730" s="38" t="str">
        <f>+IF((PROVEEDORES[[#This Row],[FECHA DE PAGO]]-PROVEEDORES[[#This Row],[FECHA DE FACTURACIÓN]])&gt;PROVEEDORES[[#This Row],[PLAZO Días]],"PAGO VENCIDO")</f>
        <v>PAGO VENCIDO</v>
      </c>
      <c r="C1730" s="20">
        <f>+VLOOKUP(PROVEEDORES[[#This Row],[PROVEEDOR]],TERCEROS_INFO[#All],2,FALSE)</f>
        <v>30</v>
      </c>
      <c r="D1730" s="25">
        <f>+SUMIFS(PROVEEDORES[Total],PROVEEDORES[PROVEEDOR],PROVEEDORES[[#This Row],[PROVEEDOR]],PROVEEDORES[FECHA DE PAGO],"")</f>
        <v>22881826.27</v>
      </c>
      <c r="E1730" s="25"/>
      <c r="F173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730" s="68">
        <v>45133</v>
      </c>
      <c r="H1730" s="26" t="s">
        <v>9</v>
      </c>
      <c r="I1730" s="68">
        <v>45034</v>
      </c>
      <c r="J1730" s="35" t="s">
        <v>1642</v>
      </c>
      <c r="K1730" s="21">
        <v>25848261</v>
      </c>
      <c r="L1730" s="21"/>
      <c r="M1730" s="22">
        <f>(PROVEEDORES[[#This Row],[SUBTOTAL]]-PROVEEDORES[[#This Row],[descuento sobre subtotal]])*VLOOKUP(PROVEEDORES[[#This Row],[PROVEEDOR]],TERCEROS_INFO[#All],3,FALSE)</f>
        <v>4911169.59</v>
      </c>
      <c r="N1730" s="23"/>
      <c r="O1730" s="22">
        <f>+PROVEEDORES[[#This Row],[Descuento sobre subtotal %]]*(PROVEEDORES[[#This Row],[SUBTOTAL]]-PROVEEDORES[[#This Row],[descuento sobre subtotal]])</f>
        <v>0</v>
      </c>
      <c r="P1730" s="74">
        <f>+IF(PROVEEDORES[[#This Row],[SUBTOTAL]]&lt;PROVEEDORES[[#This Row],[base retencion]],0,PROVEEDORES[[#This Row],[retención aplicada]])</f>
        <v>2.5000000000000001E-2</v>
      </c>
      <c r="Q1730" s="22">
        <f>+PROVEEDORES[[#This Row],[Rete Fuente %]]*(PROVEEDORES[[#This Row],[SUBTOTAL]]-PROVEEDORES[[#This Row],[descuento sobre subtotal]])</f>
        <v>646206.52500000002</v>
      </c>
      <c r="R1730" s="21">
        <f>+PROVEEDORES[[#This Row],[SUBTOTAL]]+PROVEEDORES[[#This Row],[IVA 19%]]-PROVEEDORES[[#This Row],[descuento sobre subtotal]]-PROVEEDORES[[#This Row],[Descuento sobre subtotal $2]]-PROVEEDORES[[#This Row],[Rete Fuente $]]</f>
        <v>30113224.065000001</v>
      </c>
      <c r="S1730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0" s="63">
        <f ca="1">IF(PROVEEDORES[[#This Row],[FECHA DE PAGO]]=0,TODAY()-PROVEEDORES[[#This Row],[FECHA DE FACTURACIÓN]]-PROVEEDORES[[#This Row],[PLAZO Días]],0)</f>
        <v>0</v>
      </c>
      <c r="U1730" s="104" t="str">
        <f>+VLOOKUP(PROVEEDORES[[#This Row],[PROVEEDOR]],Terceros!$A:$D,4,FALSE)</f>
        <v>2,5% con base</v>
      </c>
      <c r="V1730" s="105">
        <f>+YEAR(PROVEEDORES[[#This Row],[FECHA DE FACTURACIÓN]])</f>
        <v>2023</v>
      </c>
      <c r="W1730" s="105">
        <f>+MATCH(PROVEEDORES[[#This Row],[año facturado]],Retenciones!$1:$1,0)</f>
        <v>6</v>
      </c>
      <c r="X1730" s="106">
        <f>+VLOOKUP(PROVEEDORES[[#This Row],[ID RETENCION]],Retenciones!$A$1:$O$25,PROVEEDORES[[#This Row],[indicador de columna]],FALSE)</f>
        <v>1145000</v>
      </c>
      <c r="Y1730" s="107">
        <f>+VLOOKUP(PROVEEDORES[[#This Row],[ID RETENCION]],Retenciones!$A$1:$O$25,2,FALSE)</f>
        <v>2.5000000000000001E-2</v>
      </c>
      <c r="Z1730" s="116" t="b">
        <f>OR(COUNTIF(PROVEEDORES[[#This Row],[PROVEEDOR]],"*"&amp;'Palabra no opera'!$A$2&amp;"*"))</f>
        <v>0</v>
      </c>
    </row>
    <row r="1731" spans="1:26" ht="22.35" customHeight="1" x14ac:dyDescent="0.3">
      <c r="A1731" s="67" t="str">
        <f>+IF(PROVEEDORES[[#This Row],[FECHA DE PAGO]]=PROVEEDORES[[#This Row],[FECHA DE FACTURACIÓN]],"DE CONTADO","CRÉDITO")</f>
        <v>CRÉDITO</v>
      </c>
      <c r="B1731" s="38" t="str">
        <f>+IF((PROVEEDORES[[#This Row],[FECHA DE PAGO]]-PROVEEDORES[[#This Row],[FECHA DE FACTURACIÓN]])&gt;PROVEEDORES[[#This Row],[PLAZO Días]],"PAGO VENCIDO")</f>
        <v>PAGO VENCIDO</v>
      </c>
      <c r="C1731" s="20">
        <f>+VLOOKUP(PROVEEDORES[[#This Row],[PROVEEDOR]],TERCEROS_INFO[#All],2,FALSE)</f>
        <v>30</v>
      </c>
      <c r="D1731" s="25">
        <f>+SUMIFS(PROVEEDORES[Total],PROVEEDORES[PROVEEDOR],PROVEEDORES[[#This Row],[PROVEEDOR]],PROVEEDORES[FECHA DE PAGO],"")</f>
        <v>22881826.27</v>
      </c>
      <c r="E1731" s="25"/>
      <c r="F1731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731" s="68">
        <v>45133</v>
      </c>
      <c r="H1731" s="26" t="s">
        <v>9</v>
      </c>
      <c r="I1731" s="68">
        <v>45054</v>
      </c>
      <c r="J1731" s="35" t="s">
        <v>1699</v>
      </c>
      <c r="K1731" s="21">
        <v>-446120</v>
      </c>
      <c r="L1731" s="21"/>
      <c r="M1731" s="22">
        <f>(PROVEEDORES[[#This Row],[SUBTOTAL]]-PROVEEDORES[[#This Row],[descuento sobre subtotal]])*VLOOKUP(PROVEEDORES[[#This Row],[PROVEEDOR]],TERCEROS_INFO[#All],3,FALSE)</f>
        <v>-84762.8</v>
      </c>
      <c r="N1731" s="23"/>
      <c r="O1731" s="22">
        <f>+PROVEEDORES[[#This Row],[Descuento sobre subtotal %]]*(PROVEEDORES[[#This Row],[SUBTOTAL]]-PROVEEDORES[[#This Row],[descuento sobre subtotal]])</f>
        <v>0</v>
      </c>
      <c r="P1731" s="74">
        <v>2.5000000000000001E-2</v>
      </c>
      <c r="Q1731" s="22">
        <f>+PROVEEDORES[[#This Row],[Rete Fuente %]]*(PROVEEDORES[[#This Row],[SUBTOTAL]]-PROVEEDORES[[#This Row],[descuento sobre subtotal]])</f>
        <v>-11153</v>
      </c>
      <c r="R1731" s="21">
        <f>+PROVEEDORES[[#This Row],[SUBTOTAL]]+PROVEEDORES[[#This Row],[IVA 19%]]-PROVEEDORES[[#This Row],[descuento sobre subtotal]]-PROVEEDORES[[#This Row],[Descuento sobre subtotal $2]]-PROVEEDORES[[#This Row],[Rete Fuente $]]</f>
        <v>-519729.80000000005</v>
      </c>
      <c r="S17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1" s="63">
        <f ca="1">IF(PROVEEDORES[[#This Row],[FECHA DE PAGO]]=0,TODAY()-PROVEEDORES[[#This Row],[FECHA DE FACTURACIÓN]]-PROVEEDORES[[#This Row],[PLAZO Días]],0)</f>
        <v>0</v>
      </c>
      <c r="U1731" s="104" t="str">
        <f>+VLOOKUP(PROVEEDORES[[#This Row],[PROVEEDOR]],Terceros!$A:$D,4,FALSE)</f>
        <v>2,5% con base</v>
      </c>
      <c r="V1731" s="105">
        <f>+YEAR(PROVEEDORES[[#This Row],[FECHA DE FACTURACIÓN]])</f>
        <v>2023</v>
      </c>
      <c r="W1731" s="105">
        <f>+MATCH(PROVEEDORES[[#This Row],[año facturado]],Retenciones!$1:$1,0)</f>
        <v>6</v>
      </c>
      <c r="X1731" s="106">
        <f>+VLOOKUP(PROVEEDORES[[#This Row],[ID RETENCION]],Retenciones!$A$1:$O$25,PROVEEDORES[[#This Row],[indicador de columna]],FALSE)</f>
        <v>1145000</v>
      </c>
      <c r="Y1731" s="107">
        <f>+VLOOKUP(PROVEEDORES[[#This Row],[ID RETENCION]],Retenciones!$A$1:$O$25,2,FALSE)</f>
        <v>2.5000000000000001E-2</v>
      </c>
      <c r="Z1731" s="116" t="b">
        <f>OR(COUNTIF(PROVEEDORES[[#This Row],[PROVEEDOR]],"*"&amp;'Palabra no opera'!$A$2&amp;"*"))</f>
        <v>0</v>
      </c>
    </row>
    <row r="1732" spans="1:26" ht="22.35" customHeight="1" x14ac:dyDescent="0.3">
      <c r="A1732" s="67" t="str">
        <f>+IF(PROVEEDORES[[#This Row],[FECHA DE PAGO]]=PROVEEDORES[[#This Row],[FECHA DE FACTURACIÓN]],"DE CONTADO","CRÉDITO")</f>
        <v>CRÉDITO</v>
      </c>
      <c r="B1732" s="38" t="b">
        <f>+IF((PROVEEDORES[[#This Row],[FECHA DE PAGO]]-PROVEEDORES[[#This Row],[FECHA DE FACTURACIÓN]])&gt;PROVEEDORES[[#This Row],[PLAZO Días]],"PAGO VENCIDO")</f>
        <v>0</v>
      </c>
      <c r="C1732" s="20">
        <f>+VLOOKUP(PROVEEDORES[[#This Row],[PROVEEDOR]],TERCEROS_INFO[#All],2,FALSE)</f>
        <v>30</v>
      </c>
      <c r="D1732" s="25">
        <f>+SUMIFS(PROVEEDORES[Total],PROVEEDORES[PROVEEDOR],PROVEEDORES[[#This Row],[PROVEEDOR]],PROVEEDORES[FECHA DE PAGO],"")</f>
        <v>22881826.27</v>
      </c>
      <c r="E1732" s="25"/>
      <c r="F1732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732" s="68">
        <v>45133</v>
      </c>
      <c r="H1732" s="26" t="s">
        <v>9</v>
      </c>
      <c r="I1732" s="68">
        <v>45111</v>
      </c>
      <c r="J1732" s="35" t="s">
        <v>1476</v>
      </c>
      <c r="K1732" s="21">
        <v>-8403361</v>
      </c>
      <c r="L1732" s="21"/>
      <c r="M1732" s="22">
        <f>(PROVEEDORES[[#This Row],[SUBTOTAL]]-PROVEEDORES[[#This Row],[descuento sobre subtotal]])*VLOOKUP(PROVEEDORES[[#This Row],[PROVEEDOR]],TERCEROS_INFO[#All],3,FALSE)</f>
        <v>-1596638.59</v>
      </c>
      <c r="N1732" s="23"/>
      <c r="O1732" s="22">
        <f>+PROVEEDORES[[#This Row],[Descuento sobre subtotal %]]*(PROVEEDORES[[#This Row],[SUBTOTAL]]-PROVEEDORES[[#This Row],[descuento sobre subtotal]])</f>
        <v>0</v>
      </c>
      <c r="P1732" s="74">
        <v>0</v>
      </c>
      <c r="Q1732" s="22"/>
      <c r="R1732" s="21">
        <f>+PROVEEDORES[[#This Row],[SUBTOTAL]]+PROVEEDORES[[#This Row],[IVA 19%]]-PROVEEDORES[[#This Row],[descuento sobre subtotal]]-PROVEEDORES[[#This Row],[Descuento sobre subtotal $2]]-PROVEEDORES[[#This Row],[Rete Fuente $]]</f>
        <v>-9999999.5899999999</v>
      </c>
      <c r="S17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2" s="63">
        <f ca="1">IF(PROVEEDORES[[#This Row],[FECHA DE PAGO]]=0,TODAY()-PROVEEDORES[[#This Row],[FECHA DE FACTURACIÓN]]-PROVEEDORES[[#This Row],[PLAZO Días]],0)</f>
        <v>0</v>
      </c>
      <c r="U1732" s="104" t="str">
        <f>+VLOOKUP(PROVEEDORES[[#This Row],[PROVEEDOR]],Terceros!$A:$D,4,FALSE)</f>
        <v>2,5% con base</v>
      </c>
      <c r="V1732" s="105">
        <f>+YEAR(PROVEEDORES[[#This Row],[FECHA DE FACTURACIÓN]])</f>
        <v>2023</v>
      </c>
      <c r="W1732" s="105">
        <f>+MATCH(PROVEEDORES[[#This Row],[año facturado]],Retenciones!$1:$1,0)</f>
        <v>6</v>
      </c>
      <c r="X1732" s="106">
        <f>+VLOOKUP(PROVEEDORES[[#This Row],[ID RETENCION]],Retenciones!$A$1:$O$25,PROVEEDORES[[#This Row],[indicador de columna]],FALSE)</f>
        <v>1145000</v>
      </c>
      <c r="Y1732" s="107">
        <f>+VLOOKUP(PROVEEDORES[[#This Row],[ID RETENCION]],Retenciones!$A$1:$O$25,2,FALSE)</f>
        <v>2.5000000000000001E-2</v>
      </c>
      <c r="Z1732" s="116" t="b">
        <f>OR(COUNTIF(PROVEEDORES[[#This Row],[PROVEEDOR]],"*"&amp;'Palabra no opera'!$A$2&amp;"*"))</f>
        <v>0</v>
      </c>
    </row>
    <row r="1733" spans="1:26" ht="22.35" customHeight="1" x14ac:dyDescent="0.3">
      <c r="A1733" s="67" t="str">
        <f>+IF(PROVEEDORES[[#This Row],[FECHA DE PAGO]]=PROVEEDORES[[#This Row],[FECHA DE FACTURACIÓN]],"DE CONTADO","CRÉDITO")</f>
        <v>CRÉDITO</v>
      </c>
      <c r="B1733" s="38" t="str">
        <f>+IF((PROVEEDORES[[#This Row],[FECHA DE PAGO]]-PROVEEDORES[[#This Row],[FECHA DE FACTURACIÓN]])&gt;PROVEEDORES[[#This Row],[PLAZO Días]],"PAGO VENCIDO")</f>
        <v>PAGO VENCIDO</v>
      </c>
      <c r="C1733" s="20">
        <f>+VLOOKUP(PROVEEDORES[[#This Row],[PROVEEDOR]],TERCEROS_INFO[#All],2,FALSE)</f>
        <v>30</v>
      </c>
      <c r="D1733" s="25">
        <f>+SUMIFS(PROVEEDORES[Total],PROVEEDORES[PROVEEDOR],PROVEEDORES[[#This Row],[PROVEEDOR]],PROVEEDORES[FECHA DE PAGO],"")</f>
        <v>0</v>
      </c>
      <c r="E1733" s="25"/>
      <c r="F1733" s="56">
        <f>+VLOOKUP(PROVEEDORES[[#This Row],[PROVEEDOR]],
                       Terceros!$A:$F,
                       5,
                       FALSE)</f>
        <v>0</v>
      </c>
      <c r="G1733" s="68">
        <v>45134</v>
      </c>
      <c r="H1733" s="26" t="s">
        <v>1165</v>
      </c>
      <c r="I1733" s="68">
        <v>45079</v>
      </c>
      <c r="J1733" s="35" t="s">
        <v>1770</v>
      </c>
      <c r="K1733" s="21">
        <v>2046000</v>
      </c>
      <c r="L1733" s="21"/>
      <c r="M1733" s="22">
        <f>(PROVEEDORES[[#This Row],[SUBTOTAL]]-PROVEEDORES[[#This Row],[descuento sobre subtotal]])*VLOOKUP(PROVEEDORES[[#This Row],[PROVEEDOR]],TERCEROS_INFO[#All],3,FALSE)</f>
        <v>0</v>
      </c>
      <c r="N1733" s="23">
        <v>0.1</v>
      </c>
      <c r="O1733" s="22">
        <f>+PROVEEDORES[[#This Row],[Descuento sobre subtotal %]]*(PROVEEDORES[[#This Row],[SUBTOTAL]]-PROVEEDORES[[#This Row],[descuento sobre subtotal]])</f>
        <v>204600</v>
      </c>
      <c r="P1733" s="74">
        <f>+IF(PROVEEDORES[[#This Row],[SUBTOTAL]]&lt;PROVEEDORES[[#This Row],[base retencion]],0,PROVEEDORES[[#This Row],[retención aplicada]])</f>
        <v>0</v>
      </c>
      <c r="Q1733" s="22">
        <f>+PROVEEDORES[[#This Row],[Rete Fuente %]]*(PROVEEDORES[[#This Row],[SUBTOTAL]]-PROVEEDORES[[#This Row],[descuento sobre subtotal]])</f>
        <v>0</v>
      </c>
      <c r="R1733" s="21">
        <f>+PROVEEDORES[[#This Row],[SUBTOTAL]]+PROVEEDORES[[#This Row],[IVA 19%]]-PROVEEDORES[[#This Row],[descuento sobre subtotal]]-PROVEEDORES[[#This Row],[Descuento sobre subtotal $2]]-PROVEEDORES[[#This Row],[Rete Fuente $]]</f>
        <v>1841400</v>
      </c>
      <c r="S17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3" s="63">
        <f ca="1">IF(PROVEEDORES[[#This Row],[FECHA DE PAGO]]=0,TODAY()-PROVEEDORES[[#This Row],[FECHA DE FACTURACIÓN]]-PROVEEDORES[[#This Row],[PLAZO Días]],0)</f>
        <v>0</v>
      </c>
      <c r="U1733" s="104">
        <f>+VLOOKUP(PROVEEDORES[[#This Row],[PROVEEDOR]],Terceros!$A:$D,4,FALSE)</f>
        <v>0</v>
      </c>
      <c r="V1733" s="105">
        <f>+YEAR(PROVEEDORES[[#This Row],[FECHA DE FACTURACIÓN]])</f>
        <v>2023</v>
      </c>
      <c r="W1733" s="105">
        <f>+MATCH(PROVEEDORES[[#This Row],[año facturado]],Retenciones!$1:$1,0)</f>
        <v>6</v>
      </c>
      <c r="X1733" s="106">
        <f>+VLOOKUP(PROVEEDORES[[#This Row],[ID RETENCION]],Retenciones!$A$1:$O$25,PROVEEDORES[[#This Row],[indicador de columna]],FALSE)</f>
        <v>0</v>
      </c>
      <c r="Y1733" s="107">
        <f>+VLOOKUP(PROVEEDORES[[#This Row],[ID RETENCION]],Retenciones!$A$1:$O$25,2,FALSE)</f>
        <v>0</v>
      </c>
      <c r="Z1733" s="116" t="b">
        <f>OR(COUNTIF(PROVEEDORES[[#This Row],[PROVEEDOR]],"*"&amp;'Palabra no opera'!$A$2&amp;"*"))</f>
        <v>0</v>
      </c>
    </row>
    <row r="1734" spans="1:26" ht="22.35" customHeight="1" x14ac:dyDescent="0.3">
      <c r="A1734" s="337" t="str">
        <f>+IF(PROVEEDORES[[#This Row],[FECHA DE PAGO]]=PROVEEDORES[[#This Row],[FECHA DE FACTURACIÓN]],"DE CONTADO","CRÉDITO")</f>
        <v>CRÉDITO</v>
      </c>
      <c r="B1734" s="38" t="str">
        <f>+IF((PROVEEDORES[[#This Row],[FECHA DE PAGO]]-PROVEEDORES[[#This Row],[FECHA DE FACTURACIÓN]])&gt;PROVEEDORES[[#This Row],[PLAZO Días]],"PAGO VENCIDO")</f>
        <v>PAGO VENCIDO</v>
      </c>
      <c r="C1734" s="20">
        <f>+VLOOKUP(PROVEEDORES[[#This Row],[PROVEEDOR]],TERCEROS_INFO[#All],2,FALSE)</f>
        <v>30</v>
      </c>
      <c r="D1734" s="25">
        <f>+SUMIFS(PROVEEDORES[Total],PROVEEDORES[PROVEEDOR],PROVEEDORES[[#This Row],[PROVEEDOR]],PROVEEDORES[FECHA DE PAGO],"")</f>
        <v>380979.69</v>
      </c>
      <c r="E1734" s="25"/>
      <c r="F1734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34" s="68">
        <v>45134</v>
      </c>
      <c r="H1734" s="26" t="s">
        <v>615</v>
      </c>
      <c r="I1734" s="68">
        <v>45075</v>
      </c>
      <c r="J1734" s="35" t="s">
        <v>1842</v>
      </c>
      <c r="K1734" s="21">
        <v>1586135</v>
      </c>
      <c r="L1734" s="21"/>
      <c r="M1734" s="22">
        <f>(PROVEEDORES[[#This Row],[SUBTOTAL]]-PROVEEDORES[[#This Row],[descuento sobre subtotal]])*VLOOKUP(PROVEEDORES[[#This Row],[PROVEEDOR]],TERCEROS_INFO[#All],3,FALSE)</f>
        <v>301365.65000000002</v>
      </c>
      <c r="N1734" s="23"/>
      <c r="O1734" s="22">
        <f>+PROVEEDORES[[#This Row],[Descuento sobre subtotal %]]*(PROVEEDORES[[#This Row],[SUBTOTAL]]-PROVEEDORES[[#This Row],[descuento sobre subtotal]])</f>
        <v>0</v>
      </c>
      <c r="P1734" s="74">
        <f>+IF(PROVEEDORES[[#This Row],[SUBTOTAL]]&lt;PROVEEDORES[[#This Row],[base retencion]],0,PROVEEDORES[[#This Row],[retención aplicada]])</f>
        <v>0</v>
      </c>
      <c r="Q1734" s="22">
        <f>+PROVEEDORES[[#This Row],[Rete Fuente %]]*(PROVEEDORES[[#This Row],[SUBTOTAL]]-PROVEEDORES[[#This Row],[descuento sobre subtotal]])</f>
        <v>0</v>
      </c>
      <c r="R1734" s="21">
        <f>+PROVEEDORES[[#This Row],[SUBTOTAL]]+PROVEEDORES[[#This Row],[IVA 19%]]-PROVEEDORES[[#This Row],[descuento sobre subtotal]]-PROVEEDORES[[#This Row],[Descuento sobre subtotal $2]]-PROVEEDORES[[#This Row],[Rete Fuente $]]</f>
        <v>1887500.65</v>
      </c>
      <c r="S1734" s="3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4" s="63">
        <f ca="1">IF(PROVEEDORES[[#This Row],[FECHA DE PAGO]]=0,TODAY()-PROVEEDORES[[#This Row],[FECHA DE FACTURACIÓN]]-PROVEEDORES[[#This Row],[PLAZO Días]],0)</f>
        <v>0</v>
      </c>
      <c r="U1734" s="104">
        <f>+VLOOKUP(PROVEEDORES[[#This Row],[PROVEEDOR]],Terceros!$A:$D,4,FALSE)</f>
        <v>0</v>
      </c>
      <c r="V1734" s="105">
        <f>+YEAR(PROVEEDORES[[#This Row],[FECHA DE FACTURACIÓN]])</f>
        <v>2023</v>
      </c>
      <c r="W1734" s="105">
        <f>+MATCH(PROVEEDORES[[#This Row],[año facturado]],Retenciones!$1:$1,0)</f>
        <v>6</v>
      </c>
      <c r="X1734" s="106">
        <f>+VLOOKUP(PROVEEDORES[[#This Row],[ID RETENCION]],Retenciones!$A$1:$O$25,PROVEEDORES[[#This Row],[indicador de columna]],FALSE)</f>
        <v>0</v>
      </c>
      <c r="Y1734" s="107">
        <f>+VLOOKUP(PROVEEDORES[[#This Row],[ID RETENCION]],Retenciones!$A$1:$O$25,2,FALSE)</f>
        <v>0</v>
      </c>
      <c r="Z1734" s="116" t="b">
        <f>OR(COUNTIF(PROVEEDORES[[#This Row],[PROVEEDOR]],"*"&amp;'Palabra no opera'!$A$2&amp;"*"))</f>
        <v>1</v>
      </c>
    </row>
    <row r="1735" spans="1:26" ht="22.35" customHeight="1" x14ac:dyDescent="0.3">
      <c r="A1735" s="337" t="str">
        <f>+IF(PROVEEDORES[[#This Row],[FECHA DE PAGO]]=PROVEEDORES[[#This Row],[FECHA DE FACTURACIÓN]],"DE CONTADO","CRÉDITO")</f>
        <v>CRÉDITO</v>
      </c>
      <c r="B1735" s="38" t="str">
        <f>+IF((PROVEEDORES[[#This Row],[FECHA DE PAGO]]-PROVEEDORES[[#This Row],[FECHA DE FACTURACIÓN]])&gt;PROVEEDORES[[#This Row],[PLAZO Días]],"PAGO VENCIDO")</f>
        <v>PAGO VENCIDO</v>
      </c>
      <c r="C1735" s="20">
        <f>+VLOOKUP(PROVEEDORES[[#This Row],[PROVEEDOR]],TERCEROS_INFO[#All],2,FALSE)</f>
        <v>30</v>
      </c>
      <c r="D1735" s="25">
        <f>+SUMIFS(PROVEEDORES[Total],PROVEEDORES[PROVEEDOR],PROVEEDORES[[#This Row],[PROVEEDOR]],PROVEEDORES[FECHA DE PAGO],"")</f>
        <v>380979.69</v>
      </c>
      <c r="E1735" s="25"/>
      <c r="F1735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35" s="68">
        <v>45134</v>
      </c>
      <c r="H1735" s="26" t="s">
        <v>615</v>
      </c>
      <c r="I1735" s="68">
        <v>45075</v>
      </c>
      <c r="J1735" s="35" t="s">
        <v>1843</v>
      </c>
      <c r="K1735" s="21">
        <v>2254875</v>
      </c>
      <c r="L1735" s="21"/>
      <c r="M1735" s="22">
        <f>(PROVEEDORES[[#This Row],[SUBTOTAL]]-PROVEEDORES[[#This Row],[descuento sobre subtotal]])*VLOOKUP(PROVEEDORES[[#This Row],[PROVEEDOR]],TERCEROS_INFO[#All],3,FALSE)</f>
        <v>428426.25</v>
      </c>
      <c r="N1735" s="23"/>
      <c r="O1735" s="22">
        <f>+PROVEEDORES[[#This Row],[Descuento sobre subtotal %]]*(PROVEEDORES[[#This Row],[SUBTOTAL]]-PROVEEDORES[[#This Row],[descuento sobre subtotal]])</f>
        <v>0</v>
      </c>
      <c r="P1735" s="74">
        <f>+IF(PROVEEDORES[[#This Row],[SUBTOTAL]]&lt;PROVEEDORES[[#This Row],[base retencion]],0,PROVEEDORES[[#This Row],[retención aplicada]])</f>
        <v>0</v>
      </c>
      <c r="Q1735" s="22">
        <f>+PROVEEDORES[[#This Row],[Rete Fuente %]]*(PROVEEDORES[[#This Row],[SUBTOTAL]]-PROVEEDORES[[#This Row],[descuento sobre subtotal]])</f>
        <v>0</v>
      </c>
      <c r="R1735" s="21">
        <f>+PROVEEDORES[[#This Row],[SUBTOTAL]]+PROVEEDORES[[#This Row],[IVA 19%]]-PROVEEDORES[[#This Row],[descuento sobre subtotal]]-PROVEEDORES[[#This Row],[Descuento sobre subtotal $2]]-PROVEEDORES[[#This Row],[Rete Fuente $]]</f>
        <v>2683301.25</v>
      </c>
      <c r="S1735" s="3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5" s="63">
        <f ca="1">IF(PROVEEDORES[[#This Row],[FECHA DE PAGO]]=0,TODAY()-PROVEEDORES[[#This Row],[FECHA DE FACTURACIÓN]]-PROVEEDORES[[#This Row],[PLAZO Días]],0)</f>
        <v>0</v>
      </c>
      <c r="U1735" s="104">
        <f>+VLOOKUP(PROVEEDORES[[#This Row],[PROVEEDOR]],Terceros!$A:$D,4,FALSE)</f>
        <v>0</v>
      </c>
      <c r="V1735" s="105">
        <f>+YEAR(PROVEEDORES[[#This Row],[FECHA DE FACTURACIÓN]])</f>
        <v>2023</v>
      </c>
      <c r="W1735" s="105">
        <f>+MATCH(PROVEEDORES[[#This Row],[año facturado]],Retenciones!$1:$1,0)</f>
        <v>6</v>
      </c>
      <c r="X1735" s="106">
        <f>+VLOOKUP(PROVEEDORES[[#This Row],[ID RETENCION]],Retenciones!$A$1:$O$25,PROVEEDORES[[#This Row],[indicador de columna]],FALSE)</f>
        <v>0</v>
      </c>
      <c r="Y1735" s="107">
        <f>+VLOOKUP(PROVEEDORES[[#This Row],[ID RETENCION]],Retenciones!$A$1:$O$25,2,FALSE)</f>
        <v>0</v>
      </c>
      <c r="Z1735" s="116" t="b">
        <f>OR(COUNTIF(PROVEEDORES[[#This Row],[PROVEEDOR]],"*"&amp;'Palabra no opera'!$A$2&amp;"*"))</f>
        <v>1</v>
      </c>
    </row>
    <row r="1736" spans="1:26" ht="22.35" customHeight="1" x14ac:dyDescent="0.3">
      <c r="A1736" s="67" t="str">
        <f>+IF(PROVEEDORES[[#This Row],[FECHA DE PAGO]]=PROVEEDORES[[#This Row],[FECHA DE FACTURACIÓN]],"DE CONTADO","CRÉDITO")</f>
        <v>DE CONTADO</v>
      </c>
      <c r="B1736" s="38" t="b">
        <f>+IF((PROVEEDORES[[#This Row],[FECHA DE PAGO]]-PROVEEDORES[[#This Row],[FECHA DE FACTURACIÓN]])&gt;PROVEEDORES[[#This Row],[PLAZO Días]],"PAGO VENCIDO")</f>
        <v>0</v>
      </c>
      <c r="C1736" s="20">
        <f>+VLOOKUP(PROVEEDORES[[#This Row],[PROVEEDOR]],TERCEROS_INFO[#All],2,FALSE)</f>
        <v>30</v>
      </c>
      <c r="D1736" s="25">
        <f>+SUMIFS(PROVEEDORES[Total],PROVEEDORES[PROVEEDOR],PROVEEDORES[[#This Row],[PROVEEDOR]],PROVEEDORES[FECHA DE PAGO],"")</f>
        <v>0</v>
      </c>
      <c r="E1736" s="25"/>
      <c r="F1736" s="56" t="str">
        <f>+VLOOKUP(PROVEEDORES[[#This Row],[PROVEEDOR]],
                       Terceros!$A:$F,
                       5,
                       FALSE)</f>
        <v/>
      </c>
      <c r="G1736" s="68">
        <v>45136</v>
      </c>
      <c r="H1736" s="26" t="s">
        <v>378</v>
      </c>
      <c r="I1736" s="68">
        <v>45136</v>
      </c>
      <c r="J1736" s="35" t="s">
        <v>1841</v>
      </c>
      <c r="K1736" s="21">
        <v>1470000</v>
      </c>
      <c r="L1736" s="21"/>
      <c r="M1736" s="22">
        <f>(PROVEEDORES[[#This Row],[SUBTOTAL]]-PROVEEDORES[[#This Row],[descuento sobre subtotal]])*VLOOKUP(PROVEEDORES[[#This Row],[PROVEEDOR]],TERCEROS_INFO[#All],3,FALSE)</f>
        <v>0</v>
      </c>
      <c r="N1736" s="23"/>
      <c r="O1736" s="22">
        <f>+PROVEEDORES[[#This Row],[Descuento sobre subtotal %]]*(PROVEEDORES[[#This Row],[SUBTOTAL]]-PROVEEDORES[[#This Row],[descuento sobre subtotal]])</f>
        <v>0</v>
      </c>
      <c r="P1736" s="74">
        <f>+IF(PROVEEDORES[[#This Row],[SUBTOTAL]]&lt;PROVEEDORES[[#This Row],[base retencion]],0,PROVEEDORES[[#This Row],[retención aplicada]])</f>
        <v>0</v>
      </c>
      <c r="Q1736" s="22">
        <f>+PROVEEDORES[[#This Row],[Rete Fuente %]]*(PROVEEDORES[[#This Row],[SUBTOTAL]]-PROVEEDORES[[#This Row],[descuento sobre subtotal]])</f>
        <v>0</v>
      </c>
      <c r="R1736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173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6" s="63">
        <f ca="1">IF(PROVEEDORES[[#This Row],[FECHA DE PAGO]]=0,TODAY()-PROVEEDORES[[#This Row],[FECHA DE FACTURACIÓN]]-PROVEEDORES[[#This Row],[PLAZO Días]],0)</f>
        <v>0</v>
      </c>
      <c r="U1736" s="104">
        <f>+VLOOKUP(PROVEEDORES[[#This Row],[PROVEEDOR]],Terceros!$A:$D,4,FALSE)</f>
        <v>0</v>
      </c>
      <c r="V1736" s="105">
        <f>+YEAR(PROVEEDORES[[#This Row],[FECHA DE FACTURACIÓN]])</f>
        <v>2023</v>
      </c>
      <c r="W1736" s="105">
        <f>+MATCH(PROVEEDORES[[#This Row],[año facturado]],Retenciones!$1:$1,0)</f>
        <v>6</v>
      </c>
      <c r="X1736" s="106">
        <f>+VLOOKUP(PROVEEDORES[[#This Row],[ID RETENCION]],Retenciones!$A$1:$O$25,PROVEEDORES[[#This Row],[indicador de columna]],FALSE)</f>
        <v>0</v>
      </c>
      <c r="Y1736" s="107">
        <f>+VLOOKUP(PROVEEDORES[[#This Row],[ID RETENCION]],Retenciones!$A$1:$O$25,2,FALSE)</f>
        <v>0</v>
      </c>
      <c r="Z1736" s="116" t="b">
        <f>OR(COUNTIF(PROVEEDORES[[#This Row],[PROVEEDOR]],"*"&amp;'Palabra no opera'!$A$2&amp;"*"))</f>
        <v>0</v>
      </c>
    </row>
    <row r="1737" spans="1:26" ht="22.35" customHeight="1" x14ac:dyDescent="0.3">
      <c r="A1737" s="339" t="str">
        <f>+IF(PROVEEDORES[[#This Row],[FECHA DE PAGO]]=PROVEEDORES[[#This Row],[FECHA DE FACTURACIÓN]],"DE CONTADO","CRÉDITO")</f>
        <v>DE CONTADO</v>
      </c>
      <c r="B1737" s="38" t="b">
        <f>+IF((PROVEEDORES[[#This Row],[FECHA DE PAGO]]-PROVEEDORES[[#This Row],[FECHA DE FACTURACIÓN]])&gt;PROVEEDORES[[#This Row],[PLAZO Días]],"PAGO VENCIDO")</f>
        <v>0</v>
      </c>
      <c r="C1737" s="20">
        <f>+VLOOKUP(PROVEEDORES[[#This Row],[PROVEEDOR]],TERCEROS_INFO[#All],2,FALSE)</f>
        <v>30</v>
      </c>
      <c r="D1737" s="25">
        <f>+SUMIFS(PROVEEDORES[Total],PROVEEDORES[PROVEEDOR],PROVEEDORES[[#This Row],[PROVEEDOR]],PROVEEDORES[FECHA DE PAGO],"")</f>
        <v>0</v>
      </c>
      <c r="E1737" s="25"/>
      <c r="F1737" s="56">
        <f>+VLOOKUP(PROVEEDORES[[#This Row],[PROVEEDOR]],
                       Terceros!$A:$F,
                       5,
                       FALSE)</f>
        <v>0</v>
      </c>
      <c r="G1737" s="68">
        <v>45138</v>
      </c>
      <c r="H1737" s="26" t="s">
        <v>1762</v>
      </c>
      <c r="I1737" s="68">
        <v>45138</v>
      </c>
      <c r="J1737" s="35">
        <v>5961</v>
      </c>
      <c r="K1737" s="21">
        <v>307000</v>
      </c>
      <c r="L1737" s="21"/>
      <c r="M1737" s="22">
        <f>(PROVEEDORES[[#This Row],[SUBTOTAL]]-PROVEEDORES[[#This Row],[descuento sobre subtotal]])*VLOOKUP(PROVEEDORES[[#This Row],[PROVEEDOR]],TERCEROS_INFO[#All],3,FALSE)</f>
        <v>0</v>
      </c>
      <c r="N1737" s="23"/>
      <c r="O1737" s="22">
        <f>+PROVEEDORES[[#This Row],[Descuento sobre subtotal %]]*(PROVEEDORES[[#This Row],[SUBTOTAL]]-PROVEEDORES[[#This Row],[descuento sobre subtotal]])</f>
        <v>0</v>
      </c>
      <c r="P1737" s="74">
        <f>+IF(PROVEEDORES[[#This Row],[SUBTOTAL]]&lt;PROVEEDORES[[#This Row],[base retencion]],0,PROVEEDORES[[#This Row],[retención aplicada]])</f>
        <v>0</v>
      </c>
      <c r="Q1737" s="22">
        <f>+PROVEEDORES[[#This Row],[Rete Fuente %]]*(PROVEEDORES[[#This Row],[SUBTOTAL]]-PROVEEDORES[[#This Row],[descuento sobre subtotal]])</f>
        <v>0</v>
      </c>
      <c r="R1737" s="21">
        <f>+PROVEEDORES[[#This Row],[SUBTOTAL]]+PROVEEDORES[[#This Row],[IVA 19%]]-PROVEEDORES[[#This Row],[descuento sobre subtotal]]-PROVEEDORES[[#This Row],[Descuento sobre subtotal $2]]-PROVEEDORES[[#This Row],[Rete Fuente $]]</f>
        <v>307000</v>
      </c>
      <c r="S1737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7" s="63">
        <f ca="1">IF(PROVEEDORES[[#This Row],[FECHA DE PAGO]]=0,TODAY()-PROVEEDORES[[#This Row],[FECHA DE FACTURACIÓN]]-PROVEEDORES[[#This Row],[PLAZO Días]],0)</f>
        <v>0</v>
      </c>
      <c r="U1737" s="104">
        <f>+VLOOKUP(PROVEEDORES[[#This Row],[PROVEEDOR]],Terceros!$A:$D,4,FALSE)</f>
        <v>0</v>
      </c>
      <c r="V1737" s="105">
        <f>+YEAR(PROVEEDORES[[#This Row],[FECHA DE FACTURACIÓN]])</f>
        <v>2023</v>
      </c>
      <c r="W1737" s="105">
        <f>+MATCH(PROVEEDORES[[#This Row],[año facturado]],Retenciones!$1:$1,0)</f>
        <v>6</v>
      </c>
      <c r="X1737" s="106">
        <f>+VLOOKUP(PROVEEDORES[[#This Row],[ID RETENCION]],Retenciones!$A$1:$O$25,PROVEEDORES[[#This Row],[indicador de columna]],FALSE)</f>
        <v>0</v>
      </c>
      <c r="Y1737" s="107">
        <f>+VLOOKUP(PROVEEDORES[[#This Row],[ID RETENCION]],Retenciones!$A$1:$O$25,2,FALSE)</f>
        <v>0</v>
      </c>
      <c r="Z1737" s="116" t="b">
        <f>OR(COUNTIF(PROVEEDORES[[#This Row],[PROVEEDOR]],"*"&amp;'Palabra no opera'!$A$2&amp;"*"))</f>
        <v>0</v>
      </c>
    </row>
    <row r="1738" spans="1:26" ht="22.35" customHeight="1" x14ac:dyDescent="0.3">
      <c r="A1738" s="327" t="str">
        <f>+IF(PROVEEDORES[[#This Row],[FECHA DE PAGO]]=PROVEEDORES[[#This Row],[FECHA DE FACTURACIÓN]],"DE CONTADO","CRÉDITO")</f>
        <v>CRÉDITO</v>
      </c>
      <c r="B1738" s="38" t="str">
        <f>+IF((PROVEEDORES[[#This Row],[FECHA DE PAGO]]-PROVEEDORES[[#This Row],[FECHA DE FACTURACIÓN]])&gt;PROVEEDORES[[#This Row],[PLAZO Días]],"PAGO VENCIDO")</f>
        <v>PAGO VENCIDO</v>
      </c>
      <c r="C1738" s="20">
        <f>+VLOOKUP(PROVEEDORES[[#This Row],[PROVEEDOR]],TERCEROS_INFO[#All],2,FALSE)</f>
        <v>30</v>
      </c>
      <c r="D1738" s="25">
        <f>+SUMIFS(PROVEEDORES[Total],PROVEEDORES[PROVEEDOR],PROVEEDORES[[#This Row],[PROVEEDOR]],PROVEEDORES[FECHA DE PAGO],"")</f>
        <v>2950000</v>
      </c>
      <c r="E1738" s="25"/>
      <c r="F1738" s="56">
        <f>+VLOOKUP(PROVEEDORES[[#This Row],[PROVEEDOR]],
                       Terceros!$A:$F,
                       5,
                       FALSE)</f>
        <v>0</v>
      </c>
      <c r="G1738" s="68">
        <v>45139</v>
      </c>
      <c r="H1738" s="26" t="s">
        <v>1152</v>
      </c>
      <c r="I1738" s="68">
        <v>45091</v>
      </c>
      <c r="J1738" s="35">
        <v>2011</v>
      </c>
      <c r="K1738" s="21">
        <v>205000</v>
      </c>
      <c r="L1738" s="21"/>
      <c r="M1738" s="22">
        <f>(PROVEEDORES[[#This Row],[SUBTOTAL]]-PROVEEDORES[[#This Row],[descuento sobre subtotal]])*VLOOKUP(PROVEEDORES[[#This Row],[PROVEEDOR]],TERCEROS_INFO[#All],3,FALSE)</f>
        <v>0</v>
      </c>
      <c r="N1738" s="23"/>
      <c r="O1738" s="22">
        <f>+PROVEEDORES[[#This Row],[Descuento sobre subtotal %]]*(PROVEEDORES[[#This Row],[SUBTOTAL]]-PROVEEDORES[[#This Row],[descuento sobre subtotal]])</f>
        <v>0</v>
      </c>
      <c r="P1738" s="74">
        <f>+IF(PROVEEDORES[[#This Row],[SUBTOTAL]]&lt;PROVEEDORES[[#This Row],[base retencion]],0,PROVEEDORES[[#This Row],[retención aplicada]])</f>
        <v>0</v>
      </c>
      <c r="Q1738" s="22">
        <f>+PROVEEDORES[[#This Row],[Rete Fuente %]]*(PROVEEDORES[[#This Row],[SUBTOTAL]]-PROVEEDORES[[#This Row],[descuento sobre subtotal]])</f>
        <v>0</v>
      </c>
      <c r="R1738" s="21">
        <f>+PROVEEDORES[[#This Row],[SUBTOTAL]]+PROVEEDORES[[#This Row],[IVA 19%]]-PROVEEDORES[[#This Row],[descuento sobre subtotal]]-PROVEEDORES[[#This Row],[Descuento sobre subtotal $2]]-PROVEEDORES[[#This Row],[Rete Fuente $]]</f>
        <v>205000</v>
      </c>
      <c r="S1738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8" s="63">
        <f ca="1">IF(PROVEEDORES[[#This Row],[FECHA DE PAGO]]=0,TODAY()-PROVEEDORES[[#This Row],[FECHA DE FACTURACIÓN]]-PROVEEDORES[[#This Row],[PLAZO Días]],0)</f>
        <v>0</v>
      </c>
      <c r="U1738" s="104">
        <f>+VLOOKUP(PROVEEDORES[[#This Row],[PROVEEDOR]],Terceros!$A:$D,4,FALSE)</f>
        <v>0</v>
      </c>
      <c r="V1738" s="105">
        <f>+YEAR(PROVEEDORES[[#This Row],[FECHA DE FACTURACIÓN]])</f>
        <v>2023</v>
      </c>
      <c r="W1738" s="105">
        <f>+MATCH(PROVEEDORES[[#This Row],[año facturado]],Retenciones!$1:$1,0)</f>
        <v>6</v>
      </c>
      <c r="X1738" s="106">
        <f>+VLOOKUP(PROVEEDORES[[#This Row],[ID RETENCION]],Retenciones!$A$1:$O$25,PROVEEDORES[[#This Row],[indicador de columna]],FALSE)</f>
        <v>0</v>
      </c>
      <c r="Y1738" s="107">
        <f>+VLOOKUP(PROVEEDORES[[#This Row],[ID RETENCION]],Retenciones!$A$1:$O$25,2,FALSE)</f>
        <v>0</v>
      </c>
      <c r="Z1738" s="116" t="b">
        <f>OR(COUNTIF(PROVEEDORES[[#This Row],[PROVEEDOR]],"*"&amp;'Palabra no opera'!$A$2&amp;"*"))</f>
        <v>0</v>
      </c>
    </row>
    <row r="1739" spans="1:26" ht="22.35" customHeight="1" x14ac:dyDescent="0.3">
      <c r="A1739" s="67" t="str">
        <f>+IF(PROVEEDORES[[#This Row],[FECHA DE PAGO]]=PROVEEDORES[[#This Row],[FECHA DE FACTURACIÓN]],"DE CONTADO","CRÉDITO")</f>
        <v>CRÉDITO</v>
      </c>
      <c r="B1739" s="38" t="str">
        <f>+IF((PROVEEDORES[[#This Row],[FECHA DE PAGO]]-PROVEEDORES[[#This Row],[FECHA DE FACTURACIÓN]])&gt;PROVEEDORES[[#This Row],[PLAZO Días]],"PAGO VENCIDO")</f>
        <v>PAGO VENCIDO</v>
      </c>
      <c r="C1739" s="20">
        <f>+VLOOKUP(PROVEEDORES[[#This Row],[PROVEEDOR]],TERCEROS_INFO[#All],2,FALSE)</f>
        <v>30</v>
      </c>
      <c r="D1739" s="25">
        <f>+SUMIFS(PROVEEDORES[Total],PROVEEDORES[PROVEEDOR],PROVEEDORES[[#This Row],[PROVEEDOR]],PROVEEDORES[FECHA DE PAGO],"")</f>
        <v>680000</v>
      </c>
      <c r="E1739" s="25"/>
      <c r="F1739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39" s="68">
        <v>45139</v>
      </c>
      <c r="H1739" s="26" t="s">
        <v>412</v>
      </c>
      <c r="I1739" s="68">
        <v>45057</v>
      </c>
      <c r="J1739" s="35">
        <v>327168</v>
      </c>
      <c r="K1739" s="21">
        <v>27000</v>
      </c>
      <c r="L1739" s="21"/>
      <c r="M1739" s="22">
        <f>(PROVEEDORES[[#This Row],[SUBTOTAL]]-PROVEEDORES[[#This Row],[descuento sobre subtotal]])*VLOOKUP(PROVEEDORES[[#This Row],[PROVEEDOR]],TERCEROS_INFO[#All],3,FALSE)</f>
        <v>0</v>
      </c>
      <c r="N1739" s="23"/>
      <c r="O1739" s="22">
        <f>+PROVEEDORES[[#This Row],[Descuento sobre subtotal %]]*(PROVEEDORES[[#This Row],[SUBTOTAL]]-PROVEEDORES[[#This Row],[descuento sobre subtotal]])</f>
        <v>0</v>
      </c>
      <c r="P1739" s="74">
        <f>+IF(PROVEEDORES[[#This Row],[SUBTOTAL]]&lt;PROVEEDORES[[#This Row],[base retencion]],0,PROVEEDORES[[#This Row],[retención aplicada]])</f>
        <v>0</v>
      </c>
      <c r="Q1739" s="22">
        <f>+PROVEEDORES[[#This Row],[Rete Fuente %]]*(PROVEEDORES[[#This Row],[SUBTOTAL]]-PROVEEDORES[[#This Row],[descuento sobre subtotal]])</f>
        <v>0</v>
      </c>
      <c r="R1739" s="21">
        <f>+PROVEEDORES[[#This Row],[SUBTOTAL]]+PROVEEDORES[[#This Row],[IVA 19%]]-PROVEEDORES[[#This Row],[descuento sobre subtotal]]-PROVEEDORES[[#This Row],[Descuento sobre subtotal $2]]-PROVEEDORES[[#This Row],[Rete Fuente $]]</f>
        <v>27000</v>
      </c>
      <c r="S173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9" s="63">
        <f ca="1">IF(PROVEEDORES[[#This Row],[FECHA DE PAGO]]=0,TODAY()-PROVEEDORES[[#This Row],[FECHA DE FACTURACIÓN]]-PROVEEDORES[[#This Row],[PLAZO Días]],0)</f>
        <v>0</v>
      </c>
      <c r="U1739" s="104">
        <f>+VLOOKUP(PROVEEDORES[[#This Row],[PROVEEDOR]],Terceros!$A:$D,4,FALSE)</f>
        <v>0</v>
      </c>
      <c r="V1739" s="105">
        <f>+YEAR(PROVEEDORES[[#This Row],[FECHA DE FACTURACIÓN]])</f>
        <v>2023</v>
      </c>
      <c r="W1739" s="105">
        <f>+MATCH(PROVEEDORES[[#This Row],[año facturado]],Retenciones!$1:$1,0)</f>
        <v>6</v>
      </c>
      <c r="X1739" s="106">
        <f>+VLOOKUP(PROVEEDORES[[#This Row],[ID RETENCION]],Retenciones!$A$1:$O$25,PROVEEDORES[[#This Row],[indicador de columna]],FALSE)</f>
        <v>0</v>
      </c>
      <c r="Y1739" s="107">
        <f>+VLOOKUP(PROVEEDORES[[#This Row],[ID RETENCION]],Retenciones!$A$1:$O$25,2,FALSE)</f>
        <v>0</v>
      </c>
      <c r="Z1739" s="116" t="b">
        <f>OR(COUNTIF(PROVEEDORES[[#This Row],[PROVEEDOR]],"*"&amp;'Palabra no opera'!$A$2&amp;"*"))</f>
        <v>0</v>
      </c>
    </row>
    <row r="1740" spans="1:26" ht="22.35" customHeight="1" x14ac:dyDescent="0.3">
      <c r="A1740" s="67" t="str">
        <f>+IF(PROVEEDORES[[#This Row],[FECHA DE PAGO]]=PROVEEDORES[[#This Row],[FECHA DE FACTURACIÓN]],"DE CONTADO","CRÉDITO")</f>
        <v>CRÉDITO</v>
      </c>
      <c r="B1740" s="38" t="b">
        <f>+IF((PROVEEDORES[[#This Row],[FECHA DE PAGO]]-PROVEEDORES[[#This Row],[FECHA DE FACTURACIÓN]])&gt;PROVEEDORES[[#This Row],[PLAZO Días]],"PAGO VENCIDO")</f>
        <v>0</v>
      </c>
      <c r="C1740" s="20">
        <f>+VLOOKUP(PROVEEDORES[[#This Row],[PROVEEDOR]],TERCEROS_INFO[#All],2,FALSE)</f>
        <v>30</v>
      </c>
      <c r="D1740" s="25">
        <f>+SUMIFS(PROVEEDORES[Total],PROVEEDORES[PROVEEDOR],PROVEEDORES[[#This Row],[PROVEEDOR]],PROVEEDORES[FECHA DE PAGO],"")</f>
        <v>0</v>
      </c>
      <c r="E1740" s="25"/>
      <c r="F1740" s="56">
        <f>+VLOOKUP(PROVEEDORES[[#This Row],[PROVEEDOR]],
                       Terceros!$A:$F,
                       5,
                       FALSE)</f>
        <v>0</v>
      </c>
      <c r="G1740" s="68">
        <v>45139</v>
      </c>
      <c r="H1740" s="26" t="s">
        <v>413</v>
      </c>
      <c r="I1740" s="68">
        <v>45112</v>
      </c>
      <c r="J1740" s="35" t="s">
        <v>1830</v>
      </c>
      <c r="K1740" s="21">
        <v>504000</v>
      </c>
      <c r="L1740" s="21"/>
      <c r="M1740" s="22">
        <f>(PROVEEDORES[[#This Row],[SUBTOTAL]]-PROVEEDORES[[#This Row],[descuento sobre subtotal]])*VLOOKUP(PROVEEDORES[[#This Row],[PROVEEDOR]],TERCEROS_INFO[#All],3,FALSE)</f>
        <v>0</v>
      </c>
      <c r="N1740" s="23"/>
      <c r="O1740" s="22">
        <f>+PROVEEDORES[[#This Row],[Descuento sobre subtotal %]]*(PROVEEDORES[[#This Row],[SUBTOTAL]]-PROVEEDORES[[#This Row],[descuento sobre subtotal]])</f>
        <v>0</v>
      </c>
      <c r="P1740" s="74">
        <f>+IF(PROVEEDORES[[#This Row],[SUBTOTAL]]&lt;PROVEEDORES[[#This Row],[base retencion]],0,PROVEEDORES[[#This Row],[retención aplicada]])</f>
        <v>0</v>
      </c>
      <c r="Q1740" s="22">
        <f>+PROVEEDORES[[#This Row],[Rete Fuente %]]*(PROVEEDORES[[#This Row],[SUBTOTAL]]-PROVEEDORES[[#This Row],[descuento sobre subtotal]])</f>
        <v>0</v>
      </c>
      <c r="R1740" s="21">
        <f>+PROVEEDORES[[#This Row],[SUBTOTAL]]+PROVEEDORES[[#This Row],[IVA 19%]]-PROVEEDORES[[#This Row],[descuento sobre subtotal]]-PROVEEDORES[[#This Row],[Descuento sobre subtotal $2]]-PROVEEDORES[[#This Row],[Rete Fuente $]]</f>
        <v>504000</v>
      </c>
      <c r="S174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0" s="63">
        <f ca="1">IF(PROVEEDORES[[#This Row],[FECHA DE PAGO]]=0,TODAY()-PROVEEDORES[[#This Row],[FECHA DE FACTURACIÓN]]-PROVEEDORES[[#This Row],[PLAZO Días]],0)</f>
        <v>0</v>
      </c>
      <c r="U1740" s="104">
        <f>+VLOOKUP(PROVEEDORES[[#This Row],[PROVEEDOR]],Terceros!$A:$D,4,FALSE)</f>
        <v>0</v>
      </c>
      <c r="V1740" s="105">
        <f>+YEAR(PROVEEDORES[[#This Row],[FECHA DE FACTURACIÓN]])</f>
        <v>2023</v>
      </c>
      <c r="W1740" s="105">
        <f>+MATCH(PROVEEDORES[[#This Row],[año facturado]],Retenciones!$1:$1,0)</f>
        <v>6</v>
      </c>
      <c r="X1740" s="106">
        <f>+VLOOKUP(PROVEEDORES[[#This Row],[ID RETENCION]],Retenciones!$A$1:$O$25,PROVEEDORES[[#This Row],[indicador de columna]],FALSE)</f>
        <v>0</v>
      </c>
      <c r="Y1740" s="107">
        <f>+VLOOKUP(PROVEEDORES[[#This Row],[ID RETENCION]],Retenciones!$A$1:$O$25,2,FALSE)</f>
        <v>0</v>
      </c>
      <c r="Z1740" s="116" t="b">
        <f>OR(COUNTIF(PROVEEDORES[[#This Row],[PROVEEDOR]],"*"&amp;'Palabra no opera'!$A$2&amp;"*"))</f>
        <v>0</v>
      </c>
    </row>
    <row r="1741" spans="1:26" ht="22.35" customHeight="1" x14ac:dyDescent="0.3">
      <c r="A1741" s="67" t="str">
        <f>+IF(PROVEEDORES[[#This Row],[FECHA DE PAGO]]=PROVEEDORES[[#This Row],[FECHA DE FACTURACIÓN]],"DE CONTADO","CRÉDITO")</f>
        <v>CRÉDITO</v>
      </c>
      <c r="B1741" s="38" t="str">
        <f>+IF((PROVEEDORES[[#This Row],[FECHA DE PAGO]]-PROVEEDORES[[#This Row],[FECHA DE FACTURACIÓN]])&gt;PROVEEDORES[[#This Row],[PLAZO Días]],"PAGO VENCIDO")</f>
        <v>PAGO VENCIDO</v>
      </c>
      <c r="C1741" s="20">
        <f>+VLOOKUP(PROVEEDORES[[#This Row],[PROVEEDOR]],TERCEROS_INFO[#All],2,FALSE)</f>
        <v>30</v>
      </c>
      <c r="D1741" s="25">
        <f>+SUMIFS(PROVEEDORES[Total],PROVEEDORES[PROVEEDOR],PROVEEDORES[[#This Row],[PROVEEDOR]],PROVEEDORES[FECHA DE PAGO],"")</f>
        <v>1034000.52</v>
      </c>
      <c r="E1741" s="25"/>
      <c r="F1741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41" s="68">
        <v>45139</v>
      </c>
      <c r="H1741" s="26" t="s">
        <v>168</v>
      </c>
      <c r="I1741" s="68">
        <v>45057</v>
      </c>
      <c r="J1741" s="35" t="s">
        <v>1697</v>
      </c>
      <c r="K1741" s="21">
        <v>3564706</v>
      </c>
      <c r="L1741" s="21"/>
      <c r="M1741" s="22">
        <f>(PROVEEDORES[[#This Row],[SUBTOTAL]]-PROVEEDORES[[#This Row],[descuento sobre subtotal]])*VLOOKUP(PROVEEDORES[[#This Row],[PROVEEDOR]],TERCEROS_INFO[#All],3,FALSE)</f>
        <v>677294.14</v>
      </c>
      <c r="N1741" s="23"/>
      <c r="O1741" s="22">
        <f>+PROVEEDORES[[#This Row],[Descuento sobre subtotal %]]*(PROVEEDORES[[#This Row],[SUBTOTAL]]-PROVEEDORES[[#This Row],[descuento sobre subtotal]])</f>
        <v>0</v>
      </c>
      <c r="P1741" s="74">
        <f>+IF(PROVEEDORES[[#This Row],[SUBTOTAL]]&lt;PROVEEDORES[[#This Row],[base retencion]],0,PROVEEDORES[[#This Row],[retención aplicada]])</f>
        <v>2.5000000000000001E-2</v>
      </c>
      <c r="Q1741" s="22">
        <f>+PROVEEDORES[[#This Row],[Rete Fuente %]]*(PROVEEDORES[[#This Row],[SUBTOTAL]]-PROVEEDORES[[#This Row],[descuento sobre subtotal]])</f>
        <v>89117.650000000009</v>
      </c>
      <c r="R1741" s="21">
        <f>+PROVEEDORES[[#This Row],[SUBTOTAL]]+PROVEEDORES[[#This Row],[IVA 19%]]-PROVEEDORES[[#This Row],[descuento sobre subtotal]]-PROVEEDORES[[#This Row],[Descuento sobre subtotal $2]]-PROVEEDORES[[#This Row],[Rete Fuente $]]</f>
        <v>4152882.4899999998</v>
      </c>
      <c r="S174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1" s="63">
        <f ca="1">IF(PROVEEDORES[[#This Row],[FECHA DE PAGO]]=0,TODAY()-PROVEEDORES[[#This Row],[FECHA DE FACTURACIÓN]]-PROVEEDORES[[#This Row],[PLAZO Días]],0)</f>
        <v>0</v>
      </c>
      <c r="U1741" s="104" t="str">
        <f>+VLOOKUP(PROVEEDORES[[#This Row],[PROVEEDOR]],Terceros!$A:$D,4,FALSE)</f>
        <v>2,5% con base</v>
      </c>
      <c r="V1741" s="105">
        <f>+YEAR(PROVEEDORES[[#This Row],[FECHA DE FACTURACIÓN]])</f>
        <v>2023</v>
      </c>
      <c r="W1741" s="105">
        <f>+MATCH(PROVEEDORES[[#This Row],[año facturado]],Retenciones!$1:$1,0)</f>
        <v>6</v>
      </c>
      <c r="X1741" s="106">
        <f>+VLOOKUP(PROVEEDORES[[#This Row],[ID RETENCION]],Retenciones!$A$1:$O$25,PROVEEDORES[[#This Row],[indicador de columna]],FALSE)</f>
        <v>1145000</v>
      </c>
      <c r="Y1741" s="107">
        <f>+VLOOKUP(PROVEEDORES[[#This Row],[ID RETENCION]],Retenciones!$A$1:$O$25,2,FALSE)</f>
        <v>2.5000000000000001E-2</v>
      </c>
      <c r="Z1741" s="116" t="b">
        <f>OR(COUNTIF(PROVEEDORES[[#This Row],[PROVEEDOR]],"*"&amp;'Palabra no opera'!$A$2&amp;"*"))</f>
        <v>0</v>
      </c>
    </row>
    <row r="1742" spans="1:26" ht="22.35" customHeight="1" x14ac:dyDescent="0.3">
      <c r="A1742" s="325" t="str">
        <f>+IF(PROVEEDORES[[#This Row],[FECHA DE PAGO]]=PROVEEDORES[[#This Row],[FECHA DE FACTURACIÓN]],"DE CONTADO","CRÉDITO")</f>
        <v>CRÉDITO</v>
      </c>
      <c r="B1742" s="38" t="str">
        <f>+IF((PROVEEDORES[[#This Row],[FECHA DE PAGO]]-PROVEEDORES[[#This Row],[FECHA DE FACTURACIÓN]])&gt;PROVEEDORES[[#This Row],[PLAZO Días]],"PAGO VENCIDO")</f>
        <v>PAGO VENCIDO</v>
      </c>
      <c r="C1742" s="20">
        <f>+VLOOKUP(PROVEEDORES[[#This Row],[PROVEEDOR]],TERCEROS_INFO[#All],2,FALSE)</f>
        <v>30</v>
      </c>
      <c r="D1742" s="25">
        <f>+SUMIFS(PROVEEDORES[Total],PROVEEDORES[PROVEEDOR],PROVEEDORES[[#This Row],[PROVEEDOR]],PROVEEDORES[FECHA DE PAGO],"")</f>
        <v>1034000.52</v>
      </c>
      <c r="E1742" s="25"/>
      <c r="F174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42" s="68">
        <v>45139</v>
      </c>
      <c r="H1742" s="26" t="s">
        <v>168</v>
      </c>
      <c r="I1742" s="68">
        <v>45094</v>
      </c>
      <c r="J1742" s="35" t="s">
        <v>1749</v>
      </c>
      <c r="K1742" s="21">
        <v>537815</v>
      </c>
      <c r="L1742" s="21"/>
      <c r="M1742" s="22">
        <f>(PROVEEDORES[[#This Row],[SUBTOTAL]]-PROVEEDORES[[#This Row],[descuento sobre subtotal]])*VLOOKUP(PROVEEDORES[[#This Row],[PROVEEDOR]],TERCEROS_INFO[#All],3,FALSE)</f>
        <v>102184.85</v>
      </c>
      <c r="N1742" s="23"/>
      <c r="O1742" s="22">
        <f>+PROVEEDORES[[#This Row],[Descuento sobre subtotal %]]*(PROVEEDORES[[#This Row],[SUBTOTAL]]-PROVEEDORES[[#This Row],[descuento sobre subtotal]])</f>
        <v>0</v>
      </c>
      <c r="P1742" s="74">
        <f>+IF(PROVEEDORES[[#This Row],[SUBTOTAL]]&lt;PROVEEDORES[[#This Row],[base retencion]],0,PROVEEDORES[[#This Row],[retención aplicada]])</f>
        <v>0</v>
      </c>
      <c r="Q1742" s="22">
        <f>+PROVEEDORES[[#This Row],[Rete Fuente %]]*(PROVEEDORES[[#This Row],[SUBTOTAL]]-PROVEEDORES[[#This Row],[descuento sobre subtotal]])</f>
        <v>0</v>
      </c>
      <c r="R1742" s="21">
        <f>+PROVEEDORES[[#This Row],[SUBTOTAL]]+PROVEEDORES[[#This Row],[IVA 19%]]-PROVEEDORES[[#This Row],[descuento sobre subtotal]]-PROVEEDORES[[#This Row],[Descuento sobre subtotal $2]]-PROVEEDORES[[#This Row],[Rete Fuente $]]</f>
        <v>639999.85</v>
      </c>
      <c r="S1742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2" s="63">
        <f ca="1">IF(PROVEEDORES[[#This Row],[FECHA DE PAGO]]=0,TODAY()-PROVEEDORES[[#This Row],[FECHA DE FACTURACIÓN]]-PROVEEDORES[[#This Row],[PLAZO Días]],0)</f>
        <v>0</v>
      </c>
      <c r="U1742" s="104" t="str">
        <f>+VLOOKUP(PROVEEDORES[[#This Row],[PROVEEDOR]],Terceros!$A:$D,4,FALSE)</f>
        <v>2,5% con base</v>
      </c>
      <c r="V1742" s="105">
        <f>+YEAR(PROVEEDORES[[#This Row],[FECHA DE FACTURACIÓN]])</f>
        <v>2023</v>
      </c>
      <c r="W1742" s="105">
        <f>+MATCH(PROVEEDORES[[#This Row],[año facturado]],Retenciones!$1:$1,0)</f>
        <v>6</v>
      </c>
      <c r="X1742" s="106">
        <f>+VLOOKUP(PROVEEDORES[[#This Row],[ID RETENCION]],Retenciones!$A$1:$O$25,PROVEEDORES[[#This Row],[indicador de columna]],FALSE)</f>
        <v>1145000</v>
      </c>
      <c r="Y1742" s="107">
        <f>+VLOOKUP(PROVEEDORES[[#This Row],[ID RETENCION]],Retenciones!$A$1:$O$25,2,FALSE)</f>
        <v>2.5000000000000001E-2</v>
      </c>
      <c r="Z1742" s="116" t="b">
        <f>OR(COUNTIF(PROVEEDORES[[#This Row],[PROVEEDOR]],"*"&amp;'Palabra no opera'!$A$2&amp;"*"))</f>
        <v>0</v>
      </c>
    </row>
    <row r="1743" spans="1:26" ht="22.35" customHeight="1" x14ac:dyDescent="0.3">
      <c r="A1743" s="67" t="str">
        <f>+IF(PROVEEDORES[[#This Row],[FECHA DE PAGO]]=PROVEEDORES[[#This Row],[FECHA DE FACTURACIÓN]],"DE CONTADO","CRÉDITO")</f>
        <v>CRÉDITO</v>
      </c>
      <c r="B1743" s="38" t="str">
        <f>+IF((PROVEEDORES[[#This Row],[FECHA DE PAGO]]-PROVEEDORES[[#This Row],[FECHA DE FACTURACIÓN]])&gt;PROVEEDORES[[#This Row],[PLAZO Días]],"PAGO VENCIDO")</f>
        <v>PAGO VENCIDO</v>
      </c>
      <c r="C1743" s="20">
        <f>+VLOOKUP(PROVEEDORES[[#This Row],[PROVEEDOR]],TERCEROS_INFO[#All],2,FALSE)</f>
        <v>30</v>
      </c>
      <c r="D1743" s="25">
        <f>+SUMIFS(PROVEEDORES[Total],PROVEEDORES[PROVEEDOR],PROVEEDORES[[#This Row],[PROVEEDOR]],PROVEEDORES[FECHA DE PAGO],"")</f>
        <v>18444236.894999996</v>
      </c>
      <c r="E1743" s="25"/>
      <c r="F174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43" s="68">
        <v>45139</v>
      </c>
      <c r="H1743" s="26" t="s">
        <v>11</v>
      </c>
      <c r="I1743" s="68">
        <v>45098</v>
      </c>
      <c r="J1743" s="35" t="s">
        <v>1786</v>
      </c>
      <c r="K1743" s="21">
        <v>2480677</v>
      </c>
      <c r="L1743" s="21"/>
      <c r="M1743" s="22">
        <f>(PROVEEDORES[[#This Row],[SUBTOTAL]]-PROVEEDORES[[#This Row],[descuento sobre subtotal]])*VLOOKUP(PROVEEDORES[[#This Row],[PROVEEDOR]],TERCEROS_INFO[#All],3,FALSE)</f>
        <v>471328.63</v>
      </c>
      <c r="N1743" s="23"/>
      <c r="O1743" s="22">
        <f>+PROVEEDORES[[#This Row],[Descuento sobre subtotal %]]*(PROVEEDORES[[#This Row],[SUBTOTAL]]-PROVEEDORES[[#This Row],[descuento sobre subtotal]])</f>
        <v>0</v>
      </c>
      <c r="P1743" s="74">
        <f>+IF(PROVEEDORES[[#This Row],[SUBTOTAL]]&lt;PROVEEDORES[[#This Row],[base retencion]],0,PROVEEDORES[[#This Row],[retención aplicada]])</f>
        <v>2.5000000000000001E-2</v>
      </c>
      <c r="Q1743" s="22">
        <f>+PROVEEDORES[[#This Row],[Rete Fuente %]]*(PROVEEDORES[[#This Row],[SUBTOTAL]]-PROVEEDORES[[#This Row],[descuento sobre subtotal]])</f>
        <v>62016.925000000003</v>
      </c>
      <c r="R1743" s="21">
        <f>+PROVEEDORES[[#This Row],[SUBTOTAL]]+PROVEEDORES[[#This Row],[IVA 19%]]-PROVEEDORES[[#This Row],[descuento sobre subtotal]]-PROVEEDORES[[#This Row],[Descuento sobre subtotal $2]]-PROVEEDORES[[#This Row],[Rete Fuente $]]</f>
        <v>2889988.7050000001</v>
      </c>
      <c r="S17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3" s="63">
        <f ca="1">IF(PROVEEDORES[[#This Row],[FECHA DE PAGO]]=0,TODAY()-PROVEEDORES[[#This Row],[FECHA DE FACTURACIÓN]]-PROVEEDORES[[#This Row],[PLAZO Días]],0)</f>
        <v>0</v>
      </c>
      <c r="U1743" s="104" t="str">
        <f>+VLOOKUP(PROVEEDORES[[#This Row],[PROVEEDOR]],Terceros!$A:$D,4,FALSE)</f>
        <v>2,5% con base</v>
      </c>
      <c r="V1743" s="105">
        <f>+YEAR(PROVEEDORES[[#This Row],[FECHA DE FACTURACIÓN]])</f>
        <v>2023</v>
      </c>
      <c r="W1743" s="105">
        <f>+MATCH(PROVEEDORES[[#This Row],[año facturado]],Retenciones!$1:$1,0)</f>
        <v>6</v>
      </c>
      <c r="X1743" s="106">
        <f>+VLOOKUP(PROVEEDORES[[#This Row],[ID RETENCION]],Retenciones!$A$1:$O$25,PROVEEDORES[[#This Row],[indicador de columna]],FALSE)</f>
        <v>1145000</v>
      </c>
      <c r="Y1743" s="107">
        <f>+VLOOKUP(PROVEEDORES[[#This Row],[ID RETENCION]],Retenciones!$A$1:$O$25,2,FALSE)</f>
        <v>2.5000000000000001E-2</v>
      </c>
      <c r="Z1743" s="116" t="b">
        <f>OR(COUNTIF(PROVEEDORES[[#This Row],[PROVEEDOR]],"*"&amp;'Palabra no opera'!$A$2&amp;"*"))</f>
        <v>0</v>
      </c>
    </row>
    <row r="1744" spans="1:26" ht="22.35" customHeight="1" x14ac:dyDescent="0.3">
      <c r="A1744" s="67" t="str">
        <f>+IF(PROVEEDORES[[#This Row],[FECHA DE PAGO]]=PROVEEDORES[[#This Row],[FECHA DE FACTURACIÓN]],"DE CONTADO","CRÉDITO")</f>
        <v>CRÉDITO</v>
      </c>
      <c r="B1744" s="38" t="str">
        <f>+IF((PROVEEDORES[[#This Row],[FECHA DE PAGO]]-PROVEEDORES[[#This Row],[FECHA DE FACTURACIÓN]])&gt;PROVEEDORES[[#This Row],[PLAZO Días]],"PAGO VENCIDO")</f>
        <v>PAGO VENCIDO</v>
      </c>
      <c r="C1744" s="20">
        <f>+VLOOKUP(PROVEEDORES[[#This Row],[PROVEEDOR]],TERCEROS_INFO[#All],2,FALSE)</f>
        <v>30</v>
      </c>
      <c r="D1744" s="25">
        <f>+SUMIFS(PROVEEDORES[Total],PROVEEDORES[PROVEEDOR],PROVEEDORES[[#This Row],[PROVEEDOR]],PROVEEDORES[FECHA DE PAGO],"")</f>
        <v>18444236.894999996</v>
      </c>
      <c r="E1744" s="25"/>
      <c r="F174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44" s="68">
        <v>45139</v>
      </c>
      <c r="H1744" s="26" t="s">
        <v>11</v>
      </c>
      <c r="I1744" s="68">
        <v>45105</v>
      </c>
      <c r="J1744" s="35" t="s">
        <v>1785</v>
      </c>
      <c r="K1744" s="21">
        <v>3882360</v>
      </c>
      <c r="L1744" s="21"/>
      <c r="M1744" s="22">
        <f>(PROVEEDORES[[#This Row],[SUBTOTAL]]-PROVEEDORES[[#This Row],[descuento sobre subtotal]])*VLOOKUP(PROVEEDORES[[#This Row],[PROVEEDOR]],TERCEROS_INFO[#All],3,FALSE)</f>
        <v>737648.4</v>
      </c>
      <c r="N1744" s="23"/>
      <c r="O1744" s="22">
        <f>+PROVEEDORES[[#This Row],[Descuento sobre subtotal %]]*(PROVEEDORES[[#This Row],[SUBTOTAL]]-PROVEEDORES[[#This Row],[descuento sobre subtotal]])</f>
        <v>0</v>
      </c>
      <c r="P1744" s="74">
        <f>+IF(PROVEEDORES[[#This Row],[SUBTOTAL]]&lt;PROVEEDORES[[#This Row],[base retencion]],0,PROVEEDORES[[#This Row],[retención aplicada]])</f>
        <v>2.5000000000000001E-2</v>
      </c>
      <c r="Q1744" s="22">
        <f>+PROVEEDORES[[#This Row],[Rete Fuente %]]*(PROVEEDORES[[#This Row],[SUBTOTAL]]-PROVEEDORES[[#This Row],[descuento sobre subtotal]])</f>
        <v>97059</v>
      </c>
      <c r="R1744" s="21">
        <f>+PROVEEDORES[[#This Row],[SUBTOTAL]]+PROVEEDORES[[#This Row],[IVA 19%]]-PROVEEDORES[[#This Row],[descuento sobre subtotal]]-PROVEEDORES[[#This Row],[Descuento sobre subtotal $2]]-PROVEEDORES[[#This Row],[Rete Fuente $]]</f>
        <v>4522949.4000000004</v>
      </c>
      <c r="S17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4" s="63">
        <f ca="1">IF(PROVEEDORES[[#This Row],[FECHA DE PAGO]]=0,TODAY()-PROVEEDORES[[#This Row],[FECHA DE FACTURACIÓN]]-PROVEEDORES[[#This Row],[PLAZO Días]],0)</f>
        <v>0</v>
      </c>
      <c r="U1744" s="104" t="str">
        <f>+VLOOKUP(PROVEEDORES[[#This Row],[PROVEEDOR]],Terceros!$A:$D,4,FALSE)</f>
        <v>2,5% con base</v>
      </c>
      <c r="V1744" s="105">
        <f>+YEAR(PROVEEDORES[[#This Row],[FECHA DE FACTURACIÓN]])</f>
        <v>2023</v>
      </c>
      <c r="W1744" s="105">
        <f>+MATCH(PROVEEDORES[[#This Row],[año facturado]],Retenciones!$1:$1,0)</f>
        <v>6</v>
      </c>
      <c r="X1744" s="106">
        <f>+VLOOKUP(PROVEEDORES[[#This Row],[ID RETENCION]],Retenciones!$A$1:$O$25,PROVEEDORES[[#This Row],[indicador de columna]],FALSE)</f>
        <v>1145000</v>
      </c>
      <c r="Y1744" s="107">
        <f>+VLOOKUP(PROVEEDORES[[#This Row],[ID RETENCION]],Retenciones!$A$1:$O$25,2,FALSE)</f>
        <v>2.5000000000000001E-2</v>
      </c>
      <c r="Z1744" s="116" t="b">
        <f>OR(COUNTIF(PROVEEDORES[[#This Row],[PROVEEDOR]],"*"&amp;'Palabra no opera'!$A$2&amp;"*"))</f>
        <v>0</v>
      </c>
    </row>
    <row r="1745" spans="1:26" ht="22.35" customHeight="1" x14ac:dyDescent="0.3">
      <c r="A1745" s="67" t="str">
        <f>+IF(PROVEEDORES[[#This Row],[FECHA DE PAGO]]=PROVEEDORES[[#This Row],[FECHA DE FACTURACIÓN]],"DE CONTADO","CRÉDITO")</f>
        <v>CRÉDITO</v>
      </c>
      <c r="B1745" s="38" t="str">
        <f>+IF((PROVEEDORES[[#This Row],[FECHA DE PAGO]]-PROVEEDORES[[#This Row],[FECHA DE FACTURACIÓN]])&gt;PROVEEDORES[[#This Row],[PLAZO Días]],"PAGO VENCIDO")</f>
        <v>PAGO VENCIDO</v>
      </c>
      <c r="C1745" s="20">
        <f>+VLOOKUP(PROVEEDORES[[#This Row],[PROVEEDOR]],TERCEROS_INFO[#All],2,FALSE)</f>
        <v>30</v>
      </c>
      <c r="D1745" s="25">
        <f>+SUMIFS(PROVEEDORES[Total],PROVEEDORES[PROVEEDOR],PROVEEDORES[[#This Row],[PROVEEDOR]],PROVEEDORES[FECHA DE PAGO],"")</f>
        <v>2100000</v>
      </c>
      <c r="E1745" s="25"/>
      <c r="F1745" s="56" t="str">
        <f>+VLOOKUP(PROVEEDORES[[#This Row],[PROVEEDOR]],
                       Terceros!$A:$F,
                       5,
                       FALSE)</f>
        <v/>
      </c>
      <c r="G1745" s="68">
        <v>45140</v>
      </c>
      <c r="H1745" s="26" t="s">
        <v>349</v>
      </c>
      <c r="I1745" s="68">
        <v>45062</v>
      </c>
      <c r="J1745" s="35" t="s">
        <v>1678</v>
      </c>
      <c r="K1745" s="21">
        <v>2965000</v>
      </c>
      <c r="L1745" s="21"/>
      <c r="M1745" s="22">
        <f>(PROVEEDORES[[#This Row],[SUBTOTAL]]-PROVEEDORES[[#This Row],[descuento sobre subtotal]])*VLOOKUP(PROVEEDORES[[#This Row],[PROVEEDOR]],TERCEROS_INFO[#All],3,FALSE)</f>
        <v>0</v>
      </c>
      <c r="N1745" s="23"/>
      <c r="O1745" s="22">
        <f>+PROVEEDORES[[#This Row],[Descuento sobre subtotal %]]*(PROVEEDORES[[#This Row],[SUBTOTAL]]-PROVEEDORES[[#This Row],[descuento sobre subtotal]])</f>
        <v>0</v>
      </c>
      <c r="P1745" s="74">
        <f>+IF(PROVEEDORES[[#This Row],[SUBTOTAL]]&lt;PROVEEDORES[[#This Row],[base retencion]],0,PROVEEDORES[[#This Row],[retención aplicada]])</f>
        <v>0</v>
      </c>
      <c r="Q1745" s="22">
        <f>+PROVEEDORES[[#This Row],[Rete Fuente %]]*(PROVEEDORES[[#This Row],[SUBTOTAL]]-PROVEEDORES[[#This Row],[descuento sobre subtotal]])</f>
        <v>0</v>
      </c>
      <c r="R1745" s="21">
        <f>+PROVEEDORES[[#This Row],[SUBTOTAL]]+PROVEEDORES[[#This Row],[IVA 19%]]-PROVEEDORES[[#This Row],[descuento sobre subtotal]]-PROVEEDORES[[#This Row],[Descuento sobre subtotal $2]]-PROVEEDORES[[#This Row],[Rete Fuente $]]</f>
        <v>2965000</v>
      </c>
      <c r="S174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5" s="63">
        <f ca="1">IF(PROVEEDORES[[#This Row],[FECHA DE PAGO]]=0,TODAY()-PROVEEDORES[[#This Row],[FECHA DE FACTURACIÓN]]-PROVEEDORES[[#This Row],[PLAZO Días]],0)</f>
        <v>0</v>
      </c>
      <c r="U1745" s="104">
        <f>+VLOOKUP(PROVEEDORES[[#This Row],[PROVEEDOR]],Terceros!$A:$D,4,FALSE)</f>
        <v>0</v>
      </c>
      <c r="V1745" s="105">
        <f>+YEAR(PROVEEDORES[[#This Row],[FECHA DE FACTURACIÓN]])</f>
        <v>2023</v>
      </c>
      <c r="W1745" s="105">
        <f>+MATCH(PROVEEDORES[[#This Row],[año facturado]],Retenciones!$1:$1,0)</f>
        <v>6</v>
      </c>
      <c r="X1745" s="106">
        <f>+VLOOKUP(PROVEEDORES[[#This Row],[ID RETENCION]],Retenciones!$A$1:$O$25,PROVEEDORES[[#This Row],[indicador de columna]],FALSE)</f>
        <v>0</v>
      </c>
      <c r="Y1745" s="107">
        <f>+VLOOKUP(PROVEEDORES[[#This Row],[ID RETENCION]],Retenciones!$A$1:$O$25,2,FALSE)</f>
        <v>0</v>
      </c>
      <c r="Z1745" s="116" t="b">
        <f>OR(COUNTIF(PROVEEDORES[[#This Row],[PROVEEDOR]],"*"&amp;'Palabra no opera'!$A$2&amp;"*"))</f>
        <v>0</v>
      </c>
    </row>
    <row r="1746" spans="1:26" ht="22.35" customHeight="1" x14ac:dyDescent="0.3">
      <c r="A1746" s="67" t="str">
        <f>+IF(PROVEEDORES[[#This Row],[FECHA DE PAGO]]=PROVEEDORES[[#This Row],[FECHA DE FACTURACIÓN]],"DE CONTADO","CRÉDITO")</f>
        <v>CRÉDITO</v>
      </c>
      <c r="B1746" s="38" t="b">
        <f>+IF((PROVEEDORES[[#This Row],[FECHA DE PAGO]]-PROVEEDORES[[#This Row],[FECHA DE FACTURACIÓN]])&gt;PROVEEDORES[[#This Row],[PLAZO Días]],"PAGO VENCIDO")</f>
        <v>0</v>
      </c>
      <c r="C1746" s="20">
        <f>+VLOOKUP(PROVEEDORES[[#This Row],[PROVEEDOR]],TERCEROS_INFO[#All],2,FALSE)</f>
        <v>30</v>
      </c>
      <c r="D1746" s="25">
        <f>+SUMIFS(PROVEEDORES[Total],PROVEEDORES[PROVEEDOR],PROVEEDORES[[#This Row],[PROVEEDOR]],PROVEEDORES[FECHA DE PAGO],"")</f>
        <v>0</v>
      </c>
      <c r="E1746" s="25"/>
      <c r="F1746" s="56" t="str">
        <f>+VLOOKUP(PROVEEDORES[[#This Row],[PROVEEDOR]],
                       Terceros!$A:$F,
                       5,
                       FALSE)</f>
        <v/>
      </c>
      <c r="G1746" s="68">
        <v>45140</v>
      </c>
      <c r="H1746" s="26" t="s">
        <v>1194</v>
      </c>
      <c r="I1746" s="68">
        <v>45139</v>
      </c>
      <c r="J1746" s="35" t="s">
        <v>1866</v>
      </c>
      <c r="K1746" s="21">
        <v>10615000</v>
      </c>
      <c r="L1746" s="21"/>
      <c r="M1746" s="22">
        <f>(PROVEEDORES[[#This Row],[SUBTOTAL]]-PROVEEDORES[[#This Row],[descuento sobre subtotal]])*VLOOKUP(PROVEEDORES[[#This Row],[PROVEEDOR]],TERCEROS_INFO[#All],3,FALSE)</f>
        <v>0</v>
      </c>
      <c r="N1746" s="23"/>
      <c r="O1746" s="22">
        <f>+PROVEEDORES[[#This Row],[Descuento sobre subtotal %]]*(PROVEEDORES[[#This Row],[SUBTOTAL]]-PROVEEDORES[[#This Row],[descuento sobre subtotal]])</f>
        <v>0</v>
      </c>
      <c r="P1746" s="74">
        <f>+IF(PROVEEDORES[[#This Row],[SUBTOTAL]]&lt;PROVEEDORES[[#This Row],[base retencion]],0,PROVEEDORES[[#This Row],[retención aplicada]])</f>
        <v>0</v>
      </c>
      <c r="Q1746" s="22">
        <f>+PROVEEDORES[[#This Row],[Rete Fuente %]]*(PROVEEDORES[[#This Row],[SUBTOTAL]]-PROVEEDORES[[#This Row],[descuento sobre subtotal]])</f>
        <v>0</v>
      </c>
      <c r="R1746" s="21">
        <f>+PROVEEDORES[[#This Row],[SUBTOTAL]]+PROVEEDORES[[#This Row],[IVA 19%]]-PROVEEDORES[[#This Row],[descuento sobre subtotal]]-PROVEEDORES[[#This Row],[Descuento sobre subtotal $2]]-PROVEEDORES[[#This Row],[Rete Fuente $]]</f>
        <v>10615000</v>
      </c>
      <c r="S17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6" s="63">
        <f ca="1">IF(PROVEEDORES[[#This Row],[FECHA DE PAGO]]=0,TODAY()-PROVEEDORES[[#This Row],[FECHA DE FACTURACIÓN]]-PROVEEDORES[[#This Row],[PLAZO Días]],0)</f>
        <v>0</v>
      </c>
      <c r="U1746" s="104">
        <f>+VLOOKUP(PROVEEDORES[[#This Row],[PROVEEDOR]],Terceros!$A:$D,4,FALSE)</f>
        <v>0</v>
      </c>
      <c r="V1746" s="105">
        <f>+YEAR(PROVEEDORES[[#This Row],[FECHA DE FACTURACIÓN]])</f>
        <v>2023</v>
      </c>
      <c r="W1746" s="105">
        <f>+MATCH(PROVEEDORES[[#This Row],[año facturado]],Retenciones!$1:$1,0)</f>
        <v>6</v>
      </c>
      <c r="X1746" s="106">
        <f>+VLOOKUP(PROVEEDORES[[#This Row],[ID RETENCION]],Retenciones!$A$1:$O$25,PROVEEDORES[[#This Row],[indicador de columna]],FALSE)</f>
        <v>0</v>
      </c>
      <c r="Y1746" s="107">
        <f>+VLOOKUP(PROVEEDORES[[#This Row],[ID RETENCION]],Retenciones!$A$1:$O$25,2,FALSE)</f>
        <v>0</v>
      </c>
      <c r="Z1746" s="116" t="b">
        <f>OR(COUNTIF(PROVEEDORES[[#This Row],[PROVEEDOR]],"*"&amp;'Palabra no opera'!$A$2&amp;"*"))</f>
        <v>0</v>
      </c>
    </row>
    <row r="1747" spans="1:26" ht="22.35" customHeight="1" x14ac:dyDescent="0.3">
      <c r="A1747" s="345" t="str">
        <f>+IF(PROVEEDORES[[#This Row],[FECHA DE PAGO]]=PROVEEDORES[[#This Row],[FECHA DE FACTURACIÓN]],"DE CONTADO","CRÉDITO")</f>
        <v>CRÉDITO</v>
      </c>
      <c r="B1747" s="38" t="b">
        <f>+IF((PROVEEDORES[[#This Row],[FECHA DE PAGO]]-PROVEEDORES[[#This Row],[FECHA DE FACTURACIÓN]])&gt;PROVEEDORES[[#This Row],[PLAZO Días]],"PAGO VENCIDO")</f>
        <v>0</v>
      </c>
      <c r="C1747" s="20">
        <f>+VLOOKUP(PROVEEDORES[[#This Row],[PROVEEDOR]],TERCEROS_INFO[#All],2,FALSE)</f>
        <v>30</v>
      </c>
      <c r="D1747" s="25">
        <f>+SUMIFS(PROVEEDORES[Total],PROVEEDORES[PROVEEDOR],PROVEEDORES[[#This Row],[PROVEEDOR]],PROVEEDORES[FECHA DE PAGO],"")</f>
        <v>0</v>
      </c>
      <c r="E1747" s="25"/>
      <c r="F1747" s="56">
        <f>+VLOOKUP(PROVEEDORES[[#This Row],[PROVEEDOR]],
                       Terceros!$A:$F,
                       5,
                       FALSE)</f>
        <v>0</v>
      </c>
      <c r="G1747" s="68">
        <v>45140</v>
      </c>
      <c r="H1747" s="26" t="s">
        <v>1736</v>
      </c>
      <c r="I1747" s="68">
        <v>45138</v>
      </c>
      <c r="J1747" s="35">
        <v>5</v>
      </c>
      <c r="K1747" s="21">
        <v>444000</v>
      </c>
      <c r="L1747" s="21"/>
      <c r="M1747" s="22">
        <f>(PROVEEDORES[[#This Row],[SUBTOTAL]]-PROVEEDORES[[#This Row],[descuento sobre subtotal]])*VLOOKUP(PROVEEDORES[[#This Row],[PROVEEDOR]],TERCEROS_INFO[#All],3,FALSE)</f>
        <v>0</v>
      </c>
      <c r="N1747" s="23"/>
      <c r="O1747" s="22">
        <f>+PROVEEDORES[[#This Row],[Descuento sobre subtotal %]]*(PROVEEDORES[[#This Row],[SUBTOTAL]]-PROVEEDORES[[#This Row],[descuento sobre subtotal]])</f>
        <v>0</v>
      </c>
      <c r="P1747" s="74">
        <f>+IF(PROVEEDORES[[#This Row],[SUBTOTAL]]&lt;PROVEEDORES[[#This Row],[base retencion]],0,PROVEEDORES[[#This Row],[retención aplicada]])</f>
        <v>0</v>
      </c>
      <c r="Q1747" s="22">
        <f>+PROVEEDORES[[#This Row],[Rete Fuente %]]*(PROVEEDORES[[#This Row],[SUBTOTAL]]-PROVEEDORES[[#This Row],[descuento sobre subtotal]])</f>
        <v>0</v>
      </c>
      <c r="R1747" s="21">
        <f>+PROVEEDORES[[#This Row],[SUBTOTAL]]+PROVEEDORES[[#This Row],[IVA 19%]]-PROVEEDORES[[#This Row],[descuento sobre subtotal]]-PROVEEDORES[[#This Row],[Descuento sobre subtotal $2]]-PROVEEDORES[[#This Row],[Rete Fuente $]]</f>
        <v>444000</v>
      </c>
      <c r="S1747" s="3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7" s="63">
        <f ca="1">IF(PROVEEDORES[[#This Row],[FECHA DE PAGO]]=0,TODAY()-PROVEEDORES[[#This Row],[FECHA DE FACTURACIÓN]]-PROVEEDORES[[#This Row],[PLAZO Días]],0)</f>
        <v>0</v>
      </c>
      <c r="U1747" s="104">
        <f>+VLOOKUP(PROVEEDORES[[#This Row],[PROVEEDOR]],Terceros!$A:$D,4,FALSE)</f>
        <v>0</v>
      </c>
      <c r="V1747" s="105">
        <f>+YEAR(PROVEEDORES[[#This Row],[FECHA DE FACTURACIÓN]])</f>
        <v>2023</v>
      </c>
      <c r="W1747" s="105">
        <f>+MATCH(PROVEEDORES[[#This Row],[año facturado]],Retenciones!$1:$1,0)</f>
        <v>6</v>
      </c>
      <c r="X1747" s="106">
        <f>+VLOOKUP(PROVEEDORES[[#This Row],[ID RETENCION]],Retenciones!$A$1:$O$25,PROVEEDORES[[#This Row],[indicador de columna]],FALSE)</f>
        <v>0</v>
      </c>
      <c r="Y1747" s="107">
        <f>+VLOOKUP(PROVEEDORES[[#This Row],[ID RETENCION]],Retenciones!$A$1:$O$25,2,FALSE)</f>
        <v>0</v>
      </c>
      <c r="Z1747" s="116" t="b">
        <f>OR(COUNTIF(PROVEEDORES[[#This Row],[PROVEEDOR]],"*"&amp;'Palabra no opera'!$A$2&amp;"*"))</f>
        <v>0</v>
      </c>
    </row>
    <row r="1748" spans="1:26" ht="22.35" customHeight="1" x14ac:dyDescent="0.3">
      <c r="A1748" s="310" t="str">
        <f>+IF(PROVEEDORES[[#This Row],[FECHA DE PAGO]]=PROVEEDORES[[#This Row],[FECHA DE FACTURACIÓN]],"DE CONTADO","CRÉDITO")</f>
        <v>CRÉDITO</v>
      </c>
      <c r="B1748" s="38" t="str">
        <f>+IF((PROVEEDORES[[#This Row],[FECHA DE PAGO]]-PROVEEDORES[[#This Row],[FECHA DE FACTURACIÓN]])&gt;PROVEEDORES[[#This Row],[PLAZO Días]],"PAGO VENCIDO")</f>
        <v>PAGO VENCIDO</v>
      </c>
      <c r="C1748" s="20">
        <f>+VLOOKUP(PROVEEDORES[[#This Row],[PROVEEDOR]],TERCEROS_INFO[#All],2,FALSE)</f>
        <v>30</v>
      </c>
      <c r="D1748" s="25">
        <f>+SUMIFS(PROVEEDORES[Total],PROVEEDORES[PROVEEDOR],PROVEEDORES[[#This Row],[PROVEEDOR]],PROVEEDORES[FECHA DE PAGO],"")</f>
        <v>0</v>
      </c>
      <c r="E1748" s="25"/>
      <c r="F1748" s="56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748" s="68">
        <v>45140</v>
      </c>
      <c r="H1748" s="26" t="s">
        <v>239</v>
      </c>
      <c r="I1748" s="68">
        <v>45037</v>
      </c>
      <c r="J1748" s="35" t="s">
        <v>1631</v>
      </c>
      <c r="K1748" s="21">
        <v>6747647</v>
      </c>
      <c r="L1748" s="21"/>
      <c r="M1748" s="22">
        <f>(PROVEEDORES[[#This Row],[SUBTOTAL]]-PROVEEDORES[[#This Row],[descuento sobre subtotal]])*VLOOKUP(PROVEEDORES[[#This Row],[PROVEEDOR]],TERCEROS_INFO[#All],3,FALSE)</f>
        <v>1282052.93</v>
      </c>
      <c r="N1748" s="23"/>
      <c r="O1748" s="22">
        <f>+PROVEEDORES[[#This Row],[Descuento sobre subtotal %]]*(PROVEEDORES[[#This Row],[SUBTOTAL]]-PROVEEDORES[[#This Row],[descuento sobre subtotal]])</f>
        <v>0</v>
      </c>
      <c r="P1748" s="74">
        <f>+IF(PROVEEDORES[[#This Row],[SUBTOTAL]]&lt;PROVEEDORES[[#This Row],[base retencion]],0,PROVEEDORES[[#This Row],[retención aplicada]])</f>
        <v>2.5000000000000001E-2</v>
      </c>
      <c r="Q1748" s="22">
        <f>+PROVEEDORES[[#This Row],[Rete Fuente %]]*(PROVEEDORES[[#This Row],[SUBTOTAL]]-PROVEEDORES[[#This Row],[descuento sobre subtotal]])</f>
        <v>168691.17500000002</v>
      </c>
      <c r="R1748" s="21">
        <f>+PROVEEDORES[[#This Row],[SUBTOTAL]]+PROVEEDORES[[#This Row],[IVA 19%]]-PROVEEDORES[[#This Row],[descuento sobre subtotal]]-PROVEEDORES[[#This Row],[Descuento sobre subtotal $2]]-PROVEEDORES[[#This Row],[Rete Fuente $]]</f>
        <v>7861008.7549999999</v>
      </c>
      <c r="S174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8" s="63">
        <f ca="1">IF(PROVEEDORES[[#This Row],[FECHA DE PAGO]]=0,TODAY()-PROVEEDORES[[#This Row],[FECHA DE FACTURACIÓN]]-PROVEEDORES[[#This Row],[PLAZO Días]],0)</f>
        <v>0</v>
      </c>
      <c r="U1748" s="104" t="str">
        <f>+VLOOKUP(PROVEEDORES[[#This Row],[PROVEEDOR]],Terceros!$A:$D,4,FALSE)</f>
        <v>2,5% con base</v>
      </c>
      <c r="V1748" s="105">
        <f>+YEAR(PROVEEDORES[[#This Row],[FECHA DE FACTURACIÓN]])</f>
        <v>2023</v>
      </c>
      <c r="W1748" s="105">
        <f>+MATCH(PROVEEDORES[[#This Row],[año facturado]],Retenciones!$1:$1,0)</f>
        <v>6</v>
      </c>
      <c r="X1748" s="106">
        <f>+VLOOKUP(PROVEEDORES[[#This Row],[ID RETENCION]],Retenciones!$A$1:$O$25,PROVEEDORES[[#This Row],[indicador de columna]],FALSE)</f>
        <v>1145000</v>
      </c>
      <c r="Y1748" s="107">
        <f>+VLOOKUP(PROVEEDORES[[#This Row],[ID RETENCION]],Retenciones!$A$1:$O$25,2,FALSE)</f>
        <v>2.5000000000000001E-2</v>
      </c>
      <c r="Z1748" s="116" t="b">
        <f>OR(COUNTIF(PROVEEDORES[[#This Row],[PROVEEDOR]],"*"&amp;'Palabra no opera'!$A$2&amp;"*"))</f>
        <v>0</v>
      </c>
    </row>
    <row r="1749" spans="1:26" ht="22.35" customHeight="1" x14ac:dyDescent="0.3">
      <c r="A1749" s="67" t="str">
        <f>+IF(PROVEEDORES[[#This Row],[FECHA DE PAGO]]=PROVEEDORES[[#This Row],[FECHA DE FACTURACIÓN]],"DE CONTADO","CRÉDITO")</f>
        <v>CRÉDITO</v>
      </c>
      <c r="B1749" s="38" t="str">
        <f>+IF((PROVEEDORES[[#This Row],[FECHA DE PAGO]]-PROVEEDORES[[#This Row],[FECHA DE FACTURACIÓN]])&gt;PROVEEDORES[[#This Row],[PLAZO Días]],"PAGO VENCIDO")</f>
        <v>PAGO VENCIDO</v>
      </c>
      <c r="C1749" s="20">
        <f>+VLOOKUP(PROVEEDORES[[#This Row],[PROVEEDOR]],TERCEROS_INFO[#All],2,FALSE)</f>
        <v>30</v>
      </c>
      <c r="D1749" s="25">
        <f>+SUMIFS(PROVEEDORES[Total],PROVEEDORES[PROVEEDOR],PROVEEDORES[[#This Row],[PROVEEDOR]],PROVEEDORES[FECHA DE PAGO],"")</f>
        <v>12030261.305</v>
      </c>
      <c r="E1749" s="25"/>
      <c r="F1749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749" s="68">
        <v>45140</v>
      </c>
      <c r="H1749" s="26" t="s">
        <v>12</v>
      </c>
      <c r="I1749" s="68">
        <v>45030</v>
      </c>
      <c r="J1749" s="35" t="s">
        <v>1603</v>
      </c>
      <c r="K1749" s="21">
        <v>15915968</v>
      </c>
      <c r="L1749" s="21"/>
      <c r="M1749" s="22">
        <f>(PROVEEDORES[[#This Row],[SUBTOTAL]]-PROVEEDORES[[#This Row],[descuento sobre subtotal]])*VLOOKUP(PROVEEDORES[[#This Row],[PROVEEDOR]],TERCEROS_INFO[#All],3,FALSE)</f>
        <v>3024033.92</v>
      </c>
      <c r="N1749" s="23"/>
      <c r="O1749" s="22">
        <f>+PROVEEDORES[[#This Row],[Descuento sobre subtotal %]]*(PROVEEDORES[[#This Row],[SUBTOTAL]]-PROVEEDORES[[#This Row],[descuento sobre subtotal]])</f>
        <v>0</v>
      </c>
      <c r="P1749" s="74">
        <f>+IF(PROVEEDORES[[#This Row],[SUBTOTAL]]&lt;PROVEEDORES[[#This Row],[base retencion]],0,PROVEEDORES[[#This Row],[retención aplicada]])</f>
        <v>2.5000000000000001E-2</v>
      </c>
      <c r="Q1749" s="22">
        <f>+PROVEEDORES[[#This Row],[Rete Fuente %]]*(PROVEEDORES[[#This Row],[SUBTOTAL]]-PROVEEDORES[[#This Row],[descuento sobre subtotal]])</f>
        <v>397899.2</v>
      </c>
      <c r="R1749" s="21">
        <f>+PROVEEDORES[[#This Row],[SUBTOTAL]]+PROVEEDORES[[#This Row],[IVA 19%]]-PROVEEDORES[[#This Row],[descuento sobre subtotal]]-PROVEEDORES[[#This Row],[Descuento sobre subtotal $2]]-PROVEEDORES[[#This Row],[Rete Fuente $]]</f>
        <v>18542102.720000003</v>
      </c>
      <c r="S17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9" s="63">
        <f ca="1">IF(PROVEEDORES[[#This Row],[FECHA DE PAGO]]=0,TODAY()-PROVEEDORES[[#This Row],[FECHA DE FACTURACIÓN]]-PROVEEDORES[[#This Row],[PLAZO Días]],0)</f>
        <v>0</v>
      </c>
      <c r="U1749" s="104" t="str">
        <f>+VLOOKUP(PROVEEDORES[[#This Row],[PROVEEDOR]],Terceros!$A:$D,4,FALSE)</f>
        <v>2,5% con base</v>
      </c>
      <c r="V1749" s="105">
        <f>+YEAR(PROVEEDORES[[#This Row],[FECHA DE FACTURACIÓN]])</f>
        <v>2023</v>
      </c>
      <c r="W1749" s="105">
        <f>+MATCH(PROVEEDORES[[#This Row],[año facturado]],Retenciones!$1:$1,0)</f>
        <v>6</v>
      </c>
      <c r="X1749" s="106">
        <f>+VLOOKUP(PROVEEDORES[[#This Row],[ID RETENCION]],Retenciones!$A$1:$O$25,PROVEEDORES[[#This Row],[indicador de columna]],FALSE)</f>
        <v>1145000</v>
      </c>
      <c r="Y1749" s="107">
        <f>+VLOOKUP(PROVEEDORES[[#This Row],[ID RETENCION]],Retenciones!$A$1:$O$25,2,FALSE)</f>
        <v>2.5000000000000001E-2</v>
      </c>
      <c r="Z1749" s="116" t="b">
        <f>OR(COUNTIF(PROVEEDORES[[#This Row],[PROVEEDOR]],"*"&amp;'Palabra no opera'!$A$2&amp;"*"))</f>
        <v>0</v>
      </c>
    </row>
    <row r="1750" spans="1:26" ht="22.35" customHeight="1" x14ac:dyDescent="0.3">
      <c r="A1750" s="339" t="str">
        <f>+IF(PROVEEDORES[[#This Row],[FECHA DE PAGO]]=PROVEEDORES[[#This Row],[FECHA DE FACTURACIÓN]],"DE CONTADO","CRÉDITO")</f>
        <v>DE CONTADO</v>
      </c>
      <c r="B1750" s="38" t="b">
        <f>+IF((PROVEEDORES[[#This Row],[FECHA DE PAGO]]-PROVEEDORES[[#This Row],[FECHA DE FACTURACIÓN]])&gt;PROVEEDORES[[#This Row],[PLAZO Días]],"PAGO VENCIDO")</f>
        <v>0</v>
      </c>
      <c r="C1750" s="20">
        <f>+VLOOKUP(PROVEEDORES[[#This Row],[PROVEEDOR]],TERCEROS_INFO[#All],2,FALSE)</f>
        <v>30</v>
      </c>
      <c r="D1750" s="25">
        <f>+SUMIFS(PROVEEDORES[Total],PROVEEDORES[PROVEEDOR],PROVEEDORES[[#This Row],[PROVEEDOR]],PROVEEDORES[FECHA DE PAGO],"")</f>
        <v>0</v>
      </c>
      <c r="E1750" s="25"/>
      <c r="F1750" s="56" t="str">
        <f>+VLOOKUP(PROVEEDORES[[#This Row],[PROVEEDOR]],
                       Terceros!$A:$F,
                       5,
                       FALSE)</f>
        <v/>
      </c>
      <c r="G1750" s="68">
        <v>45140</v>
      </c>
      <c r="H1750" s="26" t="s">
        <v>37</v>
      </c>
      <c r="I1750" s="68">
        <v>45140</v>
      </c>
      <c r="J1750" s="35" t="s">
        <v>1849</v>
      </c>
      <c r="K1750" s="21">
        <v>160710</v>
      </c>
      <c r="L1750" s="21"/>
      <c r="M1750" s="22">
        <f>(PROVEEDORES[[#This Row],[SUBTOTAL]]-PROVEEDORES[[#This Row],[descuento sobre subtotal]])*VLOOKUP(PROVEEDORES[[#This Row],[PROVEEDOR]],TERCEROS_INFO[#All],3,FALSE)</f>
        <v>30534.9</v>
      </c>
      <c r="N1750" s="23"/>
      <c r="O1750" s="22">
        <f>+PROVEEDORES[[#This Row],[Descuento sobre subtotal %]]*(PROVEEDORES[[#This Row],[SUBTOTAL]]-PROVEEDORES[[#This Row],[descuento sobre subtotal]])</f>
        <v>0</v>
      </c>
      <c r="P1750" s="74">
        <f>+IF(PROVEEDORES[[#This Row],[SUBTOTAL]]&lt;PROVEEDORES[[#This Row],[base retencion]],0,PROVEEDORES[[#This Row],[retención aplicada]])</f>
        <v>0</v>
      </c>
      <c r="Q1750" s="22">
        <f>+PROVEEDORES[[#This Row],[Rete Fuente %]]*(PROVEEDORES[[#This Row],[SUBTOTAL]]-PROVEEDORES[[#This Row],[descuento sobre subtotal]])</f>
        <v>0</v>
      </c>
      <c r="R1750" s="21">
        <f>+PROVEEDORES[[#This Row],[SUBTOTAL]]+PROVEEDORES[[#This Row],[IVA 19%]]-PROVEEDORES[[#This Row],[descuento sobre subtotal]]-PROVEEDORES[[#This Row],[Descuento sobre subtotal $2]]-PROVEEDORES[[#This Row],[Rete Fuente $]]</f>
        <v>191244.9</v>
      </c>
      <c r="S1750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0" s="63">
        <f ca="1">IF(PROVEEDORES[[#This Row],[FECHA DE PAGO]]=0,TODAY()-PROVEEDORES[[#This Row],[FECHA DE FACTURACIÓN]]-PROVEEDORES[[#This Row],[PLAZO Días]],0)</f>
        <v>0</v>
      </c>
      <c r="U1750" s="104" t="str">
        <f>+VLOOKUP(PROVEEDORES[[#This Row],[PROVEEDOR]],Terceros!$A:$D,4,FALSE)</f>
        <v>2,5% con base</v>
      </c>
      <c r="V1750" s="105">
        <f>+YEAR(PROVEEDORES[[#This Row],[FECHA DE FACTURACIÓN]])</f>
        <v>2023</v>
      </c>
      <c r="W1750" s="105">
        <f>+MATCH(PROVEEDORES[[#This Row],[año facturado]],Retenciones!$1:$1,0)</f>
        <v>6</v>
      </c>
      <c r="X1750" s="106">
        <f>+VLOOKUP(PROVEEDORES[[#This Row],[ID RETENCION]],Retenciones!$A$1:$O$25,PROVEEDORES[[#This Row],[indicador de columna]],FALSE)</f>
        <v>1145000</v>
      </c>
      <c r="Y1750" s="107">
        <f>+VLOOKUP(PROVEEDORES[[#This Row],[ID RETENCION]],Retenciones!$A$1:$O$25,2,FALSE)</f>
        <v>2.5000000000000001E-2</v>
      </c>
      <c r="Z1750" s="116" t="b">
        <f>OR(COUNTIF(PROVEEDORES[[#This Row],[PROVEEDOR]],"*"&amp;'Palabra no opera'!$A$2&amp;"*"))</f>
        <v>0</v>
      </c>
    </row>
    <row r="1751" spans="1:26" ht="22.35" customHeight="1" x14ac:dyDescent="0.3">
      <c r="A1751" s="67" t="str">
        <f>+IF(PROVEEDORES[[#This Row],[FECHA DE PAGO]]=PROVEEDORES[[#This Row],[FECHA DE FACTURACIÓN]],"DE CONTADO","CRÉDITO")</f>
        <v>CRÉDITO</v>
      </c>
      <c r="B1751" s="38" t="b">
        <f>+IF((PROVEEDORES[[#This Row],[FECHA DE PAGO]]-PROVEEDORES[[#This Row],[FECHA DE FACTURACIÓN]])&gt;PROVEEDORES[[#This Row],[PLAZO Días]],"PAGO VENCIDO")</f>
        <v>0</v>
      </c>
      <c r="C1751" s="20">
        <f>+VLOOKUP(PROVEEDORES[[#This Row],[PROVEEDOR]],TERCEROS_INFO[#All],2,FALSE)</f>
        <v>30</v>
      </c>
      <c r="D1751" s="25">
        <f>+SUMIFS(PROVEEDORES[Total],PROVEEDORES[PROVEEDOR],PROVEEDORES[[#This Row],[PROVEEDOR]],PROVEEDORES[FECHA DE PAGO],"")</f>
        <v>0</v>
      </c>
      <c r="E1751" s="25"/>
      <c r="F1751" s="56" t="str">
        <f>+VLOOKUP(PROVEEDORES[[#This Row],[PROVEEDOR]],
                       Terceros!$A:$F,
                       5,
                       FALSE)</f>
        <v/>
      </c>
      <c r="G1751" s="68">
        <v>45141</v>
      </c>
      <c r="H1751" s="26" t="s">
        <v>1194</v>
      </c>
      <c r="I1751" s="68">
        <v>45140</v>
      </c>
      <c r="J1751" s="35" t="s">
        <v>1869</v>
      </c>
      <c r="K1751" s="21">
        <v>918000</v>
      </c>
      <c r="L1751" s="21"/>
      <c r="M1751" s="22">
        <f>(PROVEEDORES[[#This Row],[SUBTOTAL]]-PROVEEDORES[[#This Row],[descuento sobre subtotal]])*VLOOKUP(PROVEEDORES[[#This Row],[PROVEEDOR]],TERCEROS_INFO[#All],3,FALSE)</f>
        <v>0</v>
      </c>
      <c r="N1751" s="23"/>
      <c r="O1751" s="22">
        <f>+PROVEEDORES[[#This Row],[Descuento sobre subtotal %]]*(PROVEEDORES[[#This Row],[SUBTOTAL]]-PROVEEDORES[[#This Row],[descuento sobre subtotal]])</f>
        <v>0</v>
      </c>
      <c r="P1751" s="74">
        <f>+IF(PROVEEDORES[[#This Row],[SUBTOTAL]]&lt;PROVEEDORES[[#This Row],[base retencion]],0,PROVEEDORES[[#This Row],[retención aplicada]])</f>
        <v>0</v>
      </c>
      <c r="Q1751" s="22">
        <f>+PROVEEDORES[[#This Row],[Rete Fuente %]]*(PROVEEDORES[[#This Row],[SUBTOTAL]]-PROVEEDORES[[#This Row],[descuento sobre subtotal]])</f>
        <v>0</v>
      </c>
      <c r="R1751" s="21">
        <f>+PROVEEDORES[[#This Row],[SUBTOTAL]]+PROVEEDORES[[#This Row],[IVA 19%]]-PROVEEDORES[[#This Row],[descuento sobre subtotal]]-PROVEEDORES[[#This Row],[Descuento sobre subtotal $2]]-PROVEEDORES[[#This Row],[Rete Fuente $]]</f>
        <v>918000</v>
      </c>
      <c r="S17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1" s="63">
        <f ca="1">IF(PROVEEDORES[[#This Row],[FECHA DE PAGO]]=0,TODAY()-PROVEEDORES[[#This Row],[FECHA DE FACTURACIÓN]]-PROVEEDORES[[#This Row],[PLAZO Días]],0)</f>
        <v>0</v>
      </c>
      <c r="U1751" s="104">
        <f>+VLOOKUP(PROVEEDORES[[#This Row],[PROVEEDOR]],Terceros!$A:$D,4,FALSE)</f>
        <v>0</v>
      </c>
      <c r="V1751" s="105">
        <f>+YEAR(PROVEEDORES[[#This Row],[FECHA DE FACTURACIÓN]])</f>
        <v>2023</v>
      </c>
      <c r="W1751" s="105">
        <f>+MATCH(PROVEEDORES[[#This Row],[año facturado]],Retenciones!$1:$1,0)</f>
        <v>6</v>
      </c>
      <c r="X1751" s="106">
        <f>+VLOOKUP(PROVEEDORES[[#This Row],[ID RETENCION]],Retenciones!$A$1:$O$25,PROVEEDORES[[#This Row],[indicador de columna]],FALSE)</f>
        <v>0</v>
      </c>
      <c r="Y1751" s="107">
        <f>+VLOOKUP(PROVEEDORES[[#This Row],[ID RETENCION]],Retenciones!$A$1:$O$25,2,FALSE)</f>
        <v>0</v>
      </c>
      <c r="Z1751" s="116" t="b">
        <f>OR(COUNTIF(PROVEEDORES[[#This Row],[PROVEEDOR]],"*"&amp;'Palabra no opera'!$A$2&amp;"*"))</f>
        <v>0</v>
      </c>
    </row>
    <row r="1752" spans="1:26" ht="22.35" customHeight="1" x14ac:dyDescent="0.3">
      <c r="A1752" s="339" t="str">
        <f>+IF(PROVEEDORES[[#This Row],[FECHA DE PAGO]]=PROVEEDORES[[#This Row],[FECHA DE FACTURACIÓN]],"DE CONTADO","CRÉDITO")</f>
        <v>DE CONTADO</v>
      </c>
      <c r="B1752" s="38" t="b">
        <f>+IF((PROVEEDORES[[#This Row],[FECHA DE PAGO]]-PROVEEDORES[[#This Row],[FECHA DE FACTURACIÓN]])&gt;PROVEEDORES[[#This Row],[PLAZO Días]],"PAGO VENCIDO")</f>
        <v>0</v>
      </c>
      <c r="C1752" s="20">
        <f>+VLOOKUP(PROVEEDORES[[#This Row],[PROVEEDOR]],TERCEROS_INFO[#All],2,FALSE)</f>
        <v>30</v>
      </c>
      <c r="D1752" s="25">
        <f>+SUMIFS(PROVEEDORES[Total],PROVEEDORES[PROVEEDOR],PROVEEDORES[[#This Row],[PROVEEDOR]],PROVEEDORES[FECHA DE PAGO],"")</f>
        <v>0</v>
      </c>
      <c r="E1752" s="25"/>
      <c r="F1752" s="56" t="str">
        <f>+VLOOKUP(PROVEEDORES[[#This Row],[PROVEEDOR]],
                       Terceros!$A:$F,
                       5,
                       FALSE)</f>
        <v/>
      </c>
      <c r="G1752" s="68">
        <v>45141</v>
      </c>
      <c r="H1752" s="26" t="s">
        <v>378</v>
      </c>
      <c r="I1752" s="68">
        <v>45141</v>
      </c>
      <c r="J1752" s="35" t="s">
        <v>1848</v>
      </c>
      <c r="K1752" s="21">
        <v>290000</v>
      </c>
      <c r="L1752" s="21"/>
      <c r="M1752" s="22">
        <f>(PROVEEDORES[[#This Row],[SUBTOTAL]]-PROVEEDORES[[#This Row],[descuento sobre subtotal]])*VLOOKUP(PROVEEDORES[[#This Row],[PROVEEDOR]],TERCEROS_INFO[#All],3,FALSE)</f>
        <v>0</v>
      </c>
      <c r="N1752" s="23"/>
      <c r="O1752" s="22">
        <f>+PROVEEDORES[[#This Row],[Descuento sobre subtotal %]]*(PROVEEDORES[[#This Row],[SUBTOTAL]]-PROVEEDORES[[#This Row],[descuento sobre subtotal]])</f>
        <v>0</v>
      </c>
      <c r="P1752" s="74">
        <f>+IF(PROVEEDORES[[#This Row],[SUBTOTAL]]&lt;PROVEEDORES[[#This Row],[base retencion]],0,PROVEEDORES[[#This Row],[retención aplicada]])</f>
        <v>0</v>
      </c>
      <c r="Q1752" s="22">
        <f>+PROVEEDORES[[#This Row],[Rete Fuente %]]*(PROVEEDORES[[#This Row],[SUBTOTAL]]-PROVEEDORES[[#This Row],[descuento sobre subtotal]])</f>
        <v>0</v>
      </c>
      <c r="R1752" s="21">
        <f>+PROVEEDORES[[#This Row],[SUBTOTAL]]+PROVEEDORES[[#This Row],[IVA 19%]]-PROVEEDORES[[#This Row],[descuento sobre subtotal]]-PROVEEDORES[[#This Row],[Descuento sobre subtotal $2]]-PROVEEDORES[[#This Row],[Rete Fuente $]]</f>
        <v>290000</v>
      </c>
      <c r="S1752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2" s="63">
        <f ca="1">IF(PROVEEDORES[[#This Row],[FECHA DE PAGO]]=0,TODAY()-PROVEEDORES[[#This Row],[FECHA DE FACTURACIÓN]]-PROVEEDORES[[#This Row],[PLAZO Días]],0)</f>
        <v>0</v>
      </c>
      <c r="U1752" s="104">
        <f>+VLOOKUP(PROVEEDORES[[#This Row],[PROVEEDOR]],Terceros!$A:$D,4,FALSE)</f>
        <v>0</v>
      </c>
      <c r="V1752" s="105">
        <f>+YEAR(PROVEEDORES[[#This Row],[FECHA DE FACTURACIÓN]])</f>
        <v>2023</v>
      </c>
      <c r="W1752" s="105">
        <f>+MATCH(PROVEEDORES[[#This Row],[año facturado]],Retenciones!$1:$1,0)</f>
        <v>6</v>
      </c>
      <c r="X1752" s="106">
        <f>+VLOOKUP(PROVEEDORES[[#This Row],[ID RETENCION]],Retenciones!$A$1:$O$25,PROVEEDORES[[#This Row],[indicador de columna]],FALSE)</f>
        <v>0</v>
      </c>
      <c r="Y1752" s="107">
        <f>+VLOOKUP(PROVEEDORES[[#This Row],[ID RETENCION]],Retenciones!$A$1:$O$25,2,FALSE)</f>
        <v>0</v>
      </c>
      <c r="Z1752" s="116" t="b">
        <f>OR(COUNTIF(PROVEEDORES[[#This Row],[PROVEEDOR]],"*"&amp;'Palabra no opera'!$A$2&amp;"*"))</f>
        <v>0</v>
      </c>
    </row>
    <row r="1753" spans="1:26" ht="22.35" customHeight="1" x14ac:dyDescent="0.3">
      <c r="A1753" s="67" t="str">
        <f>+IF(PROVEEDORES[[#This Row],[FECHA DE PAGO]]=PROVEEDORES[[#This Row],[FECHA DE FACTURACIÓN]],"DE CONTADO","CRÉDITO")</f>
        <v>CRÉDITO</v>
      </c>
      <c r="B1753" s="38" t="b">
        <f>+IF((PROVEEDORES[[#This Row],[FECHA DE PAGO]]-PROVEEDORES[[#This Row],[FECHA DE FACTURACIÓN]])&gt;PROVEEDORES[[#This Row],[PLAZO Días]],"PAGO VENCIDO")</f>
        <v>0</v>
      </c>
      <c r="C1753" s="20">
        <f>+VLOOKUP(PROVEEDORES[[#This Row],[PROVEEDOR]],TERCEROS_INFO[#All],2,FALSE)</f>
        <v>30</v>
      </c>
      <c r="D1753" s="25">
        <f>+SUMIFS(PROVEEDORES[Total],PROVEEDORES[PROVEEDOR],PROVEEDORES[[#This Row],[PROVEEDOR]],PROVEEDORES[FECHA DE PAGO],"")</f>
        <v>0</v>
      </c>
      <c r="E1753" s="25"/>
      <c r="F1753" s="56" t="str">
        <f>+VLOOKUP(PROVEEDORES[[#This Row],[PROVEEDOR]],
                       Terceros!$A:$F,
                       5,
                       FALSE)</f>
        <v/>
      </c>
      <c r="G1753" s="68">
        <v>45142</v>
      </c>
      <c r="H1753" s="26" t="s">
        <v>404</v>
      </c>
      <c r="I1753" s="68">
        <v>45141</v>
      </c>
      <c r="J1753" s="35" t="s">
        <v>1867</v>
      </c>
      <c r="K1753" s="21">
        <v>2713360</v>
      </c>
      <c r="L1753" s="21"/>
      <c r="M1753" s="22">
        <f>(PROVEEDORES[[#This Row],[SUBTOTAL]]-PROVEEDORES[[#This Row],[descuento sobre subtotal]])*VLOOKUP(PROVEEDORES[[#This Row],[PROVEEDOR]],TERCEROS_INFO[#All],3,FALSE)</f>
        <v>0</v>
      </c>
      <c r="N1753" s="23"/>
      <c r="O1753" s="22">
        <f>+PROVEEDORES[[#This Row],[Descuento sobre subtotal %]]*(PROVEEDORES[[#This Row],[SUBTOTAL]]-PROVEEDORES[[#This Row],[descuento sobre subtotal]])</f>
        <v>0</v>
      </c>
      <c r="P1753" s="74">
        <f>+IF(PROVEEDORES[[#This Row],[SUBTOTAL]]&lt;PROVEEDORES[[#This Row],[base retencion]],0,PROVEEDORES[[#This Row],[retención aplicada]])</f>
        <v>0</v>
      </c>
      <c r="Q1753" s="22">
        <f>+PROVEEDORES[[#This Row],[Rete Fuente %]]*(PROVEEDORES[[#This Row],[SUBTOTAL]]-PROVEEDORES[[#This Row],[descuento sobre subtotal]])</f>
        <v>0</v>
      </c>
      <c r="R1753" s="21">
        <f>+PROVEEDORES[[#This Row],[SUBTOTAL]]+PROVEEDORES[[#This Row],[IVA 19%]]-PROVEEDORES[[#This Row],[descuento sobre subtotal]]-PROVEEDORES[[#This Row],[Descuento sobre subtotal $2]]-PROVEEDORES[[#This Row],[Rete Fuente $]]</f>
        <v>2713360</v>
      </c>
      <c r="S17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3" s="63">
        <f ca="1">IF(PROVEEDORES[[#This Row],[FECHA DE PAGO]]=0,TODAY()-PROVEEDORES[[#This Row],[FECHA DE FACTURACIÓN]]-PROVEEDORES[[#This Row],[PLAZO Días]],0)</f>
        <v>0</v>
      </c>
      <c r="U1753" s="104">
        <f>+VLOOKUP(PROVEEDORES[[#This Row],[PROVEEDOR]],Terceros!$A:$D,4,FALSE)</f>
        <v>0</v>
      </c>
      <c r="V1753" s="105">
        <f>+YEAR(PROVEEDORES[[#This Row],[FECHA DE FACTURACIÓN]])</f>
        <v>2023</v>
      </c>
      <c r="W1753" s="105">
        <f>+MATCH(PROVEEDORES[[#This Row],[año facturado]],Retenciones!$1:$1,0)</f>
        <v>6</v>
      </c>
      <c r="X1753" s="106">
        <f>+VLOOKUP(PROVEEDORES[[#This Row],[ID RETENCION]],Retenciones!$A$1:$O$25,PROVEEDORES[[#This Row],[indicador de columna]],FALSE)</f>
        <v>0</v>
      </c>
      <c r="Y1753" s="107">
        <f>+VLOOKUP(PROVEEDORES[[#This Row],[ID RETENCION]],Retenciones!$A$1:$O$25,2,FALSE)</f>
        <v>0</v>
      </c>
      <c r="Z1753" s="116" t="b">
        <f>OR(COUNTIF(PROVEEDORES[[#This Row],[PROVEEDOR]],"*"&amp;'Palabra no opera'!$A$2&amp;"*"))</f>
        <v>0</v>
      </c>
    </row>
    <row r="1754" spans="1:26" ht="22.35" customHeight="1" x14ac:dyDescent="0.3">
      <c r="A1754" s="67" t="str">
        <f>+IF(PROVEEDORES[[#This Row],[FECHA DE PAGO]]=PROVEEDORES[[#This Row],[FECHA DE FACTURACIÓN]],"DE CONTADO","CRÉDITO")</f>
        <v>CRÉDITO</v>
      </c>
      <c r="B1754" s="38" t="str">
        <f>+IF((PROVEEDORES[[#This Row],[FECHA DE PAGO]]-PROVEEDORES[[#This Row],[FECHA DE FACTURACIÓN]])&gt;PROVEEDORES[[#This Row],[PLAZO Días]],"PAGO VENCIDO")</f>
        <v>PAGO VENCIDO</v>
      </c>
      <c r="C1754" s="20">
        <f>+VLOOKUP(PROVEEDORES[[#This Row],[PROVEEDOR]],TERCEROS_INFO[#All],2,FALSE)</f>
        <v>30</v>
      </c>
      <c r="D1754" s="25">
        <f>+SUMIFS(PROVEEDORES[Total],PROVEEDORES[PROVEEDOR],PROVEEDORES[[#This Row],[PROVEEDOR]],PROVEEDORES[FECHA DE PAGO],"")</f>
        <v>0</v>
      </c>
      <c r="E1754" s="25"/>
      <c r="F1754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754" s="68">
        <v>45142</v>
      </c>
      <c r="H1754" s="26" t="s">
        <v>964</v>
      </c>
      <c r="I1754" s="68">
        <v>45101</v>
      </c>
      <c r="J1754" s="35" t="s">
        <v>1779</v>
      </c>
      <c r="K1754" s="21">
        <v>7560000</v>
      </c>
      <c r="L1754" s="21"/>
      <c r="M1754" s="22">
        <f>(PROVEEDORES[[#This Row],[SUBTOTAL]]-PROVEEDORES[[#This Row],[descuento sobre subtotal]])*VLOOKUP(PROVEEDORES[[#This Row],[PROVEEDOR]],TERCEROS_INFO[#All],3,FALSE)</f>
        <v>1436400</v>
      </c>
      <c r="N1754" s="23"/>
      <c r="O1754" s="22">
        <f>+PROVEEDORES[[#This Row],[Descuento sobre subtotal %]]*(PROVEEDORES[[#This Row],[SUBTOTAL]]-PROVEEDORES[[#This Row],[descuento sobre subtotal]])</f>
        <v>0</v>
      </c>
      <c r="P1754" s="74">
        <f>+IF(PROVEEDORES[[#This Row],[SUBTOTAL]]&lt;PROVEEDORES[[#This Row],[base retencion]],0,PROVEEDORES[[#This Row],[retención aplicada]])</f>
        <v>0</v>
      </c>
      <c r="Q1754" s="22">
        <f>+PROVEEDORES[[#This Row],[Rete Fuente %]]*(PROVEEDORES[[#This Row],[SUBTOTAL]]-PROVEEDORES[[#This Row],[descuento sobre subtotal]])</f>
        <v>0</v>
      </c>
      <c r="R1754" s="21">
        <f>+PROVEEDORES[[#This Row],[SUBTOTAL]]+PROVEEDORES[[#This Row],[IVA 19%]]-PROVEEDORES[[#This Row],[descuento sobre subtotal]]-PROVEEDORES[[#This Row],[Descuento sobre subtotal $2]]-PROVEEDORES[[#This Row],[Rete Fuente $]]</f>
        <v>8996400</v>
      </c>
      <c r="S17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4" s="63">
        <f ca="1">IF(PROVEEDORES[[#This Row],[FECHA DE PAGO]]=0,TODAY()-PROVEEDORES[[#This Row],[FECHA DE FACTURACIÓN]]-PROVEEDORES[[#This Row],[PLAZO Días]],0)</f>
        <v>0</v>
      </c>
      <c r="U1754" s="104">
        <f>+VLOOKUP(PROVEEDORES[[#This Row],[PROVEEDOR]],Terceros!$A:$D,4,FALSE)</f>
        <v>0</v>
      </c>
      <c r="V1754" s="105">
        <f>+YEAR(PROVEEDORES[[#This Row],[FECHA DE FACTURACIÓN]])</f>
        <v>2023</v>
      </c>
      <c r="W1754" s="105">
        <f>+MATCH(PROVEEDORES[[#This Row],[año facturado]],Retenciones!$1:$1,0)</f>
        <v>6</v>
      </c>
      <c r="X1754" s="106">
        <f>+VLOOKUP(PROVEEDORES[[#This Row],[ID RETENCION]],Retenciones!$A$1:$O$25,PROVEEDORES[[#This Row],[indicador de columna]],FALSE)</f>
        <v>0</v>
      </c>
      <c r="Y1754" s="107">
        <f>+VLOOKUP(PROVEEDORES[[#This Row],[ID RETENCION]],Retenciones!$A$1:$O$25,2,FALSE)</f>
        <v>0</v>
      </c>
      <c r="Z1754" s="116" t="b">
        <f>OR(COUNTIF(PROVEEDORES[[#This Row],[PROVEEDOR]],"*"&amp;'Palabra no opera'!$A$2&amp;"*"))</f>
        <v>0</v>
      </c>
    </row>
    <row r="1755" spans="1:26" ht="22.35" customHeight="1" x14ac:dyDescent="0.3">
      <c r="A1755" s="67" t="str">
        <f>+IF(PROVEEDORES[[#This Row],[FECHA DE PAGO]]=PROVEEDORES[[#This Row],[FECHA DE FACTURACIÓN]],"DE CONTADO","CRÉDITO")</f>
        <v>CRÉDITO</v>
      </c>
      <c r="B1755" s="38" t="str">
        <f>+IF((PROVEEDORES[[#This Row],[FECHA DE PAGO]]-PROVEEDORES[[#This Row],[FECHA DE FACTURACIÓN]])&gt;PROVEEDORES[[#This Row],[PLAZO Días]],"PAGO VENCIDO")</f>
        <v>PAGO VENCIDO</v>
      </c>
      <c r="C1755" s="20">
        <f>+VLOOKUP(PROVEEDORES[[#This Row],[PROVEEDOR]],TERCEROS_INFO[#All],2,FALSE)</f>
        <v>30</v>
      </c>
      <c r="D1755" s="25">
        <f>+SUMIFS(PROVEEDORES[Total],PROVEEDORES[PROVEEDOR],PROVEEDORES[[#This Row],[PROVEEDOR]],PROVEEDORES[FECHA DE PAGO],"")</f>
        <v>0</v>
      </c>
      <c r="E1755" s="25"/>
      <c r="F1755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755" s="68">
        <v>45142</v>
      </c>
      <c r="H1755" s="26" t="s">
        <v>964</v>
      </c>
      <c r="I1755" s="68">
        <v>45104</v>
      </c>
      <c r="J1755" s="35" t="s">
        <v>1778</v>
      </c>
      <c r="K1755" s="21">
        <v>3240000</v>
      </c>
      <c r="L1755" s="21"/>
      <c r="M1755" s="22">
        <f>(PROVEEDORES[[#This Row],[SUBTOTAL]]-PROVEEDORES[[#This Row],[descuento sobre subtotal]])*VLOOKUP(PROVEEDORES[[#This Row],[PROVEEDOR]],TERCEROS_INFO[#All],3,FALSE)</f>
        <v>615600</v>
      </c>
      <c r="N1755" s="23"/>
      <c r="O1755" s="22">
        <f>+PROVEEDORES[[#This Row],[Descuento sobre subtotal %]]*(PROVEEDORES[[#This Row],[SUBTOTAL]]-PROVEEDORES[[#This Row],[descuento sobre subtotal]])</f>
        <v>0</v>
      </c>
      <c r="P1755" s="74">
        <f>+IF(PROVEEDORES[[#This Row],[SUBTOTAL]]&lt;PROVEEDORES[[#This Row],[base retencion]],0,PROVEEDORES[[#This Row],[retención aplicada]])</f>
        <v>0</v>
      </c>
      <c r="Q1755" s="22">
        <f>+PROVEEDORES[[#This Row],[Rete Fuente %]]*(PROVEEDORES[[#This Row],[SUBTOTAL]]-PROVEEDORES[[#This Row],[descuento sobre subtotal]])</f>
        <v>0</v>
      </c>
      <c r="R1755" s="21">
        <f>+PROVEEDORES[[#This Row],[SUBTOTAL]]+PROVEEDORES[[#This Row],[IVA 19%]]-PROVEEDORES[[#This Row],[descuento sobre subtotal]]-PROVEEDORES[[#This Row],[Descuento sobre subtotal $2]]-PROVEEDORES[[#This Row],[Rete Fuente $]]</f>
        <v>3855600</v>
      </c>
      <c r="S175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5" s="63">
        <f ca="1">IF(PROVEEDORES[[#This Row],[FECHA DE PAGO]]=0,TODAY()-PROVEEDORES[[#This Row],[FECHA DE FACTURACIÓN]]-PROVEEDORES[[#This Row],[PLAZO Días]],0)</f>
        <v>0</v>
      </c>
      <c r="U1755" s="104">
        <f>+VLOOKUP(PROVEEDORES[[#This Row],[PROVEEDOR]],Terceros!$A:$D,4,FALSE)</f>
        <v>0</v>
      </c>
      <c r="V1755" s="105">
        <f>+YEAR(PROVEEDORES[[#This Row],[FECHA DE FACTURACIÓN]])</f>
        <v>2023</v>
      </c>
      <c r="W1755" s="105">
        <f>+MATCH(PROVEEDORES[[#This Row],[año facturado]],Retenciones!$1:$1,0)</f>
        <v>6</v>
      </c>
      <c r="X1755" s="106">
        <f>+VLOOKUP(PROVEEDORES[[#This Row],[ID RETENCION]],Retenciones!$A$1:$O$25,PROVEEDORES[[#This Row],[indicador de columna]],FALSE)</f>
        <v>0</v>
      </c>
      <c r="Y1755" s="107">
        <f>+VLOOKUP(PROVEEDORES[[#This Row],[ID RETENCION]],Retenciones!$A$1:$O$25,2,FALSE)</f>
        <v>0</v>
      </c>
      <c r="Z1755" s="116" t="b">
        <f>OR(COUNTIF(PROVEEDORES[[#This Row],[PROVEEDOR]],"*"&amp;'Palabra no opera'!$A$2&amp;"*"))</f>
        <v>0</v>
      </c>
    </row>
    <row r="1756" spans="1:26" ht="22.35" customHeight="1" x14ac:dyDescent="0.3">
      <c r="A1756" s="67" t="str">
        <f>+IF(PROVEEDORES[[#This Row],[FECHA DE PAGO]]=PROVEEDORES[[#This Row],[FECHA DE FACTURACIÓN]],"DE CONTADO","CRÉDITO")</f>
        <v>DE CONTADO</v>
      </c>
      <c r="B1756" s="38" t="b">
        <f>+IF((PROVEEDORES[[#This Row],[FECHA DE PAGO]]-PROVEEDORES[[#This Row],[FECHA DE FACTURACIÓN]])&gt;PROVEEDORES[[#This Row],[PLAZO Días]],"PAGO VENCIDO")</f>
        <v>0</v>
      </c>
      <c r="C1756" s="20">
        <f>+VLOOKUP(PROVEEDORES[[#This Row],[PROVEEDOR]],TERCEROS_INFO[#All],2,FALSE)</f>
        <v>30</v>
      </c>
      <c r="D1756" s="25">
        <f>+SUMIFS(PROVEEDORES[Total],PROVEEDORES[PROVEEDOR],PROVEEDORES[[#This Row],[PROVEEDOR]],PROVEEDORES[FECHA DE PAGO],"")</f>
        <v>0</v>
      </c>
      <c r="E1756" s="25"/>
      <c r="F1756" s="56" t="str">
        <f>+VLOOKUP(PROVEEDORES[[#This Row],[PROVEEDOR]],
                       Terceros!$A:$F,
                       5,
                       FALSE)</f>
        <v/>
      </c>
      <c r="G1756" s="68">
        <v>45143</v>
      </c>
      <c r="H1756" s="26" t="s">
        <v>397</v>
      </c>
      <c r="I1756" s="68">
        <v>45143</v>
      </c>
      <c r="J1756" s="35">
        <v>50823</v>
      </c>
      <c r="K1756" s="21">
        <v>1263500</v>
      </c>
      <c r="L1756" s="21"/>
      <c r="M1756" s="22">
        <f>(PROVEEDORES[[#This Row],[SUBTOTAL]]-PROVEEDORES[[#This Row],[descuento sobre subtotal]])*VLOOKUP(PROVEEDORES[[#This Row],[PROVEEDOR]],TERCEROS_INFO[#All],3,FALSE)</f>
        <v>0</v>
      </c>
      <c r="N1756" s="23"/>
      <c r="O1756" s="22">
        <f>+PROVEEDORES[[#This Row],[Descuento sobre subtotal %]]*(PROVEEDORES[[#This Row],[SUBTOTAL]]-PROVEEDORES[[#This Row],[descuento sobre subtotal]])</f>
        <v>0</v>
      </c>
      <c r="P1756" s="74">
        <f>+IF(PROVEEDORES[[#This Row],[SUBTOTAL]]&lt;PROVEEDORES[[#This Row],[base retencion]],0,PROVEEDORES[[#This Row],[retención aplicada]])</f>
        <v>0</v>
      </c>
      <c r="Q1756" s="22">
        <f>+PROVEEDORES[[#This Row],[Rete Fuente %]]*(PROVEEDORES[[#This Row],[SUBTOTAL]]-PROVEEDORES[[#This Row],[descuento sobre subtotal]])</f>
        <v>0</v>
      </c>
      <c r="R1756" s="21">
        <f>+PROVEEDORES[[#This Row],[SUBTOTAL]]+PROVEEDORES[[#This Row],[IVA 19%]]-PROVEEDORES[[#This Row],[descuento sobre subtotal]]-PROVEEDORES[[#This Row],[Descuento sobre subtotal $2]]-PROVEEDORES[[#This Row],[Rete Fuente $]]</f>
        <v>1263500</v>
      </c>
      <c r="S17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6" s="63">
        <f ca="1">IF(PROVEEDORES[[#This Row],[FECHA DE PAGO]]=0,TODAY()-PROVEEDORES[[#This Row],[FECHA DE FACTURACIÓN]]-PROVEEDORES[[#This Row],[PLAZO Días]],0)</f>
        <v>0</v>
      </c>
      <c r="U1756" s="104">
        <f>+VLOOKUP(PROVEEDORES[[#This Row],[PROVEEDOR]],Terceros!$A:$D,4,FALSE)</f>
        <v>0</v>
      </c>
      <c r="V1756" s="105">
        <f>+YEAR(PROVEEDORES[[#This Row],[FECHA DE FACTURACIÓN]])</f>
        <v>2023</v>
      </c>
      <c r="W1756" s="105">
        <f>+MATCH(PROVEEDORES[[#This Row],[año facturado]],Retenciones!$1:$1,0)</f>
        <v>6</v>
      </c>
      <c r="X1756" s="106">
        <f>+VLOOKUP(PROVEEDORES[[#This Row],[ID RETENCION]],Retenciones!$A$1:$O$25,PROVEEDORES[[#This Row],[indicador de columna]],FALSE)</f>
        <v>0</v>
      </c>
      <c r="Y1756" s="107">
        <f>+VLOOKUP(PROVEEDORES[[#This Row],[ID RETENCION]],Retenciones!$A$1:$O$25,2,FALSE)</f>
        <v>0</v>
      </c>
      <c r="Z1756" s="116" t="b">
        <f>OR(COUNTIF(PROVEEDORES[[#This Row],[PROVEEDOR]],"*"&amp;'Palabra no opera'!$A$2&amp;"*"))</f>
        <v>0</v>
      </c>
    </row>
    <row r="1757" spans="1:26" ht="22.35" customHeight="1" x14ac:dyDescent="0.3">
      <c r="A1757" s="67" t="str">
        <f>+IF(PROVEEDORES[[#This Row],[FECHA DE PAGO]]=PROVEEDORES[[#This Row],[FECHA DE FACTURACIÓN]],"DE CONTADO","CRÉDITO")</f>
        <v>DE CONTADO</v>
      </c>
      <c r="B1757" s="38" t="b">
        <f>+IF((PROVEEDORES[[#This Row],[FECHA DE PAGO]]-PROVEEDORES[[#This Row],[FECHA DE FACTURACIÓN]])&gt;PROVEEDORES[[#This Row],[PLAZO Días]],"PAGO VENCIDO")</f>
        <v>0</v>
      </c>
      <c r="C1757" s="20">
        <f>+VLOOKUP(PROVEEDORES[[#This Row],[PROVEEDOR]],TERCEROS_INFO[#All],2,FALSE)</f>
        <v>30</v>
      </c>
      <c r="D1757" s="25">
        <f>+SUMIFS(PROVEEDORES[Total],PROVEEDORES[PROVEEDOR],PROVEEDORES[[#This Row],[PROVEEDOR]],PROVEEDORES[FECHA DE PAGO],"")</f>
        <v>0</v>
      </c>
      <c r="E1757" s="25"/>
      <c r="F1757" s="56" t="str">
        <f>+VLOOKUP(PROVEEDORES[[#This Row],[PROVEEDOR]],
                       Terceros!$A:$F,
                       5,
                       FALSE)</f>
        <v/>
      </c>
      <c r="G1757" s="68">
        <v>45144</v>
      </c>
      <c r="H1757" s="26" t="s">
        <v>353</v>
      </c>
      <c r="I1757" s="68">
        <v>45144</v>
      </c>
      <c r="J1757" s="35" t="s">
        <v>1868</v>
      </c>
      <c r="K1757" s="21">
        <v>680000</v>
      </c>
      <c r="L1757" s="21"/>
      <c r="M1757" s="22">
        <f>(PROVEEDORES[[#This Row],[SUBTOTAL]]-PROVEEDORES[[#This Row],[descuento sobre subtotal]])*VLOOKUP(PROVEEDORES[[#This Row],[PROVEEDOR]],TERCEROS_INFO[#All],3,FALSE)</f>
        <v>0</v>
      </c>
      <c r="N1757" s="23"/>
      <c r="O1757" s="22">
        <f>+PROVEEDORES[[#This Row],[Descuento sobre subtotal %]]*(PROVEEDORES[[#This Row],[SUBTOTAL]]-PROVEEDORES[[#This Row],[descuento sobre subtotal]])</f>
        <v>0</v>
      </c>
      <c r="P1757" s="74">
        <f>+IF(PROVEEDORES[[#This Row],[SUBTOTAL]]&lt;PROVEEDORES[[#This Row],[base retencion]],0,PROVEEDORES[[#This Row],[retención aplicada]])</f>
        <v>0</v>
      </c>
      <c r="Q1757" s="22">
        <f>+PROVEEDORES[[#This Row],[Rete Fuente %]]*(PROVEEDORES[[#This Row],[SUBTOTAL]]-PROVEEDORES[[#This Row],[descuento sobre subtotal]])</f>
        <v>0</v>
      </c>
      <c r="R1757" s="21">
        <f>+PROVEEDORES[[#This Row],[SUBTOTAL]]+PROVEEDORES[[#This Row],[IVA 19%]]-PROVEEDORES[[#This Row],[descuento sobre subtotal]]-PROVEEDORES[[#This Row],[Descuento sobre subtotal $2]]-PROVEEDORES[[#This Row],[Rete Fuente $]]</f>
        <v>680000</v>
      </c>
      <c r="S17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7" s="63">
        <f ca="1">IF(PROVEEDORES[[#This Row],[FECHA DE PAGO]]=0,TODAY()-PROVEEDORES[[#This Row],[FECHA DE FACTURACIÓN]]-PROVEEDORES[[#This Row],[PLAZO Días]],0)</f>
        <v>0</v>
      </c>
      <c r="U1757" s="104">
        <f>+VLOOKUP(PROVEEDORES[[#This Row],[PROVEEDOR]],Terceros!$A:$D,4,FALSE)</f>
        <v>0</v>
      </c>
      <c r="V1757" s="105">
        <f>+YEAR(PROVEEDORES[[#This Row],[FECHA DE FACTURACIÓN]])</f>
        <v>2023</v>
      </c>
      <c r="W1757" s="105">
        <f>+MATCH(PROVEEDORES[[#This Row],[año facturado]],Retenciones!$1:$1,0)</f>
        <v>6</v>
      </c>
      <c r="X1757" s="106">
        <f>+VLOOKUP(PROVEEDORES[[#This Row],[ID RETENCION]],Retenciones!$A$1:$O$25,PROVEEDORES[[#This Row],[indicador de columna]],FALSE)</f>
        <v>0</v>
      </c>
      <c r="Y1757" s="107">
        <f>+VLOOKUP(PROVEEDORES[[#This Row],[ID RETENCION]],Retenciones!$A$1:$O$25,2,FALSE)</f>
        <v>0</v>
      </c>
      <c r="Z1757" s="116" t="b">
        <f>OR(COUNTIF(PROVEEDORES[[#This Row],[PROVEEDOR]],"*"&amp;'Palabra no opera'!$A$2&amp;"*"))</f>
        <v>0</v>
      </c>
    </row>
    <row r="1758" spans="1:26" ht="22.35" customHeight="1" x14ac:dyDescent="0.3">
      <c r="A1758" s="316" t="str">
        <f>+IF(PROVEEDORES[[#This Row],[FECHA DE PAGO]]=PROVEEDORES[[#This Row],[FECHA DE FACTURACIÓN]],"DE CONTADO","CRÉDITO")</f>
        <v>CRÉDITO</v>
      </c>
      <c r="B1758" s="38" t="str">
        <f>+IF((PROVEEDORES[[#This Row],[FECHA DE PAGO]]-PROVEEDORES[[#This Row],[FECHA DE FACTURACIÓN]])&gt;PROVEEDORES[[#This Row],[PLAZO Días]],"PAGO VENCIDO")</f>
        <v>PAGO VENCIDO</v>
      </c>
      <c r="C1758" s="20">
        <f>+VLOOKUP(PROVEEDORES[[#This Row],[PROVEEDOR]],TERCEROS_INFO[#All],2,FALSE)</f>
        <v>30</v>
      </c>
      <c r="D1758" s="25">
        <f>+SUMIFS(PROVEEDORES[Total],PROVEEDORES[PROVEEDOR],PROVEEDORES[[#This Row],[PROVEEDOR]],PROVEEDORES[FECHA DE PAGO],"")</f>
        <v>2100000</v>
      </c>
      <c r="E1758" s="25"/>
      <c r="F1758" s="56" t="str">
        <f>+VLOOKUP(PROVEEDORES[[#This Row],[PROVEEDOR]],
                       Terceros!$A:$F,
                       5,
                       FALSE)</f>
        <v/>
      </c>
      <c r="G1758" s="68">
        <v>45146</v>
      </c>
      <c r="H1758" s="26" t="s">
        <v>349</v>
      </c>
      <c r="I1758" s="68">
        <v>45070</v>
      </c>
      <c r="J1758" s="35" t="s">
        <v>1703</v>
      </c>
      <c r="K1758" s="21">
        <v>2777500</v>
      </c>
      <c r="L1758" s="21"/>
      <c r="M1758" s="22">
        <f>(PROVEEDORES[[#This Row],[SUBTOTAL]]-PROVEEDORES[[#This Row],[descuento sobre subtotal]])*VLOOKUP(PROVEEDORES[[#This Row],[PROVEEDOR]],TERCEROS_INFO[#All],3,FALSE)</f>
        <v>0</v>
      </c>
      <c r="N1758" s="23"/>
      <c r="O1758" s="22">
        <f>+PROVEEDORES[[#This Row],[Descuento sobre subtotal %]]*(PROVEEDORES[[#This Row],[SUBTOTAL]]-PROVEEDORES[[#This Row],[descuento sobre subtotal]])</f>
        <v>0</v>
      </c>
      <c r="P1758" s="74">
        <f>+IF(PROVEEDORES[[#This Row],[SUBTOTAL]]&lt;PROVEEDORES[[#This Row],[base retencion]],0,PROVEEDORES[[#This Row],[retención aplicada]])</f>
        <v>0</v>
      </c>
      <c r="Q1758" s="22">
        <f>+PROVEEDORES[[#This Row],[Rete Fuente %]]*(PROVEEDORES[[#This Row],[SUBTOTAL]]-PROVEEDORES[[#This Row],[descuento sobre subtotal]])</f>
        <v>0</v>
      </c>
      <c r="R1758" s="21">
        <f>+PROVEEDORES[[#This Row],[SUBTOTAL]]+PROVEEDORES[[#This Row],[IVA 19%]]-PROVEEDORES[[#This Row],[descuento sobre subtotal]]-PROVEEDORES[[#This Row],[Descuento sobre subtotal $2]]-PROVEEDORES[[#This Row],[Rete Fuente $]]</f>
        <v>2777500</v>
      </c>
      <c r="S1758" s="31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8" s="63">
        <f ca="1">IF(PROVEEDORES[[#This Row],[FECHA DE PAGO]]=0,TODAY()-PROVEEDORES[[#This Row],[FECHA DE FACTURACIÓN]]-PROVEEDORES[[#This Row],[PLAZO Días]],0)</f>
        <v>0</v>
      </c>
      <c r="U1758" s="104">
        <f>+VLOOKUP(PROVEEDORES[[#This Row],[PROVEEDOR]],Terceros!$A:$D,4,FALSE)</f>
        <v>0</v>
      </c>
      <c r="V1758" s="105">
        <f>+YEAR(PROVEEDORES[[#This Row],[FECHA DE FACTURACIÓN]])</f>
        <v>2023</v>
      </c>
      <c r="W1758" s="105">
        <f>+MATCH(PROVEEDORES[[#This Row],[año facturado]],Retenciones!$1:$1,0)</f>
        <v>6</v>
      </c>
      <c r="X1758" s="106">
        <f>+VLOOKUP(PROVEEDORES[[#This Row],[ID RETENCION]],Retenciones!$A$1:$O$25,PROVEEDORES[[#This Row],[indicador de columna]],FALSE)</f>
        <v>0</v>
      </c>
      <c r="Y1758" s="107">
        <f>+VLOOKUP(PROVEEDORES[[#This Row],[ID RETENCION]],Retenciones!$A$1:$O$25,2,FALSE)</f>
        <v>0</v>
      </c>
      <c r="Z1758" s="116" t="b">
        <f>OR(COUNTIF(PROVEEDORES[[#This Row],[PROVEEDOR]],"*"&amp;'Palabra no opera'!$A$2&amp;"*"))</f>
        <v>0</v>
      </c>
    </row>
    <row r="1759" spans="1:26" ht="22.35" customHeight="1" x14ac:dyDescent="0.3">
      <c r="A1759" s="327" t="str">
        <f>+IF(PROVEEDORES[[#This Row],[FECHA DE PAGO]]=PROVEEDORES[[#This Row],[FECHA DE FACTURACIÓN]],"DE CONTADO","CRÉDITO")</f>
        <v>CRÉDITO</v>
      </c>
      <c r="B1759" s="38" t="str">
        <f>+IF((PROVEEDORES[[#This Row],[FECHA DE PAGO]]-PROVEEDORES[[#This Row],[FECHA DE FACTURACIÓN]])&gt;PROVEEDORES[[#This Row],[PLAZO Días]],"PAGO VENCIDO")</f>
        <v>PAGO VENCIDO</v>
      </c>
      <c r="C1759" s="20">
        <f>+VLOOKUP(PROVEEDORES[[#This Row],[PROVEEDOR]],TERCEROS_INFO[#All],2,FALSE)</f>
        <v>30</v>
      </c>
      <c r="D1759" s="25">
        <f>+SUMIFS(PROVEEDORES[Total],PROVEEDORES[PROVEEDOR],PROVEEDORES[[#This Row],[PROVEEDOR]],PROVEEDORES[FECHA DE PAGO],"")</f>
        <v>2100000</v>
      </c>
      <c r="E1759" s="25"/>
      <c r="F1759" s="56" t="str">
        <f>+VLOOKUP(PROVEEDORES[[#This Row],[PROVEEDOR]],
                       Terceros!$A:$F,
                       5,
                       FALSE)</f>
        <v/>
      </c>
      <c r="G1759" s="68">
        <v>45146</v>
      </c>
      <c r="H1759" s="26" t="s">
        <v>349</v>
      </c>
      <c r="I1759" s="68">
        <v>45070</v>
      </c>
      <c r="J1759" s="35" t="s">
        <v>1760</v>
      </c>
      <c r="K1759" s="21">
        <v>250000</v>
      </c>
      <c r="L1759" s="21"/>
      <c r="M1759" s="22">
        <f>(PROVEEDORES[[#This Row],[SUBTOTAL]]-PROVEEDORES[[#This Row],[descuento sobre subtotal]])*VLOOKUP(PROVEEDORES[[#This Row],[PROVEEDOR]],TERCEROS_INFO[#All],3,FALSE)</f>
        <v>0</v>
      </c>
      <c r="N1759" s="23"/>
      <c r="O1759" s="22">
        <f>+PROVEEDORES[[#This Row],[Descuento sobre subtotal %]]*(PROVEEDORES[[#This Row],[SUBTOTAL]]-PROVEEDORES[[#This Row],[descuento sobre subtotal]])</f>
        <v>0</v>
      </c>
      <c r="P1759" s="74">
        <f>+IF(PROVEEDORES[[#This Row],[SUBTOTAL]]&lt;PROVEEDORES[[#This Row],[base retencion]],0,PROVEEDORES[[#This Row],[retención aplicada]])</f>
        <v>0</v>
      </c>
      <c r="Q1759" s="22">
        <f>+PROVEEDORES[[#This Row],[Rete Fuente %]]*(PROVEEDORES[[#This Row],[SUBTOTAL]]-PROVEEDORES[[#This Row],[descuento sobre subtotal]])</f>
        <v>0</v>
      </c>
      <c r="R1759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1759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9" s="63">
        <f ca="1">IF(PROVEEDORES[[#This Row],[FECHA DE PAGO]]=0,TODAY()-PROVEEDORES[[#This Row],[FECHA DE FACTURACIÓN]]-PROVEEDORES[[#This Row],[PLAZO Días]],0)</f>
        <v>0</v>
      </c>
      <c r="U1759" s="104">
        <f>+VLOOKUP(PROVEEDORES[[#This Row],[PROVEEDOR]],Terceros!$A:$D,4,FALSE)</f>
        <v>0</v>
      </c>
      <c r="V1759" s="105">
        <f>+YEAR(PROVEEDORES[[#This Row],[FECHA DE FACTURACIÓN]])</f>
        <v>2023</v>
      </c>
      <c r="W1759" s="105">
        <f>+MATCH(PROVEEDORES[[#This Row],[año facturado]],Retenciones!$1:$1,0)</f>
        <v>6</v>
      </c>
      <c r="X1759" s="106">
        <f>+VLOOKUP(PROVEEDORES[[#This Row],[ID RETENCION]],Retenciones!$A$1:$O$25,PROVEEDORES[[#This Row],[indicador de columna]],FALSE)</f>
        <v>0</v>
      </c>
      <c r="Y1759" s="107">
        <f>+VLOOKUP(PROVEEDORES[[#This Row],[ID RETENCION]],Retenciones!$A$1:$O$25,2,FALSE)</f>
        <v>0</v>
      </c>
      <c r="Z1759" s="116" t="b">
        <f>OR(COUNTIF(PROVEEDORES[[#This Row],[PROVEEDOR]],"*"&amp;'Palabra no opera'!$A$2&amp;"*"))</f>
        <v>0</v>
      </c>
    </row>
    <row r="1760" spans="1:26" ht="22.35" customHeight="1" x14ac:dyDescent="0.3">
      <c r="A1760" s="327" t="str">
        <f>+IF(PROVEEDORES[[#This Row],[FECHA DE PAGO]]=PROVEEDORES[[#This Row],[FECHA DE FACTURACIÓN]],"DE CONTADO","CRÉDITO")</f>
        <v>CRÉDITO</v>
      </c>
      <c r="B1760" s="38" t="str">
        <f>+IF((PROVEEDORES[[#This Row],[FECHA DE PAGO]]-PROVEEDORES[[#This Row],[FECHA DE FACTURACIÓN]])&gt;PROVEEDORES[[#This Row],[PLAZO Días]],"PAGO VENCIDO")</f>
        <v>PAGO VENCIDO</v>
      </c>
      <c r="C1760" s="20">
        <f>+VLOOKUP(PROVEEDORES[[#This Row],[PROVEEDOR]],TERCEROS_INFO[#All],2,FALSE)</f>
        <v>30</v>
      </c>
      <c r="D1760" s="25">
        <f>+SUMIFS(PROVEEDORES[Total],PROVEEDORES[PROVEEDOR],PROVEEDORES[[#This Row],[PROVEEDOR]],PROVEEDORES[FECHA DE PAGO],"")</f>
        <v>0</v>
      </c>
      <c r="E1760" s="25"/>
      <c r="F1760" s="56">
        <f>+VLOOKUP(PROVEEDORES[[#This Row],[PROVEEDOR]],
                       Terceros!$A:$F,
                       5,
                       FALSE)</f>
        <v>0</v>
      </c>
      <c r="G1760" s="68">
        <v>45146</v>
      </c>
      <c r="H1760" s="26" t="s">
        <v>1762</v>
      </c>
      <c r="I1760" s="68">
        <v>45098</v>
      </c>
      <c r="J1760" s="35">
        <v>5846</v>
      </c>
      <c r="K1760" s="21">
        <v>1167100</v>
      </c>
      <c r="L1760" s="21"/>
      <c r="M1760" s="22">
        <f>(PROVEEDORES[[#This Row],[SUBTOTAL]]-PROVEEDORES[[#This Row],[descuento sobre subtotal]])*VLOOKUP(PROVEEDORES[[#This Row],[PROVEEDOR]],TERCEROS_INFO[#All],3,FALSE)</f>
        <v>0</v>
      </c>
      <c r="N1760" s="23"/>
      <c r="O1760" s="22">
        <f>+PROVEEDORES[[#This Row],[Descuento sobre subtotal %]]*(PROVEEDORES[[#This Row],[SUBTOTAL]]-PROVEEDORES[[#This Row],[descuento sobre subtotal]])</f>
        <v>0</v>
      </c>
      <c r="P1760" s="74">
        <f>+IF(PROVEEDORES[[#This Row],[SUBTOTAL]]&lt;PROVEEDORES[[#This Row],[base retencion]],0,PROVEEDORES[[#This Row],[retención aplicada]])</f>
        <v>0</v>
      </c>
      <c r="Q1760" s="22">
        <f>+PROVEEDORES[[#This Row],[Rete Fuente %]]*(PROVEEDORES[[#This Row],[SUBTOTAL]]-PROVEEDORES[[#This Row],[descuento sobre subtotal]])</f>
        <v>0</v>
      </c>
      <c r="R1760" s="21">
        <f>+PROVEEDORES[[#This Row],[SUBTOTAL]]+PROVEEDORES[[#This Row],[IVA 19%]]-PROVEEDORES[[#This Row],[descuento sobre subtotal]]-PROVEEDORES[[#This Row],[Descuento sobre subtotal $2]]-PROVEEDORES[[#This Row],[Rete Fuente $]]</f>
        <v>1167100</v>
      </c>
      <c r="S1760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0" s="63">
        <f ca="1">IF(PROVEEDORES[[#This Row],[FECHA DE PAGO]]=0,TODAY()-PROVEEDORES[[#This Row],[FECHA DE FACTURACIÓN]]-PROVEEDORES[[#This Row],[PLAZO Días]],0)</f>
        <v>0</v>
      </c>
      <c r="U1760" s="104">
        <f>+VLOOKUP(PROVEEDORES[[#This Row],[PROVEEDOR]],Terceros!$A:$D,4,FALSE)</f>
        <v>0</v>
      </c>
      <c r="V1760" s="105">
        <f>+YEAR(PROVEEDORES[[#This Row],[FECHA DE FACTURACIÓN]])</f>
        <v>2023</v>
      </c>
      <c r="W1760" s="105">
        <f>+MATCH(PROVEEDORES[[#This Row],[año facturado]],Retenciones!$1:$1,0)</f>
        <v>6</v>
      </c>
      <c r="X1760" s="106">
        <f>+VLOOKUP(PROVEEDORES[[#This Row],[ID RETENCION]],Retenciones!$A$1:$O$25,PROVEEDORES[[#This Row],[indicador de columna]],FALSE)</f>
        <v>0</v>
      </c>
      <c r="Y1760" s="107">
        <f>+VLOOKUP(PROVEEDORES[[#This Row],[ID RETENCION]],Retenciones!$A$1:$O$25,2,FALSE)</f>
        <v>0</v>
      </c>
      <c r="Z1760" s="116" t="b">
        <f>OR(COUNTIF(PROVEEDORES[[#This Row],[PROVEEDOR]],"*"&amp;'Palabra no opera'!$A$2&amp;"*"))</f>
        <v>0</v>
      </c>
    </row>
    <row r="1761" spans="1:26" ht="22.35" customHeight="1" x14ac:dyDescent="0.3">
      <c r="A1761" s="327" t="str">
        <f>+IF(PROVEEDORES[[#This Row],[FECHA DE PAGO]]=PROVEEDORES[[#This Row],[FECHA DE FACTURACIÓN]],"DE CONTADO","CRÉDITO")</f>
        <v>CRÉDITO</v>
      </c>
      <c r="B1761" s="38" t="str">
        <f>+IF((PROVEEDORES[[#This Row],[FECHA DE PAGO]]-PROVEEDORES[[#This Row],[FECHA DE FACTURACIÓN]])&gt;PROVEEDORES[[#This Row],[PLAZO Días]],"PAGO VENCIDO")</f>
        <v>PAGO VENCIDO</v>
      </c>
      <c r="C1761" s="20">
        <f>+VLOOKUP(PROVEEDORES[[#This Row],[PROVEEDOR]],TERCEROS_INFO[#All],2,FALSE)</f>
        <v>30</v>
      </c>
      <c r="D1761" s="25">
        <f>+SUMIFS(PROVEEDORES[Total],PROVEEDORES[PROVEEDOR],PROVEEDORES[[#This Row],[PROVEEDOR]],PROVEEDORES[FECHA DE PAGO],"")</f>
        <v>5480000</v>
      </c>
      <c r="E1761" s="25"/>
      <c r="F1761" s="56" t="str">
        <f>+VLOOKUP(PROVEEDORES[[#This Row],[PROVEEDOR]],
                       Terceros!$A:$F,
                       5,
                       FALSE)</f>
        <v/>
      </c>
      <c r="G1761" s="68">
        <v>45147</v>
      </c>
      <c r="H1761" s="26" t="s">
        <v>369</v>
      </c>
      <c r="I1761" s="68">
        <v>45083</v>
      </c>
      <c r="J1761" s="35">
        <v>8725</v>
      </c>
      <c r="K1761" s="21">
        <v>3943000</v>
      </c>
      <c r="L1761" s="21"/>
      <c r="M1761" s="22">
        <f>(PROVEEDORES[[#This Row],[SUBTOTAL]]-PROVEEDORES[[#This Row],[descuento sobre subtotal]])*VLOOKUP(PROVEEDORES[[#This Row],[PROVEEDOR]],TERCEROS_INFO[#All],3,FALSE)</f>
        <v>0</v>
      </c>
      <c r="N1761" s="23"/>
      <c r="O1761" s="22">
        <f>+PROVEEDORES[[#This Row],[Descuento sobre subtotal %]]*(PROVEEDORES[[#This Row],[SUBTOTAL]]-PROVEEDORES[[#This Row],[descuento sobre subtotal]])</f>
        <v>0</v>
      </c>
      <c r="P1761" s="74">
        <f>+IF(PROVEEDORES[[#This Row],[SUBTOTAL]]&lt;PROVEEDORES[[#This Row],[base retencion]],0,PROVEEDORES[[#This Row],[retención aplicada]])</f>
        <v>0</v>
      </c>
      <c r="Q1761" s="22">
        <f>+PROVEEDORES[[#This Row],[Rete Fuente %]]*(PROVEEDORES[[#This Row],[SUBTOTAL]]-PROVEEDORES[[#This Row],[descuento sobre subtotal]])</f>
        <v>0</v>
      </c>
      <c r="R1761" s="21">
        <f>+PROVEEDORES[[#This Row],[SUBTOTAL]]+PROVEEDORES[[#This Row],[IVA 19%]]-PROVEEDORES[[#This Row],[descuento sobre subtotal]]-PROVEEDORES[[#This Row],[Descuento sobre subtotal $2]]-PROVEEDORES[[#This Row],[Rete Fuente $]]</f>
        <v>3943000</v>
      </c>
      <c r="S1761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1" s="63">
        <f ca="1">IF(PROVEEDORES[[#This Row],[FECHA DE PAGO]]=0,TODAY()-PROVEEDORES[[#This Row],[FECHA DE FACTURACIÓN]]-PROVEEDORES[[#This Row],[PLAZO Días]],0)</f>
        <v>0</v>
      </c>
      <c r="U1761" s="104">
        <f>+VLOOKUP(PROVEEDORES[[#This Row],[PROVEEDOR]],Terceros!$A:$D,4,FALSE)</f>
        <v>0</v>
      </c>
      <c r="V1761" s="105">
        <f>+YEAR(PROVEEDORES[[#This Row],[FECHA DE FACTURACIÓN]])</f>
        <v>2023</v>
      </c>
      <c r="W1761" s="105">
        <f>+MATCH(PROVEEDORES[[#This Row],[año facturado]],Retenciones!$1:$1,0)</f>
        <v>6</v>
      </c>
      <c r="X1761" s="106">
        <f>+VLOOKUP(PROVEEDORES[[#This Row],[ID RETENCION]],Retenciones!$A$1:$O$25,PROVEEDORES[[#This Row],[indicador de columna]],FALSE)</f>
        <v>0</v>
      </c>
      <c r="Y1761" s="107">
        <f>+VLOOKUP(PROVEEDORES[[#This Row],[ID RETENCION]],Retenciones!$A$1:$O$25,2,FALSE)</f>
        <v>0</v>
      </c>
      <c r="Z1761" s="116" t="b">
        <f>OR(COUNTIF(PROVEEDORES[[#This Row],[PROVEEDOR]],"*"&amp;'Palabra no opera'!$A$2&amp;"*"))</f>
        <v>0</v>
      </c>
    </row>
    <row r="1762" spans="1:26" ht="22.35" customHeight="1" x14ac:dyDescent="0.3">
      <c r="A1762" s="67" t="str">
        <f>+IF(PROVEEDORES[[#This Row],[FECHA DE PAGO]]=PROVEEDORES[[#This Row],[FECHA DE FACTURACIÓN]],"DE CONTADO","CRÉDITO")</f>
        <v>CRÉDITO</v>
      </c>
      <c r="B1762" s="38" t="str">
        <f>+IF((PROVEEDORES[[#This Row],[FECHA DE PAGO]]-PROVEEDORES[[#This Row],[FECHA DE FACTURACIÓN]])&gt;PROVEEDORES[[#This Row],[PLAZO Días]],"PAGO VENCIDO")</f>
        <v>PAGO VENCIDO</v>
      </c>
      <c r="C1762" s="20">
        <f>+VLOOKUP(PROVEEDORES[[#This Row],[PROVEEDOR]],TERCEROS_INFO[#All],2,FALSE)</f>
        <v>30</v>
      </c>
      <c r="D1762" s="25">
        <f>+SUMIFS(PROVEEDORES[Total],PROVEEDORES[PROVEEDOR],PROVEEDORES[[#This Row],[PROVEEDOR]],PROVEEDORES[FECHA DE PAGO],"")</f>
        <v>0</v>
      </c>
      <c r="E1762" s="25"/>
      <c r="F1762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62" s="68">
        <v>45148</v>
      </c>
      <c r="H1762" s="26" t="s">
        <v>1371</v>
      </c>
      <c r="I1762" s="68">
        <v>45113</v>
      </c>
      <c r="J1762" s="35" t="s">
        <v>1831</v>
      </c>
      <c r="K1762" s="21">
        <v>275000</v>
      </c>
      <c r="L1762" s="21"/>
      <c r="M1762" s="22">
        <f>(PROVEEDORES[[#This Row],[SUBTOTAL]]-PROVEEDORES[[#This Row],[descuento sobre subtotal]])*VLOOKUP(PROVEEDORES[[#This Row],[PROVEEDOR]],TERCEROS_INFO[#All],3,FALSE)</f>
        <v>0</v>
      </c>
      <c r="N1762" s="23"/>
      <c r="O1762" s="22">
        <f>+PROVEEDORES[[#This Row],[Descuento sobre subtotal %]]*(PROVEEDORES[[#This Row],[SUBTOTAL]]-PROVEEDORES[[#This Row],[descuento sobre subtotal]])</f>
        <v>0</v>
      </c>
      <c r="P1762" s="74">
        <f>+IF(PROVEEDORES[[#This Row],[SUBTOTAL]]&lt;PROVEEDORES[[#This Row],[base retencion]],0,PROVEEDORES[[#This Row],[retención aplicada]])</f>
        <v>0</v>
      </c>
      <c r="Q1762" s="22">
        <f>+PROVEEDORES[[#This Row],[Rete Fuente %]]*(PROVEEDORES[[#This Row],[SUBTOTAL]]-PROVEEDORES[[#This Row],[descuento sobre subtotal]])</f>
        <v>0</v>
      </c>
      <c r="R1762" s="21">
        <f>+PROVEEDORES[[#This Row],[SUBTOTAL]]+PROVEEDORES[[#This Row],[IVA 19%]]-PROVEEDORES[[#This Row],[descuento sobre subtotal]]-PROVEEDORES[[#This Row],[Descuento sobre subtotal $2]]-PROVEEDORES[[#This Row],[Rete Fuente $]]</f>
        <v>275000</v>
      </c>
      <c r="S17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2" s="63">
        <f ca="1">IF(PROVEEDORES[[#This Row],[FECHA DE PAGO]]=0,TODAY()-PROVEEDORES[[#This Row],[FECHA DE FACTURACIÓN]]-PROVEEDORES[[#This Row],[PLAZO Días]],0)</f>
        <v>0</v>
      </c>
      <c r="U1762" s="104">
        <f>+VLOOKUP(PROVEEDORES[[#This Row],[PROVEEDOR]],Terceros!$A:$D,4,FALSE)</f>
        <v>0</v>
      </c>
      <c r="V1762" s="105">
        <f>+YEAR(PROVEEDORES[[#This Row],[FECHA DE FACTURACIÓN]])</f>
        <v>2023</v>
      </c>
      <c r="W1762" s="105">
        <f>+MATCH(PROVEEDORES[[#This Row],[año facturado]],Retenciones!$1:$1,0)</f>
        <v>6</v>
      </c>
      <c r="X1762" s="106">
        <f>+VLOOKUP(PROVEEDORES[[#This Row],[ID RETENCION]],Retenciones!$A$1:$O$25,PROVEEDORES[[#This Row],[indicador de columna]],FALSE)</f>
        <v>0</v>
      </c>
      <c r="Y1762" s="107">
        <f>+VLOOKUP(PROVEEDORES[[#This Row],[ID RETENCION]],Retenciones!$A$1:$O$25,2,FALSE)</f>
        <v>0</v>
      </c>
      <c r="Z1762" s="116" t="b">
        <f>OR(COUNTIF(PROVEEDORES[[#This Row],[PROVEEDOR]],"*"&amp;'Palabra no opera'!$A$2&amp;"*"))</f>
        <v>0</v>
      </c>
    </row>
    <row r="1763" spans="1:26" ht="22.35" customHeight="1" x14ac:dyDescent="0.3">
      <c r="A1763" s="67" t="str">
        <f>+IF(PROVEEDORES[[#This Row],[FECHA DE PAGO]]=PROVEEDORES[[#This Row],[FECHA DE FACTURACIÓN]],"DE CONTADO","CRÉDITO")</f>
        <v>CRÉDITO</v>
      </c>
      <c r="B1763" s="38" t="str">
        <f>+IF((PROVEEDORES[[#This Row],[FECHA DE PAGO]]-PROVEEDORES[[#This Row],[FECHA DE FACTURACIÓN]])&gt;PROVEEDORES[[#This Row],[PLAZO Días]],"PAGO VENCIDO")</f>
        <v>PAGO VENCIDO</v>
      </c>
      <c r="C1763" s="20">
        <f>+VLOOKUP(PROVEEDORES[[#This Row],[PROVEEDOR]],TERCEROS_INFO[#All],2,FALSE)</f>
        <v>30</v>
      </c>
      <c r="D1763" s="25">
        <f>+SUMIFS(PROVEEDORES[Total],PROVEEDORES[PROVEEDOR],PROVEEDORES[[#This Row],[PROVEEDOR]],PROVEEDORES[FECHA DE PAGO],"")</f>
        <v>0</v>
      </c>
      <c r="E1763" s="25"/>
      <c r="F1763" s="56" t="str">
        <f>+VLOOKUP(PROVEEDORES[[#This Row],[PROVEEDOR]],
                       Terceros!$A:$F,
                       5,
                       FALSE)</f>
        <v/>
      </c>
      <c r="G1763" s="68">
        <v>45148</v>
      </c>
      <c r="H1763" s="95" t="s">
        <v>401</v>
      </c>
      <c r="I1763" s="68">
        <v>45113</v>
      </c>
      <c r="J1763" s="35" t="s">
        <v>1832</v>
      </c>
      <c r="K1763" s="21">
        <v>1708000</v>
      </c>
      <c r="L1763" s="21"/>
      <c r="M1763" s="22">
        <f>(PROVEEDORES[[#This Row],[SUBTOTAL]]-PROVEEDORES[[#This Row],[descuento sobre subtotal]])*VLOOKUP(PROVEEDORES[[#This Row],[PROVEEDOR]],TERCEROS_INFO[#All],3,FALSE)</f>
        <v>0</v>
      </c>
      <c r="N1763" s="23"/>
      <c r="O1763" s="22">
        <f>+PROVEEDORES[[#This Row],[Descuento sobre subtotal %]]*(PROVEEDORES[[#This Row],[SUBTOTAL]]-PROVEEDORES[[#This Row],[descuento sobre subtotal]])</f>
        <v>0</v>
      </c>
      <c r="P1763" s="74">
        <f>+IF(PROVEEDORES[[#This Row],[SUBTOTAL]]&lt;PROVEEDORES[[#This Row],[base retencion]],0,PROVEEDORES[[#This Row],[retención aplicada]])</f>
        <v>0</v>
      </c>
      <c r="Q1763" s="22">
        <f>+PROVEEDORES[[#This Row],[Rete Fuente %]]*(PROVEEDORES[[#This Row],[SUBTOTAL]]-PROVEEDORES[[#This Row],[descuento sobre subtotal]])</f>
        <v>0</v>
      </c>
      <c r="R1763" s="21">
        <f>+PROVEEDORES[[#This Row],[SUBTOTAL]]+PROVEEDORES[[#This Row],[IVA 19%]]-PROVEEDORES[[#This Row],[descuento sobre subtotal]]-PROVEEDORES[[#This Row],[Descuento sobre subtotal $2]]-PROVEEDORES[[#This Row],[Rete Fuente $]]</f>
        <v>1708000</v>
      </c>
      <c r="S176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3" s="63">
        <f ca="1">IF(PROVEEDORES[[#This Row],[FECHA DE PAGO]]=0,TODAY()-PROVEEDORES[[#This Row],[FECHA DE FACTURACIÓN]]-PROVEEDORES[[#This Row],[PLAZO Días]],0)</f>
        <v>0</v>
      </c>
      <c r="U1763" s="104">
        <f>+VLOOKUP(PROVEEDORES[[#This Row],[PROVEEDOR]],Terceros!$A:$D,4,FALSE)</f>
        <v>0</v>
      </c>
      <c r="V1763" s="105">
        <f>+YEAR(PROVEEDORES[[#This Row],[FECHA DE FACTURACIÓN]])</f>
        <v>2023</v>
      </c>
      <c r="W1763" s="105">
        <f>+MATCH(PROVEEDORES[[#This Row],[año facturado]],Retenciones!$1:$1,0)</f>
        <v>6</v>
      </c>
      <c r="X1763" s="106">
        <f>+VLOOKUP(PROVEEDORES[[#This Row],[ID RETENCION]],Retenciones!$A$1:$O$25,PROVEEDORES[[#This Row],[indicador de columna]],FALSE)</f>
        <v>0</v>
      </c>
      <c r="Y1763" s="107">
        <f>+VLOOKUP(PROVEEDORES[[#This Row],[ID RETENCION]],Retenciones!$A$1:$O$25,2,FALSE)</f>
        <v>0</v>
      </c>
      <c r="Z1763" s="116" t="b">
        <f>OR(COUNTIF(PROVEEDORES[[#This Row],[PROVEEDOR]],"*"&amp;'Palabra no opera'!$A$2&amp;"*"))</f>
        <v>0</v>
      </c>
    </row>
    <row r="1764" spans="1:26" ht="22.35" customHeight="1" x14ac:dyDescent="0.3">
      <c r="A1764" s="67" t="str">
        <f>+IF(PROVEEDORES[[#This Row],[FECHA DE PAGO]]=PROVEEDORES[[#This Row],[FECHA DE FACTURACIÓN]],"DE CONTADO","CRÉDITO")</f>
        <v>CRÉDITO</v>
      </c>
      <c r="B1764" s="38" t="b">
        <f>+IF((PROVEEDORES[[#This Row],[FECHA DE PAGO]]-PROVEEDORES[[#This Row],[FECHA DE FACTURACIÓN]])&gt;PROVEEDORES[[#This Row],[PLAZO Días]],"PAGO VENCIDO")</f>
        <v>0</v>
      </c>
      <c r="C1764" s="20">
        <f>+VLOOKUP(PROVEEDORES[[#This Row],[PROVEEDOR]],TERCEROS_INFO[#All],2,FALSE)</f>
        <v>30</v>
      </c>
      <c r="D1764" s="25">
        <f>+SUMIFS(PROVEEDORES[Total],PROVEEDORES[PROVEEDOR],PROVEEDORES[[#This Row],[PROVEEDOR]],PROVEEDORES[FECHA DE PAGO],"")</f>
        <v>0</v>
      </c>
      <c r="E1764" s="25"/>
      <c r="F176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64" s="68">
        <v>45148</v>
      </c>
      <c r="H1764" s="26" t="s">
        <v>623</v>
      </c>
      <c r="I1764" s="68">
        <v>45139</v>
      </c>
      <c r="J1764" s="35" t="s">
        <v>1862</v>
      </c>
      <c r="K1764" s="21">
        <v>3792544</v>
      </c>
      <c r="L1764" s="21"/>
      <c r="M1764" s="22">
        <f>(PROVEEDORES[[#This Row],[SUBTOTAL]]-PROVEEDORES[[#This Row],[descuento sobre subtotal]])*VLOOKUP(PROVEEDORES[[#This Row],[PROVEEDOR]],TERCEROS_INFO[#All],3,FALSE)</f>
        <v>720583.36</v>
      </c>
      <c r="N1764" s="23"/>
      <c r="O1764" s="22">
        <f>+PROVEEDORES[[#This Row],[Descuento sobre subtotal %]]*(PROVEEDORES[[#This Row],[SUBTOTAL]]-PROVEEDORES[[#This Row],[descuento sobre subtotal]])</f>
        <v>0</v>
      </c>
      <c r="P1764" s="74">
        <v>0</v>
      </c>
      <c r="Q1764" s="22"/>
      <c r="R1764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76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4" s="63">
        <f ca="1">IF(PROVEEDORES[[#This Row],[FECHA DE PAGO]]=0,TODAY()-PROVEEDORES[[#This Row],[FECHA DE FACTURACIÓN]]-PROVEEDORES[[#This Row],[PLAZO Días]],0)</f>
        <v>0</v>
      </c>
      <c r="U1764" s="104" t="str">
        <f>+VLOOKUP(PROVEEDORES[[#This Row],[PROVEEDOR]],Terceros!$A:$D,4,FALSE)</f>
        <v>4% sin base</v>
      </c>
      <c r="V1764" s="105">
        <f>+YEAR(PROVEEDORES[[#This Row],[FECHA DE FACTURACIÓN]])</f>
        <v>2023</v>
      </c>
      <c r="W1764" s="105">
        <f>+MATCH(PROVEEDORES[[#This Row],[año facturado]],Retenciones!$1:$1,0)</f>
        <v>6</v>
      </c>
      <c r="X1764" s="106">
        <f>+VLOOKUP(PROVEEDORES[[#This Row],[ID RETENCION]],Retenciones!$A$1:$O$25,PROVEEDORES[[#This Row],[indicador de columna]],FALSE)</f>
        <v>0</v>
      </c>
      <c r="Y1764" s="107">
        <f>+VLOOKUP(PROVEEDORES[[#This Row],[ID RETENCION]],Retenciones!$A$1:$O$25,2,FALSE)</f>
        <v>0.04</v>
      </c>
      <c r="Z1764" s="116" t="b">
        <f>OR(COUNTIF(PROVEEDORES[[#This Row],[PROVEEDOR]],"*"&amp;'Palabra no opera'!$A$2&amp;"*"))</f>
        <v>1</v>
      </c>
    </row>
    <row r="1765" spans="1:26" ht="22.35" customHeight="1" x14ac:dyDescent="0.3">
      <c r="A1765" s="67" t="str">
        <f>+IF(PROVEEDORES[[#This Row],[FECHA DE PAGO]]=PROVEEDORES[[#This Row],[FECHA DE FACTURACIÓN]],"DE CONTADO","CRÉDITO")</f>
        <v>CRÉDITO</v>
      </c>
      <c r="B1765" s="38" t="b">
        <f>+IF((PROVEEDORES[[#This Row],[FECHA DE PAGO]]-PROVEEDORES[[#This Row],[FECHA DE FACTURACIÓN]])&gt;PROVEEDORES[[#This Row],[PLAZO Días]],"PAGO VENCIDO")</f>
        <v>0</v>
      </c>
      <c r="C1765" s="20">
        <f>+VLOOKUP(PROVEEDORES[[#This Row],[PROVEEDOR]],TERCEROS_INFO[#All],2,FALSE)</f>
        <v>30</v>
      </c>
      <c r="D1765" s="25">
        <f>+SUMIFS(PROVEEDORES[Total],PROVEEDORES[PROVEEDOR],PROVEEDORES[[#This Row],[PROVEEDOR]],PROVEEDORES[FECHA DE PAGO],"")</f>
        <v>0</v>
      </c>
      <c r="E1765" s="25"/>
      <c r="F176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65" s="68">
        <v>45148</v>
      </c>
      <c r="H1765" s="26" t="s">
        <v>623</v>
      </c>
      <c r="I1765" s="68">
        <v>45139</v>
      </c>
      <c r="J1765" s="35" t="s">
        <v>1863</v>
      </c>
      <c r="K1765" s="21">
        <v>908172</v>
      </c>
      <c r="L1765" s="21"/>
      <c r="M1765" s="22">
        <f>(PROVEEDORES[[#This Row],[SUBTOTAL]]-PROVEEDORES[[#This Row],[descuento sobre subtotal]])*VLOOKUP(PROVEEDORES[[#This Row],[PROVEEDOR]],TERCEROS_INFO[#All],3,FALSE)</f>
        <v>172552.68</v>
      </c>
      <c r="N1765" s="23"/>
      <c r="O1765" s="22">
        <f>+PROVEEDORES[[#This Row],[Descuento sobre subtotal %]]*(PROVEEDORES[[#This Row],[SUBTOTAL]]-PROVEEDORES[[#This Row],[descuento sobre subtotal]])</f>
        <v>0</v>
      </c>
      <c r="P1765" s="74">
        <f>+IF(PROVEEDORES[[#This Row],[SUBTOTAL]]&lt;PROVEEDORES[[#This Row],[base retencion]],0,PROVEEDORES[[#This Row],[retención aplicada]])</f>
        <v>0.04</v>
      </c>
      <c r="Q1765" s="22">
        <f>+PROVEEDORES[[#This Row],[Rete Fuente %]]*(PROVEEDORES[[#This Row],[SUBTOTAL]]-PROVEEDORES[[#This Row],[descuento sobre subtotal]])</f>
        <v>36326.879999999997</v>
      </c>
      <c r="R1765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17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5" s="63">
        <f ca="1">IF(PROVEEDORES[[#This Row],[FECHA DE PAGO]]=0,TODAY()-PROVEEDORES[[#This Row],[FECHA DE FACTURACIÓN]]-PROVEEDORES[[#This Row],[PLAZO Días]],0)</f>
        <v>0</v>
      </c>
      <c r="U1765" s="104" t="str">
        <f>+VLOOKUP(PROVEEDORES[[#This Row],[PROVEEDOR]],Terceros!$A:$D,4,FALSE)</f>
        <v>4% sin base</v>
      </c>
      <c r="V1765" s="105">
        <f>+YEAR(PROVEEDORES[[#This Row],[FECHA DE FACTURACIÓN]])</f>
        <v>2023</v>
      </c>
      <c r="W1765" s="105">
        <f>+MATCH(PROVEEDORES[[#This Row],[año facturado]],Retenciones!$1:$1,0)</f>
        <v>6</v>
      </c>
      <c r="X1765" s="106">
        <f>+VLOOKUP(PROVEEDORES[[#This Row],[ID RETENCION]],Retenciones!$A$1:$O$25,PROVEEDORES[[#This Row],[indicador de columna]],FALSE)</f>
        <v>0</v>
      </c>
      <c r="Y1765" s="107">
        <f>+VLOOKUP(PROVEEDORES[[#This Row],[ID RETENCION]],Retenciones!$A$1:$O$25,2,FALSE)</f>
        <v>0.04</v>
      </c>
      <c r="Z1765" s="116" t="b">
        <f>OR(COUNTIF(PROVEEDORES[[#This Row],[PROVEEDOR]],"*"&amp;'Palabra no opera'!$A$2&amp;"*"))</f>
        <v>1</v>
      </c>
    </row>
    <row r="1766" spans="1:26" ht="22.35" customHeight="1" x14ac:dyDescent="0.3">
      <c r="A1766" s="67" t="str">
        <f>+IF(PROVEEDORES[[#This Row],[FECHA DE PAGO]]=PROVEEDORES[[#This Row],[FECHA DE FACTURACIÓN]],"DE CONTADO","CRÉDITO")</f>
        <v>CRÉDITO</v>
      </c>
      <c r="B1766" s="38" t="b">
        <f>+IF((PROVEEDORES[[#This Row],[FECHA DE PAGO]]-PROVEEDORES[[#This Row],[FECHA DE FACTURACIÓN]])&gt;PROVEEDORES[[#This Row],[PLAZO Días]],"PAGO VENCIDO")</f>
        <v>0</v>
      </c>
      <c r="C1766" s="20">
        <f>+VLOOKUP(PROVEEDORES[[#This Row],[PROVEEDOR]],TERCEROS_INFO[#All],2,FALSE)</f>
        <v>30</v>
      </c>
      <c r="D1766" s="25">
        <f>+SUMIFS(PROVEEDORES[Total],PROVEEDORES[PROVEEDOR],PROVEEDORES[[#This Row],[PROVEEDOR]],PROVEEDORES[FECHA DE PAGO],"")</f>
        <v>0</v>
      </c>
      <c r="E1766" s="25"/>
      <c r="F1766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66" s="68">
        <v>45148</v>
      </c>
      <c r="H1766" s="26" t="s">
        <v>638</v>
      </c>
      <c r="I1766" s="68">
        <v>45139</v>
      </c>
      <c r="J1766" s="35" t="s">
        <v>1885</v>
      </c>
      <c r="K1766" s="21">
        <v>3935776</v>
      </c>
      <c r="L1766" s="21"/>
      <c r="M1766" s="22">
        <v>665000</v>
      </c>
      <c r="N1766" s="23"/>
      <c r="O1766" s="22">
        <f>+PROVEEDORES[[#This Row],[Descuento sobre subtotal %]]*(PROVEEDORES[[#This Row],[SUBTOTAL]]-PROVEEDORES[[#This Row],[descuento sobre subtotal]])</f>
        <v>0</v>
      </c>
      <c r="P1766" s="74">
        <f>+IF(PROVEEDORES[[#This Row],[SUBTOTAL]]&lt;PROVEEDORES[[#This Row],[base retencion]],0,PROVEEDORES[[#This Row],[retención aplicada]])</f>
        <v>3.5000000000000003E-2</v>
      </c>
      <c r="Q1766" s="22"/>
      <c r="R1766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7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6" s="63">
        <f ca="1">IF(PROVEEDORES[[#This Row],[FECHA DE PAGO]]=0,TODAY()-PROVEEDORES[[#This Row],[FECHA DE FACTURACIÓN]]-PROVEEDORES[[#This Row],[PLAZO Días]],0)</f>
        <v>0</v>
      </c>
      <c r="U1766" s="104" t="str">
        <f>+VLOOKUP(PROVEEDORES[[#This Row],[PROVEEDOR]],Terceros!$A:$D,4,FALSE)</f>
        <v>3,5% sin base</v>
      </c>
      <c r="V1766" s="105">
        <f>+YEAR(PROVEEDORES[[#This Row],[FECHA DE FACTURACIÓN]])</f>
        <v>2023</v>
      </c>
      <c r="W1766" s="105">
        <f>+MATCH(PROVEEDORES[[#This Row],[año facturado]],Retenciones!$1:$1,0)</f>
        <v>6</v>
      </c>
      <c r="X1766" s="106">
        <f>+VLOOKUP(PROVEEDORES[[#This Row],[ID RETENCION]],Retenciones!$A$1:$O$25,PROVEEDORES[[#This Row],[indicador de columna]],FALSE)</f>
        <v>0</v>
      </c>
      <c r="Y1766" s="107">
        <f>+VLOOKUP(PROVEEDORES[[#This Row],[ID RETENCION]],Retenciones!$A$1:$O$25,2,FALSE)</f>
        <v>3.5000000000000003E-2</v>
      </c>
      <c r="Z1766" s="116" t="b">
        <f>OR(COUNTIF(PROVEEDORES[[#This Row],[PROVEEDOR]],"*"&amp;'Palabra no opera'!$A$2&amp;"*"))</f>
        <v>1</v>
      </c>
    </row>
    <row r="1767" spans="1:26" ht="22.35" customHeight="1" x14ac:dyDescent="0.3">
      <c r="A1767" s="67" t="str">
        <f>+IF(PROVEEDORES[[#This Row],[FECHA DE PAGO]]=PROVEEDORES[[#This Row],[FECHA DE FACTURACIÓN]],"DE CONTADO","CRÉDITO")</f>
        <v>CRÉDITO</v>
      </c>
      <c r="B1767" s="38" t="b">
        <f>+IF((PROVEEDORES[[#This Row],[FECHA DE PAGO]]-PROVEEDORES[[#This Row],[FECHA DE FACTURACIÓN]])&gt;PROVEEDORES[[#This Row],[PLAZO Días]],"PAGO VENCIDO")</f>
        <v>0</v>
      </c>
      <c r="C1767" s="20">
        <f>+VLOOKUP(PROVEEDORES[[#This Row],[PROVEEDOR]],TERCEROS_INFO[#All],2,FALSE)</f>
        <v>10</v>
      </c>
      <c r="D1767" s="25">
        <f>+SUMIFS(PROVEEDORES[Total],PROVEEDORES[PROVEEDOR],PROVEEDORES[[#This Row],[PROVEEDOR]],PROVEEDORES[FECHA DE PAGO],"")</f>
        <v>0</v>
      </c>
      <c r="E1767" s="25"/>
      <c r="F1767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767" s="68">
        <v>45149</v>
      </c>
      <c r="H1767" s="26" t="s">
        <v>1202</v>
      </c>
      <c r="I1767" s="68">
        <v>45139</v>
      </c>
      <c r="J1767" s="35" t="s">
        <v>1887</v>
      </c>
      <c r="K1767" s="21">
        <v>5350576</v>
      </c>
      <c r="L1767" s="21"/>
      <c r="M1767" s="22">
        <v>1016609</v>
      </c>
      <c r="N1767" s="23"/>
      <c r="O1767" s="22">
        <f>+PROVEEDORES[[#This Row],[Descuento sobre subtotal %]]*(PROVEEDORES[[#This Row],[SUBTOTAL]]-PROVEEDORES[[#This Row],[descuento sobre subtotal]])</f>
        <v>0</v>
      </c>
      <c r="P1767" s="74">
        <f>+IF(PROVEEDORES[[#This Row],[SUBTOTAL]]&lt;PROVEEDORES[[#This Row],[base retencion]],0,PROVEEDORES[[#This Row],[retención aplicada]])</f>
        <v>0</v>
      </c>
      <c r="Q1767" s="22">
        <f>+PROVEEDORES[[#This Row],[Rete Fuente %]]*(PROVEEDORES[[#This Row],[SUBTOTAL]]-PROVEEDORES[[#This Row],[descuento sobre subtotal]])</f>
        <v>0</v>
      </c>
      <c r="R1767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7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7" s="63">
        <f ca="1">IF(PROVEEDORES[[#This Row],[FECHA DE PAGO]]=0,TODAY()-PROVEEDORES[[#This Row],[FECHA DE FACTURACIÓN]]-PROVEEDORES[[#This Row],[PLAZO Días]],0)</f>
        <v>0</v>
      </c>
      <c r="U1767" s="104">
        <f>+VLOOKUP(PROVEEDORES[[#This Row],[PROVEEDOR]],Terceros!$A:$D,4,FALSE)</f>
        <v>0</v>
      </c>
      <c r="V1767" s="105">
        <f>+YEAR(PROVEEDORES[[#This Row],[FECHA DE FACTURACIÓN]])</f>
        <v>2023</v>
      </c>
      <c r="W1767" s="105">
        <f>+MATCH(PROVEEDORES[[#This Row],[año facturado]],Retenciones!$1:$1,0)</f>
        <v>6</v>
      </c>
      <c r="X1767" s="106">
        <f>+VLOOKUP(PROVEEDORES[[#This Row],[ID RETENCION]],Retenciones!$A$1:$O$25,PROVEEDORES[[#This Row],[indicador de columna]],FALSE)</f>
        <v>0</v>
      </c>
      <c r="Y1767" s="107">
        <f>+VLOOKUP(PROVEEDORES[[#This Row],[ID RETENCION]],Retenciones!$A$1:$O$25,2,FALSE)</f>
        <v>0</v>
      </c>
      <c r="Z1767" s="116" t="b">
        <f>OR(COUNTIF(PROVEEDORES[[#This Row],[PROVEEDOR]],"*"&amp;'Palabra no opera'!$A$2&amp;"*"))</f>
        <v>1</v>
      </c>
    </row>
    <row r="1768" spans="1:26" ht="22.35" customHeight="1" x14ac:dyDescent="0.3">
      <c r="A1768" s="67" t="str">
        <f>+IF(PROVEEDORES[[#This Row],[FECHA DE PAGO]]=PROVEEDORES[[#This Row],[FECHA DE FACTURACIÓN]],"DE CONTADO","CRÉDITO")</f>
        <v>CRÉDITO</v>
      </c>
      <c r="B1768" s="38" t="b">
        <f>+IF((PROVEEDORES[[#This Row],[FECHA DE PAGO]]-PROVEEDORES[[#This Row],[FECHA DE FACTURACIÓN]])&gt;PROVEEDORES[[#This Row],[PLAZO Días]],"PAGO VENCIDO")</f>
        <v>0</v>
      </c>
      <c r="C1768" s="20">
        <f>+VLOOKUP(PROVEEDORES[[#This Row],[PROVEEDOR]],TERCEROS_INFO[#All],2,FALSE)</f>
        <v>30</v>
      </c>
      <c r="D1768" s="25">
        <f>+SUMIFS(PROVEEDORES[Total],PROVEEDORES[PROVEEDOR],PROVEEDORES[[#This Row],[PROVEEDOR]],PROVEEDORES[FECHA DE PAGO],"")</f>
        <v>0</v>
      </c>
      <c r="E1768" s="25"/>
      <c r="F1768" s="56" t="str">
        <f>+VLOOKUP(PROVEEDORES[[#This Row],[PROVEEDOR]],
                       Terceros!$A:$F,
                       5,
                       FALSE)</f>
        <v/>
      </c>
      <c r="G1768" s="68">
        <v>45150</v>
      </c>
      <c r="H1768" s="26" t="s">
        <v>1194</v>
      </c>
      <c r="I1768" s="68">
        <v>45149</v>
      </c>
      <c r="J1768" s="35" t="s">
        <v>1871</v>
      </c>
      <c r="K1768" s="21">
        <v>3395000</v>
      </c>
      <c r="L1768" s="21"/>
      <c r="M1768" s="22">
        <f>(PROVEEDORES[[#This Row],[SUBTOTAL]]-PROVEEDORES[[#This Row],[descuento sobre subtotal]])*VLOOKUP(PROVEEDORES[[#This Row],[PROVEEDOR]],TERCEROS_INFO[#All],3,FALSE)</f>
        <v>0</v>
      </c>
      <c r="N1768" s="23"/>
      <c r="O1768" s="22">
        <f>+PROVEEDORES[[#This Row],[Descuento sobre subtotal %]]*(PROVEEDORES[[#This Row],[SUBTOTAL]]-PROVEEDORES[[#This Row],[descuento sobre subtotal]])</f>
        <v>0</v>
      </c>
      <c r="P1768" s="74">
        <f>+IF(PROVEEDORES[[#This Row],[SUBTOTAL]]&lt;PROVEEDORES[[#This Row],[base retencion]],0,PROVEEDORES[[#This Row],[retención aplicada]])</f>
        <v>0</v>
      </c>
      <c r="Q1768" s="22">
        <f>+PROVEEDORES[[#This Row],[Rete Fuente %]]*(PROVEEDORES[[#This Row],[SUBTOTAL]]-PROVEEDORES[[#This Row],[descuento sobre subtotal]])</f>
        <v>0</v>
      </c>
      <c r="R1768" s="21">
        <f>+PROVEEDORES[[#This Row],[SUBTOTAL]]+PROVEEDORES[[#This Row],[IVA 19%]]-PROVEEDORES[[#This Row],[descuento sobre subtotal]]-PROVEEDORES[[#This Row],[Descuento sobre subtotal $2]]-PROVEEDORES[[#This Row],[Rete Fuente $]]</f>
        <v>3395000</v>
      </c>
      <c r="S17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8" s="63">
        <f ca="1">IF(PROVEEDORES[[#This Row],[FECHA DE PAGO]]=0,TODAY()-PROVEEDORES[[#This Row],[FECHA DE FACTURACIÓN]]-PROVEEDORES[[#This Row],[PLAZO Días]],0)</f>
        <v>0</v>
      </c>
      <c r="U1768" s="104">
        <f>+VLOOKUP(PROVEEDORES[[#This Row],[PROVEEDOR]],Terceros!$A:$D,4,FALSE)</f>
        <v>0</v>
      </c>
      <c r="V1768" s="105">
        <f>+YEAR(PROVEEDORES[[#This Row],[FECHA DE FACTURACIÓN]])</f>
        <v>2023</v>
      </c>
      <c r="W1768" s="105">
        <f>+MATCH(PROVEEDORES[[#This Row],[año facturado]],Retenciones!$1:$1,0)</f>
        <v>6</v>
      </c>
      <c r="X1768" s="106">
        <f>+VLOOKUP(PROVEEDORES[[#This Row],[ID RETENCION]],Retenciones!$A$1:$O$25,PROVEEDORES[[#This Row],[indicador de columna]],FALSE)</f>
        <v>0</v>
      </c>
      <c r="Y1768" s="107">
        <f>+VLOOKUP(PROVEEDORES[[#This Row],[ID RETENCION]],Retenciones!$A$1:$O$25,2,FALSE)</f>
        <v>0</v>
      </c>
      <c r="Z1768" s="116" t="b">
        <f>OR(COUNTIF(PROVEEDORES[[#This Row],[PROVEEDOR]],"*"&amp;'Palabra no opera'!$A$2&amp;"*"))</f>
        <v>0</v>
      </c>
    </row>
    <row r="1769" spans="1:26" ht="22.35" customHeight="1" x14ac:dyDescent="0.3">
      <c r="A1769" s="67" t="str">
        <f>+IF(PROVEEDORES[[#This Row],[FECHA DE PAGO]]=PROVEEDORES[[#This Row],[FECHA DE FACTURACIÓN]],"DE CONTADO","CRÉDITO")</f>
        <v>CRÉDITO</v>
      </c>
      <c r="B1769" s="38" t="b">
        <f>+IF((PROVEEDORES[[#This Row],[FECHA DE PAGO]]-PROVEEDORES[[#This Row],[FECHA DE FACTURACIÓN]])&gt;PROVEEDORES[[#This Row],[PLAZO Días]],"PAGO VENCIDO")</f>
        <v>0</v>
      </c>
      <c r="C1769" s="20">
        <f>+VLOOKUP(PROVEEDORES[[#This Row],[PROVEEDOR]],TERCEROS_INFO[#All],2,FALSE)</f>
        <v>30</v>
      </c>
      <c r="D1769" s="25">
        <f>+SUMIFS(PROVEEDORES[Total],PROVEEDORES[PROVEEDOR],PROVEEDORES[[#This Row],[PROVEEDOR]],PROVEEDORES[FECHA DE PAGO],"")</f>
        <v>0</v>
      </c>
      <c r="E1769" s="25"/>
      <c r="F1769" s="56">
        <f>+VLOOKUP(PROVEEDORES[[#This Row],[PROVEEDOR]],
                       Terceros!$A:$F,
                       5,
                       FALSE)</f>
        <v>0</v>
      </c>
      <c r="G1769" s="68">
        <v>45152</v>
      </c>
      <c r="H1769" s="26" t="s">
        <v>1231</v>
      </c>
      <c r="I1769" s="68">
        <v>45146</v>
      </c>
      <c r="J1769" s="35" t="s">
        <v>1476</v>
      </c>
      <c r="K1769" s="21">
        <v>-1149500</v>
      </c>
      <c r="L1769" s="21"/>
      <c r="M1769" s="22">
        <f>(PROVEEDORES[[#This Row],[SUBTOTAL]]-PROVEEDORES[[#This Row],[descuento sobre subtotal]])*VLOOKUP(PROVEEDORES[[#This Row],[PROVEEDOR]],TERCEROS_INFO[#All],3,FALSE)</f>
        <v>0</v>
      </c>
      <c r="N1769" s="23"/>
      <c r="O1769" s="22">
        <f>+PROVEEDORES[[#This Row],[Descuento sobre subtotal %]]*(PROVEEDORES[[#This Row],[SUBTOTAL]]-PROVEEDORES[[#This Row],[descuento sobre subtotal]])</f>
        <v>0</v>
      </c>
      <c r="P1769" s="74">
        <f>+IF(PROVEEDORES[[#This Row],[SUBTOTAL]]&lt;PROVEEDORES[[#This Row],[base retencion]],0,PROVEEDORES[[#This Row],[retención aplicada]])</f>
        <v>0</v>
      </c>
      <c r="Q1769" s="22">
        <f>+PROVEEDORES[[#This Row],[Rete Fuente %]]*(PROVEEDORES[[#This Row],[SUBTOTAL]]-PROVEEDORES[[#This Row],[descuento sobre subtotal]])</f>
        <v>0</v>
      </c>
      <c r="R1769" s="21">
        <f>+PROVEEDORES[[#This Row],[SUBTOTAL]]+PROVEEDORES[[#This Row],[IVA 19%]]-PROVEEDORES[[#This Row],[descuento sobre subtotal]]-PROVEEDORES[[#This Row],[Descuento sobre subtotal $2]]-PROVEEDORES[[#This Row],[Rete Fuente $]]</f>
        <v>-1149500</v>
      </c>
      <c r="S17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9" s="63">
        <f ca="1">IF(PROVEEDORES[[#This Row],[FECHA DE PAGO]]=0,TODAY()-PROVEEDORES[[#This Row],[FECHA DE FACTURACIÓN]]-PROVEEDORES[[#This Row],[PLAZO Días]],0)</f>
        <v>0</v>
      </c>
      <c r="U1769" s="104">
        <f>+VLOOKUP(PROVEEDORES[[#This Row],[PROVEEDOR]],Terceros!$A:$D,4,FALSE)</f>
        <v>0</v>
      </c>
      <c r="V1769" s="105">
        <f>+YEAR(PROVEEDORES[[#This Row],[FECHA DE FACTURACIÓN]])</f>
        <v>2023</v>
      </c>
      <c r="W1769" s="105">
        <f>+MATCH(PROVEEDORES[[#This Row],[año facturado]],Retenciones!$1:$1,0)</f>
        <v>6</v>
      </c>
      <c r="X1769" s="106">
        <f>+VLOOKUP(PROVEEDORES[[#This Row],[ID RETENCION]],Retenciones!$A$1:$O$25,PROVEEDORES[[#This Row],[indicador de columna]],FALSE)</f>
        <v>0</v>
      </c>
      <c r="Y1769" s="107">
        <f>+VLOOKUP(PROVEEDORES[[#This Row],[ID RETENCION]],Retenciones!$A$1:$O$25,2,FALSE)</f>
        <v>0</v>
      </c>
      <c r="Z1769" s="116" t="b">
        <f>OR(COUNTIF(PROVEEDORES[[#This Row],[PROVEEDOR]],"*"&amp;'Palabra no opera'!$A$2&amp;"*"))</f>
        <v>0</v>
      </c>
    </row>
    <row r="1770" spans="1:26" ht="22.35" customHeight="1" x14ac:dyDescent="0.3">
      <c r="A1770" s="333" t="str">
        <f>+IF(PROVEEDORES[[#This Row],[FECHA DE PAGO]]=PROVEEDORES[[#This Row],[FECHA DE FACTURACIÓN]],"DE CONTADO","CRÉDITO")</f>
        <v>CRÉDITO</v>
      </c>
      <c r="B1770" s="38" t="b">
        <f>+IF((PROVEEDORES[[#This Row],[FECHA DE PAGO]]-PROVEEDORES[[#This Row],[FECHA DE FACTURACIÓN]])&gt;PROVEEDORES[[#This Row],[PLAZO Días]],"PAGO VENCIDO")</f>
        <v>0</v>
      </c>
      <c r="C1770" s="20">
        <f>+VLOOKUP(PROVEEDORES[[#This Row],[PROVEEDOR]],TERCEROS_INFO[#All],2,FALSE)</f>
        <v>60</v>
      </c>
      <c r="D1770" s="25">
        <f>+SUMIFS(PROVEEDORES[Total],PROVEEDORES[PROVEEDOR],PROVEEDORES[[#This Row],[PROVEEDOR]],PROVEEDORES[FECHA DE PAGO],"")</f>
        <v>395600</v>
      </c>
      <c r="E1770" s="25"/>
      <c r="F177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0" s="68">
        <v>45152</v>
      </c>
      <c r="H1770" s="26" t="s">
        <v>287</v>
      </c>
      <c r="I1770" s="68">
        <v>45124</v>
      </c>
      <c r="J1770" s="35">
        <v>1729</v>
      </c>
      <c r="K1770" s="21">
        <v>381800</v>
      </c>
      <c r="L1770" s="21"/>
      <c r="M1770" s="22">
        <f>(PROVEEDORES[[#This Row],[SUBTOTAL]]-PROVEEDORES[[#This Row],[descuento sobre subtotal]])*VLOOKUP(PROVEEDORES[[#This Row],[PROVEEDOR]],TERCEROS_INFO[#All],3,FALSE)</f>
        <v>0</v>
      </c>
      <c r="N1770" s="23"/>
      <c r="O1770" s="22">
        <f>+PROVEEDORES[[#This Row],[Descuento sobre subtotal %]]*(PROVEEDORES[[#This Row],[SUBTOTAL]]-PROVEEDORES[[#This Row],[descuento sobre subtotal]])</f>
        <v>0</v>
      </c>
      <c r="P1770" s="74">
        <f>+IF(PROVEEDORES[[#This Row],[SUBTOTAL]]&lt;PROVEEDORES[[#This Row],[base retencion]],0,PROVEEDORES[[#This Row],[retención aplicada]])</f>
        <v>0</v>
      </c>
      <c r="Q1770" s="22">
        <f>+PROVEEDORES[[#This Row],[Rete Fuente %]]*(PROVEEDORES[[#This Row],[SUBTOTAL]]-PROVEEDORES[[#This Row],[descuento sobre subtotal]])</f>
        <v>0</v>
      </c>
      <c r="R1770" s="21">
        <f>+PROVEEDORES[[#This Row],[SUBTOTAL]]+PROVEEDORES[[#This Row],[IVA 19%]]-PROVEEDORES[[#This Row],[descuento sobre subtotal]]-PROVEEDORES[[#This Row],[Descuento sobre subtotal $2]]-PROVEEDORES[[#This Row],[Rete Fuente $]]</f>
        <v>381800</v>
      </c>
      <c r="S1770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0" s="63">
        <f ca="1">IF(PROVEEDORES[[#This Row],[FECHA DE PAGO]]=0,TODAY()-PROVEEDORES[[#This Row],[FECHA DE FACTURACIÓN]]-PROVEEDORES[[#This Row],[PLAZO Días]],0)</f>
        <v>0</v>
      </c>
      <c r="U1770" s="104">
        <f>+VLOOKUP(PROVEEDORES[[#This Row],[PROVEEDOR]],Terceros!$A:$D,4,FALSE)</f>
        <v>0</v>
      </c>
      <c r="V1770" s="105">
        <f>+YEAR(PROVEEDORES[[#This Row],[FECHA DE FACTURACIÓN]])</f>
        <v>2023</v>
      </c>
      <c r="W1770" s="105">
        <f>+MATCH(PROVEEDORES[[#This Row],[año facturado]],Retenciones!$1:$1,0)</f>
        <v>6</v>
      </c>
      <c r="X1770" s="106">
        <f>+VLOOKUP(PROVEEDORES[[#This Row],[ID RETENCION]],Retenciones!$A$1:$O$25,PROVEEDORES[[#This Row],[indicador de columna]],FALSE)</f>
        <v>0</v>
      </c>
      <c r="Y1770" s="107">
        <f>+VLOOKUP(PROVEEDORES[[#This Row],[ID RETENCION]],Retenciones!$A$1:$O$25,2,FALSE)</f>
        <v>0</v>
      </c>
      <c r="Z1770" s="116" t="b">
        <f>OR(COUNTIF(PROVEEDORES[[#This Row],[PROVEEDOR]],"*"&amp;'Palabra no opera'!$A$2&amp;"*"))</f>
        <v>0</v>
      </c>
    </row>
    <row r="1771" spans="1:26" ht="22.35" customHeight="1" x14ac:dyDescent="0.3">
      <c r="A1771" s="333" t="str">
        <f>+IF(PROVEEDORES[[#This Row],[FECHA DE PAGO]]=PROVEEDORES[[#This Row],[FECHA DE FACTURACIÓN]],"DE CONTADO","CRÉDITO")</f>
        <v>CRÉDITO</v>
      </c>
      <c r="B1771" s="38" t="b">
        <f>+IF((PROVEEDORES[[#This Row],[FECHA DE PAGO]]-PROVEEDORES[[#This Row],[FECHA DE FACTURACIÓN]])&gt;PROVEEDORES[[#This Row],[PLAZO Días]],"PAGO VENCIDO")</f>
        <v>0</v>
      </c>
      <c r="C1771" s="20">
        <f>+VLOOKUP(PROVEEDORES[[#This Row],[PROVEEDOR]],TERCEROS_INFO[#All],2,FALSE)</f>
        <v>60</v>
      </c>
      <c r="D1771" s="25">
        <f>+SUMIFS(PROVEEDORES[Total],PROVEEDORES[PROVEEDOR],PROVEEDORES[[#This Row],[PROVEEDOR]],PROVEEDORES[FECHA DE PAGO],"")</f>
        <v>395600</v>
      </c>
      <c r="E1771" s="25"/>
      <c r="F177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1" s="68">
        <v>45152</v>
      </c>
      <c r="H1771" s="26" t="s">
        <v>287</v>
      </c>
      <c r="I1771" s="68">
        <v>45124</v>
      </c>
      <c r="J1771" s="35">
        <v>1730</v>
      </c>
      <c r="K1771" s="21">
        <v>215800</v>
      </c>
      <c r="L1771" s="21"/>
      <c r="M1771" s="22">
        <f>(PROVEEDORES[[#This Row],[SUBTOTAL]]-PROVEEDORES[[#This Row],[descuento sobre subtotal]])*VLOOKUP(PROVEEDORES[[#This Row],[PROVEEDOR]],TERCEROS_INFO[#All],3,FALSE)</f>
        <v>0</v>
      </c>
      <c r="N1771" s="23"/>
      <c r="O1771" s="22">
        <f>+PROVEEDORES[[#This Row],[Descuento sobre subtotal %]]*(PROVEEDORES[[#This Row],[SUBTOTAL]]-PROVEEDORES[[#This Row],[descuento sobre subtotal]])</f>
        <v>0</v>
      </c>
      <c r="P1771" s="74">
        <f>+IF(PROVEEDORES[[#This Row],[SUBTOTAL]]&lt;PROVEEDORES[[#This Row],[base retencion]],0,PROVEEDORES[[#This Row],[retención aplicada]])</f>
        <v>0</v>
      </c>
      <c r="Q1771" s="22">
        <f>+PROVEEDORES[[#This Row],[Rete Fuente %]]*(PROVEEDORES[[#This Row],[SUBTOTAL]]-PROVEEDORES[[#This Row],[descuento sobre subtotal]])</f>
        <v>0</v>
      </c>
      <c r="R1771" s="21">
        <f>+PROVEEDORES[[#This Row],[SUBTOTAL]]+PROVEEDORES[[#This Row],[IVA 19%]]-PROVEEDORES[[#This Row],[descuento sobre subtotal]]-PROVEEDORES[[#This Row],[Descuento sobre subtotal $2]]-PROVEEDORES[[#This Row],[Rete Fuente $]]</f>
        <v>215800</v>
      </c>
      <c r="S1771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1" s="63">
        <f ca="1">IF(PROVEEDORES[[#This Row],[FECHA DE PAGO]]=0,TODAY()-PROVEEDORES[[#This Row],[FECHA DE FACTURACIÓN]]-PROVEEDORES[[#This Row],[PLAZO Días]],0)</f>
        <v>0</v>
      </c>
      <c r="U1771" s="104">
        <f>+VLOOKUP(PROVEEDORES[[#This Row],[PROVEEDOR]],Terceros!$A:$D,4,FALSE)</f>
        <v>0</v>
      </c>
      <c r="V1771" s="105">
        <f>+YEAR(PROVEEDORES[[#This Row],[FECHA DE FACTURACIÓN]])</f>
        <v>2023</v>
      </c>
      <c r="W1771" s="105">
        <f>+MATCH(PROVEEDORES[[#This Row],[año facturado]],Retenciones!$1:$1,0)</f>
        <v>6</v>
      </c>
      <c r="X1771" s="106">
        <f>+VLOOKUP(PROVEEDORES[[#This Row],[ID RETENCION]],Retenciones!$A$1:$O$25,PROVEEDORES[[#This Row],[indicador de columna]],FALSE)</f>
        <v>0</v>
      </c>
      <c r="Y1771" s="107">
        <f>+VLOOKUP(PROVEEDORES[[#This Row],[ID RETENCION]],Retenciones!$A$1:$O$25,2,FALSE)</f>
        <v>0</v>
      </c>
      <c r="Z1771" s="116" t="b">
        <f>OR(COUNTIF(PROVEEDORES[[#This Row],[PROVEEDOR]],"*"&amp;'Palabra no opera'!$A$2&amp;"*"))</f>
        <v>0</v>
      </c>
    </row>
    <row r="1772" spans="1:26" ht="22.35" customHeight="1" x14ac:dyDescent="0.3">
      <c r="A1772" s="333" t="str">
        <f>+IF(PROVEEDORES[[#This Row],[FECHA DE PAGO]]=PROVEEDORES[[#This Row],[FECHA DE FACTURACIÓN]],"DE CONTADO","CRÉDITO")</f>
        <v>CRÉDITO</v>
      </c>
      <c r="B1772" s="38" t="b">
        <f>+IF((PROVEEDORES[[#This Row],[FECHA DE PAGO]]-PROVEEDORES[[#This Row],[FECHA DE FACTURACIÓN]])&gt;PROVEEDORES[[#This Row],[PLAZO Días]],"PAGO VENCIDO")</f>
        <v>0</v>
      </c>
      <c r="C1772" s="20">
        <f>+VLOOKUP(PROVEEDORES[[#This Row],[PROVEEDOR]],TERCEROS_INFO[#All],2,FALSE)</f>
        <v>60</v>
      </c>
      <c r="D1772" s="25">
        <f>+SUMIFS(PROVEEDORES[Total],PROVEEDORES[PROVEEDOR],PROVEEDORES[[#This Row],[PROVEEDOR]],PROVEEDORES[FECHA DE PAGO],"")</f>
        <v>395600</v>
      </c>
      <c r="E1772" s="25"/>
      <c r="F177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2" s="68">
        <v>45152</v>
      </c>
      <c r="H1772" s="26" t="s">
        <v>287</v>
      </c>
      <c r="I1772" s="68">
        <v>45124</v>
      </c>
      <c r="J1772" s="35">
        <v>1731</v>
      </c>
      <c r="K1772" s="21">
        <v>315400</v>
      </c>
      <c r="L1772" s="21"/>
      <c r="M1772" s="22">
        <f>(PROVEEDORES[[#This Row],[SUBTOTAL]]-PROVEEDORES[[#This Row],[descuento sobre subtotal]])*VLOOKUP(PROVEEDORES[[#This Row],[PROVEEDOR]],TERCEROS_INFO[#All],3,FALSE)</f>
        <v>0</v>
      </c>
      <c r="N1772" s="23"/>
      <c r="O1772" s="22">
        <f>+PROVEEDORES[[#This Row],[Descuento sobre subtotal %]]*(PROVEEDORES[[#This Row],[SUBTOTAL]]-PROVEEDORES[[#This Row],[descuento sobre subtotal]])</f>
        <v>0</v>
      </c>
      <c r="P1772" s="74">
        <f>+IF(PROVEEDORES[[#This Row],[SUBTOTAL]]&lt;PROVEEDORES[[#This Row],[base retencion]],0,PROVEEDORES[[#This Row],[retención aplicada]])</f>
        <v>0</v>
      </c>
      <c r="Q1772" s="22">
        <f>+PROVEEDORES[[#This Row],[Rete Fuente %]]*(PROVEEDORES[[#This Row],[SUBTOTAL]]-PROVEEDORES[[#This Row],[descuento sobre subtotal]])</f>
        <v>0</v>
      </c>
      <c r="R1772" s="21">
        <f>+PROVEEDORES[[#This Row],[SUBTOTAL]]+PROVEEDORES[[#This Row],[IVA 19%]]-PROVEEDORES[[#This Row],[descuento sobre subtotal]]-PROVEEDORES[[#This Row],[Descuento sobre subtotal $2]]-PROVEEDORES[[#This Row],[Rete Fuente $]]</f>
        <v>315400</v>
      </c>
      <c r="S1772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2" s="63">
        <f ca="1">IF(PROVEEDORES[[#This Row],[FECHA DE PAGO]]=0,TODAY()-PROVEEDORES[[#This Row],[FECHA DE FACTURACIÓN]]-PROVEEDORES[[#This Row],[PLAZO Días]],0)</f>
        <v>0</v>
      </c>
      <c r="U1772" s="104">
        <f>+VLOOKUP(PROVEEDORES[[#This Row],[PROVEEDOR]],Terceros!$A:$D,4,FALSE)</f>
        <v>0</v>
      </c>
      <c r="V1772" s="105">
        <f>+YEAR(PROVEEDORES[[#This Row],[FECHA DE FACTURACIÓN]])</f>
        <v>2023</v>
      </c>
      <c r="W1772" s="105">
        <f>+MATCH(PROVEEDORES[[#This Row],[año facturado]],Retenciones!$1:$1,0)</f>
        <v>6</v>
      </c>
      <c r="X1772" s="106">
        <f>+VLOOKUP(PROVEEDORES[[#This Row],[ID RETENCION]],Retenciones!$A$1:$O$25,PROVEEDORES[[#This Row],[indicador de columna]],FALSE)</f>
        <v>0</v>
      </c>
      <c r="Y1772" s="107">
        <f>+VLOOKUP(PROVEEDORES[[#This Row],[ID RETENCION]],Retenciones!$A$1:$O$25,2,FALSE)</f>
        <v>0</v>
      </c>
      <c r="Z1772" s="116" t="b">
        <f>OR(COUNTIF(PROVEEDORES[[#This Row],[PROVEEDOR]],"*"&amp;'Palabra no opera'!$A$2&amp;"*"))</f>
        <v>0</v>
      </c>
    </row>
    <row r="1773" spans="1:26" ht="22.35" customHeight="1" x14ac:dyDescent="0.3">
      <c r="A1773" s="333" t="str">
        <f>+IF(PROVEEDORES[[#This Row],[FECHA DE PAGO]]=PROVEEDORES[[#This Row],[FECHA DE FACTURACIÓN]],"DE CONTADO","CRÉDITO")</f>
        <v>CRÉDITO</v>
      </c>
      <c r="B1773" s="38" t="b">
        <f>+IF((PROVEEDORES[[#This Row],[FECHA DE PAGO]]-PROVEEDORES[[#This Row],[FECHA DE FACTURACIÓN]])&gt;PROVEEDORES[[#This Row],[PLAZO Días]],"PAGO VENCIDO")</f>
        <v>0</v>
      </c>
      <c r="C1773" s="20">
        <f>+VLOOKUP(PROVEEDORES[[#This Row],[PROVEEDOR]],TERCEROS_INFO[#All],2,FALSE)</f>
        <v>60</v>
      </c>
      <c r="D1773" s="25">
        <f>+SUMIFS(PROVEEDORES[Total],PROVEEDORES[PROVEEDOR],PROVEEDORES[[#This Row],[PROVEEDOR]],PROVEEDORES[FECHA DE PAGO],"")</f>
        <v>395600</v>
      </c>
      <c r="E1773" s="25"/>
      <c r="F177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3" s="68">
        <v>45152</v>
      </c>
      <c r="H1773" s="26" t="s">
        <v>287</v>
      </c>
      <c r="I1773" s="68">
        <v>45124</v>
      </c>
      <c r="J1773" s="35">
        <v>1732</v>
      </c>
      <c r="K1773" s="21">
        <v>232400</v>
      </c>
      <c r="L1773" s="21"/>
      <c r="M1773" s="22">
        <f>(PROVEEDORES[[#This Row],[SUBTOTAL]]-PROVEEDORES[[#This Row],[descuento sobre subtotal]])*VLOOKUP(PROVEEDORES[[#This Row],[PROVEEDOR]],TERCEROS_INFO[#All],3,FALSE)</f>
        <v>0</v>
      </c>
      <c r="N1773" s="23"/>
      <c r="O1773" s="22">
        <f>+PROVEEDORES[[#This Row],[Descuento sobre subtotal %]]*(PROVEEDORES[[#This Row],[SUBTOTAL]]-PROVEEDORES[[#This Row],[descuento sobre subtotal]])</f>
        <v>0</v>
      </c>
      <c r="P1773" s="74">
        <f>+IF(PROVEEDORES[[#This Row],[SUBTOTAL]]&lt;PROVEEDORES[[#This Row],[base retencion]],0,PROVEEDORES[[#This Row],[retención aplicada]])</f>
        <v>0</v>
      </c>
      <c r="Q1773" s="22">
        <f>+PROVEEDORES[[#This Row],[Rete Fuente %]]*(PROVEEDORES[[#This Row],[SUBTOTAL]]-PROVEEDORES[[#This Row],[descuento sobre subtotal]])</f>
        <v>0</v>
      </c>
      <c r="R1773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1773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3" s="63">
        <f ca="1">IF(PROVEEDORES[[#This Row],[FECHA DE PAGO]]=0,TODAY()-PROVEEDORES[[#This Row],[FECHA DE FACTURACIÓN]]-PROVEEDORES[[#This Row],[PLAZO Días]],0)</f>
        <v>0</v>
      </c>
      <c r="U1773" s="104">
        <f>+VLOOKUP(PROVEEDORES[[#This Row],[PROVEEDOR]],Terceros!$A:$D,4,FALSE)</f>
        <v>0</v>
      </c>
      <c r="V1773" s="105">
        <f>+YEAR(PROVEEDORES[[#This Row],[FECHA DE FACTURACIÓN]])</f>
        <v>2023</v>
      </c>
      <c r="W1773" s="105">
        <f>+MATCH(PROVEEDORES[[#This Row],[año facturado]],Retenciones!$1:$1,0)</f>
        <v>6</v>
      </c>
      <c r="X1773" s="106">
        <f>+VLOOKUP(PROVEEDORES[[#This Row],[ID RETENCION]],Retenciones!$A$1:$O$25,PROVEEDORES[[#This Row],[indicador de columna]],FALSE)</f>
        <v>0</v>
      </c>
      <c r="Y1773" s="107">
        <f>+VLOOKUP(PROVEEDORES[[#This Row],[ID RETENCION]],Retenciones!$A$1:$O$25,2,FALSE)</f>
        <v>0</v>
      </c>
      <c r="Z1773" s="116" t="b">
        <f>OR(COUNTIF(PROVEEDORES[[#This Row],[PROVEEDOR]],"*"&amp;'Palabra no opera'!$A$2&amp;"*"))</f>
        <v>0</v>
      </c>
    </row>
    <row r="1774" spans="1:26" ht="22.35" customHeight="1" x14ac:dyDescent="0.3">
      <c r="A1774" s="333" t="str">
        <f>+IF(PROVEEDORES[[#This Row],[FECHA DE PAGO]]=PROVEEDORES[[#This Row],[FECHA DE FACTURACIÓN]],"DE CONTADO","CRÉDITO")</f>
        <v>CRÉDITO</v>
      </c>
      <c r="B1774" s="38" t="b">
        <f>+IF((PROVEEDORES[[#This Row],[FECHA DE PAGO]]-PROVEEDORES[[#This Row],[FECHA DE FACTURACIÓN]])&gt;PROVEEDORES[[#This Row],[PLAZO Días]],"PAGO VENCIDO")</f>
        <v>0</v>
      </c>
      <c r="C1774" s="20">
        <f>+VLOOKUP(PROVEEDORES[[#This Row],[PROVEEDOR]],TERCEROS_INFO[#All],2,FALSE)</f>
        <v>60</v>
      </c>
      <c r="D1774" s="25">
        <f>+SUMIFS(PROVEEDORES[Total],PROVEEDORES[PROVEEDOR],PROVEEDORES[[#This Row],[PROVEEDOR]],PROVEEDORES[FECHA DE PAGO],"")</f>
        <v>395600</v>
      </c>
      <c r="E1774" s="25"/>
      <c r="F177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4" s="68">
        <v>45152</v>
      </c>
      <c r="H1774" s="26" t="s">
        <v>287</v>
      </c>
      <c r="I1774" s="68">
        <v>45126</v>
      </c>
      <c r="J1774" s="35">
        <v>1735</v>
      </c>
      <c r="K1774" s="21">
        <v>249000</v>
      </c>
      <c r="L1774" s="21"/>
      <c r="M1774" s="22">
        <f>(PROVEEDORES[[#This Row],[SUBTOTAL]]-PROVEEDORES[[#This Row],[descuento sobre subtotal]])*VLOOKUP(PROVEEDORES[[#This Row],[PROVEEDOR]],TERCEROS_INFO[#All],3,FALSE)</f>
        <v>0</v>
      </c>
      <c r="N1774" s="23"/>
      <c r="O1774" s="22">
        <f>+PROVEEDORES[[#This Row],[Descuento sobre subtotal %]]*(PROVEEDORES[[#This Row],[SUBTOTAL]]-PROVEEDORES[[#This Row],[descuento sobre subtotal]])</f>
        <v>0</v>
      </c>
      <c r="P1774" s="74">
        <f>+IF(PROVEEDORES[[#This Row],[SUBTOTAL]]&lt;PROVEEDORES[[#This Row],[base retencion]],0,PROVEEDORES[[#This Row],[retención aplicada]])</f>
        <v>0</v>
      </c>
      <c r="Q1774" s="22">
        <f>+PROVEEDORES[[#This Row],[Rete Fuente %]]*(PROVEEDORES[[#This Row],[SUBTOTAL]]-PROVEEDORES[[#This Row],[descuento sobre subtotal]])</f>
        <v>0</v>
      </c>
      <c r="R1774" s="21">
        <f>+PROVEEDORES[[#This Row],[SUBTOTAL]]+PROVEEDORES[[#This Row],[IVA 19%]]-PROVEEDORES[[#This Row],[descuento sobre subtotal]]-PROVEEDORES[[#This Row],[Descuento sobre subtotal $2]]-PROVEEDORES[[#This Row],[Rete Fuente $]]</f>
        <v>249000</v>
      </c>
      <c r="S1774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4" s="63">
        <f ca="1">IF(PROVEEDORES[[#This Row],[FECHA DE PAGO]]=0,TODAY()-PROVEEDORES[[#This Row],[FECHA DE FACTURACIÓN]]-PROVEEDORES[[#This Row],[PLAZO Días]],0)</f>
        <v>0</v>
      </c>
      <c r="U1774" s="104">
        <f>+VLOOKUP(PROVEEDORES[[#This Row],[PROVEEDOR]],Terceros!$A:$D,4,FALSE)</f>
        <v>0</v>
      </c>
      <c r="V1774" s="105">
        <f>+YEAR(PROVEEDORES[[#This Row],[FECHA DE FACTURACIÓN]])</f>
        <v>2023</v>
      </c>
      <c r="W1774" s="105">
        <f>+MATCH(PROVEEDORES[[#This Row],[año facturado]],Retenciones!$1:$1,0)</f>
        <v>6</v>
      </c>
      <c r="X1774" s="106">
        <f>+VLOOKUP(PROVEEDORES[[#This Row],[ID RETENCION]],Retenciones!$A$1:$O$25,PROVEEDORES[[#This Row],[indicador de columna]],FALSE)</f>
        <v>0</v>
      </c>
      <c r="Y1774" s="107">
        <f>+VLOOKUP(PROVEEDORES[[#This Row],[ID RETENCION]],Retenciones!$A$1:$O$25,2,FALSE)</f>
        <v>0</v>
      </c>
      <c r="Z1774" s="116" t="b">
        <f>OR(COUNTIF(PROVEEDORES[[#This Row],[PROVEEDOR]],"*"&amp;'Palabra no opera'!$A$2&amp;"*"))</f>
        <v>0</v>
      </c>
    </row>
    <row r="1775" spans="1:26" ht="22.35" customHeight="1" x14ac:dyDescent="0.3">
      <c r="A1775" s="333" t="str">
        <f>+IF(PROVEEDORES[[#This Row],[FECHA DE PAGO]]=PROVEEDORES[[#This Row],[FECHA DE FACTURACIÓN]],"DE CONTADO","CRÉDITO")</f>
        <v>CRÉDITO</v>
      </c>
      <c r="B1775" s="38" t="b">
        <f>+IF((PROVEEDORES[[#This Row],[FECHA DE PAGO]]-PROVEEDORES[[#This Row],[FECHA DE FACTURACIÓN]])&gt;PROVEEDORES[[#This Row],[PLAZO Días]],"PAGO VENCIDO")</f>
        <v>0</v>
      </c>
      <c r="C1775" s="20">
        <f>+VLOOKUP(PROVEEDORES[[#This Row],[PROVEEDOR]],TERCEROS_INFO[#All],2,FALSE)</f>
        <v>60</v>
      </c>
      <c r="D1775" s="25">
        <f>+SUMIFS(PROVEEDORES[Total],PROVEEDORES[PROVEEDOR],PROVEEDORES[[#This Row],[PROVEEDOR]],PROVEEDORES[FECHA DE PAGO],"")</f>
        <v>395600</v>
      </c>
      <c r="E1775" s="25"/>
      <c r="F177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5" s="68">
        <v>45152</v>
      </c>
      <c r="H1775" s="26" t="s">
        <v>287</v>
      </c>
      <c r="I1775" s="68">
        <v>45126</v>
      </c>
      <c r="J1775" s="35">
        <v>1736</v>
      </c>
      <c r="K1775" s="21">
        <v>232400</v>
      </c>
      <c r="L1775" s="21"/>
      <c r="M1775" s="22">
        <f>(PROVEEDORES[[#This Row],[SUBTOTAL]]-PROVEEDORES[[#This Row],[descuento sobre subtotal]])*VLOOKUP(PROVEEDORES[[#This Row],[PROVEEDOR]],TERCEROS_INFO[#All],3,FALSE)</f>
        <v>0</v>
      </c>
      <c r="N1775" s="23"/>
      <c r="O1775" s="22">
        <f>+PROVEEDORES[[#This Row],[Descuento sobre subtotal %]]*(PROVEEDORES[[#This Row],[SUBTOTAL]]-PROVEEDORES[[#This Row],[descuento sobre subtotal]])</f>
        <v>0</v>
      </c>
      <c r="P1775" s="74">
        <f>+IF(PROVEEDORES[[#This Row],[SUBTOTAL]]&lt;PROVEEDORES[[#This Row],[base retencion]],0,PROVEEDORES[[#This Row],[retención aplicada]])</f>
        <v>0</v>
      </c>
      <c r="Q1775" s="22">
        <f>+PROVEEDORES[[#This Row],[Rete Fuente %]]*(PROVEEDORES[[#This Row],[SUBTOTAL]]-PROVEEDORES[[#This Row],[descuento sobre subtotal]])</f>
        <v>0</v>
      </c>
      <c r="R1775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1775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5" s="63">
        <f ca="1">IF(PROVEEDORES[[#This Row],[FECHA DE PAGO]]=0,TODAY()-PROVEEDORES[[#This Row],[FECHA DE FACTURACIÓN]]-PROVEEDORES[[#This Row],[PLAZO Días]],0)</f>
        <v>0</v>
      </c>
      <c r="U1775" s="104">
        <f>+VLOOKUP(PROVEEDORES[[#This Row],[PROVEEDOR]],Terceros!$A:$D,4,FALSE)</f>
        <v>0</v>
      </c>
      <c r="V1775" s="105">
        <f>+YEAR(PROVEEDORES[[#This Row],[FECHA DE FACTURACIÓN]])</f>
        <v>2023</v>
      </c>
      <c r="W1775" s="105">
        <f>+MATCH(PROVEEDORES[[#This Row],[año facturado]],Retenciones!$1:$1,0)</f>
        <v>6</v>
      </c>
      <c r="X1775" s="106">
        <f>+VLOOKUP(PROVEEDORES[[#This Row],[ID RETENCION]],Retenciones!$A$1:$O$25,PROVEEDORES[[#This Row],[indicador de columna]],FALSE)</f>
        <v>0</v>
      </c>
      <c r="Y1775" s="107">
        <f>+VLOOKUP(PROVEEDORES[[#This Row],[ID RETENCION]],Retenciones!$A$1:$O$25,2,FALSE)</f>
        <v>0</v>
      </c>
      <c r="Z1775" s="116" t="b">
        <f>OR(COUNTIF(PROVEEDORES[[#This Row],[PROVEEDOR]],"*"&amp;'Palabra no opera'!$A$2&amp;"*"))</f>
        <v>0</v>
      </c>
    </row>
    <row r="1776" spans="1:26" ht="22.35" customHeight="1" x14ac:dyDescent="0.3">
      <c r="A1776" s="333" t="str">
        <f>+IF(PROVEEDORES[[#This Row],[FECHA DE PAGO]]=PROVEEDORES[[#This Row],[FECHA DE FACTURACIÓN]],"DE CONTADO","CRÉDITO")</f>
        <v>CRÉDITO</v>
      </c>
      <c r="B1776" s="38" t="b">
        <f>+IF((PROVEEDORES[[#This Row],[FECHA DE PAGO]]-PROVEEDORES[[#This Row],[FECHA DE FACTURACIÓN]])&gt;PROVEEDORES[[#This Row],[PLAZO Días]],"PAGO VENCIDO")</f>
        <v>0</v>
      </c>
      <c r="C1776" s="20">
        <f>+VLOOKUP(PROVEEDORES[[#This Row],[PROVEEDOR]],TERCEROS_INFO[#All],2,FALSE)</f>
        <v>60</v>
      </c>
      <c r="D1776" s="25">
        <f>+SUMIFS(PROVEEDORES[Total],PROVEEDORES[PROVEEDOR],PROVEEDORES[[#This Row],[PROVEEDOR]],PROVEEDORES[FECHA DE PAGO],"")</f>
        <v>395600</v>
      </c>
      <c r="E1776" s="25"/>
      <c r="F177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6" s="68">
        <v>45152</v>
      </c>
      <c r="H1776" s="26" t="s">
        <v>287</v>
      </c>
      <c r="I1776" s="68">
        <v>45126</v>
      </c>
      <c r="J1776" s="35">
        <v>1737</v>
      </c>
      <c r="K1776" s="21">
        <v>232400</v>
      </c>
      <c r="L1776" s="21"/>
      <c r="M1776" s="22">
        <f>(PROVEEDORES[[#This Row],[SUBTOTAL]]-PROVEEDORES[[#This Row],[descuento sobre subtotal]])*VLOOKUP(PROVEEDORES[[#This Row],[PROVEEDOR]],TERCEROS_INFO[#All],3,FALSE)</f>
        <v>0</v>
      </c>
      <c r="N1776" s="23"/>
      <c r="O1776" s="22">
        <f>+PROVEEDORES[[#This Row],[Descuento sobre subtotal %]]*(PROVEEDORES[[#This Row],[SUBTOTAL]]-PROVEEDORES[[#This Row],[descuento sobre subtotal]])</f>
        <v>0</v>
      </c>
      <c r="P1776" s="74">
        <f>+IF(PROVEEDORES[[#This Row],[SUBTOTAL]]&lt;PROVEEDORES[[#This Row],[base retencion]],0,PROVEEDORES[[#This Row],[retención aplicada]])</f>
        <v>0</v>
      </c>
      <c r="Q1776" s="22">
        <f>+PROVEEDORES[[#This Row],[Rete Fuente %]]*(PROVEEDORES[[#This Row],[SUBTOTAL]]-PROVEEDORES[[#This Row],[descuento sobre subtotal]])</f>
        <v>0</v>
      </c>
      <c r="R1776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1776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6" s="63">
        <f ca="1">IF(PROVEEDORES[[#This Row],[FECHA DE PAGO]]=0,TODAY()-PROVEEDORES[[#This Row],[FECHA DE FACTURACIÓN]]-PROVEEDORES[[#This Row],[PLAZO Días]],0)</f>
        <v>0</v>
      </c>
      <c r="U1776" s="104">
        <f>+VLOOKUP(PROVEEDORES[[#This Row],[PROVEEDOR]],Terceros!$A:$D,4,FALSE)</f>
        <v>0</v>
      </c>
      <c r="V1776" s="105">
        <f>+YEAR(PROVEEDORES[[#This Row],[FECHA DE FACTURACIÓN]])</f>
        <v>2023</v>
      </c>
      <c r="W1776" s="105">
        <f>+MATCH(PROVEEDORES[[#This Row],[año facturado]],Retenciones!$1:$1,0)</f>
        <v>6</v>
      </c>
      <c r="X1776" s="106">
        <f>+VLOOKUP(PROVEEDORES[[#This Row],[ID RETENCION]],Retenciones!$A$1:$O$25,PROVEEDORES[[#This Row],[indicador de columna]],FALSE)</f>
        <v>0</v>
      </c>
      <c r="Y1776" s="107">
        <f>+VLOOKUP(PROVEEDORES[[#This Row],[ID RETENCION]],Retenciones!$A$1:$O$25,2,FALSE)</f>
        <v>0</v>
      </c>
      <c r="Z1776" s="116" t="b">
        <f>OR(COUNTIF(PROVEEDORES[[#This Row],[PROVEEDOR]],"*"&amp;'Palabra no opera'!$A$2&amp;"*"))</f>
        <v>0</v>
      </c>
    </row>
    <row r="1777" spans="1:26" ht="22.35" customHeight="1" x14ac:dyDescent="0.3">
      <c r="A1777" s="333" t="str">
        <f>+IF(PROVEEDORES[[#This Row],[FECHA DE PAGO]]=PROVEEDORES[[#This Row],[FECHA DE FACTURACIÓN]],"DE CONTADO","CRÉDITO")</f>
        <v>CRÉDITO</v>
      </c>
      <c r="B1777" s="38" t="b">
        <f>+IF((PROVEEDORES[[#This Row],[FECHA DE PAGO]]-PROVEEDORES[[#This Row],[FECHA DE FACTURACIÓN]])&gt;PROVEEDORES[[#This Row],[PLAZO Días]],"PAGO VENCIDO")</f>
        <v>0</v>
      </c>
      <c r="C1777" s="20">
        <f>+VLOOKUP(PROVEEDORES[[#This Row],[PROVEEDOR]],TERCEROS_INFO[#All],2,FALSE)</f>
        <v>60</v>
      </c>
      <c r="D1777" s="25">
        <f>+SUMIFS(PROVEEDORES[Total],PROVEEDORES[PROVEEDOR],PROVEEDORES[[#This Row],[PROVEEDOR]],PROVEEDORES[FECHA DE PAGO],"")</f>
        <v>395600</v>
      </c>
      <c r="E1777" s="25"/>
      <c r="F177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7" s="68">
        <v>45152</v>
      </c>
      <c r="H1777" s="26" t="s">
        <v>287</v>
      </c>
      <c r="I1777" s="68">
        <v>45126</v>
      </c>
      <c r="J1777" s="35">
        <v>1738</v>
      </c>
      <c r="K1777" s="21">
        <v>232400</v>
      </c>
      <c r="L1777" s="21"/>
      <c r="M1777" s="22">
        <f>(PROVEEDORES[[#This Row],[SUBTOTAL]]-PROVEEDORES[[#This Row],[descuento sobre subtotal]])*VLOOKUP(PROVEEDORES[[#This Row],[PROVEEDOR]],TERCEROS_INFO[#All],3,FALSE)</f>
        <v>0</v>
      </c>
      <c r="N1777" s="23"/>
      <c r="O1777" s="22">
        <f>+PROVEEDORES[[#This Row],[Descuento sobre subtotal %]]*(PROVEEDORES[[#This Row],[SUBTOTAL]]-PROVEEDORES[[#This Row],[descuento sobre subtotal]])</f>
        <v>0</v>
      </c>
      <c r="P1777" s="74">
        <f>+IF(PROVEEDORES[[#This Row],[SUBTOTAL]]&lt;PROVEEDORES[[#This Row],[base retencion]],0,PROVEEDORES[[#This Row],[retención aplicada]])</f>
        <v>0</v>
      </c>
      <c r="Q1777" s="22">
        <f>+PROVEEDORES[[#This Row],[Rete Fuente %]]*(PROVEEDORES[[#This Row],[SUBTOTAL]]-PROVEEDORES[[#This Row],[descuento sobre subtotal]])</f>
        <v>0</v>
      </c>
      <c r="R1777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1777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7" s="63">
        <f ca="1">IF(PROVEEDORES[[#This Row],[FECHA DE PAGO]]=0,TODAY()-PROVEEDORES[[#This Row],[FECHA DE FACTURACIÓN]]-PROVEEDORES[[#This Row],[PLAZO Días]],0)</f>
        <v>0</v>
      </c>
      <c r="U1777" s="104">
        <f>+VLOOKUP(PROVEEDORES[[#This Row],[PROVEEDOR]],Terceros!$A:$D,4,FALSE)</f>
        <v>0</v>
      </c>
      <c r="V1777" s="105">
        <f>+YEAR(PROVEEDORES[[#This Row],[FECHA DE FACTURACIÓN]])</f>
        <v>2023</v>
      </c>
      <c r="W1777" s="105">
        <f>+MATCH(PROVEEDORES[[#This Row],[año facturado]],Retenciones!$1:$1,0)</f>
        <v>6</v>
      </c>
      <c r="X1777" s="106">
        <f>+VLOOKUP(PROVEEDORES[[#This Row],[ID RETENCION]],Retenciones!$A$1:$O$25,PROVEEDORES[[#This Row],[indicador de columna]],FALSE)</f>
        <v>0</v>
      </c>
      <c r="Y1777" s="107">
        <f>+VLOOKUP(PROVEEDORES[[#This Row],[ID RETENCION]],Retenciones!$A$1:$O$25,2,FALSE)</f>
        <v>0</v>
      </c>
      <c r="Z1777" s="116" t="b">
        <f>OR(COUNTIF(PROVEEDORES[[#This Row],[PROVEEDOR]],"*"&amp;'Palabra no opera'!$A$2&amp;"*"))</f>
        <v>0</v>
      </c>
    </row>
    <row r="1778" spans="1:26" ht="22.35" customHeight="1" x14ac:dyDescent="0.3">
      <c r="A1778" s="67" t="str">
        <f>+IF(PROVEEDORES[[#This Row],[FECHA DE PAGO]]=PROVEEDORES[[#This Row],[FECHA DE FACTURACIÓN]],"DE CONTADO","CRÉDITO")</f>
        <v>CRÉDITO</v>
      </c>
      <c r="B1778" s="38" t="b">
        <f>+IF((PROVEEDORES[[#This Row],[FECHA DE PAGO]]-PROVEEDORES[[#This Row],[FECHA DE FACTURACIÓN]])&gt;PROVEEDORES[[#This Row],[PLAZO Días]],"PAGO VENCIDO")</f>
        <v>0</v>
      </c>
      <c r="C1778" s="20">
        <f>+VLOOKUP(PROVEEDORES[[#This Row],[PROVEEDOR]],TERCEROS_INFO[#All],2,FALSE)</f>
        <v>60</v>
      </c>
      <c r="D1778" s="25">
        <f>+SUMIFS(PROVEEDORES[Total],PROVEEDORES[PROVEEDOR],PROVEEDORES[[#This Row],[PROVEEDOR]],PROVEEDORES[FECHA DE PAGO],"")</f>
        <v>395600</v>
      </c>
      <c r="E1778" s="25"/>
      <c r="F177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8" s="68">
        <v>45152</v>
      </c>
      <c r="H1778" s="26" t="s">
        <v>287</v>
      </c>
      <c r="I1778" s="68">
        <v>45134</v>
      </c>
      <c r="J1778" s="35">
        <v>1741</v>
      </c>
      <c r="K1778" s="21">
        <v>381800</v>
      </c>
      <c r="L1778" s="21"/>
      <c r="M1778" s="22">
        <f>(PROVEEDORES[[#This Row],[SUBTOTAL]]-PROVEEDORES[[#This Row],[descuento sobre subtotal]])*VLOOKUP(PROVEEDORES[[#This Row],[PROVEEDOR]],TERCEROS_INFO[#All],3,FALSE)</f>
        <v>0</v>
      </c>
      <c r="N1778" s="23"/>
      <c r="O1778" s="22">
        <f>+PROVEEDORES[[#This Row],[Descuento sobre subtotal %]]*(PROVEEDORES[[#This Row],[SUBTOTAL]]-PROVEEDORES[[#This Row],[descuento sobre subtotal]])</f>
        <v>0</v>
      </c>
      <c r="P1778" s="74">
        <f>+IF(PROVEEDORES[[#This Row],[SUBTOTAL]]&lt;PROVEEDORES[[#This Row],[base retencion]],0,PROVEEDORES[[#This Row],[retención aplicada]])</f>
        <v>0</v>
      </c>
      <c r="Q1778" s="22">
        <f>+PROVEEDORES[[#This Row],[Rete Fuente %]]*(PROVEEDORES[[#This Row],[SUBTOTAL]]-PROVEEDORES[[#This Row],[descuento sobre subtotal]])</f>
        <v>0</v>
      </c>
      <c r="R1778" s="21">
        <f>+PROVEEDORES[[#This Row],[SUBTOTAL]]+PROVEEDORES[[#This Row],[IVA 19%]]-PROVEEDORES[[#This Row],[descuento sobre subtotal]]-PROVEEDORES[[#This Row],[Descuento sobre subtotal $2]]-PROVEEDORES[[#This Row],[Rete Fuente $]]</f>
        <v>381800</v>
      </c>
      <c r="S17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8" s="63">
        <f ca="1">IF(PROVEEDORES[[#This Row],[FECHA DE PAGO]]=0,TODAY()-PROVEEDORES[[#This Row],[FECHA DE FACTURACIÓN]]-PROVEEDORES[[#This Row],[PLAZO Días]],0)</f>
        <v>0</v>
      </c>
      <c r="U1778" s="104">
        <f>+VLOOKUP(PROVEEDORES[[#This Row],[PROVEEDOR]],Terceros!$A:$D,4,FALSE)</f>
        <v>0</v>
      </c>
      <c r="V1778" s="105">
        <f>+YEAR(PROVEEDORES[[#This Row],[FECHA DE FACTURACIÓN]])</f>
        <v>2023</v>
      </c>
      <c r="W1778" s="105">
        <f>+MATCH(PROVEEDORES[[#This Row],[año facturado]],Retenciones!$1:$1,0)</f>
        <v>6</v>
      </c>
      <c r="X1778" s="106">
        <f>+VLOOKUP(PROVEEDORES[[#This Row],[ID RETENCION]],Retenciones!$A$1:$O$25,PROVEEDORES[[#This Row],[indicador de columna]],FALSE)</f>
        <v>0</v>
      </c>
      <c r="Y1778" s="107">
        <f>+VLOOKUP(PROVEEDORES[[#This Row],[ID RETENCION]],Retenciones!$A$1:$O$25,2,FALSE)</f>
        <v>0</v>
      </c>
      <c r="Z1778" s="116" t="b">
        <f>OR(COUNTIF(PROVEEDORES[[#This Row],[PROVEEDOR]],"*"&amp;'Palabra no opera'!$A$2&amp;"*"))</f>
        <v>0</v>
      </c>
    </row>
    <row r="1779" spans="1:26" ht="22.35" customHeight="1" x14ac:dyDescent="0.3">
      <c r="A1779" s="67" t="str">
        <f>+IF(PROVEEDORES[[#This Row],[FECHA DE PAGO]]=PROVEEDORES[[#This Row],[FECHA DE FACTURACIÓN]],"DE CONTADO","CRÉDITO")</f>
        <v>CRÉDITO</v>
      </c>
      <c r="B1779" s="38" t="b">
        <f>+IF((PROVEEDORES[[#This Row],[FECHA DE PAGO]]-PROVEEDORES[[#This Row],[FECHA DE FACTURACIÓN]])&gt;PROVEEDORES[[#This Row],[PLAZO Días]],"PAGO VENCIDO")</f>
        <v>0</v>
      </c>
      <c r="C1779" s="20">
        <f>+VLOOKUP(PROVEEDORES[[#This Row],[PROVEEDOR]],TERCEROS_INFO[#All],2,FALSE)</f>
        <v>60</v>
      </c>
      <c r="D1779" s="25">
        <f>+SUMIFS(PROVEEDORES[Total],PROVEEDORES[PROVEEDOR],PROVEEDORES[[#This Row],[PROVEEDOR]],PROVEEDORES[FECHA DE PAGO],"")</f>
        <v>395600</v>
      </c>
      <c r="E1779" s="25"/>
      <c r="F177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79" s="68">
        <v>45152</v>
      </c>
      <c r="H1779" s="342" t="s">
        <v>287</v>
      </c>
      <c r="I1779" s="68">
        <v>45134</v>
      </c>
      <c r="J1779" s="35">
        <v>1742</v>
      </c>
      <c r="K1779" s="21">
        <v>381800</v>
      </c>
      <c r="L1779" s="21"/>
      <c r="M1779" s="22">
        <f>(PROVEEDORES[[#This Row],[SUBTOTAL]]-PROVEEDORES[[#This Row],[descuento sobre subtotal]])*VLOOKUP(PROVEEDORES[[#This Row],[PROVEEDOR]],TERCEROS_INFO[#All],3,FALSE)</f>
        <v>0</v>
      </c>
      <c r="N1779" s="23"/>
      <c r="O1779" s="22">
        <f>+PROVEEDORES[[#This Row],[Descuento sobre subtotal %]]*(PROVEEDORES[[#This Row],[SUBTOTAL]]-PROVEEDORES[[#This Row],[descuento sobre subtotal]])</f>
        <v>0</v>
      </c>
      <c r="P1779" s="74">
        <f>+IF(PROVEEDORES[[#This Row],[SUBTOTAL]]&lt;PROVEEDORES[[#This Row],[base retencion]],0,PROVEEDORES[[#This Row],[retención aplicada]])</f>
        <v>0</v>
      </c>
      <c r="Q1779" s="22">
        <f>+PROVEEDORES[[#This Row],[Rete Fuente %]]*(PROVEEDORES[[#This Row],[SUBTOTAL]]-PROVEEDORES[[#This Row],[descuento sobre subtotal]])</f>
        <v>0</v>
      </c>
      <c r="R1779" s="21">
        <f>+PROVEEDORES[[#This Row],[SUBTOTAL]]+PROVEEDORES[[#This Row],[IVA 19%]]-PROVEEDORES[[#This Row],[descuento sobre subtotal]]-PROVEEDORES[[#This Row],[Descuento sobre subtotal $2]]-PROVEEDORES[[#This Row],[Rete Fuente $]]</f>
        <v>381800</v>
      </c>
      <c r="S17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9" s="63">
        <f ca="1">IF(PROVEEDORES[[#This Row],[FECHA DE PAGO]]=0,TODAY()-PROVEEDORES[[#This Row],[FECHA DE FACTURACIÓN]]-PROVEEDORES[[#This Row],[PLAZO Días]],0)</f>
        <v>0</v>
      </c>
      <c r="U1779" s="104">
        <f>+VLOOKUP(PROVEEDORES[[#This Row],[PROVEEDOR]],Terceros!$A:$D,4,FALSE)</f>
        <v>0</v>
      </c>
      <c r="V1779" s="105">
        <f>+YEAR(PROVEEDORES[[#This Row],[FECHA DE FACTURACIÓN]])</f>
        <v>2023</v>
      </c>
      <c r="W1779" s="105">
        <f>+MATCH(PROVEEDORES[[#This Row],[año facturado]],Retenciones!$1:$1,0)</f>
        <v>6</v>
      </c>
      <c r="X1779" s="106">
        <f>+VLOOKUP(PROVEEDORES[[#This Row],[ID RETENCION]],Retenciones!$A$1:$O$25,PROVEEDORES[[#This Row],[indicador de columna]],FALSE)</f>
        <v>0</v>
      </c>
      <c r="Y1779" s="107">
        <f>+VLOOKUP(PROVEEDORES[[#This Row],[ID RETENCION]],Retenciones!$A$1:$O$25,2,FALSE)</f>
        <v>0</v>
      </c>
      <c r="Z1779" s="116" t="b">
        <f>OR(COUNTIF(PROVEEDORES[[#This Row],[PROVEEDOR]],"*"&amp;'Palabra no opera'!$A$2&amp;"*"))</f>
        <v>0</v>
      </c>
    </row>
    <row r="1780" spans="1:26" ht="22.35" customHeight="1" x14ac:dyDescent="0.3">
      <c r="A1780" s="67" t="str">
        <f>+IF(PROVEEDORES[[#This Row],[FECHA DE PAGO]]=PROVEEDORES[[#This Row],[FECHA DE FACTURACIÓN]],"DE CONTADO","CRÉDITO")</f>
        <v>CRÉDITO</v>
      </c>
      <c r="B1780" s="38" t="b">
        <f>+IF((PROVEEDORES[[#This Row],[FECHA DE PAGO]]-PROVEEDORES[[#This Row],[FECHA DE FACTURACIÓN]])&gt;PROVEEDORES[[#This Row],[PLAZO Días]],"PAGO VENCIDO")</f>
        <v>0</v>
      </c>
      <c r="C1780" s="20">
        <f>+VLOOKUP(PROVEEDORES[[#This Row],[PROVEEDOR]],TERCEROS_INFO[#All],2,FALSE)</f>
        <v>60</v>
      </c>
      <c r="D1780" s="25">
        <f>+SUMIFS(PROVEEDORES[Total],PROVEEDORES[PROVEEDOR],PROVEEDORES[[#This Row],[PROVEEDOR]],PROVEEDORES[FECHA DE PAGO],"")</f>
        <v>395600</v>
      </c>
      <c r="E1780" s="25"/>
      <c r="F178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0" s="68">
        <v>45152</v>
      </c>
      <c r="H1780" s="26" t="s">
        <v>287</v>
      </c>
      <c r="I1780" s="68">
        <v>45134</v>
      </c>
      <c r="J1780" s="35">
        <v>1743</v>
      </c>
      <c r="K1780" s="21">
        <v>166000</v>
      </c>
      <c r="L1780" s="21"/>
      <c r="M1780" s="22">
        <f>(PROVEEDORES[[#This Row],[SUBTOTAL]]-PROVEEDORES[[#This Row],[descuento sobre subtotal]])*VLOOKUP(PROVEEDORES[[#This Row],[PROVEEDOR]],TERCEROS_INFO[#All],3,FALSE)</f>
        <v>0</v>
      </c>
      <c r="N1780" s="23"/>
      <c r="O1780" s="22">
        <f>+PROVEEDORES[[#This Row],[Descuento sobre subtotal %]]*(PROVEEDORES[[#This Row],[SUBTOTAL]]-PROVEEDORES[[#This Row],[descuento sobre subtotal]])</f>
        <v>0</v>
      </c>
      <c r="P1780" s="74">
        <f>+IF(PROVEEDORES[[#This Row],[SUBTOTAL]]&lt;PROVEEDORES[[#This Row],[base retencion]],0,PROVEEDORES[[#This Row],[retención aplicada]])</f>
        <v>0</v>
      </c>
      <c r="Q1780" s="22">
        <f>+PROVEEDORES[[#This Row],[Rete Fuente %]]*(PROVEEDORES[[#This Row],[SUBTOTAL]]-PROVEEDORES[[#This Row],[descuento sobre subtotal]])</f>
        <v>0</v>
      </c>
      <c r="R1780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7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0" s="63">
        <f ca="1">IF(PROVEEDORES[[#This Row],[FECHA DE PAGO]]=0,TODAY()-PROVEEDORES[[#This Row],[FECHA DE FACTURACIÓN]]-PROVEEDORES[[#This Row],[PLAZO Días]],0)</f>
        <v>0</v>
      </c>
      <c r="U1780" s="104">
        <f>+VLOOKUP(PROVEEDORES[[#This Row],[PROVEEDOR]],Terceros!$A:$D,4,FALSE)</f>
        <v>0</v>
      </c>
      <c r="V1780" s="105">
        <f>+YEAR(PROVEEDORES[[#This Row],[FECHA DE FACTURACIÓN]])</f>
        <v>2023</v>
      </c>
      <c r="W1780" s="105">
        <f>+MATCH(PROVEEDORES[[#This Row],[año facturado]],Retenciones!$1:$1,0)</f>
        <v>6</v>
      </c>
      <c r="X1780" s="106">
        <f>+VLOOKUP(PROVEEDORES[[#This Row],[ID RETENCION]],Retenciones!$A$1:$O$25,PROVEEDORES[[#This Row],[indicador de columna]],FALSE)</f>
        <v>0</v>
      </c>
      <c r="Y1780" s="107">
        <f>+VLOOKUP(PROVEEDORES[[#This Row],[ID RETENCION]],Retenciones!$A$1:$O$25,2,FALSE)</f>
        <v>0</v>
      </c>
      <c r="Z1780" s="116" t="b">
        <f>OR(COUNTIF(PROVEEDORES[[#This Row],[PROVEEDOR]],"*"&amp;'Palabra no opera'!$A$2&amp;"*"))</f>
        <v>0</v>
      </c>
    </row>
    <row r="1781" spans="1:26" ht="22.35" customHeight="1" x14ac:dyDescent="0.3">
      <c r="A1781" s="67" t="str">
        <f>+IF(PROVEEDORES[[#This Row],[FECHA DE PAGO]]=PROVEEDORES[[#This Row],[FECHA DE FACTURACIÓN]],"DE CONTADO","CRÉDITO")</f>
        <v>CRÉDITO</v>
      </c>
      <c r="B1781" s="38" t="b">
        <f>+IF((PROVEEDORES[[#This Row],[FECHA DE PAGO]]-PROVEEDORES[[#This Row],[FECHA DE FACTURACIÓN]])&gt;PROVEEDORES[[#This Row],[PLAZO Días]],"PAGO VENCIDO")</f>
        <v>0</v>
      </c>
      <c r="C1781" s="20">
        <f>+VLOOKUP(PROVEEDORES[[#This Row],[PROVEEDOR]],TERCEROS_INFO[#All],2,FALSE)</f>
        <v>60</v>
      </c>
      <c r="D1781" s="25">
        <f>+SUMIFS(PROVEEDORES[Total],PROVEEDORES[PROVEEDOR],PROVEEDORES[[#This Row],[PROVEEDOR]],PROVEEDORES[FECHA DE PAGO],"")</f>
        <v>395600</v>
      </c>
      <c r="E1781" s="25"/>
      <c r="F178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1" s="68">
        <v>45152</v>
      </c>
      <c r="H1781" s="26" t="s">
        <v>287</v>
      </c>
      <c r="I1781" s="68">
        <v>45134</v>
      </c>
      <c r="J1781" s="35">
        <v>1744</v>
      </c>
      <c r="K1781" s="21">
        <v>166000</v>
      </c>
      <c r="L1781" s="21"/>
      <c r="M1781" s="22">
        <f>(PROVEEDORES[[#This Row],[SUBTOTAL]]-PROVEEDORES[[#This Row],[descuento sobre subtotal]])*VLOOKUP(PROVEEDORES[[#This Row],[PROVEEDOR]],TERCEROS_INFO[#All],3,FALSE)</f>
        <v>0</v>
      </c>
      <c r="N1781" s="23"/>
      <c r="O1781" s="22">
        <f>+PROVEEDORES[[#This Row],[Descuento sobre subtotal %]]*(PROVEEDORES[[#This Row],[SUBTOTAL]]-PROVEEDORES[[#This Row],[descuento sobre subtotal]])</f>
        <v>0</v>
      </c>
      <c r="P1781" s="74">
        <f>+IF(PROVEEDORES[[#This Row],[SUBTOTAL]]&lt;PROVEEDORES[[#This Row],[base retencion]],0,PROVEEDORES[[#This Row],[retención aplicada]])</f>
        <v>0</v>
      </c>
      <c r="Q1781" s="22">
        <f>+PROVEEDORES[[#This Row],[Rete Fuente %]]*(PROVEEDORES[[#This Row],[SUBTOTAL]]-PROVEEDORES[[#This Row],[descuento sobre subtotal]])</f>
        <v>0</v>
      </c>
      <c r="R1781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7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1" s="63">
        <f ca="1">IF(PROVEEDORES[[#This Row],[FECHA DE PAGO]]=0,TODAY()-PROVEEDORES[[#This Row],[FECHA DE FACTURACIÓN]]-PROVEEDORES[[#This Row],[PLAZO Días]],0)</f>
        <v>0</v>
      </c>
      <c r="U1781" s="104">
        <f>+VLOOKUP(PROVEEDORES[[#This Row],[PROVEEDOR]],Terceros!$A:$D,4,FALSE)</f>
        <v>0</v>
      </c>
      <c r="V1781" s="105">
        <f>+YEAR(PROVEEDORES[[#This Row],[FECHA DE FACTURACIÓN]])</f>
        <v>2023</v>
      </c>
      <c r="W1781" s="105">
        <f>+MATCH(PROVEEDORES[[#This Row],[año facturado]],Retenciones!$1:$1,0)</f>
        <v>6</v>
      </c>
      <c r="X1781" s="106">
        <f>+VLOOKUP(PROVEEDORES[[#This Row],[ID RETENCION]],Retenciones!$A$1:$O$25,PROVEEDORES[[#This Row],[indicador de columna]],FALSE)</f>
        <v>0</v>
      </c>
      <c r="Y1781" s="107">
        <f>+VLOOKUP(PROVEEDORES[[#This Row],[ID RETENCION]],Retenciones!$A$1:$O$25,2,FALSE)</f>
        <v>0</v>
      </c>
      <c r="Z1781" s="116" t="b">
        <f>OR(COUNTIF(PROVEEDORES[[#This Row],[PROVEEDOR]],"*"&amp;'Palabra no opera'!$A$2&amp;"*"))</f>
        <v>0</v>
      </c>
    </row>
    <row r="1782" spans="1:26" ht="22.35" customHeight="1" x14ac:dyDescent="0.3">
      <c r="A1782" s="67" t="str">
        <f>+IF(PROVEEDORES[[#This Row],[FECHA DE PAGO]]=PROVEEDORES[[#This Row],[FECHA DE FACTURACIÓN]],"DE CONTADO","CRÉDITO")</f>
        <v>CRÉDITO</v>
      </c>
      <c r="B1782" s="38" t="b">
        <f>+IF((PROVEEDORES[[#This Row],[FECHA DE PAGO]]-PROVEEDORES[[#This Row],[FECHA DE FACTURACIÓN]])&gt;PROVEEDORES[[#This Row],[PLAZO Días]],"PAGO VENCIDO")</f>
        <v>0</v>
      </c>
      <c r="C1782" s="20">
        <f>+VLOOKUP(PROVEEDORES[[#This Row],[PROVEEDOR]],TERCEROS_INFO[#All],2,FALSE)</f>
        <v>60</v>
      </c>
      <c r="D1782" s="25">
        <f>+SUMIFS(PROVEEDORES[Total],PROVEEDORES[PROVEEDOR],PROVEEDORES[[#This Row],[PROVEEDOR]],PROVEEDORES[FECHA DE PAGO],"")</f>
        <v>395600</v>
      </c>
      <c r="E1782" s="25"/>
      <c r="F178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2" s="68">
        <v>45152</v>
      </c>
      <c r="H1782" s="26" t="s">
        <v>287</v>
      </c>
      <c r="I1782" s="68">
        <v>45207</v>
      </c>
      <c r="J1782" s="35">
        <v>1755</v>
      </c>
      <c r="K1782" s="21">
        <v>199200</v>
      </c>
      <c r="L1782" s="21"/>
      <c r="M1782" s="22">
        <f>(PROVEEDORES[[#This Row],[SUBTOTAL]]-PROVEEDORES[[#This Row],[descuento sobre subtotal]])*VLOOKUP(PROVEEDORES[[#This Row],[PROVEEDOR]],TERCEROS_INFO[#All],3,FALSE)</f>
        <v>0</v>
      </c>
      <c r="N1782" s="23"/>
      <c r="O1782" s="22">
        <f>+PROVEEDORES[[#This Row],[Descuento sobre subtotal %]]*(PROVEEDORES[[#This Row],[SUBTOTAL]]-PROVEEDORES[[#This Row],[descuento sobre subtotal]])</f>
        <v>0</v>
      </c>
      <c r="P1782" s="74">
        <f>+IF(PROVEEDORES[[#This Row],[SUBTOTAL]]&lt;PROVEEDORES[[#This Row],[base retencion]],0,PROVEEDORES[[#This Row],[retención aplicada]])</f>
        <v>0</v>
      </c>
      <c r="Q1782" s="22">
        <f>+PROVEEDORES[[#This Row],[Rete Fuente %]]*(PROVEEDORES[[#This Row],[SUBTOTAL]]-PROVEEDORES[[#This Row],[descuento sobre subtotal]])</f>
        <v>0</v>
      </c>
      <c r="R1782" s="21">
        <f>+PROVEEDORES[[#This Row],[SUBTOTAL]]+PROVEEDORES[[#This Row],[IVA 19%]]-PROVEEDORES[[#This Row],[descuento sobre subtotal]]-PROVEEDORES[[#This Row],[Descuento sobre subtotal $2]]-PROVEEDORES[[#This Row],[Rete Fuente $]]</f>
        <v>199200</v>
      </c>
      <c r="S17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2" s="63">
        <f ca="1">IF(PROVEEDORES[[#This Row],[FECHA DE PAGO]]=0,TODAY()-PROVEEDORES[[#This Row],[FECHA DE FACTURACIÓN]]-PROVEEDORES[[#This Row],[PLAZO Días]],0)</f>
        <v>0</v>
      </c>
      <c r="U1782" s="104">
        <f>+VLOOKUP(PROVEEDORES[[#This Row],[PROVEEDOR]],Terceros!$A:$D,4,FALSE)</f>
        <v>0</v>
      </c>
      <c r="V1782" s="105">
        <f>+YEAR(PROVEEDORES[[#This Row],[FECHA DE FACTURACIÓN]])</f>
        <v>2023</v>
      </c>
      <c r="W1782" s="105">
        <f>+MATCH(PROVEEDORES[[#This Row],[año facturado]],Retenciones!$1:$1,0)</f>
        <v>6</v>
      </c>
      <c r="X1782" s="106">
        <f>+VLOOKUP(PROVEEDORES[[#This Row],[ID RETENCION]],Retenciones!$A$1:$O$25,PROVEEDORES[[#This Row],[indicador de columna]],FALSE)</f>
        <v>0</v>
      </c>
      <c r="Y1782" s="107">
        <f>+VLOOKUP(PROVEEDORES[[#This Row],[ID RETENCION]],Retenciones!$A$1:$O$25,2,FALSE)</f>
        <v>0</v>
      </c>
      <c r="Z1782" s="116" t="b">
        <f>OR(COUNTIF(PROVEEDORES[[#This Row],[PROVEEDOR]],"*"&amp;'Palabra no opera'!$A$2&amp;"*"))</f>
        <v>0</v>
      </c>
    </row>
    <row r="1783" spans="1:26" ht="22.35" customHeight="1" x14ac:dyDescent="0.3">
      <c r="A1783" s="67" t="str">
        <f>+IF(PROVEEDORES[[#This Row],[FECHA DE PAGO]]=PROVEEDORES[[#This Row],[FECHA DE FACTURACIÓN]],"DE CONTADO","CRÉDITO")</f>
        <v>CRÉDITO</v>
      </c>
      <c r="B1783" s="38" t="b">
        <f>+IF((PROVEEDORES[[#This Row],[FECHA DE PAGO]]-PROVEEDORES[[#This Row],[FECHA DE FACTURACIÓN]])&gt;PROVEEDORES[[#This Row],[PLAZO Días]],"PAGO VENCIDO")</f>
        <v>0</v>
      </c>
      <c r="C1783" s="20">
        <f>+VLOOKUP(PROVEEDORES[[#This Row],[PROVEEDOR]],TERCEROS_INFO[#All],2,FALSE)</f>
        <v>60</v>
      </c>
      <c r="D1783" s="25">
        <f>+SUMIFS(PROVEEDORES[Total],PROVEEDORES[PROVEEDOR],PROVEEDORES[[#This Row],[PROVEEDOR]],PROVEEDORES[FECHA DE PAGO],"")</f>
        <v>395600</v>
      </c>
      <c r="E1783" s="25"/>
      <c r="F178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3" s="68">
        <v>45152</v>
      </c>
      <c r="H1783" s="26" t="s">
        <v>287</v>
      </c>
      <c r="I1783" s="68">
        <v>45207</v>
      </c>
      <c r="J1783" s="35">
        <v>1756</v>
      </c>
      <c r="K1783" s="21">
        <v>166000</v>
      </c>
      <c r="L1783" s="21"/>
      <c r="M1783" s="22">
        <f>(PROVEEDORES[[#This Row],[SUBTOTAL]]-PROVEEDORES[[#This Row],[descuento sobre subtotal]])*VLOOKUP(PROVEEDORES[[#This Row],[PROVEEDOR]],TERCEROS_INFO[#All],3,FALSE)</f>
        <v>0</v>
      </c>
      <c r="N1783" s="23"/>
      <c r="O1783" s="22">
        <f>+PROVEEDORES[[#This Row],[Descuento sobre subtotal %]]*(PROVEEDORES[[#This Row],[SUBTOTAL]]-PROVEEDORES[[#This Row],[descuento sobre subtotal]])</f>
        <v>0</v>
      </c>
      <c r="P1783" s="74">
        <f>+IF(PROVEEDORES[[#This Row],[SUBTOTAL]]&lt;PROVEEDORES[[#This Row],[base retencion]],0,PROVEEDORES[[#This Row],[retención aplicada]])</f>
        <v>0</v>
      </c>
      <c r="Q1783" s="22">
        <f>+PROVEEDORES[[#This Row],[Rete Fuente %]]*(PROVEEDORES[[#This Row],[SUBTOTAL]]-PROVEEDORES[[#This Row],[descuento sobre subtotal]])</f>
        <v>0</v>
      </c>
      <c r="R1783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7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3" s="63">
        <f ca="1">IF(PROVEEDORES[[#This Row],[FECHA DE PAGO]]=0,TODAY()-PROVEEDORES[[#This Row],[FECHA DE FACTURACIÓN]]-PROVEEDORES[[#This Row],[PLAZO Días]],0)</f>
        <v>0</v>
      </c>
      <c r="U1783" s="104">
        <f>+VLOOKUP(PROVEEDORES[[#This Row],[PROVEEDOR]],Terceros!$A:$D,4,FALSE)</f>
        <v>0</v>
      </c>
      <c r="V1783" s="105">
        <f>+YEAR(PROVEEDORES[[#This Row],[FECHA DE FACTURACIÓN]])</f>
        <v>2023</v>
      </c>
      <c r="W1783" s="105">
        <f>+MATCH(PROVEEDORES[[#This Row],[año facturado]],Retenciones!$1:$1,0)</f>
        <v>6</v>
      </c>
      <c r="X1783" s="106">
        <f>+VLOOKUP(PROVEEDORES[[#This Row],[ID RETENCION]],Retenciones!$A$1:$O$25,PROVEEDORES[[#This Row],[indicador de columna]],FALSE)</f>
        <v>0</v>
      </c>
      <c r="Y1783" s="107">
        <f>+VLOOKUP(PROVEEDORES[[#This Row],[ID RETENCION]],Retenciones!$A$1:$O$25,2,FALSE)</f>
        <v>0</v>
      </c>
      <c r="Z1783" s="116" t="b">
        <f>OR(COUNTIF(PROVEEDORES[[#This Row],[PROVEEDOR]],"*"&amp;'Palabra no opera'!$A$2&amp;"*"))</f>
        <v>0</v>
      </c>
    </row>
    <row r="1784" spans="1:26" ht="22.35" customHeight="1" x14ac:dyDescent="0.3">
      <c r="A1784" s="67" t="str">
        <f>+IF(PROVEEDORES[[#This Row],[FECHA DE PAGO]]=PROVEEDORES[[#This Row],[FECHA DE FACTURACIÓN]],"DE CONTADO","CRÉDITO")</f>
        <v>CRÉDITO</v>
      </c>
      <c r="B1784" s="38" t="b">
        <f>+IF((PROVEEDORES[[#This Row],[FECHA DE PAGO]]-PROVEEDORES[[#This Row],[FECHA DE FACTURACIÓN]])&gt;PROVEEDORES[[#This Row],[PLAZO Días]],"PAGO VENCIDO")</f>
        <v>0</v>
      </c>
      <c r="C1784" s="20">
        <f>+VLOOKUP(PROVEEDORES[[#This Row],[PROVEEDOR]],TERCEROS_INFO[#All],2,FALSE)</f>
        <v>60</v>
      </c>
      <c r="D1784" s="25">
        <f>+SUMIFS(PROVEEDORES[Total],PROVEEDORES[PROVEEDOR],PROVEEDORES[[#This Row],[PROVEEDOR]],PROVEEDORES[FECHA DE PAGO],"")</f>
        <v>395600</v>
      </c>
      <c r="E1784" s="25"/>
      <c r="F178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4" s="68">
        <v>45152</v>
      </c>
      <c r="H1784" s="26" t="s">
        <v>287</v>
      </c>
      <c r="I1784" s="68">
        <v>45207</v>
      </c>
      <c r="J1784" s="35">
        <v>1757</v>
      </c>
      <c r="K1784" s="21">
        <v>166000</v>
      </c>
      <c r="L1784" s="21"/>
      <c r="M1784" s="22">
        <f>(PROVEEDORES[[#This Row],[SUBTOTAL]]-PROVEEDORES[[#This Row],[descuento sobre subtotal]])*VLOOKUP(PROVEEDORES[[#This Row],[PROVEEDOR]],TERCEROS_INFO[#All],3,FALSE)</f>
        <v>0</v>
      </c>
      <c r="N1784" s="23"/>
      <c r="O1784" s="22">
        <f>+PROVEEDORES[[#This Row],[Descuento sobre subtotal %]]*(PROVEEDORES[[#This Row],[SUBTOTAL]]-PROVEEDORES[[#This Row],[descuento sobre subtotal]])</f>
        <v>0</v>
      </c>
      <c r="P1784" s="74">
        <f>+IF(PROVEEDORES[[#This Row],[SUBTOTAL]]&lt;PROVEEDORES[[#This Row],[base retencion]],0,PROVEEDORES[[#This Row],[retención aplicada]])</f>
        <v>0</v>
      </c>
      <c r="Q1784" s="22">
        <f>+PROVEEDORES[[#This Row],[Rete Fuente %]]*(PROVEEDORES[[#This Row],[SUBTOTAL]]-PROVEEDORES[[#This Row],[descuento sobre subtotal]])</f>
        <v>0</v>
      </c>
      <c r="R1784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7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4" s="63">
        <f ca="1">IF(PROVEEDORES[[#This Row],[FECHA DE PAGO]]=0,TODAY()-PROVEEDORES[[#This Row],[FECHA DE FACTURACIÓN]]-PROVEEDORES[[#This Row],[PLAZO Días]],0)</f>
        <v>0</v>
      </c>
      <c r="U1784" s="104">
        <f>+VLOOKUP(PROVEEDORES[[#This Row],[PROVEEDOR]],Terceros!$A:$D,4,FALSE)</f>
        <v>0</v>
      </c>
      <c r="V1784" s="105">
        <f>+YEAR(PROVEEDORES[[#This Row],[FECHA DE FACTURACIÓN]])</f>
        <v>2023</v>
      </c>
      <c r="W1784" s="105">
        <f>+MATCH(PROVEEDORES[[#This Row],[año facturado]],Retenciones!$1:$1,0)</f>
        <v>6</v>
      </c>
      <c r="X1784" s="106">
        <f>+VLOOKUP(PROVEEDORES[[#This Row],[ID RETENCION]],Retenciones!$A$1:$O$25,PROVEEDORES[[#This Row],[indicador de columna]],FALSE)</f>
        <v>0</v>
      </c>
      <c r="Y1784" s="107">
        <f>+VLOOKUP(PROVEEDORES[[#This Row],[ID RETENCION]],Retenciones!$A$1:$O$25,2,FALSE)</f>
        <v>0</v>
      </c>
      <c r="Z1784" s="116" t="b">
        <f>OR(COUNTIF(PROVEEDORES[[#This Row],[PROVEEDOR]],"*"&amp;'Palabra no opera'!$A$2&amp;"*"))</f>
        <v>0</v>
      </c>
    </row>
    <row r="1785" spans="1:26" ht="22.35" customHeight="1" x14ac:dyDescent="0.3">
      <c r="A1785" s="67" t="str">
        <f>+IF(PROVEEDORES[[#This Row],[FECHA DE PAGO]]=PROVEEDORES[[#This Row],[FECHA DE FACTURACIÓN]],"DE CONTADO","CRÉDITO")</f>
        <v>CRÉDITO</v>
      </c>
      <c r="B1785" s="38" t="b">
        <f>+IF((PROVEEDORES[[#This Row],[FECHA DE PAGO]]-PROVEEDORES[[#This Row],[FECHA DE FACTURACIÓN]])&gt;PROVEEDORES[[#This Row],[PLAZO Días]],"PAGO VENCIDO")</f>
        <v>0</v>
      </c>
      <c r="C1785" s="20">
        <f>+VLOOKUP(PROVEEDORES[[#This Row],[PROVEEDOR]],TERCEROS_INFO[#All],2,FALSE)</f>
        <v>60</v>
      </c>
      <c r="D1785" s="25">
        <f>+SUMIFS(PROVEEDORES[Total],PROVEEDORES[PROVEEDOR],PROVEEDORES[[#This Row],[PROVEEDOR]],PROVEEDORES[FECHA DE PAGO],"")</f>
        <v>395600</v>
      </c>
      <c r="E1785" s="25"/>
      <c r="F178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5" s="68">
        <v>45152</v>
      </c>
      <c r="H1785" s="26" t="s">
        <v>287</v>
      </c>
      <c r="I1785" s="68">
        <v>45207</v>
      </c>
      <c r="J1785" s="35">
        <v>1758</v>
      </c>
      <c r="K1785" s="21">
        <v>166000</v>
      </c>
      <c r="L1785" s="21"/>
      <c r="M1785" s="22">
        <f>(PROVEEDORES[[#This Row],[SUBTOTAL]]-PROVEEDORES[[#This Row],[descuento sobre subtotal]])*VLOOKUP(PROVEEDORES[[#This Row],[PROVEEDOR]],TERCEROS_INFO[#All],3,FALSE)</f>
        <v>0</v>
      </c>
      <c r="N1785" s="23"/>
      <c r="O1785" s="22">
        <f>+PROVEEDORES[[#This Row],[Descuento sobre subtotal %]]*(PROVEEDORES[[#This Row],[SUBTOTAL]]-PROVEEDORES[[#This Row],[descuento sobre subtotal]])</f>
        <v>0</v>
      </c>
      <c r="P1785" s="74">
        <f>+IF(PROVEEDORES[[#This Row],[SUBTOTAL]]&lt;PROVEEDORES[[#This Row],[base retencion]],0,PROVEEDORES[[#This Row],[retención aplicada]])</f>
        <v>0</v>
      </c>
      <c r="Q1785" s="22">
        <f>+PROVEEDORES[[#This Row],[Rete Fuente %]]*(PROVEEDORES[[#This Row],[SUBTOTAL]]-PROVEEDORES[[#This Row],[descuento sobre subtotal]])</f>
        <v>0</v>
      </c>
      <c r="R1785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78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5" s="63">
        <f ca="1">IF(PROVEEDORES[[#This Row],[FECHA DE PAGO]]=0,TODAY()-PROVEEDORES[[#This Row],[FECHA DE FACTURACIÓN]]-PROVEEDORES[[#This Row],[PLAZO Días]],0)</f>
        <v>0</v>
      </c>
      <c r="U1785" s="104">
        <f>+VLOOKUP(PROVEEDORES[[#This Row],[PROVEEDOR]],Terceros!$A:$D,4,FALSE)</f>
        <v>0</v>
      </c>
      <c r="V1785" s="105">
        <f>+YEAR(PROVEEDORES[[#This Row],[FECHA DE FACTURACIÓN]])</f>
        <v>2023</v>
      </c>
      <c r="W1785" s="105">
        <f>+MATCH(PROVEEDORES[[#This Row],[año facturado]],Retenciones!$1:$1,0)</f>
        <v>6</v>
      </c>
      <c r="X1785" s="106">
        <f>+VLOOKUP(PROVEEDORES[[#This Row],[ID RETENCION]],Retenciones!$A$1:$O$25,PROVEEDORES[[#This Row],[indicador de columna]],FALSE)</f>
        <v>0</v>
      </c>
      <c r="Y1785" s="107">
        <f>+VLOOKUP(PROVEEDORES[[#This Row],[ID RETENCION]],Retenciones!$A$1:$O$25,2,FALSE)</f>
        <v>0</v>
      </c>
      <c r="Z1785" s="116" t="b">
        <f>OR(COUNTIF(PROVEEDORES[[#This Row],[PROVEEDOR]],"*"&amp;'Palabra no opera'!$A$2&amp;"*"))</f>
        <v>0</v>
      </c>
    </row>
    <row r="1786" spans="1:26" ht="22.35" customHeight="1" x14ac:dyDescent="0.3">
      <c r="A1786" s="67" t="str">
        <f>+IF(PROVEEDORES[[#This Row],[FECHA DE PAGO]]=PROVEEDORES[[#This Row],[FECHA DE FACTURACIÓN]],"DE CONTADO","CRÉDITO")</f>
        <v>CRÉDITO</v>
      </c>
      <c r="B1786" s="38" t="b">
        <f>+IF((PROVEEDORES[[#This Row],[FECHA DE PAGO]]-PROVEEDORES[[#This Row],[FECHA DE FACTURACIÓN]])&gt;PROVEEDORES[[#This Row],[PLAZO Días]],"PAGO VENCIDO")</f>
        <v>0</v>
      </c>
      <c r="C1786" s="20">
        <f>+VLOOKUP(PROVEEDORES[[#This Row],[PROVEEDOR]],TERCEROS_INFO[#All],2,FALSE)</f>
        <v>60</v>
      </c>
      <c r="D1786" s="25">
        <f>+SUMIFS(PROVEEDORES[Total],PROVEEDORES[PROVEEDOR],PROVEEDORES[[#This Row],[PROVEEDOR]],PROVEEDORES[FECHA DE PAGO],"")</f>
        <v>395600</v>
      </c>
      <c r="E1786" s="25"/>
      <c r="F178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6" s="68">
        <v>45152</v>
      </c>
      <c r="H1786" s="26" t="s">
        <v>287</v>
      </c>
      <c r="I1786" s="68">
        <v>45207</v>
      </c>
      <c r="J1786" s="35">
        <v>1759</v>
      </c>
      <c r="K1786" s="21">
        <v>166000</v>
      </c>
      <c r="L1786" s="21"/>
      <c r="M1786" s="22">
        <f>(PROVEEDORES[[#This Row],[SUBTOTAL]]-PROVEEDORES[[#This Row],[descuento sobre subtotal]])*VLOOKUP(PROVEEDORES[[#This Row],[PROVEEDOR]],TERCEROS_INFO[#All],3,FALSE)</f>
        <v>0</v>
      </c>
      <c r="N1786" s="23"/>
      <c r="O1786" s="22">
        <f>+PROVEEDORES[[#This Row],[Descuento sobre subtotal %]]*(PROVEEDORES[[#This Row],[SUBTOTAL]]-PROVEEDORES[[#This Row],[descuento sobre subtotal]])</f>
        <v>0</v>
      </c>
      <c r="P1786" s="74">
        <f>+IF(PROVEEDORES[[#This Row],[SUBTOTAL]]&lt;PROVEEDORES[[#This Row],[base retencion]],0,PROVEEDORES[[#This Row],[retención aplicada]])</f>
        <v>0</v>
      </c>
      <c r="Q1786" s="22">
        <f>+PROVEEDORES[[#This Row],[Rete Fuente %]]*(PROVEEDORES[[#This Row],[SUBTOTAL]]-PROVEEDORES[[#This Row],[descuento sobre subtotal]])</f>
        <v>0</v>
      </c>
      <c r="R1786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78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6" s="63">
        <f ca="1">IF(PROVEEDORES[[#This Row],[FECHA DE PAGO]]=0,TODAY()-PROVEEDORES[[#This Row],[FECHA DE FACTURACIÓN]]-PROVEEDORES[[#This Row],[PLAZO Días]],0)</f>
        <v>0</v>
      </c>
      <c r="U1786" s="104">
        <f>+VLOOKUP(PROVEEDORES[[#This Row],[PROVEEDOR]],Terceros!$A:$D,4,FALSE)</f>
        <v>0</v>
      </c>
      <c r="V1786" s="105">
        <f>+YEAR(PROVEEDORES[[#This Row],[FECHA DE FACTURACIÓN]])</f>
        <v>2023</v>
      </c>
      <c r="W1786" s="105">
        <f>+MATCH(PROVEEDORES[[#This Row],[año facturado]],Retenciones!$1:$1,0)</f>
        <v>6</v>
      </c>
      <c r="X1786" s="106">
        <f>+VLOOKUP(PROVEEDORES[[#This Row],[ID RETENCION]],Retenciones!$A$1:$O$25,PROVEEDORES[[#This Row],[indicador de columna]],FALSE)</f>
        <v>0</v>
      </c>
      <c r="Y1786" s="107">
        <f>+VLOOKUP(PROVEEDORES[[#This Row],[ID RETENCION]],Retenciones!$A$1:$O$25,2,FALSE)</f>
        <v>0</v>
      </c>
      <c r="Z1786" s="116" t="b">
        <f>OR(COUNTIF(PROVEEDORES[[#This Row],[PROVEEDOR]],"*"&amp;'Palabra no opera'!$A$2&amp;"*"))</f>
        <v>0</v>
      </c>
    </row>
    <row r="1787" spans="1:26" ht="22.35" customHeight="1" x14ac:dyDescent="0.3">
      <c r="A1787" s="67" t="str">
        <f>+IF(PROVEEDORES[[#This Row],[FECHA DE PAGO]]=PROVEEDORES[[#This Row],[FECHA DE FACTURACIÓN]],"DE CONTADO","CRÉDITO")</f>
        <v>CRÉDITO</v>
      </c>
      <c r="B1787" s="38" t="b">
        <f>+IF((PROVEEDORES[[#This Row],[FECHA DE PAGO]]-PROVEEDORES[[#This Row],[FECHA DE FACTURACIÓN]])&gt;PROVEEDORES[[#This Row],[PLAZO Días]],"PAGO VENCIDO")</f>
        <v>0</v>
      </c>
      <c r="C1787" s="20">
        <f>+VLOOKUP(PROVEEDORES[[#This Row],[PROVEEDOR]],TERCEROS_INFO[#All],2,FALSE)</f>
        <v>60</v>
      </c>
      <c r="D1787" s="25">
        <f>+SUMIFS(PROVEEDORES[Total],PROVEEDORES[PROVEEDOR],PROVEEDORES[[#This Row],[PROVEEDOR]],PROVEEDORES[FECHA DE PAGO],"")</f>
        <v>395600</v>
      </c>
      <c r="E1787" s="25"/>
      <c r="F178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7" s="68">
        <v>45152</v>
      </c>
      <c r="H1787" s="26" t="s">
        <v>287</v>
      </c>
      <c r="I1787" s="68">
        <v>45207</v>
      </c>
      <c r="J1787" s="35">
        <v>1760</v>
      </c>
      <c r="K1787" s="21">
        <v>166000</v>
      </c>
      <c r="L1787" s="21"/>
      <c r="M1787" s="22">
        <f>(PROVEEDORES[[#This Row],[SUBTOTAL]]-PROVEEDORES[[#This Row],[descuento sobre subtotal]])*VLOOKUP(PROVEEDORES[[#This Row],[PROVEEDOR]],TERCEROS_INFO[#All],3,FALSE)</f>
        <v>0</v>
      </c>
      <c r="N1787" s="23"/>
      <c r="O1787" s="22">
        <f>+PROVEEDORES[[#This Row],[Descuento sobre subtotal %]]*(PROVEEDORES[[#This Row],[SUBTOTAL]]-PROVEEDORES[[#This Row],[descuento sobre subtotal]])</f>
        <v>0</v>
      </c>
      <c r="P1787" s="74">
        <f>+IF(PROVEEDORES[[#This Row],[SUBTOTAL]]&lt;PROVEEDORES[[#This Row],[base retencion]],0,PROVEEDORES[[#This Row],[retención aplicada]])</f>
        <v>0</v>
      </c>
      <c r="Q1787" s="22">
        <f>+PROVEEDORES[[#This Row],[Rete Fuente %]]*(PROVEEDORES[[#This Row],[SUBTOTAL]]-PROVEEDORES[[#This Row],[descuento sobre subtotal]])</f>
        <v>0</v>
      </c>
      <c r="R1787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17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7" s="63">
        <f ca="1">IF(PROVEEDORES[[#This Row],[FECHA DE PAGO]]=0,TODAY()-PROVEEDORES[[#This Row],[FECHA DE FACTURACIÓN]]-PROVEEDORES[[#This Row],[PLAZO Días]],0)</f>
        <v>0</v>
      </c>
      <c r="U1787" s="104">
        <f>+VLOOKUP(PROVEEDORES[[#This Row],[PROVEEDOR]],Terceros!$A:$D,4,FALSE)</f>
        <v>0</v>
      </c>
      <c r="V1787" s="105">
        <f>+YEAR(PROVEEDORES[[#This Row],[FECHA DE FACTURACIÓN]])</f>
        <v>2023</v>
      </c>
      <c r="W1787" s="105">
        <f>+MATCH(PROVEEDORES[[#This Row],[año facturado]],Retenciones!$1:$1,0)</f>
        <v>6</v>
      </c>
      <c r="X1787" s="106">
        <f>+VLOOKUP(PROVEEDORES[[#This Row],[ID RETENCION]],Retenciones!$A$1:$O$25,PROVEEDORES[[#This Row],[indicador de columna]],FALSE)</f>
        <v>0</v>
      </c>
      <c r="Y1787" s="107">
        <f>+VLOOKUP(PROVEEDORES[[#This Row],[ID RETENCION]],Retenciones!$A$1:$O$25,2,FALSE)</f>
        <v>0</v>
      </c>
      <c r="Z1787" s="116" t="b">
        <f>OR(COUNTIF(PROVEEDORES[[#This Row],[PROVEEDOR]],"*"&amp;'Palabra no opera'!$A$2&amp;"*"))</f>
        <v>0</v>
      </c>
    </row>
    <row r="1788" spans="1:26" ht="22.35" customHeight="1" x14ac:dyDescent="0.3">
      <c r="A1788" s="333" t="str">
        <f>+IF(PROVEEDORES[[#This Row],[FECHA DE PAGO]]=PROVEEDORES[[#This Row],[FECHA DE FACTURACIÓN]],"DE CONTADO","CRÉDITO")</f>
        <v>CRÉDITO</v>
      </c>
      <c r="B1788" s="38" t="b">
        <f>+IF((PROVEEDORES[[#This Row],[FECHA DE PAGO]]-PROVEEDORES[[#This Row],[FECHA DE FACTURACIÓN]])&gt;PROVEEDORES[[#This Row],[PLAZO Días]],"PAGO VENCIDO")</f>
        <v>0</v>
      </c>
      <c r="C1788" s="20">
        <f>+VLOOKUP(PROVEEDORES[[#This Row],[PROVEEDOR]],TERCEROS_INFO[#All],2,FALSE)</f>
        <v>45</v>
      </c>
      <c r="D1788" s="25">
        <f>+SUMIFS(PROVEEDORES[Total],PROVEEDORES[PROVEEDOR],PROVEEDORES[[#This Row],[PROVEEDOR]],PROVEEDORES[FECHA DE PAGO],"")</f>
        <v>3074500</v>
      </c>
      <c r="E1788" s="25"/>
      <c r="F178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788" s="68">
        <v>45152</v>
      </c>
      <c r="H1788" s="26" t="s">
        <v>289</v>
      </c>
      <c r="I1788" s="68">
        <v>45120</v>
      </c>
      <c r="J1788" s="35">
        <v>1718</v>
      </c>
      <c r="K1788" s="21">
        <v>2759750</v>
      </c>
      <c r="L1788" s="21"/>
      <c r="M1788" s="22">
        <f>(PROVEEDORES[[#This Row],[SUBTOTAL]]-PROVEEDORES[[#This Row],[descuento sobre subtotal]])*VLOOKUP(PROVEEDORES[[#This Row],[PROVEEDOR]],TERCEROS_INFO[#All],3,FALSE)</f>
        <v>0</v>
      </c>
      <c r="N1788" s="23"/>
      <c r="O1788" s="22">
        <f>+PROVEEDORES[[#This Row],[Descuento sobre subtotal %]]*(PROVEEDORES[[#This Row],[SUBTOTAL]]-PROVEEDORES[[#This Row],[descuento sobre subtotal]])</f>
        <v>0</v>
      </c>
      <c r="P1788" s="74">
        <f>+IF(PROVEEDORES[[#This Row],[SUBTOTAL]]&lt;PROVEEDORES[[#This Row],[base retencion]],0,PROVEEDORES[[#This Row],[retención aplicada]])</f>
        <v>0</v>
      </c>
      <c r="Q1788" s="22">
        <f>+PROVEEDORES[[#This Row],[Rete Fuente %]]*(PROVEEDORES[[#This Row],[SUBTOTAL]]-PROVEEDORES[[#This Row],[descuento sobre subtotal]])</f>
        <v>0</v>
      </c>
      <c r="R1788" s="21">
        <f>+PROVEEDORES[[#This Row],[SUBTOTAL]]+PROVEEDORES[[#This Row],[IVA 19%]]-PROVEEDORES[[#This Row],[descuento sobre subtotal]]-PROVEEDORES[[#This Row],[Descuento sobre subtotal $2]]-PROVEEDORES[[#This Row],[Rete Fuente $]]</f>
        <v>2759750</v>
      </c>
      <c r="S1788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8" s="63">
        <f ca="1">IF(PROVEEDORES[[#This Row],[FECHA DE PAGO]]=0,TODAY()-PROVEEDORES[[#This Row],[FECHA DE FACTURACIÓN]]-PROVEEDORES[[#This Row],[PLAZO Días]],0)</f>
        <v>0</v>
      </c>
      <c r="U1788" s="104">
        <f>+VLOOKUP(PROVEEDORES[[#This Row],[PROVEEDOR]],Terceros!$A:$D,4,FALSE)</f>
        <v>0</v>
      </c>
      <c r="V1788" s="105">
        <f>+YEAR(PROVEEDORES[[#This Row],[FECHA DE FACTURACIÓN]])</f>
        <v>2023</v>
      </c>
      <c r="W1788" s="105">
        <f>+MATCH(PROVEEDORES[[#This Row],[año facturado]],Retenciones!$1:$1,0)</f>
        <v>6</v>
      </c>
      <c r="X1788" s="106">
        <f>+VLOOKUP(PROVEEDORES[[#This Row],[ID RETENCION]],Retenciones!$A$1:$O$25,PROVEEDORES[[#This Row],[indicador de columna]],FALSE)</f>
        <v>0</v>
      </c>
      <c r="Y1788" s="107">
        <f>+VLOOKUP(PROVEEDORES[[#This Row],[ID RETENCION]],Retenciones!$A$1:$O$25,2,FALSE)</f>
        <v>0</v>
      </c>
      <c r="Z1788" s="116" t="b">
        <f>OR(COUNTIF(PROVEEDORES[[#This Row],[PROVEEDOR]],"*"&amp;'Palabra no opera'!$A$2&amp;"*"))</f>
        <v>0</v>
      </c>
    </row>
    <row r="1789" spans="1:26" ht="22.35" customHeight="1" x14ac:dyDescent="0.3">
      <c r="A1789" s="67" t="str">
        <f>+IF(PROVEEDORES[[#This Row],[FECHA DE PAGO]]=PROVEEDORES[[#This Row],[FECHA DE FACTURACIÓN]],"DE CONTADO","CRÉDITO")</f>
        <v>CRÉDITO</v>
      </c>
      <c r="B1789" s="38" t="str">
        <f>+IF((PROVEEDORES[[#This Row],[FECHA DE PAGO]]-PROVEEDORES[[#This Row],[FECHA DE FACTURACIÓN]])&gt;PROVEEDORES[[#This Row],[PLAZO Días]],"PAGO VENCIDO")</f>
        <v>PAGO VENCIDO</v>
      </c>
      <c r="C1789" s="20">
        <f>+VLOOKUP(PROVEEDORES[[#This Row],[PROVEEDOR]],TERCEROS_INFO[#All],2,FALSE)</f>
        <v>30</v>
      </c>
      <c r="D1789" s="25">
        <f>+SUMIFS(PROVEEDORES[Total],PROVEEDORES[PROVEEDOR],PROVEEDORES[[#This Row],[PROVEEDOR]],PROVEEDORES[FECHA DE PAGO],"")</f>
        <v>4248480.9550000001</v>
      </c>
      <c r="E1789" s="25"/>
      <c r="F1789" s="56" t="str">
        <f>+VLOOKUP(PROVEEDORES[[#This Row],[PROVEEDOR]],
                       Terceros!$A:$F,
                       5,
                       FALSE)</f>
        <v/>
      </c>
      <c r="G1789" s="68">
        <v>45152</v>
      </c>
      <c r="H1789" s="26" t="s">
        <v>78</v>
      </c>
      <c r="I1789" s="68">
        <v>45106</v>
      </c>
      <c r="J1789" s="35" t="s">
        <v>1772</v>
      </c>
      <c r="K1789" s="21">
        <v>1848738</v>
      </c>
      <c r="L1789" s="21">
        <v>27997</v>
      </c>
      <c r="M1789" s="22">
        <f>(PROVEEDORES[[#This Row],[SUBTOTAL]]-PROVEEDORES[[#This Row],[descuento sobre subtotal]])*VLOOKUP(PROVEEDORES[[#This Row],[PROVEEDOR]],TERCEROS_INFO[#All],3,FALSE)</f>
        <v>345940.79</v>
      </c>
      <c r="N1789" s="23"/>
      <c r="O1789" s="22">
        <f>+PROVEEDORES[[#This Row],[Descuento sobre subtotal %]]*(PROVEEDORES[[#This Row],[SUBTOTAL]]-PROVEEDORES[[#This Row],[descuento sobre subtotal]])</f>
        <v>0</v>
      </c>
      <c r="P1789" s="74">
        <f>+IF(PROVEEDORES[[#This Row],[SUBTOTAL]]&lt;PROVEEDORES[[#This Row],[base retencion]],0,PROVEEDORES[[#This Row],[retención aplicada]])</f>
        <v>2.5000000000000001E-2</v>
      </c>
      <c r="Q1789" s="22">
        <f>+PROVEEDORES[[#This Row],[Rete Fuente %]]*(PROVEEDORES[[#This Row],[SUBTOTAL]]-PROVEEDORES[[#This Row],[descuento sobre subtotal]])</f>
        <v>45518.525000000001</v>
      </c>
      <c r="R1789" s="21">
        <f>+PROVEEDORES[[#This Row],[SUBTOTAL]]+PROVEEDORES[[#This Row],[IVA 19%]]-PROVEEDORES[[#This Row],[descuento sobre subtotal]]-PROVEEDORES[[#This Row],[Descuento sobre subtotal $2]]-PROVEEDORES[[#This Row],[Rete Fuente $]]</f>
        <v>2121163.2650000001</v>
      </c>
      <c r="S17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9" s="63">
        <f ca="1">IF(PROVEEDORES[[#This Row],[FECHA DE PAGO]]=0,TODAY()-PROVEEDORES[[#This Row],[FECHA DE FACTURACIÓN]]-PROVEEDORES[[#This Row],[PLAZO Días]],0)</f>
        <v>0</v>
      </c>
      <c r="U1789" s="104" t="str">
        <f>+VLOOKUP(PROVEEDORES[[#This Row],[PROVEEDOR]],Terceros!$A:$D,4,FALSE)</f>
        <v>2,5% con base</v>
      </c>
      <c r="V1789" s="105">
        <f>+YEAR(PROVEEDORES[[#This Row],[FECHA DE FACTURACIÓN]])</f>
        <v>2023</v>
      </c>
      <c r="W1789" s="105">
        <f>+MATCH(PROVEEDORES[[#This Row],[año facturado]],Retenciones!$1:$1,0)</f>
        <v>6</v>
      </c>
      <c r="X1789" s="106">
        <f>+VLOOKUP(PROVEEDORES[[#This Row],[ID RETENCION]],Retenciones!$A$1:$O$25,PROVEEDORES[[#This Row],[indicador de columna]],FALSE)</f>
        <v>1145000</v>
      </c>
      <c r="Y1789" s="107">
        <f>+VLOOKUP(PROVEEDORES[[#This Row],[ID RETENCION]],Retenciones!$A$1:$O$25,2,FALSE)</f>
        <v>2.5000000000000001E-2</v>
      </c>
      <c r="Z1789" s="116" t="b">
        <f>OR(COUNTIF(PROVEEDORES[[#This Row],[PROVEEDOR]],"*"&amp;'Palabra no opera'!$A$2&amp;"*"))</f>
        <v>0</v>
      </c>
    </row>
    <row r="1790" spans="1:26" ht="22.35" customHeight="1" x14ac:dyDescent="0.3">
      <c r="A1790" s="67" t="str">
        <f>+IF(PROVEEDORES[[#This Row],[FECHA DE PAGO]]=PROVEEDORES[[#This Row],[FECHA DE FACTURACIÓN]],"DE CONTADO","CRÉDITO")</f>
        <v>CRÉDITO</v>
      </c>
      <c r="B1790" s="38" t="str">
        <f>+IF((PROVEEDORES[[#This Row],[FECHA DE PAGO]]-PROVEEDORES[[#This Row],[FECHA DE FACTURACIÓN]])&gt;PROVEEDORES[[#This Row],[PLAZO Días]],"PAGO VENCIDO")</f>
        <v>PAGO VENCIDO</v>
      </c>
      <c r="C1790" s="20">
        <f>+VLOOKUP(PROVEEDORES[[#This Row],[PROVEEDOR]],TERCEROS_INFO[#All],2,FALSE)</f>
        <v>30</v>
      </c>
      <c r="D1790" s="25">
        <f>+SUMIFS(PROVEEDORES[Total],PROVEEDORES[PROVEEDOR],PROVEEDORES[[#This Row],[PROVEEDOR]],PROVEEDORES[FECHA DE PAGO],"")</f>
        <v>17870934.149999999</v>
      </c>
      <c r="E1790" s="25"/>
      <c r="F179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90" s="68">
        <v>45152</v>
      </c>
      <c r="H1790" s="26" t="s">
        <v>18</v>
      </c>
      <c r="I1790" s="68">
        <v>45105</v>
      </c>
      <c r="J1790" s="35" t="s">
        <v>1775</v>
      </c>
      <c r="K1790" s="21">
        <v>3317231</v>
      </c>
      <c r="L1790" s="21"/>
      <c r="M1790" s="22">
        <f>(PROVEEDORES[[#This Row],[SUBTOTAL]]-PROVEEDORES[[#This Row],[descuento sobre subtotal]])*VLOOKUP(PROVEEDORES[[#This Row],[PROVEEDOR]],TERCEROS_INFO[#All],3,FALSE)</f>
        <v>630273.89</v>
      </c>
      <c r="N1790" s="23"/>
      <c r="O1790" s="22">
        <f>+PROVEEDORES[[#This Row],[Descuento sobre subtotal %]]*(PROVEEDORES[[#This Row],[SUBTOTAL]]-PROVEEDORES[[#This Row],[descuento sobre subtotal]])</f>
        <v>0</v>
      </c>
      <c r="P1790" s="74">
        <f>+IF(PROVEEDORES[[#This Row],[SUBTOTAL]]&lt;PROVEEDORES[[#This Row],[base retencion]],0,PROVEEDORES[[#This Row],[retención aplicada]])</f>
        <v>2.5000000000000001E-2</v>
      </c>
      <c r="Q1790" s="22">
        <f>+PROVEEDORES[[#This Row],[Rete Fuente %]]*(PROVEEDORES[[#This Row],[SUBTOTAL]]-PROVEEDORES[[#This Row],[descuento sobre subtotal]])</f>
        <v>82930.775000000009</v>
      </c>
      <c r="R1790" s="21">
        <f>+PROVEEDORES[[#This Row],[SUBTOTAL]]+PROVEEDORES[[#This Row],[IVA 19%]]-PROVEEDORES[[#This Row],[descuento sobre subtotal]]-PROVEEDORES[[#This Row],[Descuento sobre subtotal $2]]-PROVEEDORES[[#This Row],[Rete Fuente $]]</f>
        <v>3864574.1150000002</v>
      </c>
      <c r="S17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0" s="63">
        <f ca="1">IF(PROVEEDORES[[#This Row],[FECHA DE PAGO]]=0,TODAY()-PROVEEDORES[[#This Row],[FECHA DE FACTURACIÓN]]-PROVEEDORES[[#This Row],[PLAZO Días]],0)</f>
        <v>0</v>
      </c>
      <c r="U1790" s="104" t="str">
        <f>+VLOOKUP(PROVEEDORES[[#This Row],[PROVEEDOR]],Terceros!$A:$D,4,FALSE)</f>
        <v>2,5% con base</v>
      </c>
      <c r="V1790" s="105">
        <f>+YEAR(PROVEEDORES[[#This Row],[FECHA DE FACTURACIÓN]])</f>
        <v>2023</v>
      </c>
      <c r="W1790" s="105">
        <f>+MATCH(PROVEEDORES[[#This Row],[año facturado]],Retenciones!$1:$1,0)</f>
        <v>6</v>
      </c>
      <c r="X1790" s="106">
        <f>+VLOOKUP(PROVEEDORES[[#This Row],[ID RETENCION]],Retenciones!$A$1:$O$25,PROVEEDORES[[#This Row],[indicador de columna]],FALSE)</f>
        <v>1145000</v>
      </c>
      <c r="Y1790" s="107">
        <f>+VLOOKUP(PROVEEDORES[[#This Row],[ID RETENCION]],Retenciones!$A$1:$O$25,2,FALSE)</f>
        <v>2.5000000000000001E-2</v>
      </c>
      <c r="Z1790" s="116" t="b">
        <f>OR(COUNTIF(PROVEEDORES[[#This Row],[PROVEEDOR]],"*"&amp;'Palabra no opera'!$A$2&amp;"*"))</f>
        <v>0</v>
      </c>
    </row>
    <row r="1791" spans="1:26" ht="22.35" customHeight="1" x14ac:dyDescent="0.3">
      <c r="A1791" s="67" t="str">
        <f>+IF(PROVEEDORES[[#This Row],[FECHA DE PAGO]]=PROVEEDORES[[#This Row],[FECHA DE FACTURACIÓN]],"DE CONTADO","CRÉDITO")</f>
        <v>DE CONTADO</v>
      </c>
      <c r="B1791" s="38" t="b">
        <f>+IF((PROVEEDORES[[#This Row],[FECHA DE PAGO]]-PROVEEDORES[[#This Row],[FECHA DE FACTURACIÓN]])&gt;PROVEEDORES[[#This Row],[PLAZO Días]],"PAGO VENCIDO")</f>
        <v>0</v>
      </c>
      <c r="C1791" s="20">
        <f>+VLOOKUP(PROVEEDORES[[#This Row],[PROVEEDOR]],TERCEROS_INFO[#All],2,FALSE)</f>
        <v>0</v>
      </c>
      <c r="D1791" s="25">
        <f>+SUMIFS(PROVEEDORES[Total],PROVEEDORES[PROVEEDOR],PROVEEDORES[[#This Row],[PROVEEDOR]],PROVEEDORES[FECHA DE PAGO],"")</f>
        <v>0</v>
      </c>
      <c r="E1791" s="25"/>
      <c r="F1791" s="56">
        <f>+VLOOKUP(PROVEEDORES[[#This Row],[PROVEEDOR]],
                       Terceros!$A:$F,
                       5,
                       FALSE)</f>
        <v>0</v>
      </c>
      <c r="G1791" s="68">
        <v>45153</v>
      </c>
      <c r="H1791" s="26" t="s">
        <v>1879</v>
      </c>
      <c r="I1791" s="68">
        <v>45153</v>
      </c>
      <c r="J1791" s="35">
        <v>471</v>
      </c>
      <c r="K1791" s="21">
        <v>234000</v>
      </c>
      <c r="L1791" s="21"/>
      <c r="M1791" s="22">
        <f>(PROVEEDORES[[#This Row],[SUBTOTAL]]-PROVEEDORES[[#This Row],[descuento sobre subtotal]])*VLOOKUP(PROVEEDORES[[#This Row],[PROVEEDOR]],TERCEROS_INFO[#All],3,FALSE)</f>
        <v>44460</v>
      </c>
      <c r="N1791" s="23"/>
      <c r="O1791" s="22">
        <f>+PROVEEDORES[[#This Row],[Descuento sobre subtotal %]]*(PROVEEDORES[[#This Row],[SUBTOTAL]]-PROVEEDORES[[#This Row],[descuento sobre subtotal]])</f>
        <v>0</v>
      </c>
      <c r="P1791" s="74">
        <f>+IF(PROVEEDORES[[#This Row],[SUBTOTAL]]&lt;PROVEEDORES[[#This Row],[base retencion]],0,PROVEEDORES[[#This Row],[retención aplicada]])</f>
        <v>0</v>
      </c>
      <c r="Q1791" s="22">
        <f>+PROVEEDORES[[#This Row],[Rete Fuente %]]*(PROVEEDORES[[#This Row],[SUBTOTAL]]-PROVEEDORES[[#This Row],[descuento sobre subtotal]])</f>
        <v>0</v>
      </c>
      <c r="R1791" s="21">
        <f>+PROVEEDORES[[#This Row],[SUBTOTAL]]+PROVEEDORES[[#This Row],[IVA 19%]]-PROVEEDORES[[#This Row],[descuento sobre subtotal]]-PROVEEDORES[[#This Row],[Descuento sobre subtotal $2]]-PROVEEDORES[[#This Row],[Rete Fuente $]]</f>
        <v>278460</v>
      </c>
      <c r="S17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1" s="63">
        <f ca="1">IF(PROVEEDORES[[#This Row],[FECHA DE PAGO]]=0,TODAY()-PROVEEDORES[[#This Row],[FECHA DE FACTURACIÓN]]-PROVEEDORES[[#This Row],[PLAZO Días]],0)</f>
        <v>0</v>
      </c>
      <c r="U1791" s="104" t="str">
        <f>+VLOOKUP(PROVEEDORES[[#This Row],[PROVEEDOR]],Terceros!$A:$D,4,FALSE)</f>
        <v>2,5% con base</v>
      </c>
      <c r="V1791" s="105">
        <f>+YEAR(PROVEEDORES[[#This Row],[FECHA DE FACTURACIÓN]])</f>
        <v>2023</v>
      </c>
      <c r="W1791" s="105">
        <f>+MATCH(PROVEEDORES[[#This Row],[año facturado]],Retenciones!$1:$1,0)</f>
        <v>6</v>
      </c>
      <c r="X1791" s="106">
        <f>+VLOOKUP(PROVEEDORES[[#This Row],[ID RETENCION]],Retenciones!$A$1:$O$25,PROVEEDORES[[#This Row],[indicador de columna]],FALSE)</f>
        <v>1145000</v>
      </c>
      <c r="Y1791" s="107">
        <f>+VLOOKUP(PROVEEDORES[[#This Row],[ID RETENCION]],Retenciones!$A$1:$O$25,2,FALSE)</f>
        <v>2.5000000000000001E-2</v>
      </c>
      <c r="Z1791" s="116" t="b">
        <f>OR(COUNTIF(PROVEEDORES[[#This Row],[PROVEEDOR]],"*"&amp;'Palabra no opera'!$A$2&amp;"*"))</f>
        <v>0</v>
      </c>
    </row>
    <row r="1792" spans="1:26" ht="22.35" customHeight="1" x14ac:dyDescent="0.3">
      <c r="A1792" s="351" t="str">
        <f>+IF(PROVEEDORES[[#This Row],[FECHA DE PAGO]]=PROVEEDORES[[#This Row],[FECHA DE FACTURACIÓN]],"DE CONTADO","CRÉDITO")</f>
        <v>DE CONTADO</v>
      </c>
      <c r="B1792" s="38" t="b">
        <f>+IF((PROVEEDORES[[#This Row],[FECHA DE PAGO]]-PROVEEDORES[[#This Row],[FECHA DE FACTURACIÓN]])&gt;PROVEEDORES[[#This Row],[PLAZO Días]],"PAGO VENCIDO")</f>
        <v>0</v>
      </c>
      <c r="C1792" s="20">
        <f>+VLOOKUP(PROVEEDORES[[#This Row],[PROVEEDOR]],TERCEROS_INFO[#All],2,FALSE)</f>
        <v>30</v>
      </c>
      <c r="D1792" s="25">
        <f>+SUMIFS(PROVEEDORES[Total],PROVEEDORES[PROVEEDOR],PROVEEDORES[[#This Row],[PROVEEDOR]],PROVEEDORES[FECHA DE PAGO],"")</f>
        <v>0</v>
      </c>
      <c r="E1792" s="25"/>
      <c r="F1792" s="56">
        <f>+VLOOKUP(PROVEEDORES[[#This Row],[PROVEEDOR]],
                       Terceros!$A:$F,
                       5,
                       FALSE)</f>
        <v>0</v>
      </c>
      <c r="G1792" s="68">
        <v>45154</v>
      </c>
      <c r="H1792" s="26" t="s">
        <v>1800</v>
      </c>
      <c r="I1792" s="68">
        <v>45154</v>
      </c>
      <c r="J1792" s="35" t="s">
        <v>1938</v>
      </c>
      <c r="K1792" s="21">
        <v>216800</v>
      </c>
      <c r="L1792" s="21"/>
      <c r="M1792" s="22">
        <f>(PROVEEDORES[[#This Row],[SUBTOTAL]]-PROVEEDORES[[#This Row],[descuento sobre subtotal]])*VLOOKUP(PROVEEDORES[[#This Row],[PROVEEDOR]],TERCEROS_INFO[#All],3,FALSE)</f>
        <v>0</v>
      </c>
      <c r="N1792" s="23"/>
      <c r="O1792" s="22">
        <f>+PROVEEDORES[[#This Row],[Descuento sobre subtotal %]]*(PROVEEDORES[[#This Row],[SUBTOTAL]]-PROVEEDORES[[#This Row],[descuento sobre subtotal]])</f>
        <v>0</v>
      </c>
      <c r="P1792" s="74">
        <f>+IF(PROVEEDORES[[#This Row],[SUBTOTAL]]&lt;PROVEEDORES[[#This Row],[base retencion]],0,PROVEEDORES[[#This Row],[retención aplicada]])</f>
        <v>0</v>
      </c>
      <c r="Q1792" s="22">
        <f>+PROVEEDORES[[#This Row],[Rete Fuente %]]*(PROVEEDORES[[#This Row],[SUBTOTAL]]-PROVEEDORES[[#This Row],[descuento sobre subtotal]])</f>
        <v>0</v>
      </c>
      <c r="R1792" s="21">
        <f>+PROVEEDORES[[#This Row],[SUBTOTAL]]+PROVEEDORES[[#This Row],[IVA 19%]]-PROVEEDORES[[#This Row],[descuento sobre subtotal]]-PROVEEDORES[[#This Row],[Descuento sobre subtotal $2]]-PROVEEDORES[[#This Row],[Rete Fuente $]]</f>
        <v>216800</v>
      </c>
      <c r="S1792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2" s="63">
        <f ca="1">IF(PROVEEDORES[[#This Row],[FECHA DE PAGO]]=0,TODAY()-PROVEEDORES[[#This Row],[FECHA DE FACTURACIÓN]]-PROVEEDORES[[#This Row],[PLAZO Días]],0)</f>
        <v>0</v>
      </c>
      <c r="U1792" s="104">
        <f>+VLOOKUP(PROVEEDORES[[#This Row],[PROVEEDOR]],Terceros!$A:$D,4,FALSE)</f>
        <v>0</v>
      </c>
      <c r="V1792" s="105">
        <f>+YEAR(PROVEEDORES[[#This Row],[FECHA DE FACTURACIÓN]])</f>
        <v>2023</v>
      </c>
      <c r="W1792" s="105">
        <f>+MATCH(PROVEEDORES[[#This Row],[año facturado]],Retenciones!$1:$1,0)</f>
        <v>6</v>
      </c>
      <c r="X1792" s="106">
        <f>+VLOOKUP(PROVEEDORES[[#This Row],[ID RETENCION]],Retenciones!$A$1:$O$25,PROVEEDORES[[#This Row],[indicador de columna]],FALSE)</f>
        <v>0</v>
      </c>
      <c r="Y1792" s="107">
        <f>+VLOOKUP(PROVEEDORES[[#This Row],[ID RETENCION]],Retenciones!$A$1:$O$25,2,FALSE)</f>
        <v>0</v>
      </c>
      <c r="Z1792" s="116" t="b">
        <f>OR(COUNTIF(PROVEEDORES[[#This Row],[PROVEEDOR]],"*"&amp;'Palabra no opera'!$A$2&amp;"*"))</f>
        <v>0</v>
      </c>
    </row>
    <row r="1793" spans="1:26" ht="22.35" customHeight="1" x14ac:dyDescent="0.3">
      <c r="A1793" s="345" t="str">
        <f>+IF(PROVEEDORES[[#This Row],[FECHA DE PAGO]]=PROVEEDORES[[#This Row],[FECHA DE FACTURACIÓN]],"DE CONTADO","CRÉDITO")</f>
        <v>CRÉDITO</v>
      </c>
      <c r="B1793" s="38" t="b">
        <f>+IF((PROVEEDORES[[#This Row],[FECHA DE PAGO]]-PROVEEDORES[[#This Row],[FECHA DE FACTURACIÓN]])&gt;PROVEEDORES[[#This Row],[PLAZO Días]],"PAGO VENCIDO")</f>
        <v>0</v>
      </c>
      <c r="C1793" s="20">
        <f>+VLOOKUP(PROVEEDORES[[#This Row],[PROVEEDOR]],TERCEROS_INFO[#All],2,FALSE)</f>
        <v>30</v>
      </c>
      <c r="D1793" s="25">
        <f>+SUMIFS(PROVEEDORES[Total],PROVEEDORES[PROVEEDOR],PROVEEDORES[[#This Row],[PROVEEDOR]],PROVEEDORES[FECHA DE PAGO],"")</f>
        <v>0</v>
      </c>
      <c r="E1793" s="25"/>
      <c r="F1793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793" s="68">
        <v>45154</v>
      </c>
      <c r="H1793" s="26" t="s">
        <v>628</v>
      </c>
      <c r="I1793" s="68">
        <v>45140</v>
      </c>
      <c r="J1793" s="35" t="s">
        <v>1880</v>
      </c>
      <c r="K1793" s="21">
        <v>1840056</v>
      </c>
      <c r="L1793" s="21"/>
      <c r="M1793" s="22">
        <f>(PROVEEDORES[[#This Row],[SUBTOTAL]]-PROVEEDORES[[#This Row],[descuento sobre subtotal]])*VLOOKUP(PROVEEDORES[[#This Row],[PROVEEDOR]],TERCEROS_INFO[#All],3,FALSE)</f>
        <v>0</v>
      </c>
      <c r="N1793" s="23"/>
      <c r="O1793" s="22">
        <v>105097</v>
      </c>
      <c r="P1793" s="74">
        <f>+IF(PROVEEDORES[[#This Row],[SUBTOTAL]]&lt;PROVEEDORES[[#This Row],[base retencion]],0,PROVEEDORES[[#This Row],[retención aplicada]])</f>
        <v>0</v>
      </c>
      <c r="Q1793" s="22">
        <f>+PROVEEDORES[[#This Row],[Rete Fuente %]]*(PROVEEDORES[[#This Row],[SUBTOTAL]]-PROVEEDORES[[#This Row],[descuento sobre subtotal]])</f>
        <v>0</v>
      </c>
      <c r="R1793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1793" s="3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3" s="63">
        <f ca="1">IF(PROVEEDORES[[#This Row],[FECHA DE PAGO]]=0,TODAY()-PROVEEDORES[[#This Row],[FECHA DE FACTURACIÓN]]-PROVEEDORES[[#This Row],[PLAZO Días]],0)</f>
        <v>0</v>
      </c>
      <c r="U1793" s="104">
        <f>+VLOOKUP(PROVEEDORES[[#This Row],[PROVEEDOR]],Terceros!$A:$D,4,FALSE)</f>
        <v>0</v>
      </c>
      <c r="V1793" s="105">
        <f>+YEAR(PROVEEDORES[[#This Row],[FECHA DE FACTURACIÓN]])</f>
        <v>2023</v>
      </c>
      <c r="W1793" s="105">
        <f>+MATCH(PROVEEDORES[[#This Row],[año facturado]],Retenciones!$1:$1,0)</f>
        <v>6</v>
      </c>
      <c r="X1793" s="106">
        <f>+VLOOKUP(PROVEEDORES[[#This Row],[ID RETENCION]],Retenciones!$A$1:$O$25,PROVEEDORES[[#This Row],[indicador de columna]],FALSE)</f>
        <v>0</v>
      </c>
      <c r="Y1793" s="107">
        <f>+VLOOKUP(PROVEEDORES[[#This Row],[ID RETENCION]],Retenciones!$A$1:$O$25,2,FALSE)</f>
        <v>0</v>
      </c>
      <c r="Z1793" s="116" t="b">
        <f>OR(COUNTIF(PROVEEDORES[[#This Row],[PROVEEDOR]],"*"&amp;'Palabra no opera'!$A$2&amp;"*"))</f>
        <v>1</v>
      </c>
    </row>
    <row r="1794" spans="1:26" ht="22.35" customHeight="1" x14ac:dyDescent="0.3">
      <c r="A1794" s="353" t="str">
        <f>+IF(PROVEEDORES[[#This Row],[FECHA DE PAGO]]=PROVEEDORES[[#This Row],[FECHA DE FACTURACIÓN]],"DE CONTADO","CRÉDITO")</f>
        <v>CRÉDITO</v>
      </c>
      <c r="B1794" s="38" t="b">
        <f>+IF((PROVEEDORES[[#This Row],[FECHA DE PAGO]]-PROVEEDORES[[#This Row],[FECHA DE FACTURACIÓN]])&gt;PROVEEDORES[[#This Row],[PLAZO Días]],"PAGO VENCIDO")</f>
        <v>0</v>
      </c>
      <c r="C1794" s="20">
        <f>+VLOOKUP(PROVEEDORES[[#This Row],[PROVEEDOR]],TERCEROS_INFO[#All],2,FALSE)</f>
        <v>30</v>
      </c>
      <c r="D1794" s="25">
        <f>+SUMIFS(PROVEEDORES[Total],PROVEEDORES[PROVEEDOR],PROVEEDORES[[#This Row],[PROVEEDOR]],PROVEEDORES[FECHA DE PAGO],"")</f>
        <v>0</v>
      </c>
      <c r="E1794" s="25"/>
      <c r="F1794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794" s="68">
        <v>45154</v>
      </c>
      <c r="H1794" s="26" t="s">
        <v>651</v>
      </c>
      <c r="I1794" s="68">
        <v>45139</v>
      </c>
      <c r="J1794" s="35" t="s">
        <v>1944</v>
      </c>
      <c r="K1794" s="21">
        <v>243611</v>
      </c>
      <c r="L1794" s="21"/>
      <c r="M1794" s="22">
        <f>(PROVEEDORES[[#This Row],[SUBTOTAL]]-PROVEEDORES[[#This Row],[descuento sobre subtotal]])*VLOOKUP(PROVEEDORES[[#This Row],[PROVEEDOR]],TERCEROS_INFO[#All],3,FALSE)</f>
        <v>46286.090000000004</v>
      </c>
      <c r="N1794" s="23"/>
      <c r="O1794" s="22">
        <f>+PROVEEDORES[[#This Row],[Descuento sobre subtotal %]]*(PROVEEDORES[[#This Row],[SUBTOTAL]]-PROVEEDORES[[#This Row],[descuento sobre subtotal]])</f>
        <v>0</v>
      </c>
      <c r="P1794" s="74">
        <f>+IF(PROVEEDORES[[#This Row],[SUBTOTAL]]&lt;PROVEEDORES[[#This Row],[base retencion]],0,PROVEEDORES[[#This Row],[retención aplicada]])</f>
        <v>3.5000000000000003E-2</v>
      </c>
      <c r="Q1794" s="22">
        <f>+PROVEEDORES[[#This Row],[Rete Fuente %]]*(PROVEEDORES[[#This Row],[SUBTOTAL]]-PROVEEDORES[[#This Row],[descuento sobre subtotal]])</f>
        <v>8526.3850000000002</v>
      </c>
      <c r="R1794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794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4" s="63">
        <f ca="1">IF(PROVEEDORES[[#This Row],[FECHA DE PAGO]]=0,TODAY()-PROVEEDORES[[#This Row],[FECHA DE FACTURACIÓN]]-PROVEEDORES[[#This Row],[PLAZO Días]],0)</f>
        <v>0</v>
      </c>
      <c r="U1794" s="104" t="str">
        <f>+VLOOKUP(PROVEEDORES[[#This Row],[PROVEEDOR]],Terceros!$A:$D,4,FALSE)</f>
        <v>3,5% sin base</v>
      </c>
      <c r="V1794" s="105">
        <f>+YEAR(PROVEEDORES[[#This Row],[FECHA DE FACTURACIÓN]])</f>
        <v>2023</v>
      </c>
      <c r="W1794" s="105">
        <f>+MATCH(PROVEEDORES[[#This Row],[año facturado]],Retenciones!$1:$1,0)</f>
        <v>6</v>
      </c>
      <c r="X1794" s="106">
        <f>+VLOOKUP(PROVEEDORES[[#This Row],[ID RETENCION]],Retenciones!$A$1:$O$25,PROVEEDORES[[#This Row],[indicador de columna]],FALSE)</f>
        <v>0</v>
      </c>
      <c r="Y1794" s="107">
        <f>+VLOOKUP(PROVEEDORES[[#This Row],[ID RETENCION]],Retenciones!$A$1:$O$25,2,FALSE)</f>
        <v>3.5000000000000003E-2</v>
      </c>
      <c r="Z1794" s="116" t="b">
        <f>OR(COUNTIF(PROVEEDORES[[#This Row],[PROVEEDOR]],"*"&amp;'Palabra no opera'!$A$2&amp;"*"))</f>
        <v>1</v>
      </c>
    </row>
    <row r="1795" spans="1:26" ht="22.35" customHeight="1" x14ac:dyDescent="0.3">
      <c r="A1795" s="349" t="str">
        <f>+IF(PROVEEDORES[[#This Row],[FECHA DE PAGO]]=PROVEEDORES[[#This Row],[FECHA DE FACTURACIÓN]],"DE CONTADO","CRÉDITO")</f>
        <v>CRÉDITO</v>
      </c>
      <c r="B1795" s="38" t="b">
        <f>+IF((PROVEEDORES[[#This Row],[FECHA DE PAGO]]-PROVEEDORES[[#This Row],[FECHA DE FACTURACIÓN]])&gt;PROVEEDORES[[#This Row],[PLAZO Días]],"PAGO VENCIDO")</f>
        <v>0</v>
      </c>
      <c r="C1795" s="20">
        <f>+VLOOKUP(PROVEEDORES[[#This Row],[PROVEEDOR]],TERCEROS_INFO[#All],2,FALSE)</f>
        <v>30</v>
      </c>
      <c r="D1795" s="25">
        <f>+SUMIFS(PROVEEDORES[Total],PROVEEDORES[PROVEEDOR],PROVEEDORES[[#This Row],[PROVEEDOR]],PROVEEDORES[FECHA DE PAGO],"")</f>
        <v>0</v>
      </c>
      <c r="E1795" s="25"/>
      <c r="F1795" s="56" t="str">
        <f>+VLOOKUP(PROVEEDORES[[#This Row],[PROVEEDOR]],
                       Terceros!$A:$F,
                       5,
                       FALSE)</f>
        <v/>
      </c>
      <c r="G1795" s="68">
        <v>45155</v>
      </c>
      <c r="H1795" s="26" t="s">
        <v>23</v>
      </c>
      <c r="I1795" s="68">
        <v>45147</v>
      </c>
      <c r="J1795" s="35">
        <v>90105</v>
      </c>
      <c r="K1795" s="21">
        <v>50292956.899999999</v>
      </c>
      <c r="L1795" s="21"/>
      <c r="M1795" s="22">
        <f>(PROVEEDORES[[#This Row],[SUBTOTAL]]-PROVEEDORES[[#This Row],[descuento sobre subtotal]])*VLOOKUP(PROVEEDORES[[#This Row],[PROVEEDOR]],TERCEROS_INFO[#All],3,FALSE)</f>
        <v>0</v>
      </c>
      <c r="N1795" s="23"/>
      <c r="O1795" s="22">
        <f>+PROVEEDORES[[#This Row],[Descuento sobre subtotal %]]*(PROVEEDORES[[#This Row],[SUBTOTAL]]-PROVEEDORES[[#This Row],[descuento sobre subtotal]])</f>
        <v>0</v>
      </c>
      <c r="P1795" s="74">
        <f>+IF(PROVEEDORES[[#This Row],[SUBTOTAL]]&lt;PROVEEDORES[[#This Row],[base retencion]],0,PROVEEDORES[[#This Row],[retención aplicada]])</f>
        <v>0</v>
      </c>
      <c r="Q1795" s="22">
        <f>+PROVEEDORES[[#This Row],[Rete Fuente %]]*(PROVEEDORES[[#This Row],[SUBTOTAL]]-PROVEEDORES[[#This Row],[descuento sobre subtotal]])</f>
        <v>0</v>
      </c>
      <c r="R1795" s="21">
        <f>+PROVEEDORES[[#This Row],[SUBTOTAL]]+PROVEEDORES[[#This Row],[IVA 19%]]-PROVEEDORES[[#This Row],[descuento sobre subtotal]]-PROVEEDORES[[#This Row],[Descuento sobre subtotal $2]]-PROVEEDORES[[#This Row],[Rete Fuente $]]</f>
        <v>50292956.899999999</v>
      </c>
      <c r="S1795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5" s="63">
        <f ca="1">IF(PROVEEDORES[[#This Row],[FECHA DE PAGO]]=0,TODAY()-PROVEEDORES[[#This Row],[FECHA DE FACTURACIÓN]]-PROVEEDORES[[#This Row],[PLAZO Días]],0)</f>
        <v>0</v>
      </c>
      <c r="U1795" s="104">
        <f>+VLOOKUP(PROVEEDORES[[#This Row],[PROVEEDOR]],Terceros!$A:$D,4,FALSE)</f>
        <v>0</v>
      </c>
      <c r="V1795" s="105">
        <f>+YEAR(PROVEEDORES[[#This Row],[FECHA DE FACTURACIÓN]])</f>
        <v>2023</v>
      </c>
      <c r="W1795" s="105">
        <f>+MATCH(PROVEEDORES[[#This Row],[año facturado]],Retenciones!$1:$1,0)</f>
        <v>6</v>
      </c>
      <c r="X1795" s="106">
        <f>+VLOOKUP(PROVEEDORES[[#This Row],[ID RETENCION]],Retenciones!$A$1:$O$25,PROVEEDORES[[#This Row],[indicador de columna]],FALSE)</f>
        <v>0</v>
      </c>
      <c r="Y1795" s="107">
        <f>+VLOOKUP(PROVEEDORES[[#This Row],[ID RETENCION]],Retenciones!$A$1:$O$25,2,FALSE)</f>
        <v>0</v>
      </c>
      <c r="Z1795" s="116" t="b">
        <f>OR(COUNTIF(PROVEEDORES[[#This Row],[PROVEEDOR]],"*"&amp;'Palabra no opera'!$A$2&amp;"*"))</f>
        <v>0</v>
      </c>
    </row>
    <row r="1796" spans="1:26" ht="22.35" customHeight="1" x14ac:dyDescent="0.3">
      <c r="A1796" s="67" t="str">
        <f>+IF(PROVEEDORES[[#This Row],[FECHA DE PAGO]]=PROVEEDORES[[#This Row],[FECHA DE FACTURACIÓN]],"DE CONTADO","CRÉDITO")</f>
        <v>DE CONTADO</v>
      </c>
      <c r="B1796" s="38" t="b">
        <f>+IF((PROVEEDORES[[#This Row],[FECHA DE PAGO]]-PROVEEDORES[[#This Row],[FECHA DE FACTURACIÓN]])&gt;PROVEEDORES[[#This Row],[PLAZO Días]],"PAGO VENCIDO")</f>
        <v>0</v>
      </c>
      <c r="C1796" s="20">
        <f>+VLOOKUP(PROVEEDORES[[#This Row],[PROVEEDOR]],TERCEROS_INFO[#All],2,FALSE)</f>
        <v>30</v>
      </c>
      <c r="D1796" s="25">
        <f>+SUMIFS(PROVEEDORES[Total],PROVEEDORES[PROVEEDOR],PROVEEDORES[[#This Row],[PROVEEDOR]],PROVEEDORES[FECHA DE PAGO],"")</f>
        <v>0</v>
      </c>
      <c r="E1796" s="25"/>
      <c r="F1796" s="56" t="str">
        <f>+VLOOKUP(PROVEEDORES[[#This Row],[PROVEEDOR]],
                       Terceros!$A:$F,
                       5,
                       FALSE)</f>
        <v/>
      </c>
      <c r="G1796" s="68">
        <v>45156</v>
      </c>
      <c r="H1796" s="26" t="s">
        <v>37</v>
      </c>
      <c r="I1796" s="68">
        <v>45156</v>
      </c>
      <c r="J1796" s="35" t="s">
        <v>1903</v>
      </c>
      <c r="K1796" s="21">
        <v>18513</v>
      </c>
      <c r="L1796" s="21"/>
      <c r="M1796" s="22">
        <f>(PROVEEDORES[[#This Row],[SUBTOTAL]]-PROVEEDORES[[#This Row],[descuento sobre subtotal]])*VLOOKUP(PROVEEDORES[[#This Row],[PROVEEDOR]],TERCEROS_INFO[#All],3,FALSE)</f>
        <v>3517.4700000000003</v>
      </c>
      <c r="N1796" s="23"/>
      <c r="O1796" s="22">
        <f>+PROVEEDORES[[#This Row],[Descuento sobre subtotal %]]*(PROVEEDORES[[#This Row],[SUBTOTAL]]-PROVEEDORES[[#This Row],[descuento sobre subtotal]])</f>
        <v>0</v>
      </c>
      <c r="P1796" s="74">
        <f>+IF(PROVEEDORES[[#This Row],[SUBTOTAL]]&lt;PROVEEDORES[[#This Row],[base retencion]],0,PROVEEDORES[[#This Row],[retención aplicada]])</f>
        <v>0</v>
      </c>
      <c r="Q1796" s="22">
        <f>+PROVEEDORES[[#This Row],[Rete Fuente %]]*(PROVEEDORES[[#This Row],[SUBTOTAL]]-PROVEEDORES[[#This Row],[descuento sobre subtotal]])</f>
        <v>0</v>
      </c>
      <c r="R1796" s="21">
        <f>+PROVEEDORES[[#This Row],[SUBTOTAL]]+PROVEEDORES[[#This Row],[IVA 19%]]-PROVEEDORES[[#This Row],[descuento sobre subtotal]]-PROVEEDORES[[#This Row],[Descuento sobre subtotal $2]]-PROVEEDORES[[#This Row],[Rete Fuente $]]</f>
        <v>22030.47</v>
      </c>
      <c r="S17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6" s="63">
        <f ca="1">IF(PROVEEDORES[[#This Row],[FECHA DE PAGO]]=0,TODAY()-PROVEEDORES[[#This Row],[FECHA DE FACTURACIÓN]]-PROVEEDORES[[#This Row],[PLAZO Días]],0)</f>
        <v>0</v>
      </c>
      <c r="U1796" s="104" t="str">
        <f>+VLOOKUP(PROVEEDORES[[#This Row],[PROVEEDOR]],Terceros!$A:$D,4,FALSE)</f>
        <v>2,5% con base</v>
      </c>
      <c r="V1796" s="105">
        <f>+YEAR(PROVEEDORES[[#This Row],[FECHA DE FACTURACIÓN]])</f>
        <v>2023</v>
      </c>
      <c r="W1796" s="105">
        <f>+MATCH(PROVEEDORES[[#This Row],[año facturado]],Retenciones!$1:$1,0)</f>
        <v>6</v>
      </c>
      <c r="X1796" s="106">
        <f>+VLOOKUP(PROVEEDORES[[#This Row],[ID RETENCION]],Retenciones!$A$1:$O$25,PROVEEDORES[[#This Row],[indicador de columna]],FALSE)</f>
        <v>1145000</v>
      </c>
      <c r="Y1796" s="107">
        <f>+VLOOKUP(PROVEEDORES[[#This Row],[ID RETENCION]],Retenciones!$A$1:$O$25,2,FALSE)</f>
        <v>2.5000000000000001E-2</v>
      </c>
      <c r="Z1796" s="116" t="b">
        <f>OR(COUNTIF(PROVEEDORES[[#This Row],[PROVEEDOR]],"*"&amp;'Palabra no opera'!$A$2&amp;"*"))</f>
        <v>0</v>
      </c>
    </row>
    <row r="1797" spans="1:26" ht="22.35" customHeight="1" x14ac:dyDescent="0.3">
      <c r="A1797" s="347" t="str">
        <f>+IF(PROVEEDORES[[#This Row],[FECHA DE PAGO]]=PROVEEDORES[[#This Row],[FECHA DE FACTURACIÓN]],"DE CONTADO","CRÉDITO")</f>
        <v>CRÉDITO</v>
      </c>
      <c r="B1797" s="38" t="b">
        <f>+IF((PROVEEDORES[[#This Row],[FECHA DE PAGO]]-PROVEEDORES[[#This Row],[FECHA DE FACTURACIÓN]])&gt;PROVEEDORES[[#This Row],[PLAZO Días]],"PAGO VENCIDO")</f>
        <v>0</v>
      </c>
      <c r="C1797" s="20">
        <f>+VLOOKUP(PROVEEDORES[[#This Row],[PROVEEDOR]],TERCEROS_INFO[#All],2,FALSE)</f>
        <v>30</v>
      </c>
      <c r="D1797" s="25">
        <f>+SUMIFS(PROVEEDORES[Total],PROVEEDORES[PROVEEDOR],PROVEEDORES[[#This Row],[PROVEEDOR]],PROVEEDORES[FECHA DE PAGO],"")</f>
        <v>352505.48</v>
      </c>
      <c r="E1797" s="25"/>
      <c r="F1797" s="56" t="str">
        <f>+VLOOKUP(PROVEEDORES[[#This Row],[PROVEEDOR]],
                       Terceros!$A:$F,
                       5,
                       FALSE)</f>
        <v>facturacion@losmolinos.com.co</v>
      </c>
      <c r="G1797" s="68">
        <v>45156</v>
      </c>
      <c r="H1797" s="26" t="s">
        <v>631</v>
      </c>
      <c r="I1797" s="68">
        <v>45139</v>
      </c>
      <c r="J1797" s="35" t="s">
        <v>1882</v>
      </c>
      <c r="K1797" s="21">
        <v>318603</v>
      </c>
      <c r="L1797" s="21">
        <v>9545</v>
      </c>
      <c r="M1797" s="22">
        <f>(PROVEEDORES[[#This Row],[SUBTOTAL]]-PROVEEDORES[[#This Row],[descuento sobre subtotal]])*VLOOKUP(PROVEEDORES[[#This Row],[PROVEEDOR]],TERCEROS_INFO[#All],3,FALSE)</f>
        <v>0</v>
      </c>
      <c r="N1797" s="23"/>
      <c r="O1797" s="22">
        <f>+PROVEEDORES[[#This Row],[Descuento sobre subtotal %]]*(PROVEEDORES[[#This Row],[SUBTOTAL]]-PROVEEDORES[[#This Row],[descuento sobre subtotal]])</f>
        <v>0</v>
      </c>
      <c r="P1797" s="74">
        <f>+IF(PROVEEDORES[[#This Row],[SUBTOTAL]]&lt;PROVEEDORES[[#This Row],[base retencion]],0,PROVEEDORES[[#This Row],[retención aplicada]])</f>
        <v>0</v>
      </c>
      <c r="Q1797" s="22">
        <f>+PROVEEDORES[[#This Row],[Rete Fuente %]]*(PROVEEDORES[[#This Row],[SUBTOTAL]]-PROVEEDORES[[#This Row],[descuento sobre subtotal]])</f>
        <v>0</v>
      </c>
      <c r="R1797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1797" s="3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7" s="63">
        <f ca="1">IF(PROVEEDORES[[#This Row],[FECHA DE PAGO]]=0,TODAY()-PROVEEDORES[[#This Row],[FECHA DE FACTURACIÓN]]-PROVEEDORES[[#This Row],[PLAZO Días]],0)</f>
        <v>0</v>
      </c>
      <c r="U1797" s="104">
        <f>+VLOOKUP(PROVEEDORES[[#This Row],[PROVEEDOR]],Terceros!$A:$D,4,FALSE)</f>
        <v>0</v>
      </c>
      <c r="V1797" s="105">
        <f>+YEAR(PROVEEDORES[[#This Row],[FECHA DE FACTURACIÓN]])</f>
        <v>2023</v>
      </c>
      <c r="W1797" s="105">
        <f>+MATCH(PROVEEDORES[[#This Row],[año facturado]],Retenciones!$1:$1,0)</f>
        <v>6</v>
      </c>
      <c r="X1797" s="106">
        <f>+VLOOKUP(PROVEEDORES[[#This Row],[ID RETENCION]],Retenciones!$A$1:$O$25,PROVEEDORES[[#This Row],[indicador de columna]],FALSE)</f>
        <v>0</v>
      </c>
      <c r="Y1797" s="107">
        <f>+VLOOKUP(PROVEEDORES[[#This Row],[ID RETENCION]],Retenciones!$A$1:$O$25,2,FALSE)</f>
        <v>0</v>
      </c>
      <c r="Z1797" s="116" t="b">
        <f>OR(COUNTIF(PROVEEDORES[[#This Row],[PROVEEDOR]],"*"&amp;'Palabra no opera'!$A$2&amp;"*"))</f>
        <v>1</v>
      </c>
    </row>
    <row r="1798" spans="1:26" ht="22.35" customHeight="1" x14ac:dyDescent="0.3">
      <c r="A1798" s="349" t="str">
        <f>+IF(PROVEEDORES[[#This Row],[FECHA DE PAGO]]=PROVEEDORES[[#This Row],[FECHA DE FACTURACIÓN]],"DE CONTADO","CRÉDITO")</f>
        <v>DE CONTADO</v>
      </c>
      <c r="B1798" s="38" t="b">
        <f>+IF((PROVEEDORES[[#This Row],[FECHA DE PAGO]]-PROVEEDORES[[#This Row],[FECHA DE FACTURACIÓN]])&gt;PROVEEDORES[[#This Row],[PLAZO Días]],"PAGO VENCIDO")</f>
        <v>0</v>
      </c>
      <c r="C1798" s="20">
        <f>+VLOOKUP(PROVEEDORES[[#This Row],[PROVEEDOR]],TERCEROS_INFO[#All],2,FALSE)</f>
        <v>30</v>
      </c>
      <c r="D1798" s="25">
        <f>+SUMIFS(PROVEEDORES[Total],PROVEEDORES[PROVEEDOR],PROVEEDORES[[#This Row],[PROVEEDOR]],PROVEEDORES[FECHA DE PAGO],"")</f>
        <v>0</v>
      </c>
      <c r="E1798" s="25"/>
      <c r="F1798" s="56" t="str">
        <f>+VLOOKUP(PROVEEDORES[[#This Row],[PROVEEDOR]],
                       Terceros!$A:$F,
                       5,
                       FALSE)</f>
        <v/>
      </c>
      <c r="G1798" s="68">
        <v>45157</v>
      </c>
      <c r="H1798" s="26" t="s">
        <v>362</v>
      </c>
      <c r="I1798" s="68">
        <v>45157</v>
      </c>
      <c r="J1798" s="35" t="s">
        <v>1897</v>
      </c>
      <c r="K1798" s="21">
        <v>50000</v>
      </c>
      <c r="L1798" s="21"/>
      <c r="M1798" s="22">
        <f>(PROVEEDORES[[#This Row],[SUBTOTAL]]-PROVEEDORES[[#This Row],[descuento sobre subtotal]])*VLOOKUP(PROVEEDORES[[#This Row],[PROVEEDOR]],TERCEROS_INFO[#All],3,FALSE)</f>
        <v>0</v>
      </c>
      <c r="N1798" s="23"/>
      <c r="O1798" s="22">
        <f>+PROVEEDORES[[#This Row],[Descuento sobre subtotal %]]*(PROVEEDORES[[#This Row],[SUBTOTAL]]-PROVEEDORES[[#This Row],[descuento sobre subtotal]])</f>
        <v>0</v>
      </c>
      <c r="P1798" s="74">
        <f>+IF(PROVEEDORES[[#This Row],[SUBTOTAL]]&lt;PROVEEDORES[[#This Row],[base retencion]],0,PROVEEDORES[[#This Row],[retención aplicada]])</f>
        <v>0</v>
      </c>
      <c r="Q1798" s="22">
        <f>+PROVEEDORES[[#This Row],[Rete Fuente %]]*(PROVEEDORES[[#This Row],[SUBTOTAL]]-PROVEEDORES[[#This Row],[descuento sobre subtotal]])</f>
        <v>0</v>
      </c>
      <c r="R1798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1798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8" s="63">
        <f ca="1">IF(PROVEEDORES[[#This Row],[FECHA DE PAGO]]=0,TODAY()-PROVEEDORES[[#This Row],[FECHA DE FACTURACIÓN]]-PROVEEDORES[[#This Row],[PLAZO Días]],0)</f>
        <v>0</v>
      </c>
      <c r="U1798" s="104">
        <f>+VLOOKUP(PROVEEDORES[[#This Row],[PROVEEDOR]],Terceros!$A:$D,4,FALSE)</f>
        <v>0</v>
      </c>
      <c r="V1798" s="105">
        <f>+YEAR(PROVEEDORES[[#This Row],[FECHA DE FACTURACIÓN]])</f>
        <v>2023</v>
      </c>
      <c r="W1798" s="105">
        <f>+MATCH(PROVEEDORES[[#This Row],[año facturado]],Retenciones!$1:$1,0)</f>
        <v>6</v>
      </c>
      <c r="X1798" s="106">
        <f>+VLOOKUP(PROVEEDORES[[#This Row],[ID RETENCION]],Retenciones!$A$1:$O$25,PROVEEDORES[[#This Row],[indicador de columna]],FALSE)</f>
        <v>0</v>
      </c>
      <c r="Y1798" s="107">
        <f>+VLOOKUP(PROVEEDORES[[#This Row],[ID RETENCION]],Retenciones!$A$1:$O$25,2,FALSE)</f>
        <v>0</v>
      </c>
      <c r="Z1798" s="116" t="b">
        <f>OR(COUNTIF(PROVEEDORES[[#This Row],[PROVEEDOR]],"*"&amp;'Palabra no opera'!$A$2&amp;"*"))</f>
        <v>0</v>
      </c>
    </row>
    <row r="1799" spans="1:26" ht="22.35" customHeight="1" x14ac:dyDescent="0.3">
      <c r="A1799" s="349" t="str">
        <f>+IF(PROVEEDORES[[#This Row],[FECHA DE PAGO]]=PROVEEDORES[[#This Row],[FECHA DE FACTURACIÓN]],"DE CONTADO","CRÉDITO")</f>
        <v>DE CONTADO</v>
      </c>
      <c r="B1799" s="38" t="b">
        <f>+IF((PROVEEDORES[[#This Row],[FECHA DE PAGO]]-PROVEEDORES[[#This Row],[FECHA DE FACTURACIÓN]])&gt;PROVEEDORES[[#This Row],[PLAZO Días]],"PAGO VENCIDO")</f>
        <v>0</v>
      </c>
      <c r="C1799" s="20">
        <f>+VLOOKUP(PROVEEDORES[[#This Row],[PROVEEDOR]],TERCEROS_INFO[#All],2,FALSE)</f>
        <v>30</v>
      </c>
      <c r="D1799" s="25">
        <f>+SUMIFS(PROVEEDORES[Total],PROVEEDORES[PROVEEDOR],PROVEEDORES[[#This Row],[PROVEEDOR]],PROVEEDORES[FECHA DE PAGO],"")</f>
        <v>0</v>
      </c>
      <c r="E1799" s="25"/>
      <c r="F1799" s="56" t="str">
        <f>+VLOOKUP(PROVEEDORES[[#This Row],[PROVEEDOR]],
                       Terceros!$A:$F,
                       5,
                       FALSE)</f>
        <v/>
      </c>
      <c r="G1799" s="68">
        <v>45160</v>
      </c>
      <c r="H1799" s="26" t="s">
        <v>362</v>
      </c>
      <c r="I1799" s="68">
        <v>45160</v>
      </c>
      <c r="J1799" s="35" t="s">
        <v>1896</v>
      </c>
      <c r="K1799" s="21">
        <v>70000</v>
      </c>
      <c r="L1799" s="21"/>
      <c r="M1799" s="22">
        <f>(PROVEEDORES[[#This Row],[SUBTOTAL]]-PROVEEDORES[[#This Row],[descuento sobre subtotal]])*VLOOKUP(PROVEEDORES[[#This Row],[PROVEEDOR]],TERCEROS_INFO[#All],3,FALSE)</f>
        <v>0</v>
      </c>
      <c r="N1799" s="23"/>
      <c r="O1799" s="22">
        <f>+PROVEEDORES[[#This Row],[Descuento sobre subtotal %]]*(PROVEEDORES[[#This Row],[SUBTOTAL]]-PROVEEDORES[[#This Row],[descuento sobre subtotal]])</f>
        <v>0</v>
      </c>
      <c r="P1799" s="74">
        <f>+IF(PROVEEDORES[[#This Row],[SUBTOTAL]]&lt;PROVEEDORES[[#This Row],[base retencion]],0,PROVEEDORES[[#This Row],[retención aplicada]])</f>
        <v>0</v>
      </c>
      <c r="Q1799" s="22">
        <f>+PROVEEDORES[[#This Row],[Rete Fuente %]]*(PROVEEDORES[[#This Row],[SUBTOTAL]]-PROVEEDORES[[#This Row],[descuento sobre subtotal]])</f>
        <v>0</v>
      </c>
      <c r="R1799" s="21">
        <f>+PROVEEDORES[[#This Row],[SUBTOTAL]]+PROVEEDORES[[#This Row],[IVA 19%]]-PROVEEDORES[[#This Row],[descuento sobre subtotal]]-PROVEEDORES[[#This Row],[Descuento sobre subtotal $2]]-PROVEEDORES[[#This Row],[Rete Fuente $]]</f>
        <v>70000</v>
      </c>
      <c r="S1799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9" s="63">
        <f ca="1">IF(PROVEEDORES[[#This Row],[FECHA DE PAGO]]=0,TODAY()-PROVEEDORES[[#This Row],[FECHA DE FACTURACIÓN]]-PROVEEDORES[[#This Row],[PLAZO Días]],0)</f>
        <v>0</v>
      </c>
      <c r="U1799" s="104">
        <f>+VLOOKUP(PROVEEDORES[[#This Row],[PROVEEDOR]],Terceros!$A:$D,4,FALSE)</f>
        <v>0</v>
      </c>
      <c r="V1799" s="105">
        <f>+YEAR(PROVEEDORES[[#This Row],[FECHA DE FACTURACIÓN]])</f>
        <v>2023</v>
      </c>
      <c r="W1799" s="105">
        <f>+MATCH(PROVEEDORES[[#This Row],[año facturado]],Retenciones!$1:$1,0)</f>
        <v>6</v>
      </c>
      <c r="X1799" s="106">
        <f>+VLOOKUP(PROVEEDORES[[#This Row],[ID RETENCION]],Retenciones!$A$1:$O$25,PROVEEDORES[[#This Row],[indicador de columna]],FALSE)</f>
        <v>0</v>
      </c>
      <c r="Y1799" s="107">
        <f>+VLOOKUP(PROVEEDORES[[#This Row],[ID RETENCION]],Retenciones!$A$1:$O$25,2,FALSE)</f>
        <v>0</v>
      </c>
      <c r="Z1799" s="116" t="b">
        <f>OR(COUNTIF(PROVEEDORES[[#This Row],[PROVEEDOR]],"*"&amp;'Palabra no opera'!$A$2&amp;"*"))</f>
        <v>0</v>
      </c>
    </row>
    <row r="1800" spans="1:26" ht="22.35" customHeight="1" x14ac:dyDescent="0.3">
      <c r="A1800" s="67" t="str">
        <f>+IF(PROVEEDORES[[#This Row],[FECHA DE PAGO]]=PROVEEDORES[[#This Row],[FECHA DE FACTURACIÓN]],"DE CONTADO","CRÉDITO")</f>
        <v>CRÉDITO</v>
      </c>
      <c r="B1800" s="38" t="str">
        <f>+IF((PROVEEDORES[[#This Row],[FECHA DE PAGO]]-PROVEEDORES[[#This Row],[FECHA DE FACTURACIÓN]])&gt;PROVEEDORES[[#This Row],[PLAZO Días]],"PAGO VENCIDO")</f>
        <v>PAGO VENCIDO</v>
      </c>
      <c r="C1800" s="20">
        <f>+VLOOKUP(PROVEEDORES[[#This Row],[PROVEEDOR]],TERCEROS_INFO[#All],2,FALSE)</f>
        <v>30</v>
      </c>
      <c r="D1800" s="25">
        <f>+SUMIFS(PROVEEDORES[Total],PROVEEDORES[PROVEEDOR],PROVEEDORES[[#This Row],[PROVEEDOR]],PROVEEDORES[FECHA DE PAGO],"")</f>
        <v>-139600.09</v>
      </c>
      <c r="E1800" s="25"/>
      <c r="F1800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800" s="68">
        <v>45160</v>
      </c>
      <c r="H1800" s="26" t="s">
        <v>32</v>
      </c>
      <c r="I1800" s="68">
        <v>45100</v>
      </c>
      <c r="J1800" s="35" t="s">
        <v>1780</v>
      </c>
      <c r="K1800" s="21">
        <v>1119664</v>
      </c>
      <c r="L1800" s="21"/>
      <c r="M1800" s="22">
        <f>(PROVEEDORES[[#This Row],[SUBTOTAL]]-PROVEEDORES[[#This Row],[descuento sobre subtotal]])*VLOOKUP(PROVEEDORES[[#This Row],[PROVEEDOR]],TERCEROS_INFO[#All],3,FALSE)</f>
        <v>212736.16</v>
      </c>
      <c r="N1800" s="23"/>
      <c r="O1800" s="22">
        <f>+PROVEEDORES[[#This Row],[Descuento sobre subtotal %]]*(PROVEEDORES[[#This Row],[SUBTOTAL]]-PROVEEDORES[[#This Row],[descuento sobre subtotal]])</f>
        <v>0</v>
      </c>
      <c r="P1800" s="74">
        <f>+IF(PROVEEDORES[[#This Row],[SUBTOTAL]]&lt;PROVEEDORES[[#This Row],[base retencion]],0,PROVEEDORES[[#This Row],[retención aplicada]])</f>
        <v>0</v>
      </c>
      <c r="Q1800" s="22">
        <f>+PROVEEDORES[[#This Row],[Rete Fuente %]]*(PROVEEDORES[[#This Row],[SUBTOTAL]]-PROVEEDORES[[#This Row],[descuento sobre subtotal]])</f>
        <v>0</v>
      </c>
      <c r="R1800" s="21">
        <f>+PROVEEDORES[[#This Row],[SUBTOTAL]]+PROVEEDORES[[#This Row],[IVA 19%]]-PROVEEDORES[[#This Row],[descuento sobre subtotal]]-PROVEEDORES[[#This Row],[Descuento sobre subtotal $2]]-PROVEEDORES[[#This Row],[Rete Fuente $]]</f>
        <v>1332400.1599999999</v>
      </c>
      <c r="S18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0" s="63">
        <f ca="1">IF(PROVEEDORES[[#This Row],[FECHA DE PAGO]]=0,TODAY()-PROVEEDORES[[#This Row],[FECHA DE FACTURACIÓN]]-PROVEEDORES[[#This Row],[PLAZO Días]],0)</f>
        <v>0</v>
      </c>
      <c r="U1800" s="104" t="str">
        <f>+VLOOKUP(PROVEEDORES[[#This Row],[PROVEEDOR]],Terceros!$A:$D,4,FALSE)</f>
        <v>2,5% con base</v>
      </c>
      <c r="V1800" s="105">
        <f>+YEAR(PROVEEDORES[[#This Row],[FECHA DE FACTURACIÓN]])</f>
        <v>2023</v>
      </c>
      <c r="W1800" s="105">
        <f>+MATCH(PROVEEDORES[[#This Row],[año facturado]],Retenciones!$1:$1,0)</f>
        <v>6</v>
      </c>
      <c r="X1800" s="106">
        <f>+VLOOKUP(PROVEEDORES[[#This Row],[ID RETENCION]],Retenciones!$A$1:$O$25,PROVEEDORES[[#This Row],[indicador de columna]],FALSE)</f>
        <v>1145000</v>
      </c>
      <c r="Y1800" s="107">
        <f>+VLOOKUP(PROVEEDORES[[#This Row],[ID RETENCION]],Retenciones!$A$1:$O$25,2,FALSE)</f>
        <v>2.5000000000000001E-2</v>
      </c>
      <c r="Z1800" s="116" t="b">
        <f>OR(COUNTIF(PROVEEDORES[[#This Row],[PROVEEDOR]],"*"&amp;'Palabra no opera'!$A$2&amp;"*"))</f>
        <v>0</v>
      </c>
    </row>
    <row r="1801" spans="1:26" ht="22.35" customHeight="1" x14ac:dyDescent="0.3">
      <c r="A1801" s="67" t="str">
        <f>+IF(PROVEEDORES[[#This Row],[FECHA DE PAGO]]=PROVEEDORES[[#This Row],[FECHA DE FACTURACIÓN]],"DE CONTADO","CRÉDITO")</f>
        <v>CRÉDITO</v>
      </c>
      <c r="B1801" s="38" t="b">
        <f>+IF((PROVEEDORES[[#This Row],[FECHA DE PAGO]]-PROVEEDORES[[#This Row],[FECHA DE FACTURACIÓN]])&gt;PROVEEDORES[[#This Row],[PLAZO Días]],"PAGO VENCIDO")</f>
        <v>0</v>
      </c>
      <c r="C1801" s="20">
        <f>+VLOOKUP(PROVEEDORES[[#This Row],[PROVEEDOR]],TERCEROS_INFO[#All],2,FALSE)</f>
        <v>30</v>
      </c>
      <c r="D1801" s="25">
        <f>+SUMIFS(PROVEEDORES[Total],PROVEEDORES[PROVEEDOR],PROVEEDORES[[#This Row],[PROVEEDOR]],PROVEEDORES[FECHA DE PAGO],"")</f>
        <v>0</v>
      </c>
      <c r="E1801" s="25"/>
      <c r="F1801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801" s="68">
        <v>45160</v>
      </c>
      <c r="H1801" s="26" t="s">
        <v>635</v>
      </c>
      <c r="I1801" s="68">
        <v>45148</v>
      </c>
      <c r="J1801" s="35" t="s">
        <v>1888</v>
      </c>
      <c r="K1801" s="21">
        <v>3456200</v>
      </c>
      <c r="L1801" s="21"/>
      <c r="M1801" s="22">
        <f>(PROVEEDORES[[#This Row],[SUBTOTAL]]-PROVEEDORES[[#This Row],[descuento sobre subtotal]])*VLOOKUP(PROVEEDORES[[#This Row],[PROVEEDOR]],TERCEROS_INFO[#All],3,FALSE)</f>
        <v>0</v>
      </c>
      <c r="N1801" s="23"/>
      <c r="O1801" s="22">
        <f>+PROVEEDORES[[#This Row],[Descuento sobre subtotal %]]*(PROVEEDORES[[#This Row],[SUBTOTAL]]-PROVEEDORES[[#This Row],[descuento sobre subtotal]])</f>
        <v>0</v>
      </c>
      <c r="P1801" s="74">
        <f>+IF(PROVEEDORES[[#This Row],[SUBTOTAL]]&lt;PROVEEDORES[[#This Row],[base retencion]],0,PROVEEDORES[[#This Row],[retención aplicada]])</f>
        <v>3.5000000000000003E-2</v>
      </c>
      <c r="Q1801" s="22">
        <f>+PROVEEDORES[[#This Row],[Rete Fuente %]]*(PROVEEDORES[[#This Row],[SUBTOTAL]]-PROVEEDORES[[#This Row],[descuento sobre subtotal]])</f>
        <v>120967.00000000001</v>
      </c>
      <c r="R1801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18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1" s="63">
        <f ca="1">IF(PROVEEDORES[[#This Row],[FECHA DE PAGO]]=0,TODAY()-PROVEEDORES[[#This Row],[FECHA DE FACTURACIÓN]]-PROVEEDORES[[#This Row],[PLAZO Días]],0)</f>
        <v>0</v>
      </c>
      <c r="U1801" s="104" t="str">
        <f>+VLOOKUP(PROVEEDORES[[#This Row],[PROVEEDOR]],Terceros!$A:$D,4,FALSE)</f>
        <v>3,5% sin base</v>
      </c>
      <c r="V1801" s="105">
        <f>+YEAR(PROVEEDORES[[#This Row],[FECHA DE FACTURACIÓN]])</f>
        <v>2023</v>
      </c>
      <c r="W1801" s="105">
        <f>+MATCH(PROVEEDORES[[#This Row],[año facturado]],Retenciones!$1:$1,0)</f>
        <v>6</v>
      </c>
      <c r="X1801" s="106">
        <f>+VLOOKUP(PROVEEDORES[[#This Row],[ID RETENCION]],Retenciones!$A$1:$O$25,PROVEEDORES[[#This Row],[indicador de columna]],FALSE)</f>
        <v>0</v>
      </c>
      <c r="Y1801" s="107">
        <f>+VLOOKUP(PROVEEDORES[[#This Row],[ID RETENCION]],Retenciones!$A$1:$O$25,2,FALSE)</f>
        <v>3.5000000000000003E-2</v>
      </c>
      <c r="Z1801" s="116" t="b">
        <f>OR(COUNTIF(PROVEEDORES[[#This Row],[PROVEEDOR]],"*"&amp;'Palabra no opera'!$A$2&amp;"*"))</f>
        <v>1</v>
      </c>
    </row>
    <row r="1802" spans="1:26" ht="22.35" customHeight="1" x14ac:dyDescent="0.3">
      <c r="A1802" s="67" t="str">
        <f>+IF(PROVEEDORES[[#This Row],[FECHA DE PAGO]]=PROVEEDORES[[#This Row],[FECHA DE FACTURACIÓN]],"DE CONTADO","CRÉDITO")</f>
        <v>CRÉDITO</v>
      </c>
      <c r="B1802" s="38" t="b">
        <f>+IF((PROVEEDORES[[#This Row],[FECHA DE PAGO]]-PROVEEDORES[[#This Row],[FECHA DE FACTURACIÓN]])&gt;PROVEEDORES[[#This Row],[PLAZO Días]],"PAGO VENCIDO")</f>
        <v>0</v>
      </c>
      <c r="C1802" s="20">
        <f>+VLOOKUP(PROVEEDORES[[#This Row],[PROVEEDOR]],TERCEROS_INFO[#All],2,FALSE)</f>
        <v>30</v>
      </c>
      <c r="D1802" s="25">
        <f>+SUMIFS(PROVEEDORES[Total],PROVEEDORES[PROVEEDOR],PROVEEDORES[[#This Row],[PROVEEDOR]],PROVEEDORES[FECHA DE PAGO],"")</f>
        <v>0</v>
      </c>
      <c r="E1802" s="25"/>
      <c r="F180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2" s="68">
        <v>45161</v>
      </c>
      <c r="H1802" s="26" t="s">
        <v>637</v>
      </c>
      <c r="I1802" s="68">
        <v>45139</v>
      </c>
      <c r="J1802" s="35" t="s">
        <v>1890</v>
      </c>
      <c r="K1802" s="21">
        <v>934363</v>
      </c>
      <c r="L1802" s="21"/>
      <c r="M1802" s="22">
        <f>(PROVEEDORES[[#This Row],[SUBTOTAL]]-PROVEEDORES[[#This Row],[descuento sobre subtotal]])*VLOOKUP(PROVEEDORES[[#This Row],[PROVEEDOR]],TERCEROS_INFO[#All],3,FALSE)</f>
        <v>0</v>
      </c>
      <c r="N1802" s="23"/>
      <c r="O1802" s="22">
        <f>+PROVEEDORES[[#This Row],[Descuento sobre subtotal %]]*(PROVEEDORES[[#This Row],[SUBTOTAL]]-PROVEEDORES[[#This Row],[descuento sobre subtotal]])</f>
        <v>0</v>
      </c>
      <c r="P1802" s="74">
        <f>+IF(PROVEEDORES[[#This Row],[SUBTOTAL]]&lt;PROVEEDORES[[#This Row],[base retencion]],0,PROVEEDORES[[#This Row],[retención aplicada]])</f>
        <v>0</v>
      </c>
      <c r="Q1802" s="22">
        <f>+PROVEEDORES[[#This Row],[Rete Fuente %]]*(PROVEEDORES[[#This Row],[SUBTOTAL]]-PROVEEDORES[[#This Row],[descuento sobre subtotal]])</f>
        <v>0</v>
      </c>
      <c r="R1802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80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2" s="63">
        <f ca="1">IF(PROVEEDORES[[#This Row],[FECHA DE PAGO]]=0,TODAY()-PROVEEDORES[[#This Row],[FECHA DE FACTURACIÓN]]-PROVEEDORES[[#This Row],[PLAZO Días]],0)</f>
        <v>0</v>
      </c>
      <c r="U1802" s="104">
        <f>+VLOOKUP(PROVEEDORES[[#This Row],[PROVEEDOR]],Terceros!$A:$D,4,FALSE)</f>
        <v>0</v>
      </c>
      <c r="V1802" s="105">
        <f>+YEAR(PROVEEDORES[[#This Row],[FECHA DE FACTURACIÓN]])</f>
        <v>2023</v>
      </c>
      <c r="W1802" s="105">
        <f>+MATCH(PROVEEDORES[[#This Row],[año facturado]],Retenciones!$1:$1,0)</f>
        <v>6</v>
      </c>
      <c r="X1802" s="106">
        <f>+VLOOKUP(PROVEEDORES[[#This Row],[ID RETENCION]],Retenciones!$A$1:$O$25,PROVEEDORES[[#This Row],[indicador de columna]],FALSE)</f>
        <v>0</v>
      </c>
      <c r="Y1802" s="107">
        <f>+VLOOKUP(PROVEEDORES[[#This Row],[ID RETENCION]],Retenciones!$A$1:$O$25,2,FALSE)</f>
        <v>0</v>
      </c>
      <c r="Z1802" s="116" t="b">
        <f>OR(COUNTIF(PROVEEDORES[[#This Row],[PROVEEDOR]],"*"&amp;'Palabra no opera'!$A$2&amp;"*"))</f>
        <v>1</v>
      </c>
    </row>
    <row r="1803" spans="1:26" ht="22.35" customHeight="1" x14ac:dyDescent="0.3">
      <c r="A1803" s="67" t="str">
        <f>+IF(PROVEEDORES[[#This Row],[FECHA DE PAGO]]=PROVEEDORES[[#This Row],[FECHA DE FACTURACIÓN]],"DE CONTADO","CRÉDITO")</f>
        <v>CRÉDITO</v>
      </c>
      <c r="B1803" s="38" t="b">
        <f>+IF((PROVEEDORES[[#This Row],[FECHA DE PAGO]]-PROVEEDORES[[#This Row],[FECHA DE FACTURACIÓN]])&gt;PROVEEDORES[[#This Row],[PLAZO Días]],"PAGO VENCIDO")</f>
        <v>0</v>
      </c>
      <c r="C1803" s="20">
        <f>+VLOOKUP(PROVEEDORES[[#This Row],[PROVEEDOR]],TERCEROS_INFO[#All],2,FALSE)</f>
        <v>30</v>
      </c>
      <c r="D1803" s="25">
        <f>+SUMIFS(PROVEEDORES[Total],PROVEEDORES[PROVEEDOR],PROVEEDORES[[#This Row],[PROVEEDOR]],PROVEEDORES[FECHA DE PAGO],"")</f>
        <v>0</v>
      </c>
      <c r="E1803" s="25"/>
      <c r="F180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03" s="68">
        <v>45161</v>
      </c>
      <c r="H1803" s="26" t="s">
        <v>637</v>
      </c>
      <c r="I1803" s="68">
        <v>45139</v>
      </c>
      <c r="J1803" s="35" t="s">
        <v>1891</v>
      </c>
      <c r="K1803" s="21">
        <v>914023</v>
      </c>
      <c r="L1803" s="21"/>
      <c r="M1803" s="22">
        <f>(PROVEEDORES[[#This Row],[SUBTOTAL]]-PROVEEDORES[[#This Row],[descuento sobre subtotal]])*VLOOKUP(PROVEEDORES[[#This Row],[PROVEEDOR]],TERCEROS_INFO[#All],3,FALSE)</f>
        <v>0</v>
      </c>
      <c r="N1803" s="23"/>
      <c r="O1803" s="22">
        <f>+PROVEEDORES[[#This Row],[Descuento sobre subtotal %]]*(PROVEEDORES[[#This Row],[SUBTOTAL]]-PROVEEDORES[[#This Row],[descuento sobre subtotal]])</f>
        <v>0</v>
      </c>
      <c r="P1803" s="74">
        <f>+IF(PROVEEDORES[[#This Row],[SUBTOTAL]]&lt;PROVEEDORES[[#This Row],[base retencion]],0,PROVEEDORES[[#This Row],[retención aplicada]])</f>
        <v>0</v>
      </c>
      <c r="Q1803" s="22">
        <f>+PROVEEDORES[[#This Row],[Rete Fuente %]]*(PROVEEDORES[[#This Row],[SUBTOTAL]]-PROVEEDORES[[#This Row],[descuento sobre subtotal]])</f>
        <v>0</v>
      </c>
      <c r="R1803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8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3" s="63">
        <f ca="1">IF(PROVEEDORES[[#This Row],[FECHA DE PAGO]]=0,TODAY()-PROVEEDORES[[#This Row],[FECHA DE FACTURACIÓN]]-PROVEEDORES[[#This Row],[PLAZO Días]],0)</f>
        <v>0</v>
      </c>
      <c r="U1803" s="104">
        <f>+VLOOKUP(PROVEEDORES[[#This Row],[PROVEEDOR]],Terceros!$A:$D,4,FALSE)</f>
        <v>0</v>
      </c>
      <c r="V1803" s="105">
        <f>+YEAR(PROVEEDORES[[#This Row],[FECHA DE FACTURACIÓN]])</f>
        <v>2023</v>
      </c>
      <c r="W1803" s="105">
        <f>+MATCH(PROVEEDORES[[#This Row],[año facturado]],Retenciones!$1:$1,0)</f>
        <v>6</v>
      </c>
      <c r="X1803" s="106">
        <f>+VLOOKUP(PROVEEDORES[[#This Row],[ID RETENCION]],Retenciones!$A$1:$O$25,PROVEEDORES[[#This Row],[indicador de columna]],FALSE)</f>
        <v>0</v>
      </c>
      <c r="Y1803" s="107">
        <f>+VLOOKUP(PROVEEDORES[[#This Row],[ID RETENCION]],Retenciones!$A$1:$O$25,2,FALSE)</f>
        <v>0</v>
      </c>
      <c r="Z1803" s="116" t="b">
        <f>OR(COUNTIF(PROVEEDORES[[#This Row],[PROVEEDOR]],"*"&amp;'Palabra no opera'!$A$2&amp;"*"))</f>
        <v>1</v>
      </c>
    </row>
    <row r="1804" spans="1:26" ht="22.35" customHeight="1" x14ac:dyDescent="0.3">
      <c r="A1804" s="349" t="str">
        <f>+IF(PROVEEDORES[[#This Row],[FECHA DE PAGO]]=PROVEEDORES[[#This Row],[FECHA DE FACTURACIÓN]],"DE CONTADO","CRÉDITO")</f>
        <v>DE CONTADO</v>
      </c>
      <c r="B1804" s="38" t="b">
        <f>+IF((PROVEEDORES[[#This Row],[FECHA DE PAGO]]-PROVEEDORES[[#This Row],[FECHA DE FACTURACIÓN]])&gt;PROVEEDORES[[#This Row],[PLAZO Días]],"PAGO VENCIDO")</f>
        <v>0</v>
      </c>
      <c r="C1804" s="20">
        <f>+VLOOKUP(PROVEEDORES[[#This Row],[PROVEEDOR]],TERCEROS_INFO[#All],2,FALSE)</f>
        <v>0</v>
      </c>
      <c r="D1804" s="25">
        <f>+SUMIFS(PROVEEDORES[Total],PROVEEDORES[PROVEEDOR],PROVEEDORES[[#This Row],[PROVEEDOR]],PROVEEDORES[FECHA DE PAGO],"")</f>
        <v>0</v>
      </c>
      <c r="E1804" s="25"/>
      <c r="F1804" s="56">
        <f>+VLOOKUP(PROVEEDORES[[#This Row],[PROVEEDOR]],
                       Terceros!$A:$F,
                       5,
                       FALSE)</f>
        <v>0</v>
      </c>
      <c r="G1804" s="68">
        <v>45162</v>
      </c>
      <c r="H1804" s="26" t="s">
        <v>1898</v>
      </c>
      <c r="I1804" s="68">
        <v>45162</v>
      </c>
      <c r="J1804" s="35" t="s">
        <v>1899</v>
      </c>
      <c r="K1804" s="21">
        <v>487395</v>
      </c>
      <c r="L1804" s="21"/>
      <c r="M1804" s="22">
        <f>(PROVEEDORES[[#This Row],[SUBTOTAL]]-PROVEEDORES[[#This Row],[descuento sobre subtotal]])*VLOOKUP(PROVEEDORES[[#This Row],[PROVEEDOR]],TERCEROS_INFO[#All],3,FALSE)</f>
        <v>92605.05</v>
      </c>
      <c r="N1804" s="23"/>
      <c r="O1804" s="22">
        <f>+PROVEEDORES[[#This Row],[Descuento sobre subtotal %]]*(PROVEEDORES[[#This Row],[SUBTOTAL]]-PROVEEDORES[[#This Row],[descuento sobre subtotal]])</f>
        <v>0</v>
      </c>
      <c r="P1804" s="74">
        <f>+IF(PROVEEDORES[[#This Row],[SUBTOTAL]]&lt;PROVEEDORES[[#This Row],[base retencion]],0,PROVEEDORES[[#This Row],[retención aplicada]])</f>
        <v>0</v>
      </c>
      <c r="Q1804" s="22">
        <f>+PROVEEDORES[[#This Row],[Rete Fuente %]]*(PROVEEDORES[[#This Row],[SUBTOTAL]]-PROVEEDORES[[#This Row],[descuento sobre subtotal]])</f>
        <v>0</v>
      </c>
      <c r="R1804" s="21">
        <f>+PROVEEDORES[[#This Row],[SUBTOTAL]]+PROVEEDORES[[#This Row],[IVA 19%]]-PROVEEDORES[[#This Row],[descuento sobre subtotal]]-PROVEEDORES[[#This Row],[Descuento sobre subtotal $2]]-PROVEEDORES[[#This Row],[Rete Fuente $]]</f>
        <v>580000.05000000005</v>
      </c>
      <c r="S1804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4" s="63">
        <f ca="1">IF(PROVEEDORES[[#This Row],[FECHA DE PAGO]]=0,TODAY()-PROVEEDORES[[#This Row],[FECHA DE FACTURACIÓN]]-PROVEEDORES[[#This Row],[PLAZO Días]],0)</f>
        <v>0</v>
      </c>
      <c r="U1804" s="104" t="str">
        <f>+VLOOKUP(PROVEEDORES[[#This Row],[PROVEEDOR]],Terceros!$A:$D,4,FALSE)</f>
        <v>2,5% con base</v>
      </c>
      <c r="V1804" s="105">
        <f>+YEAR(PROVEEDORES[[#This Row],[FECHA DE FACTURACIÓN]])</f>
        <v>2023</v>
      </c>
      <c r="W1804" s="105">
        <f>+MATCH(PROVEEDORES[[#This Row],[año facturado]],Retenciones!$1:$1,0)</f>
        <v>6</v>
      </c>
      <c r="X1804" s="106">
        <f>+VLOOKUP(PROVEEDORES[[#This Row],[ID RETENCION]],Retenciones!$A$1:$O$25,PROVEEDORES[[#This Row],[indicador de columna]],FALSE)</f>
        <v>1145000</v>
      </c>
      <c r="Y1804" s="107">
        <f>+VLOOKUP(PROVEEDORES[[#This Row],[ID RETENCION]],Retenciones!$A$1:$O$25,2,FALSE)</f>
        <v>2.5000000000000001E-2</v>
      </c>
      <c r="Z1804" s="116" t="b">
        <f>OR(COUNTIF(PROVEEDORES[[#This Row],[PROVEEDOR]],"*"&amp;'Palabra no opera'!$A$2&amp;"*"))</f>
        <v>0</v>
      </c>
    </row>
    <row r="1805" spans="1:26" ht="22.35" customHeight="1" x14ac:dyDescent="0.3">
      <c r="A1805" s="349" t="str">
        <f>+IF(PROVEEDORES[[#This Row],[FECHA DE PAGO]]=PROVEEDORES[[#This Row],[FECHA DE FACTURACIÓN]],"DE CONTADO","CRÉDITO")</f>
        <v>DE CONTADO</v>
      </c>
      <c r="B1805" s="38" t="b">
        <f>+IF((PROVEEDORES[[#This Row],[FECHA DE PAGO]]-PROVEEDORES[[#This Row],[FECHA DE FACTURACIÓN]])&gt;PROVEEDORES[[#This Row],[PLAZO Días]],"PAGO VENCIDO")</f>
        <v>0</v>
      </c>
      <c r="C1805" s="20">
        <f>+VLOOKUP(PROVEEDORES[[#This Row],[PROVEEDOR]],TERCEROS_INFO[#All],2,FALSE)</f>
        <v>30</v>
      </c>
      <c r="D1805" s="25">
        <f>+SUMIFS(PROVEEDORES[Total],PROVEEDORES[PROVEEDOR],PROVEEDORES[[#This Row],[PROVEEDOR]],PROVEEDORES[FECHA DE PAGO],"")</f>
        <v>0</v>
      </c>
      <c r="E1805" s="25"/>
      <c r="F1805" s="56" t="str">
        <f>+VLOOKUP(PROVEEDORES[[#This Row],[PROVEEDOR]],
                       Terceros!$A:$F,
                       5,
                       FALSE)</f>
        <v/>
      </c>
      <c r="G1805" s="68">
        <v>45163</v>
      </c>
      <c r="H1805" s="26" t="s">
        <v>378</v>
      </c>
      <c r="I1805" s="68">
        <v>45163</v>
      </c>
      <c r="J1805" s="35" t="s">
        <v>1895</v>
      </c>
      <c r="K1805" s="21">
        <v>1280000</v>
      </c>
      <c r="L1805" s="21"/>
      <c r="M1805" s="22">
        <f>(PROVEEDORES[[#This Row],[SUBTOTAL]]-PROVEEDORES[[#This Row],[descuento sobre subtotal]])*VLOOKUP(PROVEEDORES[[#This Row],[PROVEEDOR]],TERCEROS_INFO[#All],3,FALSE)</f>
        <v>0</v>
      </c>
      <c r="N1805" s="23"/>
      <c r="O1805" s="22">
        <f>+PROVEEDORES[[#This Row],[Descuento sobre subtotal %]]*(PROVEEDORES[[#This Row],[SUBTOTAL]]-PROVEEDORES[[#This Row],[descuento sobre subtotal]])</f>
        <v>0</v>
      </c>
      <c r="P1805" s="74">
        <f>+IF(PROVEEDORES[[#This Row],[SUBTOTAL]]&lt;PROVEEDORES[[#This Row],[base retencion]],0,PROVEEDORES[[#This Row],[retención aplicada]])</f>
        <v>0</v>
      </c>
      <c r="Q1805" s="22">
        <f>+PROVEEDORES[[#This Row],[Rete Fuente %]]*(PROVEEDORES[[#This Row],[SUBTOTAL]]-PROVEEDORES[[#This Row],[descuento sobre subtotal]])</f>
        <v>0</v>
      </c>
      <c r="R1805" s="21">
        <f>+PROVEEDORES[[#This Row],[SUBTOTAL]]+PROVEEDORES[[#This Row],[IVA 19%]]-PROVEEDORES[[#This Row],[descuento sobre subtotal]]-PROVEEDORES[[#This Row],[Descuento sobre subtotal $2]]-PROVEEDORES[[#This Row],[Rete Fuente $]]</f>
        <v>1280000</v>
      </c>
      <c r="S1805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5" s="63">
        <f ca="1">IF(PROVEEDORES[[#This Row],[FECHA DE PAGO]]=0,TODAY()-PROVEEDORES[[#This Row],[FECHA DE FACTURACIÓN]]-PROVEEDORES[[#This Row],[PLAZO Días]],0)</f>
        <v>0</v>
      </c>
      <c r="U1805" s="104">
        <f>+VLOOKUP(PROVEEDORES[[#This Row],[PROVEEDOR]],Terceros!$A:$D,4,FALSE)</f>
        <v>0</v>
      </c>
      <c r="V1805" s="105">
        <f>+YEAR(PROVEEDORES[[#This Row],[FECHA DE FACTURACIÓN]])</f>
        <v>2023</v>
      </c>
      <c r="W1805" s="105">
        <f>+MATCH(PROVEEDORES[[#This Row],[año facturado]],Retenciones!$1:$1,0)</f>
        <v>6</v>
      </c>
      <c r="X1805" s="106">
        <f>+VLOOKUP(PROVEEDORES[[#This Row],[ID RETENCION]],Retenciones!$A$1:$O$25,PROVEEDORES[[#This Row],[indicador de columna]],FALSE)</f>
        <v>0</v>
      </c>
      <c r="Y1805" s="107">
        <f>+VLOOKUP(PROVEEDORES[[#This Row],[ID RETENCION]],Retenciones!$A$1:$O$25,2,FALSE)</f>
        <v>0</v>
      </c>
      <c r="Z1805" s="116" t="b">
        <f>OR(COUNTIF(PROVEEDORES[[#This Row],[PROVEEDOR]],"*"&amp;'Palabra no opera'!$A$2&amp;"*"))</f>
        <v>0</v>
      </c>
    </row>
    <row r="1806" spans="1:26" ht="22.35" customHeight="1" x14ac:dyDescent="0.3">
      <c r="A1806" s="67" t="str">
        <f>+IF(PROVEEDORES[[#This Row],[FECHA DE PAGO]]=PROVEEDORES[[#This Row],[FECHA DE FACTURACIÓN]],"DE CONTADO","CRÉDITO")</f>
        <v>CRÉDITO</v>
      </c>
      <c r="B1806" s="38" t="str">
        <f>+IF((PROVEEDORES[[#This Row],[FECHA DE PAGO]]-PROVEEDORES[[#This Row],[FECHA DE FACTURACIÓN]])&gt;PROVEEDORES[[#This Row],[PLAZO Días]],"PAGO VENCIDO")</f>
        <v>PAGO VENCIDO</v>
      </c>
      <c r="C1806" s="20">
        <f>+VLOOKUP(PROVEEDORES[[#This Row],[PROVEEDOR]],TERCEROS_INFO[#All],2,FALSE)</f>
        <v>30</v>
      </c>
      <c r="D1806" s="25">
        <f>+SUMIFS(PROVEEDORES[Total],PROVEEDORES[PROVEEDOR],PROVEEDORES[[#This Row],[PROVEEDOR]],PROVEEDORES[FECHA DE PAGO],"")</f>
        <v>0</v>
      </c>
      <c r="E1806" s="25"/>
      <c r="F1806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806" s="68">
        <v>45163</v>
      </c>
      <c r="H1806" s="26" t="s">
        <v>1069</v>
      </c>
      <c r="I1806" s="68">
        <v>45128</v>
      </c>
      <c r="J1806" s="35" t="s">
        <v>1826</v>
      </c>
      <c r="K1806" s="21">
        <v>1369750</v>
      </c>
      <c r="L1806" s="21"/>
      <c r="M1806" s="22">
        <f>(PROVEEDORES[[#This Row],[SUBTOTAL]]-PROVEEDORES[[#This Row],[descuento sobre subtotal]])*VLOOKUP(PROVEEDORES[[#This Row],[PROVEEDOR]],TERCEROS_INFO[#All],3,FALSE)</f>
        <v>260252.5</v>
      </c>
      <c r="N1806" s="23"/>
      <c r="O1806" s="22">
        <f>+PROVEEDORES[[#This Row],[Descuento sobre subtotal %]]*(PROVEEDORES[[#This Row],[SUBTOTAL]]-PROVEEDORES[[#This Row],[descuento sobre subtotal]])</f>
        <v>0</v>
      </c>
      <c r="P1806" s="74">
        <f>+IF(PROVEEDORES[[#This Row],[SUBTOTAL]]&lt;PROVEEDORES[[#This Row],[base retencion]],0,PROVEEDORES[[#This Row],[retención aplicada]])</f>
        <v>2.5000000000000001E-2</v>
      </c>
      <c r="Q1806" s="22">
        <f>+PROVEEDORES[[#This Row],[Rete Fuente %]]*(PROVEEDORES[[#This Row],[SUBTOTAL]]-PROVEEDORES[[#This Row],[descuento sobre subtotal]])</f>
        <v>34243.75</v>
      </c>
      <c r="R1806" s="21">
        <f>+PROVEEDORES[[#This Row],[SUBTOTAL]]+PROVEEDORES[[#This Row],[IVA 19%]]-PROVEEDORES[[#This Row],[descuento sobre subtotal]]-PROVEEDORES[[#This Row],[Descuento sobre subtotal $2]]-PROVEEDORES[[#This Row],[Rete Fuente $]]</f>
        <v>1595758.75</v>
      </c>
      <c r="S18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6" s="63">
        <f ca="1">IF(PROVEEDORES[[#This Row],[FECHA DE PAGO]]=0,TODAY()-PROVEEDORES[[#This Row],[FECHA DE FACTURACIÓN]]-PROVEEDORES[[#This Row],[PLAZO Días]],0)</f>
        <v>0</v>
      </c>
      <c r="U1806" s="104" t="str">
        <f>+VLOOKUP(PROVEEDORES[[#This Row],[PROVEEDOR]],Terceros!$A:$D,4,FALSE)</f>
        <v>2,5% con base</v>
      </c>
      <c r="V1806" s="105">
        <f>+YEAR(PROVEEDORES[[#This Row],[FECHA DE FACTURACIÓN]])</f>
        <v>2023</v>
      </c>
      <c r="W1806" s="105">
        <f>+MATCH(PROVEEDORES[[#This Row],[año facturado]],Retenciones!$1:$1,0)</f>
        <v>6</v>
      </c>
      <c r="X1806" s="106">
        <f>+VLOOKUP(PROVEEDORES[[#This Row],[ID RETENCION]],Retenciones!$A$1:$O$25,PROVEEDORES[[#This Row],[indicador de columna]],FALSE)</f>
        <v>1145000</v>
      </c>
      <c r="Y1806" s="107">
        <f>+VLOOKUP(PROVEEDORES[[#This Row],[ID RETENCION]],Retenciones!$A$1:$O$25,2,FALSE)</f>
        <v>2.5000000000000001E-2</v>
      </c>
      <c r="Z1806" s="116" t="b">
        <f>OR(COUNTIF(PROVEEDORES[[#This Row],[PROVEEDOR]],"*"&amp;'Palabra no opera'!$A$2&amp;"*"))</f>
        <v>0</v>
      </c>
    </row>
    <row r="1807" spans="1:26" ht="22.35" customHeight="1" x14ac:dyDescent="0.3">
      <c r="A1807" s="333" t="str">
        <f>+IF(PROVEEDORES[[#This Row],[FECHA DE PAGO]]=PROVEEDORES[[#This Row],[FECHA DE FACTURACIÓN]],"DE CONTADO","CRÉDITO")</f>
        <v>CRÉDITO</v>
      </c>
      <c r="B1807" s="38" t="str">
        <f>+IF((PROVEEDORES[[#This Row],[FECHA DE PAGO]]-PROVEEDORES[[#This Row],[FECHA DE FACTURACIÓN]])&gt;PROVEEDORES[[#This Row],[PLAZO Días]],"PAGO VENCIDO")</f>
        <v>PAGO VENCIDO</v>
      </c>
      <c r="C1807" s="20">
        <f>+VLOOKUP(PROVEEDORES[[#This Row],[PROVEEDOR]],TERCEROS_INFO[#All],2,FALSE)</f>
        <v>30</v>
      </c>
      <c r="D1807" s="25">
        <f>+SUMIFS(PROVEEDORES[Total],PROVEEDORES[PROVEEDOR],PROVEEDORES[[#This Row],[PROVEEDOR]],PROVEEDORES[FECHA DE PAGO],"")</f>
        <v>4248480.9550000001</v>
      </c>
      <c r="E1807" s="25"/>
      <c r="F1807" s="56" t="str">
        <f>+VLOOKUP(PROVEEDORES[[#This Row],[PROVEEDOR]],
                       Terceros!$A:$F,
                       5,
                       FALSE)</f>
        <v/>
      </c>
      <c r="G1807" s="68">
        <v>45166</v>
      </c>
      <c r="H1807" s="26" t="s">
        <v>78</v>
      </c>
      <c r="I1807" s="68">
        <v>45121</v>
      </c>
      <c r="J1807" s="35" t="s">
        <v>1808</v>
      </c>
      <c r="K1807" s="21">
        <v>2828983</v>
      </c>
      <c r="L1807" s="21"/>
      <c r="M1807" s="22">
        <f>(PROVEEDORES[[#This Row],[SUBTOTAL]]-PROVEEDORES[[#This Row],[descuento sobre subtotal]])*VLOOKUP(PROVEEDORES[[#This Row],[PROVEEDOR]],TERCEROS_INFO[#All],3,FALSE)</f>
        <v>537506.77</v>
      </c>
      <c r="N1807" s="23"/>
      <c r="O1807" s="22">
        <f>+PROVEEDORES[[#This Row],[Descuento sobre subtotal %]]*(PROVEEDORES[[#This Row],[SUBTOTAL]]-PROVEEDORES[[#This Row],[descuento sobre subtotal]])</f>
        <v>0</v>
      </c>
      <c r="P1807" s="74">
        <f>+IF(PROVEEDORES[[#This Row],[SUBTOTAL]]&lt;PROVEEDORES[[#This Row],[base retencion]],0,PROVEEDORES[[#This Row],[retención aplicada]])</f>
        <v>2.5000000000000001E-2</v>
      </c>
      <c r="Q1807" s="22">
        <f>+PROVEEDORES[[#This Row],[Rete Fuente %]]*(PROVEEDORES[[#This Row],[SUBTOTAL]]-PROVEEDORES[[#This Row],[descuento sobre subtotal]])</f>
        <v>70724.574999999997</v>
      </c>
      <c r="R1807" s="21">
        <f>+PROVEEDORES[[#This Row],[SUBTOTAL]]+PROVEEDORES[[#This Row],[IVA 19%]]-PROVEEDORES[[#This Row],[descuento sobre subtotal]]-PROVEEDORES[[#This Row],[Descuento sobre subtotal $2]]-PROVEEDORES[[#This Row],[Rete Fuente $]]</f>
        <v>3295765.1949999998</v>
      </c>
      <c r="S1807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7" s="63">
        <f ca="1">IF(PROVEEDORES[[#This Row],[FECHA DE PAGO]]=0,TODAY()-PROVEEDORES[[#This Row],[FECHA DE FACTURACIÓN]]-PROVEEDORES[[#This Row],[PLAZO Días]],0)</f>
        <v>0</v>
      </c>
      <c r="U1807" s="104" t="str">
        <f>+VLOOKUP(PROVEEDORES[[#This Row],[PROVEEDOR]],Terceros!$A:$D,4,FALSE)</f>
        <v>2,5% con base</v>
      </c>
      <c r="V1807" s="105">
        <f>+YEAR(PROVEEDORES[[#This Row],[FECHA DE FACTURACIÓN]])</f>
        <v>2023</v>
      </c>
      <c r="W1807" s="105">
        <f>+MATCH(PROVEEDORES[[#This Row],[año facturado]],Retenciones!$1:$1,0)</f>
        <v>6</v>
      </c>
      <c r="X1807" s="106">
        <f>+VLOOKUP(PROVEEDORES[[#This Row],[ID RETENCION]],Retenciones!$A$1:$O$25,PROVEEDORES[[#This Row],[indicador de columna]],FALSE)</f>
        <v>1145000</v>
      </c>
      <c r="Y1807" s="107">
        <f>+VLOOKUP(PROVEEDORES[[#This Row],[ID RETENCION]],Retenciones!$A$1:$O$25,2,FALSE)</f>
        <v>2.5000000000000001E-2</v>
      </c>
      <c r="Z1807" s="116" t="b">
        <f>OR(COUNTIF(PROVEEDORES[[#This Row],[PROVEEDOR]],"*"&amp;'Palabra no opera'!$A$2&amp;"*"))</f>
        <v>0</v>
      </c>
    </row>
    <row r="1808" spans="1:26" ht="22.35" customHeight="1" x14ac:dyDescent="0.3">
      <c r="A1808" s="67" t="str">
        <f>+IF(PROVEEDORES[[#This Row],[FECHA DE PAGO]]=PROVEEDORES[[#This Row],[FECHA DE FACTURACIÓN]],"DE CONTADO","CRÉDITO")</f>
        <v>CRÉDITO</v>
      </c>
      <c r="B1808" s="38" t="str">
        <f>+IF((PROVEEDORES[[#This Row],[FECHA DE PAGO]]-PROVEEDORES[[#This Row],[FECHA DE FACTURACIÓN]])&gt;PROVEEDORES[[#This Row],[PLAZO Días]],"PAGO VENCIDO")</f>
        <v>PAGO VENCIDO</v>
      </c>
      <c r="C1808" s="20">
        <f>+VLOOKUP(PROVEEDORES[[#This Row],[PROVEEDOR]],TERCEROS_INFO[#All],2,FALSE)</f>
        <v>30</v>
      </c>
      <c r="D1808" s="25">
        <f>+SUMIFS(PROVEEDORES[Total],PROVEEDORES[PROVEEDOR],PROVEEDORES[[#This Row],[PROVEEDOR]],PROVEEDORES[FECHA DE PAGO],"")</f>
        <v>4248480.9550000001</v>
      </c>
      <c r="E1808" s="25"/>
      <c r="F1808" s="56" t="str">
        <f>+VLOOKUP(PROVEEDORES[[#This Row],[PROVEEDOR]],
                       Terceros!$A:$F,
                       5,
                       FALSE)</f>
        <v/>
      </c>
      <c r="G1808" s="68">
        <v>45166</v>
      </c>
      <c r="H1808" s="26" t="s">
        <v>78</v>
      </c>
      <c r="I1808" s="68">
        <v>45132</v>
      </c>
      <c r="J1808" s="35" t="s">
        <v>1840</v>
      </c>
      <c r="K1808" s="21">
        <v>1571429</v>
      </c>
      <c r="L1808" s="21"/>
      <c r="M1808" s="22">
        <f>(PROVEEDORES[[#This Row],[SUBTOTAL]]-PROVEEDORES[[#This Row],[descuento sobre subtotal]])*VLOOKUP(PROVEEDORES[[#This Row],[PROVEEDOR]],TERCEROS_INFO[#All],3,FALSE)</f>
        <v>298571.51</v>
      </c>
      <c r="N1808" s="23"/>
      <c r="O1808" s="22">
        <f>+PROVEEDORES[[#This Row],[Descuento sobre subtotal %]]*(PROVEEDORES[[#This Row],[SUBTOTAL]]-PROVEEDORES[[#This Row],[descuento sobre subtotal]])</f>
        <v>0</v>
      </c>
      <c r="P1808" s="74">
        <f>+IF(PROVEEDORES[[#This Row],[SUBTOTAL]]&lt;PROVEEDORES[[#This Row],[base retencion]],0,PROVEEDORES[[#This Row],[retención aplicada]])</f>
        <v>2.5000000000000001E-2</v>
      </c>
      <c r="Q1808" s="22">
        <f>+PROVEEDORES[[#This Row],[Rete Fuente %]]*(PROVEEDORES[[#This Row],[SUBTOTAL]]-PROVEEDORES[[#This Row],[descuento sobre subtotal]])</f>
        <v>39285.724999999999</v>
      </c>
      <c r="R1808" s="21">
        <f>+PROVEEDORES[[#This Row],[SUBTOTAL]]+PROVEEDORES[[#This Row],[IVA 19%]]-PROVEEDORES[[#This Row],[descuento sobre subtotal]]-PROVEEDORES[[#This Row],[Descuento sobre subtotal $2]]-PROVEEDORES[[#This Row],[Rete Fuente $]]</f>
        <v>1830714.7849999999</v>
      </c>
      <c r="S18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8" s="63">
        <f ca="1">IF(PROVEEDORES[[#This Row],[FECHA DE PAGO]]=0,TODAY()-PROVEEDORES[[#This Row],[FECHA DE FACTURACIÓN]]-PROVEEDORES[[#This Row],[PLAZO Días]],0)</f>
        <v>0</v>
      </c>
      <c r="U1808" s="104" t="str">
        <f>+VLOOKUP(PROVEEDORES[[#This Row],[PROVEEDOR]],Terceros!$A:$D,4,FALSE)</f>
        <v>2,5% con base</v>
      </c>
      <c r="V1808" s="105">
        <f>+YEAR(PROVEEDORES[[#This Row],[FECHA DE FACTURACIÓN]])</f>
        <v>2023</v>
      </c>
      <c r="W1808" s="105">
        <f>+MATCH(PROVEEDORES[[#This Row],[año facturado]],Retenciones!$1:$1,0)</f>
        <v>6</v>
      </c>
      <c r="X1808" s="106">
        <f>+VLOOKUP(PROVEEDORES[[#This Row],[ID RETENCION]],Retenciones!$A$1:$O$25,PROVEEDORES[[#This Row],[indicador de columna]],FALSE)</f>
        <v>1145000</v>
      </c>
      <c r="Y1808" s="107">
        <f>+VLOOKUP(PROVEEDORES[[#This Row],[ID RETENCION]],Retenciones!$A$1:$O$25,2,FALSE)</f>
        <v>2.5000000000000001E-2</v>
      </c>
      <c r="Z1808" s="116" t="b">
        <f>OR(COUNTIF(PROVEEDORES[[#This Row],[PROVEEDOR]],"*"&amp;'Palabra no opera'!$A$2&amp;"*"))</f>
        <v>0</v>
      </c>
    </row>
    <row r="1809" spans="1:26" ht="22.35" customHeight="1" x14ac:dyDescent="0.3">
      <c r="A1809" s="349" t="str">
        <f>+IF(PROVEEDORES[[#This Row],[FECHA DE PAGO]]=PROVEEDORES[[#This Row],[FECHA DE FACTURACIÓN]],"DE CONTADO","CRÉDITO")</f>
        <v>DE CONTADO</v>
      </c>
      <c r="B1809" s="38" t="b">
        <f>+IF((PROVEEDORES[[#This Row],[FECHA DE PAGO]]-PROVEEDORES[[#This Row],[FECHA DE FACTURACIÓN]])&gt;PROVEEDORES[[#This Row],[PLAZO Días]],"PAGO VENCIDO")</f>
        <v>0</v>
      </c>
      <c r="C1809" s="20">
        <f>+VLOOKUP(PROVEEDORES[[#This Row],[PROVEEDOR]],TERCEROS_INFO[#All],2,FALSE)</f>
        <v>30</v>
      </c>
      <c r="D1809" s="25">
        <f>+SUMIFS(PROVEEDORES[Total],PROVEEDORES[PROVEEDOR],PROVEEDORES[[#This Row],[PROVEEDOR]],PROVEEDORES[FECHA DE PAGO],"")</f>
        <v>0</v>
      </c>
      <c r="E1809" s="25"/>
      <c r="F1809" s="56">
        <f>+VLOOKUP(PROVEEDORES[[#This Row],[PROVEEDOR]],
                       Terceros!$A:$F,
                       5,
                       FALSE)</f>
        <v>0</v>
      </c>
      <c r="G1809" s="68">
        <v>45166</v>
      </c>
      <c r="H1809" s="26" t="s">
        <v>262</v>
      </c>
      <c r="I1809" s="68">
        <v>45166</v>
      </c>
      <c r="J1809" s="35" t="s">
        <v>1900</v>
      </c>
      <c r="K1809" s="21">
        <v>2310000</v>
      </c>
      <c r="L1809" s="21"/>
      <c r="M1809" s="22">
        <v>115500</v>
      </c>
      <c r="N1809" s="23"/>
      <c r="O1809" s="22">
        <f>+PROVEEDORES[[#This Row],[Descuento sobre subtotal %]]*(PROVEEDORES[[#This Row],[SUBTOTAL]]-PROVEEDORES[[#This Row],[descuento sobre subtotal]])</f>
        <v>0</v>
      </c>
      <c r="P1809" s="74">
        <f>+IF(PROVEEDORES[[#This Row],[SUBTOTAL]]&lt;PROVEEDORES[[#This Row],[base retencion]],0,PROVEEDORES[[#This Row],[retención aplicada]])</f>
        <v>2.5000000000000001E-2</v>
      </c>
      <c r="Q1809" s="22">
        <f>+PROVEEDORES[[#This Row],[Rete Fuente %]]*(PROVEEDORES[[#This Row],[SUBTOTAL]]-PROVEEDORES[[#This Row],[descuento sobre subtotal]])</f>
        <v>57750</v>
      </c>
      <c r="R1809" s="21">
        <f>+PROVEEDORES[[#This Row],[SUBTOTAL]]+PROVEEDORES[[#This Row],[IVA 19%]]-PROVEEDORES[[#This Row],[descuento sobre subtotal]]-PROVEEDORES[[#This Row],[Descuento sobre subtotal $2]]-PROVEEDORES[[#This Row],[Rete Fuente $]]</f>
        <v>2367750</v>
      </c>
      <c r="S1809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9" s="63">
        <f ca="1">IF(PROVEEDORES[[#This Row],[FECHA DE PAGO]]=0,TODAY()-PROVEEDORES[[#This Row],[FECHA DE FACTURACIÓN]]-PROVEEDORES[[#This Row],[PLAZO Días]],0)</f>
        <v>0</v>
      </c>
      <c r="U1809" s="104" t="str">
        <f>+VLOOKUP(PROVEEDORES[[#This Row],[PROVEEDOR]],Terceros!$A:$D,4,FALSE)</f>
        <v>2,5% con base</v>
      </c>
      <c r="V1809" s="105">
        <f>+YEAR(PROVEEDORES[[#This Row],[FECHA DE FACTURACIÓN]])</f>
        <v>2023</v>
      </c>
      <c r="W1809" s="105">
        <f>+MATCH(PROVEEDORES[[#This Row],[año facturado]],Retenciones!$1:$1,0)</f>
        <v>6</v>
      </c>
      <c r="X1809" s="106">
        <f>+VLOOKUP(PROVEEDORES[[#This Row],[ID RETENCION]],Retenciones!$A$1:$O$25,PROVEEDORES[[#This Row],[indicador de columna]],FALSE)</f>
        <v>1145000</v>
      </c>
      <c r="Y1809" s="107">
        <f>+VLOOKUP(PROVEEDORES[[#This Row],[ID RETENCION]],Retenciones!$A$1:$O$25,2,FALSE)</f>
        <v>2.5000000000000001E-2</v>
      </c>
      <c r="Z1809" s="116" t="b">
        <f>OR(COUNTIF(PROVEEDORES[[#This Row],[PROVEEDOR]],"*"&amp;'Palabra no opera'!$A$2&amp;"*"))</f>
        <v>0</v>
      </c>
    </row>
    <row r="1810" spans="1:26" ht="22.35" customHeight="1" x14ac:dyDescent="0.3">
      <c r="A1810" s="333" t="str">
        <f>+IF(PROVEEDORES[[#This Row],[FECHA DE PAGO]]=PROVEEDORES[[#This Row],[FECHA DE FACTURACIÓN]],"DE CONTADO","CRÉDITO")</f>
        <v>CRÉDITO</v>
      </c>
      <c r="B1810" s="38" t="str">
        <f>+IF((PROVEEDORES[[#This Row],[FECHA DE PAGO]]-PROVEEDORES[[#This Row],[FECHA DE FACTURACIÓN]])&gt;PROVEEDORES[[#This Row],[PLAZO Días]],"PAGO VENCIDO")</f>
        <v>PAGO VENCIDO</v>
      </c>
      <c r="C1810" s="20">
        <f>+VLOOKUP(PROVEEDORES[[#This Row],[PROVEEDOR]],TERCEROS_INFO[#All],2,FALSE)</f>
        <v>30</v>
      </c>
      <c r="D1810" s="25">
        <f>+SUMIFS(PROVEEDORES[Total],PROVEEDORES[PROVEEDOR],PROVEEDORES[[#This Row],[PROVEEDOR]],PROVEEDORES[FECHA DE PAGO],"")</f>
        <v>0</v>
      </c>
      <c r="E1810" s="25"/>
      <c r="F1810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10" s="68">
        <v>45166</v>
      </c>
      <c r="H1810" s="26" t="s">
        <v>964</v>
      </c>
      <c r="I1810" s="68">
        <v>45124</v>
      </c>
      <c r="J1810" s="35" t="s">
        <v>1814</v>
      </c>
      <c r="K1810" s="21">
        <v>1710000</v>
      </c>
      <c r="L1810" s="21"/>
      <c r="M1810" s="22">
        <f>(PROVEEDORES[[#This Row],[SUBTOTAL]]-PROVEEDORES[[#This Row],[descuento sobre subtotal]])*VLOOKUP(PROVEEDORES[[#This Row],[PROVEEDOR]],TERCEROS_INFO[#All],3,FALSE)</f>
        <v>324900</v>
      </c>
      <c r="N1810" s="23"/>
      <c r="O1810" s="22">
        <f>+PROVEEDORES[[#This Row],[Descuento sobre subtotal %]]*(PROVEEDORES[[#This Row],[SUBTOTAL]]-PROVEEDORES[[#This Row],[descuento sobre subtotal]])</f>
        <v>0</v>
      </c>
      <c r="P1810" s="74">
        <f>+IF(PROVEEDORES[[#This Row],[SUBTOTAL]]&lt;PROVEEDORES[[#This Row],[base retencion]],0,PROVEEDORES[[#This Row],[retención aplicada]])</f>
        <v>0</v>
      </c>
      <c r="Q1810" s="22">
        <f>+PROVEEDORES[[#This Row],[Rete Fuente %]]*(PROVEEDORES[[#This Row],[SUBTOTAL]]-PROVEEDORES[[#This Row],[descuento sobre subtotal]])</f>
        <v>0</v>
      </c>
      <c r="R1810" s="21">
        <f>+PROVEEDORES[[#This Row],[SUBTOTAL]]+PROVEEDORES[[#This Row],[IVA 19%]]-PROVEEDORES[[#This Row],[descuento sobre subtotal]]-PROVEEDORES[[#This Row],[Descuento sobre subtotal $2]]-PROVEEDORES[[#This Row],[Rete Fuente $]]</f>
        <v>2034900</v>
      </c>
      <c r="S1810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0" s="63">
        <f ca="1">IF(PROVEEDORES[[#This Row],[FECHA DE PAGO]]=0,TODAY()-PROVEEDORES[[#This Row],[FECHA DE FACTURACIÓN]]-PROVEEDORES[[#This Row],[PLAZO Días]],0)</f>
        <v>0</v>
      </c>
      <c r="U1810" s="104">
        <f>+VLOOKUP(PROVEEDORES[[#This Row],[PROVEEDOR]],Terceros!$A:$D,4,FALSE)</f>
        <v>0</v>
      </c>
      <c r="V1810" s="105">
        <f>+YEAR(PROVEEDORES[[#This Row],[FECHA DE FACTURACIÓN]])</f>
        <v>2023</v>
      </c>
      <c r="W1810" s="105">
        <f>+MATCH(PROVEEDORES[[#This Row],[año facturado]],Retenciones!$1:$1,0)</f>
        <v>6</v>
      </c>
      <c r="X1810" s="106">
        <f>+VLOOKUP(PROVEEDORES[[#This Row],[ID RETENCION]],Retenciones!$A$1:$O$25,PROVEEDORES[[#This Row],[indicador de columna]],FALSE)</f>
        <v>0</v>
      </c>
      <c r="Y1810" s="107">
        <f>+VLOOKUP(PROVEEDORES[[#This Row],[ID RETENCION]],Retenciones!$A$1:$O$25,2,FALSE)</f>
        <v>0</v>
      </c>
      <c r="Z1810" s="116" t="b">
        <f>OR(COUNTIF(PROVEEDORES[[#This Row],[PROVEEDOR]],"*"&amp;'Palabra no opera'!$A$2&amp;"*"))</f>
        <v>0</v>
      </c>
    </row>
    <row r="1811" spans="1:26" ht="22.35" customHeight="1" x14ac:dyDescent="0.3">
      <c r="A1811" s="67" t="str">
        <f>+IF(PROVEEDORES[[#This Row],[FECHA DE PAGO]]=PROVEEDORES[[#This Row],[FECHA DE FACTURACIÓN]],"DE CONTADO","CRÉDITO")</f>
        <v>DE CONTADO</v>
      </c>
      <c r="B1811" s="38" t="b">
        <f>+IF((PROVEEDORES[[#This Row],[FECHA DE PAGO]]-PROVEEDORES[[#This Row],[FECHA DE FACTURACIÓN]])&gt;PROVEEDORES[[#This Row],[PLAZO Días]],"PAGO VENCIDO")</f>
        <v>0</v>
      </c>
      <c r="C1811" s="20">
        <f>+VLOOKUP(PROVEEDORES[[#This Row],[PROVEEDOR]],TERCEROS_INFO[#All],2,FALSE)</f>
        <v>30</v>
      </c>
      <c r="D1811" s="25">
        <f>+SUMIFS(PROVEEDORES[Total],PROVEEDORES[PROVEEDOR],PROVEEDORES[[#This Row],[PROVEEDOR]],PROVEEDORES[FECHA DE PAGO],"")</f>
        <v>0</v>
      </c>
      <c r="E1811" s="25"/>
      <c r="F1811" s="56">
        <f>+VLOOKUP(PROVEEDORES[[#This Row],[PROVEEDOR]],
                       Terceros!$A:$F,
                       5,
                       FALSE)</f>
        <v>0</v>
      </c>
      <c r="G1811" s="68">
        <v>45166</v>
      </c>
      <c r="H1811" s="95" t="s">
        <v>1920</v>
      </c>
      <c r="I1811" s="68">
        <v>45166</v>
      </c>
      <c r="J1811" s="35" t="s">
        <v>1919</v>
      </c>
      <c r="K1811" s="21">
        <v>1455126</v>
      </c>
      <c r="L1811" s="21">
        <v>173160</v>
      </c>
      <c r="M1811" s="22">
        <f>(PROVEEDORES[[#This Row],[SUBTOTAL]]-PROVEEDORES[[#This Row],[descuento sobre subtotal]])*VLOOKUP(PROVEEDORES[[#This Row],[PROVEEDOR]],TERCEROS_INFO[#All],3,FALSE)</f>
        <v>243573.54</v>
      </c>
      <c r="N1811" s="23"/>
      <c r="O1811" s="22">
        <f>+PROVEEDORES[[#This Row],[Descuento sobre subtotal %]]*(PROVEEDORES[[#This Row],[SUBTOTAL]]-PROVEEDORES[[#This Row],[descuento sobre subtotal]])</f>
        <v>0</v>
      </c>
      <c r="P1811" s="74">
        <f>+IF(PROVEEDORES[[#This Row],[SUBTOTAL]]&lt;PROVEEDORES[[#This Row],[base retencion]],0,PROVEEDORES[[#This Row],[retención aplicada]])</f>
        <v>2.5000000000000001E-2</v>
      </c>
      <c r="Q1811" s="22">
        <f>+PROVEEDORES[[#This Row],[Rete Fuente %]]*(PROVEEDORES[[#This Row],[SUBTOTAL]]-PROVEEDORES[[#This Row],[descuento sobre subtotal]])</f>
        <v>32049.15</v>
      </c>
      <c r="R1811" s="21">
        <f>+PROVEEDORES[[#This Row],[SUBTOTAL]]+PROVEEDORES[[#This Row],[IVA 19%]]-PROVEEDORES[[#This Row],[descuento sobre subtotal]]-PROVEEDORES[[#This Row],[Descuento sobre subtotal $2]]-PROVEEDORES[[#This Row],[Rete Fuente $]]</f>
        <v>1493490.3900000001</v>
      </c>
      <c r="S18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1" s="63">
        <f ca="1">IF(PROVEEDORES[[#This Row],[FECHA DE PAGO]]=0,TODAY()-PROVEEDORES[[#This Row],[FECHA DE FACTURACIÓN]]-PROVEEDORES[[#This Row],[PLAZO Días]],0)</f>
        <v>0</v>
      </c>
      <c r="U1811" s="104" t="str">
        <f>+VLOOKUP(PROVEEDORES[[#This Row],[PROVEEDOR]],Terceros!$A:$D,4,FALSE)</f>
        <v>2,5% con base</v>
      </c>
      <c r="V1811" s="105">
        <f>+YEAR(PROVEEDORES[[#This Row],[FECHA DE FACTURACIÓN]])</f>
        <v>2023</v>
      </c>
      <c r="W1811" s="105">
        <f>+MATCH(PROVEEDORES[[#This Row],[año facturado]],Retenciones!$1:$1,0)</f>
        <v>6</v>
      </c>
      <c r="X1811" s="106">
        <f>+VLOOKUP(PROVEEDORES[[#This Row],[ID RETENCION]],Retenciones!$A$1:$O$25,PROVEEDORES[[#This Row],[indicador de columna]],FALSE)</f>
        <v>1145000</v>
      </c>
      <c r="Y1811" s="107">
        <f>+VLOOKUP(PROVEEDORES[[#This Row],[ID RETENCION]],Retenciones!$A$1:$O$25,2,FALSE)</f>
        <v>2.5000000000000001E-2</v>
      </c>
      <c r="Z1811" s="116" t="b">
        <f>OR(COUNTIF(PROVEEDORES[[#This Row],[PROVEEDOR]],"*"&amp;'Palabra no opera'!$A$2&amp;"*"))</f>
        <v>0</v>
      </c>
    </row>
    <row r="1812" spans="1:26" ht="22.35" customHeight="1" x14ac:dyDescent="0.3">
      <c r="A1812" s="67" t="str">
        <f>+IF(PROVEEDORES[[#This Row],[FECHA DE PAGO]]=PROVEEDORES[[#This Row],[FECHA DE FACTURACIÓN]],"DE CONTADO","CRÉDITO")</f>
        <v>CRÉDITO</v>
      </c>
      <c r="B1812" s="38" t="str">
        <f>+IF((PROVEEDORES[[#This Row],[FECHA DE PAGO]]-PROVEEDORES[[#This Row],[FECHA DE FACTURACIÓN]])&gt;PROVEEDORES[[#This Row],[PLAZO Días]],"PAGO VENCIDO")</f>
        <v>PAGO VENCIDO</v>
      </c>
      <c r="C1812" s="20">
        <f>+VLOOKUP(PROVEEDORES[[#This Row],[PROVEEDOR]],TERCEROS_INFO[#All],2,FALSE)</f>
        <v>45</v>
      </c>
      <c r="D1812" s="25">
        <f>+SUMIFS(PROVEEDORES[Total],PROVEEDORES[PROVEEDOR],PROVEEDORES[[#This Row],[PROVEEDOR]],PROVEEDORES[FECHA DE PAGO],"")</f>
        <v>15770594</v>
      </c>
      <c r="E1812" s="25"/>
      <c r="F1812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12" s="68">
        <v>45166</v>
      </c>
      <c r="H1812" s="26" t="s">
        <v>19</v>
      </c>
      <c r="I1812" s="68">
        <v>45107</v>
      </c>
      <c r="J1812" s="35" t="s">
        <v>1782</v>
      </c>
      <c r="K1812" s="21">
        <v>7200600</v>
      </c>
      <c r="L1812" s="21"/>
      <c r="M1812" s="22">
        <f>(PROVEEDORES[[#This Row],[SUBTOTAL]]-PROVEEDORES[[#This Row],[descuento sobre subtotal]])*VLOOKUP(PROVEEDORES[[#This Row],[PROVEEDOR]],TERCEROS_INFO[#All],3,FALSE)</f>
        <v>1368114</v>
      </c>
      <c r="N1812" s="23"/>
      <c r="O1812" s="22">
        <f>+PROVEEDORES[[#This Row],[Descuento sobre subtotal %]]*(PROVEEDORES[[#This Row],[SUBTOTAL]]-PROVEEDORES[[#This Row],[descuento sobre subtotal]])</f>
        <v>0</v>
      </c>
      <c r="P1812" s="74">
        <f>+IF(PROVEEDORES[[#This Row],[SUBTOTAL]]&lt;PROVEEDORES[[#This Row],[base retencion]],0,PROVEEDORES[[#This Row],[retención aplicada]])</f>
        <v>0</v>
      </c>
      <c r="Q1812" s="22">
        <f>+PROVEEDORES[[#This Row],[Rete Fuente %]]*(PROVEEDORES[[#This Row],[SUBTOTAL]]-PROVEEDORES[[#This Row],[descuento sobre subtotal]])</f>
        <v>0</v>
      </c>
      <c r="R1812" s="21">
        <f>+PROVEEDORES[[#This Row],[SUBTOTAL]]+PROVEEDORES[[#This Row],[IVA 19%]]-PROVEEDORES[[#This Row],[descuento sobre subtotal]]-PROVEEDORES[[#This Row],[Descuento sobre subtotal $2]]-PROVEEDORES[[#This Row],[Rete Fuente $]]</f>
        <v>8568714</v>
      </c>
      <c r="S18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2" s="63">
        <f ca="1">IF(PROVEEDORES[[#This Row],[FECHA DE PAGO]]=0,TODAY()-PROVEEDORES[[#This Row],[FECHA DE FACTURACIÓN]]-PROVEEDORES[[#This Row],[PLAZO Días]],0)</f>
        <v>0</v>
      </c>
      <c r="U1812" s="104">
        <f>+VLOOKUP(PROVEEDORES[[#This Row],[PROVEEDOR]],Terceros!$A:$D,4,FALSE)</f>
        <v>0</v>
      </c>
      <c r="V1812" s="105">
        <f>+YEAR(PROVEEDORES[[#This Row],[FECHA DE FACTURACIÓN]])</f>
        <v>2023</v>
      </c>
      <c r="W1812" s="105">
        <f>+MATCH(PROVEEDORES[[#This Row],[año facturado]],Retenciones!$1:$1,0)</f>
        <v>6</v>
      </c>
      <c r="X1812" s="106">
        <f>+VLOOKUP(PROVEEDORES[[#This Row],[ID RETENCION]],Retenciones!$A$1:$O$25,PROVEEDORES[[#This Row],[indicador de columna]],FALSE)</f>
        <v>0</v>
      </c>
      <c r="Y1812" s="107">
        <f>+VLOOKUP(PROVEEDORES[[#This Row],[ID RETENCION]],Retenciones!$A$1:$O$25,2,FALSE)</f>
        <v>0</v>
      </c>
      <c r="Z1812" s="116" t="b">
        <f>OR(COUNTIF(PROVEEDORES[[#This Row],[PROVEEDOR]],"*"&amp;'Palabra no opera'!$A$2&amp;"*"))</f>
        <v>0</v>
      </c>
    </row>
    <row r="1813" spans="1:26" ht="22.35" customHeight="1" x14ac:dyDescent="0.3">
      <c r="A1813" s="333" t="str">
        <f>+IF(PROVEEDORES[[#This Row],[FECHA DE PAGO]]=PROVEEDORES[[#This Row],[FECHA DE FACTURACIÓN]],"DE CONTADO","CRÉDITO")</f>
        <v>CRÉDITO</v>
      </c>
      <c r="B1813" s="38" t="str">
        <f>+IF((PROVEEDORES[[#This Row],[FECHA DE PAGO]]-PROVEEDORES[[#This Row],[FECHA DE FACTURACIÓN]])&gt;PROVEEDORES[[#This Row],[PLAZO Días]],"PAGO VENCIDO")</f>
        <v>PAGO VENCIDO</v>
      </c>
      <c r="C1813" s="20">
        <f>+VLOOKUP(PROVEEDORES[[#This Row],[PROVEEDOR]],TERCEROS_INFO[#All],2,FALSE)</f>
        <v>45</v>
      </c>
      <c r="D1813" s="25">
        <f>+SUMIFS(PROVEEDORES[Total],PROVEEDORES[PROVEEDOR],PROVEEDORES[[#This Row],[PROVEEDOR]],PROVEEDORES[FECHA DE PAGO],"")</f>
        <v>15770594</v>
      </c>
      <c r="E1813" s="25"/>
      <c r="F1813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13" s="68">
        <v>45166</v>
      </c>
      <c r="H1813" s="26" t="s">
        <v>19</v>
      </c>
      <c r="I1813" s="68">
        <v>45118</v>
      </c>
      <c r="J1813" s="35" t="s">
        <v>1821</v>
      </c>
      <c r="K1813" s="21">
        <v>1635783</v>
      </c>
      <c r="L1813" s="21"/>
      <c r="M1813" s="22">
        <f>(PROVEEDORES[[#This Row],[SUBTOTAL]]-PROVEEDORES[[#This Row],[descuento sobre subtotal]])*VLOOKUP(PROVEEDORES[[#This Row],[PROVEEDOR]],TERCEROS_INFO[#All],3,FALSE)</f>
        <v>310798.77</v>
      </c>
      <c r="N1813" s="23"/>
      <c r="O1813" s="22">
        <f>+PROVEEDORES[[#This Row],[Descuento sobre subtotal %]]*(PROVEEDORES[[#This Row],[SUBTOTAL]]-PROVEEDORES[[#This Row],[descuento sobre subtotal]])</f>
        <v>0</v>
      </c>
      <c r="P1813" s="74">
        <f>+IF(PROVEEDORES[[#This Row],[SUBTOTAL]]&lt;PROVEEDORES[[#This Row],[base retencion]],0,PROVEEDORES[[#This Row],[retención aplicada]])</f>
        <v>0</v>
      </c>
      <c r="Q1813" s="22">
        <f>+PROVEEDORES[[#This Row],[Rete Fuente %]]*(PROVEEDORES[[#This Row],[SUBTOTAL]]-PROVEEDORES[[#This Row],[descuento sobre subtotal]])</f>
        <v>0</v>
      </c>
      <c r="R1813" s="21">
        <f>+PROVEEDORES[[#This Row],[SUBTOTAL]]+PROVEEDORES[[#This Row],[IVA 19%]]-PROVEEDORES[[#This Row],[descuento sobre subtotal]]-PROVEEDORES[[#This Row],[Descuento sobre subtotal $2]]-PROVEEDORES[[#This Row],[Rete Fuente $]]</f>
        <v>1946581.77</v>
      </c>
      <c r="S1813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3" s="63">
        <f ca="1">IF(PROVEEDORES[[#This Row],[FECHA DE PAGO]]=0,TODAY()-PROVEEDORES[[#This Row],[FECHA DE FACTURACIÓN]]-PROVEEDORES[[#This Row],[PLAZO Días]],0)</f>
        <v>0</v>
      </c>
      <c r="U1813" s="104">
        <f>+VLOOKUP(PROVEEDORES[[#This Row],[PROVEEDOR]],Terceros!$A:$D,4,FALSE)</f>
        <v>0</v>
      </c>
      <c r="V1813" s="105">
        <f>+YEAR(PROVEEDORES[[#This Row],[FECHA DE FACTURACIÓN]])</f>
        <v>2023</v>
      </c>
      <c r="W1813" s="105">
        <f>+MATCH(PROVEEDORES[[#This Row],[año facturado]],Retenciones!$1:$1,0)</f>
        <v>6</v>
      </c>
      <c r="X1813" s="106">
        <f>+VLOOKUP(PROVEEDORES[[#This Row],[ID RETENCION]],Retenciones!$A$1:$O$25,PROVEEDORES[[#This Row],[indicador de columna]],FALSE)</f>
        <v>0</v>
      </c>
      <c r="Y1813" s="107">
        <f>+VLOOKUP(PROVEEDORES[[#This Row],[ID RETENCION]],Retenciones!$A$1:$O$25,2,FALSE)</f>
        <v>0</v>
      </c>
      <c r="Z1813" s="116" t="b">
        <f>OR(COUNTIF(PROVEEDORES[[#This Row],[PROVEEDOR]],"*"&amp;'Palabra no opera'!$A$2&amp;"*"))</f>
        <v>0</v>
      </c>
    </row>
    <row r="1814" spans="1:26" ht="22.35" customHeight="1" x14ac:dyDescent="0.3">
      <c r="A1814" s="67" t="str">
        <f>+IF(PROVEEDORES[[#This Row],[FECHA DE PAGO]]=PROVEEDORES[[#This Row],[FECHA DE FACTURACIÓN]],"DE CONTADO","CRÉDITO")</f>
        <v>DE CONTADO</v>
      </c>
      <c r="B1814" s="38" t="b">
        <f>+IF((PROVEEDORES[[#This Row],[FECHA DE PAGO]]-PROVEEDORES[[#This Row],[FECHA DE FACTURACIÓN]])&gt;PROVEEDORES[[#This Row],[PLAZO Días]],"PAGO VENCIDO")</f>
        <v>0</v>
      </c>
      <c r="C1814" s="20">
        <f>+VLOOKUP(PROVEEDORES[[#This Row],[PROVEEDOR]],TERCEROS_INFO[#All],2,FALSE)</f>
        <v>30</v>
      </c>
      <c r="D1814" s="25">
        <f>+SUMIFS(PROVEEDORES[Total],PROVEEDORES[PROVEEDOR],PROVEEDORES[[#This Row],[PROVEEDOR]],PROVEEDORES[FECHA DE PAGO],"")</f>
        <v>0</v>
      </c>
      <c r="E1814" s="25"/>
      <c r="F1814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14" s="68">
        <v>45168</v>
      </c>
      <c r="H1814" s="26" t="s">
        <v>227</v>
      </c>
      <c r="I1814" s="68">
        <v>45168</v>
      </c>
      <c r="J1814" s="35" t="s">
        <v>1949</v>
      </c>
      <c r="K1814" s="21">
        <v>1640000</v>
      </c>
      <c r="L1814" s="21"/>
      <c r="M1814" s="22">
        <f>(PROVEEDORES[[#This Row],[SUBTOTAL]]-PROVEEDORES[[#This Row],[descuento sobre subtotal]])*VLOOKUP(PROVEEDORES[[#This Row],[PROVEEDOR]],TERCEROS_INFO[#All],3,FALSE)</f>
        <v>0</v>
      </c>
      <c r="N1814" s="23"/>
      <c r="O1814" s="22">
        <f>+PROVEEDORES[[#This Row],[Descuento sobre subtotal %]]*(PROVEEDORES[[#This Row],[SUBTOTAL]]-PROVEEDORES[[#This Row],[descuento sobre subtotal]])</f>
        <v>0</v>
      </c>
      <c r="P1814" s="74">
        <f>+IF(PROVEEDORES[[#This Row],[SUBTOTAL]]&lt;PROVEEDORES[[#This Row],[base retencion]],0,PROVEEDORES[[#This Row],[retención aplicada]])</f>
        <v>0</v>
      </c>
      <c r="Q1814" s="22">
        <f>+PROVEEDORES[[#This Row],[Rete Fuente %]]*(PROVEEDORES[[#This Row],[SUBTOTAL]]-PROVEEDORES[[#This Row],[descuento sobre subtotal]])</f>
        <v>0</v>
      </c>
      <c r="R1814" s="21">
        <f>+PROVEEDORES[[#This Row],[SUBTOTAL]]+PROVEEDORES[[#This Row],[IVA 19%]]-PROVEEDORES[[#This Row],[descuento sobre subtotal]]-PROVEEDORES[[#This Row],[Descuento sobre subtotal $2]]-PROVEEDORES[[#This Row],[Rete Fuente $]]</f>
        <v>1640000</v>
      </c>
      <c r="S18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4" s="63">
        <f ca="1">IF(PROVEEDORES[[#This Row],[FECHA DE PAGO]]=0,TODAY()-PROVEEDORES[[#This Row],[FECHA DE FACTURACIÓN]]-PROVEEDORES[[#This Row],[PLAZO Días]],0)</f>
        <v>0</v>
      </c>
      <c r="U1814" s="104">
        <f>+VLOOKUP(PROVEEDORES[[#This Row],[PROVEEDOR]],Terceros!$A:$D,4,FALSE)</f>
        <v>0</v>
      </c>
      <c r="V1814" s="105">
        <f>+YEAR(PROVEEDORES[[#This Row],[FECHA DE FACTURACIÓN]])</f>
        <v>2023</v>
      </c>
      <c r="W1814" s="105">
        <f>+MATCH(PROVEEDORES[[#This Row],[año facturado]],Retenciones!$1:$1,0)</f>
        <v>6</v>
      </c>
      <c r="X1814" s="106">
        <f>+VLOOKUP(PROVEEDORES[[#This Row],[ID RETENCION]],Retenciones!$A$1:$O$25,PROVEEDORES[[#This Row],[indicador de columna]],FALSE)</f>
        <v>0</v>
      </c>
      <c r="Y1814" s="107">
        <f>+VLOOKUP(PROVEEDORES[[#This Row],[ID RETENCION]],Retenciones!$A$1:$O$25,2,FALSE)</f>
        <v>0</v>
      </c>
      <c r="Z1814" s="116" t="b">
        <f>OR(COUNTIF(PROVEEDORES[[#This Row],[PROVEEDOR]],"*"&amp;'Palabra no opera'!$A$2&amp;"*"))</f>
        <v>0</v>
      </c>
    </row>
    <row r="1815" spans="1:26" ht="22.35" customHeight="1" x14ac:dyDescent="0.3">
      <c r="A1815" s="67" t="str">
        <f>+IF(PROVEEDORES[[#This Row],[FECHA DE PAGO]]=PROVEEDORES[[#This Row],[FECHA DE FACTURACIÓN]],"DE CONTADO","CRÉDITO")</f>
        <v>DE CONTADO</v>
      </c>
      <c r="B1815" s="38" t="b">
        <f>+IF((PROVEEDORES[[#This Row],[FECHA DE PAGO]]-PROVEEDORES[[#This Row],[FECHA DE FACTURACIÓN]])&gt;PROVEEDORES[[#This Row],[PLAZO Días]],"PAGO VENCIDO")</f>
        <v>0</v>
      </c>
      <c r="C1815" s="20">
        <f>+VLOOKUP(PROVEEDORES[[#This Row],[PROVEEDOR]],TERCEROS_INFO[#All],2,FALSE)</f>
        <v>30</v>
      </c>
      <c r="D1815" s="25">
        <f>+SUMIFS(PROVEEDORES[Total],PROVEEDORES[PROVEEDOR],PROVEEDORES[[#This Row],[PROVEEDOR]],PROVEEDORES[FECHA DE PAGO],"")</f>
        <v>0</v>
      </c>
      <c r="E1815" s="25"/>
      <c r="F1815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15" s="68">
        <v>45168</v>
      </c>
      <c r="H1815" s="26" t="s">
        <v>227</v>
      </c>
      <c r="I1815" s="68">
        <v>45168</v>
      </c>
      <c r="J1815" s="35" t="s">
        <v>1951</v>
      </c>
      <c r="K1815" s="21">
        <v>2162000</v>
      </c>
      <c r="L1815" s="21"/>
      <c r="M1815" s="22">
        <f>(PROVEEDORES[[#This Row],[SUBTOTAL]]-PROVEEDORES[[#This Row],[descuento sobre subtotal]])*VLOOKUP(PROVEEDORES[[#This Row],[PROVEEDOR]],TERCEROS_INFO[#All],3,FALSE)</f>
        <v>0</v>
      </c>
      <c r="N1815" s="23"/>
      <c r="O1815" s="22">
        <f>+PROVEEDORES[[#This Row],[Descuento sobre subtotal %]]*(PROVEEDORES[[#This Row],[SUBTOTAL]]-PROVEEDORES[[#This Row],[descuento sobre subtotal]])</f>
        <v>0</v>
      </c>
      <c r="P1815" s="74">
        <f>+IF(PROVEEDORES[[#This Row],[SUBTOTAL]]&lt;PROVEEDORES[[#This Row],[base retencion]],0,PROVEEDORES[[#This Row],[retención aplicada]])</f>
        <v>0</v>
      </c>
      <c r="Q1815" s="22">
        <f>+PROVEEDORES[[#This Row],[Rete Fuente %]]*(PROVEEDORES[[#This Row],[SUBTOTAL]]-PROVEEDORES[[#This Row],[descuento sobre subtotal]])</f>
        <v>0</v>
      </c>
      <c r="R1815" s="21">
        <f>+PROVEEDORES[[#This Row],[SUBTOTAL]]+PROVEEDORES[[#This Row],[IVA 19%]]-PROVEEDORES[[#This Row],[descuento sobre subtotal]]-PROVEEDORES[[#This Row],[Descuento sobre subtotal $2]]-PROVEEDORES[[#This Row],[Rete Fuente $]]</f>
        <v>2162000</v>
      </c>
      <c r="S18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5" s="63">
        <f ca="1">IF(PROVEEDORES[[#This Row],[FECHA DE PAGO]]=0,TODAY()-PROVEEDORES[[#This Row],[FECHA DE FACTURACIÓN]]-PROVEEDORES[[#This Row],[PLAZO Días]],0)</f>
        <v>0</v>
      </c>
      <c r="U1815" s="104">
        <f>+VLOOKUP(PROVEEDORES[[#This Row],[PROVEEDOR]],Terceros!$A:$D,4,FALSE)</f>
        <v>0</v>
      </c>
      <c r="V1815" s="105">
        <f>+YEAR(PROVEEDORES[[#This Row],[FECHA DE FACTURACIÓN]])</f>
        <v>2023</v>
      </c>
      <c r="W1815" s="105">
        <f>+MATCH(PROVEEDORES[[#This Row],[año facturado]],Retenciones!$1:$1,0)</f>
        <v>6</v>
      </c>
      <c r="X1815" s="106">
        <f>+VLOOKUP(PROVEEDORES[[#This Row],[ID RETENCION]],Retenciones!$A$1:$O$25,PROVEEDORES[[#This Row],[indicador de columna]],FALSE)</f>
        <v>0</v>
      </c>
      <c r="Y1815" s="107">
        <f>+VLOOKUP(PROVEEDORES[[#This Row],[ID RETENCION]],Retenciones!$A$1:$O$25,2,FALSE)</f>
        <v>0</v>
      </c>
      <c r="Z1815" s="116" t="b">
        <f>OR(COUNTIF(PROVEEDORES[[#This Row],[PROVEEDOR]],"*"&amp;'Palabra no opera'!$A$2&amp;"*"))</f>
        <v>0</v>
      </c>
    </row>
    <row r="1816" spans="1:26" ht="22.35" customHeight="1" x14ac:dyDescent="0.3">
      <c r="A1816" s="351" t="str">
        <f>+IF(PROVEEDORES[[#This Row],[FECHA DE PAGO]]=PROVEEDORES[[#This Row],[FECHA DE FACTURACIÓN]],"DE CONTADO","CRÉDITO")</f>
        <v>CRÉDITO</v>
      </c>
      <c r="B1816" s="38" t="b">
        <f>+IF((PROVEEDORES[[#This Row],[FECHA DE PAGO]]-PROVEEDORES[[#This Row],[FECHA DE FACTURACIÓN]])&gt;PROVEEDORES[[#This Row],[PLAZO Días]],"PAGO VENCIDO")</f>
        <v>0</v>
      </c>
      <c r="C1816" s="20">
        <f>+VLOOKUP(PROVEEDORES[[#This Row],[PROVEEDOR]],TERCEROS_INFO[#All],2,FALSE)</f>
        <v>30</v>
      </c>
      <c r="D1816" s="25">
        <f>+SUMIFS(PROVEEDORES[Total],PROVEEDORES[PROVEEDOR],PROVEEDORES[[#This Row],[PROVEEDOR]],PROVEEDORES[FECHA DE PAGO],"")</f>
        <v>0</v>
      </c>
      <c r="E1816" s="25"/>
      <c r="F1816" s="56" t="str">
        <f>+VLOOKUP(PROVEEDORES[[#This Row],[PROVEEDOR]],
                       Terceros!$A:$F,
                       5,
                       FALSE)</f>
        <v/>
      </c>
      <c r="G1816" s="68">
        <v>45169</v>
      </c>
      <c r="H1816" s="26" t="s">
        <v>1194</v>
      </c>
      <c r="I1816" s="68">
        <v>45168</v>
      </c>
      <c r="J1816" s="35" t="s">
        <v>1933</v>
      </c>
      <c r="K1816" s="21">
        <v>5655000</v>
      </c>
      <c r="L1816" s="21"/>
      <c r="M1816" s="22">
        <f>(PROVEEDORES[[#This Row],[SUBTOTAL]]-PROVEEDORES[[#This Row],[descuento sobre subtotal]])*VLOOKUP(PROVEEDORES[[#This Row],[PROVEEDOR]],TERCEROS_INFO[#All],3,FALSE)</f>
        <v>0</v>
      </c>
      <c r="N1816" s="23"/>
      <c r="O1816" s="22">
        <f>+PROVEEDORES[[#This Row],[Descuento sobre subtotal %]]*(PROVEEDORES[[#This Row],[SUBTOTAL]]-PROVEEDORES[[#This Row],[descuento sobre subtotal]])</f>
        <v>0</v>
      </c>
      <c r="P1816" s="74">
        <f>+IF(PROVEEDORES[[#This Row],[SUBTOTAL]]&lt;PROVEEDORES[[#This Row],[base retencion]],0,PROVEEDORES[[#This Row],[retención aplicada]])</f>
        <v>0</v>
      </c>
      <c r="Q1816" s="22">
        <f>+PROVEEDORES[[#This Row],[Rete Fuente %]]*(PROVEEDORES[[#This Row],[SUBTOTAL]]-PROVEEDORES[[#This Row],[descuento sobre subtotal]])</f>
        <v>0</v>
      </c>
      <c r="R1816" s="21">
        <f>+PROVEEDORES[[#This Row],[SUBTOTAL]]+PROVEEDORES[[#This Row],[IVA 19%]]-PROVEEDORES[[#This Row],[descuento sobre subtotal]]-PROVEEDORES[[#This Row],[Descuento sobre subtotal $2]]-PROVEEDORES[[#This Row],[Rete Fuente $]]</f>
        <v>5655000</v>
      </c>
      <c r="S1816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6" s="63">
        <f ca="1">IF(PROVEEDORES[[#This Row],[FECHA DE PAGO]]=0,TODAY()-PROVEEDORES[[#This Row],[FECHA DE FACTURACIÓN]]-PROVEEDORES[[#This Row],[PLAZO Días]],0)</f>
        <v>0</v>
      </c>
      <c r="U1816" s="104">
        <f>+VLOOKUP(PROVEEDORES[[#This Row],[PROVEEDOR]],Terceros!$A:$D,4,FALSE)</f>
        <v>0</v>
      </c>
      <c r="V1816" s="105">
        <f>+YEAR(PROVEEDORES[[#This Row],[FECHA DE FACTURACIÓN]])</f>
        <v>2023</v>
      </c>
      <c r="W1816" s="105">
        <f>+MATCH(PROVEEDORES[[#This Row],[año facturado]],Retenciones!$1:$1,0)</f>
        <v>6</v>
      </c>
      <c r="X1816" s="106">
        <f>+VLOOKUP(PROVEEDORES[[#This Row],[ID RETENCION]],Retenciones!$A$1:$O$25,PROVEEDORES[[#This Row],[indicador de columna]],FALSE)</f>
        <v>0</v>
      </c>
      <c r="Y1816" s="107">
        <f>+VLOOKUP(PROVEEDORES[[#This Row],[ID RETENCION]],Retenciones!$A$1:$O$25,2,FALSE)</f>
        <v>0</v>
      </c>
      <c r="Z1816" s="116" t="b">
        <f>OR(COUNTIF(PROVEEDORES[[#This Row],[PROVEEDOR]],"*"&amp;'Palabra no opera'!$A$2&amp;"*"))</f>
        <v>0</v>
      </c>
    </row>
    <row r="1817" spans="1:26" ht="22.35" customHeight="1" x14ac:dyDescent="0.3">
      <c r="A1817" s="351" t="str">
        <f>+IF(PROVEEDORES[[#This Row],[FECHA DE PAGO]]=PROVEEDORES[[#This Row],[FECHA DE FACTURACIÓN]],"DE CONTADO","CRÉDITO")</f>
        <v>DE CONTADO</v>
      </c>
      <c r="B1817" s="38" t="b">
        <f>+IF((PROVEEDORES[[#This Row],[FECHA DE PAGO]]-PROVEEDORES[[#This Row],[FECHA DE FACTURACIÓN]])&gt;PROVEEDORES[[#This Row],[PLAZO Días]],"PAGO VENCIDO")</f>
        <v>0</v>
      </c>
      <c r="C1817" s="20">
        <f>+VLOOKUP(PROVEEDORES[[#This Row],[PROVEEDOR]],TERCEROS_INFO[#All],2,FALSE)</f>
        <v>30</v>
      </c>
      <c r="D1817" s="25">
        <f>+SUMIFS(PROVEEDORES[Total],PROVEEDORES[PROVEEDOR],PROVEEDORES[[#This Row],[PROVEEDOR]],PROVEEDORES[FECHA DE PAGO],"")</f>
        <v>0</v>
      </c>
      <c r="E1817" s="25"/>
      <c r="F1817" s="56" t="str">
        <f>+VLOOKUP(PROVEEDORES[[#This Row],[PROVEEDOR]],
                       Terceros!$A:$F,
                       5,
                       FALSE)</f>
        <v/>
      </c>
      <c r="G1817" s="68">
        <v>45169</v>
      </c>
      <c r="H1817" s="26" t="s">
        <v>362</v>
      </c>
      <c r="I1817" s="68">
        <v>45169</v>
      </c>
      <c r="J1817" s="35" t="s">
        <v>1937</v>
      </c>
      <c r="K1817" s="21">
        <v>60000</v>
      </c>
      <c r="L1817" s="21"/>
      <c r="M1817" s="22">
        <f>(PROVEEDORES[[#This Row],[SUBTOTAL]]-PROVEEDORES[[#This Row],[descuento sobre subtotal]])*VLOOKUP(PROVEEDORES[[#This Row],[PROVEEDOR]],TERCEROS_INFO[#All],3,FALSE)</f>
        <v>0</v>
      </c>
      <c r="N1817" s="23"/>
      <c r="O1817" s="22">
        <f>+PROVEEDORES[[#This Row],[Descuento sobre subtotal %]]*(PROVEEDORES[[#This Row],[SUBTOTAL]]-PROVEEDORES[[#This Row],[descuento sobre subtotal]])</f>
        <v>0</v>
      </c>
      <c r="P1817" s="74">
        <f>+IF(PROVEEDORES[[#This Row],[SUBTOTAL]]&lt;PROVEEDORES[[#This Row],[base retencion]],0,PROVEEDORES[[#This Row],[retención aplicada]])</f>
        <v>0</v>
      </c>
      <c r="Q1817" s="22">
        <f>+PROVEEDORES[[#This Row],[Rete Fuente %]]*(PROVEEDORES[[#This Row],[SUBTOTAL]]-PROVEEDORES[[#This Row],[descuento sobre subtotal]])</f>
        <v>0</v>
      </c>
      <c r="R1817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1817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7" s="63">
        <f ca="1">IF(PROVEEDORES[[#This Row],[FECHA DE PAGO]]=0,TODAY()-PROVEEDORES[[#This Row],[FECHA DE FACTURACIÓN]]-PROVEEDORES[[#This Row],[PLAZO Días]],0)</f>
        <v>0</v>
      </c>
      <c r="U1817" s="104">
        <f>+VLOOKUP(PROVEEDORES[[#This Row],[PROVEEDOR]],Terceros!$A:$D,4,FALSE)</f>
        <v>0</v>
      </c>
      <c r="V1817" s="105">
        <f>+YEAR(PROVEEDORES[[#This Row],[FECHA DE FACTURACIÓN]])</f>
        <v>2023</v>
      </c>
      <c r="W1817" s="105">
        <f>+MATCH(PROVEEDORES[[#This Row],[año facturado]],Retenciones!$1:$1,0)</f>
        <v>6</v>
      </c>
      <c r="X1817" s="106">
        <f>+VLOOKUP(PROVEEDORES[[#This Row],[ID RETENCION]],Retenciones!$A$1:$O$25,PROVEEDORES[[#This Row],[indicador de columna]],FALSE)</f>
        <v>0</v>
      </c>
      <c r="Y1817" s="107">
        <f>+VLOOKUP(PROVEEDORES[[#This Row],[ID RETENCION]],Retenciones!$A$1:$O$25,2,FALSE)</f>
        <v>0</v>
      </c>
      <c r="Z1817" s="116" t="b">
        <f>OR(COUNTIF(PROVEEDORES[[#This Row],[PROVEEDOR]],"*"&amp;'Palabra no opera'!$A$2&amp;"*"))</f>
        <v>0</v>
      </c>
    </row>
    <row r="1818" spans="1:26" ht="22.35" customHeight="1" x14ac:dyDescent="0.3">
      <c r="A1818" s="351" t="str">
        <f>+IF(PROVEEDORES[[#This Row],[FECHA DE PAGO]]=PROVEEDORES[[#This Row],[FECHA DE FACTURACIÓN]],"DE CONTADO","CRÉDITO")</f>
        <v>DE CONTADO</v>
      </c>
      <c r="B1818" s="38" t="b">
        <f>+IF((PROVEEDORES[[#This Row],[FECHA DE PAGO]]-PROVEEDORES[[#This Row],[FECHA DE FACTURACIÓN]])&gt;PROVEEDORES[[#This Row],[PLAZO Días]],"PAGO VENCIDO")</f>
        <v>0</v>
      </c>
      <c r="C1818" s="20">
        <f>+VLOOKUP(PROVEEDORES[[#This Row],[PROVEEDOR]],TERCEROS_INFO[#All],2,FALSE)</f>
        <v>30</v>
      </c>
      <c r="D1818" s="25">
        <f>+SUMIFS(PROVEEDORES[Total],PROVEEDORES[PROVEEDOR],PROVEEDORES[[#This Row],[PROVEEDOR]],PROVEEDORES[FECHA DE PAGO],"")</f>
        <v>0</v>
      </c>
      <c r="E1818" s="25"/>
      <c r="F1818" s="56" t="str">
        <f>+VLOOKUP(PROVEEDORES[[#This Row],[PROVEEDOR]],
                       Terceros!$A:$F,
                       5,
                       FALSE)</f>
        <v/>
      </c>
      <c r="G1818" s="68">
        <v>45169</v>
      </c>
      <c r="H1818" s="26" t="s">
        <v>362</v>
      </c>
      <c r="I1818" s="68">
        <v>45169</v>
      </c>
      <c r="J1818" s="35" t="s">
        <v>1177</v>
      </c>
      <c r="K1818" s="21">
        <v>1304150</v>
      </c>
      <c r="L1818" s="21"/>
      <c r="M1818" s="22">
        <f>(PROVEEDORES[[#This Row],[SUBTOTAL]]-PROVEEDORES[[#This Row],[descuento sobre subtotal]])*VLOOKUP(PROVEEDORES[[#This Row],[PROVEEDOR]],TERCEROS_INFO[#All],3,FALSE)</f>
        <v>0</v>
      </c>
      <c r="N1818" s="23"/>
      <c r="O1818" s="22">
        <f>+PROVEEDORES[[#This Row],[Descuento sobre subtotal %]]*(PROVEEDORES[[#This Row],[SUBTOTAL]]-PROVEEDORES[[#This Row],[descuento sobre subtotal]])</f>
        <v>0</v>
      </c>
      <c r="P1818" s="74">
        <f>+IF(PROVEEDORES[[#This Row],[SUBTOTAL]]&lt;PROVEEDORES[[#This Row],[base retencion]],0,PROVEEDORES[[#This Row],[retención aplicada]])</f>
        <v>0</v>
      </c>
      <c r="Q1818" s="22">
        <f>+PROVEEDORES[[#This Row],[Rete Fuente %]]*(PROVEEDORES[[#This Row],[SUBTOTAL]]-PROVEEDORES[[#This Row],[descuento sobre subtotal]])</f>
        <v>0</v>
      </c>
      <c r="R1818" s="21">
        <f>+PROVEEDORES[[#This Row],[SUBTOTAL]]+PROVEEDORES[[#This Row],[IVA 19%]]-PROVEEDORES[[#This Row],[descuento sobre subtotal]]-PROVEEDORES[[#This Row],[Descuento sobre subtotal $2]]-PROVEEDORES[[#This Row],[Rete Fuente $]]</f>
        <v>1304150</v>
      </c>
      <c r="S1818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8" s="63">
        <f ca="1">IF(PROVEEDORES[[#This Row],[FECHA DE PAGO]]=0,TODAY()-PROVEEDORES[[#This Row],[FECHA DE FACTURACIÓN]]-PROVEEDORES[[#This Row],[PLAZO Días]],0)</f>
        <v>0</v>
      </c>
      <c r="U1818" s="104">
        <f>+VLOOKUP(PROVEEDORES[[#This Row],[PROVEEDOR]],Terceros!$A:$D,4,FALSE)</f>
        <v>0</v>
      </c>
      <c r="V1818" s="105">
        <f>+YEAR(PROVEEDORES[[#This Row],[FECHA DE FACTURACIÓN]])</f>
        <v>2023</v>
      </c>
      <c r="W1818" s="105">
        <f>+MATCH(PROVEEDORES[[#This Row],[año facturado]],Retenciones!$1:$1,0)</f>
        <v>6</v>
      </c>
      <c r="X1818" s="106">
        <f>+VLOOKUP(PROVEEDORES[[#This Row],[ID RETENCION]],Retenciones!$A$1:$O$25,PROVEEDORES[[#This Row],[indicador de columna]],FALSE)</f>
        <v>0</v>
      </c>
      <c r="Y1818" s="107">
        <f>+VLOOKUP(PROVEEDORES[[#This Row],[ID RETENCION]],Retenciones!$A$1:$O$25,2,FALSE)</f>
        <v>0</v>
      </c>
      <c r="Z1818" s="116" t="b">
        <f>OR(COUNTIF(PROVEEDORES[[#This Row],[PROVEEDOR]],"*"&amp;'Palabra no opera'!$A$2&amp;"*"))</f>
        <v>0</v>
      </c>
    </row>
    <row r="1819" spans="1:26" ht="22.35" customHeight="1" x14ac:dyDescent="0.3">
      <c r="A1819" s="351" t="str">
        <f>+IF(PROVEEDORES[[#This Row],[FECHA DE PAGO]]=PROVEEDORES[[#This Row],[FECHA DE FACTURACIÓN]],"DE CONTADO","CRÉDITO")</f>
        <v>DE CONTADO</v>
      </c>
      <c r="B1819" s="38" t="b">
        <f>+IF((PROVEEDORES[[#This Row],[FECHA DE PAGO]]-PROVEEDORES[[#This Row],[FECHA DE FACTURACIÓN]])&gt;PROVEEDORES[[#This Row],[PLAZO Días]],"PAGO VENCIDO")</f>
        <v>0</v>
      </c>
      <c r="C1819" s="20">
        <f>+VLOOKUP(PROVEEDORES[[#This Row],[PROVEEDOR]],TERCEROS_INFO[#All],2,FALSE)</f>
        <v>30</v>
      </c>
      <c r="D1819" s="25">
        <f>+SUMIFS(PROVEEDORES[Total],PROVEEDORES[PROVEEDOR],PROVEEDORES[[#This Row],[PROVEEDOR]],PROVEEDORES[FECHA DE PAGO],"")</f>
        <v>0</v>
      </c>
      <c r="E1819" s="25"/>
      <c r="F1819" s="56" t="str">
        <f>+VLOOKUP(PROVEEDORES[[#This Row],[PROVEEDOR]],
                       Terceros!$A:$F,
                       5,
                       FALSE)</f>
        <v/>
      </c>
      <c r="G1819" s="68">
        <v>45169</v>
      </c>
      <c r="H1819" s="26" t="s">
        <v>362</v>
      </c>
      <c r="I1819" s="68">
        <v>45169</v>
      </c>
      <c r="J1819" s="35" t="s">
        <v>1178</v>
      </c>
      <c r="K1819" s="21">
        <v>4238550</v>
      </c>
      <c r="L1819" s="21"/>
      <c r="M1819" s="22">
        <f>(PROVEEDORES[[#This Row],[SUBTOTAL]]-PROVEEDORES[[#This Row],[descuento sobre subtotal]])*VLOOKUP(PROVEEDORES[[#This Row],[PROVEEDOR]],TERCEROS_INFO[#All],3,FALSE)</f>
        <v>0</v>
      </c>
      <c r="N1819" s="23"/>
      <c r="O1819" s="22">
        <f>+PROVEEDORES[[#This Row],[Descuento sobre subtotal %]]*(PROVEEDORES[[#This Row],[SUBTOTAL]]-PROVEEDORES[[#This Row],[descuento sobre subtotal]])</f>
        <v>0</v>
      </c>
      <c r="P1819" s="74">
        <f>+IF(PROVEEDORES[[#This Row],[SUBTOTAL]]&lt;PROVEEDORES[[#This Row],[base retencion]],0,PROVEEDORES[[#This Row],[retención aplicada]])</f>
        <v>0</v>
      </c>
      <c r="Q1819" s="22">
        <f>+PROVEEDORES[[#This Row],[Rete Fuente %]]*(PROVEEDORES[[#This Row],[SUBTOTAL]]-PROVEEDORES[[#This Row],[descuento sobre subtotal]])</f>
        <v>0</v>
      </c>
      <c r="R1819" s="21">
        <f>+PROVEEDORES[[#This Row],[SUBTOTAL]]+PROVEEDORES[[#This Row],[IVA 19%]]-PROVEEDORES[[#This Row],[descuento sobre subtotal]]-PROVEEDORES[[#This Row],[Descuento sobre subtotal $2]]-PROVEEDORES[[#This Row],[Rete Fuente $]]</f>
        <v>4238550</v>
      </c>
      <c r="S1819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9" s="63">
        <f ca="1">IF(PROVEEDORES[[#This Row],[FECHA DE PAGO]]=0,TODAY()-PROVEEDORES[[#This Row],[FECHA DE FACTURACIÓN]]-PROVEEDORES[[#This Row],[PLAZO Días]],0)</f>
        <v>0</v>
      </c>
      <c r="U1819" s="104">
        <f>+VLOOKUP(PROVEEDORES[[#This Row],[PROVEEDOR]],Terceros!$A:$D,4,FALSE)</f>
        <v>0</v>
      </c>
      <c r="V1819" s="105">
        <f>+YEAR(PROVEEDORES[[#This Row],[FECHA DE FACTURACIÓN]])</f>
        <v>2023</v>
      </c>
      <c r="W1819" s="105">
        <f>+MATCH(PROVEEDORES[[#This Row],[año facturado]],Retenciones!$1:$1,0)</f>
        <v>6</v>
      </c>
      <c r="X1819" s="106">
        <f>+VLOOKUP(PROVEEDORES[[#This Row],[ID RETENCION]],Retenciones!$A$1:$O$25,PROVEEDORES[[#This Row],[indicador de columna]],FALSE)</f>
        <v>0</v>
      </c>
      <c r="Y1819" s="107">
        <f>+VLOOKUP(PROVEEDORES[[#This Row],[ID RETENCION]],Retenciones!$A$1:$O$25,2,FALSE)</f>
        <v>0</v>
      </c>
      <c r="Z1819" s="116" t="b">
        <f>OR(COUNTIF(PROVEEDORES[[#This Row],[PROVEEDOR]],"*"&amp;'Palabra no opera'!$A$2&amp;"*"))</f>
        <v>0</v>
      </c>
    </row>
    <row r="1820" spans="1:26" ht="22.35" customHeight="1" x14ac:dyDescent="0.3">
      <c r="A1820" s="351" t="str">
        <f>+IF(PROVEEDORES[[#This Row],[FECHA DE PAGO]]=PROVEEDORES[[#This Row],[FECHA DE FACTURACIÓN]],"DE CONTADO","CRÉDITO")</f>
        <v>DE CONTADO</v>
      </c>
      <c r="B1820" s="38" t="b">
        <f>+IF((PROVEEDORES[[#This Row],[FECHA DE PAGO]]-PROVEEDORES[[#This Row],[FECHA DE FACTURACIÓN]])&gt;PROVEEDORES[[#This Row],[PLAZO Días]],"PAGO VENCIDO")</f>
        <v>0</v>
      </c>
      <c r="C1820" s="20">
        <f>+VLOOKUP(PROVEEDORES[[#This Row],[PROVEEDOR]],TERCEROS_INFO[#All],2,FALSE)</f>
        <v>30</v>
      </c>
      <c r="D1820" s="25">
        <f>+SUMIFS(PROVEEDORES[Total],PROVEEDORES[PROVEEDOR],PROVEEDORES[[#This Row],[PROVEEDOR]],PROVEEDORES[FECHA DE PAGO],"")</f>
        <v>0</v>
      </c>
      <c r="E1820" s="25"/>
      <c r="F1820" s="56" t="str">
        <f>+VLOOKUP(PROVEEDORES[[#This Row],[PROVEEDOR]],
                       Terceros!$A:$F,
                       5,
                       FALSE)</f>
        <v/>
      </c>
      <c r="G1820" s="68">
        <v>45169</v>
      </c>
      <c r="H1820" s="26" t="s">
        <v>362</v>
      </c>
      <c r="I1820" s="68">
        <v>45169</v>
      </c>
      <c r="J1820" s="35" t="s">
        <v>1176</v>
      </c>
      <c r="K1820" s="21">
        <v>427000</v>
      </c>
      <c r="L1820" s="21"/>
      <c r="M1820" s="22">
        <f>(PROVEEDORES[[#This Row],[SUBTOTAL]]-PROVEEDORES[[#This Row],[descuento sobre subtotal]])*VLOOKUP(PROVEEDORES[[#This Row],[PROVEEDOR]],TERCEROS_INFO[#All],3,FALSE)</f>
        <v>0</v>
      </c>
      <c r="N1820" s="23"/>
      <c r="O1820" s="22">
        <f>+PROVEEDORES[[#This Row],[Descuento sobre subtotal %]]*(PROVEEDORES[[#This Row],[SUBTOTAL]]-PROVEEDORES[[#This Row],[descuento sobre subtotal]])</f>
        <v>0</v>
      </c>
      <c r="P1820" s="74">
        <f>+IF(PROVEEDORES[[#This Row],[SUBTOTAL]]&lt;PROVEEDORES[[#This Row],[base retencion]],0,PROVEEDORES[[#This Row],[retención aplicada]])</f>
        <v>0</v>
      </c>
      <c r="Q1820" s="22">
        <f>+PROVEEDORES[[#This Row],[Rete Fuente %]]*(PROVEEDORES[[#This Row],[SUBTOTAL]]-PROVEEDORES[[#This Row],[descuento sobre subtotal]])</f>
        <v>0</v>
      </c>
      <c r="R1820" s="21">
        <f>+PROVEEDORES[[#This Row],[SUBTOTAL]]+PROVEEDORES[[#This Row],[IVA 19%]]-PROVEEDORES[[#This Row],[descuento sobre subtotal]]-PROVEEDORES[[#This Row],[Descuento sobre subtotal $2]]-PROVEEDORES[[#This Row],[Rete Fuente $]]</f>
        <v>427000</v>
      </c>
      <c r="S1820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0" s="63">
        <f ca="1">IF(PROVEEDORES[[#This Row],[FECHA DE PAGO]]=0,TODAY()-PROVEEDORES[[#This Row],[FECHA DE FACTURACIÓN]]-PROVEEDORES[[#This Row],[PLAZO Días]],0)</f>
        <v>0</v>
      </c>
      <c r="U1820" s="104">
        <f>+VLOOKUP(PROVEEDORES[[#This Row],[PROVEEDOR]],Terceros!$A:$D,4,FALSE)</f>
        <v>0</v>
      </c>
      <c r="V1820" s="105">
        <f>+YEAR(PROVEEDORES[[#This Row],[FECHA DE FACTURACIÓN]])</f>
        <v>2023</v>
      </c>
      <c r="W1820" s="105">
        <f>+MATCH(PROVEEDORES[[#This Row],[año facturado]],Retenciones!$1:$1,0)</f>
        <v>6</v>
      </c>
      <c r="X1820" s="106">
        <f>+VLOOKUP(PROVEEDORES[[#This Row],[ID RETENCION]],Retenciones!$A$1:$O$25,PROVEEDORES[[#This Row],[indicador de columna]],FALSE)</f>
        <v>0</v>
      </c>
      <c r="Y1820" s="107">
        <f>+VLOOKUP(PROVEEDORES[[#This Row],[ID RETENCION]],Retenciones!$A$1:$O$25,2,FALSE)</f>
        <v>0</v>
      </c>
      <c r="Z1820" s="116" t="b">
        <f>OR(COUNTIF(PROVEEDORES[[#This Row],[PROVEEDOR]],"*"&amp;'Palabra no opera'!$A$2&amp;"*"))</f>
        <v>0</v>
      </c>
    </row>
    <row r="1821" spans="1:26" ht="22.35" customHeight="1" x14ac:dyDescent="0.3">
      <c r="A1821" s="351" t="str">
        <f>+IF(PROVEEDORES[[#This Row],[FECHA DE PAGO]]=PROVEEDORES[[#This Row],[FECHA DE FACTURACIÓN]],"DE CONTADO","CRÉDITO")</f>
        <v>DE CONTADO</v>
      </c>
      <c r="B1821" s="38" t="b">
        <f>+IF((PROVEEDORES[[#This Row],[FECHA DE PAGO]]-PROVEEDORES[[#This Row],[FECHA DE FACTURACIÓN]])&gt;PROVEEDORES[[#This Row],[PLAZO Días]],"PAGO VENCIDO")</f>
        <v>0</v>
      </c>
      <c r="C1821" s="20">
        <f>+VLOOKUP(PROVEEDORES[[#This Row],[PROVEEDOR]],TERCEROS_INFO[#All],2,FALSE)</f>
        <v>30</v>
      </c>
      <c r="D1821" s="25">
        <f>+SUMIFS(PROVEEDORES[Total],PROVEEDORES[PROVEEDOR],PROVEEDORES[[#This Row],[PROVEEDOR]],PROVEEDORES[FECHA DE PAGO],"")</f>
        <v>0</v>
      </c>
      <c r="E1821" s="25"/>
      <c r="F1821" s="56" t="str">
        <f>+VLOOKUP(PROVEEDORES[[#This Row],[PROVEEDOR]],
                       Terceros!$A:$F,
                       5,
                       FALSE)</f>
        <v/>
      </c>
      <c r="G1821" s="68">
        <v>45169</v>
      </c>
      <c r="H1821" s="26" t="s">
        <v>362</v>
      </c>
      <c r="I1821" s="68">
        <v>45169</v>
      </c>
      <c r="J1821" s="35" t="s">
        <v>1180</v>
      </c>
      <c r="K1821" s="21">
        <v>646000</v>
      </c>
      <c r="L1821" s="21"/>
      <c r="M1821" s="22">
        <f>(PROVEEDORES[[#This Row],[SUBTOTAL]]-PROVEEDORES[[#This Row],[descuento sobre subtotal]])*VLOOKUP(PROVEEDORES[[#This Row],[PROVEEDOR]],TERCEROS_INFO[#All],3,FALSE)</f>
        <v>0</v>
      </c>
      <c r="N1821" s="23"/>
      <c r="O1821" s="22">
        <f>+PROVEEDORES[[#This Row],[Descuento sobre subtotal %]]*(PROVEEDORES[[#This Row],[SUBTOTAL]]-PROVEEDORES[[#This Row],[descuento sobre subtotal]])</f>
        <v>0</v>
      </c>
      <c r="P1821" s="74">
        <f>+IF(PROVEEDORES[[#This Row],[SUBTOTAL]]&lt;PROVEEDORES[[#This Row],[base retencion]],0,PROVEEDORES[[#This Row],[retención aplicada]])</f>
        <v>0</v>
      </c>
      <c r="Q1821" s="22">
        <f>+PROVEEDORES[[#This Row],[Rete Fuente %]]*(PROVEEDORES[[#This Row],[SUBTOTAL]]-PROVEEDORES[[#This Row],[descuento sobre subtotal]])</f>
        <v>0</v>
      </c>
      <c r="R1821" s="21">
        <f>+PROVEEDORES[[#This Row],[SUBTOTAL]]+PROVEEDORES[[#This Row],[IVA 19%]]-PROVEEDORES[[#This Row],[descuento sobre subtotal]]-PROVEEDORES[[#This Row],[Descuento sobre subtotal $2]]-PROVEEDORES[[#This Row],[Rete Fuente $]]</f>
        <v>646000</v>
      </c>
      <c r="S1821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1" s="63">
        <f ca="1">IF(PROVEEDORES[[#This Row],[FECHA DE PAGO]]=0,TODAY()-PROVEEDORES[[#This Row],[FECHA DE FACTURACIÓN]]-PROVEEDORES[[#This Row],[PLAZO Días]],0)</f>
        <v>0</v>
      </c>
      <c r="U1821" s="104">
        <f>+VLOOKUP(PROVEEDORES[[#This Row],[PROVEEDOR]],Terceros!$A:$D,4,FALSE)</f>
        <v>0</v>
      </c>
      <c r="V1821" s="105">
        <f>+YEAR(PROVEEDORES[[#This Row],[FECHA DE FACTURACIÓN]])</f>
        <v>2023</v>
      </c>
      <c r="W1821" s="105">
        <f>+MATCH(PROVEEDORES[[#This Row],[año facturado]],Retenciones!$1:$1,0)</f>
        <v>6</v>
      </c>
      <c r="X1821" s="106">
        <f>+VLOOKUP(PROVEEDORES[[#This Row],[ID RETENCION]],Retenciones!$A$1:$O$25,PROVEEDORES[[#This Row],[indicador de columna]],FALSE)</f>
        <v>0</v>
      </c>
      <c r="Y1821" s="107">
        <f>+VLOOKUP(PROVEEDORES[[#This Row],[ID RETENCION]],Retenciones!$A$1:$O$25,2,FALSE)</f>
        <v>0</v>
      </c>
      <c r="Z1821" s="116" t="b">
        <f>OR(COUNTIF(PROVEEDORES[[#This Row],[PROVEEDOR]],"*"&amp;'Palabra no opera'!$A$2&amp;"*"))</f>
        <v>0</v>
      </c>
    </row>
    <row r="1822" spans="1:26" ht="22.35" customHeight="1" x14ac:dyDescent="0.3">
      <c r="A1822" s="351" t="str">
        <f>+IF(PROVEEDORES[[#This Row],[FECHA DE PAGO]]=PROVEEDORES[[#This Row],[FECHA DE FACTURACIÓN]],"DE CONTADO","CRÉDITO")</f>
        <v>DE CONTADO</v>
      </c>
      <c r="B1822" s="38" t="b">
        <f>+IF((PROVEEDORES[[#This Row],[FECHA DE PAGO]]-PROVEEDORES[[#This Row],[FECHA DE FACTURACIÓN]])&gt;PROVEEDORES[[#This Row],[PLAZO Días]],"PAGO VENCIDO")</f>
        <v>0</v>
      </c>
      <c r="C1822" s="20">
        <f>+VLOOKUP(PROVEEDORES[[#This Row],[PROVEEDOR]],TERCEROS_INFO[#All],2,FALSE)</f>
        <v>30</v>
      </c>
      <c r="D1822" s="25">
        <f>+SUMIFS(PROVEEDORES[Total],PROVEEDORES[PROVEEDOR],PROVEEDORES[[#This Row],[PROVEEDOR]],PROVEEDORES[FECHA DE PAGO],"")</f>
        <v>0</v>
      </c>
      <c r="E1822" s="25"/>
      <c r="F1822" s="56" t="str">
        <f>+VLOOKUP(PROVEEDORES[[#This Row],[PROVEEDOR]],
                       Terceros!$A:$F,
                       5,
                       FALSE)</f>
        <v/>
      </c>
      <c r="G1822" s="68">
        <v>45169</v>
      </c>
      <c r="H1822" s="26" t="s">
        <v>362</v>
      </c>
      <c r="I1822" s="68">
        <v>45169</v>
      </c>
      <c r="J1822" s="35" t="s">
        <v>1179</v>
      </c>
      <c r="K1822" s="21">
        <v>165300</v>
      </c>
      <c r="L1822" s="21"/>
      <c r="M1822" s="22">
        <f>(PROVEEDORES[[#This Row],[SUBTOTAL]]-PROVEEDORES[[#This Row],[descuento sobre subtotal]])*VLOOKUP(PROVEEDORES[[#This Row],[PROVEEDOR]],TERCEROS_INFO[#All],3,FALSE)</f>
        <v>0</v>
      </c>
      <c r="N1822" s="23"/>
      <c r="O1822" s="22">
        <f>+PROVEEDORES[[#This Row],[Descuento sobre subtotal %]]*(PROVEEDORES[[#This Row],[SUBTOTAL]]-PROVEEDORES[[#This Row],[descuento sobre subtotal]])</f>
        <v>0</v>
      </c>
      <c r="P1822" s="74">
        <f>+IF(PROVEEDORES[[#This Row],[SUBTOTAL]]&lt;PROVEEDORES[[#This Row],[base retencion]],0,PROVEEDORES[[#This Row],[retención aplicada]])</f>
        <v>0</v>
      </c>
      <c r="Q1822" s="22">
        <f>+PROVEEDORES[[#This Row],[Rete Fuente %]]*(PROVEEDORES[[#This Row],[SUBTOTAL]]-PROVEEDORES[[#This Row],[descuento sobre subtotal]])</f>
        <v>0</v>
      </c>
      <c r="R1822" s="21">
        <f>+PROVEEDORES[[#This Row],[SUBTOTAL]]+PROVEEDORES[[#This Row],[IVA 19%]]-PROVEEDORES[[#This Row],[descuento sobre subtotal]]-PROVEEDORES[[#This Row],[Descuento sobre subtotal $2]]-PROVEEDORES[[#This Row],[Rete Fuente $]]</f>
        <v>165300</v>
      </c>
      <c r="S1822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2" s="63">
        <f ca="1">IF(PROVEEDORES[[#This Row],[FECHA DE PAGO]]=0,TODAY()-PROVEEDORES[[#This Row],[FECHA DE FACTURACIÓN]]-PROVEEDORES[[#This Row],[PLAZO Días]],0)</f>
        <v>0</v>
      </c>
      <c r="U1822" s="104">
        <f>+VLOOKUP(PROVEEDORES[[#This Row],[PROVEEDOR]],Terceros!$A:$D,4,FALSE)</f>
        <v>0</v>
      </c>
      <c r="V1822" s="105">
        <f>+YEAR(PROVEEDORES[[#This Row],[FECHA DE FACTURACIÓN]])</f>
        <v>2023</v>
      </c>
      <c r="W1822" s="105">
        <f>+MATCH(PROVEEDORES[[#This Row],[año facturado]],Retenciones!$1:$1,0)</f>
        <v>6</v>
      </c>
      <c r="X1822" s="106">
        <f>+VLOOKUP(PROVEEDORES[[#This Row],[ID RETENCION]],Retenciones!$A$1:$O$25,PROVEEDORES[[#This Row],[indicador de columna]],FALSE)</f>
        <v>0</v>
      </c>
      <c r="Y1822" s="107">
        <f>+VLOOKUP(PROVEEDORES[[#This Row],[ID RETENCION]],Retenciones!$A$1:$O$25,2,FALSE)</f>
        <v>0</v>
      </c>
      <c r="Z1822" s="116" t="b">
        <f>OR(COUNTIF(PROVEEDORES[[#This Row],[PROVEEDOR]],"*"&amp;'Palabra no opera'!$A$2&amp;"*"))</f>
        <v>0</v>
      </c>
    </row>
    <row r="1823" spans="1:26" ht="22.35" customHeight="1" x14ac:dyDescent="0.3">
      <c r="A1823" s="351" t="str">
        <f>+IF(PROVEEDORES[[#This Row],[FECHA DE PAGO]]=PROVEEDORES[[#This Row],[FECHA DE FACTURACIÓN]],"DE CONTADO","CRÉDITO")</f>
        <v>DE CONTADO</v>
      </c>
      <c r="B1823" s="38" t="b">
        <f>+IF((PROVEEDORES[[#This Row],[FECHA DE PAGO]]-PROVEEDORES[[#This Row],[FECHA DE FACTURACIÓN]])&gt;PROVEEDORES[[#This Row],[PLAZO Días]],"PAGO VENCIDO")</f>
        <v>0</v>
      </c>
      <c r="C1823" s="20">
        <f>+VLOOKUP(PROVEEDORES[[#This Row],[PROVEEDOR]],TERCEROS_INFO[#All],2,FALSE)</f>
        <v>30</v>
      </c>
      <c r="D1823" s="25">
        <f>+SUMIFS(PROVEEDORES[Total],PROVEEDORES[PROVEEDOR],PROVEEDORES[[#This Row],[PROVEEDOR]],PROVEEDORES[FECHA DE PAGO],"")</f>
        <v>0</v>
      </c>
      <c r="E1823" s="25"/>
      <c r="F1823" s="56" t="str">
        <f>+VLOOKUP(PROVEEDORES[[#This Row],[PROVEEDOR]],
                       Terceros!$A:$F,
                       5,
                       FALSE)</f>
        <v/>
      </c>
      <c r="G1823" s="68">
        <v>45169</v>
      </c>
      <c r="H1823" s="26" t="s">
        <v>362</v>
      </c>
      <c r="I1823" s="68">
        <v>45169</v>
      </c>
      <c r="J1823" s="35" t="s">
        <v>1379</v>
      </c>
      <c r="K1823" s="21">
        <v>214000</v>
      </c>
      <c r="L1823" s="21"/>
      <c r="M1823" s="22">
        <f>(PROVEEDORES[[#This Row],[SUBTOTAL]]-PROVEEDORES[[#This Row],[descuento sobre subtotal]])*VLOOKUP(PROVEEDORES[[#This Row],[PROVEEDOR]],TERCEROS_INFO[#All],3,FALSE)</f>
        <v>0</v>
      </c>
      <c r="N1823" s="23"/>
      <c r="O1823" s="22">
        <f>+PROVEEDORES[[#This Row],[Descuento sobre subtotal %]]*(PROVEEDORES[[#This Row],[SUBTOTAL]]-PROVEEDORES[[#This Row],[descuento sobre subtotal]])</f>
        <v>0</v>
      </c>
      <c r="P1823" s="74">
        <f>+IF(PROVEEDORES[[#This Row],[SUBTOTAL]]&lt;PROVEEDORES[[#This Row],[base retencion]],0,PROVEEDORES[[#This Row],[retención aplicada]])</f>
        <v>0</v>
      </c>
      <c r="Q1823" s="22">
        <f>+PROVEEDORES[[#This Row],[Rete Fuente %]]*(PROVEEDORES[[#This Row],[SUBTOTAL]]-PROVEEDORES[[#This Row],[descuento sobre subtotal]])</f>
        <v>0</v>
      </c>
      <c r="R1823" s="21">
        <f>+PROVEEDORES[[#This Row],[SUBTOTAL]]+PROVEEDORES[[#This Row],[IVA 19%]]-PROVEEDORES[[#This Row],[descuento sobre subtotal]]-PROVEEDORES[[#This Row],[Descuento sobre subtotal $2]]-PROVEEDORES[[#This Row],[Rete Fuente $]]</f>
        <v>214000</v>
      </c>
      <c r="S1823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3" s="63">
        <f ca="1">IF(PROVEEDORES[[#This Row],[FECHA DE PAGO]]=0,TODAY()-PROVEEDORES[[#This Row],[FECHA DE FACTURACIÓN]]-PROVEEDORES[[#This Row],[PLAZO Días]],0)</f>
        <v>0</v>
      </c>
      <c r="U1823" s="104">
        <f>+VLOOKUP(PROVEEDORES[[#This Row],[PROVEEDOR]],Terceros!$A:$D,4,FALSE)</f>
        <v>0</v>
      </c>
      <c r="V1823" s="105">
        <f>+YEAR(PROVEEDORES[[#This Row],[FECHA DE FACTURACIÓN]])</f>
        <v>2023</v>
      </c>
      <c r="W1823" s="105">
        <f>+MATCH(PROVEEDORES[[#This Row],[año facturado]],Retenciones!$1:$1,0)</f>
        <v>6</v>
      </c>
      <c r="X1823" s="106">
        <f>+VLOOKUP(PROVEEDORES[[#This Row],[ID RETENCION]],Retenciones!$A$1:$O$25,PROVEEDORES[[#This Row],[indicador de columna]],FALSE)</f>
        <v>0</v>
      </c>
      <c r="Y1823" s="107">
        <f>+VLOOKUP(PROVEEDORES[[#This Row],[ID RETENCION]],Retenciones!$A$1:$O$25,2,FALSE)</f>
        <v>0</v>
      </c>
      <c r="Z1823" s="116" t="b">
        <f>OR(COUNTIF(PROVEEDORES[[#This Row],[PROVEEDOR]],"*"&amp;'Palabra no opera'!$A$2&amp;"*"))</f>
        <v>0</v>
      </c>
    </row>
    <row r="1824" spans="1:26" ht="22.35" customHeight="1" x14ac:dyDescent="0.3">
      <c r="A1824" s="351" t="str">
        <f>+IF(PROVEEDORES[[#This Row],[FECHA DE PAGO]]=PROVEEDORES[[#This Row],[FECHA DE FACTURACIÓN]],"DE CONTADO","CRÉDITO")</f>
        <v>DE CONTADO</v>
      </c>
      <c r="B1824" s="38" t="b">
        <f>+IF((PROVEEDORES[[#This Row],[FECHA DE PAGO]]-PROVEEDORES[[#This Row],[FECHA DE FACTURACIÓN]])&gt;PROVEEDORES[[#This Row],[PLAZO Días]],"PAGO VENCIDO")</f>
        <v>0</v>
      </c>
      <c r="C1824" s="20">
        <f>+VLOOKUP(PROVEEDORES[[#This Row],[PROVEEDOR]],TERCEROS_INFO[#All],2,FALSE)</f>
        <v>30</v>
      </c>
      <c r="D1824" s="25">
        <f>+SUMIFS(PROVEEDORES[Total],PROVEEDORES[PROVEEDOR],PROVEEDORES[[#This Row],[PROVEEDOR]],PROVEEDORES[FECHA DE PAGO],"")</f>
        <v>0</v>
      </c>
      <c r="E1824" s="25"/>
      <c r="F1824" s="56">
        <f>+VLOOKUP(PROVEEDORES[[#This Row],[PROVEEDOR]],
                       Terceros!$A:$F,
                       5,
                       FALSE)</f>
        <v>0</v>
      </c>
      <c r="G1824" s="68">
        <v>45169</v>
      </c>
      <c r="H1824" s="26" t="s">
        <v>1762</v>
      </c>
      <c r="I1824" s="68">
        <v>45169</v>
      </c>
      <c r="J1824" s="35">
        <v>5918</v>
      </c>
      <c r="K1824" s="21">
        <v>505000</v>
      </c>
      <c r="L1824" s="21"/>
      <c r="M1824" s="22">
        <f>(PROVEEDORES[[#This Row],[SUBTOTAL]]-PROVEEDORES[[#This Row],[descuento sobre subtotal]])*VLOOKUP(PROVEEDORES[[#This Row],[PROVEEDOR]],TERCEROS_INFO[#All],3,FALSE)</f>
        <v>0</v>
      </c>
      <c r="N1824" s="23"/>
      <c r="O1824" s="22">
        <f>+PROVEEDORES[[#This Row],[Descuento sobre subtotal %]]*(PROVEEDORES[[#This Row],[SUBTOTAL]]-PROVEEDORES[[#This Row],[descuento sobre subtotal]])</f>
        <v>0</v>
      </c>
      <c r="P1824" s="74">
        <f>+IF(PROVEEDORES[[#This Row],[SUBTOTAL]]&lt;PROVEEDORES[[#This Row],[base retencion]],0,PROVEEDORES[[#This Row],[retención aplicada]])</f>
        <v>0</v>
      </c>
      <c r="Q1824" s="22">
        <f>+PROVEEDORES[[#This Row],[Rete Fuente %]]*(PROVEEDORES[[#This Row],[SUBTOTAL]]-PROVEEDORES[[#This Row],[descuento sobre subtotal]])</f>
        <v>0</v>
      </c>
      <c r="R1824" s="21">
        <f>+PROVEEDORES[[#This Row],[SUBTOTAL]]+PROVEEDORES[[#This Row],[IVA 19%]]-PROVEEDORES[[#This Row],[descuento sobre subtotal]]-PROVEEDORES[[#This Row],[Descuento sobre subtotal $2]]-PROVEEDORES[[#This Row],[Rete Fuente $]]</f>
        <v>505000</v>
      </c>
      <c r="S1824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4" s="63">
        <f ca="1">IF(PROVEEDORES[[#This Row],[FECHA DE PAGO]]=0,TODAY()-PROVEEDORES[[#This Row],[FECHA DE FACTURACIÓN]]-PROVEEDORES[[#This Row],[PLAZO Días]],0)</f>
        <v>0</v>
      </c>
      <c r="U1824" s="104">
        <f>+VLOOKUP(PROVEEDORES[[#This Row],[PROVEEDOR]],Terceros!$A:$D,4,FALSE)</f>
        <v>0</v>
      </c>
      <c r="V1824" s="105">
        <f>+YEAR(PROVEEDORES[[#This Row],[FECHA DE FACTURACIÓN]])</f>
        <v>2023</v>
      </c>
      <c r="W1824" s="105">
        <f>+MATCH(PROVEEDORES[[#This Row],[año facturado]],Retenciones!$1:$1,0)</f>
        <v>6</v>
      </c>
      <c r="X1824" s="106">
        <f>+VLOOKUP(PROVEEDORES[[#This Row],[ID RETENCION]],Retenciones!$A$1:$O$25,PROVEEDORES[[#This Row],[indicador de columna]],FALSE)</f>
        <v>0</v>
      </c>
      <c r="Y1824" s="107">
        <f>+VLOOKUP(PROVEEDORES[[#This Row],[ID RETENCION]],Retenciones!$A$1:$O$25,2,FALSE)</f>
        <v>0</v>
      </c>
      <c r="Z1824" s="116" t="b">
        <f>OR(COUNTIF(PROVEEDORES[[#This Row],[PROVEEDOR]],"*"&amp;'Palabra no opera'!$A$2&amp;"*"))</f>
        <v>0</v>
      </c>
    </row>
    <row r="1825" spans="1:26" ht="22.35" customHeight="1" x14ac:dyDescent="0.3">
      <c r="A1825" s="67" t="str">
        <f>+IF(PROVEEDORES[[#This Row],[FECHA DE PAGO]]=PROVEEDORES[[#This Row],[FECHA DE FACTURACIÓN]],"DE CONTADO","CRÉDITO")</f>
        <v>CRÉDITO</v>
      </c>
      <c r="B1825" s="38" t="str">
        <f>+IF((PROVEEDORES[[#This Row],[FECHA DE PAGO]]-PROVEEDORES[[#This Row],[FECHA DE FACTURACIÓN]])&gt;PROVEEDORES[[#This Row],[PLAZO Días]],"PAGO VENCIDO")</f>
        <v>PAGO VENCIDO</v>
      </c>
      <c r="C1825" s="20">
        <f>+VLOOKUP(PROVEEDORES[[#This Row],[PROVEEDOR]],TERCEROS_INFO[#All],2,FALSE)</f>
        <v>30</v>
      </c>
      <c r="D1825" s="25">
        <f>+SUMIFS(PROVEEDORES[Total],PROVEEDORES[PROVEEDOR],PROVEEDORES[[#This Row],[PROVEEDOR]],PROVEEDORES[FECHA DE PAGO],"")</f>
        <v>4282200</v>
      </c>
      <c r="E1825" s="25"/>
      <c r="F1825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25" s="68">
        <v>45170</v>
      </c>
      <c r="H1825" s="95" t="s">
        <v>406</v>
      </c>
      <c r="I1825" s="68">
        <v>45139</v>
      </c>
      <c r="J1825" s="35">
        <v>4297</v>
      </c>
      <c r="K1825" s="21">
        <v>138000</v>
      </c>
      <c r="L1825" s="21"/>
      <c r="M1825" s="22">
        <f>(PROVEEDORES[[#This Row],[SUBTOTAL]]-PROVEEDORES[[#This Row],[descuento sobre subtotal]])*VLOOKUP(PROVEEDORES[[#This Row],[PROVEEDOR]],TERCEROS_INFO[#All],3,FALSE)</f>
        <v>0</v>
      </c>
      <c r="N1825" s="23"/>
      <c r="O1825" s="22">
        <f>+PROVEEDORES[[#This Row],[Descuento sobre subtotal %]]*(PROVEEDORES[[#This Row],[SUBTOTAL]]-PROVEEDORES[[#This Row],[descuento sobre subtotal]])</f>
        <v>0</v>
      </c>
      <c r="P1825" s="74">
        <f>+IF(PROVEEDORES[[#This Row],[SUBTOTAL]]&lt;PROVEEDORES[[#This Row],[base retencion]],0,PROVEEDORES[[#This Row],[retención aplicada]])</f>
        <v>0</v>
      </c>
      <c r="Q1825" s="22">
        <f>+PROVEEDORES[[#This Row],[Rete Fuente %]]*(PROVEEDORES[[#This Row],[SUBTOTAL]]-PROVEEDORES[[#This Row],[descuento sobre subtotal]])</f>
        <v>0</v>
      </c>
      <c r="R1825" s="21">
        <f>+PROVEEDORES[[#This Row],[SUBTOTAL]]+PROVEEDORES[[#This Row],[IVA 19%]]-PROVEEDORES[[#This Row],[descuento sobre subtotal]]-PROVEEDORES[[#This Row],[Descuento sobre subtotal $2]]-PROVEEDORES[[#This Row],[Rete Fuente $]]</f>
        <v>138000</v>
      </c>
      <c r="S182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5" s="63">
        <f ca="1">IF(PROVEEDORES[[#This Row],[FECHA DE PAGO]]=0,TODAY()-PROVEEDORES[[#This Row],[FECHA DE FACTURACIÓN]]-PROVEEDORES[[#This Row],[PLAZO Días]],0)</f>
        <v>0</v>
      </c>
      <c r="U1825" s="104">
        <f>+VLOOKUP(PROVEEDORES[[#This Row],[PROVEEDOR]],Terceros!$A:$D,4,FALSE)</f>
        <v>0</v>
      </c>
      <c r="V1825" s="105">
        <f>+YEAR(PROVEEDORES[[#This Row],[FECHA DE FACTURACIÓN]])</f>
        <v>2023</v>
      </c>
      <c r="W1825" s="105">
        <f>+MATCH(PROVEEDORES[[#This Row],[año facturado]],Retenciones!$1:$1,0)</f>
        <v>6</v>
      </c>
      <c r="X1825" s="106">
        <f>+VLOOKUP(PROVEEDORES[[#This Row],[ID RETENCION]],Retenciones!$A$1:$O$25,PROVEEDORES[[#This Row],[indicador de columna]],FALSE)</f>
        <v>0</v>
      </c>
      <c r="Y1825" s="107">
        <f>+VLOOKUP(PROVEEDORES[[#This Row],[ID RETENCION]],Retenciones!$A$1:$O$25,2,FALSE)</f>
        <v>0</v>
      </c>
      <c r="Z1825" s="116" t="b">
        <f>OR(COUNTIF(PROVEEDORES[[#This Row],[PROVEEDOR]],"*"&amp;'Palabra no opera'!$A$2&amp;"*"))</f>
        <v>0</v>
      </c>
    </row>
    <row r="1826" spans="1:26" ht="22.35" customHeight="1" x14ac:dyDescent="0.3">
      <c r="A1826" s="349" t="str">
        <f>+IF(PROVEEDORES[[#This Row],[FECHA DE PAGO]]=PROVEEDORES[[#This Row],[FECHA DE FACTURACIÓN]],"DE CONTADO","CRÉDITO")</f>
        <v>CRÉDITO</v>
      </c>
      <c r="B1826" s="38" t="b">
        <f>+IF((PROVEEDORES[[#This Row],[FECHA DE PAGO]]-PROVEEDORES[[#This Row],[FECHA DE FACTURACIÓN]])&gt;PROVEEDORES[[#This Row],[PLAZO Días]],"PAGO VENCIDO")</f>
        <v>0</v>
      </c>
      <c r="C1826" s="20">
        <f>+VLOOKUP(PROVEEDORES[[#This Row],[PROVEEDOR]],TERCEROS_INFO[#All],2,FALSE)</f>
        <v>30</v>
      </c>
      <c r="D1826" s="25">
        <f>+SUMIFS(PROVEEDORES[Total],PROVEEDORES[PROVEEDOR],PROVEEDORES[[#This Row],[PROVEEDOR]],PROVEEDORES[FECHA DE PAGO],"")</f>
        <v>0</v>
      </c>
      <c r="E1826" s="25"/>
      <c r="F1826" s="56">
        <f>+VLOOKUP(PROVEEDORES[[#This Row],[PROVEEDOR]],
                       Terceros!$A:$F,
                       5,
                       FALSE)</f>
        <v>0</v>
      </c>
      <c r="G1826" s="68">
        <v>45170</v>
      </c>
      <c r="H1826" s="26" t="s">
        <v>413</v>
      </c>
      <c r="I1826" s="68">
        <v>45161</v>
      </c>
      <c r="J1826" s="35">
        <v>396</v>
      </c>
      <c r="K1826" s="21">
        <v>756000</v>
      </c>
      <c r="L1826" s="21"/>
      <c r="M1826" s="22">
        <f>(PROVEEDORES[[#This Row],[SUBTOTAL]]-PROVEEDORES[[#This Row],[descuento sobre subtotal]])*VLOOKUP(PROVEEDORES[[#This Row],[PROVEEDOR]],TERCEROS_INFO[#All],3,FALSE)</f>
        <v>0</v>
      </c>
      <c r="N1826" s="23"/>
      <c r="O1826" s="22">
        <f>+PROVEEDORES[[#This Row],[Descuento sobre subtotal %]]*(PROVEEDORES[[#This Row],[SUBTOTAL]]-PROVEEDORES[[#This Row],[descuento sobre subtotal]])</f>
        <v>0</v>
      </c>
      <c r="P1826" s="74">
        <f>+IF(PROVEEDORES[[#This Row],[SUBTOTAL]]&lt;PROVEEDORES[[#This Row],[base retencion]],0,PROVEEDORES[[#This Row],[retención aplicada]])</f>
        <v>0</v>
      </c>
      <c r="Q1826" s="22">
        <f>+PROVEEDORES[[#This Row],[Rete Fuente %]]*(PROVEEDORES[[#This Row],[SUBTOTAL]]-PROVEEDORES[[#This Row],[descuento sobre subtotal]])</f>
        <v>0</v>
      </c>
      <c r="R1826" s="21">
        <f>+PROVEEDORES[[#This Row],[SUBTOTAL]]+PROVEEDORES[[#This Row],[IVA 19%]]-PROVEEDORES[[#This Row],[descuento sobre subtotal]]-PROVEEDORES[[#This Row],[Descuento sobre subtotal $2]]-PROVEEDORES[[#This Row],[Rete Fuente $]]</f>
        <v>756000</v>
      </c>
      <c r="S1826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6" s="63">
        <f ca="1">IF(PROVEEDORES[[#This Row],[FECHA DE PAGO]]=0,TODAY()-PROVEEDORES[[#This Row],[FECHA DE FACTURACIÓN]]-PROVEEDORES[[#This Row],[PLAZO Días]],0)</f>
        <v>0</v>
      </c>
      <c r="U1826" s="104">
        <f>+VLOOKUP(PROVEEDORES[[#This Row],[PROVEEDOR]],Terceros!$A:$D,4,FALSE)</f>
        <v>0</v>
      </c>
      <c r="V1826" s="105">
        <f>+YEAR(PROVEEDORES[[#This Row],[FECHA DE FACTURACIÓN]])</f>
        <v>2023</v>
      </c>
      <c r="W1826" s="105">
        <f>+MATCH(PROVEEDORES[[#This Row],[año facturado]],Retenciones!$1:$1,0)</f>
        <v>6</v>
      </c>
      <c r="X1826" s="106">
        <f>+VLOOKUP(PROVEEDORES[[#This Row],[ID RETENCION]],Retenciones!$A$1:$O$25,PROVEEDORES[[#This Row],[indicador de columna]],FALSE)</f>
        <v>0</v>
      </c>
      <c r="Y1826" s="107">
        <f>+VLOOKUP(PROVEEDORES[[#This Row],[ID RETENCION]],Retenciones!$A$1:$O$25,2,FALSE)</f>
        <v>0</v>
      </c>
      <c r="Z1826" s="116" t="b">
        <f>OR(COUNTIF(PROVEEDORES[[#This Row],[PROVEEDOR]],"*"&amp;'Palabra no opera'!$A$2&amp;"*"))</f>
        <v>0</v>
      </c>
    </row>
    <row r="1827" spans="1:26" ht="22.35" customHeight="1" x14ac:dyDescent="0.3">
      <c r="A1827" s="351" t="str">
        <f>+IF(PROVEEDORES[[#This Row],[FECHA DE PAGO]]=PROVEEDORES[[#This Row],[FECHA DE FACTURACIÓN]],"DE CONTADO","CRÉDITO")</f>
        <v>DE CONTADO</v>
      </c>
      <c r="B1827" s="38" t="b">
        <f>+IF((PROVEEDORES[[#This Row],[FECHA DE PAGO]]-PROVEEDORES[[#This Row],[FECHA DE FACTURACIÓN]])&gt;PROVEEDORES[[#This Row],[PLAZO Días]],"PAGO VENCIDO")</f>
        <v>0</v>
      </c>
      <c r="C1827" s="20">
        <f>+VLOOKUP(PROVEEDORES[[#This Row],[PROVEEDOR]],TERCEROS_INFO[#All],2,FALSE)</f>
        <v>30</v>
      </c>
      <c r="D1827" s="25">
        <f>+SUMIFS(PROVEEDORES[Total],PROVEEDORES[PROVEEDOR],PROVEEDORES[[#This Row],[PROVEEDOR]],PROVEEDORES[FECHA DE PAGO],"")</f>
        <v>0</v>
      </c>
      <c r="E1827" s="25"/>
      <c r="F1827" s="56" t="str">
        <f>+VLOOKUP(PROVEEDORES[[#This Row],[PROVEEDOR]],
                       Terceros!$A:$F,
                       5,
                       FALSE)</f>
        <v/>
      </c>
      <c r="G1827" s="68">
        <v>45171</v>
      </c>
      <c r="H1827" s="26" t="s">
        <v>378</v>
      </c>
      <c r="I1827" s="68">
        <v>45171</v>
      </c>
      <c r="J1827" s="35" t="s">
        <v>1936</v>
      </c>
      <c r="K1827" s="21">
        <v>540000</v>
      </c>
      <c r="L1827" s="21"/>
      <c r="M1827" s="22">
        <f>(PROVEEDORES[[#This Row],[SUBTOTAL]]-PROVEEDORES[[#This Row],[descuento sobre subtotal]])*VLOOKUP(PROVEEDORES[[#This Row],[PROVEEDOR]],TERCEROS_INFO[#All],3,FALSE)</f>
        <v>0</v>
      </c>
      <c r="N1827" s="23"/>
      <c r="O1827" s="22">
        <f>+PROVEEDORES[[#This Row],[Descuento sobre subtotal %]]*(PROVEEDORES[[#This Row],[SUBTOTAL]]-PROVEEDORES[[#This Row],[descuento sobre subtotal]])</f>
        <v>0</v>
      </c>
      <c r="P1827" s="74">
        <f>+IF(PROVEEDORES[[#This Row],[SUBTOTAL]]&lt;PROVEEDORES[[#This Row],[base retencion]],0,PROVEEDORES[[#This Row],[retención aplicada]])</f>
        <v>0</v>
      </c>
      <c r="Q1827" s="22">
        <f>+PROVEEDORES[[#This Row],[Rete Fuente %]]*(PROVEEDORES[[#This Row],[SUBTOTAL]]-PROVEEDORES[[#This Row],[descuento sobre subtotal]])</f>
        <v>0</v>
      </c>
      <c r="R1827" s="21">
        <f>+PROVEEDORES[[#This Row],[SUBTOTAL]]+PROVEEDORES[[#This Row],[IVA 19%]]-PROVEEDORES[[#This Row],[descuento sobre subtotal]]-PROVEEDORES[[#This Row],[Descuento sobre subtotal $2]]-PROVEEDORES[[#This Row],[Rete Fuente $]]</f>
        <v>540000</v>
      </c>
      <c r="S1827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7" s="63">
        <f ca="1">IF(PROVEEDORES[[#This Row],[FECHA DE PAGO]]=0,TODAY()-PROVEEDORES[[#This Row],[FECHA DE FACTURACIÓN]]-PROVEEDORES[[#This Row],[PLAZO Días]],0)</f>
        <v>0</v>
      </c>
      <c r="U1827" s="104">
        <f>+VLOOKUP(PROVEEDORES[[#This Row],[PROVEEDOR]],Terceros!$A:$D,4,FALSE)</f>
        <v>0</v>
      </c>
      <c r="V1827" s="105">
        <f>+YEAR(PROVEEDORES[[#This Row],[FECHA DE FACTURACIÓN]])</f>
        <v>2023</v>
      </c>
      <c r="W1827" s="105">
        <f>+MATCH(PROVEEDORES[[#This Row],[año facturado]],Retenciones!$1:$1,0)</f>
        <v>6</v>
      </c>
      <c r="X1827" s="106">
        <f>+VLOOKUP(PROVEEDORES[[#This Row],[ID RETENCION]],Retenciones!$A$1:$O$25,PROVEEDORES[[#This Row],[indicador de columna]],FALSE)</f>
        <v>0</v>
      </c>
      <c r="Y1827" s="107">
        <f>+VLOOKUP(PROVEEDORES[[#This Row],[ID RETENCION]],Retenciones!$A$1:$O$25,2,FALSE)</f>
        <v>0</v>
      </c>
      <c r="Z1827" s="116" t="b">
        <f>OR(COUNTIF(PROVEEDORES[[#This Row],[PROVEEDOR]],"*"&amp;'Palabra no opera'!$A$2&amp;"*"))</f>
        <v>0</v>
      </c>
    </row>
    <row r="1828" spans="1:26" ht="22.35" customHeight="1" x14ac:dyDescent="0.3">
      <c r="A1828" s="67" t="str">
        <f>+IF(PROVEEDORES[[#This Row],[FECHA DE PAGO]]=PROVEEDORES[[#This Row],[FECHA DE FACTURACIÓN]],"DE CONTADO","CRÉDITO")</f>
        <v>DE CONTADO</v>
      </c>
      <c r="B1828" s="38" t="b">
        <f>+IF((PROVEEDORES[[#This Row],[FECHA DE PAGO]]-PROVEEDORES[[#This Row],[FECHA DE FACTURACIÓN]])&gt;PROVEEDORES[[#This Row],[PLAZO Días]],"PAGO VENCIDO")</f>
        <v>0</v>
      </c>
      <c r="C1828" s="20">
        <f>+VLOOKUP(PROVEEDORES[[#This Row],[PROVEEDOR]],TERCEROS_INFO[#All],2,FALSE)</f>
        <v>30</v>
      </c>
      <c r="D1828" s="25">
        <f>+SUMIFS(PROVEEDORES[Total],PROVEEDORES[PROVEEDOR],PROVEEDORES[[#This Row],[PROVEEDOR]],PROVEEDORES[FECHA DE PAGO],"")</f>
        <v>0</v>
      </c>
      <c r="E1828" s="25"/>
      <c r="F1828" s="56">
        <f>+VLOOKUP(PROVEEDORES[[#This Row],[PROVEEDOR]],
                       Terceros!$A:$F,
                       5,
                       FALSE)</f>
        <v>0</v>
      </c>
      <c r="G1828" s="68">
        <v>45171</v>
      </c>
      <c r="H1828" s="26" t="s">
        <v>1736</v>
      </c>
      <c r="I1828" s="68">
        <v>45171</v>
      </c>
      <c r="J1828" s="35"/>
      <c r="K1828" s="21">
        <v>508000</v>
      </c>
      <c r="L1828" s="21"/>
      <c r="M1828" s="22">
        <f>(PROVEEDORES[[#This Row],[SUBTOTAL]]-PROVEEDORES[[#This Row],[descuento sobre subtotal]])*VLOOKUP(PROVEEDORES[[#This Row],[PROVEEDOR]],TERCEROS_INFO[#All],3,FALSE)</f>
        <v>0</v>
      </c>
      <c r="N1828" s="23"/>
      <c r="O1828" s="22">
        <f>+PROVEEDORES[[#This Row],[Descuento sobre subtotal %]]*(PROVEEDORES[[#This Row],[SUBTOTAL]]-PROVEEDORES[[#This Row],[descuento sobre subtotal]])</f>
        <v>0</v>
      </c>
      <c r="P1828" s="74">
        <f>+IF(PROVEEDORES[[#This Row],[SUBTOTAL]]&lt;PROVEEDORES[[#This Row],[base retencion]],0,PROVEEDORES[[#This Row],[retención aplicada]])</f>
        <v>0</v>
      </c>
      <c r="Q1828" s="22">
        <f>+PROVEEDORES[[#This Row],[Rete Fuente %]]*(PROVEEDORES[[#This Row],[SUBTOTAL]]-PROVEEDORES[[#This Row],[descuento sobre subtotal]])</f>
        <v>0</v>
      </c>
      <c r="R1828" s="21">
        <f>+PROVEEDORES[[#This Row],[SUBTOTAL]]+PROVEEDORES[[#This Row],[IVA 19%]]-PROVEEDORES[[#This Row],[descuento sobre subtotal]]-PROVEEDORES[[#This Row],[Descuento sobre subtotal $2]]-PROVEEDORES[[#This Row],[Rete Fuente $]]</f>
        <v>508000</v>
      </c>
      <c r="S182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8" s="63">
        <f ca="1">IF(PROVEEDORES[[#This Row],[FECHA DE PAGO]]=0,TODAY()-PROVEEDORES[[#This Row],[FECHA DE FACTURACIÓN]]-PROVEEDORES[[#This Row],[PLAZO Días]],0)</f>
        <v>0</v>
      </c>
      <c r="U1828" s="104">
        <f>+VLOOKUP(PROVEEDORES[[#This Row],[PROVEEDOR]],Terceros!$A:$D,4,FALSE)</f>
        <v>0</v>
      </c>
      <c r="V1828" s="105">
        <f>+YEAR(PROVEEDORES[[#This Row],[FECHA DE FACTURACIÓN]])</f>
        <v>2023</v>
      </c>
      <c r="W1828" s="105">
        <f>+MATCH(PROVEEDORES[[#This Row],[año facturado]],Retenciones!$1:$1,0)</f>
        <v>6</v>
      </c>
      <c r="X1828" s="106">
        <f>+VLOOKUP(PROVEEDORES[[#This Row],[ID RETENCION]],Retenciones!$A$1:$O$25,PROVEEDORES[[#This Row],[indicador de columna]],FALSE)</f>
        <v>0</v>
      </c>
      <c r="Y1828" s="107">
        <f>+VLOOKUP(PROVEEDORES[[#This Row],[ID RETENCION]],Retenciones!$A$1:$O$25,2,FALSE)</f>
        <v>0</v>
      </c>
      <c r="Z1828" s="116" t="b">
        <f>OR(COUNTIF(PROVEEDORES[[#This Row],[PROVEEDOR]],"*"&amp;'Palabra no opera'!$A$2&amp;"*"))</f>
        <v>0</v>
      </c>
    </row>
    <row r="1829" spans="1:26" ht="22.35" customHeight="1" x14ac:dyDescent="0.3">
      <c r="A1829" s="67" t="str">
        <f>+IF(PROVEEDORES[[#This Row],[FECHA DE PAGO]]=PROVEEDORES[[#This Row],[FECHA DE FACTURACIÓN]],"DE CONTADO","CRÉDITO")</f>
        <v>CRÉDITO</v>
      </c>
      <c r="B1829" s="38" t="str">
        <f>+IF((PROVEEDORES[[#This Row],[FECHA DE PAGO]]-PROVEEDORES[[#This Row],[FECHA DE FACTURACIÓN]])&gt;PROVEEDORES[[#This Row],[PLAZO Días]],"PAGO VENCIDO")</f>
        <v>PAGO VENCIDO</v>
      </c>
      <c r="C1829" s="20">
        <f>+VLOOKUP(PROVEEDORES[[#This Row],[PROVEEDOR]],TERCEROS_INFO[#All],2,FALSE)</f>
        <v>30</v>
      </c>
      <c r="D1829" s="25">
        <f>+SUMIFS(PROVEEDORES[Total],PROVEEDORES[PROVEEDOR],PROVEEDORES[[#This Row],[PROVEEDOR]],PROVEEDORES[FECHA DE PAGO],"")</f>
        <v>0</v>
      </c>
      <c r="E1829" s="25"/>
      <c r="F1829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29" s="68">
        <v>45173</v>
      </c>
      <c r="H1829" s="26" t="s">
        <v>281</v>
      </c>
      <c r="I1829" s="68">
        <v>45064</v>
      </c>
      <c r="J1829" s="234" t="s">
        <v>1870</v>
      </c>
      <c r="K1829" s="21">
        <v>-311718</v>
      </c>
      <c r="L1829" s="21"/>
      <c r="M1829" s="22">
        <f>(PROVEEDORES[[#This Row],[SUBTOTAL]]-PROVEEDORES[[#This Row],[descuento sobre subtotal]])*VLOOKUP(PROVEEDORES[[#This Row],[PROVEEDOR]],TERCEROS_INFO[#All],3,FALSE)</f>
        <v>-59226.42</v>
      </c>
      <c r="N1829" s="23"/>
      <c r="O1829" s="22">
        <f>+PROVEEDORES[[#This Row],[Descuento sobre subtotal %]]*(PROVEEDORES[[#This Row],[SUBTOTAL]]-PROVEEDORES[[#This Row],[descuento sobre subtotal]])</f>
        <v>0</v>
      </c>
      <c r="P1829" s="74">
        <f>+IF(PROVEEDORES[[#This Row],[SUBTOTAL]]&lt;PROVEEDORES[[#This Row],[base retencion]],0,PROVEEDORES[[#This Row],[retención aplicada]])</f>
        <v>0</v>
      </c>
      <c r="Q1829" s="22">
        <f>+PROVEEDORES[[#This Row],[Rete Fuente %]]*(PROVEEDORES[[#This Row],[SUBTOTAL]]-PROVEEDORES[[#This Row],[descuento sobre subtotal]])</f>
        <v>0</v>
      </c>
      <c r="R1829" s="21">
        <f>+PROVEEDORES[[#This Row],[SUBTOTAL]]+PROVEEDORES[[#This Row],[IVA 19%]]-PROVEEDORES[[#This Row],[descuento sobre subtotal]]-PROVEEDORES[[#This Row],[Descuento sobre subtotal $2]]-PROVEEDORES[[#This Row],[Rete Fuente $]]</f>
        <v>-370944.42</v>
      </c>
      <c r="S18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9" s="63">
        <f ca="1">IF(PROVEEDORES[[#This Row],[FECHA DE PAGO]]=0,TODAY()-PROVEEDORES[[#This Row],[FECHA DE FACTURACIÓN]]-PROVEEDORES[[#This Row],[PLAZO Días]],0)</f>
        <v>0</v>
      </c>
      <c r="U1829" s="104">
        <f>+VLOOKUP(PROVEEDORES[[#This Row],[PROVEEDOR]],Terceros!$A:$D,4,FALSE)</f>
        <v>0</v>
      </c>
      <c r="V1829" s="105">
        <f>+YEAR(PROVEEDORES[[#This Row],[FECHA DE FACTURACIÓN]])</f>
        <v>2023</v>
      </c>
      <c r="W1829" s="105">
        <f>+MATCH(PROVEEDORES[[#This Row],[año facturado]],Retenciones!$1:$1,0)</f>
        <v>6</v>
      </c>
      <c r="X1829" s="106">
        <f>+VLOOKUP(PROVEEDORES[[#This Row],[ID RETENCION]],Retenciones!$A$1:$O$25,PROVEEDORES[[#This Row],[indicador de columna]],FALSE)</f>
        <v>0</v>
      </c>
      <c r="Y1829" s="107">
        <f>+VLOOKUP(PROVEEDORES[[#This Row],[ID RETENCION]],Retenciones!$A$1:$O$25,2,FALSE)</f>
        <v>0</v>
      </c>
      <c r="Z1829" s="116" t="b">
        <f>OR(COUNTIF(PROVEEDORES[[#This Row],[PROVEEDOR]],"*"&amp;'Palabra no opera'!$A$2&amp;"*"))</f>
        <v>0</v>
      </c>
    </row>
    <row r="1830" spans="1:26" ht="22.35" customHeight="1" x14ac:dyDescent="0.3">
      <c r="A1830" s="67" t="str">
        <f>+IF(PROVEEDORES[[#This Row],[FECHA DE PAGO]]=PROVEEDORES[[#This Row],[FECHA DE FACTURACIÓN]],"DE CONTADO","CRÉDITO")</f>
        <v>CRÉDITO</v>
      </c>
      <c r="B1830" s="38" t="str">
        <f>+IF((PROVEEDORES[[#This Row],[FECHA DE PAGO]]-PROVEEDORES[[#This Row],[FECHA DE FACTURACIÓN]])&gt;PROVEEDORES[[#This Row],[PLAZO Días]],"PAGO VENCIDO")</f>
        <v>PAGO VENCIDO</v>
      </c>
      <c r="C1830" s="20">
        <f>+VLOOKUP(PROVEEDORES[[#This Row],[PROVEEDOR]],TERCEROS_INFO[#All],2,FALSE)</f>
        <v>30</v>
      </c>
      <c r="D1830" s="25">
        <f>+SUMIFS(PROVEEDORES[Total],PROVEEDORES[PROVEEDOR],PROVEEDORES[[#This Row],[PROVEEDOR]],PROVEEDORES[FECHA DE PAGO],"")</f>
        <v>0</v>
      </c>
      <c r="E1830" s="25"/>
      <c r="F183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30" s="68">
        <v>45173</v>
      </c>
      <c r="H1830" s="26" t="s">
        <v>281</v>
      </c>
      <c r="I1830" s="68">
        <v>45107</v>
      </c>
      <c r="J1830" s="234" t="s">
        <v>1773</v>
      </c>
      <c r="K1830" s="335">
        <v>1930400</v>
      </c>
      <c r="L1830" s="21"/>
      <c r="M1830" s="22">
        <f>(PROVEEDORES[[#This Row],[SUBTOTAL]]-PROVEEDORES[[#This Row],[descuento sobre subtotal]])*VLOOKUP(PROVEEDORES[[#This Row],[PROVEEDOR]],TERCEROS_INFO[#All],3,FALSE)</f>
        <v>366776</v>
      </c>
      <c r="N1830" s="23"/>
      <c r="O1830" s="22">
        <f>+PROVEEDORES[[#This Row],[Descuento sobre subtotal %]]*(PROVEEDORES[[#This Row],[SUBTOTAL]]-PROVEEDORES[[#This Row],[descuento sobre subtotal]])</f>
        <v>0</v>
      </c>
      <c r="P1830" s="74">
        <f>+IF(PROVEEDORES[[#This Row],[SUBTOTAL]]&lt;PROVEEDORES[[#This Row],[base retencion]],0,PROVEEDORES[[#This Row],[retención aplicada]])</f>
        <v>0</v>
      </c>
      <c r="Q1830" s="22">
        <f>+PROVEEDORES[[#This Row],[Rete Fuente %]]*(PROVEEDORES[[#This Row],[SUBTOTAL]]-PROVEEDORES[[#This Row],[descuento sobre subtotal]])</f>
        <v>0</v>
      </c>
      <c r="R1830" s="21">
        <f>+PROVEEDORES[[#This Row],[SUBTOTAL]]+PROVEEDORES[[#This Row],[IVA 19%]]-PROVEEDORES[[#This Row],[descuento sobre subtotal]]-PROVEEDORES[[#This Row],[Descuento sobre subtotal $2]]-PROVEEDORES[[#This Row],[Rete Fuente $]]</f>
        <v>2297176</v>
      </c>
      <c r="S18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0" s="63">
        <f ca="1">IF(PROVEEDORES[[#This Row],[FECHA DE PAGO]]=0,TODAY()-PROVEEDORES[[#This Row],[FECHA DE FACTURACIÓN]]-PROVEEDORES[[#This Row],[PLAZO Días]],0)</f>
        <v>0</v>
      </c>
      <c r="U1830" s="104">
        <f>+VLOOKUP(PROVEEDORES[[#This Row],[PROVEEDOR]],Terceros!$A:$D,4,FALSE)</f>
        <v>0</v>
      </c>
      <c r="V1830" s="105">
        <f>+YEAR(PROVEEDORES[[#This Row],[FECHA DE FACTURACIÓN]])</f>
        <v>2023</v>
      </c>
      <c r="W1830" s="105">
        <f>+MATCH(PROVEEDORES[[#This Row],[año facturado]],Retenciones!$1:$1,0)</f>
        <v>6</v>
      </c>
      <c r="X1830" s="106">
        <f>+VLOOKUP(PROVEEDORES[[#This Row],[ID RETENCION]],Retenciones!$A$1:$O$25,PROVEEDORES[[#This Row],[indicador de columna]],FALSE)</f>
        <v>0</v>
      </c>
      <c r="Y1830" s="107">
        <f>+VLOOKUP(PROVEEDORES[[#This Row],[ID RETENCION]],Retenciones!$A$1:$O$25,2,FALSE)</f>
        <v>0</v>
      </c>
      <c r="Z1830" s="116" t="b">
        <f>OR(COUNTIF(PROVEEDORES[[#This Row],[PROVEEDOR]],"*"&amp;'Palabra no opera'!$A$2&amp;"*"))</f>
        <v>0</v>
      </c>
    </row>
    <row r="1831" spans="1:26" ht="22.35" customHeight="1" x14ac:dyDescent="0.3">
      <c r="A1831" s="333" t="str">
        <f>+IF(PROVEEDORES[[#This Row],[FECHA DE PAGO]]=PROVEEDORES[[#This Row],[FECHA DE FACTURACIÓN]],"DE CONTADO","CRÉDITO")</f>
        <v>CRÉDITO</v>
      </c>
      <c r="B1831" s="38" t="str">
        <f>+IF((PROVEEDORES[[#This Row],[FECHA DE PAGO]]-PROVEEDORES[[#This Row],[FECHA DE FACTURACIÓN]])&gt;PROVEEDORES[[#This Row],[PLAZO Días]],"PAGO VENCIDO")</f>
        <v>PAGO VENCIDO</v>
      </c>
      <c r="C1831" s="20">
        <f>+VLOOKUP(PROVEEDORES[[#This Row],[PROVEEDOR]],TERCEROS_INFO[#All],2,FALSE)</f>
        <v>30</v>
      </c>
      <c r="D1831" s="25">
        <f>+SUMIFS(PROVEEDORES[Total],PROVEEDORES[PROVEEDOR],PROVEEDORES[[#This Row],[PROVEEDOR]],PROVEEDORES[FECHA DE PAGO],"")</f>
        <v>0</v>
      </c>
      <c r="E1831" s="25"/>
      <c r="F183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31" s="68">
        <v>45173</v>
      </c>
      <c r="H1831" s="26" t="s">
        <v>281</v>
      </c>
      <c r="I1831" s="68">
        <v>45111</v>
      </c>
      <c r="J1831" s="35" t="s">
        <v>1809</v>
      </c>
      <c r="K1831" s="21">
        <v>792936</v>
      </c>
      <c r="L1831" s="21"/>
      <c r="M1831" s="22">
        <f>(PROVEEDORES[[#This Row],[SUBTOTAL]]-PROVEEDORES[[#This Row],[descuento sobre subtotal]])*VLOOKUP(PROVEEDORES[[#This Row],[PROVEEDOR]],TERCEROS_INFO[#All],3,FALSE)</f>
        <v>150657.84</v>
      </c>
      <c r="N1831" s="23"/>
      <c r="O1831" s="22">
        <f>+PROVEEDORES[[#This Row],[Descuento sobre subtotal %]]*(PROVEEDORES[[#This Row],[SUBTOTAL]]-PROVEEDORES[[#This Row],[descuento sobre subtotal]])</f>
        <v>0</v>
      </c>
      <c r="P1831" s="74">
        <f>+IF(PROVEEDORES[[#This Row],[SUBTOTAL]]&lt;PROVEEDORES[[#This Row],[base retencion]],0,PROVEEDORES[[#This Row],[retención aplicada]])</f>
        <v>0</v>
      </c>
      <c r="Q1831" s="22">
        <f>+PROVEEDORES[[#This Row],[Rete Fuente %]]*(PROVEEDORES[[#This Row],[SUBTOTAL]]-PROVEEDORES[[#This Row],[descuento sobre subtotal]])</f>
        <v>0</v>
      </c>
      <c r="R1831" s="21">
        <f>+PROVEEDORES[[#This Row],[SUBTOTAL]]+PROVEEDORES[[#This Row],[IVA 19%]]-PROVEEDORES[[#This Row],[descuento sobre subtotal]]-PROVEEDORES[[#This Row],[Descuento sobre subtotal $2]]-PROVEEDORES[[#This Row],[Rete Fuente $]]</f>
        <v>943593.84</v>
      </c>
      <c r="S1831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1" s="63">
        <f ca="1">IF(PROVEEDORES[[#This Row],[FECHA DE PAGO]]=0,TODAY()-PROVEEDORES[[#This Row],[FECHA DE FACTURACIÓN]]-PROVEEDORES[[#This Row],[PLAZO Días]],0)</f>
        <v>0</v>
      </c>
      <c r="U1831" s="104">
        <f>+VLOOKUP(PROVEEDORES[[#This Row],[PROVEEDOR]],Terceros!$A:$D,4,FALSE)</f>
        <v>0</v>
      </c>
      <c r="V1831" s="105">
        <f>+YEAR(PROVEEDORES[[#This Row],[FECHA DE FACTURACIÓN]])</f>
        <v>2023</v>
      </c>
      <c r="W1831" s="105">
        <f>+MATCH(PROVEEDORES[[#This Row],[año facturado]],Retenciones!$1:$1,0)</f>
        <v>6</v>
      </c>
      <c r="X1831" s="106">
        <f>+VLOOKUP(PROVEEDORES[[#This Row],[ID RETENCION]],Retenciones!$A$1:$O$25,PROVEEDORES[[#This Row],[indicador de columna]],FALSE)</f>
        <v>0</v>
      </c>
      <c r="Y1831" s="107">
        <f>+VLOOKUP(PROVEEDORES[[#This Row],[ID RETENCION]],Retenciones!$A$1:$O$25,2,FALSE)</f>
        <v>0</v>
      </c>
      <c r="Z1831" s="116" t="b">
        <f>OR(COUNTIF(PROVEEDORES[[#This Row],[PROVEEDOR]],"*"&amp;'Palabra no opera'!$A$2&amp;"*"))</f>
        <v>0</v>
      </c>
    </row>
    <row r="1832" spans="1:26" ht="22.35" customHeight="1" x14ac:dyDescent="0.3">
      <c r="A1832" s="333" t="str">
        <f>+IF(PROVEEDORES[[#This Row],[FECHA DE PAGO]]=PROVEEDORES[[#This Row],[FECHA DE FACTURACIÓN]],"DE CONTADO","CRÉDITO")</f>
        <v>CRÉDITO</v>
      </c>
      <c r="B1832" s="38" t="str">
        <f>+IF((PROVEEDORES[[#This Row],[FECHA DE PAGO]]-PROVEEDORES[[#This Row],[FECHA DE FACTURACIÓN]])&gt;PROVEEDORES[[#This Row],[PLAZO Días]],"PAGO VENCIDO")</f>
        <v>PAGO VENCIDO</v>
      </c>
      <c r="C1832" s="20">
        <f>+VLOOKUP(PROVEEDORES[[#This Row],[PROVEEDOR]],TERCEROS_INFO[#All],2,FALSE)</f>
        <v>30</v>
      </c>
      <c r="D1832" s="25">
        <f>+SUMIFS(PROVEEDORES[Total],PROVEEDORES[PROVEEDOR],PROVEEDORES[[#This Row],[PROVEEDOR]],PROVEEDORES[FECHA DE PAGO],"")</f>
        <v>0</v>
      </c>
      <c r="E1832" s="25"/>
      <c r="F183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32" s="68">
        <v>45173</v>
      </c>
      <c r="H1832" s="26" t="s">
        <v>281</v>
      </c>
      <c r="I1832" s="68">
        <v>45111</v>
      </c>
      <c r="J1832" s="35" t="s">
        <v>1810</v>
      </c>
      <c r="K1832" s="21">
        <v>528624</v>
      </c>
      <c r="L1832" s="21"/>
      <c r="M1832" s="22">
        <f>(PROVEEDORES[[#This Row],[SUBTOTAL]]-PROVEEDORES[[#This Row],[descuento sobre subtotal]])*VLOOKUP(PROVEEDORES[[#This Row],[PROVEEDOR]],TERCEROS_INFO[#All],3,FALSE)</f>
        <v>100438.56</v>
      </c>
      <c r="N1832" s="23"/>
      <c r="O1832" s="22">
        <f>+PROVEEDORES[[#This Row],[Descuento sobre subtotal %]]*(PROVEEDORES[[#This Row],[SUBTOTAL]]-PROVEEDORES[[#This Row],[descuento sobre subtotal]])</f>
        <v>0</v>
      </c>
      <c r="P1832" s="74">
        <f>+IF(PROVEEDORES[[#This Row],[SUBTOTAL]]&lt;PROVEEDORES[[#This Row],[base retencion]],0,PROVEEDORES[[#This Row],[retención aplicada]])</f>
        <v>0</v>
      </c>
      <c r="Q1832" s="22">
        <f>+PROVEEDORES[[#This Row],[Rete Fuente %]]*(PROVEEDORES[[#This Row],[SUBTOTAL]]-PROVEEDORES[[#This Row],[descuento sobre subtotal]])</f>
        <v>0</v>
      </c>
      <c r="R1832" s="21">
        <f>+PROVEEDORES[[#This Row],[SUBTOTAL]]+PROVEEDORES[[#This Row],[IVA 19%]]-PROVEEDORES[[#This Row],[descuento sobre subtotal]]-PROVEEDORES[[#This Row],[Descuento sobre subtotal $2]]-PROVEEDORES[[#This Row],[Rete Fuente $]]</f>
        <v>629062.56000000006</v>
      </c>
      <c r="S1832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2" s="63">
        <f ca="1">IF(PROVEEDORES[[#This Row],[FECHA DE PAGO]]=0,TODAY()-PROVEEDORES[[#This Row],[FECHA DE FACTURACIÓN]]-PROVEEDORES[[#This Row],[PLAZO Días]],0)</f>
        <v>0</v>
      </c>
      <c r="U1832" s="104">
        <f>+VLOOKUP(PROVEEDORES[[#This Row],[PROVEEDOR]],Terceros!$A:$D,4,FALSE)</f>
        <v>0</v>
      </c>
      <c r="V1832" s="105">
        <f>+YEAR(PROVEEDORES[[#This Row],[FECHA DE FACTURACIÓN]])</f>
        <v>2023</v>
      </c>
      <c r="W1832" s="105">
        <f>+MATCH(PROVEEDORES[[#This Row],[año facturado]],Retenciones!$1:$1,0)</f>
        <v>6</v>
      </c>
      <c r="X1832" s="106">
        <f>+VLOOKUP(PROVEEDORES[[#This Row],[ID RETENCION]],Retenciones!$A$1:$O$25,PROVEEDORES[[#This Row],[indicador de columna]],FALSE)</f>
        <v>0</v>
      </c>
      <c r="Y1832" s="107">
        <f>+VLOOKUP(PROVEEDORES[[#This Row],[ID RETENCION]],Retenciones!$A$1:$O$25,2,FALSE)</f>
        <v>0</v>
      </c>
      <c r="Z1832" s="116" t="b">
        <f>OR(COUNTIF(PROVEEDORES[[#This Row],[PROVEEDOR]],"*"&amp;'Palabra no opera'!$A$2&amp;"*"))</f>
        <v>0</v>
      </c>
    </row>
    <row r="1833" spans="1:26" ht="22.35" customHeight="1" x14ac:dyDescent="0.3">
      <c r="A1833" s="333" t="str">
        <f>+IF(PROVEEDORES[[#This Row],[FECHA DE PAGO]]=PROVEEDORES[[#This Row],[FECHA DE FACTURACIÓN]],"DE CONTADO","CRÉDITO")</f>
        <v>CRÉDITO</v>
      </c>
      <c r="B1833" s="38" t="str">
        <f>+IF((PROVEEDORES[[#This Row],[FECHA DE PAGO]]-PROVEEDORES[[#This Row],[FECHA DE FACTURACIÓN]])&gt;PROVEEDORES[[#This Row],[PLAZO Días]],"PAGO VENCIDO")</f>
        <v>PAGO VENCIDO</v>
      </c>
      <c r="C1833" s="20">
        <f>+VLOOKUP(PROVEEDORES[[#This Row],[PROVEEDOR]],TERCEROS_INFO[#All],2,FALSE)</f>
        <v>30</v>
      </c>
      <c r="D1833" s="25">
        <f>+SUMIFS(PROVEEDORES[Total],PROVEEDORES[PROVEEDOR],PROVEEDORES[[#This Row],[PROVEEDOR]],PROVEEDORES[FECHA DE PAGO],"")</f>
        <v>1316890.8900000001</v>
      </c>
      <c r="E1833" s="25"/>
      <c r="F183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33" s="68">
        <v>45173</v>
      </c>
      <c r="H1833" s="26" t="s">
        <v>17</v>
      </c>
      <c r="I1833" s="68">
        <v>45128</v>
      </c>
      <c r="J1833" s="35" t="s">
        <v>1816</v>
      </c>
      <c r="K1833" s="21">
        <v>230906</v>
      </c>
      <c r="L1833" s="21"/>
      <c r="M1833" s="22">
        <f>(PROVEEDORES[[#This Row],[SUBTOTAL]]-PROVEEDORES[[#This Row],[descuento sobre subtotal]])*VLOOKUP(PROVEEDORES[[#This Row],[PROVEEDOR]],TERCEROS_INFO[#All],3,FALSE)</f>
        <v>43872.14</v>
      </c>
      <c r="N1833" s="23"/>
      <c r="O1833" s="22">
        <f>+PROVEEDORES[[#This Row],[Descuento sobre subtotal %]]*(PROVEEDORES[[#This Row],[SUBTOTAL]]-PROVEEDORES[[#This Row],[descuento sobre subtotal]])</f>
        <v>0</v>
      </c>
      <c r="P1833" s="74">
        <f>+IF(PROVEEDORES[[#This Row],[SUBTOTAL]]&lt;PROVEEDORES[[#This Row],[base retencion]],0,PROVEEDORES[[#This Row],[retención aplicada]])</f>
        <v>0</v>
      </c>
      <c r="Q1833" s="22">
        <f>+PROVEEDORES[[#This Row],[Rete Fuente %]]*(PROVEEDORES[[#This Row],[SUBTOTAL]]-PROVEEDORES[[#This Row],[descuento sobre subtotal]])</f>
        <v>0</v>
      </c>
      <c r="R1833" s="21">
        <f>+PROVEEDORES[[#This Row],[SUBTOTAL]]+PROVEEDORES[[#This Row],[IVA 19%]]-PROVEEDORES[[#This Row],[descuento sobre subtotal]]-PROVEEDORES[[#This Row],[Descuento sobre subtotal $2]]-PROVEEDORES[[#This Row],[Rete Fuente $]]</f>
        <v>274778.14</v>
      </c>
      <c r="S1833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3" s="63">
        <f ca="1">IF(PROVEEDORES[[#This Row],[FECHA DE PAGO]]=0,TODAY()-PROVEEDORES[[#This Row],[FECHA DE FACTURACIÓN]]-PROVEEDORES[[#This Row],[PLAZO Días]],0)</f>
        <v>0</v>
      </c>
      <c r="U1833" s="104">
        <f>+VLOOKUP(PROVEEDORES[[#This Row],[PROVEEDOR]],Terceros!$A:$D,4,FALSE)</f>
        <v>0</v>
      </c>
      <c r="V1833" s="105">
        <f>+YEAR(PROVEEDORES[[#This Row],[FECHA DE FACTURACIÓN]])</f>
        <v>2023</v>
      </c>
      <c r="W1833" s="105">
        <f>+MATCH(PROVEEDORES[[#This Row],[año facturado]],Retenciones!$1:$1,0)</f>
        <v>6</v>
      </c>
      <c r="X1833" s="106">
        <f>+VLOOKUP(PROVEEDORES[[#This Row],[ID RETENCION]],Retenciones!$A$1:$O$25,PROVEEDORES[[#This Row],[indicador de columna]],FALSE)</f>
        <v>0</v>
      </c>
      <c r="Y1833" s="107">
        <f>+VLOOKUP(PROVEEDORES[[#This Row],[ID RETENCION]],Retenciones!$A$1:$O$25,2,FALSE)</f>
        <v>0</v>
      </c>
      <c r="Z1833" s="116" t="b">
        <f>OR(COUNTIF(PROVEEDORES[[#This Row],[PROVEEDOR]],"*"&amp;'Palabra no opera'!$A$2&amp;"*"))</f>
        <v>0</v>
      </c>
    </row>
    <row r="1834" spans="1:26" ht="22.35" customHeight="1" x14ac:dyDescent="0.3">
      <c r="A1834" s="333" t="str">
        <f>+IF(PROVEEDORES[[#This Row],[FECHA DE PAGO]]=PROVEEDORES[[#This Row],[FECHA DE FACTURACIÓN]],"DE CONTADO","CRÉDITO")</f>
        <v>CRÉDITO</v>
      </c>
      <c r="B1834" s="38" t="str">
        <f>+IF((PROVEEDORES[[#This Row],[FECHA DE PAGO]]-PROVEEDORES[[#This Row],[FECHA DE FACTURACIÓN]])&gt;PROVEEDORES[[#This Row],[PLAZO Días]],"PAGO VENCIDO")</f>
        <v>PAGO VENCIDO</v>
      </c>
      <c r="C1834" s="20">
        <f>+VLOOKUP(PROVEEDORES[[#This Row],[PROVEEDOR]],TERCEROS_INFO[#All],2,FALSE)</f>
        <v>30</v>
      </c>
      <c r="D1834" s="25">
        <f>+SUMIFS(PROVEEDORES[Total],PROVEEDORES[PROVEEDOR],PROVEEDORES[[#This Row],[PROVEEDOR]],PROVEEDORES[FECHA DE PAGO],"")</f>
        <v>1316890.8900000001</v>
      </c>
      <c r="E1834" s="25"/>
      <c r="F183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34" s="68">
        <v>45173</v>
      </c>
      <c r="H1834" s="26" t="s">
        <v>17</v>
      </c>
      <c r="I1834" s="68">
        <v>45128</v>
      </c>
      <c r="J1834" s="35" t="s">
        <v>1817</v>
      </c>
      <c r="K1834" s="21">
        <v>458175</v>
      </c>
      <c r="L1834" s="21"/>
      <c r="M1834" s="22">
        <f>(PROVEEDORES[[#This Row],[SUBTOTAL]]-PROVEEDORES[[#This Row],[descuento sobre subtotal]])*VLOOKUP(PROVEEDORES[[#This Row],[PROVEEDOR]],TERCEROS_INFO[#All],3,FALSE)</f>
        <v>87053.25</v>
      </c>
      <c r="N1834" s="23"/>
      <c r="O1834" s="22">
        <f>+PROVEEDORES[[#This Row],[Descuento sobre subtotal %]]*(PROVEEDORES[[#This Row],[SUBTOTAL]]-PROVEEDORES[[#This Row],[descuento sobre subtotal]])</f>
        <v>0</v>
      </c>
      <c r="P1834" s="74">
        <f>+IF(PROVEEDORES[[#This Row],[SUBTOTAL]]&lt;PROVEEDORES[[#This Row],[base retencion]],0,PROVEEDORES[[#This Row],[retención aplicada]])</f>
        <v>0</v>
      </c>
      <c r="Q1834" s="22">
        <f>+PROVEEDORES[[#This Row],[Rete Fuente %]]*(PROVEEDORES[[#This Row],[SUBTOTAL]]-PROVEEDORES[[#This Row],[descuento sobre subtotal]])</f>
        <v>0</v>
      </c>
      <c r="R1834" s="21">
        <f>+PROVEEDORES[[#This Row],[SUBTOTAL]]+PROVEEDORES[[#This Row],[IVA 19%]]-PROVEEDORES[[#This Row],[descuento sobre subtotal]]-PROVEEDORES[[#This Row],[Descuento sobre subtotal $2]]-PROVEEDORES[[#This Row],[Rete Fuente $]]</f>
        <v>545228.25</v>
      </c>
      <c r="S1834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4" s="63">
        <f ca="1">IF(PROVEEDORES[[#This Row],[FECHA DE PAGO]]=0,TODAY()-PROVEEDORES[[#This Row],[FECHA DE FACTURACIÓN]]-PROVEEDORES[[#This Row],[PLAZO Días]],0)</f>
        <v>0</v>
      </c>
      <c r="U1834" s="104">
        <f>+VLOOKUP(PROVEEDORES[[#This Row],[PROVEEDOR]],Terceros!$A:$D,4,FALSE)</f>
        <v>0</v>
      </c>
      <c r="V1834" s="105">
        <f>+YEAR(PROVEEDORES[[#This Row],[FECHA DE FACTURACIÓN]])</f>
        <v>2023</v>
      </c>
      <c r="W1834" s="105">
        <f>+MATCH(PROVEEDORES[[#This Row],[año facturado]],Retenciones!$1:$1,0)</f>
        <v>6</v>
      </c>
      <c r="X1834" s="106">
        <f>+VLOOKUP(PROVEEDORES[[#This Row],[ID RETENCION]],Retenciones!$A$1:$O$25,PROVEEDORES[[#This Row],[indicador de columna]],FALSE)</f>
        <v>0</v>
      </c>
      <c r="Y1834" s="107">
        <f>+VLOOKUP(PROVEEDORES[[#This Row],[ID RETENCION]],Retenciones!$A$1:$O$25,2,FALSE)</f>
        <v>0</v>
      </c>
      <c r="Z1834" s="116" t="b">
        <f>OR(COUNTIF(PROVEEDORES[[#This Row],[PROVEEDOR]],"*"&amp;'Palabra no opera'!$A$2&amp;"*"))</f>
        <v>0</v>
      </c>
    </row>
    <row r="1835" spans="1:26" ht="22.35" customHeight="1" x14ac:dyDescent="0.3">
      <c r="A1835" s="333" t="str">
        <f>+IF(PROVEEDORES[[#This Row],[FECHA DE PAGO]]=PROVEEDORES[[#This Row],[FECHA DE FACTURACIÓN]],"DE CONTADO","CRÉDITO")</f>
        <v>CRÉDITO</v>
      </c>
      <c r="B1835" s="38" t="str">
        <f>+IF((PROVEEDORES[[#This Row],[FECHA DE PAGO]]-PROVEEDORES[[#This Row],[FECHA DE FACTURACIÓN]])&gt;PROVEEDORES[[#This Row],[PLAZO Días]],"PAGO VENCIDO")</f>
        <v>PAGO VENCIDO</v>
      </c>
      <c r="C1835" s="20">
        <f>+VLOOKUP(PROVEEDORES[[#This Row],[PROVEEDOR]],TERCEROS_INFO[#All],2,FALSE)</f>
        <v>30</v>
      </c>
      <c r="D1835" s="25">
        <f>+SUMIFS(PROVEEDORES[Total],PROVEEDORES[PROVEEDOR],PROVEEDORES[[#This Row],[PROVEEDOR]],PROVEEDORES[FECHA DE PAGO],"")</f>
        <v>1316890.8900000001</v>
      </c>
      <c r="E1835" s="25"/>
      <c r="F183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35" s="68">
        <v>45173</v>
      </c>
      <c r="H1835" s="26" t="s">
        <v>17</v>
      </c>
      <c r="I1835" s="68">
        <v>45131</v>
      </c>
      <c r="J1835" s="35" t="s">
        <v>1815</v>
      </c>
      <c r="K1835" s="21">
        <v>1902271</v>
      </c>
      <c r="L1835" s="21"/>
      <c r="M1835" s="22">
        <v>0</v>
      </c>
      <c r="N1835" s="23"/>
      <c r="O1835" s="22">
        <f>+PROVEEDORES[[#This Row],[Descuento sobre subtotal %]]*(PROVEEDORES[[#This Row],[SUBTOTAL]]-PROVEEDORES[[#This Row],[descuento sobre subtotal]])</f>
        <v>0</v>
      </c>
      <c r="P1835" s="74">
        <f>+IF(PROVEEDORES[[#This Row],[SUBTOTAL]]&lt;PROVEEDORES[[#This Row],[base retencion]],0,PROVEEDORES[[#This Row],[retención aplicada]])</f>
        <v>0</v>
      </c>
      <c r="Q1835" s="22">
        <f>+PROVEEDORES[[#This Row],[Rete Fuente %]]*(PROVEEDORES[[#This Row],[SUBTOTAL]]-PROVEEDORES[[#This Row],[descuento sobre subtotal]])</f>
        <v>0</v>
      </c>
      <c r="R1835" s="21">
        <f>+PROVEEDORES[[#This Row],[SUBTOTAL]]+PROVEEDORES[[#This Row],[IVA 19%]]-PROVEEDORES[[#This Row],[descuento sobre subtotal]]-PROVEEDORES[[#This Row],[Descuento sobre subtotal $2]]-PROVEEDORES[[#This Row],[Rete Fuente $]]</f>
        <v>1902271</v>
      </c>
      <c r="S1835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5" s="63">
        <f ca="1">IF(PROVEEDORES[[#This Row],[FECHA DE PAGO]]=0,TODAY()-PROVEEDORES[[#This Row],[FECHA DE FACTURACIÓN]]-PROVEEDORES[[#This Row],[PLAZO Días]],0)</f>
        <v>0</v>
      </c>
      <c r="U1835" s="104">
        <f>+VLOOKUP(PROVEEDORES[[#This Row],[PROVEEDOR]],Terceros!$A:$D,4,FALSE)</f>
        <v>0</v>
      </c>
      <c r="V1835" s="105">
        <f>+YEAR(PROVEEDORES[[#This Row],[FECHA DE FACTURACIÓN]])</f>
        <v>2023</v>
      </c>
      <c r="W1835" s="105">
        <f>+MATCH(PROVEEDORES[[#This Row],[año facturado]],Retenciones!$1:$1,0)</f>
        <v>6</v>
      </c>
      <c r="X1835" s="106">
        <f>+VLOOKUP(PROVEEDORES[[#This Row],[ID RETENCION]],Retenciones!$A$1:$O$25,PROVEEDORES[[#This Row],[indicador de columna]],FALSE)</f>
        <v>0</v>
      </c>
      <c r="Y1835" s="107">
        <f>+VLOOKUP(PROVEEDORES[[#This Row],[ID RETENCION]],Retenciones!$A$1:$O$25,2,FALSE)</f>
        <v>0</v>
      </c>
      <c r="Z1835" s="116" t="b">
        <f>OR(COUNTIF(PROVEEDORES[[#This Row],[PROVEEDOR]],"*"&amp;'Palabra no opera'!$A$2&amp;"*"))</f>
        <v>0</v>
      </c>
    </row>
    <row r="1836" spans="1:26" ht="22.35" customHeight="1" x14ac:dyDescent="0.3">
      <c r="A1836" s="67" t="str">
        <f>+IF(PROVEEDORES[[#This Row],[FECHA DE PAGO]]=PROVEEDORES[[#This Row],[FECHA DE FACTURACIÓN]],"DE CONTADO","CRÉDITO")</f>
        <v>CRÉDITO</v>
      </c>
      <c r="B1836" s="38" t="str">
        <f>+IF((PROVEEDORES[[#This Row],[FECHA DE PAGO]]-PROVEEDORES[[#This Row],[FECHA DE FACTURACIÓN]])&gt;PROVEEDORES[[#This Row],[PLAZO Días]],"PAGO VENCIDO")</f>
        <v>PAGO VENCIDO</v>
      </c>
      <c r="C1836" s="20">
        <f>+VLOOKUP(PROVEEDORES[[#This Row],[PROVEEDOR]],TERCEROS_INFO[#All],2,FALSE)</f>
        <v>30</v>
      </c>
      <c r="D1836" s="25">
        <f>+SUMIFS(PROVEEDORES[Total],PROVEEDORES[PROVEEDOR],PROVEEDORES[[#This Row],[PROVEEDOR]],PROVEEDORES[FECHA DE PAGO],"")</f>
        <v>1316890.8900000001</v>
      </c>
      <c r="E1836" s="25"/>
      <c r="F183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36" s="68">
        <v>45173</v>
      </c>
      <c r="H1836" s="26" t="s">
        <v>17</v>
      </c>
      <c r="I1836" s="68">
        <v>45134</v>
      </c>
      <c r="J1836" s="35" t="s">
        <v>1893</v>
      </c>
      <c r="K1836" s="21">
        <v>719000</v>
      </c>
      <c r="L1836" s="21"/>
      <c r="M1836" s="22">
        <v>0</v>
      </c>
      <c r="N1836" s="23"/>
      <c r="O1836" s="22">
        <f>+PROVEEDORES[[#This Row],[Descuento sobre subtotal %]]*(PROVEEDORES[[#This Row],[SUBTOTAL]]-PROVEEDORES[[#This Row],[descuento sobre subtotal]])</f>
        <v>0</v>
      </c>
      <c r="P1836" s="74">
        <f>+IF(PROVEEDORES[[#This Row],[SUBTOTAL]]&lt;PROVEEDORES[[#This Row],[base retencion]],0,PROVEEDORES[[#This Row],[retención aplicada]])</f>
        <v>0</v>
      </c>
      <c r="Q1836" s="22">
        <f>+PROVEEDORES[[#This Row],[Rete Fuente %]]*(PROVEEDORES[[#This Row],[SUBTOTAL]]-PROVEEDORES[[#This Row],[descuento sobre subtotal]])</f>
        <v>0</v>
      </c>
      <c r="R1836" s="21">
        <f>+PROVEEDORES[[#This Row],[SUBTOTAL]]+PROVEEDORES[[#This Row],[IVA 19%]]-PROVEEDORES[[#This Row],[descuento sobre subtotal]]-PROVEEDORES[[#This Row],[Descuento sobre subtotal $2]]-PROVEEDORES[[#This Row],[Rete Fuente $]]</f>
        <v>719000</v>
      </c>
      <c r="S183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6" s="63">
        <f ca="1">IF(PROVEEDORES[[#This Row],[FECHA DE PAGO]]=0,TODAY()-PROVEEDORES[[#This Row],[FECHA DE FACTURACIÓN]]-PROVEEDORES[[#This Row],[PLAZO Días]],0)</f>
        <v>0</v>
      </c>
      <c r="U1836" s="104">
        <f>+VLOOKUP(PROVEEDORES[[#This Row],[PROVEEDOR]],Terceros!$A:$D,4,FALSE)</f>
        <v>0</v>
      </c>
      <c r="V1836" s="105">
        <f>+YEAR(PROVEEDORES[[#This Row],[FECHA DE FACTURACIÓN]])</f>
        <v>2023</v>
      </c>
      <c r="W1836" s="105">
        <f>+MATCH(PROVEEDORES[[#This Row],[año facturado]],Retenciones!$1:$1,0)</f>
        <v>6</v>
      </c>
      <c r="X1836" s="106">
        <f>+VLOOKUP(PROVEEDORES[[#This Row],[ID RETENCION]],Retenciones!$A$1:$O$25,PROVEEDORES[[#This Row],[indicador de columna]],FALSE)</f>
        <v>0</v>
      </c>
      <c r="Y1836" s="107">
        <f>+VLOOKUP(PROVEEDORES[[#This Row],[ID RETENCION]],Retenciones!$A$1:$O$25,2,FALSE)</f>
        <v>0</v>
      </c>
      <c r="Z1836" s="116" t="b">
        <f>OR(COUNTIF(PROVEEDORES[[#This Row],[PROVEEDOR]],"*"&amp;'Palabra no opera'!$A$2&amp;"*"))</f>
        <v>0</v>
      </c>
    </row>
    <row r="1837" spans="1:26" ht="22.35" customHeight="1" x14ac:dyDescent="0.3">
      <c r="A1837" s="353" t="str">
        <f>+IF(PROVEEDORES[[#This Row],[FECHA DE PAGO]]=PROVEEDORES[[#This Row],[FECHA DE FACTURACIÓN]],"DE CONTADO","CRÉDITO")</f>
        <v>DE CONTADO</v>
      </c>
      <c r="B1837" s="38" t="b">
        <f>+IF((PROVEEDORES[[#This Row],[FECHA DE PAGO]]-PROVEEDORES[[#This Row],[FECHA DE FACTURACIÓN]])&gt;PROVEEDORES[[#This Row],[PLAZO Días]],"PAGO VENCIDO")</f>
        <v>0</v>
      </c>
      <c r="C1837" s="20">
        <f>+VLOOKUP(PROVEEDORES[[#This Row],[PROVEEDOR]],TERCEROS_INFO[#All],2,FALSE)</f>
        <v>30</v>
      </c>
      <c r="D1837" s="25">
        <f>+SUMIFS(PROVEEDORES[Total],PROVEEDORES[PROVEEDOR],PROVEEDORES[[#This Row],[PROVEEDOR]],PROVEEDORES[FECHA DE PAGO],"")</f>
        <v>0</v>
      </c>
      <c r="E1837" s="25"/>
      <c r="F1837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37" s="68">
        <v>45174</v>
      </c>
      <c r="H1837" s="26" t="s">
        <v>227</v>
      </c>
      <c r="I1837" s="68">
        <v>45174</v>
      </c>
      <c r="J1837" s="35" t="s">
        <v>1950</v>
      </c>
      <c r="K1837" s="21">
        <v>2257000</v>
      </c>
      <c r="L1837" s="21"/>
      <c r="M1837" s="22">
        <f>(PROVEEDORES[[#This Row],[SUBTOTAL]]-PROVEEDORES[[#This Row],[descuento sobre subtotal]])*VLOOKUP(PROVEEDORES[[#This Row],[PROVEEDOR]],TERCEROS_INFO[#All],3,FALSE)</f>
        <v>0</v>
      </c>
      <c r="N1837" s="23"/>
      <c r="O1837" s="22">
        <f>+PROVEEDORES[[#This Row],[Descuento sobre subtotal %]]*(PROVEEDORES[[#This Row],[SUBTOTAL]]-PROVEEDORES[[#This Row],[descuento sobre subtotal]])</f>
        <v>0</v>
      </c>
      <c r="P1837" s="74">
        <f>+IF(PROVEEDORES[[#This Row],[SUBTOTAL]]&lt;PROVEEDORES[[#This Row],[base retencion]],0,PROVEEDORES[[#This Row],[retención aplicada]])</f>
        <v>0</v>
      </c>
      <c r="Q1837" s="22">
        <f>+PROVEEDORES[[#This Row],[Rete Fuente %]]*(PROVEEDORES[[#This Row],[SUBTOTAL]]-PROVEEDORES[[#This Row],[descuento sobre subtotal]])</f>
        <v>0</v>
      </c>
      <c r="R1837" s="21">
        <f>+PROVEEDORES[[#This Row],[SUBTOTAL]]+PROVEEDORES[[#This Row],[IVA 19%]]-PROVEEDORES[[#This Row],[descuento sobre subtotal]]-PROVEEDORES[[#This Row],[Descuento sobre subtotal $2]]-PROVEEDORES[[#This Row],[Rete Fuente $]]</f>
        <v>2257000</v>
      </c>
      <c r="S1837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7" s="63">
        <f ca="1">IF(PROVEEDORES[[#This Row],[FECHA DE PAGO]]=0,TODAY()-PROVEEDORES[[#This Row],[FECHA DE FACTURACIÓN]]-PROVEEDORES[[#This Row],[PLAZO Días]],0)</f>
        <v>0</v>
      </c>
      <c r="U1837" s="104">
        <f>+VLOOKUP(PROVEEDORES[[#This Row],[PROVEEDOR]],Terceros!$A:$D,4,FALSE)</f>
        <v>0</v>
      </c>
      <c r="V1837" s="105">
        <f>+YEAR(PROVEEDORES[[#This Row],[FECHA DE FACTURACIÓN]])</f>
        <v>2023</v>
      </c>
      <c r="W1837" s="105">
        <f>+MATCH(PROVEEDORES[[#This Row],[año facturado]],Retenciones!$1:$1,0)</f>
        <v>6</v>
      </c>
      <c r="X1837" s="106">
        <f>+VLOOKUP(PROVEEDORES[[#This Row],[ID RETENCION]],Retenciones!$A$1:$O$25,PROVEEDORES[[#This Row],[indicador de columna]],FALSE)</f>
        <v>0</v>
      </c>
      <c r="Y1837" s="107">
        <f>+VLOOKUP(PROVEEDORES[[#This Row],[ID RETENCION]],Retenciones!$A$1:$O$25,2,FALSE)</f>
        <v>0</v>
      </c>
      <c r="Z1837" s="116" t="b">
        <f>OR(COUNTIF(PROVEEDORES[[#This Row],[PROVEEDOR]],"*"&amp;'Palabra no opera'!$A$2&amp;"*"))</f>
        <v>0</v>
      </c>
    </row>
    <row r="1838" spans="1:26" ht="22.35" customHeight="1" x14ac:dyDescent="0.3">
      <c r="A1838" s="351" t="str">
        <f>+IF(PROVEEDORES[[#This Row],[FECHA DE PAGO]]=PROVEEDORES[[#This Row],[FECHA DE FACTURACIÓN]],"DE CONTADO","CRÉDITO")</f>
        <v>CRÉDITO</v>
      </c>
      <c r="B1838" s="38" t="b">
        <f>+IF((PROVEEDORES[[#This Row],[FECHA DE PAGO]]-PROVEEDORES[[#This Row],[FECHA DE FACTURACIÓN]])&gt;PROVEEDORES[[#This Row],[PLAZO Días]],"PAGO VENCIDO")</f>
        <v>0</v>
      </c>
      <c r="C1838" s="20">
        <f>+VLOOKUP(PROVEEDORES[[#This Row],[PROVEEDOR]],TERCEROS_INFO[#All],2,FALSE)</f>
        <v>30</v>
      </c>
      <c r="D1838" s="25">
        <f>+SUMIFS(PROVEEDORES[Total],PROVEEDORES[PROVEEDOR],PROVEEDORES[[#This Row],[PROVEEDOR]],PROVEEDORES[FECHA DE PAGO],"")</f>
        <v>0</v>
      </c>
      <c r="E1838" s="25"/>
      <c r="F1838" s="56">
        <f>+VLOOKUP(PROVEEDORES[[#This Row],[PROVEEDOR]],
                       Terceros!$A:$F,
                       5,
                       FALSE)</f>
        <v>0</v>
      </c>
      <c r="G1838" s="68">
        <v>45175</v>
      </c>
      <c r="H1838" s="26" t="s">
        <v>1800</v>
      </c>
      <c r="I1838" s="68">
        <v>45174</v>
      </c>
      <c r="J1838" s="35" t="s">
        <v>1939</v>
      </c>
      <c r="K1838" s="21">
        <v>239700</v>
      </c>
      <c r="L1838" s="21"/>
      <c r="M1838" s="22">
        <f>(PROVEEDORES[[#This Row],[SUBTOTAL]]-PROVEEDORES[[#This Row],[descuento sobre subtotal]])*VLOOKUP(PROVEEDORES[[#This Row],[PROVEEDOR]],TERCEROS_INFO[#All],3,FALSE)</f>
        <v>0</v>
      </c>
      <c r="N1838" s="23"/>
      <c r="O1838" s="22">
        <f>+PROVEEDORES[[#This Row],[Descuento sobre subtotal %]]*(PROVEEDORES[[#This Row],[SUBTOTAL]]-PROVEEDORES[[#This Row],[descuento sobre subtotal]])</f>
        <v>0</v>
      </c>
      <c r="P1838" s="74">
        <f>+IF(PROVEEDORES[[#This Row],[SUBTOTAL]]&lt;PROVEEDORES[[#This Row],[base retencion]],0,PROVEEDORES[[#This Row],[retención aplicada]])</f>
        <v>0</v>
      </c>
      <c r="Q1838" s="22">
        <f>+PROVEEDORES[[#This Row],[Rete Fuente %]]*(PROVEEDORES[[#This Row],[SUBTOTAL]]-PROVEEDORES[[#This Row],[descuento sobre subtotal]])</f>
        <v>0</v>
      </c>
      <c r="R1838" s="21">
        <f>+PROVEEDORES[[#This Row],[SUBTOTAL]]+PROVEEDORES[[#This Row],[IVA 19%]]-PROVEEDORES[[#This Row],[descuento sobre subtotal]]-PROVEEDORES[[#This Row],[Descuento sobre subtotal $2]]-PROVEEDORES[[#This Row],[Rete Fuente $]]</f>
        <v>239700</v>
      </c>
      <c r="S1838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8" s="63">
        <f ca="1">IF(PROVEEDORES[[#This Row],[FECHA DE PAGO]]=0,TODAY()-PROVEEDORES[[#This Row],[FECHA DE FACTURACIÓN]]-PROVEEDORES[[#This Row],[PLAZO Días]],0)</f>
        <v>0</v>
      </c>
      <c r="U1838" s="104">
        <f>+VLOOKUP(PROVEEDORES[[#This Row],[PROVEEDOR]],Terceros!$A:$D,4,FALSE)</f>
        <v>0</v>
      </c>
      <c r="V1838" s="105">
        <f>+YEAR(PROVEEDORES[[#This Row],[FECHA DE FACTURACIÓN]])</f>
        <v>2023</v>
      </c>
      <c r="W1838" s="105">
        <f>+MATCH(PROVEEDORES[[#This Row],[año facturado]],Retenciones!$1:$1,0)</f>
        <v>6</v>
      </c>
      <c r="X1838" s="106">
        <f>+VLOOKUP(PROVEEDORES[[#This Row],[ID RETENCION]],Retenciones!$A$1:$O$25,PROVEEDORES[[#This Row],[indicador de columna]],FALSE)</f>
        <v>0</v>
      </c>
      <c r="Y1838" s="107">
        <f>+VLOOKUP(PROVEEDORES[[#This Row],[ID RETENCION]],Retenciones!$A$1:$O$25,2,FALSE)</f>
        <v>0</v>
      </c>
      <c r="Z1838" s="116" t="b">
        <f>OR(COUNTIF(PROVEEDORES[[#This Row],[PROVEEDOR]],"*"&amp;'Palabra no opera'!$A$2&amp;"*"))</f>
        <v>0</v>
      </c>
    </row>
    <row r="1839" spans="1:26" ht="22.35" customHeight="1" x14ac:dyDescent="0.3">
      <c r="A1839" s="327" t="str">
        <f>+IF(PROVEEDORES[[#This Row],[FECHA DE PAGO]]=PROVEEDORES[[#This Row],[FECHA DE FACTURACIÓN]],"DE CONTADO","CRÉDITO")</f>
        <v>CRÉDITO</v>
      </c>
      <c r="B1839" s="38" t="str">
        <f>+IF((PROVEEDORES[[#This Row],[FECHA DE PAGO]]-PROVEEDORES[[#This Row],[FECHA DE FACTURACIÓN]])&gt;PROVEEDORES[[#This Row],[PLAZO Días]],"PAGO VENCIDO")</f>
        <v>PAGO VENCIDO</v>
      </c>
      <c r="C1839" s="20">
        <f>+VLOOKUP(PROVEEDORES[[#This Row],[PROVEEDOR]],TERCEROS_INFO[#All],2,FALSE)</f>
        <v>30</v>
      </c>
      <c r="D1839" s="25">
        <f>+SUMIFS(PROVEEDORES[Total],PROVEEDORES[PROVEEDOR],PROVEEDORES[[#This Row],[PROVEEDOR]],PROVEEDORES[FECHA DE PAGO],"")</f>
        <v>2950000</v>
      </c>
      <c r="E1839" s="25"/>
      <c r="F1839" s="56">
        <f>+VLOOKUP(PROVEEDORES[[#This Row],[PROVEEDOR]],
                       Terceros!$A:$F,
                       5,
                       FALSE)</f>
        <v>0</v>
      </c>
      <c r="G1839" s="68">
        <v>45175</v>
      </c>
      <c r="H1839" s="95" t="s">
        <v>1152</v>
      </c>
      <c r="I1839" s="68">
        <v>45083</v>
      </c>
      <c r="J1839" s="35">
        <v>1795</v>
      </c>
      <c r="K1839" s="21">
        <v>337500</v>
      </c>
      <c r="L1839" s="21"/>
      <c r="M1839" s="22">
        <f>(PROVEEDORES[[#This Row],[SUBTOTAL]]-PROVEEDORES[[#This Row],[descuento sobre subtotal]])*VLOOKUP(PROVEEDORES[[#This Row],[PROVEEDOR]],TERCEROS_INFO[#All],3,FALSE)</f>
        <v>0</v>
      </c>
      <c r="N1839" s="23"/>
      <c r="O1839" s="22">
        <f>+PROVEEDORES[[#This Row],[Descuento sobre subtotal %]]*(PROVEEDORES[[#This Row],[SUBTOTAL]]-PROVEEDORES[[#This Row],[descuento sobre subtotal]])</f>
        <v>0</v>
      </c>
      <c r="P1839" s="74">
        <f>+IF(PROVEEDORES[[#This Row],[SUBTOTAL]]&lt;PROVEEDORES[[#This Row],[base retencion]],0,PROVEEDORES[[#This Row],[retención aplicada]])</f>
        <v>0</v>
      </c>
      <c r="Q1839" s="22">
        <f>+PROVEEDORES[[#This Row],[Rete Fuente %]]*(PROVEEDORES[[#This Row],[SUBTOTAL]]-PROVEEDORES[[#This Row],[descuento sobre subtotal]])</f>
        <v>0</v>
      </c>
      <c r="R1839" s="21">
        <f>+PROVEEDORES[[#This Row],[SUBTOTAL]]+PROVEEDORES[[#This Row],[IVA 19%]]-PROVEEDORES[[#This Row],[descuento sobre subtotal]]-PROVEEDORES[[#This Row],[Descuento sobre subtotal $2]]-PROVEEDORES[[#This Row],[Rete Fuente $]]</f>
        <v>337500</v>
      </c>
      <c r="S1839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9" s="63">
        <f ca="1">IF(PROVEEDORES[[#This Row],[FECHA DE PAGO]]=0,TODAY()-PROVEEDORES[[#This Row],[FECHA DE FACTURACIÓN]]-PROVEEDORES[[#This Row],[PLAZO Días]],0)</f>
        <v>0</v>
      </c>
      <c r="U1839" s="104">
        <f>+VLOOKUP(PROVEEDORES[[#This Row],[PROVEEDOR]],Terceros!$A:$D,4,FALSE)</f>
        <v>0</v>
      </c>
      <c r="V1839" s="105">
        <f>+YEAR(PROVEEDORES[[#This Row],[FECHA DE FACTURACIÓN]])</f>
        <v>2023</v>
      </c>
      <c r="W1839" s="105">
        <f>+MATCH(PROVEEDORES[[#This Row],[año facturado]],Retenciones!$1:$1,0)</f>
        <v>6</v>
      </c>
      <c r="X1839" s="106">
        <f>+VLOOKUP(PROVEEDORES[[#This Row],[ID RETENCION]],Retenciones!$A$1:$O$25,PROVEEDORES[[#This Row],[indicador de columna]],FALSE)</f>
        <v>0</v>
      </c>
      <c r="Y1839" s="107">
        <f>+VLOOKUP(PROVEEDORES[[#This Row],[ID RETENCION]],Retenciones!$A$1:$O$25,2,FALSE)</f>
        <v>0</v>
      </c>
      <c r="Z1839" s="116" t="b">
        <f>OR(COUNTIF(PROVEEDORES[[#This Row],[PROVEEDOR]],"*"&amp;'Palabra no opera'!$A$2&amp;"*"))</f>
        <v>0</v>
      </c>
    </row>
    <row r="1840" spans="1:26" ht="22.35" customHeight="1" x14ac:dyDescent="0.3">
      <c r="A1840" s="327" t="str">
        <f>+IF(PROVEEDORES[[#This Row],[FECHA DE PAGO]]=PROVEEDORES[[#This Row],[FECHA DE FACTURACIÓN]],"DE CONTADO","CRÉDITO")</f>
        <v>CRÉDITO</v>
      </c>
      <c r="B1840" s="38" t="str">
        <f>+IF((PROVEEDORES[[#This Row],[FECHA DE PAGO]]-PROVEEDORES[[#This Row],[FECHA DE FACTURACIÓN]])&gt;PROVEEDORES[[#This Row],[PLAZO Días]],"PAGO VENCIDO")</f>
        <v>PAGO VENCIDO</v>
      </c>
      <c r="C1840" s="20">
        <f>+VLOOKUP(PROVEEDORES[[#This Row],[PROVEEDOR]],TERCEROS_INFO[#All],2,FALSE)</f>
        <v>30</v>
      </c>
      <c r="D1840" s="25">
        <f>+SUMIFS(PROVEEDORES[Total],PROVEEDORES[PROVEEDOR],PROVEEDORES[[#This Row],[PROVEEDOR]],PROVEEDORES[FECHA DE PAGO],"")</f>
        <v>2950000</v>
      </c>
      <c r="E1840" s="25"/>
      <c r="F1840" s="56">
        <f>+VLOOKUP(PROVEEDORES[[#This Row],[PROVEEDOR]],
                       Terceros!$A:$F,
                       5,
                       FALSE)</f>
        <v>0</v>
      </c>
      <c r="G1840" s="68">
        <v>45175</v>
      </c>
      <c r="H1840" s="95" t="s">
        <v>1152</v>
      </c>
      <c r="I1840" s="68">
        <v>45083</v>
      </c>
      <c r="J1840" s="35">
        <v>1794</v>
      </c>
      <c r="K1840" s="21">
        <v>3346000</v>
      </c>
      <c r="L1840" s="21"/>
      <c r="M1840" s="22">
        <f>(PROVEEDORES[[#This Row],[SUBTOTAL]]-PROVEEDORES[[#This Row],[descuento sobre subtotal]])*VLOOKUP(PROVEEDORES[[#This Row],[PROVEEDOR]],TERCEROS_INFO[#All],3,FALSE)</f>
        <v>0</v>
      </c>
      <c r="N1840" s="23"/>
      <c r="O1840" s="22">
        <f>+PROVEEDORES[[#This Row],[Descuento sobre subtotal %]]*(PROVEEDORES[[#This Row],[SUBTOTAL]]-PROVEEDORES[[#This Row],[descuento sobre subtotal]])</f>
        <v>0</v>
      </c>
      <c r="P1840" s="74">
        <f>+IF(PROVEEDORES[[#This Row],[SUBTOTAL]]&lt;PROVEEDORES[[#This Row],[base retencion]],0,PROVEEDORES[[#This Row],[retención aplicada]])</f>
        <v>0</v>
      </c>
      <c r="Q1840" s="22">
        <f>+PROVEEDORES[[#This Row],[Rete Fuente %]]*(PROVEEDORES[[#This Row],[SUBTOTAL]]-PROVEEDORES[[#This Row],[descuento sobre subtotal]])</f>
        <v>0</v>
      </c>
      <c r="R1840" s="21">
        <f>+PROVEEDORES[[#This Row],[SUBTOTAL]]+PROVEEDORES[[#This Row],[IVA 19%]]-PROVEEDORES[[#This Row],[descuento sobre subtotal]]-PROVEEDORES[[#This Row],[Descuento sobre subtotal $2]]-PROVEEDORES[[#This Row],[Rete Fuente $]]</f>
        <v>3346000</v>
      </c>
      <c r="S1840" s="3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0" s="63">
        <f ca="1">IF(PROVEEDORES[[#This Row],[FECHA DE PAGO]]=0,TODAY()-PROVEEDORES[[#This Row],[FECHA DE FACTURACIÓN]]-PROVEEDORES[[#This Row],[PLAZO Días]],0)</f>
        <v>0</v>
      </c>
      <c r="U1840" s="104">
        <f>+VLOOKUP(PROVEEDORES[[#This Row],[PROVEEDOR]],Terceros!$A:$D,4,FALSE)</f>
        <v>0</v>
      </c>
      <c r="V1840" s="105">
        <f>+YEAR(PROVEEDORES[[#This Row],[FECHA DE FACTURACIÓN]])</f>
        <v>2023</v>
      </c>
      <c r="W1840" s="105">
        <f>+MATCH(PROVEEDORES[[#This Row],[año facturado]],Retenciones!$1:$1,0)</f>
        <v>6</v>
      </c>
      <c r="X1840" s="106">
        <f>+VLOOKUP(PROVEEDORES[[#This Row],[ID RETENCION]],Retenciones!$A$1:$O$25,PROVEEDORES[[#This Row],[indicador de columna]],FALSE)</f>
        <v>0</v>
      </c>
      <c r="Y1840" s="107">
        <f>+VLOOKUP(PROVEEDORES[[#This Row],[ID RETENCION]],Retenciones!$A$1:$O$25,2,FALSE)</f>
        <v>0</v>
      </c>
      <c r="Z1840" s="116" t="b">
        <f>OR(COUNTIF(PROVEEDORES[[#This Row],[PROVEEDOR]],"*"&amp;'Palabra no opera'!$A$2&amp;"*"))</f>
        <v>0</v>
      </c>
    </row>
    <row r="1841" spans="1:26" ht="22.35" customHeight="1" x14ac:dyDescent="0.3">
      <c r="A1841" s="367" t="str">
        <f>+IF(PROVEEDORES[[#This Row],[FECHA DE PAGO]]=PROVEEDORES[[#This Row],[FECHA DE FACTURACIÓN]],"DE CONTADO","CRÉDITO")</f>
        <v>DE CONTADO</v>
      </c>
      <c r="B1841" s="38" t="b">
        <f>+IF((PROVEEDORES[[#This Row],[FECHA DE PAGO]]-PROVEEDORES[[#This Row],[FECHA DE FACTURACIÓN]])&gt;PROVEEDORES[[#This Row],[PLAZO Días]],"PAGO VENCIDO")</f>
        <v>0</v>
      </c>
      <c r="C1841" s="20">
        <f>+VLOOKUP(PROVEEDORES[[#This Row],[PROVEEDOR]],TERCEROS_INFO[#All],2,FALSE)</f>
        <v>30</v>
      </c>
      <c r="D1841" s="25">
        <f>+SUMIFS(PROVEEDORES[Total],PROVEEDORES[PROVEEDOR],PROVEEDORES[[#This Row],[PROVEEDOR]],PROVEEDORES[FECHA DE PAGO],"")</f>
        <v>0</v>
      </c>
      <c r="E1841" s="25"/>
      <c r="F1841" s="56" t="str">
        <f>+VLOOKUP(PROVEEDORES[[#This Row],[PROVEEDOR]],
                       Terceros!$A:$F,
                       5,
                       FALSE)</f>
        <v/>
      </c>
      <c r="G1841" s="68">
        <v>45175</v>
      </c>
      <c r="H1841" s="26" t="s">
        <v>404</v>
      </c>
      <c r="I1841" s="68">
        <v>45175</v>
      </c>
      <c r="J1841" s="35" t="s">
        <v>2017</v>
      </c>
      <c r="K1841" s="21">
        <v>1676636</v>
      </c>
      <c r="L1841" s="21"/>
      <c r="M1841" s="22">
        <f>(PROVEEDORES[[#This Row],[SUBTOTAL]]-PROVEEDORES[[#This Row],[descuento sobre subtotal]])*VLOOKUP(PROVEEDORES[[#This Row],[PROVEEDOR]],TERCEROS_INFO[#All],3,FALSE)</f>
        <v>0</v>
      </c>
      <c r="N1841" s="23"/>
      <c r="O1841" s="22">
        <f>+PROVEEDORES[[#This Row],[Descuento sobre subtotal %]]*(PROVEEDORES[[#This Row],[SUBTOTAL]]-PROVEEDORES[[#This Row],[descuento sobre subtotal]])</f>
        <v>0</v>
      </c>
      <c r="P1841" s="74">
        <f>+IF(PROVEEDORES[[#This Row],[SUBTOTAL]]&lt;PROVEEDORES[[#This Row],[base retencion]],0,PROVEEDORES[[#This Row],[retención aplicada]])</f>
        <v>0</v>
      </c>
      <c r="Q1841" s="22">
        <f>+PROVEEDORES[[#This Row],[Rete Fuente %]]*(PROVEEDORES[[#This Row],[SUBTOTAL]]-PROVEEDORES[[#This Row],[descuento sobre subtotal]])</f>
        <v>0</v>
      </c>
      <c r="R1841" s="21">
        <f>+PROVEEDORES[[#This Row],[SUBTOTAL]]+PROVEEDORES[[#This Row],[IVA 19%]]-PROVEEDORES[[#This Row],[descuento sobre subtotal]]-PROVEEDORES[[#This Row],[Descuento sobre subtotal $2]]-PROVEEDORES[[#This Row],[Rete Fuente $]]</f>
        <v>1676636</v>
      </c>
      <c r="S1841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1" s="63">
        <f ca="1">IF(PROVEEDORES[[#This Row],[FECHA DE PAGO]]=0,TODAY()-PROVEEDORES[[#This Row],[FECHA DE FACTURACIÓN]]-PROVEEDORES[[#This Row],[PLAZO Días]],0)</f>
        <v>0</v>
      </c>
      <c r="U1841" s="104">
        <f>+VLOOKUP(PROVEEDORES[[#This Row],[PROVEEDOR]],Terceros!$A:$D,4,FALSE)</f>
        <v>0</v>
      </c>
      <c r="V1841" s="105">
        <f>+YEAR(PROVEEDORES[[#This Row],[FECHA DE FACTURACIÓN]])</f>
        <v>2023</v>
      </c>
      <c r="W1841" s="105">
        <f>+MATCH(PROVEEDORES[[#This Row],[año facturado]],Retenciones!$1:$1,0)</f>
        <v>6</v>
      </c>
      <c r="X1841" s="106">
        <f>+VLOOKUP(PROVEEDORES[[#This Row],[ID RETENCION]],Retenciones!$A$1:$O$25,PROVEEDORES[[#This Row],[indicador de columna]],FALSE)</f>
        <v>0</v>
      </c>
      <c r="Y1841" s="107">
        <f>+VLOOKUP(PROVEEDORES[[#This Row],[ID RETENCION]],Retenciones!$A$1:$O$25,2,FALSE)</f>
        <v>0</v>
      </c>
      <c r="Z1841" s="116" t="b">
        <f>OR(COUNTIF(PROVEEDORES[[#This Row],[PROVEEDOR]],"*"&amp;'Palabra no opera'!$A$2&amp;"*"))</f>
        <v>0</v>
      </c>
    </row>
    <row r="1842" spans="1:26" ht="22.35" customHeight="1" x14ac:dyDescent="0.3">
      <c r="A1842" s="67" t="str">
        <f>+IF(PROVEEDORES[[#This Row],[FECHA DE PAGO]]=PROVEEDORES[[#This Row],[FECHA DE FACTURACIÓN]],"DE CONTADO","CRÉDITO")</f>
        <v>DE CONTADO</v>
      </c>
      <c r="B1842" s="38" t="b">
        <f>+IF((PROVEEDORES[[#This Row],[FECHA DE PAGO]]-PROVEEDORES[[#This Row],[FECHA DE FACTURACIÓN]])&gt;PROVEEDORES[[#This Row],[PLAZO Días]],"PAGO VENCIDO")</f>
        <v>0</v>
      </c>
      <c r="C1842" s="20">
        <f>+VLOOKUP(PROVEEDORES[[#This Row],[PROVEEDOR]],TERCEROS_INFO[#All],2,FALSE)</f>
        <v>30</v>
      </c>
      <c r="D1842" s="25">
        <f>+SUMIFS(PROVEEDORES[Total],PROVEEDORES[PROVEEDOR],PROVEEDORES[[#This Row],[PROVEEDOR]],PROVEEDORES[FECHA DE PAGO],"")</f>
        <v>27189617.395</v>
      </c>
      <c r="E1842" s="25"/>
      <c r="F1842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1842" s="68">
        <v>45224</v>
      </c>
      <c r="H1842" s="26" t="s">
        <v>77</v>
      </c>
      <c r="I1842" s="68">
        <v>45224</v>
      </c>
      <c r="J1842" s="35" t="s">
        <v>2048</v>
      </c>
      <c r="K1842" s="21">
        <v>166386.6</v>
      </c>
      <c r="L1842" s="21"/>
      <c r="M1842" s="22">
        <f>(PROVEEDORES[[#This Row],[SUBTOTAL]]-PROVEEDORES[[#This Row],[descuento sobre subtotal]])*VLOOKUP(PROVEEDORES[[#This Row],[PROVEEDOR]],TERCEROS_INFO[#All],3,FALSE)</f>
        <v>31613.454000000002</v>
      </c>
      <c r="N1842" s="23"/>
      <c r="O1842" s="22">
        <f>+PROVEEDORES[[#This Row],[Descuento sobre subtotal %]]*(PROVEEDORES[[#This Row],[SUBTOTAL]]-PROVEEDORES[[#This Row],[descuento sobre subtotal]])</f>
        <v>0</v>
      </c>
      <c r="P1842" s="74">
        <f>+IF(PROVEEDORES[[#This Row],[SUBTOTAL]]&lt;PROVEEDORES[[#This Row],[base retencion]],0,PROVEEDORES[[#This Row],[retención aplicada]])</f>
        <v>0</v>
      </c>
      <c r="Q1842" s="22">
        <f>+PROVEEDORES[[#This Row],[Rete Fuente %]]*(PROVEEDORES[[#This Row],[SUBTOTAL]]-PROVEEDORES[[#This Row],[descuento sobre subtotal]])</f>
        <v>0</v>
      </c>
      <c r="R1842" s="21">
        <f>+PROVEEDORES[[#This Row],[SUBTOTAL]]+PROVEEDORES[[#This Row],[IVA 19%]]-PROVEEDORES[[#This Row],[descuento sobre subtotal]]-PROVEEDORES[[#This Row],[Descuento sobre subtotal $2]]-PROVEEDORES[[#This Row],[Rete Fuente $]]</f>
        <v>198000.054</v>
      </c>
      <c r="S18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2" s="63">
        <f ca="1">IF(PROVEEDORES[[#This Row],[FECHA DE PAGO]]=0,TODAY()-PROVEEDORES[[#This Row],[FECHA DE FACTURACIÓN]]-PROVEEDORES[[#This Row],[PLAZO Días]],0)</f>
        <v>0</v>
      </c>
      <c r="U1842" s="104" t="str">
        <f>+VLOOKUP(PROVEEDORES[[#This Row],[PROVEEDOR]],Terceros!$A:$D,4,FALSE)</f>
        <v>2,5% con base</v>
      </c>
      <c r="V1842" s="105">
        <f>+YEAR(PROVEEDORES[[#This Row],[FECHA DE FACTURACIÓN]])</f>
        <v>2023</v>
      </c>
      <c r="W1842" s="105">
        <f>+MATCH(PROVEEDORES[[#This Row],[año facturado]],Retenciones!$1:$1,0)</f>
        <v>6</v>
      </c>
      <c r="X1842" s="106">
        <f>+VLOOKUP(PROVEEDORES[[#This Row],[ID RETENCION]],Retenciones!$A$1:$O$25,PROVEEDORES[[#This Row],[indicador de columna]],FALSE)</f>
        <v>1145000</v>
      </c>
      <c r="Y1842" s="107">
        <f>+VLOOKUP(PROVEEDORES[[#This Row],[ID RETENCION]],Retenciones!$A$1:$O$25,2,FALSE)</f>
        <v>2.5000000000000001E-2</v>
      </c>
      <c r="Z1842" s="116" t="b">
        <f>OR(COUNTIF(PROVEEDORES[[#This Row],[PROVEEDOR]],"*"&amp;'Palabra no opera'!$A$2&amp;"*"))</f>
        <v>0</v>
      </c>
    </row>
    <row r="1843" spans="1:26" ht="22.35" customHeight="1" x14ac:dyDescent="0.3">
      <c r="A1843" s="67" t="str">
        <f>+IF(PROVEEDORES[[#This Row],[FECHA DE PAGO]]=PROVEEDORES[[#This Row],[FECHA DE FACTURACIÓN]],"DE CONTADO","CRÉDITO")</f>
        <v>CRÉDITO</v>
      </c>
      <c r="B1843" s="38" t="str">
        <f>+IF((PROVEEDORES[[#This Row],[FECHA DE PAGO]]-PROVEEDORES[[#This Row],[FECHA DE FACTURACIÓN]])&gt;PROVEEDORES[[#This Row],[PLAZO Días]],"PAGO VENCIDO")</f>
        <v>PAGO VENCIDO</v>
      </c>
      <c r="C1843" s="20">
        <f>+VLOOKUP(PROVEEDORES[[#This Row],[PROVEEDOR]],TERCEROS_INFO[#All],2,FALSE)</f>
        <v>60</v>
      </c>
      <c r="D1843" s="25">
        <f>+SUMIFS(PROVEEDORES[Total],PROVEEDORES[PROVEEDOR],PROVEEDORES[[#This Row],[PROVEEDOR]],PROVEEDORES[FECHA DE PAGO],"")</f>
        <v>0</v>
      </c>
      <c r="E1843" s="25"/>
      <c r="F1843" s="56">
        <f>+VLOOKUP(PROVEEDORES[[#This Row],[PROVEEDOR]],
                       Terceros!$A:$F,
                       5,
                       FALSE)</f>
        <v>0</v>
      </c>
      <c r="G1843" s="68">
        <v>45175</v>
      </c>
      <c r="H1843" s="26" t="s">
        <v>951</v>
      </c>
      <c r="I1843" s="68">
        <v>45097</v>
      </c>
      <c r="J1843" s="35" t="s">
        <v>1774</v>
      </c>
      <c r="K1843" s="21">
        <v>2755600</v>
      </c>
      <c r="L1843" s="21"/>
      <c r="M1843" s="22">
        <f>(PROVEEDORES[[#This Row],[SUBTOTAL]]-PROVEEDORES[[#This Row],[descuento sobre subtotal]])*VLOOKUP(PROVEEDORES[[#This Row],[PROVEEDOR]],TERCEROS_INFO[#All],3,FALSE)</f>
        <v>523564</v>
      </c>
      <c r="N1843" s="23"/>
      <c r="O1843" s="22">
        <f>+PROVEEDORES[[#This Row],[Descuento sobre subtotal %]]*(PROVEEDORES[[#This Row],[SUBTOTAL]]-PROVEEDORES[[#This Row],[descuento sobre subtotal]])</f>
        <v>0</v>
      </c>
      <c r="P1843" s="74">
        <f>+IF(PROVEEDORES[[#This Row],[SUBTOTAL]]&lt;PROVEEDORES[[#This Row],[base retencion]],0,PROVEEDORES[[#This Row],[retención aplicada]])</f>
        <v>0</v>
      </c>
      <c r="Q1843" s="22">
        <f>+PROVEEDORES[[#This Row],[Rete Fuente %]]*(PROVEEDORES[[#This Row],[SUBTOTAL]]-PROVEEDORES[[#This Row],[descuento sobre subtotal]])</f>
        <v>0</v>
      </c>
      <c r="R1843" s="21">
        <f>+PROVEEDORES[[#This Row],[SUBTOTAL]]+PROVEEDORES[[#This Row],[IVA 19%]]-PROVEEDORES[[#This Row],[descuento sobre subtotal]]-PROVEEDORES[[#This Row],[Descuento sobre subtotal $2]]-PROVEEDORES[[#This Row],[Rete Fuente $]]</f>
        <v>3279164</v>
      </c>
      <c r="S18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3" s="63">
        <f ca="1">IF(PROVEEDORES[[#This Row],[FECHA DE PAGO]]=0,TODAY()-PROVEEDORES[[#This Row],[FECHA DE FACTURACIÓN]]-PROVEEDORES[[#This Row],[PLAZO Días]],0)</f>
        <v>0</v>
      </c>
      <c r="U1843" s="104">
        <f>+VLOOKUP(PROVEEDORES[[#This Row],[PROVEEDOR]],Terceros!$A:$D,4,FALSE)</f>
        <v>0</v>
      </c>
      <c r="V1843" s="105">
        <f>+YEAR(PROVEEDORES[[#This Row],[FECHA DE FACTURACIÓN]])</f>
        <v>2023</v>
      </c>
      <c r="W1843" s="105">
        <f>+MATCH(PROVEEDORES[[#This Row],[año facturado]],Retenciones!$1:$1,0)</f>
        <v>6</v>
      </c>
      <c r="X1843" s="106">
        <f>+VLOOKUP(PROVEEDORES[[#This Row],[ID RETENCION]],Retenciones!$A$1:$O$25,PROVEEDORES[[#This Row],[indicador de columna]],FALSE)</f>
        <v>0</v>
      </c>
      <c r="Y1843" s="107">
        <f>+VLOOKUP(PROVEEDORES[[#This Row],[ID RETENCION]],Retenciones!$A$1:$O$25,2,FALSE)</f>
        <v>0</v>
      </c>
      <c r="Z1843" s="116" t="b">
        <f>OR(COUNTIF(PROVEEDORES[[#This Row],[PROVEEDOR]],"*"&amp;'Palabra no opera'!$A$2&amp;"*"))</f>
        <v>1</v>
      </c>
    </row>
    <row r="1844" spans="1:26" ht="22.35" customHeight="1" x14ac:dyDescent="0.3">
      <c r="A1844" s="343" t="str">
        <f>+IF(PROVEEDORES[[#This Row],[FECHA DE PAGO]]=PROVEEDORES[[#This Row],[FECHA DE FACTURACIÓN]],"DE CONTADO","CRÉDITO")</f>
        <v>CRÉDITO</v>
      </c>
      <c r="B1844" s="38" t="b">
        <f>+IF((PROVEEDORES[[#This Row],[FECHA DE PAGO]]-PROVEEDORES[[#This Row],[FECHA DE FACTURACIÓN]])&gt;PROVEEDORES[[#This Row],[PLAZO Días]],"PAGO VENCIDO")</f>
        <v>0</v>
      </c>
      <c r="C1844" s="20">
        <f>+VLOOKUP(PROVEEDORES[[#This Row],[PROVEEDOR]],TERCEROS_INFO[#All],2,FALSE)</f>
        <v>30</v>
      </c>
      <c r="D1844" s="25">
        <f>+SUMIFS(PROVEEDORES[Total],PROVEEDORES[PROVEEDOR],PROVEEDORES[[#This Row],[PROVEEDOR]],PROVEEDORES[FECHA DE PAGO],"")</f>
        <v>0</v>
      </c>
      <c r="E1844" s="25"/>
      <c r="F1844" s="56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844" s="68">
        <v>45175</v>
      </c>
      <c r="H1844" s="26" t="s">
        <v>65</v>
      </c>
      <c r="I1844" s="68">
        <v>45148</v>
      </c>
      <c r="J1844" s="35" t="s">
        <v>1877</v>
      </c>
      <c r="K1844" s="21">
        <v>831933</v>
      </c>
      <c r="L1844" s="21"/>
      <c r="M1844" s="22">
        <f>(PROVEEDORES[[#This Row],[SUBTOTAL]]-PROVEEDORES[[#This Row],[descuento sobre subtotal]])*VLOOKUP(PROVEEDORES[[#This Row],[PROVEEDOR]],TERCEROS_INFO[#All],3,FALSE)</f>
        <v>158067.26999999999</v>
      </c>
      <c r="N1844" s="23"/>
      <c r="O1844" s="22">
        <v>87000</v>
      </c>
      <c r="P1844" s="74">
        <f>+IF(PROVEEDORES[[#This Row],[SUBTOTAL]]&lt;PROVEEDORES[[#This Row],[base retencion]],0,PROVEEDORES[[#This Row],[retención aplicada]])</f>
        <v>0</v>
      </c>
      <c r="Q1844" s="22">
        <f>+PROVEEDORES[[#This Row],[Rete Fuente %]]*(PROVEEDORES[[#This Row],[SUBTOTAL]]-PROVEEDORES[[#This Row],[descuento sobre subtotal]])</f>
        <v>0</v>
      </c>
      <c r="R1844" s="21">
        <f>+PROVEEDORES[[#This Row],[SUBTOTAL]]+PROVEEDORES[[#This Row],[IVA 19%]]-PROVEEDORES[[#This Row],[descuento sobre subtotal]]-PROVEEDORES[[#This Row],[Descuento sobre subtotal $2]]-PROVEEDORES[[#This Row],[Rete Fuente $]]</f>
        <v>903000.27</v>
      </c>
      <c r="S1844" s="3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4" s="63">
        <f ca="1">IF(PROVEEDORES[[#This Row],[FECHA DE PAGO]]=0,TODAY()-PROVEEDORES[[#This Row],[FECHA DE FACTURACIÓN]]-PROVEEDORES[[#This Row],[PLAZO Días]],0)</f>
        <v>0</v>
      </c>
      <c r="U1844" s="104" t="str">
        <f>+VLOOKUP(PROVEEDORES[[#This Row],[PROVEEDOR]],Terceros!$A:$D,4,FALSE)</f>
        <v>2,5% con base</v>
      </c>
      <c r="V1844" s="105">
        <f>+YEAR(PROVEEDORES[[#This Row],[FECHA DE FACTURACIÓN]])</f>
        <v>2023</v>
      </c>
      <c r="W1844" s="105">
        <f>+MATCH(PROVEEDORES[[#This Row],[año facturado]],Retenciones!$1:$1,0)</f>
        <v>6</v>
      </c>
      <c r="X1844" s="106">
        <f>+VLOOKUP(PROVEEDORES[[#This Row],[ID RETENCION]],Retenciones!$A$1:$O$25,PROVEEDORES[[#This Row],[indicador de columna]],FALSE)</f>
        <v>1145000</v>
      </c>
      <c r="Y1844" s="107">
        <f>+VLOOKUP(PROVEEDORES[[#This Row],[ID RETENCION]],Retenciones!$A$1:$O$25,2,FALSE)</f>
        <v>2.5000000000000001E-2</v>
      </c>
      <c r="Z1844" s="116" t="b">
        <f>OR(COUNTIF(PROVEEDORES[[#This Row],[PROVEEDOR]],"*"&amp;'Palabra no opera'!$A$2&amp;"*"))</f>
        <v>0</v>
      </c>
    </row>
    <row r="1845" spans="1:26" ht="22.35" customHeight="1" x14ac:dyDescent="0.3">
      <c r="A1845" s="67" t="str">
        <f>+IF(PROVEEDORES[[#This Row],[FECHA DE PAGO]]=PROVEEDORES[[#This Row],[FECHA DE FACTURACIÓN]],"DE CONTADO","CRÉDITO")</f>
        <v>CRÉDITO</v>
      </c>
      <c r="B1845" s="38" t="str">
        <f>+IF((PROVEEDORES[[#This Row],[FECHA DE PAGO]]-PROVEEDORES[[#This Row],[FECHA DE FACTURACIÓN]])&gt;PROVEEDORES[[#This Row],[PLAZO Días]],"PAGO VENCIDO")</f>
        <v>PAGO VENCIDO</v>
      </c>
      <c r="C1845" s="20">
        <f>+VLOOKUP(PROVEEDORES[[#This Row],[PROVEEDOR]],TERCEROS_INFO[#All],2,FALSE)</f>
        <v>30</v>
      </c>
      <c r="D1845" s="25">
        <f>+SUMIFS(PROVEEDORES[Total],PROVEEDORES[PROVEEDOR],PROVEEDORES[[#This Row],[PROVEEDOR]],PROVEEDORES[FECHA DE PAGO],"")</f>
        <v>121187115</v>
      </c>
      <c r="E1845" s="25"/>
      <c r="F1845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845" s="68">
        <v>45175</v>
      </c>
      <c r="H1845" s="26" t="s">
        <v>31</v>
      </c>
      <c r="I1845" s="68">
        <v>45082</v>
      </c>
      <c r="J1845" s="35">
        <v>59276</v>
      </c>
      <c r="K1845" s="21">
        <v>27072616.5</v>
      </c>
      <c r="L1845" s="21"/>
      <c r="M1845" s="22">
        <f>(PROVEEDORES[[#This Row],[SUBTOTAL]]-PROVEEDORES[[#This Row],[descuento sobre subtotal]])*VLOOKUP(PROVEEDORES[[#This Row],[PROVEEDOR]],TERCEROS_INFO[#All],3,FALSE)</f>
        <v>0</v>
      </c>
      <c r="N1845" s="23"/>
      <c r="O1845" s="22">
        <f>+PROVEEDORES[[#This Row],[Descuento sobre subtotal %]]*(PROVEEDORES[[#This Row],[SUBTOTAL]]-PROVEEDORES[[#This Row],[descuento sobre subtotal]])</f>
        <v>0</v>
      </c>
      <c r="P1845" s="74">
        <f>+IF(PROVEEDORES[[#This Row],[SUBTOTAL]]&lt;PROVEEDORES[[#This Row],[base retencion]],0,PROVEEDORES[[#This Row],[retención aplicada]])</f>
        <v>0</v>
      </c>
      <c r="Q1845" s="22">
        <f>+PROVEEDORES[[#This Row],[Rete Fuente %]]*(PROVEEDORES[[#This Row],[SUBTOTAL]]-PROVEEDORES[[#This Row],[descuento sobre subtotal]])</f>
        <v>0</v>
      </c>
      <c r="R1845" s="21">
        <f>+PROVEEDORES[[#This Row],[SUBTOTAL]]+PROVEEDORES[[#This Row],[IVA 19%]]-PROVEEDORES[[#This Row],[descuento sobre subtotal]]-PROVEEDORES[[#This Row],[Descuento sobre subtotal $2]]-PROVEEDORES[[#This Row],[Rete Fuente $]]</f>
        <v>27072616.5</v>
      </c>
      <c r="S184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5" s="63">
        <f ca="1">IF(PROVEEDORES[[#This Row],[FECHA DE PAGO]]=0,TODAY()-PROVEEDORES[[#This Row],[FECHA DE FACTURACIÓN]]-PROVEEDORES[[#This Row],[PLAZO Días]],0)</f>
        <v>0</v>
      </c>
      <c r="U1845" s="104">
        <f>+VLOOKUP(PROVEEDORES[[#This Row],[PROVEEDOR]],Terceros!$A:$D,4,FALSE)</f>
        <v>0</v>
      </c>
      <c r="V1845" s="105">
        <f>+YEAR(PROVEEDORES[[#This Row],[FECHA DE FACTURACIÓN]])</f>
        <v>2023</v>
      </c>
      <c r="W1845" s="105">
        <f>+MATCH(PROVEEDORES[[#This Row],[año facturado]],Retenciones!$1:$1,0)</f>
        <v>6</v>
      </c>
      <c r="X1845" s="106">
        <f>+VLOOKUP(PROVEEDORES[[#This Row],[ID RETENCION]],Retenciones!$A$1:$O$25,PROVEEDORES[[#This Row],[indicador de columna]],FALSE)</f>
        <v>0</v>
      </c>
      <c r="Y1845" s="107">
        <f>+VLOOKUP(PROVEEDORES[[#This Row],[ID RETENCION]],Retenciones!$A$1:$O$25,2,FALSE)</f>
        <v>0</v>
      </c>
      <c r="Z1845" s="116" t="b">
        <f>OR(COUNTIF(PROVEEDORES[[#This Row],[PROVEEDOR]],"*"&amp;'Palabra no opera'!$A$2&amp;"*"))</f>
        <v>0</v>
      </c>
    </row>
    <row r="1846" spans="1:26" ht="22.35" customHeight="1" x14ac:dyDescent="0.3">
      <c r="A1846" s="325" t="str">
        <f>+IF(PROVEEDORES[[#This Row],[FECHA DE PAGO]]=PROVEEDORES[[#This Row],[FECHA DE FACTURACIÓN]],"DE CONTADO","CRÉDITO")</f>
        <v>CRÉDITO</v>
      </c>
      <c r="B1846" s="38" t="str">
        <f>+IF((PROVEEDORES[[#This Row],[FECHA DE PAGO]]-PROVEEDORES[[#This Row],[FECHA DE FACTURACIÓN]])&gt;PROVEEDORES[[#This Row],[PLAZO Días]],"PAGO VENCIDO")</f>
        <v>PAGO VENCIDO</v>
      </c>
      <c r="C1846" s="20">
        <f>+VLOOKUP(PROVEEDORES[[#This Row],[PROVEEDOR]],TERCEROS_INFO[#All],2,FALSE)</f>
        <v>30</v>
      </c>
      <c r="D1846" s="25">
        <f>+SUMIFS(PROVEEDORES[Total],PROVEEDORES[PROVEEDOR],PROVEEDORES[[#This Row],[PROVEEDOR]],PROVEEDORES[FECHA DE PAGO],"")</f>
        <v>22881826.27</v>
      </c>
      <c r="E1846" s="25"/>
      <c r="F1846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846" s="68">
        <v>45175</v>
      </c>
      <c r="H1846" s="26" t="s">
        <v>9</v>
      </c>
      <c r="I1846" s="68">
        <v>45090</v>
      </c>
      <c r="J1846" s="35" t="s">
        <v>1748</v>
      </c>
      <c r="K1846" s="21">
        <v>3578973</v>
      </c>
      <c r="L1846" s="21"/>
      <c r="M1846" s="22">
        <f>(PROVEEDORES[[#This Row],[SUBTOTAL]]-PROVEEDORES[[#This Row],[descuento sobre subtotal]])*VLOOKUP(PROVEEDORES[[#This Row],[PROVEEDOR]],TERCEROS_INFO[#All],3,FALSE)</f>
        <v>680004.87</v>
      </c>
      <c r="N1846" s="23"/>
      <c r="O1846" s="22">
        <f>+PROVEEDORES[[#This Row],[Descuento sobre subtotal %]]*(PROVEEDORES[[#This Row],[SUBTOTAL]]-PROVEEDORES[[#This Row],[descuento sobre subtotal]])</f>
        <v>0</v>
      </c>
      <c r="P1846" s="74">
        <f>+IF(PROVEEDORES[[#This Row],[SUBTOTAL]]&lt;PROVEEDORES[[#This Row],[base retencion]],0,PROVEEDORES[[#This Row],[retención aplicada]])</f>
        <v>2.5000000000000001E-2</v>
      </c>
      <c r="Q1846" s="22">
        <f>+PROVEEDORES[[#This Row],[Rete Fuente %]]*(PROVEEDORES[[#This Row],[SUBTOTAL]]-PROVEEDORES[[#This Row],[descuento sobre subtotal]])</f>
        <v>89474.325000000012</v>
      </c>
      <c r="R1846" s="21">
        <f>+PROVEEDORES[[#This Row],[SUBTOTAL]]+PROVEEDORES[[#This Row],[IVA 19%]]-PROVEEDORES[[#This Row],[descuento sobre subtotal]]-PROVEEDORES[[#This Row],[Descuento sobre subtotal $2]]-PROVEEDORES[[#This Row],[Rete Fuente $]]</f>
        <v>4169503.5449999999</v>
      </c>
      <c r="S1846" s="3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6" s="63">
        <f ca="1">IF(PROVEEDORES[[#This Row],[FECHA DE PAGO]]=0,TODAY()-PROVEEDORES[[#This Row],[FECHA DE FACTURACIÓN]]-PROVEEDORES[[#This Row],[PLAZO Días]],0)</f>
        <v>0</v>
      </c>
      <c r="U1846" s="104" t="str">
        <f>+VLOOKUP(PROVEEDORES[[#This Row],[PROVEEDOR]],Terceros!$A:$D,4,FALSE)</f>
        <v>2,5% con base</v>
      </c>
      <c r="V1846" s="105">
        <f>+YEAR(PROVEEDORES[[#This Row],[FECHA DE FACTURACIÓN]])</f>
        <v>2023</v>
      </c>
      <c r="W1846" s="105">
        <f>+MATCH(PROVEEDORES[[#This Row],[año facturado]],Retenciones!$1:$1,0)</f>
        <v>6</v>
      </c>
      <c r="X1846" s="106">
        <f>+VLOOKUP(PROVEEDORES[[#This Row],[ID RETENCION]],Retenciones!$A$1:$O$25,PROVEEDORES[[#This Row],[indicador de columna]],FALSE)</f>
        <v>1145000</v>
      </c>
      <c r="Y1846" s="107">
        <f>+VLOOKUP(PROVEEDORES[[#This Row],[ID RETENCION]],Retenciones!$A$1:$O$25,2,FALSE)</f>
        <v>2.5000000000000001E-2</v>
      </c>
      <c r="Z1846" s="116" t="b">
        <f>OR(COUNTIF(PROVEEDORES[[#This Row],[PROVEEDOR]],"*"&amp;'Palabra no opera'!$A$2&amp;"*"))</f>
        <v>0</v>
      </c>
    </row>
    <row r="1847" spans="1:26" ht="22.35" customHeight="1" x14ac:dyDescent="0.3">
      <c r="A1847" s="67" t="str">
        <f>+IF(PROVEEDORES[[#This Row],[FECHA DE PAGO]]=PROVEEDORES[[#This Row],[FECHA DE FACTURACIÓN]],"DE CONTADO","CRÉDITO")</f>
        <v>CRÉDITO</v>
      </c>
      <c r="B1847" s="38" t="str">
        <f>+IF((PROVEEDORES[[#This Row],[FECHA DE PAGO]]-PROVEEDORES[[#This Row],[FECHA DE FACTURACIÓN]])&gt;PROVEEDORES[[#This Row],[PLAZO Días]],"PAGO VENCIDO")</f>
        <v>PAGO VENCIDO</v>
      </c>
      <c r="C1847" s="20">
        <f>+VLOOKUP(PROVEEDORES[[#This Row],[PROVEEDOR]],TERCEROS_INFO[#All],2,FALSE)</f>
        <v>45</v>
      </c>
      <c r="D1847" s="25">
        <f>+SUMIFS(PROVEEDORES[Total],PROVEEDORES[PROVEEDOR],PROVEEDORES[[#This Row],[PROVEEDOR]],PROVEEDORES[FECHA DE PAGO],"")</f>
        <v>8072960</v>
      </c>
      <c r="E1847" s="25"/>
      <c r="F1847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47" s="68">
        <v>45175</v>
      </c>
      <c r="H1847" s="26" t="s">
        <v>10</v>
      </c>
      <c r="I1847" s="68">
        <v>45100</v>
      </c>
      <c r="J1847" s="35" t="s">
        <v>1784</v>
      </c>
      <c r="K1847" s="21">
        <v>560000</v>
      </c>
      <c r="L1847" s="21"/>
      <c r="M1847" s="22">
        <f>(PROVEEDORES[[#This Row],[SUBTOTAL]]-PROVEEDORES[[#This Row],[descuento sobre subtotal]])*VLOOKUP(PROVEEDORES[[#This Row],[PROVEEDOR]],TERCEROS_INFO[#All],3,FALSE)</f>
        <v>106400</v>
      </c>
      <c r="N1847" s="23"/>
      <c r="O1847" s="22">
        <f>+PROVEEDORES[[#This Row],[Descuento sobre subtotal %]]*(PROVEEDORES[[#This Row],[SUBTOTAL]]-PROVEEDORES[[#This Row],[descuento sobre subtotal]])</f>
        <v>0</v>
      </c>
      <c r="P1847" s="74">
        <f>+IF(PROVEEDORES[[#This Row],[SUBTOTAL]]&lt;PROVEEDORES[[#This Row],[base retencion]],0,PROVEEDORES[[#This Row],[retención aplicada]])</f>
        <v>0</v>
      </c>
      <c r="Q1847" s="22">
        <f>+PROVEEDORES[[#This Row],[Rete Fuente %]]*(PROVEEDORES[[#This Row],[SUBTOTAL]]-PROVEEDORES[[#This Row],[descuento sobre subtotal]])</f>
        <v>0</v>
      </c>
      <c r="R1847" s="21">
        <f>+PROVEEDORES[[#This Row],[SUBTOTAL]]+PROVEEDORES[[#This Row],[IVA 19%]]-PROVEEDORES[[#This Row],[descuento sobre subtotal]]-PROVEEDORES[[#This Row],[Descuento sobre subtotal $2]]-PROVEEDORES[[#This Row],[Rete Fuente $]]</f>
        <v>666400</v>
      </c>
      <c r="S18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7" s="63">
        <f ca="1">IF(PROVEEDORES[[#This Row],[FECHA DE PAGO]]=0,TODAY()-PROVEEDORES[[#This Row],[FECHA DE FACTURACIÓN]]-PROVEEDORES[[#This Row],[PLAZO Días]],0)</f>
        <v>0</v>
      </c>
      <c r="U1847" s="104">
        <f>+VLOOKUP(PROVEEDORES[[#This Row],[PROVEEDOR]],Terceros!$A:$D,4,FALSE)</f>
        <v>0</v>
      </c>
      <c r="V1847" s="105">
        <f>+YEAR(PROVEEDORES[[#This Row],[FECHA DE FACTURACIÓN]])</f>
        <v>2023</v>
      </c>
      <c r="W1847" s="105">
        <f>+MATCH(PROVEEDORES[[#This Row],[año facturado]],Retenciones!$1:$1,0)</f>
        <v>6</v>
      </c>
      <c r="X1847" s="106">
        <f>+VLOOKUP(PROVEEDORES[[#This Row],[ID RETENCION]],Retenciones!$A$1:$O$25,PROVEEDORES[[#This Row],[indicador de columna]],FALSE)</f>
        <v>0</v>
      </c>
      <c r="Y1847" s="107">
        <f>+VLOOKUP(PROVEEDORES[[#This Row],[ID RETENCION]],Retenciones!$A$1:$O$25,2,FALSE)</f>
        <v>0</v>
      </c>
      <c r="Z1847" s="116" t="b">
        <f>OR(COUNTIF(PROVEEDORES[[#This Row],[PROVEEDOR]],"*"&amp;'Palabra no opera'!$A$2&amp;"*"))</f>
        <v>0</v>
      </c>
    </row>
    <row r="1848" spans="1:26" ht="22.35" customHeight="1" x14ac:dyDescent="0.3">
      <c r="A1848" s="349" t="str">
        <f>+IF(PROVEEDORES[[#This Row],[FECHA DE PAGO]]=PROVEEDORES[[#This Row],[FECHA DE FACTURACIÓN]],"DE CONTADO","CRÉDITO")</f>
        <v>DE CONTADO</v>
      </c>
      <c r="B1848" s="38" t="b">
        <f>+IF((PROVEEDORES[[#This Row],[FECHA DE PAGO]]-PROVEEDORES[[#This Row],[FECHA DE FACTURACIÓN]])&gt;PROVEEDORES[[#This Row],[PLAZO Días]],"PAGO VENCIDO")</f>
        <v>0</v>
      </c>
      <c r="C1848" s="20">
        <f>+VLOOKUP(PROVEEDORES[[#This Row],[PROVEEDOR]],TERCEROS_INFO[#All],2,FALSE)</f>
        <v>30</v>
      </c>
      <c r="D1848" s="25">
        <f>+SUMIFS(PROVEEDORES[Total],PROVEEDORES[PROVEEDOR],PROVEEDORES[[#This Row],[PROVEEDOR]],PROVEEDORES[FECHA DE PAGO],"")</f>
        <v>1316890.8900000001</v>
      </c>
      <c r="E1848" s="25"/>
      <c r="F184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48" s="68">
        <v>45175</v>
      </c>
      <c r="H1848" s="26" t="s">
        <v>17</v>
      </c>
      <c r="I1848" s="68">
        <v>45175</v>
      </c>
      <c r="J1848" s="35" t="s">
        <v>1927</v>
      </c>
      <c r="K1848" s="21">
        <v>34665</v>
      </c>
      <c r="L1848" s="21"/>
      <c r="M1848" s="22">
        <f>(PROVEEDORES[[#This Row],[SUBTOTAL]]-PROVEEDORES[[#This Row],[descuento sobre subtotal]])*VLOOKUP(PROVEEDORES[[#This Row],[PROVEEDOR]],TERCEROS_INFO[#All],3,FALSE)</f>
        <v>6586.35</v>
      </c>
      <c r="N1848" s="23"/>
      <c r="O1848" s="22">
        <f>+PROVEEDORES[[#This Row],[Descuento sobre subtotal %]]*(PROVEEDORES[[#This Row],[SUBTOTAL]]-PROVEEDORES[[#This Row],[descuento sobre subtotal]])</f>
        <v>0</v>
      </c>
      <c r="P1848" s="74">
        <f>+IF(PROVEEDORES[[#This Row],[SUBTOTAL]]&lt;PROVEEDORES[[#This Row],[base retencion]],0,PROVEEDORES[[#This Row],[retención aplicada]])</f>
        <v>0</v>
      </c>
      <c r="Q1848" s="22">
        <f>+PROVEEDORES[[#This Row],[Rete Fuente %]]*(PROVEEDORES[[#This Row],[SUBTOTAL]]-PROVEEDORES[[#This Row],[descuento sobre subtotal]])</f>
        <v>0</v>
      </c>
      <c r="R1848" s="21">
        <f>+PROVEEDORES[[#This Row],[SUBTOTAL]]+PROVEEDORES[[#This Row],[IVA 19%]]-PROVEEDORES[[#This Row],[descuento sobre subtotal]]-PROVEEDORES[[#This Row],[Descuento sobre subtotal $2]]-PROVEEDORES[[#This Row],[Rete Fuente $]]</f>
        <v>41251.35</v>
      </c>
      <c r="S1848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8" s="63">
        <f ca="1">IF(PROVEEDORES[[#This Row],[FECHA DE PAGO]]=0,TODAY()-PROVEEDORES[[#This Row],[FECHA DE FACTURACIÓN]]-PROVEEDORES[[#This Row],[PLAZO Días]],0)</f>
        <v>0</v>
      </c>
      <c r="U1848" s="104">
        <f>+VLOOKUP(PROVEEDORES[[#This Row],[PROVEEDOR]],Terceros!$A:$D,4,FALSE)</f>
        <v>0</v>
      </c>
      <c r="V1848" s="105">
        <f>+YEAR(PROVEEDORES[[#This Row],[FECHA DE FACTURACIÓN]])</f>
        <v>2023</v>
      </c>
      <c r="W1848" s="105">
        <f>+MATCH(PROVEEDORES[[#This Row],[año facturado]],Retenciones!$1:$1,0)</f>
        <v>6</v>
      </c>
      <c r="X1848" s="106">
        <f>+VLOOKUP(PROVEEDORES[[#This Row],[ID RETENCION]],Retenciones!$A$1:$O$25,PROVEEDORES[[#This Row],[indicador de columna]],FALSE)</f>
        <v>0</v>
      </c>
      <c r="Y1848" s="107">
        <f>+VLOOKUP(PROVEEDORES[[#This Row],[ID RETENCION]],Retenciones!$A$1:$O$25,2,FALSE)</f>
        <v>0</v>
      </c>
      <c r="Z1848" s="116" t="b">
        <f>OR(COUNTIF(PROVEEDORES[[#This Row],[PROVEEDOR]],"*"&amp;'Palabra no opera'!$A$2&amp;"*"))</f>
        <v>0</v>
      </c>
    </row>
    <row r="1849" spans="1:26" ht="22.35" customHeight="1" x14ac:dyDescent="0.3">
      <c r="A1849" s="349" t="str">
        <f>+IF(PROVEEDORES[[#This Row],[FECHA DE PAGO]]=PROVEEDORES[[#This Row],[FECHA DE FACTURACIÓN]],"DE CONTADO","CRÉDITO")</f>
        <v>CRÉDITO</v>
      </c>
      <c r="B1849" s="38" t="b">
        <f>+IF((PROVEEDORES[[#This Row],[FECHA DE PAGO]]-PROVEEDORES[[#This Row],[FECHA DE FACTURACIÓN]])&gt;PROVEEDORES[[#This Row],[PLAZO Días]],"PAGO VENCIDO")</f>
        <v>0</v>
      </c>
      <c r="C1849" s="20">
        <f>+VLOOKUP(PROVEEDORES[[#This Row],[PROVEEDOR]],TERCEROS_INFO[#All],2,FALSE)</f>
        <v>30</v>
      </c>
      <c r="D1849" s="25">
        <f>+SUMIFS(PROVEEDORES[Total],PROVEEDORES[PROVEEDOR],PROVEEDORES[[#This Row],[PROVEEDOR]],PROVEEDORES[FECHA DE PAGO],"")</f>
        <v>0</v>
      </c>
      <c r="E1849" s="25"/>
      <c r="F1849" s="56">
        <f>+VLOOKUP(PROVEEDORES[[#This Row],[PROVEEDOR]],
                       Terceros!$A:$F,
                       5,
                       FALSE)</f>
        <v>0</v>
      </c>
      <c r="G1849" s="68">
        <v>45177</v>
      </c>
      <c r="H1849" s="26" t="s">
        <v>413</v>
      </c>
      <c r="I1849" s="68">
        <v>45152</v>
      </c>
      <c r="J1849" s="35">
        <v>394</v>
      </c>
      <c r="K1849" s="21">
        <v>1176000</v>
      </c>
      <c r="L1849" s="21"/>
      <c r="M1849" s="22">
        <f>(PROVEEDORES[[#This Row],[SUBTOTAL]]-PROVEEDORES[[#This Row],[descuento sobre subtotal]])*VLOOKUP(PROVEEDORES[[#This Row],[PROVEEDOR]],TERCEROS_INFO[#All],3,FALSE)</f>
        <v>0</v>
      </c>
      <c r="N1849" s="23"/>
      <c r="O1849" s="22">
        <f>+PROVEEDORES[[#This Row],[Descuento sobre subtotal %]]*(PROVEEDORES[[#This Row],[SUBTOTAL]]-PROVEEDORES[[#This Row],[descuento sobre subtotal]])</f>
        <v>0</v>
      </c>
      <c r="P1849" s="74">
        <f>+IF(PROVEEDORES[[#This Row],[SUBTOTAL]]&lt;PROVEEDORES[[#This Row],[base retencion]],0,PROVEEDORES[[#This Row],[retención aplicada]])</f>
        <v>0</v>
      </c>
      <c r="Q1849" s="22">
        <f>+PROVEEDORES[[#This Row],[Rete Fuente %]]*(PROVEEDORES[[#This Row],[SUBTOTAL]]-PROVEEDORES[[#This Row],[descuento sobre subtotal]])</f>
        <v>0</v>
      </c>
      <c r="R1849" s="21">
        <f>+PROVEEDORES[[#This Row],[SUBTOTAL]]+PROVEEDORES[[#This Row],[IVA 19%]]-PROVEEDORES[[#This Row],[descuento sobre subtotal]]-PROVEEDORES[[#This Row],[Descuento sobre subtotal $2]]-PROVEEDORES[[#This Row],[Rete Fuente $]]</f>
        <v>1176000</v>
      </c>
      <c r="S1849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9" s="63">
        <f ca="1">IF(PROVEEDORES[[#This Row],[FECHA DE PAGO]]=0,TODAY()-PROVEEDORES[[#This Row],[FECHA DE FACTURACIÓN]]-PROVEEDORES[[#This Row],[PLAZO Días]],0)</f>
        <v>0</v>
      </c>
      <c r="U1849" s="104">
        <f>+VLOOKUP(PROVEEDORES[[#This Row],[PROVEEDOR]],Terceros!$A:$D,4,FALSE)</f>
        <v>0</v>
      </c>
      <c r="V1849" s="105">
        <f>+YEAR(PROVEEDORES[[#This Row],[FECHA DE FACTURACIÓN]])</f>
        <v>2023</v>
      </c>
      <c r="W1849" s="105">
        <f>+MATCH(PROVEEDORES[[#This Row],[año facturado]],Retenciones!$1:$1,0)</f>
        <v>6</v>
      </c>
      <c r="X1849" s="106">
        <f>+VLOOKUP(PROVEEDORES[[#This Row],[ID RETENCION]],Retenciones!$A$1:$O$25,PROVEEDORES[[#This Row],[indicador de columna]],FALSE)</f>
        <v>0</v>
      </c>
      <c r="Y1849" s="107">
        <f>+VLOOKUP(PROVEEDORES[[#This Row],[ID RETENCION]],Retenciones!$A$1:$O$25,2,FALSE)</f>
        <v>0</v>
      </c>
      <c r="Z1849" s="116" t="b">
        <f>OR(COUNTIF(PROVEEDORES[[#This Row],[PROVEEDOR]],"*"&amp;'Palabra no opera'!$A$2&amp;"*"))</f>
        <v>0</v>
      </c>
    </row>
    <row r="1850" spans="1:26" ht="22.35" customHeight="1" x14ac:dyDescent="0.3">
      <c r="A1850" s="67" t="str">
        <f>+IF(PROVEEDORES[[#This Row],[FECHA DE PAGO]]=PROVEEDORES[[#This Row],[FECHA DE FACTURACIÓN]],"DE CONTADO","CRÉDITO")</f>
        <v>DE CONTADO</v>
      </c>
      <c r="B1850" s="38" t="b">
        <f>+IF((PROVEEDORES[[#This Row],[FECHA DE PAGO]]-PROVEEDORES[[#This Row],[FECHA DE FACTURACIÓN]])&gt;PROVEEDORES[[#This Row],[PLAZO Días]],"PAGO VENCIDO")</f>
        <v>0</v>
      </c>
      <c r="C1850" s="20">
        <f>+VLOOKUP(PROVEEDORES[[#This Row],[PROVEEDOR]],TERCEROS_INFO[#All],2,FALSE)</f>
        <v>0</v>
      </c>
      <c r="D1850" s="25">
        <f>+SUMIFS(PROVEEDORES[Total],PROVEEDORES[PROVEEDOR],PROVEEDORES[[#This Row],[PROVEEDOR]],PROVEEDORES[FECHA DE PAGO],"")</f>
        <v>0</v>
      </c>
      <c r="E1850" s="25"/>
      <c r="F1850" s="56">
        <f>+VLOOKUP(PROVEEDORES[[#This Row],[PROVEEDOR]],
                       Terceros!$A:$F,
                       5,
                       FALSE)</f>
        <v>0</v>
      </c>
      <c r="G1850" s="68">
        <v>45178</v>
      </c>
      <c r="H1850" s="26" t="s">
        <v>1883</v>
      </c>
      <c r="I1850" s="68">
        <v>45178</v>
      </c>
      <c r="J1850" s="35" t="s">
        <v>1884</v>
      </c>
      <c r="K1850" s="21">
        <v>499612</v>
      </c>
      <c r="L1850" s="21"/>
      <c r="M1850" s="22">
        <f>(PROVEEDORES[[#This Row],[SUBTOTAL]]-PROVEEDORES[[#This Row],[descuento sobre subtotal]])*VLOOKUP(PROVEEDORES[[#This Row],[PROVEEDOR]],TERCEROS_INFO[#All],3,FALSE)</f>
        <v>94926.28</v>
      </c>
      <c r="N1850" s="23"/>
      <c r="O1850" s="22">
        <f>+PROVEEDORES[[#This Row],[Descuento sobre subtotal %]]*(PROVEEDORES[[#This Row],[SUBTOTAL]]-PROVEEDORES[[#This Row],[descuento sobre subtotal]])</f>
        <v>0</v>
      </c>
      <c r="P1850" s="74">
        <f>+IF(PROVEEDORES[[#This Row],[SUBTOTAL]]&lt;PROVEEDORES[[#This Row],[base retencion]],0,PROVEEDORES[[#This Row],[retención aplicada]])</f>
        <v>0.11</v>
      </c>
      <c r="Q1850" s="22">
        <f>+PROVEEDORES[[#This Row],[Rete Fuente %]]*(PROVEEDORES[[#This Row],[SUBTOTAL]]-PROVEEDORES[[#This Row],[descuento sobre subtotal]])</f>
        <v>54957.32</v>
      </c>
      <c r="R1850" s="21">
        <f>+PROVEEDORES[[#This Row],[SUBTOTAL]]+PROVEEDORES[[#This Row],[IVA 19%]]-PROVEEDORES[[#This Row],[descuento sobre subtotal]]-PROVEEDORES[[#This Row],[Descuento sobre subtotal $2]]-PROVEEDORES[[#This Row],[Rete Fuente $]]</f>
        <v>539580.96000000008</v>
      </c>
      <c r="S18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0" s="63">
        <f ca="1">IF(PROVEEDORES[[#This Row],[FECHA DE PAGO]]=0,TODAY()-PROVEEDORES[[#This Row],[FECHA DE FACTURACIÓN]]-PROVEEDORES[[#This Row],[PLAZO Días]],0)</f>
        <v>0</v>
      </c>
      <c r="U1850" s="104" t="str">
        <f>+VLOOKUP(PROVEEDORES[[#This Row],[PROVEEDOR]],Terceros!$A:$D,4,FALSE)</f>
        <v>11% sin base</v>
      </c>
      <c r="V1850" s="105">
        <f>+YEAR(PROVEEDORES[[#This Row],[FECHA DE FACTURACIÓN]])</f>
        <v>2023</v>
      </c>
      <c r="W1850" s="105">
        <f>+MATCH(PROVEEDORES[[#This Row],[año facturado]],Retenciones!$1:$1,0)</f>
        <v>6</v>
      </c>
      <c r="X1850" s="106">
        <f>+VLOOKUP(PROVEEDORES[[#This Row],[ID RETENCION]],Retenciones!$A$1:$O$25,PROVEEDORES[[#This Row],[indicador de columna]],FALSE)</f>
        <v>0</v>
      </c>
      <c r="Y1850" s="107">
        <f>+VLOOKUP(PROVEEDORES[[#This Row],[ID RETENCION]],Retenciones!$A$1:$O$25,2,FALSE)</f>
        <v>0.11</v>
      </c>
      <c r="Z1850" s="116" t="b">
        <f>OR(COUNTIF(PROVEEDORES[[#This Row],[PROVEEDOR]],"*"&amp;'Palabra no opera'!$A$2&amp;"*"))</f>
        <v>0</v>
      </c>
    </row>
    <row r="1851" spans="1:26" ht="22.35" customHeight="1" x14ac:dyDescent="0.3">
      <c r="A1851" s="353" t="str">
        <f>+IF(PROVEEDORES[[#This Row],[FECHA DE PAGO]]=PROVEEDORES[[#This Row],[FECHA DE FACTURACIÓN]],"DE CONTADO","CRÉDITO")</f>
        <v>DE CONTADO</v>
      </c>
      <c r="B1851" s="38" t="b">
        <f>+IF((PROVEEDORES[[#This Row],[FECHA DE PAGO]]-PROVEEDORES[[#This Row],[FECHA DE FACTURACIÓN]])&gt;PROVEEDORES[[#This Row],[PLAZO Días]],"PAGO VENCIDO")</f>
        <v>0</v>
      </c>
      <c r="C1851" s="20">
        <f>+VLOOKUP(PROVEEDORES[[#This Row],[PROVEEDOR]],TERCEROS_INFO[#All],2,FALSE)</f>
        <v>30</v>
      </c>
      <c r="D1851" s="25">
        <f>+SUMIFS(PROVEEDORES[Total],PROVEEDORES[PROVEEDOR],PROVEEDORES[[#This Row],[PROVEEDOR]],PROVEEDORES[FECHA DE PAGO],"")</f>
        <v>0</v>
      </c>
      <c r="E1851" s="25"/>
      <c r="F1851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51" s="68">
        <v>45181</v>
      </c>
      <c r="H1851" s="26" t="s">
        <v>227</v>
      </c>
      <c r="I1851" s="68">
        <v>45181</v>
      </c>
      <c r="J1851" s="35" t="s">
        <v>1983</v>
      </c>
      <c r="K1851" s="21">
        <v>1660000</v>
      </c>
      <c r="L1851" s="21"/>
      <c r="M1851" s="22">
        <f>(PROVEEDORES[[#This Row],[SUBTOTAL]]-PROVEEDORES[[#This Row],[descuento sobre subtotal]])*VLOOKUP(PROVEEDORES[[#This Row],[PROVEEDOR]],TERCEROS_INFO[#All],3,FALSE)</f>
        <v>0</v>
      </c>
      <c r="N1851" s="23"/>
      <c r="O1851" s="22">
        <f>+PROVEEDORES[[#This Row],[Descuento sobre subtotal %]]*(PROVEEDORES[[#This Row],[SUBTOTAL]]-PROVEEDORES[[#This Row],[descuento sobre subtotal]])</f>
        <v>0</v>
      </c>
      <c r="P1851" s="74">
        <f>+IF(PROVEEDORES[[#This Row],[SUBTOTAL]]&lt;PROVEEDORES[[#This Row],[base retencion]],0,PROVEEDORES[[#This Row],[retención aplicada]])</f>
        <v>0</v>
      </c>
      <c r="Q1851" s="22">
        <f>+PROVEEDORES[[#This Row],[Rete Fuente %]]*(PROVEEDORES[[#This Row],[SUBTOTAL]]-PROVEEDORES[[#This Row],[descuento sobre subtotal]])</f>
        <v>0</v>
      </c>
      <c r="R1851" s="21">
        <f>+PROVEEDORES[[#This Row],[SUBTOTAL]]+PROVEEDORES[[#This Row],[IVA 19%]]-PROVEEDORES[[#This Row],[descuento sobre subtotal]]-PROVEEDORES[[#This Row],[Descuento sobre subtotal $2]]-PROVEEDORES[[#This Row],[Rete Fuente $]]</f>
        <v>1660000</v>
      </c>
      <c r="S1851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1" s="63">
        <f ca="1">IF(PROVEEDORES[[#This Row],[FECHA DE PAGO]]=0,TODAY()-PROVEEDORES[[#This Row],[FECHA DE FACTURACIÓN]]-PROVEEDORES[[#This Row],[PLAZO Días]],0)</f>
        <v>0</v>
      </c>
      <c r="U1851" s="104">
        <f>+VLOOKUP(PROVEEDORES[[#This Row],[PROVEEDOR]],Terceros!$A:$D,4,FALSE)</f>
        <v>0</v>
      </c>
      <c r="V1851" s="105">
        <f>+YEAR(PROVEEDORES[[#This Row],[FECHA DE FACTURACIÓN]])</f>
        <v>2023</v>
      </c>
      <c r="W1851" s="105">
        <f>+MATCH(PROVEEDORES[[#This Row],[año facturado]],Retenciones!$1:$1,0)</f>
        <v>6</v>
      </c>
      <c r="X1851" s="106">
        <f>+VLOOKUP(PROVEEDORES[[#This Row],[ID RETENCION]],Retenciones!$A$1:$O$25,PROVEEDORES[[#This Row],[indicador de columna]],FALSE)</f>
        <v>0</v>
      </c>
      <c r="Y1851" s="107">
        <f>+VLOOKUP(PROVEEDORES[[#This Row],[ID RETENCION]],Retenciones!$A$1:$O$25,2,FALSE)</f>
        <v>0</v>
      </c>
      <c r="Z1851" s="116" t="b">
        <f>OR(COUNTIF(PROVEEDORES[[#This Row],[PROVEEDOR]],"*"&amp;'Palabra no opera'!$A$2&amp;"*"))</f>
        <v>0</v>
      </c>
    </row>
    <row r="1852" spans="1:26" ht="22.35" customHeight="1" x14ac:dyDescent="0.3">
      <c r="A1852" s="367" t="str">
        <f>+IF(PROVEEDORES[[#This Row],[FECHA DE PAGO]]=PROVEEDORES[[#This Row],[FECHA DE FACTURACIÓN]],"DE CONTADO","CRÉDITO")</f>
        <v>DE CONTADO</v>
      </c>
      <c r="B1852" s="38" t="b">
        <f>+IF((PROVEEDORES[[#This Row],[FECHA DE PAGO]]-PROVEEDORES[[#This Row],[FECHA DE FACTURACIÓN]])&gt;PROVEEDORES[[#This Row],[PLAZO Días]],"PAGO VENCIDO")</f>
        <v>0</v>
      </c>
      <c r="C1852" s="20">
        <f>+VLOOKUP(PROVEEDORES[[#This Row],[PROVEEDOR]],TERCEROS_INFO[#All],2,FALSE)</f>
        <v>30</v>
      </c>
      <c r="D1852" s="25">
        <f>+SUMIFS(PROVEEDORES[Total],PROVEEDORES[PROVEEDOR],PROVEEDORES[[#This Row],[PROVEEDOR]],PROVEEDORES[FECHA DE PAGO],"")</f>
        <v>0</v>
      </c>
      <c r="E1852" s="25"/>
      <c r="F1852" s="56">
        <f>+VLOOKUP(PROVEEDORES[[#This Row],[PROVEEDOR]],
                       Terceros!$A:$F,
                       5,
                       FALSE)</f>
        <v>0</v>
      </c>
      <c r="G1852" s="68">
        <v>45182</v>
      </c>
      <c r="H1852" s="26" t="s">
        <v>1800</v>
      </c>
      <c r="I1852" s="68">
        <v>45182</v>
      </c>
      <c r="J1852" s="35" t="s">
        <v>2015</v>
      </c>
      <c r="K1852" s="21">
        <v>290750</v>
      </c>
      <c r="L1852" s="21"/>
      <c r="M1852" s="22">
        <f>(PROVEEDORES[[#This Row],[SUBTOTAL]]-PROVEEDORES[[#This Row],[descuento sobre subtotal]])*VLOOKUP(PROVEEDORES[[#This Row],[PROVEEDOR]],TERCEROS_INFO[#All],3,FALSE)</f>
        <v>0</v>
      </c>
      <c r="N1852" s="23"/>
      <c r="O1852" s="22">
        <f>+PROVEEDORES[[#This Row],[Descuento sobre subtotal %]]*(PROVEEDORES[[#This Row],[SUBTOTAL]]-PROVEEDORES[[#This Row],[descuento sobre subtotal]])</f>
        <v>0</v>
      </c>
      <c r="P1852" s="74">
        <f>+IF(PROVEEDORES[[#This Row],[SUBTOTAL]]&lt;PROVEEDORES[[#This Row],[base retencion]],0,PROVEEDORES[[#This Row],[retención aplicada]])</f>
        <v>0</v>
      </c>
      <c r="Q1852" s="22">
        <f>+PROVEEDORES[[#This Row],[Rete Fuente %]]*(PROVEEDORES[[#This Row],[SUBTOTAL]]-PROVEEDORES[[#This Row],[descuento sobre subtotal]])</f>
        <v>0</v>
      </c>
      <c r="R1852" s="21">
        <f>+PROVEEDORES[[#This Row],[SUBTOTAL]]+PROVEEDORES[[#This Row],[IVA 19%]]-PROVEEDORES[[#This Row],[descuento sobre subtotal]]-PROVEEDORES[[#This Row],[Descuento sobre subtotal $2]]-PROVEEDORES[[#This Row],[Rete Fuente $]]</f>
        <v>290750</v>
      </c>
      <c r="S1852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2" s="63">
        <f ca="1">IF(PROVEEDORES[[#This Row],[FECHA DE PAGO]]=0,TODAY()-PROVEEDORES[[#This Row],[FECHA DE FACTURACIÓN]]-PROVEEDORES[[#This Row],[PLAZO Días]],0)</f>
        <v>0</v>
      </c>
      <c r="U1852" s="104">
        <f>+VLOOKUP(PROVEEDORES[[#This Row],[PROVEEDOR]],Terceros!$A:$D,4,FALSE)</f>
        <v>0</v>
      </c>
      <c r="V1852" s="105">
        <f>+YEAR(PROVEEDORES[[#This Row],[FECHA DE FACTURACIÓN]])</f>
        <v>2023</v>
      </c>
      <c r="W1852" s="105">
        <f>+MATCH(PROVEEDORES[[#This Row],[año facturado]],Retenciones!$1:$1,0)</f>
        <v>6</v>
      </c>
      <c r="X1852" s="106">
        <f>+VLOOKUP(PROVEEDORES[[#This Row],[ID RETENCION]],Retenciones!$A$1:$O$25,PROVEEDORES[[#This Row],[indicador de columna]],FALSE)</f>
        <v>0</v>
      </c>
      <c r="Y1852" s="107">
        <f>+VLOOKUP(PROVEEDORES[[#This Row],[ID RETENCION]],Retenciones!$A$1:$O$25,2,FALSE)</f>
        <v>0</v>
      </c>
      <c r="Z1852" s="116" t="b">
        <f>OR(COUNTIF(PROVEEDORES[[#This Row],[PROVEEDOR]],"*"&amp;'Palabra no opera'!$A$2&amp;"*"))</f>
        <v>0</v>
      </c>
    </row>
    <row r="1853" spans="1:26" ht="22.35" customHeight="1" x14ac:dyDescent="0.3">
      <c r="A1853" s="67" t="str">
        <f>+IF(PROVEEDORES[[#This Row],[FECHA DE PAGO]]=PROVEEDORES[[#This Row],[FECHA DE FACTURACIÓN]],"DE CONTADO","CRÉDITO")</f>
        <v>CRÉDITO</v>
      </c>
      <c r="B1853" s="38" t="b">
        <f>+IF((PROVEEDORES[[#This Row],[FECHA DE PAGO]]-PROVEEDORES[[#This Row],[FECHA DE FACTURACIÓN]])&gt;PROVEEDORES[[#This Row],[PLAZO Días]],"PAGO VENCIDO")</f>
        <v>0</v>
      </c>
      <c r="C1853" s="20">
        <f>+VLOOKUP(PROVEEDORES[[#This Row],[PROVEEDOR]],TERCEROS_INFO[#All],2,FALSE)</f>
        <v>30</v>
      </c>
      <c r="D1853" s="25">
        <f>+SUMIFS(PROVEEDORES[Total],PROVEEDORES[PROVEEDOR],PROVEEDORES[[#This Row],[PROVEEDOR]],PROVEEDORES[FECHA DE PAGO],"")</f>
        <v>0</v>
      </c>
      <c r="E1853" s="25"/>
      <c r="F1853" s="56">
        <f>+VLOOKUP(PROVEEDORES[[#This Row],[PROVEEDOR]],
                       Terceros!$A:$F,
                       5,
                       FALSE)</f>
        <v>0</v>
      </c>
      <c r="G1853" s="68">
        <v>45182</v>
      </c>
      <c r="H1853" s="26" t="s">
        <v>1231</v>
      </c>
      <c r="I1853" s="68">
        <v>45176</v>
      </c>
      <c r="J1853" s="35" t="s">
        <v>1971</v>
      </c>
      <c r="K1853" s="21">
        <v>2299500</v>
      </c>
      <c r="L1853" s="21"/>
      <c r="M1853" s="22">
        <f>(PROVEEDORES[[#This Row],[SUBTOTAL]]-PROVEEDORES[[#This Row],[descuento sobre subtotal]])*VLOOKUP(PROVEEDORES[[#This Row],[PROVEEDOR]],TERCEROS_INFO[#All],3,FALSE)</f>
        <v>0</v>
      </c>
      <c r="N1853" s="23"/>
      <c r="O1853" s="22">
        <f>+PROVEEDORES[[#This Row],[Descuento sobre subtotal %]]*(PROVEEDORES[[#This Row],[SUBTOTAL]]-PROVEEDORES[[#This Row],[descuento sobre subtotal]])</f>
        <v>0</v>
      </c>
      <c r="P1853" s="74">
        <f>+IF(PROVEEDORES[[#This Row],[SUBTOTAL]]&lt;PROVEEDORES[[#This Row],[base retencion]],0,PROVEEDORES[[#This Row],[retención aplicada]])</f>
        <v>0</v>
      </c>
      <c r="Q1853" s="22">
        <f>+PROVEEDORES[[#This Row],[Rete Fuente %]]*(PROVEEDORES[[#This Row],[SUBTOTAL]]-PROVEEDORES[[#This Row],[descuento sobre subtotal]])</f>
        <v>0</v>
      </c>
      <c r="R1853" s="21">
        <f>+PROVEEDORES[[#This Row],[SUBTOTAL]]+PROVEEDORES[[#This Row],[IVA 19%]]-PROVEEDORES[[#This Row],[descuento sobre subtotal]]-PROVEEDORES[[#This Row],[Descuento sobre subtotal $2]]-PROVEEDORES[[#This Row],[Rete Fuente $]]</f>
        <v>2299500</v>
      </c>
      <c r="S18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3" s="63">
        <f ca="1">IF(PROVEEDORES[[#This Row],[FECHA DE PAGO]]=0,TODAY()-PROVEEDORES[[#This Row],[FECHA DE FACTURACIÓN]]-PROVEEDORES[[#This Row],[PLAZO Días]],0)</f>
        <v>0</v>
      </c>
      <c r="U1853" s="104">
        <f>+VLOOKUP(PROVEEDORES[[#This Row],[PROVEEDOR]],Terceros!$A:$D,4,FALSE)</f>
        <v>0</v>
      </c>
      <c r="V1853" s="105">
        <f>+YEAR(PROVEEDORES[[#This Row],[FECHA DE FACTURACIÓN]])</f>
        <v>2023</v>
      </c>
      <c r="W1853" s="105">
        <f>+MATCH(PROVEEDORES[[#This Row],[año facturado]],Retenciones!$1:$1,0)</f>
        <v>6</v>
      </c>
      <c r="X1853" s="106">
        <f>+VLOOKUP(PROVEEDORES[[#This Row],[ID RETENCION]],Retenciones!$A$1:$O$25,PROVEEDORES[[#This Row],[indicador de columna]],FALSE)</f>
        <v>0</v>
      </c>
      <c r="Y1853" s="107">
        <f>+VLOOKUP(PROVEEDORES[[#This Row],[ID RETENCION]],Retenciones!$A$1:$O$25,2,FALSE)</f>
        <v>0</v>
      </c>
      <c r="Z1853" s="116" t="b">
        <f>OR(COUNTIF(PROVEEDORES[[#This Row],[PROVEEDOR]],"*"&amp;'Palabra no opera'!$A$2&amp;"*"))</f>
        <v>0</v>
      </c>
    </row>
    <row r="1854" spans="1:26" ht="22.35" customHeight="1" x14ac:dyDescent="0.3">
      <c r="A1854" s="67" t="str">
        <f>+IF(PROVEEDORES[[#This Row],[FECHA DE PAGO]]=PROVEEDORES[[#This Row],[FECHA DE FACTURACIÓN]],"DE CONTADO","CRÉDITO")</f>
        <v>CRÉDITO</v>
      </c>
      <c r="B1854" s="38" t="str">
        <f>+IF((PROVEEDORES[[#This Row],[FECHA DE PAGO]]-PROVEEDORES[[#This Row],[FECHA DE FACTURACIÓN]])&gt;PROVEEDORES[[#This Row],[PLAZO Días]],"PAGO VENCIDO")</f>
        <v>PAGO VENCIDO</v>
      </c>
      <c r="C1854" s="20">
        <f>+VLOOKUP(PROVEEDORES[[#This Row],[PROVEEDOR]],TERCEROS_INFO[#All],2,FALSE)</f>
        <v>45</v>
      </c>
      <c r="D1854" s="25">
        <f>+SUMIFS(PROVEEDORES[Total],PROVEEDORES[PROVEEDOR],PROVEEDORES[[#This Row],[PROVEEDOR]],PROVEEDORES[FECHA DE PAGO],"")</f>
        <v>8072960</v>
      </c>
      <c r="E1854" s="25"/>
      <c r="F185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54" s="68">
        <v>45182</v>
      </c>
      <c r="H1854" s="26" t="s">
        <v>10</v>
      </c>
      <c r="I1854" s="68">
        <v>45107</v>
      </c>
      <c r="J1854" s="35" t="s">
        <v>1825</v>
      </c>
      <c r="K1854" s="335">
        <v>3240000</v>
      </c>
      <c r="L1854" s="21"/>
      <c r="M1854" s="336">
        <f>(PROVEEDORES[[#This Row],[SUBTOTAL]]-PROVEEDORES[[#This Row],[descuento sobre subtotal]])*VLOOKUP(PROVEEDORES[[#This Row],[PROVEEDOR]],TERCEROS_INFO[#All],3,FALSE)</f>
        <v>615600</v>
      </c>
      <c r="N1854" s="23"/>
      <c r="O1854" s="22">
        <f>+PROVEEDORES[[#This Row],[Descuento sobre subtotal %]]*(PROVEEDORES[[#This Row],[SUBTOTAL]]-PROVEEDORES[[#This Row],[descuento sobre subtotal]])</f>
        <v>0</v>
      </c>
      <c r="P1854" s="74">
        <f>+IF(PROVEEDORES[[#This Row],[SUBTOTAL]]&lt;PROVEEDORES[[#This Row],[base retencion]],0,PROVEEDORES[[#This Row],[retención aplicada]])</f>
        <v>0</v>
      </c>
      <c r="Q1854" s="22">
        <f>+PROVEEDORES[[#This Row],[Rete Fuente %]]*(PROVEEDORES[[#This Row],[SUBTOTAL]]-PROVEEDORES[[#This Row],[descuento sobre subtotal]])</f>
        <v>0</v>
      </c>
      <c r="R1854" s="335">
        <f>+PROVEEDORES[[#This Row],[SUBTOTAL]]+PROVEEDORES[[#This Row],[IVA 19%]]-PROVEEDORES[[#This Row],[descuento sobre subtotal]]-PROVEEDORES[[#This Row],[Descuento sobre subtotal $2]]-PROVEEDORES[[#This Row],[Rete Fuente $]]</f>
        <v>3855600</v>
      </c>
      <c r="S18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4" s="63">
        <f ca="1">IF(PROVEEDORES[[#This Row],[FECHA DE PAGO]]=0,TODAY()-PROVEEDORES[[#This Row],[FECHA DE FACTURACIÓN]]-PROVEEDORES[[#This Row],[PLAZO Días]],0)</f>
        <v>0</v>
      </c>
      <c r="U1854" s="104">
        <f>+VLOOKUP(PROVEEDORES[[#This Row],[PROVEEDOR]],Terceros!$A:$D,4,FALSE)</f>
        <v>0</v>
      </c>
      <c r="V1854" s="105">
        <f>+YEAR(PROVEEDORES[[#This Row],[FECHA DE FACTURACIÓN]])</f>
        <v>2023</v>
      </c>
      <c r="W1854" s="105">
        <f>+MATCH(PROVEEDORES[[#This Row],[año facturado]],Retenciones!$1:$1,0)</f>
        <v>6</v>
      </c>
      <c r="X1854" s="106">
        <f>+VLOOKUP(PROVEEDORES[[#This Row],[ID RETENCION]],Retenciones!$A$1:$O$25,PROVEEDORES[[#This Row],[indicador de columna]],FALSE)</f>
        <v>0</v>
      </c>
      <c r="Y1854" s="107">
        <f>+VLOOKUP(PROVEEDORES[[#This Row],[ID RETENCION]],Retenciones!$A$1:$O$25,2,FALSE)</f>
        <v>0</v>
      </c>
      <c r="Z1854" s="116" t="b">
        <f>OR(COUNTIF(PROVEEDORES[[#This Row],[PROVEEDOR]],"*"&amp;'Palabra no opera'!$A$2&amp;"*"))</f>
        <v>0</v>
      </c>
    </row>
    <row r="1855" spans="1:26" ht="22.35" customHeight="1" x14ac:dyDescent="0.3">
      <c r="A1855" s="333" t="str">
        <f>+IF(PROVEEDORES[[#This Row],[FECHA DE PAGO]]=PROVEEDORES[[#This Row],[FECHA DE FACTURACIÓN]],"DE CONTADO","CRÉDITO")</f>
        <v>CRÉDITO</v>
      </c>
      <c r="B1855" s="38" t="str">
        <f>+IF((PROVEEDORES[[#This Row],[FECHA DE PAGO]]-PROVEEDORES[[#This Row],[FECHA DE FACTURACIÓN]])&gt;PROVEEDORES[[#This Row],[PLAZO Días]],"PAGO VENCIDO")</f>
        <v>PAGO VENCIDO</v>
      </c>
      <c r="C1855" s="20">
        <f>+VLOOKUP(PROVEEDORES[[#This Row],[PROVEEDOR]],TERCEROS_INFO[#All],2,FALSE)</f>
        <v>45</v>
      </c>
      <c r="D1855" s="25">
        <f>+SUMIFS(PROVEEDORES[Total],PROVEEDORES[PROVEEDOR],PROVEEDORES[[#This Row],[PROVEEDOR]],PROVEEDORES[FECHA DE PAGO],"")</f>
        <v>8072960</v>
      </c>
      <c r="E1855" s="25"/>
      <c r="F1855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55" s="68">
        <v>45182</v>
      </c>
      <c r="H1855" s="26" t="s">
        <v>10</v>
      </c>
      <c r="I1855" s="68">
        <v>45118</v>
      </c>
      <c r="J1855" s="35" t="s">
        <v>1823</v>
      </c>
      <c r="K1855" s="21">
        <v>924000</v>
      </c>
      <c r="L1855" s="21"/>
      <c r="M1855" s="22">
        <f>(PROVEEDORES[[#This Row],[SUBTOTAL]]-PROVEEDORES[[#This Row],[descuento sobre subtotal]])*VLOOKUP(PROVEEDORES[[#This Row],[PROVEEDOR]],TERCEROS_INFO[#All],3,FALSE)</f>
        <v>175560</v>
      </c>
      <c r="N1855" s="23"/>
      <c r="O1855" s="22">
        <f>+PROVEEDORES[[#This Row],[Descuento sobre subtotal %]]*(PROVEEDORES[[#This Row],[SUBTOTAL]]-PROVEEDORES[[#This Row],[descuento sobre subtotal]])</f>
        <v>0</v>
      </c>
      <c r="P1855" s="74">
        <f>+IF(PROVEEDORES[[#This Row],[SUBTOTAL]]&lt;PROVEEDORES[[#This Row],[base retencion]],0,PROVEEDORES[[#This Row],[retención aplicada]])</f>
        <v>0</v>
      </c>
      <c r="Q1855" s="22">
        <f>+PROVEEDORES[[#This Row],[Rete Fuente %]]*(PROVEEDORES[[#This Row],[SUBTOTAL]]-PROVEEDORES[[#This Row],[descuento sobre subtotal]])</f>
        <v>0</v>
      </c>
      <c r="R1855" s="21">
        <f>+PROVEEDORES[[#This Row],[SUBTOTAL]]+PROVEEDORES[[#This Row],[IVA 19%]]-PROVEEDORES[[#This Row],[descuento sobre subtotal]]-PROVEEDORES[[#This Row],[Descuento sobre subtotal $2]]-PROVEEDORES[[#This Row],[Rete Fuente $]]</f>
        <v>1099560</v>
      </c>
      <c r="S1855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5" s="63">
        <f ca="1">IF(PROVEEDORES[[#This Row],[FECHA DE PAGO]]=0,TODAY()-PROVEEDORES[[#This Row],[FECHA DE FACTURACIÓN]]-PROVEEDORES[[#This Row],[PLAZO Días]],0)</f>
        <v>0</v>
      </c>
      <c r="U1855" s="104">
        <f>+VLOOKUP(PROVEEDORES[[#This Row],[PROVEEDOR]],Terceros!$A:$D,4,FALSE)</f>
        <v>0</v>
      </c>
      <c r="V1855" s="105">
        <f>+YEAR(PROVEEDORES[[#This Row],[FECHA DE FACTURACIÓN]])</f>
        <v>2023</v>
      </c>
      <c r="W1855" s="105">
        <f>+MATCH(PROVEEDORES[[#This Row],[año facturado]],Retenciones!$1:$1,0)</f>
        <v>6</v>
      </c>
      <c r="X1855" s="106">
        <f>+VLOOKUP(PROVEEDORES[[#This Row],[ID RETENCION]],Retenciones!$A$1:$O$25,PROVEEDORES[[#This Row],[indicador de columna]],FALSE)</f>
        <v>0</v>
      </c>
      <c r="Y1855" s="107">
        <f>+VLOOKUP(PROVEEDORES[[#This Row],[ID RETENCION]],Retenciones!$A$1:$O$25,2,FALSE)</f>
        <v>0</v>
      </c>
      <c r="Z1855" s="116" t="b">
        <f>OR(COUNTIF(PROVEEDORES[[#This Row],[PROVEEDOR]],"*"&amp;'Palabra no opera'!$A$2&amp;"*"))</f>
        <v>0</v>
      </c>
    </row>
    <row r="1856" spans="1:26" ht="22.35" customHeight="1" x14ac:dyDescent="0.3">
      <c r="A1856" s="333" t="str">
        <f>+IF(PROVEEDORES[[#This Row],[FECHA DE PAGO]]=PROVEEDORES[[#This Row],[FECHA DE FACTURACIÓN]],"DE CONTADO","CRÉDITO")</f>
        <v>CRÉDITO</v>
      </c>
      <c r="B1856" s="38" t="str">
        <f>+IF((PROVEEDORES[[#This Row],[FECHA DE PAGO]]-PROVEEDORES[[#This Row],[FECHA DE FACTURACIÓN]])&gt;PROVEEDORES[[#This Row],[PLAZO Días]],"PAGO VENCIDO")</f>
        <v>PAGO VENCIDO</v>
      </c>
      <c r="C1856" s="20">
        <f>+VLOOKUP(PROVEEDORES[[#This Row],[PROVEEDOR]],TERCEROS_INFO[#All],2,FALSE)</f>
        <v>45</v>
      </c>
      <c r="D1856" s="25">
        <f>+SUMIFS(PROVEEDORES[Total],PROVEEDORES[PROVEEDOR],PROVEEDORES[[#This Row],[PROVEEDOR]],PROVEEDORES[FECHA DE PAGO],"")</f>
        <v>8072960</v>
      </c>
      <c r="E1856" s="25"/>
      <c r="F1856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56" s="68">
        <v>45182</v>
      </c>
      <c r="H1856" s="26" t="s">
        <v>10</v>
      </c>
      <c r="I1856" s="68">
        <v>45118</v>
      </c>
      <c r="J1856" s="35" t="s">
        <v>1824</v>
      </c>
      <c r="K1856" s="21">
        <v>-3240000</v>
      </c>
      <c r="L1856" s="21"/>
      <c r="M1856" s="22">
        <f>(PROVEEDORES[[#This Row],[SUBTOTAL]]-PROVEEDORES[[#This Row],[descuento sobre subtotal]])*VLOOKUP(PROVEEDORES[[#This Row],[PROVEEDOR]],TERCEROS_INFO[#All],3,FALSE)</f>
        <v>-615600</v>
      </c>
      <c r="N1856" s="23"/>
      <c r="O1856" s="22">
        <f>+PROVEEDORES[[#This Row],[Descuento sobre subtotal %]]*(PROVEEDORES[[#This Row],[SUBTOTAL]]-PROVEEDORES[[#This Row],[descuento sobre subtotal]])</f>
        <v>0</v>
      </c>
      <c r="P1856" s="74">
        <f>+IF(PROVEEDORES[[#This Row],[SUBTOTAL]]&lt;PROVEEDORES[[#This Row],[base retencion]],0,PROVEEDORES[[#This Row],[retención aplicada]])</f>
        <v>0</v>
      </c>
      <c r="Q1856" s="22">
        <f>+PROVEEDORES[[#This Row],[Rete Fuente %]]*(PROVEEDORES[[#This Row],[SUBTOTAL]]-PROVEEDORES[[#This Row],[descuento sobre subtotal]])</f>
        <v>0</v>
      </c>
      <c r="R1856" s="21">
        <f>+PROVEEDORES[[#This Row],[SUBTOTAL]]+PROVEEDORES[[#This Row],[IVA 19%]]-PROVEEDORES[[#This Row],[descuento sobre subtotal]]-PROVEEDORES[[#This Row],[Descuento sobre subtotal $2]]-PROVEEDORES[[#This Row],[Rete Fuente $]]</f>
        <v>-3855600</v>
      </c>
      <c r="S1856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6" s="63">
        <f ca="1">IF(PROVEEDORES[[#This Row],[FECHA DE PAGO]]=0,TODAY()-PROVEEDORES[[#This Row],[FECHA DE FACTURACIÓN]]-PROVEEDORES[[#This Row],[PLAZO Días]],0)</f>
        <v>0</v>
      </c>
      <c r="U1856" s="104">
        <f>+VLOOKUP(PROVEEDORES[[#This Row],[PROVEEDOR]],Terceros!$A:$D,4,FALSE)</f>
        <v>0</v>
      </c>
      <c r="V1856" s="105">
        <f>+YEAR(PROVEEDORES[[#This Row],[FECHA DE FACTURACIÓN]])</f>
        <v>2023</v>
      </c>
      <c r="W1856" s="105">
        <f>+MATCH(PROVEEDORES[[#This Row],[año facturado]],Retenciones!$1:$1,0)</f>
        <v>6</v>
      </c>
      <c r="X1856" s="106">
        <f>+VLOOKUP(PROVEEDORES[[#This Row],[ID RETENCION]],Retenciones!$A$1:$O$25,PROVEEDORES[[#This Row],[indicador de columna]],FALSE)</f>
        <v>0</v>
      </c>
      <c r="Y1856" s="107">
        <f>+VLOOKUP(PROVEEDORES[[#This Row],[ID RETENCION]],Retenciones!$A$1:$O$25,2,FALSE)</f>
        <v>0</v>
      </c>
      <c r="Z1856" s="116" t="b">
        <f>OR(COUNTIF(PROVEEDORES[[#This Row],[PROVEEDOR]],"*"&amp;'Palabra no opera'!$A$2&amp;"*"))</f>
        <v>0</v>
      </c>
    </row>
    <row r="1857" spans="1:26" ht="22.35" customHeight="1" x14ac:dyDescent="0.3">
      <c r="A1857" s="367" t="str">
        <f>+IF(PROVEEDORES[[#This Row],[FECHA DE PAGO]]=PROVEEDORES[[#This Row],[FECHA DE FACTURACIÓN]],"DE CONTADO","CRÉDITO")</f>
        <v>DE CONTADO</v>
      </c>
      <c r="B1857" s="38" t="b">
        <f>+IF((PROVEEDORES[[#This Row],[FECHA DE PAGO]]-PROVEEDORES[[#This Row],[FECHA DE FACTURACIÓN]])&gt;PROVEEDORES[[#This Row],[PLAZO Días]],"PAGO VENCIDO")</f>
        <v>0</v>
      </c>
      <c r="C1857" s="20">
        <f>+VLOOKUP(PROVEEDORES[[#This Row],[PROVEEDOR]],TERCEROS_INFO[#All],2,FALSE)</f>
        <v>30</v>
      </c>
      <c r="D1857" s="25">
        <f>+SUMIFS(PROVEEDORES[Total],PROVEEDORES[PROVEEDOR],PROVEEDORES[[#This Row],[PROVEEDOR]],PROVEEDORES[FECHA DE PAGO],"")</f>
        <v>0</v>
      </c>
      <c r="E1857" s="25"/>
      <c r="F1857" s="56" t="str">
        <f>+VLOOKUP(PROVEEDORES[[#This Row],[PROVEEDOR]],
                       Terceros!$A:$F,
                       5,
                       FALSE)</f>
        <v/>
      </c>
      <c r="G1857" s="68">
        <v>45183</v>
      </c>
      <c r="H1857" s="26" t="s">
        <v>1194</v>
      </c>
      <c r="I1857" s="68">
        <v>45183</v>
      </c>
      <c r="J1857" s="35" t="s">
        <v>2018</v>
      </c>
      <c r="K1857" s="21">
        <v>3672000</v>
      </c>
      <c r="L1857" s="21"/>
      <c r="M1857" s="22">
        <f>(PROVEEDORES[[#This Row],[SUBTOTAL]]-PROVEEDORES[[#This Row],[descuento sobre subtotal]])*VLOOKUP(PROVEEDORES[[#This Row],[PROVEEDOR]],TERCEROS_INFO[#All],3,FALSE)</f>
        <v>0</v>
      </c>
      <c r="N1857" s="23"/>
      <c r="O1857" s="22">
        <f>+PROVEEDORES[[#This Row],[Descuento sobre subtotal %]]*(PROVEEDORES[[#This Row],[SUBTOTAL]]-PROVEEDORES[[#This Row],[descuento sobre subtotal]])</f>
        <v>0</v>
      </c>
      <c r="P1857" s="74">
        <f>+IF(PROVEEDORES[[#This Row],[SUBTOTAL]]&lt;PROVEEDORES[[#This Row],[base retencion]],0,PROVEEDORES[[#This Row],[retención aplicada]])</f>
        <v>0</v>
      </c>
      <c r="Q1857" s="22">
        <f>+PROVEEDORES[[#This Row],[Rete Fuente %]]*(PROVEEDORES[[#This Row],[SUBTOTAL]]-PROVEEDORES[[#This Row],[descuento sobre subtotal]])</f>
        <v>0</v>
      </c>
      <c r="R1857" s="21">
        <f>+PROVEEDORES[[#This Row],[SUBTOTAL]]+PROVEEDORES[[#This Row],[IVA 19%]]-PROVEEDORES[[#This Row],[descuento sobre subtotal]]-PROVEEDORES[[#This Row],[Descuento sobre subtotal $2]]-PROVEEDORES[[#This Row],[Rete Fuente $]]</f>
        <v>3672000</v>
      </c>
      <c r="S1857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7" s="63">
        <f ca="1">IF(PROVEEDORES[[#This Row],[FECHA DE PAGO]]=0,TODAY()-PROVEEDORES[[#This Row],[FECHA DE FACTURACIÓN]]-PROVEEDORES[[#This Row],[PLAZO Días]],0)</f>
        <v>0</v>
      </c>
      <c r="U1857" s="104">
        <f>+VLOOKUP(PROVEEDORES[[#This Row],[PROVEEDOR]],Terceros!$A:$D,4,FALSE)</f>
        <v>0</v>
      </c>
      <c r="V1857" s="105">
        <f>+YEAR(PROVEEDORES[[#This Row],[FECHA DE FACTURACIÓN]])</f>
        <v>2023</v>
      </c>
      <c r="W1857" s="105">
        <f>+MATCH(PROVEEDORES[[#This Row],[año facturado]],Retenciones!$1:$1,0)</f>
        <v>6</v>
      </c>
      <c r="X1857" s="106">
        <f>+VLOOKUP(PROVEEDORES[[#This Row],[ID RETENCION]],Retenciones!$A$1:$O$25,PROVEEDORES[[#This Row],[indicador de columna]],FALSE)</f>
        <v>0</v>
      </c>
      <c r="Y1857" s="107">
        <f>+VLOOKUP(PROVEEDORES[[#This Row],[ID RETENCION]],Retenciones!$A$1:$O$25,2,FALSE)</f>
        <v>0</v>
      </c>
      <c r="Z1857" s="116" t="b">
        <f>OR(COUNTIF(PROVEEDORES[[#This Row],[PROVEEDOR]],"*"&amp;'Palabra no opera'!$A$2&amp;"*"))</f>
        <v>0</v>
      </c>
    </row>
    <row r="1858" spans="1:26" ht="22.35" customHeight="1" x14ac:dyDescent="0.3">
      <c r="A1858" s="367" t="str">
        <f>+IF(PROVEEDORES[[#This Row],[FECHA DE PAGO]]=PROVEEDORES[[#This Row],[FECHA DE FACTURACIÓN]],"DE CONTADO","CRÉDITO")</f>
        <v>DE CONTADO</v>
      </c>
      <c r="B1858" s="38" t="b">
        <f>+IF((PROVEEDORES[[#This Row],[FECHA DE PAGO]]-PROVEEDORES[[#This Row],[FECHA DE FACTURACIÓN]])&gt;PROVEEDORES[[#This Row],[PLAZO Días]],"PAGO VENCIDO")</f>
        <v>0</v>
      </c>
      <c r="C1858" s="20">
        <f>+VLOOKUP(PROVEEDORES[[#This Row],[PROVEEDOR]],TERCEROS_INFO[#All],2,FALSE)</f>
        <v>30</v>
      </c>
      <c r="D1858" s="25">
        <f>+SUMIFS(PROVEEDORES[Total],PROVEEDORES[PROVEEDOR],PROVEEDORES[[#This Row],[PROVEEDOR]],PROVEEDORES[FECHA DE PAGO],"")</f>
        <v>0</v>
      </c>
      <c r="E1858" s="25"/>
      <c r="F1858" s="56" t="str">
        <f>+VLOOKUP(PROVEEDORES[[#This Row],[PROVEEDOR]],
                       Terceros!$A:$F,
                       5,
                       FALSE)</f>
        <v/>
      </c>
      <c r="G1858" s="68">
        <v>45183</v>
      </c>
      <c r="H1858" s="26" t="s">
        <v>362</v>
      </c>
      <c r="I1858" s="68">
        <v>45183</v>
      </c>
      <c r="J1858" s="35" t="s">
        <v>2004</v>
      </c>
      <c r="K1858" s="21">
        <v>171400</v>
      </c>
      <c r="L1858" s="21"/>
      <c r="M1858" s="22">
        <f>(PROVEEDORES[[#This Row],[SUBTOTAL]]-PROVEEDORES[[#This Row],[descuento sobre subtotal]])*VLOOKUP(PROVEEDORES[[#This Row],[PROVEEDOR]],TERCEROS_INFO[#All],3,FALSE)</f>
        <v>0</v>
      </c>
      <c r="N1858" s="23"/>
      <c r="O1858" s="22">
        <f>+PROVEEDORES[[#This Row],[Descuento sobre subtotal %]]*(PROVEEDORES[[#This Row],[SUBTOTAL]]-PROVEEDORES[[#This Row],[descuento sobre subtotal]])</f>
        <v>0</v>
      </c>
      <c r="P1858" s="74">
        <f>+IF(PROVEEDORES[[#This Row],[SUBTOTAL]]&lt;PROVEEDORES[[#This Row],[base retencion]],0,PROVEEDORES[[#This Row],[retención aplicada]])</f>
        <v>0</v>
      </c>
      <c r="Q1858" s="22">
        <f>+PROVEEDORES[[#This Row],[Rete Fuente %]]*(PROVEEDORES[[#This Row],[SUBTOTAL]]-PROVEEDORES[[#This Row],[descuento sobre subtotal]])</f>
        <v>0</v>
      </c>
      <c r="R1858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1858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8" s="63">
        <f ca="1">IF(PROVEEDORES[[#This Row],[FECHA DE PAGO]]=0,TODAY()-PROVEEDORES[[#This Row],[FECHA DE FACTURACIÓN]]-PROVEEDORES[[#This Row],[PLAZO Días]],0)</f>
        <v>0</v>
      </c>
      <c r="U1858" s="104">
        <f>+VLOOKUP(PROVEEDORES[[#This Row],[PROVEEDOR]],Terceros!$A:$D,4,FALSE)</f>
        <v>0</v>
      </c>
      <c r="V1858" s="105">
        <f>+YEAR(PROVEEDORES[[#This Row],[FECHA DE FACTURACIÓN]])</f>
        <v>2023</v>
      </c>
      <c r="W1858" s="105">
        <f>+MATCH(PROVEEDORES[[#This Row],[año facturado]],Retenciones!$1:$1,0)</f>
        <v>6</v>
      </c>
      <c r="X1858" s="106">
        <f>+VLOOKUP(PROVEEDORES[[#This Row],[ID RETENCION]],Retenciones!$A$1:$O$25,PROVEEDORES[[#This Row],[indicador de columna]],FALSE)</f>
        <v>0</v>
      </c>
      <c r="Y1858" s="107">
        <f>+VLOOKUP(PROVEEDORES[[#This Row],[ID RETENCION]],Retenciones!$A$1:$O$25,2,FALSE)</f>
        <v>0</v>
      </c>
      <c r="Z1858" s="116" t="b">
        <f>OR(COUNTIF(PROVEEDORES[[#This Row],[PROVEEDOR]],"*"&amp;'Palabra no opera'!$A$2&amp;"*"))</f>
        <v>0</v>
      </c>
    </row>
    <row r="1859" spans="1:26" ht="22.35" customHeight="1" x14ac:dyDescent="0.3">
      <c r="A1859" s="67" t="str">
        <f>+IF(PROVEEDORES[[#This Row],[FECHA DE PAGO]]=PROVEEDORES[[#This Row],[FECHA DE FACTURACIÓN]],"DE CONTADO","CRÉDITO")</f>
        <v>DE CONTADO</v>
      </c>
      <c r="B1859" s="38" t="b">
        <f>+IF((PROVEEDORES[[#This Row],[FECHA DE PAGO]]-PROVEEDORES[[#This Row],[FECHA DE FACTURACIÓN]])&gt;PROVEEDORES[[#This Row],[PLAZO Días]],"PAGO VENCIDO")</f>
        <v>0</v>
      </c>
      <c r="C1859" s="20">
        <f>+VLOOKUP(PROVEEDORES[[#This Row],[PROVEEDOR]],TERCEROS_INFO[#All],2,FALSE)</f>
        <v>30</v>
      </c>
      <c r="D1859" s="25">
        <f>+SUMIFS(PROVEEDORES[Total],PROVEEDORES[PROVEEDOR],PROVEEDORES[[#This Row],[PROVEEDOR]],PROVEEDORES[FECHA DE PAGO],"")</f>
        <v>0</v>
      </c>
      <c r="E1859" s="25"/>
      <c r="F1859" s="56">
        <f>+VLOOKUP(PROVEEDORES[[#This Row],[PROVEEDOR]],
                       Terceros!$A:$F,
                       5,
                       FALSE)</f>
        <v>0</v>
      </c>
      <c r="G1859" s="68">
        <v>45186</v>
      </c>
      <c r="H1859" s="26" t="s">
        <v>1736</v>
      </c>
      <c r="I1859" s="68">
        <v>45186</v>
      </c>
      <c r="J1859" s="35"/>
      <c r="K1859" s="21">
        <v>396000</v>
      </c>
      <c r="L1859" s="21"/>
      <c r="M1859" s="22">
        <f>(PROVEEDORES[[#This Row],[SUBTOTAL]]-PROVEEDORES[[#This Row],[descuento sobre subtotal]])*VLOOKUP(PROVEEDORES[[#This Row],[PROVEEDOR]],TERCEROS_INFO[#All],3,FALSE)</f>
        <v>0</v>
      </c>
      <c r="N1859" s="23"/>
      <c r="O1859" s="22">
        <f>+PROVEEDORES[[#This Row],[Descuento sobre subtotal %]]*(PROVEEDORES[[#This Row],[SUBTOTAL]]-PROVEEDORES[[#This Row],[descuento sobre subtotal]])</f>
        <v>0</v>
      </c>
      <c r="P1859" s="74">
        <f>+IF(PROVEEDORES[[#This Row],[SUBTOTAL]]&lt;PROVEEDORES[[#This Row],[base retencion]],0,PROVEEDORES[[#This Row],[retención aplicada]])</f>
        <v>0</v>
      </c>
      <c r="Q1859" s="22">
        <f>+PROVEEDORES[[#This Row],[Rete Fuente %]]*(PROVEEDORES[[#This Row],[SUBTOTAL]]-PROVEEDORES[[#This Row],[descuento sobre subtotal]])</f>
        <v>0</v>
      </c>
      <c r="R1859" s="21">
        <f>+PROVEEDORES[[#This Row],[SUBTOTAL]]+PROVEEDORES[[#This Row],[IVA 19%]]-PROVEEDORES[[#This Row],[descuento sobre subtotal]]-PROVEEDORES[[#This Row],[Descuento sobre subtotal $2]]-PROVEEDORES[[#This Row],[Rete Fuente $]]</f>
        <v>396000</v>
      </c>
      <c r="S18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9" s="63">
        <f ca="1">IF(PROVEEDORES[[#This Row],[FECHA DE PAGO]]=0,TODAY()-PROVEEDORES[[#This Row],[FECHA DE FACTURACIÓN]]-PROVEEDORES[[#This Row],[PLAZO Días]],0)</f>
        <v>0</v>
      </c>
      <c r="U1859" s="104">
        <f>+VLOOKUP(PROVEEDORES[[#This Row],[PROVEEDOR]],Terceros!$A:$D,4,FALSE)</f>
        <v>0</v>
      </c>
      <c r="V1859" s="105">
        <f>+YEAR(PROVEEDORES[[#This Row],[FECHA DE FACTURACIÓN]])</f>
        <v>2023</v>
      </c>
      <c r="W1859" s="105">
        <f>+MATCH(PROVEEDORES[[#This Row],[año facturado]],Retenciones!$1:$1,0)</f>
        <v>6</v>
      </c>
      <c r="X1859" s="106">
        <f>+VLOOKUP(PROVEEDORES[[#This Row],[ID RETENCION]],Retenciones!$A$1:$O$25,PROVEEDORES[[#This Row],[indicador de columna]],FALSE)</f>
        <v>0</v>
      </c>
      <c r="Y1859" s="107">
        <f>+VLOOKUP(PROVEEDORES[[#This Row],[ID RETENCION]],Retenciones!$A$1:$O$25,2,FALSE)</f>
        <v>0</v>
      </c>
      <c r="Z1859" s="116" t="b">
        <f>OR(COUNTIF(PROVEEDORES[[#This Row],[PROVEEDOR]],"*"&amp;'Palabra no opera'!$A$2&amp;"*"))</f>
        <v>0</v>
      </c>
    </row>
    <row r="1860" spans="1:26" ht="22.35" customHeight="1" x14ac:dyDescent="0.3">
      <c r="A1860" s="367" t="str">
        <f>+IF(PROVEEDORES[[#This Row],[FECHA DE PAGO]]=PROVEEDORES[[#This Row],[FECHA DE FACTURACIÓN]],"DE CONTADO","CRÉDITO")</f>
        <v>DE CONTADO</v>
      </c>
      <c r="B1860" s="38" t="b">
        <f>+IF((PROVEEDORES[[#This Row],[FECHA DE PAGO]]-PROVEEDORES[[#This Row],[FECHA DE FACTURACIÓN]])&gt;PROVEEDORES[[#This Row],[PLAZO Días]],"PAGO VENCIDO")</f>
        <v>0</v>
      </c>
      <c r="C1860" s="20">
        <f>+VLOOKUP(PROVEEDORES[[#This Row],[PROVEEDOR]],TERCEROS_INFO[#All],2,FALSE)</f>
        <v>30</v>
      </c>
      <c r="D1860" s="25">
        <f>+SUMIFS(PROVEEDORES[Total],PROVEEDORES[PROVEEDOR],PROVEEDORES[[#This Row],[PROVEEDOR]],PROVEEDORES[FECHA DE PAGO],"")</f>
        <v>0</v>
      </c>
      <c r="E1860" s="25"/>
      <c r="F1860" s="56" t="str">
        <f>+VLOOKUP(PROVEEDORES[[#This Row],[PROVEEDOR]],
                       Terceros!$A:$F,
                       5,
                       FALSE)</f>
        <v/>
      </c>
      <c r="G1860" s="68">
        <v>45187</v>
      </c>
      <c r="H1860" s="26" t="s">
        <v>1194</v>
      </c>
      <c r="I1860" s="68">
        <v>45187</v>
      </c>
      <c r="J1860" s="35" t="s">
        <v>2019</v>
      </c>
      <c r="K1860" s="21">
        <v>1348000</v>
      </c>
      <c r="L1860" s="21"/>
      <c r="M1860" s="22">
        <f>(PROVEEDORES[[#This Row],[SUBTOTAL]]-PROVEEDORES[[#This Row],[descuento sobre subtotal]])*VLOOKUP(PROVEEDORES[[#This Row],[PROVEEDOR]],TERCEROS_INFO[#All],3,FALSE)</f>
        <v>0</v>
      </c>
      <c r="N1860" s="23"/>
      <c r="O1860" s="22">
        <f>+PROVEEDORES[[#This Row],[Descuento sobre subtotal %]]*(PROVEEDORES[[#This Row],[SUBTOTAL]]-PROVEEDORES[[#This Row],[descuento sobre subtotal]])</f>
        <v>0</v>
      </c>
      <c r="P1860" s="74">
        <f>+IF(PROVEEDORES[[#This Row],[SUBTOTAL]]&lt;PROVEEDORES[[#This Row],[base retencion]],0,PROVEEDORES[[#This Row],[retención aplicada]])</f>
        <v>0</v>
      </c>
      <c r="Q1860" s="22">
        <f>+PROVEEDORES[[#This Row],[Rete Fuente %]]*(PROVEEDORES[[#This Row],[SUBTOTAL]]-PROVEEDORES[[#This Row],[descuento sobre subtotal]])</f>
        <v>0</v>
      </c>
      <c r="R1860" s="21">
        <f>+PROVEEDORES[[#This Row],[SUBTOTAL]]+PROVEEDORES[[#This Row],[IVA 19%]]-PROVEEDORES[[#This Row],[descuento sobre subtotal]]-PROVEEDORES[[#This Row],[Descuento sobre subtotal $2]]-PROVEEDORES[[#This Row],[Rete Fuente $]]</f>
        <v>1348000</v>
      </c>
      <c r="S1860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0" s="63">
        <f ca="1">IF(PROVEEDORES[[#This Row],[FECHA DE PAGO]]=0,TODAY()-PROVEEDORES[[#This Row],[FECHA DE FACTURACIÓN]]-PROVEEDORES[[#This Row],[PLAZO Días]],0)</f>
        <v>0</v>
      </c>
      <c r="U1860" s="104">
        <f>+VLOOKUP(PROVEEDORES[[#This Row],[PROVEEDOR]],Terceros!$A:$D,4,FALSE)</f>
        <v>0</v>
      </c>
      <c r="V1860" s="105">
        <f>+YEAR(PROVEEDORES[[#This Row],[FECHA DE FACTURACIÓN]])</f>
        <v>2023</v>
      </c>
      <c r="W1860" s="105">
        <f>+MATCH(PROVEEDORES[[#This Row],[año facturado]],Retenciones!$1:$1,0)</f>
        <v>6</v>
      </c>
      <c r="X1860" s="106">
        <f>+VLOOKUP(PROVEEDORES[[#This Row],[ID RETENCION]],Retenciones!$A$1:$O$25,PROVEEDORES[[#This Row],[indicador de columna]],FALSE)</f>
        <v>0</v>
      </c>
      <c r="Y1860" s="107">
        <f>+VLOOKUP(PROVEEDORES[[#This Row],[ID RETENCION]],Retenciones!$A$1:$O$25,2,FALSE)</f>
        <v>0</v>
      </c>
      <c r="Z1860" s="116" t="b">
        <f>OR(COUNTIF(PROVEEDORES[[#This Row],[PROVEEDOR]],"*"&amp;'Palabra no opera'!$A$2&amp;"*"))</f>
        <v>0</v>
      </c>
    </row>
    <row r="1861" spans="1:26" ht="22.35" customHeight="1" x14ac:dyDescent="0.3">
      <c r="A1861" s="353" t="str">
        <f>+IF(PROVEEDORES[[#This Row],[FECHA DE PAGO]]=PROVEEDORES[[#This Row],[FECHA DE FACTURACIÓN]],"DE CONTADO","CRÉDITO")</f>
        <v>CRÉDITO</v>
      </c>
      <c r="B1861" s="38" t="b">
        <f>+IF((PROVEEDORES[[#This Row],[FECHA DE PAGO]]-PROVEEDORES[[#This Row],[FECHA DE FACTURACIÓN]])&gt;PROVEEDORES[[#This Row],[PLAZO Días]],"PAGO VENCIDO")</f>
        <v>0</v>
      </c>
      <c r="C1861" s="20">
        <f>+VLOOKUP(PROVEEDORES[[#This Row],[PROVEEDOR]],TERCEROS_INFO[#All],2,FALSE)</f>
        <v>30</v>
      </c>
      <c r="D1861" s="25">
        <f>+SUMIFS(PROVEEDORES[Total],PROVEEDORES[PROVEEDOR],PROVEEDORES[[#This Row],[PROVEEDOR]],PROVEEDORES[FECHA DE PAGO],"")</f>
        <v>0</v>
      </c>
      <c r="E1861" s="25"/>
      <c r="F1861" s="56">
        <f>+VLOOKUP(PROVEEDORES[[#This Row],[PROVEEDOR]],
                       Terceros!$A:$F,
                       5,
                       FALSE)</f>
        <v>0</v>
      </c>
      <c r="G1861" s="68">
        <v>45187</v>
      </c>
      <c r="H1861" s="26" t="s">
        <v>262</v>
      </c>
      <c r="I1861" s="68">
        <v>45183</v>
      </c>
      <c r="J1861" s="35" t="s">
        <v>1942</v>
      </c>
      <c r="K1861" s="21">
        <v>1260000</v>
      </c>
      <c r="L1861" s="21"/>
      <c r="M1861" s="22">
        <v>63000</v>
      </c>
      <c r="N1861" s="23"/>
      <c r="O1861" s="22">
        <f>+PROVEEDORES[[#This Row],[Descuento sobre subtotal %]]*(PROVEEDORES[[#This Row],[SUBTOTAL]]-PROVEEDORES[[#This Row],[descuento sobre subtotal]])</f>
        <v>0</v>
      </c>
      <c r="P1861" s="74">
        <f>+IF(PROVEEDORES[[#This Row],[SUBTOTAL]]&lt;PROVEEDORES[[#This Row],[base retencion]],0,PROVEEDORES[[#This Row],[retención aplicada]])</f>
        <v>2.5000000000000001E-2</v>
      </c>
      <c r="Q1861" s="22">
        <f>+PROVEEDORES[[#This Row],[Rete Fuente %]]*(PROVEEDORES[[#This Row],[SUBTOTAL]]-PROVEEDORES[[#This Row],[descuento sobre subtotal]])</f>
        <v>31500</v>
      </c>
      <c r="R1861" s="21">
        <f>+PROVEEDORES[[#This Row],[SUBTOTAL]]+PROVEEDORES[[#This Row],[IVA 19%]]-PROVEEDORES[[#This Row],[descuento sobre subtotal]]-PROVEEDORES[[#This Row],[Descuento sobre subtotal $2]]-PROVEEDORES[[#This Row],[Rete Fuente $]]</f>
        <v>1291500</v>
      </c>
      <c r="S1861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1" s="63">
        <f ca="1">IF(PROVEEDORES[[#This Row],[FECHA DE PAGO]]=0,TODAY()-PROVEEDORES[[#This Row],[FECHA DE FACTURACIÓN]]-PROVEEDORES[[#This Row],[PLAZO Días]],0)</f>
        <v>0</v>
      </c>
      <c r="U1861" s="104" t="str">
        <f>+VLOOKUP(PROVEEDORES[[#This Row],[PROVEEDOR]],Terceros!$A:$D,4,FALSE)</f>
        <v>2,5% con base</v>
      </c>
      <c r="V1861" s="105">
        <f>+YEAR(PROVEEDORES[[#This Row],[FECHA DE FACTURACIÓN]])</f>
        <v>2023</v>
      </c>
      <c r="W1861" s="105">
        <f>+MATCH(PROVEEDORES[[#This Row],[año facturado]],Retenciones!$1:$1,0)</f>
        <v>6</v>
      </c>
      <c r="X1861" s="106">
        <f>+VLOOKUP(PROVEEDORES[[#This Row],[ID RETENCION]],Retenciones!$A$1:$O$25,PROVEEDORES[[#This Row],[indicador de columna]],FALSE)</f>
        <v>1145000</v>
      </c>
      <c r="Y1861" s="107">
        <f>+VLOOKUP(PROVEEDORES[[#This Row],[ID RETENCION]],Retenciones!$A$1:$O$25,2,FALSE)</f>
        <v>2.5000000000000001E-2</v>
      </c>
      <c r="Z1861" s="116" t="b">
        <f>OR(COUNTIF(PROVEEDORES[[#This Row],[PROVEEDOR]],"*"&amp;'Palabra no opera'!$A$2&amp;"*"))</f>
        <v>0</v>
      </c>
    </row>
    <row r="1862" spans="1:26" ht="22.35" customHeight="1" x14ac:dyDescent="0.3">
      <c r="A1862" s="353" t="str">
        <f>+IF(PROVEEDORES[[#This Row],[FECHA DE PAGO]]=PROVEEDORES[[#This Row],[FECHA DE FACTURACIÓN]],"DE CONTADO","CRÉDITO")</f>
        <v>CRÉDITO</v>
      </c>
      <c r="B1862" s="38" t="b">
        <f>+IF((PROVEEDORES[[#This Row],[FECHA DE PAGO]]-PROVEEDORES[[#This Row],[FECHA DE FACTURACIÓN]])&gt;PROVEEDORES[[#This Row],[PLAZO Días]],"PAGO VENCIDO")</f>
        <v>0</v>
      </c>
      <c r="C1862" s="20">
        <f>+VLOOKUP(PROVEEDORES[[#This Row],[PROVEEDOR]],TERCEROS_INFO[#All],2,FALSE)</f>
        <v>30</v>
      </c>
      <c r="D1862" s="25">
        <f>+SUMIFS(PROVEEDORES[Total],PROVEEDORES[PROVEEDOR],PROVEEDORES[[#This Row],[PROVEEDOR]],PROVEEDORES[FECHA DE PAGO],"")</f>
        <v>0</v>
      </c>
      <c r="E1862" s="25"/>
      <c r="F186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62" s="68">
        <v>45187</v>
      </c>
      <c r="H1862" s="26" t="s">
        <v>623</v>
      </c>
      <c r="I1862" s="68">
        <v>45170</v>
      </c>
      <c r="J1862" s="35" t="s">
        <v>1988</v>
      </c>
      <c r="K1862" s="21">
        <v>3792544</v>
      </c>
      <c r="L1862" s="21"/>
      <c r="M1862" s="22">
        <f>(PROVEEDORES[[#This Row],[SUBTOTAL]]-PROVEEDORES[[#This Row],[descuento sobre subtotal]])*VLOOKUP(PROVEEDORES[[#This Row],[PROVEEDOR]],TERCEROS_INFO[#All],3,FALSE)</f>
        <v>720583.36</v>
      </c>
      <c r="N1862" s="23"/>
      <c r="O1862" s="22">
        <f>+PROVEEDORES[[#This Row],[Descuento sobre subtotal %]]*(PROVEEDORES[[#This Row],[SUBTOTAL]]-PROVEEDORES[[#This Row],[descuento sobre subtotal]])</f>
        <v>0</v>
      </c>
      <c r="P1862" s="74">
        <v>0</v>
      </c>
      <c r="Q1862" s="22">
        <f>+PROVEEDORES[[#This Row],[Rete Fuente %]]*(PROVEEDORES[[#This Row],[SUBTOTAL]]-PROVEEDORES[[#This Row],[descuento sobre subtotal]])</f>
        <v>0</v>
      </c>
      <c r="R1862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862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2" s="63">
        <f ca="1">IF(PROVEEDORES[[#This Row],[FECHA DE PAGO]]=0,TODAY()-PROVEEDORES[[#This Row],[FECHA DE FACTURACIÓN]]-PROVEEDORES[[#This Row],[PLAZO Días]],0)</f>
        <v>0</v>
      </c>
      <c r="U1862" s="104" t="str">
        <f>+VLOOKUP(PROVEEDORES[[#This Row],[PROVEEDOR]],Terceros!$A:$D,4,FALSE)</f>
        <v>4% sin base</v>
      </c>
      <c r="V1862" s="105">
        <f>+YEAR(PROVEEDORES[[#This Row],[FECHA DE FACTURACIÓN]])</f>
        <v>2023</v>
      </c>
      <c r="W1862" s="105">
        <f>+MATCH(PROVEEDORES[[#This Row],[año facturado]],Retenciones!$1:$1,0)</f>
        <v>6</v>
      </c>
      <c r="X1862" s="106">
        <f>+VLOOKUP(PROVEEDORES[[#This Row],[ID RETENCION]],Retenciones!$A$1:$O$25,PROVEEDORES[[#This Row],[indicador de columna]],FALSE)</f>
        <v>0</v>
      </c>
      <c r="Y1862" s="107">
        <f>+VLOOKUP(PROVEEDORES[[#This Row],[ID RETENCION]],Retenciones!$A$1:$O$25,2,FALSE)</f>
        <v>0.04</v>
      </c>
      <c r="Z1862" s="116" t="b">
        <f>OR(COUNTIF(PROVEEDORES[[#This Row],[PROVEEDOR]],"*"&amp;'Palabra no opera'!$A$2&amp;"*"))</f>
        <v>1</v>
      </c>
    </row>
    <row r="1863" spans="1:26" ht="22.35" customHeight="1" x14ac:dyDescent="0.3">
      <c r="A1863" s="353" t="str">
        <f>+IF(PROVEEDORES[[#This Row],[FECHA DE PAGO]]=PROVEEDORES[[#This Row],[FECHA DE FACTURACIÓN]],"DE CONTADO","CRÉDITO")</f>
        <v>CRÉDITO</v>
      </c>
      <c r="B1863" s="38" t="b">
        <f>+IF((PROVEEDORES[[#This Row],[FECHA DE PAGO]]-PROVEEDORES[[#This Row],[FECHA DE FACTURACIÓN]])&gt;PROVEEDORES[[#This Row],[PLAZO Días]],"PAGO VENCIDO")</f>
        <v>0</v>
      </c>
      <c r="C1863" s="20">
        <f>+VLOOKUP(PROVEEDORES[[#This Row],[PROVEEDOR]],TERCEROS_INFO[#All],2,FALSE)</f>
        <v>30</v>
      </c>
      <c r="D1863" s="25">
        <f>+SUMIFS(PROVEEDORES[Total],PROVEEDORES[PROVEEDOR],PROVEEDORES[[#This Row],[PROVEEDOR]],PROVEEDORES[FECHA DE PAGO],"")</f>
        <v>0</v>
      </c>
      <c r="E1863" s="25"/>
      <c r="F186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63" s="68">
        <v>45187</v>
      </c>
      <c r="H1863" s="26" t="s">
        <v>623</v>
      </c>
      <c r="I1863" s="68">
        <v>45170</v>
      </c>
      <c r="J1863" s="35" t="s">
        <v>1989</v>
      </c>
      <c r="K1863" s="21">
        <v>908172</v>
      </c>
      <c r="L1863" s="21"/>
      <c r="M1863" s="22">
        <f>(PROVEEDORES[[#This Row],[SUBTOTAL]]-PROVEEDORES[[#This Row],[descuento sobre subtotal]])*VLOOKUP(PROVEEDORES[[#This Row],[PROVEEDOR]],TERCEROS_INFO[#All],3,FALSE)</f>
        <v>172552.68</v>
      </c>
      <c r="N1863" s="23"/>
      <c r="O1863" s="22">
        <f>+PROVEEDORES[[#This Row],[Descuento sobre subtotal %]]*(PROVEEDORES[[#This Row],[SUBTOTAL]]-PROVEEDORES[[#This Row],[descuento sobre subtotal]])</f>
        <v>0</v>
      </c>
      <c r="P1863" s="74">
        <f>+IF(PROVEEDORES[[#This Row],[SUBTOTAL]]&lt;PROVEEDORES[[#This Row],[base retencion]],0,PROVEEDORES[[#This Row],[retención aplicada]])</f>
        <v>0.04</v>
      </c>
      <c r="Q1863" s="22">
        <f>+PROVEEDORES[[#This Row],[Rete Fuente %]]*(PROVEEDORES[[#This Row],[SUBTOTAL]]-PROVEEDORES[[#This Row],[descuento sobre subtotal]])</f>
        <v>36326.879999999997</v>
      </c>
      <c r="R1863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1863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3" s="63">
        <f ca="1">IF(PROVEEDORES[[#This Row],[FECHA DE PAGO]]=0,TODAY()-PROVEEDORES[[#This Row],[FECHA DE FACTURACIÓN]]-PROVEEDORES[[#This Row],[PLAZO Días]],0)</f>
        <v>0</v>
      </c>
      <c r="U1863" s="104" t="str">
        <f>+VLOOKUP(PROVEEDORES[[#This Row],[PROVEEDOR]],Terceros!$A:$D,4,FALSE)</f>
        <v>4% sin base</v>
      </c>
      <c r="V1863" s="105">
        <f>+YEAR(PROVEEDORES[[#This Row],[FECHA DE FACTURACIÓN]])</f>
        <v>2023</v>
      </c>
      <c r="W1863" s="105">
        <f>+MATCH(PROVEEDORES[[#This Row],[año facturado]],Retenciones!$1:$1,0)</f>
        <v>6</v>
      </c>
      <c r="X1863" s="106">
        <f>+VLOOKUP(PROVEEDORES[[#This Row],[ID RETENCION]],Retenciones!$A$1:$O$25,PROVEEDORES[[#This Row],[indicador de columna]],FALSE)</f>
        <v>0</v>
      </c>
      <c r="Y1863" s="107">
        <f>+VLOOKUP(PROVEEDORES[[#This Row],[ID RETENCION]],Retenciones!$A$1:$O$25,2,FALSE)</f>
        <v>0.04</v>
      </c>
      <c r="Z1863" s="116" t="b">
        <f>OR(COUNTIF(PROVEEDORES[[#This Row],[PROVEEDOR]],"*"&amp;'Palabra no opera'!$A$2&amp;"*"))</f>
        <v>1</v>
      </c>
    </row>
    <row r="1864" spans="1:26" ht="22.35" customHeight="1" x14ac:dyDescent="0.3">
      <c r="A1864" s="353" t="str">
        <f>+IF(PROVEEDORES[[#This Row],[FECHA DE PAGO]]=PROVEEDORES[[#This Row],[FECHA DE FACTURACIÓN]],"DE CONTADO","CRÉDITO")</f>
        <v>CRÉDITO</v>
      </c>
      <c r="B1864" s="38" t="b">
        <f>+IF((PROVEEDORES[[#This Row],[FECHA DE PAGO]]-PROVEEDORES[[#This Row],[FECHA DE FACTURACIÓN]])&gt;PROVEEDORES[[#This Row],[PLAZO Días]],"PAGO VENCIDO")</f>
        <v>0</v>
      </c>
      <c r="C1864" s="20">
        <f>+VLOOKUP(PROVEEDORES[[#This Row],[PROVEEDOR]],TERCEROS_INFO[#All],2,FALSE)</f>
        <v>30</v>
      </c>
      <c r="D1864" s="25">
        <f>+SUMIFS(PROVEEDORES[Total],PROVEEDORES[PROVEEDOR],PROVEEDORES[[#This Row],[PROVEEDOR]],PROVEEDORES[FECHA DE PAGO],"")</f>
        <v>0</v>
      </c>
      <c r="E1864" s="25"/>
      <c r="F1864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864" s="68">
        <v>45187</v>
      </c>
      <c r="H1864" s="26" t="s">
        <v>628</v>
      </c>
      <c r="I1864" s="68">
        <v>45171</v>
      </c>
      <c r="J1864" s="35" t="s">
        <v>1945</v>
      </c>
      <c r="K1864" s="21">
        <v>1840056</v>
      </c>
      <c r="L1864" s="21"/>
      <c r="M1864" s="22">
        <f>(PROVEEDORES[[#This Row],[SUBTOTAL]]-PROVEEDORES[[#This Row],[descuento sobre subtotal]])*VLOOKUP(PROVEEDORES[[#This Row],[PROVEEDOR]],TERCEROS_INFO[#All],3,FALSE)</f>
        <v>0</v>
      </c>
      <c r="N1864" s="23"/>
      <c r="O1864" s="22">
        <v>105097</v>
      </c>
      <c r="P1864" s="74">
        <f>+IF(PROVEEDORES[[#This Row],[SUBTOTAL]]&lt;PROVEEDORES[[#This Row],[base retencion]],0,PROVEEDORES[[#This Row],[retención aplicada]])</f>
        <v>0</v>
      </c>
      <c r="Q1864" s="22">
        <f>+PROVEEDORES[[#This Row],[Rete Fuente %]]*(PROVEEDORES[[#This Row],[SUBTOTAL]]-PROVEEDORES[[#This Row],[descuento sobre subtotal]])</f>
        <v>0</v>
      </c>
      <c r="R1864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1864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4" s="63">
        <f ca="1">IF(PROVEEDORES[[#This Row],[FECHA DE PAGO]]=0,TODAY()-PROVEEDORES[[#This Row],[FECHA DE FACTURACIÓN]]-PROVEEDORES[[#This Row],[PLAZO Días]],0)</f>
        <v>0</v>
      </c>
      <c r="U1864" s="104">
        <f>+VLOOKUP(PROVEEDORES[[#This Row],[PROVEEDOR]],Terceros!$A:$D,4,FALSE)</f>
        <v>0</v>
      </c>
      <c r="V1864" s="105">
        <f>+YEAR(PROVEEDORES[[#This Row],[FECHA DE FACTURACIÓN]])</f>
        <v>2023</v>
      </c>
      <c r="W1864" s="105">
        <f>+MATCH(PROVEEDORES[[#This Row],[año facturado]],Retenciones!$1:$1,0)</f>
        <v>6</v>
      </c>
      <c r="X1864" s="106">
        <f>+VLOOKUP(PROVEEDORES[[#This Row],[ID RETENCION]],Retenciones!$A$1:$O$25,PROVEEDORES[[#This Row],[indicador de columna]],FALSE)</f>
        <v>0</v>
      </c>
      <c r="Y1864" s="107">
        <f>+VLOOKUP(PROVEEDORES[[#This Row],[ID RETENCION]],Retenciones!$A$1:$O$25,2,FALSE)</f>
        <v>0</v>
      </c>
      <c r="Z1864" s="116" t="b">
        <f>OR(COUNTIF(PROVEEDORES[[#This Row],[PROVEEDOR]],"*"&amp;'Palabra no opera'!$A$2&amp;"*"))</f>
        <v>1</v>
      </c>
    </row>
    <row r="1865" spans="1:26" ht="22.35" customHeight="1" x14ac:dyDescent="0.3">
      <c r="A1865" s="353" t="str">
        <f>+IF(PROVEEDORES[[#This Row],[FECHA DE PAGO]]=PROVEEDORES[[#This Row],[FECHA DE FACTURACIÓN]],"DE CONTADO","CRÉDITO")</f>
        <v>CRÉDITO</v>
      </c>
      <c r="B1865" s="38" t="b">
        <f>+IF((PROVEEDORES[[#This Row],[FECHA DE PAGO]]-PROVEEDORES[[#This Row],[FECHA DE FACTURACIÓN]])&gt;PROVEEDORES[[#This Row],[PLAZO Días]],"PAGO VENCIDO")</f>
        <v>0</v>
      </c>
      <c r="C1865" s="20">
        <f>+VLOOKUP(PROVEEDORES[[#This Row],[PROVEEDOR]],TERCEROS_INFO[#All],2,FALSE)</f>
        <v>30</v>
      </c>
      <c r="D1865" s="25">
        <f>+SUMIFS(PROVEEDORES[Total],PROVEEDORES[PROVEEDOR],PROVEEDORES[[#This Row],[PROVEEDOR]],PROVEEDORES[FECHA DE PAGO],"")</f>
        <v>352505.48</v>
      </c>
      <c r="E1865" s="25"/>
      <c r="F1865" s="56" t="str">
        <f>+VLOOKUP(PROVEEDORES[[#This Row],[PROVEEDOR]],
                       Terceros!$A:$F,
                       5,
                       FALSE)</f>
        <v>facturacion@losmolinos.com.co</v>
      </c>
      <c r="G1865" s="68">
        <v>45187</v>
      </c>
      <c r="H1865" s="26" t="s">
        <v>631</v>
      </c>
      <c r="I1865" s="68">
        <v>45170</v>
      </c>
      <c r="J1865" s="35" t="s">
        <v>1946</v>
      </c>
      <c r="K1865" s="21">
        <v>318603</v>
      </c>
      <c r="L1865" s="21">
        <v>9545</v>
      </c>
      <c r="M1865" s="22">
        <f>(PROVEEDORES[[#This Row],[SUBTOTAL]]-PROVEEDORES[[#This Row],[descuento sobre subtotal]])*VLOOKUP(PROVEEDORES[[#This Row],[PROVEEDOR]],TERCEROS_INFO[#All],3,FALSE)</f>
        <v>0</v>
      </c>
      <c r="N1865" s="23"/>
      <c r="O1865" s="22">
        <f>+PROVEEDORES[[#This Row],[Descuento sobre subtotal %]]*(PROVEEDORES[[#This Row],[SUBTOTAL]]-PROVEEDORES[[#This Row],[descuento sobre subtotal]])</f>
        <v>0</v>
      </c>
      <c r="P1865" s="74">
        <f>+IF(PROVEEDORES[[#This Row],[SUBTOTAL]]&lt;PROVEEDORES[[#This Row],[base retencion]],0,PROVEEDORES[[#This Row],[retención aplicada]])</f>
        <v>0</v>
      </c>
      <c r="Q1865" s="22">
        <f>+PROVEEDORES[[#This Row],[Rete Fuente %]]*(PROVEEDORES[[#This Row],[SUBTOTAL]]-PROVEEDORES[[#This Row],[descuento sobre subtotal]])</f>
        <v>0</v>
      </c>
      <c r="R1865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1865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5" s="63">
        <f ca="1">IF(PROVEEDORES[[#This Row],[FECHA DE PAGO]]=0,TODAY()-PROVEEDORES[[#This Row],[FECHA DE FACTURACIÓN]]-PROVEEDORES[[#This Row],[PLAZO Días]],0)</f>
        <v>0</v>
      </c>
      <c r="U1865" s="104">
        <f>+VLOOKUP(PROVEEDORES[[#This Row],[PROVEEDOR]],Terceros!$A:$D,4,FALSE)</f>
        <v>0</v>
      </c>
      <c r="V1865" s="105">
        <f>+YEAR(PROVEEDORES[[#This Row],[FECHA DE FACTURACIÓN]])</f>
        <v>2023</v>
      </c>
      <c r="W1865" s="105">
        <f>+MATCH(PROVEEDORES[[#This Row],[año facturado]],Retenciones!$1:$1,0)</f>
        <v>6</v>
      </c>
      <c r="X1865" s="106">
        <f>+VLOOKUP(PROVEEDORES[[#This Row],[ID RETENCION]],Retenciones!$A$1:$O$25,PROVEEDORES[[#This Row],[indicador de columna]],FALSE)</f>
        <v>0</v>
      </c>
      <c r="Y1865" s="107">
        <f>+VLOOKUP(PROVEEDORES[[#This Row],[ID RETENCION]],Retenciones!$A$1:$O$25,2,FALSE)</f>
        <v>0</v>
      </c>
      <c r="Z1865" s="116" t="b">
        <f>OR(COUNTIF(PROVEEDORES[[#This Row],[PROVEEDOR]],"*"&amp;'Palabra no opera'!$A$2&amp;"*"))</f>
        <v>1</v>
      </c>
    </row>
    <row r="1866" spans="1:26" ht="22.35" customHeight="1" x14ac:dyDescent="0.3">
      <c r="A1866" s="333" t="str">
        <f>+IF(PROVEEDORES[[#This Row],[FECHA DE PAGO]]=PROVEEDORES[[#This Row],[FECHA DE FACTURACIÓN]],"DE CONTADO","CRÉDITO")</f>
        <v>CRÉDITO</v>
      </c>
      <c r="B1866" s="38" t="str">
        <f>+IF((PROVEEDORES[[#This Row],[FECHA DE PAGO]]-PROVEEDORES[[#This Row],[FECHA DE FACTURACIÓN]])&gt;PROVEEDORES[[#This Row],[PLAZO Días]],"PAGO VENCIDO")</f>
        <v>PAGO VENCIDO</v>
      </c>
      <c r="C1866" s="20">
        <f>+VLOOKUP(PROVEEDORES[[#This Row],[PROVEEDOR]],TERCEROS_INFO[#All],2,FALSE)</f>
        <v>45</v>
      </c>
      <c r="D1866" s="25">
        <f>+SUMIFS(PROVEEDORES[Total],PROVEEDORES[PROVEEDOR],PROVEEDORES[[#This Row],[PROVEEDOR]],PROVEEDORES[FECHA DE PAGO],"")</f>
        <v>15770594</v>
      </c>
      <c r="E1866" s="25"/>
      <c r="F1866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66" s="68">
        <v>45187</v>
      </c>
      <c r="H1866" s="26" t="s">
        <v>19</v>
      </c>
      <c r="I1866" s="68">
        <v>45121</v>
      </c>
      <c r="J1866" s="35" t="s">
        <v>1820</v>
      </c>
      <c r="K1866" s="21">
        <v>1635783</v>
      </c>
      <c r="L1866" s="21"/>
      <c r="M1866" s="22">
        <f>(PROVEEDORES[[#This Row],[SUBTOTAL]]-PROVEEDORES[[#This Row],[descuento sobre subtotal]])*VLOOKUP(PROVEEDORES[[#This Row],[PROVEEDOR]],TERCEROS_INFO[#All],3,FALSE)</f>
        <v>310798.77</v>
      </c>
      <c r="N1866" s="23"/>
      <c r="O1866" s="22">
        <f>+PROVEEDORES[[#This Row],[Descuento sobre subtotal %]]*(PROVEEDORES[[#This Row],[SUBTOTAL]]-PROVEEDORES[[#This Row],[descuento sobre subtotal]])</f>
        <v>0</v>
      </c>
      <c r="P1866" s="74">
        <f>+IF(PROVEEDORES[[#This Row],[SUBTOTAL]]&lt;PROVEEDORES[[#This Row],[base retencion]],0,PROVEEDORES[[#This Row],[retención aplicada]])</f>
        <v>0</v>
      </c>
      <c r="Q1866" s="22">
        <f>+PROVEEDORES[[#This Row],[Rete Fuente %]]*(PROVEEDORES[[#This Row],[SUBTOTAL]]-PROVEEDORES[[#This Row],[descuento sobre subtotal]])</f>
        <v>0</v>
      </c>
      <c r="R1866" s="21">
        <f>+PROVEEDORES[[#This Row],[SUBTOTAL]]+PROVEEDORES[[#This Row],[IVA 19%]]-PROVEEDORES[[#This Row],[descuento sobre subtotal]]-PROVEEDORES[[#This Row],[Descuento sobre subtotal $2]]-PROVEEDORES[[#This Row],[Rete Fuente $]]</f>
        <v>1946581.77</v>
      </c>
      <c r="S1866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6" s="63">
        <f ca="1">IF(PROVEEDORES[[#This Row],[FECHA DE PAGO]]=0,TODAY()-PROVEEDORES[[#This Row],[FECHA DE FACTURACIÓN]]-PROVEEDORES[[#This Row],[PLAZO Días]],0)</f>
        <v>0</v>
      </c>
      <c r="U1866" s="104">
        <f>+VLOOKUP(PROVEEDORES[[#This Row],[PROVEEDOR]],Terceros!$A:$D,4,FALSE)</f>
        <v>0</v>
      </c>
      <c r="V1866" s="105">
        <f>+YEAR(PROVEEDORES[[#This Row],[FECHA DE FACTURACIÓN]])</f>
        <v>2023</v>
      </c>
      <c r="W1866" s="105">
        <f>+MATCH(PROVEEDORES[[#This Row],[año facturado]],Retenciones!$1:$1,0)</f>
        <v>6</v>
      </c>
      <c r="X1866" s="106">
        <f>+VLOOKUP(PROVEEDORES[[#This Row],[ID RETENCION]],Retenciones!$A$1:$O$25,PROVEEDORES[[#This Row],[indicador de columna]],FALSE)</f>
        <v>0</v>
      </c>
      <c r="Y1866" s="107">
        <f>+VLOOKUP(PROVEEDORES[[#This Row],[ID RETENCION]],Retenciones!$A$1:$O$25,2,FALSE)</f>
        <v>0</v>
      </c>
      <c r="Z1866" s="116" t="b">
        <f>OR(COUNTIF(PROVEEDORES[[#This Row],[PROVEEDOR]],"*"&amp;'Palabra no opera'!$A$2&amp;"*"))</f>
        <v>0</v>
      </c>
    </row>
    <row r="1867" spans="1:26" ht="22.35" customHeight="1" x14ac:dyDescent="0.3">
      <c r="A1867" s="339" t="str">
        <f>+IF(PROVEEDORES[[#This Row],[FECHA DE PAGO]]=PROVEEDORES[[#This Row],[FECHA DE FACTURACIÓN]],"DE CONTADO","CRÉDITO")</f>
        <v>CRÉDITO</v>
      </c>
      <c r="B1867" s="38" t="str">
        <f>+IF((PROVEEDORES[[#This Row],[FECHA DE PAGO]]-PROVEEDORES[[#This Row],[FECHA DE FACTURACIÓN]])&gt;PROVEEDORES[[#This Row],[PLAZO Días]],"PAGO VENCIDO")</f>
        <v>PAGO VENCIDO</v>
      </c>
      <c r="C1867" s="20">
        <f>+VLOOKUP(PROVEEDORES[[#This Row],[PROVEEDOR]],TERCEROS_INFO[#All],2,FALSE)</f>
        <v>45</v>
      </c>
      <c r="D1867" s="25">
        <f>+SUMIFS(PROVEEDORES[Total],PROVEEDORES[PROVEEDOR],PROVEEDORES[[#This Row],[PROVEEDOR]],PROVEEDORES[FECHA DE PAGO],"")</f>
        <v>15770594</v>
      </c>
      <c r="E1867" s="25"/>
      <c r="F186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67" s="68">
        <v>45187</v>
      </c>
      <c r="H1867" s="26" t="s">
        <v>19</v>
      </c>
      <c r="I1867" s="68">
        <v>45135</v>
      </c>
      <c r="J1867" s="35" t="s">
        <v>1854</v>
      </c>
      <c r="K1867" s="21">
        <v>1220051</v>
      </c>
      <c r="L1867" s="21"/>
      <c r="M1867" s="22">
        <f>(PROVEEDORES[[#This Row],[SUBTOTAL]]-PROVEEDORES[[#This Row],[descuento sobre subtotal]])*VLOOKUP(PROVEEDORES[[#This Row],[PROVEEDOR]],TERCEROS_INFO[#All],3,FALSE)</f>
        <v>231809.69</v>
      </c>
      <c r="N1867" s="23"/>
      <c r="O1867" s="22">
        <f>+PROVEEDORES[[#This Row],[Descuento sobre subtotal %]]*(PROVEEDORES[[#This Row],[SUBTOTAL]]-PROVEEDORES[[#This Row],[descuento sobre subtotal]])</f>
        <v>0</v>
      </c>
      <c r="P1867" s="74">
        <f>+IF(PROVEEDORES[[#This Row],[SUBTOTAL]]&lt;PROVEEDORES[[#This Row],[base retencion]],0,PROVEEDORES[[#This Row],[retención aplicada]])</f>
        <v>0</v>
      </c>
      <c r="Q1867" s="22">
        <f>+PROVEEDORES[[#This Row],[Rete Fuente %]]*(PROVEEDORES[[#This Row],[SUBTOTAL]]-PROVEEDORES[[#This Row],[descuento sobre subtotal]])</f>
        <v>0</v>
      </c>
      <c r="R1867" s="21">
        <f>+PROVEEDORES[[#This Row],[SUBTOTAL]]+PROVEEDORES[[#This Row],[IVA 19%]]-PROVEEDORES[[#This Row],[descuento sobre subtotal]]-PROVEEDORES[[#This Row],[Descuento sobre subtotal $2]]-PROVEEDORES[[#This Row],[Rete Fuente $]]</f>
        <v>1451860.69</v>
      </c>
      <c r="S1867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7" s="63">
        <f ca="1">IF(PROVEEDORES[[#This Row],[FECHA DE PAGO]]=0,TODAY()-PROVEEDORES[[#This Row],[FECHA DE FACTURACIÓN]]-PROVEEDORES[[#This Row],[PLAZO Días]],0)</f>
        <v>0</v>
      </c>
      <c r="U1867" s="104">
        <f>+VLOOKUP(PROVEEDORES[[#This Row],[PROVEEDOR]],Terceros!$A:$D,4,FALSE)</f>
        <v>0</v>
      </c>
      <c r="V1867" s="105">
        <f>+YEAR(PROVEEDORES[[#This Row],[FECHA DE FACTURACIÓN]])</f>
        <v>2023</v>
      </c>
      <c r="W1867" s="105">
        <f>+MATCH(PROVEEDORES[[#This Row],[año facturado]],Retenciones!$1:$1,0)</f>
        <v>6</v>
      </c>
      <c r="X1867" s="106">
        <f>+VLOOKUP(PROVEEDORES[[#This Row],[ID RETENCION]],Retenciones!$A$1:$O$25,PROVEEDORES[[#This Row],[indicador de columna]],FALSE)</f>
        <v>0</v>
      </c>
      <c r="Y1867" s="107">
        <f>+VLOOKUP(PROVEEDORES[[#This Row],[ID RETENCION]],Retenciones!$A$1:$O$25,2,FALSE)</f>
        <v>0</v>
      </c>
      <c r="Z1867" s="116" t="b">
        <f>OR(COUNTIF(PROVEEDORES[[#This Row],[PROVEEDOR]],"*"&amp;'Palabra no opera'!$A$2&amp;"*"))</f>
        <v>0</v>
      </c>
    </row>
    <row r="1868" spans="1:26" ht="22.35" customHeight="1" x14ac:dyDescent="0.3">
      <c r="A1868" s="353" t="str">
        <f>+IF(PROVEEDORES[[#This Row],[FECHA DE PAGO]]=PROVEEDORES[[#This Row],[FECHA DE FACTURACIÓN]],"DE CONTADO","CRÉDITO")</f>
        <v>CRÉDITO</v>
      </c>
      <c r="B1868" s="38" t="b">
        <f>+IF((PROVEEDORES[[#This Row],[FECHA DE PAGO]]-PROVEEDORES[[#This Row],[FECHA DE FACTURACIÓN]])&gt;PROVEEDORES[[#This Row],[PLAZO Días]],"PAGO VENCIDO")</f>
        <v>0</v>
      </c>
      <c r="C1868" s="20">
        <f>+VLOOKUP(PROVEEDORES[[#This Row],[PROVEEDOR]],TERCEROS_INFO[#All],2,FALSE)</f>
        <v>30</v>
      </c>
      <c r="D1868" s="25">
        <f>+SUMIFS(PROVEEDORES[Total],PROVEEDORES[PROVEEDOR],PROVEEDORES[[#This Row],[PROVEEDOR]],PROVEEDORES[FECHA DE PAGO],"")</f>
        <v>0</v>
      </c>
      <c r="E1868" s="25"/>
      <c r="F1868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868" s="68">
        <v>45187</v>
      </c>
      <c r="H1868" s="26" t="s">
        <v>651</v>
      </c>
      <c r="I1868" s="68">
        <v>45170</v>
      </c>
      <c r="J1868" s="35" t="s">
        <v>1943</v>
      </c>
      <c r="K1868" s="21">
        <v>243611</v>
      </c>
      <c r="L1868" s="21"/>
      <c r="M1868" s="22">
        <f>(PROVEEDORES[[#This Row],[SUBTOTAL]]-PROVEEDORES[[#This Row],[descuento sobre subtotal]])*VLOOKUP(PROVEEDORES[[#This Row],[PROVEEDOR]],TERCEROS_INFO[#All],3,FALSE)</f>
        <v>46286.090000000004</v>
      </c>
      <c r="N1868" s="23"/>
      <c r="O1868" s="22">
        <f>+PROVEEDORES[[#This Row],[Descuento sobre subtotal %]]*(PROVEEDORES[[#This Row],[SUBTOTAL]]-PROVEEDORES[[#This Row],[descuento sobre subtotal]])</f>
        <v>0</v>
      </c>
      <c r="P1868" s="74">
        <f>+IF(PROVEEDORES[[#This Row],[SUBTOTAL]]&lt;PROVEEDORES[[#This Row],[base retencion]],0,PROVEEDORES[[#This Row],[retención aplicada]])</f>
        <v>3.5000000000000003E-2</v>
      </c>
      <c r="Q1868" s="22">
        <f>+PROVEEDORES[[#This Row],[Rete Fuente %]]*(PROVEEDORES[[#This Row],[SUBTOTAL]]-PROVEEDORES[[#This Row],[descuento sobre subtotal]])</f>
        <v>8526.3850000000002</v>
      </c>
      <c r="R1868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868" s="3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8" s="63">
        <f ca="1">IF(PROVEEDORES[[#This Row],[FECHA DE PAGO]]=0,TODAY()-PROVEEDORES[[#This Row],[FECHA DE FACTURACIÓN]]-PROVEEDORES[[#This Row],[PLAZO Días]],0)</f>
        <v>0</v>
      </c>
      <c r="U1868" s="104" t="str">
        <f>+VLOOKUP(PROVEEDORES[[#This Row],[PROVEEDOR]],Terceros!$A:$D,4,FALSE)</f>
        <v>3,5% sin base</v>
      </c>
      <c r="V1868" s="105">
        <f>+YEAR(PROVEEDORES[[#This Row],[FECHA DE FACTURACIÓN]])</f>
        <v>2023</v>
      </c>
      <c r="W1868" s="105">
        <f>+MATCH(PROVEEDORES[[#This Row],[año facturado]],Retenciones!$1:$1,0)</f>
        <v>6</v>
      </c>
      <c r="X1868" s="106">
        <f>+VLOOKUP(PROVEEDORES[[#This Row],[ID RETENCION]],Retenciones!$A$1:$O$25,PROVEEDORES[[#This Row],[indicador de columna]],FALSE)</f>
        <v>0</v>
      </c>
      <c r="Y1868" s="107">
        <f>+VLOOKUP(PROVEEDORES[[#This Row],[ID RETENCION]],Retenciones!$A$1:$O$25,2,FALSE)</f>
        <v>3.5000000000000003E-2</v>
      </c>
      <c r="Z1868" s="116" t="b">
        <f>OR(COUNTIF(PROVEEDORES[[#This Row],[PROVEEDOR]],"*"&amp;'Palabra no opera'!$A$2&amp;"*"))</f>
        <v>1</v>
      </c>
    </row>
    <row r="1869" spans="1:26" ht="22.35" customHeight="1" x14ac:dyDescent="0.3">
      <c r="A1869" s="367" t="str">
        <f>+IF(PROVEEDORES[[#This Row],[FECHA DE PAGO]]=PROVEEDORES[[#This Row],[FECHA DE FACTURACIÓN]],"DE CONTADO","CRÉDITO")</f>
        <v>DE CONTADO</v>
      </c>
      <c r="B1869" s="38" t="b">
        <f>+IF((PROVEEDORES[[#This Row],[FECHA DE PAGO]]-PROVEEDORES[[#This Row],[FECHA DE FACTURACIÓN]])&gt;PROVEEDORES[[#This Row],[PLAZO Días]],"PAGO VENCIDO")</f>
        <v>0</v>
      </c>
      <c r="C1869" s="20">
        <f>+VLOOKUP(PROVEEDORES[[#This Row],[PROVEEDOR]],TERCEROS_INFO[#All],2,FALSE)</f>
        <v>30</v>
      </c>
      <c r="D1869" s="25">
        <f>+SUMIFS(PROVEEDORES[Total],PROVEEDORES[PROVEEDOR],PROVEEDORES[[#This Row],[PROVEEDOR]],PROVEEDORES[FECHA DE PAGO],"")</f>
        <v>0</v>
      </c>
      <c r="E1869" s="25"/>
      <c r="F1869" s="56">
        <f>+VLOOKUP(PROVEEDORES[[#This Row],[PROVEEDOR]],
                       Terceros!$A:$F,
                       5,
                       FALSE)</f>
        <v>0</v>
      </c>
      <c r="G1869" s="68">
        <v>45188</v>
      </c>
      <c r="H1869" s="26" t="s">
        <v>1800</v>
      </c>
      <c r="I1869" s="68">
        <v>45188</v>
      </c>
      <c r="J1869" s="35" t="s">
        <v>2014</v>
      </c>
      <c r="K1869" s="21">
        <v>309000</v>
      </c>
      <c r="L1869" s="21"/>
      <c r="M1869" s="22">
        <f>(PROVEEDORES[[#This Row],[SUBTOTAL]]-PROVEEDORES[[#This Row],[descuento sobre subtotal]])*VLOOKUP(PROVEEDORES[[#This Row],[PROVEEDOR]],TERCEROS_INFO[#All],3,FALSE)</f>
        <v>0</v>
      </c>
      <c r="N1869" s="23"/>
      <c r="O1869" s="22">
        <f>+PROVEEDORES[[#This Row],[Descuento sobre subtotal %]]*(PROVEEDORES[[#This Row],[SUBTOTAL]]-PROVEEDORES[[#This Row],[descuento sobre subtotal]])</f>
        <v>0</v>
      </c>
      <c r="P1869" s="74">
        <f>+IF(PROVEEDORES[[#This Row],[SUBTOTAL]]&lt;PROVEEDORES[[#This Row],[base retencion]],0,PROVEEDORES[[#This Row],[retención aplicada]])</f>
        <v>0</v>
      </c>
      <c r="Q1869" s="22">
        <f>+PROVEEDORES[[#This Row],[Rete Fuente %]]*(PROVEEDORES[[#This Row],[SUBTOTAL]]-PROVEEDORES[[#This Row],[descuento sobre subtotal]])</f>
        <v>0</v>
      </c>
      <c r="R1869" s="21">
        <f>+PROVEEDORES[[#This Row],[SUBTOTAL]]+PROVEEDORES[[#This Row],[IVA 19%]]-PROVEEDORES[[#This Row],[descuento sobre subtotal]]-PROVEEDORES[[#This Row],[Descuento sobre subtotal $2]]-PROVEEDORES[[#This Row],[Rete Fuente $]]</f>
        <v>309000</v>
      </c>
      <c r="S1869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9" s="63">
        <f ca="1">IF(PROVEEDORES[[#This Row],[FECHA DE PAGO]]=0,TODAY()-PROVEEDORES[[#This Row],[FECHA DE FACTURACIÓN]]-PROVEEDORES[[#This Row],[PLAZO Días]],0)</f>
        <v>0</v>
      </c>
      <c r="U1869" s="104">
        <f>+VLOOKUP(PROVEEDORES[[#This Row],[PROVEEDOR]],Terceros!$A:$D,4,FALSE)</f>
        <v>0</v>
      </c>
      <c r="V1869" s="105">
        <f>+YEAR(PROVEEDORES[[#This Row],[FECHA DE FACTURACIÓN]])</f>
        <v>2023</v>
      </c>
      <c r="W1869" s="105">
        <f>+MATCH(PROVEEDORES[[#This Row],[año facturado]],Retenciones!$1:$1,0)</f>
        <v>6</v>
      </c>
      <c r="X1869" s="106">
        <f>+VLOOKUP(PROVEEDORES[[#This Row],[ID RETENCION]],Retenciones!$A$1:$O$25,PROVEEDORES[[#This Row],[indicador de columna]],FALSE)</f>
        <v>0</v>
      </c>
      <c r="Y1869" s="107">
        <f>+VLOOKUP(PROVEEDORES[[#This Row],[ID RETENCION]],Retenciones!$A$1:$O$25,2,FALSE)</f>
        <v>0</v>
      </c>
      <c r="Z1869" s="116" t="b">
        <f>OR(COUNTIF(PROVEEDORES[[#This Row],[PROVEEDOR]],"*"&amp;'Palabra no opera'!$A$2&amp;"*"))</f>
        <v>0</v>
      </c>
    </row>
    <row r="1870" spans="1:26" ht="22.35" customHeight="1" x14ac:dyDescent="0.3">
      <c r="A1870" s="367" t="str">
        <f>+IF(PROVEEDORES[[#This Row],[FECHA DE PAGO]]=PROVEEDORES[[#This Row],[FECHA DE FACTURACIÓN]],"DE CONTADO","CRÉDITO")</f>
        <v>CRÉDITO</v>
      </c>
      <c r="B1870" s="38" t="b">
        <f>+IF((PROVEEDORES[[#This Row],[FECHA DE PAGO]]-PROVEEDORES[[#This Row],[FECHA DE FACTURACIÓN]])&gt;PROVEEDORES[[#This Row],[PLAZO Días]],"PAGO VENCIDO")</f>
        <v>0</v>
      </c>
      <c r="C1870" s="20">
        <f>+VLOOKUP(PROVEEDORES[[#This Row],[PROVEEDOR]],TERCEROS_INFO[#All],2,FALSE)</f>
        <v>30</v>
      </c>
      <c r="D1870" s="25">
        <f>+SUMIFS(PROVEEDORES[Total],PROVEEDORES[PROVEEDOR],PROVEEDORES[[#This Row],[PROVEEDOR]],PROVEEDORES[FECHA DE PAGO],"")</f>
        <v>0</v>
      </c>
      <c r="E1870" s="25"/>
      <c r="F1870" s="56" t="str">
        <f>+VLOOKUP(PROVEEDORES[[#This Row],[PROVEEDOR]],
                       Terceros!$A:$F,
                       5,
                       FALSE)</f>
        <v/>
      </c>
      <c r="G1870" s="68">
        <v>45188</v>
      </c>
      <c r="H1870" s="26" t="s">
        <v>1194</v>
      </c>
      <c r="I1870" s="68">
        <v>45187</v>
      </c>
      <c r="J1870" s="35" t="s">
        <v>2020</v>
      </c>
      <c r="K1870" s="21">
        <v>5788000</v>
      </c>
      <c r="L1870" s="21"/>
      <c r="M1870" s="22">
        <f>(PROVEEDORES[[#This Row],[SUBTOTAL]]-PROVEEDORES[[#This Row],[descuento sobre subtotal]])*VLOOKUP(PROVEEDORES[[#This Row],[PROVEEDOR]],TERCEROS_INFO[#All],3,FALSE)</f>
        <v>0</v>
      </c>
      <c r="N1870" s="23"/>
      <c r="O1870" s="22">
        <f>+PROVEEDORES[[#This Row],[Descuento sobre subtotal %]]*(PROVEEDORES[[#This Row],[SUBTOTAL]]-PROVEEDORES[[#This Row],[descuento sobre subtotal]])</f>
        <v>0</v>
      </c>
      <c r="P1870" s="74">
        <f>+IF(PROVEEDORES[[#This Row],[SUBTOTAL]]&lt;PROVEEDORES[[#This Row],[base retencion]],0,PROVEEDORES[[#This Row],[retención aplicada]])</f>
        <v>0</v>
      </c>
      <c r="Q1870" s="22">
        <f>+PROVEEDORES[[#This Row],[Rete Fuente %]]*(PROVEEDORES[[#This Row],[SUBTOTAL]]-PROVEEDORES[[#This Row],[descuento sobre subtotal]])</f>
        <v>0</v>
      </c>
      <c r="R1870" s="21">
        <f>+PROVEEDORES[[#This Row],[SUBTOTAL]]+PROVEEDORES[[#This Row],[IVA 19%]]-PROVEEDORES[[#This Row],[descuento sobre subtotal]]-PROVEEDORES[[#This Row],[Descuento sobre subtotal $2]]-PROVEEDORES[[#This Row],[Rete Fuente $]]</f>
        <v>5788000</v>
      </c>
      <c r="S1870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0" s="63">
        <f ca="1">IF(PROVEEDORES[[#This Row],[FECHA DE PAGO]]=0,TODAY()-PROVEEDORES[[#This Row],[FECHA DE FACTURACIÓN]]-PROVEEDORES[[#This Row],[PLAZO Días]],0)</f>
        <v>0</v>
      </c>
      <c r="U1870" s="104">
        <f>+VLOOKUP(PROVEEDORES[[#This Row],[PROVEEDOR]],Terceros!$A:$D,4,FALSE)</f>
        <v>0</v>
      </c>
      <c r="V1870" s="105">
        <f>+YEAR(PROVEEDORES[[#This Row],[FECHA DE FACTURACIÓN]])</f>
        <v>2023</v>
      </c>
      <c r="W1870" s="105">
        <f>+MATCH(PROVEEDORES[[#This Row],[año facturado]],Retenciones!$1:$1,0)</f>
        <v>6</v>
      </c>
      <c r="X1870" s="106">
        <f>+VLOOKUP(PROVEEDORES[[#This Row],[ID RETENCION]],Retenciones!$A$1:$O$25,PROVEEDORES[[#This Row],[indicador de columna]],FALSE)</f>
        <v>0</v>
      </c>
      <c r="Y1870" s="107">
        <f>+VLOOKUP(PROVEEDORES[[#This Row],[ID RETENCION]],Retenciones!$A$1:$O$25,2,FALSE)</f>
        <v>0</v>
      </c>
      <c r="Z1870" s="116" t="b">
        <f>OR(COUNTIF(PROVEEDORES[[#This Row],[PROVEEDOR]],"*"&amp;'Palabra no opera'!$A$2&amp;"*"))</f>
        <v>0</v>
      </c>
    </row>
    <row r="1871" spans="1:26" ht="22.35" customHeight="1" x14ac:dyDescent="0.3">
      <c r="A1871" s="355" t="str">
        <f>+IF(PROVEEDORES[[#This Row],[FECHA DE PAGO]]=PROVEEDORES[[#This Row],[FECHA DE FACTURACIÓN]],"DE CONTADO","CRÉDITO")</f>
        <v>CRÉDITO</v>
      </c>
      <c r="B1871" s="38" t="b">
        <f>+IF((PROVEEDORES[[#This Row],[FECHA DE PAGO]]-PROVEEDORES[[#This Row],[FECHA DE FACTURACIÓN]])&gt;PROVEEDORES[[#This Row],[PLAZO Días]],"PAGO VENCIDO")</f>
        <v>0</v>
      </c>
      <c r="C1871" s="20">
        <f>+VLOOKUP(PROVEEDORES[[#This Row],[PROVEEDOR]],TERCEROS_INFO[#All],2,FALSE)</f>
        <v>30</v>
      </c>
      <c r="D1871" s="25">
        <f>+SUMIFS(PROVEEDORES[Total],PROVEEDORES[PROVEEDOR],PROVEEDORES[[#This Row],[PROVEEDOR]],PROVEEDORES[FECHA DE PAGO],"")</f>
        <v>0</v>
      </c>
      <c r="E1871" s="25"/>
      <c r="F1871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71" s="68">
        <v>45188</v>
      </c>
      <c r="H1871" s="26" t="s">
        <v>638</v>
      </c>
      <c r="I1871" s="68">
        <v>45170</v>
      </c>
      <c r="J1871" s="35" t="s">
        <v>1948</v>
      </c>
      <c r="K1871" s="21">
        <v>3935776</v>
      </c>
      <c r="L1871" s="21"/>
      <c r="M1871" s="22">
        <v>665000</v>
      </c>
      <c r="N1871" s="23"/>
      <c r="O1871" s="22">
        <f>+PROVEEDORES[[#This Row],[Descuento sobre subtotal %]]*(PROVEEDORES[[#This Row],[SUBTOTAL]]-PROVEEDORES[[#This Row],[descuento sobre subtotal]])</f>
        <v>0</v>
      </c>
      <c r="P1871" s="74">
        <f>+IF(PROVEEDORES[[#This Row],[SUBTOTAL]]&lt;PROVEEDORES[[#This Row],[base retencion]],0,PROVEEDORES[[#This Row],[retención aplicada]])</f>
        <v>3.5000000000000003E-2</v>
      </c>
      <c r="Q1871" s="22"/>
      <c r="R1871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871" s="3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1" s="63">
        <f ca="1">IF(PROVEEDORES[[#This Row],[FECHA DE PAGO]]=0,TODAY()-PROVEEDORES[[#This Row],[FECHA DE FACTURACIÓN]]-PROVEEDORES[[#This Row],[PLAZO Días]],0)</f>
        <v>0</v>
      </c>
      <c r="U1871" s="104" t="str">
        <f>+VLOOKUP(PROVEEDORES[[#This Row],[PROVEEDOR]],Terceros!$A:$D,4,FALSE)</f>
        <v>3,5% sin base</v>
      </c>
      <c r="V1871" s="105">
        <f>+YEAR(PROVEEDORES[[#This Row],[FECHA DE FACTURACIÓN]])</f>
        <v>2023</v>
      </c>
      <c r="W1871" s="105">
        <f>+MATCH(PROVEEDORES[[#This Row],[año facturado]],Retenciones!$1:$1,0)</f>
        <v>6</v>
      </c>
      <c r="X1871" s="106">
        <f>+VLOOKUP(PROVEEDORES[[#This Row],[ID RETENCION]],Retenciones!$A$1:$O$25,PROVEEDORES[[#This Row],[indicador de columna]],FALSE)</f>
        <v>0</v>
      </c>
      <c r="Y1871" s="107">
        <f>+VLOOKUP(PROVEEDORES[[#This Row],[ID RETENCION]],Retenciones!$A$1:$O$25,2,FALSE)</f>
        <v>3.5000000000000003E-2</v>
      </c>
      <c r="Z1871" s="116" t="b">
        <f>OR(COUNTIF(PROVEEDORES[[#This Row],[PROVEEDOR]],"*"&amp;'Palabra no opera'!$A$2&amp;"*"))</f>
        <v>1</v>
      </c>
    </row>
    <row r="1872" spans="1:26" ht="22.35" customHeight="1" x14ac:dyDescent="0.3">
      <c r="A1872" s="333" t="str">
        <f>+IF(PROVEEDORES[[#This Row],[FECHA DE PAGO]]=PROVEEDORES[[#This Row],[FECHA DE FACTURACIÓN]],"DE CONTADO","CRÉDITO")</f>
        <v>CRÉDITO</v>
      </c>
      <c r="B1872" s="38" t="str">
        <f>+IF((PROVEEDORES[[#This Row],[FECHA DE PAGO]]-PROVEEDORES[[#This Row],[FECHA DE FACTURACIÓN]])&gt;PROVEEDORES[[#This Row],[PLAZO Días]],"PAGO VENCIDO")</f>
        <v>PAGO VENCIDO</v>
      </c>
      <c r="C1872" s="20">
        <f>+VLOOKUP(PROVEEDORES[[#This Row],[PROVEEDOR]],TERCEROS_INFO[#All],2,FALSE)</f>
        <v>30</v>
      </c>
      <c r="D1872" s="25">
        <f>+SUMIFS(PROVEEDORES[Total],PROVEEDORES[PROVEEDOR],PROVEEDORES[[#This Row],[PROVEEDOR]],PROVEEDORES[FECHA DE PAGO],"")</f>
        <v>2773899.95</v>
      </c>
      <c r="E1872" s="25"/>
      <c r="F1872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872" s="68">
        <v>45189</v>
      </c>
      <c r="H1872" s="95" t="s">
        <v>20</v>
      </c>
      <c r="I1872" s="68">
        <v>45117</v>
      </c>
      <c r="J1872" s="35" t="s">
        <v>1813</v>
      </c>
      <c r="K1872" s="21">
        <v>721284</v>
      </c>
      <c r="L1872" s="21"/>
      <c r="M1872" s="22">
        <f>(PROVEEDORES[[#This Row],[SUBTOTAL]]-PROVEEDORES[[#This Row],[descuento sobre subtotal]])*VLOOKUP(PROVEEDORES[[#This Row],[PROVEEDOR]],TERCEROS_INFO[#All],3,FALSE)</f>
        <v>137043.96</v>
      </c>
      <c r="N1872" s="23"/>
      <c r="O1872" s="22">
        <f>+PROVEEDORES[[#This Row],[Descuento sobre subtotal %]]*(PROVEEDORES[[#This Row],[SUBTOTAL]]-PROVEEDORES[[#This Row],[descuento sobre subtotal]])</f>
        <v>0</v>
      </c>
      <c r="P1872" s="74">
        <f>+IF(PROVEEDORES[[#This Row],[SUBTOTAL]]&lt;PROVEEDORES[[#This Row],[base retencion]],0,PROVEEDORES[[#This Row],[retención aplicada]])</f>
        <v>0</v>
      </c>
      <c r="Q1872" s="22">
        <f>+PROVEEDORES[[#This Row],[Rete Fuente %]]*(PROVEEDORES[[#This Row],[SUBTOTAL]]-PROVEEDORES[[#This Row],[descuento sobre subtotal]])</f>
        <v>0</v>
      </c>
      <c r="R1872" s="21">
        <f>+PROVEEDORES[[#This Row],[SUBTOTAL]]+PROVEEDORES[[#This Row],[IVA 19%]]-PROVEEDORES[[#This Row],[descuento sobre subtotal]]-PROVEEDORES[[#This Row],[Descuento sobre subtotal $2]]-PROVEEDORES[[#This Row],[Rete Fuente $]]</f>
        <v>858327.96</v>
      </c>
      <c r="S1872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2" s="63">
        <f ca="1">IF(PROVEEDORES[[#This Row],[FECHA DE PAGO]]=0,TODAY()-PROVEEDORES[[#This Row],[FECHA DE FACTURACIÓN]]-PROVEEDORES[[#This Row],[PLAZO Días]],0)</f>
        <v>0</v>
      </c>
      <c r="U1872" s="104" t="str">
        <f>+VLOOKUP(PROVEEDORES[[#This Row],[PROVEEDOR]],Terceros!$A:$D,4,FALSE)</f>
        <v>2,5% con base</v>
      </c>
      <c r="V1872" s="105">
        <f>+YEAR(PROVEEDORES[[#This Row],[FECHA DE FACTURACIÓN]])</f>
        <v>2023</v>
      </c>
      <c r="W1872" s="105">
        <f>+MATCH(PROVEEDORES[[#This Row],[año facturado]],Retenciones!$1:$1,0)</f>
        <v>6</v>
      </c>
      <c r="X1872" s="106">
        <f>+VLOOKUP(PROVEEDORES[[#This Row],[ID RETENCION]],Retenciones!$A$1:$O$25,PROVEEDORES[[#This Row],[indicador de columna]],FALSE)</f>
        <v>1145000</v>
      </c>
      <c r="Y1872" s="107">
        <f>+VLOOKUP(PROVEEDORES[[#This Row],[ID RETENCION]],Retenciones!$A$1:$O$25,2,FALSE)</f>
        <v>2.5000000000000001E-2</v>
      </c>
      <c r="Z1872" s="116" t="b">
        <f>OR(COUNTIF(PROVEEDORES[[#This Row],[PROVEEDOR]],"*"&amp;'Palabra no opera'!$A$2&amp;"*"))</f>
        <v>0</v>
      </c>
    </row>
    <row r="1873" spans="1:26" ht="22.35" customHeight="1" x14ac:dyDescent="0.3">
      <c r="A1873" s="333" t="str">
        <f>+IF(PROVEEDORES[[#This Row],[FECHA DE PAGO]]=PROVEEDORES[[#This Row],[FECHA DE FACTURACIÓN]],"DE CONTADO","CRÉDITO")</f>
        <v>CRÉDITO</v>
      </c>
      <c r="B1873" s="38" t="str">
        <f>+IF((PROVEEDORES[[#This Row],[FECHA DE PAGO]]-PROVEEDORES[[#This Row],[FECHA DE FACTURACIÓN]])&gt;PROVEEDORES[[#This Row],[PLAZO Días]],"PAGO VENCIDO")</f>
        <v>PAGO VENCIDO</v>
      </c>
      <c r="C1873" s="20">
        <f>+VLOOKUP(PROVEEDORES[[#This Row],[PROVEEDOR]],TERCEROS_INFO[#All],2,FALSE)</f>
        <v>30</v>
      </c>
      <c r="D1873" s="25">
        <f>+SUMIFS(PROVEEDORES[Total],PROVEEDORES[PROVEEDOR],PROVEEDORES[[#This Row],[PROVEEDOR]],PROVEEDORES[FECHA DE PAGO],"")</f>
        <v>17870934.149999999</v>
      </c>
      <c r="E1873" s="25"/>
      <c r="F187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73" s="68">
        <v>45189</v>
      </c>
      <c r="H1873" s="26" t="s">
        <v>18</v>
      </c>
      <c r="I1873" s="68">
        <v>45128</v>
      </c>
      <c r="J1873" s="35" t="s">
        <v>1812</v>
      </c>
      <c r="K1873" s="21">
        <v>3393918</v>
      </c>
      <c r="L1873" s="21"/>
      <c r="M1873" s="22">
        <f>(PROVEEDORES[[#This Row],[SUBTOTAL]]-PROVEEDORES[[#This Row],[descuento sobre subtotal]])*VLOOKUP(PROVEEDORES[[#This Row],[PROVEEDOR]],TERCEROS_INFO[#All],3,FALSE)</f>
        <v>644844.42000000004</v>
      </c>
      <c r="N1873" s="23"/>
      <c r="O1873" s="22">
        <f>+PROVEEDORES[[#This Row],[Descuento sobre subtotal %]]*(PROVEEDORES[[#This Row],[SUBTOTAL]]-PROVEEDORES[[#This Row],[descuento sobre subtotal]])</f>
        <v>0</v>
      </c>
      <c r="P1873" s="74">
        <f>+IF(PROVEEDORES[[#This Row],[SUBTOTAL]]&lt;PROVEEDORES[[#This Row],[base retencion]],0,PROVEEDORES[[#This Row],[retención aplicada]])</f>
        <v>2.5000000000000001E-2</v>
      </c>
      <c r="Q1873" s="22">
        <f>+PROVEEDORES[[#This Row],[Rete Fuente %]]*(PROVEEDORES[[#This Row],[SUBTOTAL]]-PROVEEDORES[[#This Row],[descuento sobre subtotal]])</f>
        <v>84847.950000000012</v>
      </c>
      <c r="R1873" s="21">
        <f>+PROVEEDORES[[#This Row],[SUBTOTAL]]+PROVEEDORES[[#This Row],[IVA 19%]]-PROVEEDORES[[#This Row],[descuento sobre subtotal]]-PROVEEDORES[[#This Row],[Descuento sobre subtotal $2]]-PROVEEDORES[[#This Row],[Rete Fuente $]]</f>
        <v>3953914.4699999997</v>
      </c>
      <c r="S1873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3" s="63">
        <f ca="1">IF(PROVEEDORES[[#This Row],[FECHA DE PAGO]]=0,TODAY()-PROVEEDORES[[#This Row],[FECHA DE FACTURACIÓN]]-PROVEEDORES[[#This Row],[PLAZO Días]],0)</f>
        <v>0</v>
      </c>
      <c r="U1873" s="104" t="str">
        <f>+VLOOKUP(PROVEEDORES[[#This Row],[PROVEEDOR]],Terceros!$A:$D,4,FALSE)</f>
        <v>2,5% con base</v>
      </c>
      <c r="V1873" s="105">
        <f>+YEAR(PROVEEDORES[[#This Row],[FECHA DE FACTURACIÓN]])</f>
        <v>2023</v>
      </c>
      <c r="W1873" s="105">
        <f>+MATCH(PROVEEDORES[[#This Row],[año facturado]],Retenciones!$1:$1,0)</f>
        <v>6</v>
      </c>
      <c r="X1873" s="106">
        <f>+VLOOKUP(PROVEEDORES[[#This Row],[ID RETENCION]],Retenciones!$A$1:$O$25,PROVEEDORES[[#This Row],[indicador de columna]],FALSE)</f>
        <v>1145000</v>
      </c>
      <c r="Y1873" s="107">
        <f>+VLOOKUP(PROVEEDORES[[#This Row],[ID RETENCION]],Retenciones!$A$1:$O$25,2,FALSE)</f>
        <v>2.5000000000000001E-2</v>
      </c>
      <c r="Z1873" s="116" t="b">
        <f>OR(COUNTIF(PROVEEDORES[[#This Row],[PROVEEDOR]],"*"&amp;'Palabra no opera'!$A$2&amp;"*"))</f>
        <v>0</v>
      </c>
    </row>
    <row r="1874" spans="1:26" ht="22.35" customHeight="1" x14ac:dyDescent="0.3">
      <c r="A1874" s="67" t="str">
        <f>+IF(PROVEEDORES[[#This Row],[FECHA DE PAGO]]=PROVEEDORES[[#This Row],[FECHA DE FACTURACIÓN]],"DE CONTADO","CRÉDITO")</f>
        <v>CRÉDITO</v>
      </c>
      <c r="B1874" s="38" t="str">
        <f>+IF((PROVEEDORES[[#This Row],[FECHA DE PAGO]]-PROVEEDORES[[#This Row],[FECHA DE FACTURACIÓN]])&gt;PROVEEDORES[[#This Row],[PLAZO Días]],"PAGO VENCIDO")</f>
        <v>PAGO VENCIDO</v>
      </c>
      <c r="C1874" s="20">
        <f>+VLOOKUP(PROVEEDORES[[#This Row],[PROVEEDOR]],TERCEROS_INFO[#All],2,FALSE)</f>
        <v>30</v>
      </c>
      <c r="D1874" s="25">
        <f>+SUMIFS(PROVEEDORES[Total],PROVEEDORES[PROVEEDOR],PROVEEDORES[[#This Row],[PROVEEDOR]],PROVEEDORES[FECHA DE PAGO],"")</f>
        <v>17870934.149999999</v>
      </c>
      <c r="E1874" s="25"/>
      <c r="F187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74" s="68">
        <v>45189</v>
      </c>
      <c r="H1874" s="26" t="s">
        <v>18</v>
      </c>
      <c r="I1874" s="68">
        <v>45134</v>
      </c>
      <c r="J1874" s="35" t="s">
        <v>1940</v>
      </c>
      <c r="K1874" s="21">
        <v>8431200</v>
      </c>
      <c r="L1874" s="21"/>
      <c r="M1874" s="22">
        <f>(PROVEEDORES[[#This Row],[SUBTOTAL]]-PROVEEDORES[[#This Row],[descuento sobre subtotal]])*VLOOKUP(PROVEEDORES[[#This Row],[PROVEEDOR]],TERCEROS_INFO[#All],3,FALSE)</f>
        <v>1601928</v>
      </c>
      <c r="N1874" s="23"/>
      <c r="O1874" s="22">
        <f>+PROVEEDORES[[#This Row],[Descuento sobre subtotal %]]*(PROVEEDORES[[#This Row],[SUBTOTAL]]-PROVEEDORES[[#This Row],[descuento sobre subtotal]])</f>
        <v>0</v>
      </c>
      <c r="P1874" s="74">
        <f>+IF(PROVEEDORES[[#This Row],[SUBTOTAL]]&lt;PROVEEDORES[[#This Row],[base retencion]],0,PROVEEDORES[[#This Row],[retención aplicada]])</f>
        <v>2.5000000000000001E-2</v>
      </c>
      <c r="Q1874" s="22">
        <f>+PROVEEDORES[[#This Row],[Rete Fuente %]]*(PROVEEDORES[[#This Row],[SUBTOTAL]]-PROVEEDORES[[#This Row],[descuento sobre subtotal]])</f>
        <v>210780</v>
      </c>
      <c r="R1874" s="21">
        <f>+PROVEEDORES[[#This Row],[SUBTOTAL]]+PROVEEDORES[[#This Row],[IVA 19%]]-PROVEEDORES[[#This Row],[descuento sobre subtotal]]-PROVEEDORES[[#This Row],[Descuento sobre subtotal $2]]-PROVEEDORES[[#This Row],[Rete Fuente $]]</f>
        <v>9822348</v>
      </c>
      <c r="S18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4" s="63">
        <f ca="1">IF(PROVEEDORES[[#This Row],[FECHA DE PAGO]]=0,TODAY()-PROVEEDORES[[#This Row],[FECHA DE FACTURACIÓN]]-PROVEEDORES[[#This Row],[PLAZO Días]],0)</f>
        <v>0</v>
      </c>
      <c r="U1874" s="104" t="str">
        <f>+VLOOKUP(PROVEEDORES[[#This Row],[PROVEEDOR]],Terceros!$A:$D,4,FALSE)</f>
        <v>2,5% con base</v>
      </c>
      <c r="V1874" s="105">
        <f>+YEAR(PROVEEDORES[[#This Row],[FECHA DE FACTURACIÓN]])</f>
        <v>2023</v>
      </c>
      <c r="W1874" s="105">
        <f>+MATCH(PROVEEDORES[[#This Row],[año facturado]],Retenciones!$1:$1,0)</f>
        <v>6</v>
      </c>
      <c r="X1874" s="106">
        <f>+VLOOKUP(PROVEEDORES[[#This Row],[ID RETENCION]],Retenciones!$A$1:$O$25,PROVEEDORES[[#This Row],[indicador de columna]],FALSE)</f>
        <v>1145000</v>
      </c>
      <c r="Y1874" s="107">
        <f>+VLOOKUP(PROVEEDORES[[#This Row],[ID RETENCION]],Retenciones!$A$1:$O$25,2,FALSE)</f>
        <v>2.5000000000000001E-2</v>
      </c>
      <c r="Z1874" s="116" t="b">
        <f>OR(COUNTIF(PROVEEDORES[[#This Row],[PROVEEDOR]],"*"&amp;'Palabra no opera'!$A$2&amp;"*"))</f>
        <v>0</v>
      </c>
    </row>
    <row r="1875" spans="1:26" ht="22.35" customHeight="1" x14ac:dyDescent="0.3">
      <c r="A1875" s="67" t="str">
        <f>+IF(PROVEEDORES[[#This Row],[FECHA DE PAGO]]=PROVEEDORES[[#This Row],[FECHA DE FACTURACIÓN]],"DE CONTADO","CRÉDITO")</f>
        <v>CRÉDITO</v>
      </c>
      <c r="B1875" s="38" t="b">
        <f>+IF((PROVEEDORES[[#This Row],[FECHA DE PAGO]]-PROVEEDORES[[#This Row],[FECHA DE FACTURACIÓN]])&gt;PROVEEDORES[[#This Row],[PLAZO Días]],"PAGO VENCIDO")</f>
        <v>0</v>
      </c>
      <c r="C1875" s="20">
        <f>+VLOOKUP(PROVEEDORES[[#This Row],[PROVEEDOR]],TERCEROS_INFO[#All],2,FALSE)</f>
        <v>30</v>
      </c>
      <c r="D1875" s="25">
        <f>+SUMIFS(PROVEEDORES[Total],PROVEEDORES[PROVEEDOR],PROVEEDORES[[#This Row],[PROVEEDOR]],PROVEEDORES[FECHA DE PAGO],"")</f>
        <v>1316890.8900000001</v>
      </c>
      <c r="E1875" s="25"/>
      <c r="F187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75" s="68">
        <v>45190</v>
      </c>
      <c r="H1875" s="26" t="s">
        <v>17</v>
      </c>
      <c r="I1875" s="68">
        <v>45160</v>
      </c>
      <c r="J1875" s="35" t="s">
        <v>1892</v>
      </c>
      <c r="K1875" s="21">
        <v>614158</v>
      </c>
      <c r="L1875" s="21"/>
      <c r="M1875" s="22">
        <f>(PROVEEDORES[[#This Row],[SUBTOTAL]]-PROVEEDORES[[#This Row],[descuento sobre subtotal]])*VLOOKUP(PROVEEDORES[[#This Row],[PROVEEDOR]],TERCEROS_INFO[#All],3,FALSE)</f>
        <v>116690.02</v>
      </c>
      <c r="N1875" s="23"/>
      <c r="O1875" s="22">
        <f>+PROVEEDORES[[#This Row],[Descuento sobre subtotal %]]*(PROVEEDORES[[#This Row],[SUBTOTAL]]-PROVEEDORES[[#This Row],[descuento sobre subtotal]])</f>
        <v>0</v>
      </c>
      <c r="P1875" s="74">
        <f>+IF(PROVEEDORES[[#This Row],[SUBTOTAL]]&lt;PROVEEDORES[[#This Row],[base retencion]],0,PROVEEDORES[[#This Row],[retención aplicada]])</f>
        <v>0</v>
      </c>
      <c r="Q1875" s="22">
        <f>+PROVEEDORES[[#This Row],[Rete Fuente %]]*(PROVEEDORES[[#This Row],[SUBTOTAL]]-PROVEEDORES[[#This Row],[descuento sobre subtotal]])</f>
        <v>0</v>
      </c>
      <c r="R1875" s="21">
        <f>+PROVEEDORES[[#This Row],[SUBTOTAL]]+PROVEEDORES[[#This Row],[IVA 19%]]-PROVEEDORES[[#This Row],[descuento sobre subtotal]]-PROVEEDORES[[#This Row],[Descuento sobre subtotal $2]]-PROVEEDORES[[#This Row],[Rete Fuente $]]</f>
        <v>730848.02</v>
      </c>
      <c r="S18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5" s="63">
        <f ca="1">IF(PROVEEDORES[[#This Row],[FECHA DE PAGO]]=0,TODAY()-PROVEEDORES[[#This Row],[FECHA DE FACTURACIÓN]]-PROVEEDORES[[#This Row],[PLAZO Días]],0)</f>
        <v>0</v>
      </c>
      <c r="U1875" s="104">
        <f>+VLOOKUP(PROVEEDORES[[#This Row],[PROVEEDOR]],Terceros!$A:$D,4,FALSE)</f>
        <v>0</v>
      </c>
      <c r="V1875" s="105">
        <f>+YEAR(PROVEEDORES[[#This Row],[FECHA DE FACTURACIÓN]])</f>
        <v>2023</v>
      </c>
      <c r="W1875" s="105">
        <f>+MATCH(PROVEEDORES[[#This Row],[año facturado]],Retenciones!$1:$1,0)</f>
        <v>6</v>
      </c>
      <c r="X1875" s="106">
        <f>+VLOOKUP(PROVEEDORES[[#This Row],[ID RETENCION]],Retenciones!$A$1:$O$25,PROVEEDORES[[#This Row],[indicador de columna]],FALSE)</f>
        <v>0</v>
      </c>
      <c r="Y1875" s="107">
        <f>+VLOOKUP(PROVEEDORES[[#This Row],[ID RETENCION]],Retenciones!$A$1:$O$25,2,FALSE)</f>
        <v>0</v>
      </c>
      <c r="Z1875" s="116" t="b">
        <f>OR(COUNTIF(PROVEEDORES[[#This Row],[PROVEEDOR]],"*"&amp;'Palabra no opera'!$A$2&amp;"*"))</f>
        <v>0</v>
      </c>
    </row>
    <row r="1876" spans="1:26" ht="22.35" customHeight="1" x14ac:dyDescent="0.3">
      <c r="A1876" s="67" t="str">
        <f>+IF(PROVEEDORES[[#This Row],[FECHA DE PAGO]]=PROVEEDORES[[#This Row],[FECHA DE FACTURACIÓN]],"DE CONTADO","CRÉDITO")</f>
        <v>CRÉDITO</v>
      </c>
      <c r="B1876" s="38" t="str">
        <f>+IF((PROVEEDORES[[#This Row],[FECHA DE PAGO]]-PROVEEDORES[[#This Row],[FECHA DE FACTURACIÓN]])&gt;PROVEEDORES[[#This Row],[PLAZO Días]],"PAGO VENCIDO")</f>
        <v>PAGO VENCIDO</v>
      </c>
      <c r="C1876" s="20">
        <f>+VLOOKUP(PROVEEDORES[[#This Row],[PROVEEDOR]],TERCEROS_INFO[#All],2,FALSE)</f>
        <v>30</v>
      </c>
      <c r="D1876" s="25">
        <f>+SUMIFS(PROVEEDORES[Total],PROVEEDORES[PROVEEDOR],PROVEEDORES[[#This Row],[PROVEEDOR]],PROVEEDORES[FECHA DE PAGO],"")</f>
        <v>4248480.9550000001</v>
      </c>
      <c r="E1876" s="25"/>
      <c r="F1876" s="56" t="str">
        <f>+VLOOKUP(PROVEEDORES[[#This Row],[PROVEEDOR]],
                       Terceros!$A:$F,
                       5,
                       FALSE)</f>
        <v/>
      </c>
      <c r="G1876" s="68">
        <v>45190</v>
      </c>
      <c r="H1876" s="26" t="s">
        <v>78</v>
      </c>
      <c r="I1876" s="68">
        <v>45139</v>
      </c>
      <c r="J1876" s="35" t="s">
        <v>1901</v>
      </c>
      <c r="K1876" s="21">
        <v>25562</v>
      </c>
      <c r="L1876" s="21"/>
      <c r="M1876" s="22">
        <f>(PROVEEDORES[[#This Row],[SUBTOTAL]]-PROVEEDORES[[#This Row],[descuento sobre subtotal]])*VLOOKUP(PROVEEDORES[[#This Row],[PROVEEDOR]],TERCEROS_INFO[#All],3,FALSE)</f>
        <v>4856.78</v>
      </c>
      <c r="N1876" s="23"/>
      <c r="O1876" s="22">
        <f>+PROVEEDORES[[#This Row],[Descuento sobre subtotal %]]*(PROVEEDORES[[#This Row],[SUBTOTAL]]-PROVEEDORES[[#This Row],[descuento sobre subtotal]])</f>
        <v>0</v>
      </c>
      <c r="P1876" s="74">
        <f>+IF(PROVEEDORES[[#This Row],[SUBTOTAL]]&lt;PROVEEDORES[[#This Row],[base retencion]],0,PROVEEDORES[[#This Row],[retención aplicada]])</f>
        <v>0</v>
      </c>
      <c r="Q1876" s="22">
        <f>+PROVEEDORES[[#This Row],[Rete Fuente %]]*(PROVEEDORES[[#This Row],[SUBTOTAL]]-PROVEEDORES[[#This Row],[descuento sobre subtotal]])</f>
        <v>0</v>
      </c>
      <c r="R1876" s="21">
        <f>+PROVEEDORES[[#This Row],[SUBTOTAL]]+PROVEEDORES[[#This Row],[IVA 19%]]-PROVEEDORES[[#This Row],[descuento sobre subtotal]]-PROVEEDORES[[#This Row],[Descuento sobre subtotal $2]]-PROVEEDORES[[#This Row],[Rete Fuente $]]</f>
        <v>30418.78</v>
      </c>
      <c r="S18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6" s="63">
        <f ca="1">IF(PROVEEDORES[[#This Row],[FECHA DE PAGO]]=0,TODAY()-PROVEEDORES[[#This Row],[FECHA DE FACTURACIÓN]]-PROVEEDORES[[#This Row],[PLAZO Días]],0)</f>
        <v>0</v>
      </c>
      <c r="U1876" s="104" t="str">
        <f>+VLOOKUP(PROVEEDORES[[#This Row],[PROVEEDOR]],Terceros!$A:$D,4,FALSE)</f>
        <v>2,5% con base</v>
      </c>
      <c r="V1876" s="105">
        <f>+YEAR(PROVEEDORES[[#This Row],[FECHA DE FACTURACIÓN]])</f>
        <v>2023</v>
      </c>
      <c r="W1876" s="105">
        <f>+MATCH(PROVEEDORES[[#This Row],[año facturado]],Retenciones!$1:$1,0)</f>
        <v>6</v>
      </c>
      <c r="X1876" s="106">
        <f>+VLOOKUP(PROVEEDORES[[#This Row],[ID RETENCION]],Retenciones!$A$1:$O$25,PROVEEDORES[[#This Row],[indicador de columna]],FALSE)</f>
        <v>1145000</v>
      </c>
      <c r="Y1876" s="107">
        <f>+VLOOKUP(PROVEEDORES[[#This Row],[ID RETENCION]],Retenciones!$A$1:$O$25,2,FALSE)</f>
        <v>2.5000000000000001E-2</v>
      </c>
      <c r="Z1876" s="116" t="b">
        <f>OR(COUNTIF(PROVEEDORES[[#This Row],[PROVEEDOR]],"*"&amp;'Palabra no opera'!$A$2&amp;"*"))</f>
        <v>0</v>
      </c>
    </row>
    <row r="1877" spans="1:26" ht="22.35" customHeight="1" x14ac:dyDescent="0.3">
      <c r="A1877" s="67" t="str">
        <f>+IF(PROVEEDORES[[#This Row],[FECHA DE PAGO]]=PROVEEDORES[[#This Row],[FECHA DE FACTURACIÓN]],"DE CONTADO","CRÉDITO")</f>
        <v>CRÉDITO</v>
      </c>
      <c r="B1877" s="38" t="str">
        <f>+IF((PROVEEDORES[[#This Row],[FECHA DE PAGO]]-PROVEEDORES[[#This Row],[FECHA DE FACTURACIÓN]])&gt;PROVEEDORES[[#This Row],[PLAZO Días]],"PAGO VENCIDO")</f>
        <v>PAGO VENCIDO</v>
      </c>
      <c r="C1877" s="20">
        <f>+VLOOKUP(PROVEEDORES[[#This Row],[PROVEEDOR]],TERCEROS_INFO[#All],2,FALSE)</f>
        <v>30</v>
      </c>
      <c r="D1877" s="25">
        <f>+SUMIFS(PROVEEDORES[Total],PROVEEDORES[PROVEEDOR],PROVEEDORES[[#This Row],[PROVEEDOR]],PROVEEDORES[FECHA DE PAGO],"")</f>
        <v>0</v>
      </c>
      <c r="E1877" s="25"/>
      <c r="F1877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877" s="68">
        <v>45191</v>
      </c>
      <c r="H1877" s="26" t="s">
        <v>26</v>
      </c>
      <c r="I1877" s="68">
        <v>45124</v>
      </c>
      <c r="J1877" s="35" t="s">
        <v>1827</v>
      </c>
      <c r="K1877" s="21">
        <v>1952200</v>
      </c>
      <c r="L1877" s="21"/>
      <c r="M1877" s="22">
        <f>(PROVEEDORES[[#This Row],[SUBTOTAL]]-PROVEEDORES[[#This Row],[descuento sobre subtotal]])*VLOOKUP(PROVEEDORES[[#This Row],[PROVEEDOR]],TERCEROS_INFO[#All],3,FALSE)</f>
        <v>370918</v>
      </c>
      <c r="N1877" s="23"/>
      <c r="O1877" s="22">
        <f>+PROVEEDORES[[#This Row],[Descuento sobre subtotal %]]*(PROVEEDORES[[#This Row],[SUBTOTAL]]-PROVEEDORES[[#This Row],[descuento sobre subtotal]])</f>
        <v>0</v>
      </c>
      <c r="P1877" s="74">
        <f>+IF(PROVEEDORES[[#This Row],[SUBTOTAL]]&lt;PROVEEDORES[[#This Row],[base retencion]],0,PROVEEDORES[[#This Row],[retención aplicada]])</f>
        <v>2.5000000000000001E-2</v>
      </c>
      <c r="Q1877" s="22">
        <f>+PROVEEDORES[[#This Row],[Rete Fuente %]]*(PROVEEDORES[[#This Row],[SUBTOTAL]]-PROVEEDORES[[#This Row],[descuento sobre subtotal]])</f>
        <v>48805</v>
      </c>
      <c r="R1877" s="21">
        <f>+PROVEEDORES[[#This Row],[SUBTOTAL]]+PROVEEDORES[[#This Row],[IVA 19%]]-PROVEEDORES[[#This Row],[descuento sobre subtotal]]-PROVEEDORES[[#This Row],[Descuento sobre subtotal $2]]-PROVEEDORES[[#This Row],[Rete Fuente $]]</f>
        <v>2274313</v>
      </c>
      <c r="S18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7" s="63">
        <f ca="1">IF(PROVEEDORES[[#This Row],[FECHA DE PAGO]]=0,TODAY()-PROVEEDORES[[#This Row],[FECHA DE FACTURACIÓN]]-PROVEEDORES[[#This Row],[PLAZO Días]],0)</f>
        <v>0</v>
      </c>
      <c r="U1877" s="104" t="str">
        <f>+VLOOKUP(PROVEEDORES[[#This Row],[PROVEEDOR]],Terceros!$A:$D,4,FALSE)</f>
        <v>2,5% con base</v>
      </c>
      <c r="V1877" s="105">
        <f>+YEAR(PROVEEDORES[[#This Row],[FECHA DE FACTURACIÓN]])</f>
        <v>2023</v>
      </c>
      <c r="W1877" s="105">
        <f>+MATCH(PROVEEDORES[[#This Row],[año facturado]],Retenciones!$1:$1,0)</f>
        <v>6</v>
      </c>
      <c r="X1877" s="106">
        <f>+VLOOKUP(PROVEEDORES[[#This Row],[ID RETENCION]],Retenciones!$A$1:$O$25,PROVEEDORES[[#This Row],[indicador de columna]],FALSE)</f>
        <v>1145000</v>
      </c>
      <c r="Y1877" s="107">
        <f>+VLOOKUP(PROVEEDORES[[#This Row],[ID RETENCION]],Retenciones!$A$1:$O$25,2,FALSE)</f>
        <v>2.5000000000000001E-2</v>
      </c>
      <c r="Z1877" s="116" t="b">
        <f>OR(COUNTIF(PROVEEDORES[[#This Row],[PROVEEDOR]],"*"&amp;'Palabra no opera'!$A$2&amp;"*"))</f>
        <v>0</v>
      </c>
    </row>
    <row r="1878" spans="1:26" ht="22.35" customHeight="1" x14ac:dyDescent="0.3">
      <c r="A1878" s="355" t="str">
        <f>+IF(PROVEEDORES[[#This Row],[FECHA DE PAGO]]=PROVEEDORES[[#This Row],[FECHA DE FACTURACIÓN]],"DE CONTADO","CRÉDITO")</f>
        <v>CRÉDITO</v>
      </c>
      <c r="B1878" s="38" t="b">
        <f>+IF((PROVEEDORES[[#This Row],[FECHA DE PAGO]]-PROVEEDORES[[#This Row],[FECHA DE FACTURACIÓN]])&gt;PROVEEDORES[[#This Row],[PLAZO Días]],"PAGO VENCIDO")</f>
        <v>0</v>
      </c>
      <c r="C1878" s="20">
        <f>+VLOOKUP(PROVEEDORES[[#This Row],[PROVEEDOR]],TERCEROS_INFO[#All],2,FALSE)</f>
        <v>30</v>
      </c>
      <c r="D1878" s="25">
        <f>+SUMIFS(PROVEEDORES[Total],PROVEEDORES[PROVEEDOR],PROVEEDORES[[#This Row],[PROVEEDOR]],PROVEEDORES[FECHA DE PAGO],"")</f>
        <v>0</v>
      </c>
      <c r="E1878" s="25"/>
      <c r="F1878" s="56">
        <f>+VLOOKUP(PROVEEDORES[[#This Row],[PROVEEDOR]],
                       Terceros!$A:$F,
                       5,
                       FALSE)</f>
        <v>0</v>
      </c>
      <c r="G1878" s="68">
        <v>45191</v>
      </c>
      <c r="H1878" s="26" t="s">
        <v>471</v>
      </c>
      <c r="I1878" s="68">
        <v>45190</v>
      </c>
      <c r="J1878" s="35" t="s">
        <v>1976</v>
      </c>
      <c r="K1878" s="21">
        <v>1669877</v>
      </c>
      <c r="L1878" s="21"/>
      <c r="M1878" s="22">
        <f>(PROVEEDORES[[#This Row],[SUBTOTAL]]-PROVEEDORES[[#This Row],[descuento sobre subtotal]])*VLOOKUP(PROVEEDORES[[#This Row],[PROVEEDOR]],TERCEROS_INFO[#All],3,FALSE)</f>
        <v>317276.63</v>
      </c>
      <c r="N1878" s="23"/>
      <c r="O1878" s="22">
        <f>+PROVEEDORES[[#This Row],[Descuento sobre subtotal %]]*(PROVEEDORES[[#This Row],[SUBTOTAL]]-PROVEEDORES[[#This Row],[descuento sobre subtotal]])</f>
        <v>0</v>
      </c>
      <c r="P1878" s="74">
        <f>+IF(PROVEEDORES[[#This Row],[SUBTOTAL]]&lt;PROVEEDORES[[#This Row],[base retencion]],0,PROVEEDORES[[#This Row],[retención aplicada]])</f>
        <v>2.5000000000000001E-2</v>
      </c>
      <c r="Q1878" s="22">
        <f>+PROVEEDORES[[#This Row],[Rete Fuente %]]*(PROVEEDORES[[#This Row],[SUBTOTAL]]-PROVEEDORES[[#This Row],[descuento sobre subtotal]])</f>
        <v>41746.925000000003</v>
      </c>
      <c r="R1878" s="21">
        <f>+PROVEEDORES[[#This Row],[SUBTOTAL]]+PROVEEDORES[[#This Row],[IVA 19%]]-PROVEEDORES[[#This Row],[descuento sobre subtotal]]-PROVEEDORES[[#This Row],[Descuento sobre subtotal $2]]-PROVEEDORES[[#This Row],[Rete Fuente $]]</f>
        <v>1945406.7049999998</v>
      </c>
      <c r="S1878" s="3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8" s="63">
        <f ca="1">IF(PROVEEDORES[[#This Row],[FECHA DE PAGO]]=0,TODAY()-PROVEEDORES[[#This Row],[FECHA DE FACTURACIÓN]]-PROVEEDORES[[#This Row],[PLAZO Días]],0)</f>
        <v>0</v>
      </c>
      <c r="U1878" s="104" t="str">
        <f>+VLOOKUP(PROVEEDORES[[#This Row],[PROVEEDOR]],Terceros!$A:$D,4,FALSE)</f>
        <v>2,5% con base</v>
      </c>
      <c r="V1878" s="105">
        <f>+YEAR(PROVEEDORES[[#This Row],[FECHA DE FACTURACIÓN]])</f>
        <v>2023</v>
      </c>
      <c r="W1878" s="105">
        <f>+MATCH(PROVEEDORES[[#This Row],[año facturado]],Retenciones!$1:$1,0)</f>
        <v>6</v>
      </c>
      <c r="X1878" s="106">
        <f>+VLOOKUP(PROVEEDORES[[#This Row],[ID RETENCION]],Retenciones!$A$1:$O$25,PROVEEDORES[[#This Row],[indicador de columna]],FALSE)</f>
        <v>1145000</v>
      </c>
      <c r="Y1878" s="107">
        <f>+VLOOKUP(PROVEEDORES[[#This Row],[ID RETENCION]],Retenciones!$A$1:$O$25,2,FALSE)</f>
        <v>2.5000000000000001E-2</v>
      </c>
      <c r="Z1878" s="116" t="b">
        <f>OR(COUNTIF(PROVEEDORES[[#This Row],[PROVEEDOR]],"*"&amp;'Palabra no opera'!$A$2&amp;"*"))</f>
        <v>0</v>
      </c>
    </row>
    <row r="1879" spans="1:26" ht="22.35" customHeight="1" x14ac:dyDescent="0.3">
      <c r="A1879" s="333" t="str">
        <f>+IF(PROVEEDORES[[#This Row],[FECHA DE PAGO]]=PROVEEDORES[[#This Row],[FECHA DE FACTURACIÓN]],"DE CONTADO","CRÉDITO")</f>
        <v>CRÉDITO</v>
      </c>
      <c r="B1879" s="38" t="str">
        <f>+IF((PROVEEDORES[[#This Row],[FECHA DE PAGO]]-PROVEEDORES[[#This Row],[FECHA DE FACTURACIÓN]])&gt;PROVEEDORES[[#This Row],[PLAZO Días]],"PAGO VENCIDO")</f>
        <v>PAGO VENCIDO</v>
      </c>
      <c r="C1879" s="20">
        <f>+VLOOKUP(PROVEEDORES[[#This Row],[PROVEEDOR]],TERCEROS_INFO[#All],2,FALSE)</f>
        <v>30</v>
      </c>
      <c r="D1879" s="25">
        <f>+SUMIFS(PROVEEDORES[Total],PROVEEDORES[PROVEEDOR],PROVEEDORES[[#This Row],[PROVEEDOR]],PROVEEDORES[FECHA DE PAGO],"")</f>
        <v>5537221.7000000002</v>
      </c>
      <c r="E1879" s="25"/>
      <c r="F1879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879" s="68">
        <v>45191</v>
      </c>
      <c r="H1879" s="26" t="s">
        <v>293</v>
      </c>
      <c r="I1879" s="68">
        <v>45108</v>
      </c>
      <c r="J1879" s="35" t="s">
        <v>1822</v>
      </c>
      <c r="K1879" s="21">
        <v>4879238</v>
      </c>
      <c r="L1879" s="21"/>
      <c r="M1879" s="22">
        <f>(PROVEEDORES[[#This Row],[SUBTOTAL]]-PROVEEDORES[[#This Row],[descuento sobre subtotal]])*VLOOKUP(PROVEEDORES[[#This Row],[PROVEEDOR]],TERCEROS_INFO[#All],3,FALSE)</f>
        <v>927055.22</v>
      </c>
      <c r="N1879" s="23"/>
      <c r="O1879" s="22">
        <f>+PROVEEDORES[[#This Row],[Descuento sobre subtotal %]]*(PROVEEDORES[[#This Row],[SUBTOTAL]]-PROVEEDORES[[#This Row],[descuento sobre subtotal]])</f>
        <v>0</v>
      </c>
      <c r="P1879" s="74">
        <f>+IF(PROVEEDORES[[#This Row],[SUBTOTAL]]&lt;PROVEEDORES[[#This Row],[base retencion]],0,PROVEEDORES[[#This Row],[retención aplicada]])</f>
        <v>2.5000000000000001E-2</v>
      </c>
      <c r="Q1879" s="22">
        <f>+PROVEEDORES[[#This Row],[Rete Fuente %]]*(PROVEEDORES[[#This Row],[SUBTOTAL]]-PROVEEDORES[[#This Row],[descuento sobre subtotal]])</f>
        <v>121980.95000000001</v>
      </c>
      <c r="R1879" s="21">
        <f>+PROVEEDORES[[#This Row],[SUBTOTAL]]+PROVEEDORES[[#This Row],[IVA 19%]]-PROVEEDORES[[#This Row],[descuento sobre subtotal]]-PROVEEDORES[[#This Row],[Descuento sobre subtotal $2]]-PROVEEDORES[[#This Row],[Rete Fuente $]]</f>
        <v>5684312.2699999996</v>
      </c>
      <c r="S1879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9" s="63">
        <f ca="1">IF(PROVEEDORES[[#This Row],[FECHA DE PAGO]]=0,TODAY()-PROVEEDORES[[#This Row],[FECHA DE FACTURACIÓN]]-PROVEEDORES[[#This Row],[PLAZO Días]],0)</f>
        <v>0</v>
      </c>
      <c r="U1879" s="104" t="str">
        <f>+VLOOKUP(PROVEEDORES[[#This Row],[PROVEEDOR]],Terceros!$A:$D,4,FALSE)</f>
        <v>2,5% con base</v>
      </c>
      <c r="V1879" s="105">
        <f>+YEAR(PROVEEDORES[[#This Row],[FECHA DE FACTURACIÓN]])</f>
        <v>2023</v>
      </c>
      <c r="W1879" s="105">
        <f>+MATCH(PROVEEDORES[[#This Row],[año facturado]],Retenciones!$1:$1,0)</f>
        <v>6</v>
      </c>
      <c r="X1879" s="106">
        <f>+VLOOKUP(PROVEEDORES[[#This Row],[ID RETENCION]],Retenciones!$A$1:$O$25,PROVEEDORES[[#This Row],[indicador de columna]],FALSE)</f>
        <v>1145000</v>
      </c>
      <c r="Y1879" s="107">
        <f>+VLOOKUP(PROVEEDORES[[#This Row],[ID RETENCION]],Retenciones!$A$1:$O$25,2,FALSE)</f>
        <v>2.5000000000000001E-2</v>
      </c>
      <c r="Z1879" s="116" t="b">
        <f>OR(COUNTIF(PROVEEDORES[[#This Row],[PROVEEDOR]],"*"&amp;'Palabra no opera'!$A$2&amp;"*"))</f>
        <v>0</v>
      </c>
    </row>
    <row r="1880" spans="1:26" ht="22.35" customHeight="1" x14ac:dyDescent="0.3">
      <c r="A1880" s="67" t="str">
        <f>+IF(PROVEEDORES[[#This Row],[FECHA DE PAGO]]=PROVEEDORES[[#This Row],[FECHA DE FACTURACIÓN]],"DE CONTADO","CRÉDITO")</f>
        <v>CRÉDITO</v>
      </c>
      <c r="B1880" s="38" t="str">
        <f>+IF((PROVEEDORES[[#This Row],[FECHA DE PAGO]]-PROVEEDORES[[#This Row],[FECHA DE FACTURACIÓN]])&gt;PROVEEDORES[[#This Row],[PLAZO Días]],"PAGO VENCIDO")</f>
        <v>PAGO VENCIDO</v>
      </c>
      <c r="C1880" s="20">
        <f>+VLOOKUP(PROVEEDORES[[#This Row],[PROVEEDOR]],TERCEROS_INFO[#All],2,FALSE)</f>
        <v>30</v>
      </c>
      <c r="D1880" s="25">
        <f>+SUMIFS(PROVEEDORES[Total],PROVEEDORES[PROVEEDOR],PROVEEDORES[[#This Row],[PROVEEDOR]],PROVEEDORES[FECHA DE PAGO],"")</f>
        <v>5537221.7000000002</v>
      </c>
      <c r="E1880" s="25"/>
      <c r="F1880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880" s="68">
        <v>45191</v>
      </c>
      <c r="H1880" s="26" t="s">
        <v>293</v>
      </c>
      <c r="I1880" s="68">
        <v>45156</v>
      </c>
      <c r="J1880" s="35" t="s">
        <v>1912</v>
      </c>
      <c r="K1880" s="21">
        <v>1000204</v>
      </c>
      <c r="L1880" s="21"/>
      <c r="M1880" s="22">
        <f>(PROVEEDORES[[#This Row],[SUBTOTAL]]-PROVEEDORES[[#This Row],[descuento sobre subtotal]])*VLOOKUP(PROVEEDORES[[#This Row],[PROVEEDOR]],TERCEROS_INFO[#All],3,FALSE)</f>
        <v>190038.76</v>
      </c>
      <c r="N1880" s="23"/>
      <c r="O1880" s="22">
        <f>+PROVEEDORES[[#This Row],[Descuento sobre subtotal %]]*(PROVEEDORES[[#This Row],[SUBTOTAL]]-PROVEEDORES[[#This Row],[descuento sobre subtotal]])</f>
        <v>0</v>
      </c>
      <c r="P1880" s="74">
        <f>+IF(PROVEEDORES[[#This Row],[SUBTOTAL]]&lt;PROVEEDORES[[#This Row],[base retencion]],0,PROVEEDORES[[#This Row],[retención aplicada]])</f>
        <v>0</v>
      </c>
      <c r="Q1880" s="22">
        <f>+PROVEEDORES[[#This Row],[Rete Fuente %]]*(PROVEEDORES[[#This Row],[SUBTOTAL]]-PROVEEDORES[[#This Row],[descuento sobre subtotal]])</f>
        <v>0</v>
      </c>
      <c r="R1880" s="21">
        <f>+PROVEEDORES[[#This Row],[SUBTOTAL]]+PROVEEDORES[[#This Row],[IVA 19%]]-PROVEEDORES[[#This Row],[descuento sobre subtotal]]-PROVEEDORES[[#This Row],[Descuento sobre subtotal $2]]-PROVEEDORES[[#This Row],[Rete Fuente $]]</f>
        <v>1190242.76</v>
      </c>
      <c r="S18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0" s="63">
        <f ca="1">IF(PROVEEDORES[[#This Row],[FECHA DE PAGO]]=0,TODAY()-PROVEEDORES[[#This Row],[FECHA DE FACTURACIÓN]]-PROVEEDORES[[#This Row],[PLAZO Días]],0)</f>
        <v>0</v>
      </c>
      <c r="U1880" s="104" t="str">
        <f>+VLOOKUP(PROVEEDORES[[#This Row],[PROVEEDOR]],Terceros!$A:$D,4,FALSE)</f>
        <v>2,5% con base</v>
      </c>
      <c r="V1880" s="105">
        <f>+YEAR(PROVEEDORES[[#This Row],[FECHA DE FACTURACIÓN]])</f>
        <v>2023</v>
      </c>
      <c r="W1880" s="105">
        <f>+MATCH(PROVEEDORES[[#This Row],[año facturado]],Retenciones!$1:$1,0)</f>
        <v>6</v>
      </c>
      <c r="X1880" s="106">
        <f>+VLOOKUP(PROVEEDORES[[#This Row],[ID RETENCION]],Retenciones!$A$1:$O$25,PROVEEDORES[[#This Row],[indicador de columna]],FALSE)</f>
        <v>1145000</v>
      </c>
      <c r="Y1880" s="107">
        <f>+VLOOKUP(PROVEEDORES[[#This Row],[ID RETENCION]],Retenciones!$A$1:$O$25,2,FALSE)</f>
        <v>2.5000000000000001E-2</v>
      </c>
      <c r="Z1880" s="116" t="b">
        <f>OR(COUNTIF(PROVEEDORES[[#This Row],[PROVEEDOR]],"*"&amp;'Palabra no opera'!$A$2&amp;"*"))</f>
        <v>0</v>
      </c>
    </row>
    <row r="1881" spans="1:26" ht="22.35" customHeight="1" x14ac:dyDescent="0.3">
      <c r="A1881" s="67" t="str">
        <f>+IF(PROVEEDORES[[#This Row],[FECHA DE PAGO]]=PROVEEDORES[[#This Row],[FECHA DE FACTURACIÓN]],"DE CONTADO","CRÉDITO")</f>
        <v>CRÉDITO</v>
      </c>
      <c r="B1881" s="38" t="str">
        <f>+IF((PROVEEDORES[[#This Row],[FECHA DE PAGO]]-PROVEEDORES[[#This Row],[FECHA DE FACTURACIÓN]])&gt;PROVEEDORES[[#This Row],[PLAZO Días]],"PAGO VENCIDO")</f>
        <v>PAGO VENCIDO</v>
      </c>
      <c r="C1881" s="20">
        <f>+VLOOKUP(PROVEEDORES[[#This Row],[PROVEEDOR]],TERCEROS_INFO[#All],2,FALSE)</f>
        <v>30</v>
      </c>
      <c r="D1881" s="25">
        <f>+SUMIFS(PROVEEDORES[Total],PROVEEDORES[PROVEEDOR],PROVEEDORES[[#This Row],[PROVEEDOR]],PROVEEDORES[FECHA DE PAGO],"")</f>
        <v>18444236.894999996</v>
      </c>
      <c r="E1881" s="25"/>
      <c r="F188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81" s="68">
        <v>45191</v>
      </c>
      <c r="H1881" s="26" t="s">
        <v>11</v>
      </c>
      <c r="I1881" s="68">
        <v>45133</v>
      </c>
      <c r="J1881" s="35" t="s">
        <v>1837</v>
      </c>
      <c r="K1881" s="21">
        <v>1552944</v>
      </c>
      <c r="L1881" s="21"/>
      <c r="M1881" s="22">
        <f>(PROVEEDORES[[#This Row],[SUBTOTAL]]-PROVEEDORES[[#This Row],[descuento sobre subtotal]])*VLOOKUP(PROVEEDORES[[#This Row],[PROVEEDOR]],TERCEROS_INFO[#All],3,FALSE)</f>
        <v>295059.36</v>
      </c>
      <c r="N1881" s="23"/>
      <c r="O1881" s="22">
        <f>+PROVEEDORES[[#This Row],[Descuento sobre subtotal %]]*(PROVEEDORES[[#This Row],[SUBTOTAL]]-PROVEEDORES[[#This Row],[descuento sobre subtotal]])</f>
        <v>0</v>
      </c>
      <c r="P1881" s="74">
        <f>+IF(PROVEEDORES[[#This Row],[SUBTOTAL]]&lt;PROVEEDORES[[#This Row],[base retencion]],0,PROVEEDORES[[#This Row],[retención aplicada]])</f>
        <v>2.5000000000000001E-2</v>
      </c>
      <c r="Q1881" s="22">
        <f>+PROVEEDORES[[#This Row],[Rete Fuente %]]*(PROVEEDORES[[#This Row],[SUBTOTAL]]-PROVEEDORES[[#This Row],[descuento sobre subtotal]])</f>
        <v>38823.599999999999</v>
      </c>
      <c r="R1881" s="21">
        <f>+PROVEEDORES[[#This Row],[SUBTOTAL]]+PROVEEDORES[[#This Row],[IVA 19%]]-PROVEEDORES[[#This Row],[descuento sobre subtotal]]-PROVEEDORES[[#This Row],[Descuento sobre subtotal $2]]-PROVEEDORES[[#This Row],[Rete Fuente $]]</f>
        <v>1809179.7599999998</v>
      </c>
      <c r="S18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1" s="63">
        <f ca="1">IF(PROVEEDORES[[#This Row],[FECHA DE PAGO]]=0,TODAY()-PROVEEDORES[[#This Row],[FECHA DE FACTURACIÓN]]-PROVEEDORES[[#This Row],[PLAZO Días]],0)</f>
        <v>0</v>
      </c>
      <c r="U1881" s="104" t="str">
        <f>+VLOOKUP(PROVEEDORES[[#This Row],[PROVEEDOR]],Terceros!$A:$D,4,FALSE)</f>
        <v>2,5% con base</v>
      </c>
      <c r="V1881" s="105">
        <f>+YEAR(PROVEEDORES[[#This Row],[FECHA DE FACTURACIÓN]])</f>
        <v>2023</v>
      </c>
      <c r="W1881" s="105">
        <f>+MATCH(PROVEEDORES[[#This Row],[año facturado]],Retenciones!$1:$1,0)</f>
        <v>6</v>
      </c>
      <c r="X1881" s="106">
        <f>+VLOOKUP(PROVEEDORES[[#This Row],[ID RETENCION]],Retenciones!$A$1:$O$25,PROVEEDORES[[#This Row],[indicador de columna]],FALSE)</f>
        <v>1145000</v>
      </c>
      <c r="Y1881" s="107">
        <f>+VLOOKUP(PROVEEDORES[[#This Row],[ID RETENCION]],Retenciones!$A$1:$O$25,2,FALSE)</f>
        <v>2.5000000000000001E-2</v>
      </c>
      <c r="Z1881" s="116" t="b">
        <f>OR(COUNTIF(PROVEEDORES[[#This Row],[PROVEEDOR]],"*"&amp;'Palabra no opera'!$A$2&amp;"*"))</f>
        <v>0</v>
      </c>
    </row>
    <row r="1882" spans="1:26" ht="22.35" customHeight="1" x14ac:dyDescent="0.3">
      <c r="A1882" s="67" t="str">
        <f>+IF(PROVEEDORES[[#This Row],[FECHA DE PAGO]]=PROVEEDORES[[#This Row],[FECHA DE FACTURACIÓN]],"DE CONTADO","CRÉDITO")</f>
        <v>DE CONTADO</v>
      </c>
      <c r="B1882" s="38" t="b">
        <f>+IF((PROVEEDORES[[#This Row],[FECHA DE PAGO]]-PROVEEDORES[[#This Row],[FECHA DE FACTURACIÓN]])&gt;PROVEEDORES[[#This Row],[PLAZO Días]],"PAGO VENCIDO")</f>
        <v>0</v>
      </c>
      <c r="C1882" s="20">
        <f>+VLOOKUP(PROVEEDORES[[#This Row],[PROVEEDOR]],TERCEROS_INFO[#All],2,FALSE)</f>
        <v>0</v>
      </c>
      <c r="D1882" s="25">
        <f>+SUMIFS(PROVEEDORES[Total],PROVEEDORES[PROVEEDOR],PROVEEDORES[[#This Row],[PROVEEDOR]],PROVEEDORES[FECHA DE PAGO],"")</f>
        <v>0</v>
      </c>
      <c r="E1882" s="25"/>
      <c r="F1882" s="56">
        <f>+VLOOKUP(PROVEEDORES[[#This Row],[PROVEEDOR]],
                       Terceros!$A:$F,
                       5,
                       FALSE)</f>
        <v>0</v>
      </c>
      <c r="G1882" s="68">
        <v>45191</v>
      </c>
      <c r="H1882" s="26" t="s">
        <v>1883</v>
      </c>
      <c r="I1882" s="68">
        <v>45191</v>
      </c>
      <c r="J1882" s="35" t="s">
        <v>1952</v>
      </c>
      <c r="K1882" s="21">
        <v>105212</v>
      </c>
      <c r="L1882" s="21"/>
      <c r="M1882" s="22">
        <f>(PROVEEDORES[[#This Row],[SUBTOTAL]]-PROVEEDORES[[#This Row],[descuento sobre subtotal]])*VLOOKUP(PROVEEDORES[[#This Row],[PROVEEDOR]],TERCEROS_INFO[#All],3,FALSE)</f>
        <v>19990.28</v>
      </c>
      <c r="N1882" s="23"/>
      <c r="O1882" s="22">
        <f>+PROVEEDORES[[#This Row],[Descuento sobre subtotal %]]*(PROVEEDORES[[#This Row],[SUBTOTAL]]-PROVEEDORES[[#This Row],[descuento sobre subtotal]])</f>
        <v>0</v>
      </c>
      <c r="P1882" s="74">
        <f>+IF(PROVEEDORES[[#This Row],[SUBTOTAL]]&lt;PROVEEDORES[[#This Row],[base retencion]],0,PROVEEDORES[[#This Row],[retención aplicada]])</f>
        <v>0.11</v>
      </c>
      <c r="Q1882" s="22">
        <f>+PROVEEDORES[[#This Row],[Rete Fuente %]]*(PROVEEDORES[[#This Row],[SUBTOTAL]]-PROVEEDORES[[#This Row],[descuento sobre subtotal]])</f>
        <v>11573.32</v>
      </c>
      <c r="R1882" s="21">
        <f>+PROVEEDORES[[#This Row],[SUBTOTAL]]+PROVEEDORES[[#This Row],[IVA 19%]]-PROVEEDORES[[#This Row],[descuento sobre subtotal]]-PROVEEDORES[[#This Row],[Descuento sobre subtotal $2]]-PROVEEDORES[[#This Row],[Rete Fuente $]]</f>
        <v>113628.95999999999</v>
      </c>
      <c r="S18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2" s="63">
        <f ca="1">IF(PROVEEDORES[[#This Row],[FECHA DE PAGO]]=0,TODAY()-PROVEEDORES[[#This Row],[FECHA DE FACTURACIÓN]]-PROVEEDORES[[#This Row],[PLAZO Días]],0)</f>
        <v>0</v>
      </c>
      <c r="U1882" s="104" t="str">
        <f>+VLOOKUP(PROVEEDORES[[#This Row],[PROVEEDOR]],Terceros!$A:$D,4,FALSE)</f>
        <v>11% sin base</v>
      </c>
      <c r="V1882" s="105">
        <f>+YEAR(PROVEEDORES[[#This Row],[FECHA DE FACTURACIÓN]])</f>
        <v>2023</v>
      </c>
      <c r="W1882" s="105">
        <f>+MATCH(PROVEEDORES[[#This Row],[año facturado]],Retenciones!$1:$1,0)</f>
        <v>6</v>
      </c>
      <c r="X1882" s="106">
        <f>+VLOOKUP(PROVEEDORES[[#This Row],[ID RETENCION]],Retenciones!$A$1:$O$25,PROVEEDORES[[#This Row],[indicador de columna]],FALSE)</f>
        <v>0</v>
      </c>
      <c r="Y1882" s="107">
        <f>+VLOOKUP(PROVEEDORES[[#This Row],[ID RETENCION]],Retenciones!$A$1:$O$25,2,FALSE)</f>
        <v>0.11</v>
      </c>
      <c r="Z1882" s="116" t="b">
        <f>OR(COUNTIF(PROVEEDORES[[#This Row],[PROVEEDOR]],"*"&amp;'Palabra no opera'!$A$2&amp;"*"))</f>
        <v>0</v>
      </c>
    </row>
    <row r="1883" spans="1:26" ht="22.35" customHeight="1" x14ac:dyDescent="0.3">
      <c r="A1883" s="367" t="str">
        <f>+IF(PROVEEDORES[[#This Row],[FECHA DE PAGO]]=PROVEEDORES[[#This Row],[FECHA DE FACTURACIÓN]],"DE CONTADO","CRÉDITO")</f>
        <v>DE CONTADO</v>
      </c>
      <c r="B1883" s="38" t="b">
        <f>+IF((PROVEEDORES[[#This Row],[FECHA DE PAGO]]-PROVEEDORES[[#This Row],[FECHA DE FACTURACIÓN]])&gt;PROVEEDORES[[#This Row],[PLAZO Días]],"PAGO VENCIDO")</f>
        <v>0</v>
      </c>
      <c r="C1883" s="20">
        <f>+VLOOKUP(PROVEEDORES[[#This Row],[PROVEEDOR]],TERCEROS_INFO[#All],2,FALSE)</f>
        <v>30</v>
      </c>
      <c r="D1883" s="25">
        <f>+SUMIFS(PROVEEDORES[Total],PROVEEDORES[PROVEEDOR],PROVEEDORES[[#This Row],[PROVEEDOR]],PROVEEDORES[FECHA DE PAGO],"")</f>
        <v>0</v>
      </c>
      <c r="E1883" s="25"/>
      <c r="F1883" s="56" t="str">
        <f>+VLOOKUP(PROVEEDORES[[#This Row],[PROVEEDOR]],
                       Terceros!$A:$F,
                       5,
                       FALSE)</f>
        <v/>
      </c>
      <c r="G1883" s="68">
        <v>45192</v>
      </c>
      <c r="H1883" s="26" t="s">
        <v>378</v>
      </c>
      <c r="I1883" s="68">
        <v>45192</v>
      </c>
      <c r="J1883" s="35" t="s">
        <v>2011</v>
      </c>
      <c r="K1883" s="21">
        <v>900000</v>
      </c>
      <c r="L1883" s="21"/>
      <c r="M1883" s="22">
        <f>(PROVEEDORES[[#This Row],[SUBTOTAL]]-PROVEEDORES[[#This Row],[descuento sobre subtotal]])*VLOOKUP(PROVEEDORES[[#This Row],[PROVEEDOR]],TERCEROS_INFO[#All],3,FALSE)</f>
        <v>0</v>
      </c>
      <c r="N1883" s="23"/>
      <c r="O1883" s="22">
        <f>+PROVEEDORES[[#This Row],[Descuento sobre subtotal %]]*(PROVEEDORES[[#This Row],[SUBTOTAL]]-PROVEEDORES[[#This Row],[descuento sobre subtotal]])</f>
        <v>0</v>
      </c>
      <c r="P1883" s="74">
        <f>+IF(PROVEEDORES[[#This Row],[SUBTOTAL]]&lt;PROVEEDORES[[#This Row],[base retencion]],0,PROVEEDORES[[#This Row],[retención aplicada]])</f>
        <v>0</v>
      </c>
      <c r="Q1883" s="22">
        <f>+PROVEEDORES[[#This Row],[Rete Fuente %]]*(PROVEEDORES[[#This Row],[SUBTOTAL]]-PROVEEDORES[[#This Row],[descuento sobre subtotal]])</f>
        <v>0</v>
      </c>
      <c r="R1883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883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3" s="63">
        <f ca="1">IF(PROVEEDORES[[#This Row],[FECHA DE PAGO]]=0,TODAY()-PROVEEDORES[[#This Row],[FECHA DE FACTURACIÓN]]-PROVEEDORES[[#This Row],[PLAZO Días]],0)</f>
        <v>0</v>
      </c>
      <c r="U1883" s="104">
        <f>+VLOOKUP(PROVEEDORES[[#This Row],[PROVEEDOR]],Terceros!$A:$D,4,FALSE)</f>
        <v>0</v>
      </c>
      <c r="V1883" s="105">
        <f>+YEAR(PROVEEDORES[[#This Row],[FECHA DE FACTURACIÓN]])</f>
        <v>2023</v>
      </c>
      <c r="W1883" s="105">
        <f>+MATCH(PROVEEDORES[[#This Row],[año facturado]],Retenciones!$1:$1,0)</f>
        <v>6</v>
      </c>
      <c r="X1883" s="106">
        <f>+VLOOKUP(PROVEEDORES[[#This Row],[ID RETENCION]],Retenciones!$A$1:$O$25,PROVEEDORES[[#This Row],[indicador de columna]],FALSE)</f>
        <v>0</v>
      </c>
      <c r="Y1883" s="107">
        <f>+VLOOKUP(PROVEEDORES[[#This Row],[ID RETENCION]],Retenciones!$A$1:$O$25,2,FALSE)</f>
        <v>0</v>
      </c>
      <c r="Z1883" s="116" t="b">
        <f>OR(COUNTIF(PROVEEDORES[[#This Row],[PROVEEDOR]],"*"&amp;'Palabra no opera'!$A$2&amp;"*"))</f>
        <v>0</v>
      </c>
    </row>
    <row r="1884" spans="1:26" ht="22.35" customHeight="1" x14ac:dyDescent="0.3">
      <c r="A1884" s="67" t="str">
        <f>+IF(PROVEEDORES[[#This Row],[FECHA DE PAGO]]=PROVEEDORES[[#This Row],[FECHA DE FACTURACIÓN]],"DE CONTADO","CRÉDITO")</f>
        <v>CRÉDITO</v>
      </c>
      <c r="B1884" s="38" t="str">
        <f>+IF((PROVEEDORES[[#This Row],[FECHA DE PAGO]]-PROVEEDORES[[#This Row],[FECHA DE FACTURACIÓN]])&gt;PROVEEDORES[[#This Row],[PLAZO Días]],"PAGO VENCIDO")</f>
        <v>PAGO VENCIDO</v>
      </c>
      <c r="C1884" s="20">
        <f>+VLOOKUP(PROVEEDORES[[#This Row],[PROVEEDOR]],TERCEROS_INFO[#All],2,FALSE)</f>
        <v>30</v>
      </c>
      <c r="D1884" s="25">
        <f>+SUMIFS(PROVEEDORES[Total],PROVEEDORES[PROVEEDOR],PROVEEDORES[[#This Row],[PROVEEDOR]],PROVEEDORES[FECHA DE PAGO],"")</f>
        <v>0</v>
      </c>
      <c r="E1884" s="25"/>
      <c r="F1884" s="56">
        <f>+VLOOKUP(PROVEEDORES[[#This Row],[PROVEEDOR]],
                       Terceros!$A:$F,
                       5,
                       FALSE)</f>
        <v>0</v>
      </c>
      <c r="G1884" s="68">
        <v>45194</v>
      </c>
      <c r="H1884" s="95" t="s">
        <v>1287</v>
      </c>
      <c r="I1884" s="68">
        <v>45120</v>
      </c>
      <c r="J1884" s="35">
        <v>461</v>
      </c>
      <c r="K1884" s="21">
        <v>780000</v>
      </c>
      <c r="L1884" s="21">
        <v>148200</v>
      </c>
      <c r="M1884" s="22">
        <f>(PROVEEDORES[[#This Row],[SUBTOTAL]]-PROVEEDORES[[#This Row],[descuento sobre subtotal]])*VLOOKUP(PROVEEDORES[[#This Row],[PROVEEDOR]],TERCEROS_INFO[#All],3,FALSE)</f>
        <v>0</v>
      </c>
      <c r="N1884" s="23"/>
      <c r="O1884" s="22">
        <f>+PROVEEDORES[[#This Row],[Descuento sobre subtotal %]]*(PROVEEDORES[[#This Row],[SUBTOTAL]]-PROVEEDORES[[#This Row],[descuento sobre subtotal]])</f>
        <v>0</v>
      </c>
      <c r="P1884" s="74">
        <f>+IF(PROVEEDORES[[#This Row],[SUBTOTAL]]&lt;PROVEEDORES[[#This Row],[base retencion]],0,PROVEEDORES[[#This Row],[retención aplicada]])</f>
        <v>0</v>
      </c>
      <c r="Q1884" s="22">
        <f>+PROVEEDORES[[#This Row],[Rete Fuente %]]*(PROVEEDORES[[#This Row],[SUBTOTAL]]-PROVEEDORES[[#This Row],[descuento sobre subtotal]])</f>
        <v>0</v>
      </c>
      <c r="R1884" s="21">
        <f>+PROVEEDORES[[#This Row],[SUBTOTAL]]+PROVEEDORES[[#This Row],[IVA 19%]]-PROVEEDORES[[#This Row],[descuento sobre subtotal]]-PROVEEDORES[[#This Row],[Descuento sobre subtotal $2]]-PROVEEDORES[[#This Row],[Rete Fuente $]]</f>
        <v>631800</v>
      </c>
      <c r="S18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4" s="63">
        <f ca="1">IF(PROVEEDORES[[#This Row],[FECHA DE PAGO]]=0,TODAY()-PROVEEDORES[[#This Row],[FECHA DE FACTURACIÓN]]-PROVEEDORES[[#This Row],[PLAZO Días]],0)</f>
        <v>0</v>
      </c>
      <c r="U1884" s="104">
        <f>+VLOOKUP(PROVEEDORES[[#This Row],[PROVEEDOR]],Terceros!$A:$D,4,FALSE)</f>
        <v>0</v>
      </c>
      <c r="V1884" s="105">
        <f>+YEAR(PROVEEDORES[[#This Row],[FECHA DE FACTURACIÓN]])</f>
        <v>2023</v>
      </c>
      <c r="W1884" s="105">
        <f>+MATCH(PROVEEDORES[[#This Row],[año facturado]],Retenciones!$1:$1,0)</f>
        <v>6</v>
      </c>
      <c r="X1884" s="106">
        <f>+VLOOKUP(PROVEEDORES[[#This Row],[ID RETENCION]],Retenciones!$A$1:$O$25,PROVEEDORES[[#This Row],[indicador de columna]],FALSE)</f>
        <v>0</v>
      </c>
      <c r="Y1884" s="107">
        <f>+VLOOKUP(PROVEEDORES[[#This Row],[ID RETENCION]],Retenciones!$A$1:$O$25,2,FALSE)</f>
        <v>0</v>
      </c>
      <c r="Z1884" s="116" t="b">
        <f>OR(COUNTIF(PROVEEDORES[[#This Row],[PROVEEDOR]],"*"&amp;'Palabra no opera'!$A$2&amp;"*"))</f>
        <v>0</v>
      </c>
    </row>
    <row r="1885" spans="1:26" ht="22.35" customHeight="1" x14ac:dyDescent="0.3">
      <c r="A1885" s="337" t="str">
        <f>+IF(PROVEEDORES[[#This Row],[FECHA DE PAGO]]=PROVEEDORES[[#This Row],[FECHA DE FACTURACIÓN]],"DE CONTADO","CRÉDITO")</f>
        <v>CRÉDITO</v>
      </c>
      <c r="B1885" s="38" t="str">
        <f>+IF((PROVEEDORES[[#This Row],[FECHA DE PAGO]]-PROVEEDORES[[#This Row],[FECHA DE FACTURACIÓN]])&gt;PROVEEDORES[[#This Row],[PLAZO Días]],"PAGO VENCIDO")</f>
        <v>PAGO VENCIDO</v>
      </c>
      <c r="C1885" s="20">
        <f>+VLOOKUP(PROVEEDORES[[#This Row],[PROVEEDOR]],TERCEROS_INFO[#All],2,FALSE)</f>
        <v>30</v>
      </c>
      <c r="D1885" s="25">
        <f>+SUMIFS(PROVEEDORES[Total],PROVEEDORES[PROVEEDOR],PROVEEDORES[[#This Row],[PROVEEDOR]],PROVEEDORES[FECHA DE PAGO],"")</f>
        <v>0</v>
      </c>
      <c r="E1885" s="25"/>
      <c r="F1885" s="56">
        <f>+VLOOKUP(PROVEEDORES[[#This Row],[PROVEEDOR]],
                       Terceros!$A:$F,
                       5,
                       FALSE)</f>
        <v>0</v>
      </c>
      <c r="G1885" s="68">
        <v>45194</v>
      </c>
      <c r="H1885" s="95" t="s">
        <v>1287</v>
      </c>
      <c r="I1885" s="68">
        <v>45134</v>
      </c>
      <c r="J1885" s="35">
        <v>474</v>
      </c>
      <c r="K1885" s="21">
        <v>621600</v>
      </c>
      <c r="L1885" s="21">
        <v>118104</v>
      </c>
      <c r="M1885" s="22">
        <f>(PROVEEDORES[[#This Row],[SUBTOTAL]]-PROVEEDORES[[#This Row],[descuento sobre subtotal]])*VLOOKUP(PROVEEDORES[[#This Row],[PROVEEDOR]],TERCEROS_INFO[#All],3,FALSE)</f>
        <v>0</v>
      </c>
      <c r="N1885" s="23"/>
      <c r="O1885" s="22">
        <f>+PROVEEDORES[[#This Row],[Descuento sobre subtotal %]]*(PROVEEDORES[[#This Row],[SUBTOTAL]]-PROVEEDORES[[#This Row],[descuento sobre subtotal]])</f>
        <v>0</v>
      </c>
      <c r="P1885" s="74">
        <f>+IF(PROVEEDORES[[#This Row],[SUBTOTAL]]&lt;PROVEEDORES[[#This Row],[base retencion]],0,PROVEEDORES[[#This Row],[retención aplicada]])</f>
        <v>0</v>
      </c>
      <c r="Q1885" s="22">
        <f>+PROVEEDORES[[#This Row],[Rete Fuente %]]*(PROVEEDORES[[#This Row],[SUBTOTAL]]-PROVEEDORES[[#This Row],[descuento sobre subtotal]])</f>
        <v>0</v>
      </c>
      <c r="R1885" s="21">
        <f>+PROVEEDORES[[#This Row],[SUBTOTAL]]+PROVEEDORES[[#This Row],[IVA 19%]]-PROVEEDORES[[#This Row],[descuento sobre subtotal]]-PROVEEDORES[[#This Row],[Descuento sobre subtotal $2]]-PROVEEDORES[[#This Row],[Rete Fuente $]]</f>
        <v>503496</v>
      </c>
      <c r="S1885" s="3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5" s="63">
        <f ca="1">IF(PROVEEDORES[[#This Row],[FECHA DE PAGO]]=0,TODAY()-PROVEEDORES[[#This Row],[FECHA DE FACTURACIÓN]]-PROVEEDORES[[#This Row],[PLAZO Días]],0)</f>
        <v>0</v>
      </c>
      <c r="U1885" s="104">
        <f>+VLOOKUP(PROVEEDORES[[#This Row],[PROVEEDOR]],Terceros!$A:$D,4,FALSE)</f>
        <v>0</v>
      </c>
      <c r="V1885" s="105">
        <f>+YEAR(PROVEEDORES[[#This Row],[FECHA DE FACTURACIÓN]])</f>
        <v>2023</v>
      </c>
      <c r="W1885" s="105">
        <f>+MATCH(PROVEEDORES[[#This Row],[año facturado]],Retenciones!$1:$1,0)</f>
        <v>6</v>
      </c>
      <c r="X1885" s="106">
        <f>+VLOOKUP(PROVEEDORES[[#This Row],[ID RETENCION]],Retenciones!$A$1:$O$25,PROVEEDORES[[#This Row],[indicador de columna]],FALSE)</f>
        <v>0</v>
      </c>
      <c r="Y1885" s="107">
        <f>+VLOOKUP(PROVEEDORES[[#This Row],[ID RETENCION]],Retenciones!$A$1:$O$25,2,FALSE)</f>
        <v>0</v>
      </c>
      <c r="Z1885" s="116" t="b">
        <f>OR(COUNTIF(PROVEEDORES[[#This Row],[PROVEEDOR]],"*"&amp;'Palabra no opera'!$A$2&amp;"*"))</f>
        <v>0</v>
      </c>
    </row>
    <row r="1886" spans="1:26" ht="22.35" customHeight="1" x14ac:dyDescent="0.3">
      <c r="A1886" s="349" t="str">
        <f>+IF(PROVEEDORES[[#This Row],[FECHA DE PAGO]]=PROVEEDORES[[#This Row],[FECHA DE FACTURACIÓN]],"DE CONTADO","CRÉDITO")</f>
        <v>CRÉDITO</v>
      </c>
      <c r="B1886" s="38" t="str">
        <f>+IF((PROVEEDORES[[#This Row],[FECHA DE PAGO]]-PROVEEDORES[[#This Row],[FECHA DE FACTURACIÓN]])&gt;PROVEEDORES[[#This Row],[PLAZO Días]],"PAGO VENCIDO")</f>
        <v>PAGO VENCIDO</v>
      </c>
      <c r="C1886" s="20">
        <f>+VLOOKUP(PROVEEDORES[[#This Row],[PROVEEDOR]],TERCEROS_INFO[#All],2,FALSE)</f>
        <v>30</v>
      </c>
      <c r="D1886" s="25">
        <f>+SUMIFS(PROVEEDORES[Total],PROVEEDORES[PROVEEDOR],PROVEEDORES[[#This Row],[PROVEEDOR]],PROVEEDORES[FECHA DE PAGO],"")</f>
        <v>0</v>
      </c>
      <c r="E1886" s="25"/>
      <c r="F1886" s="56">
        <f>+VLOOKUP(PROVEEDORES[[#This Row],[PROVEEDOR]],
                       Terceros!$A:$F,
                       5,
                       FALSE)</f>
        <v>0</v>
      </c>
      <c r="G1886" s="68">
        <v>45194</v>
      </c>
      <c r="H1886" s="26" t="s">
        <v>1287</v>
      </c>
      <c r="I1886" s="68">
        <v>45155</v>
      </c>
      <c r="J1886" s="35">
        <v>491</v>
      </c>
      <c r="K1886" s="21">
        <v>300000</v>
      </c>
      <c r="L1886" s="21"/>
      <c r="M1886" s="22">
        <f>(PROVEEDORES[[#This Row],[SUBTOTAL]]-PROVEEDORES[[#This Row],[descuento sobre subtotal]])*VLOOKUP(PROVEEDORES[[#This Row],[PROVEEDOR]],TERCEROS_INFO[#All],3,FALSE)</f>
        <v>0</v>
      </c>
      <c r="N1886" s="23"/>
      <c r="O1886" s="22">
        <f>+PROVEEDORES[[#This Row],[Descuento sobre subtotal %]]*(PROVEEDORES[[#This Row],[SUBTOTAL]]-PROVEEDORES[[#This Row],[descuento sobre subtotal]])</f>
        <v>0</v>
      </c>
      <c r="P1886" s="74">
        <f>+IF(PROVEEDORES[[#This Row],[SUBTOTAL]]&lt;PROVEEDORES[[#This Row],[base retencion]],0,PROVEEDORES[[#This Row],[retención aplicada]])</f>
        <v>0</v>
      </c>
      <c r="Q1886" s="22">
        <f>+PROVEEDORES[[#This Row],[Rete Fuente %]]*(PROVEEDORES[[#This Row],[SUBTOTAL]]-PROVEEDORES[[#This Row],[descuento sobre subtotal]])</f>
        <v>0</v>
      </c>
      <c r="R1886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886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6" s="63">
        <f ca="1">IF(PROVEEDORES[[#This Row],[FECHA DE PAGO]]=0,TODAY()-PROVEEDORES[[#This Row],[FECHA DE FACTURACIÓN]]-PROVEEDORES[[#This Row],[PLAZO Días]],0)</f>
        <v>0</v>
      </c>
      <c r="U1886" s="104">
        <f>+VLOOKUP(PROVEEDORES[[#This Row],[PROVEEDOR]],Terceros!$A:$D,4,FALSE)</f>
        <v>0</v>
      </c>
      <c r="V1886" s="105">
        <f>+YEAR(PROVEEDORES[[#This Row],[FECHA DE FACTURACIÓN]])</f>
        <v>2023</v>
      </c>
      <c r="W1886" s="105">
        <f>+MATCH(PROVEEDORES[[#This Row],[año facturado]],Retenciones!$1:$1,0)</f>
        <v>6</v>
      </c>
      <c r="X1886" s="106">
        <f>+VLOOKUP(PROVEEDORES[[#This Row],[ID RETENCION]],Retenciones!$A$1:$O$25,PROVEEDORES[[#This Row],[indicador de columna]],FALSE)</f>
        <v>0</v>
      </c>
      <c r="Y1886" s="107">
        <f>+VLOOKUP(PROVEEDORES[[#This Row],[ID RETENCION]],Retenciones!$A$1:$O$25,2,FALSE)</f>
        <v>0</v>
      </c>
      <c r="Z1886" s="116" t="b">
        <f>OR(COUNTIF(PROVEEDORES[[#This Row],[PROVEEDOR]],"*"&amp;'Palabra no opera'!$A$2&amp;"*"))</f>
        <v>0</v>
      </c>
    </row>
    <row r="1887" spans="1:26" ht="22.35" customHeight="1" x14ac:dyDescent="0.3">
      <c r="A1887" s="67" t="str">
        <f>+IF(PROVEEDORES[[#This Row],[FECHA DE PAGO]]=PROVEEDORES[[#This Row],[FECHA DE FACTURACIÓN]],"DE CONTADO","CRÉDITO")</f>
        <v>CRÉDITO</v>
      </c>
      <c r="B1887" s="38" t="str">
        <f>+IF((PROVEEDORES[[#This Row],[FECHA DE PAGO]]-PROVEEDORES[[#This Row],[FECHA DE FACTURACIÓN]])&gt;PROVEEDORES[[#This Row],[PLAZO Días]],"PAGO VENCIDO")</f>
        <v>PAGO VENCIDO</v>
      </c>
      <c r="C1887" s="20">
        <f>+VLOOKUP(PROVEEDORES[[#This Row],[PROVEEDOR]],TERCEROS_INFO[#All],2,FALSE)</f>
        <v>30</v>
      </c>
      <c r="D1887" s="25">
        <f>+SUMIFS(PROVEEDORES[Total],PROVEEDORES[PROVEEDOR],PROVEEDORES[[#This Row],[PROVEEDOR]],PROVEEDORES[FECHA DE PAGO],"")</f>
        <v>4282200</v>
      </c>
      <c r="E1887" s="25"/>
      <c r="F1887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87" s="68">
        <v>45194</v>
      </c>
      <c r="H1887" s="26" t="s">
        <v>406</v>
      </c>
      <c r="I1887" s="68">
        <v>45055</v>
      </c>
      <c r="J1887" s="35">
        <v>4136</v>
      </c>
      <c r="K1887" s="21">
        <v>44000</v>
      </c>
      <c r="L1887" s="21"/>
      <c r="M1887" s="22">
        <f>(PROVEEDORES[[#This Row],[SUBTOTAL]]-PROVEEDORES[[#This Row],[descuento sobre subtotal]])*VLOOKUP(PROVEEDORES[[#This Row],[PROVEEDOR]],TERCEROS_INFO[#All],3,FALSE)</f>
        <v>0</v>
      </c>
      <c r="N1887" s="23"/>
      <c r="O1887" s="22">
        <f>+PROVEEDORES[[#This Row],[Descuento sobre subtotal %]]*(PROVEEDORES[[#This Row],[SUBTOTAL]]-PROVEEDORES[[#This Row],[descuento sobre subtotal]])</f>
        <v>0</v>
      </c>
      <c r="P1887" s="74">
        <f>+IF(PROVEEDORES[[#This Row],[SUBTOTAL]]&lt;PROVEEDORES[[#This Row],[base retencion]],0,PROVEEDORES[[#This Row],[retención aplicada]])</f>
        <v>0</v>
      </c>
      <c r="Q1887" s="22">
        <f>+PROVEEDORES[[#This Row],[Rete Fuente %]]*(PROVEEDORES[[#This Row],[SUBTOTAL]]-PROVEEDORES[[#This Row],[descuento sobre subtotal]])</f>
        <v>0</v>
      </c>
      <c r="R1887" s="21">
        <f>+PROVEEDORES[[#This Row],[SUBTOTAL]]+PROVEEDORES[[#This Row],[IVA 19%]]-PROVEEDORES[[#This Row],[descuento sobre subtotal]]-PROVEEDORES[[#This Row],[Descuento sobre subtotal $2]]-PROVEEDORES[[#This Row],[Rete Fuente $]]</f>
        <v>44000</v>
      </c>
      <c r="S18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7" s="63">
        <f ca="1">IF(PROVEEDORES[[#This Row],[FECHA DE PAGO]]=0,TODAY()-PROVEEDORES[[#This Row],[FECHA DE FACTURACIÓN]]-PROVEEDORES[[#This Row],[PLAZO Días]],0)</f>
        <v>0</v>
      </c>
      <c r="U1887" s="104">
        <f>+VLOOKUP(PROVEEDORES[[#This Row],[PROVEEDOR]],Terceros!$A:$D,4,FALSE)</f>
        <v>0</v>
      </c>
      <c r="V1887" s="105">
        <f>+YEAR(PROVEEDORES[[#This Row],[FECHA DE FACTURACIÓN]])</f>
        <v>2023</v>
      </c>
      <c r="W1887" s="105">
        <f>+MATCH(PROVEEDORES[[#This Row],[año facturado]],Retenciones!$1:$1,0)</f>
        <v>6</v>
      </c>
      <c r="X1887" s="106">
        <f>+VLOOKUP(PROVEEDORES[[#This Row],[ID RETENCION]],Retenciones!$A$1:$O$25,PROVEEDORES[[#This Row],[indicador de columna]],FALSE)</f>
        <v>0</v>
      </c>
      <c r="Y1887" s="107">
        <f>+VLOOKUP(PROVEEDORES[[#This Row],[ID RETENCION]],Retenciones!$A$1:$O$25,2,FALSE)</f>
        <v>0</v>
      </c>
      <c r="Z1887" s="116" t="b">
        <f>OR(COUNTIF(PROVEEDORES[[#This Row],[PROVEEDOR]],"*"&amp;'Palabra no opera'!$A$2&amp;"*"))</f>
        <v>0</v>
      </c>
    </row>
    <row r="1888" spans="1:26" ht="22.35" customHeight="1" x14ac:dyDescent="0.3">
      <c r="A1888" s="67" t="str">
        <f>+IF(PROVEEDORES[[#This Row],[FECHA DE PAGO]]=PROVEEDORES[[#This Row],[FECHA DE FACTURACIÓN]],"DE CONTADO","CRÉDITO")</f>
        <v>CRÉDITO</v>
      </c>
      <c r="B1888" s="38" t="str">
        <f>+IF((PROVEEDORES[[#This Row],[FECHA DE PAGO]]-PROVEEDORES[[#This Row],[FECHA DE FACTURACIÓN]])&gt;PROVEEDORES[[#This Row],[PLAZO Días]],"PAGO VENCIDO")</f>
        <v>PAGO VENCIDO</v>
      </c>
      <c r="C1888" s="20">
        <f>+VLOOKUP(PROVEEDORES[[#This Row],[PROVEEDOR]],TERCEROS_INFO[#All],2,FALSE)</f>
        <v>30</v>
      </c>
      <c r="D1888" s="25">
        <f>+SUMIFS(PROVEEDORES[Total],PROVEEDORES[PROVEEDOR],PROVEEDORES[[#This Row],[PROVEEDOR]],PROVEEDORES[FECHA DE PAGO],"")</f>
        <v>4282200</v>
      </c>
      <c r="E1888" s="25"/>
      <c r="F1888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88" s="68">
        <v>45194</v>
      </c>
      <c r="H1888" s="26" t="s">
        <v>406</v>
      </c>
      <c r="I1888" s="68">
        <v>45078</v>
      </c>
      <c r="J1888" s="35">
        <v>4186</v>
      </c>
      <c r="K1888" s="21">
        <v>99000</v>
      </c>
      <c r="L1888" s="21"/>
      <c r="M1888" s="22">
        <f>(PROVEEDORES[[#This Row],[SUBTOTAL]]-PROVEEDORES[[#This Row],[descuento sobre subtotal]])*VLOOKUP(PROVEEDORES[[#This Row],[PROVEEDOR]],TERCEROS_INFO[#All],3,FALSE)</f>
        <v>0</v>
      </c>
      <c r="N1888" s="23"/>
      <c r="O1888" s="22">
        <f>+PROVEEDORES[[#This Row],[Descuento sobre subtotal %]]*(PROVEEDORES[[#This Row],[SUBTOTAL]]-PROVEEDORES[[#This Row],[descuento sobre subtotal]])</f>
        <v>0</v>
      </c>
      <c r="P1888" s="74">
        <f>+IF(PROVEEDORES[[#This Row],[SUBTOTAL]]&lt;PROVEEDORES[[#This Row],[base retencion]],0,PROVEEDORES[[#This Row],[retención aplicada]])</f>
        <v>0</v>
      </c>
      <c r="Q1888" s="22">
        <f>+PROVEEDORES[[#This Row],[Rete Fuente %]]*(PROVEEDORES[[#This Row],[SUBTOTAL]]-PROVEEDORES[[#This Row],[descuento sobre subtotal]])</f>
        <v>0</v>
      </c>
      <c r="R1888" s="21">
        <f>+PROVEEDORES[[#This Row],[SUBTOTAL]]+PROVEEDORES[[#This Row],[IVA 19%]]-PROVEEDORES[[#This Row],[descuento sobre subtotal]]-PROVEEDORES[[#This Row],[Descuento sobre subtotal $2]]-PROVEEDORES[[#This Row],[Rete Fuente $]]</f>
        <v>99000</v>
      </c>
      <c r="S188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8" s="63">
        <f ca="1">IF(PROVEEDORES[[#This Row],[FECHA DE PAGO]]=0,TODAY()-PROVEEDORES[[#This Row],[FECHA DE FACTURACIÓN]]-PROVEEDORES[[#This Row],[PLAZO Días]],0)</f>
        <v>0</v>
      </c>
      <c r="U1888" s="104">
        <f>+VLOOKUP(PROVEEDORES[[#This Row],[PROVEEDOR]],Terceros!$A:$D,4,FALSE)</f>
        <v>0</v>
      </c>
      <c r="V1888" s="105">
        <f>+YEAR(PROVEEDORES[[#This Row],[FECHA DE FACTURACIÓN]])</f>
        <v>2023</v>
      </c>
      <c r="W1888" s="105">
        <f>+MATCH(PROVEEDORES[[#This Row],[año facturado]],Retenciones!$1:$1,0)</f>
        <v>6</v>
      </c>
      <c r="X1888" s="106">
        <f>+VLOOKUP(PROVEEDORES[[#This Row],[ID RETENCION]],Retenciones!$A$1:$O$25,PROVEEDORES[[#This Row],[indicador de columna]],FALSE)</f>
        <v>0</v>
      </c>
      <c r="Y1888" s="107">
        <f>+VLOOKUP(PROVEEDORES[[#This Row],[ID RETENCION]],Retenciones!$A$1:$O$25,2,FALSE)</f>
        <v>0</v>
      </c>
      <c r="Z1888" s="116" t="b">
        <f>OR(COUNTIF(PROVEEDORES[[#This Row],[PROVEEDOR]],"*"&amp;'Palabra no opera'!$A$2&amp;"*"))</f>
        <v>0</v>
      </c>
    </row>
    <row r="1889" spans="1:26" ht="22.35" customHeight="1" x14ac:dyDescent="0.3">
      <c r="A1889" s="67" t="str">
        <f>+IF(PROVEEDORES[[#This Row],[FECHA DE PAGO]]=PROVEEDORES[[#This Row],[FECHA DE FACTURACIÓN]],"DE CONTADO","CRÉDITO")</f>
        <v>CRÉDITO</v>
      </c>
      <c r="B1889" s="38" t="str">
        <f>+IF((PROVEEDORES[[#This Row],[FECHA DE PAGO]]-PROVEEDORES[[#This Row],[FECHA DE FACTURACIÓN]])&gt;PROVEEDORES[[#This Row],[PLAZO Días]],"PAGO VENCIDO")</f>
        <v>PAGO VENCIDO</v>
      </c>
      <c r="C1889" s="20">
        <f>+VLOOKUP(PROVEEDORES[[#This Row],[PROVEEDOR]],TERCEROS_INFO[#All],2,FALSE)</f>
        <v>30</v>
      </c>
      <c r="D1889" s="25">
        <f>+SUMIFS(PROVEEDORES[Total],PROVEEDORES[PROVEEDOR],PROVEEDORES[[#This Row],[PROVEEDOR]],PROVEEDORES[FECHA DE PAGO],"")</f>
        <v>4282200</v>
      </c>
      <c r="E1889" s="25"/>
      <c r="F1889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89" s="68">
        <v>45194</v>
      </c>
      <c r="H1889" s="95" t="s">
        <v>406</v>
      </c>
      <c r="I1889" s="68">
        <v>45111</v>
      </c>
      <c r="J1889" s="35">
        <v>4236</v>
      </c>
      <c r="K1889" s="21">
        <v>233000</v>
      </c>
      <c r="L1889" s="21">
        <v>34950</v>
      </c>
      <c r="M1889" s="22">
        <f>(PROVEEDORES[[#This Row],[SUBTOTAL]]-PROVEEDORES[[#This Row],[descuento sobre subtotal]])*VLOOKUP(PROVEEDORES[[#This Row],[PROVEEDOR]],TERCEROS_INFO[#All],3,FALSE)</f>
        <v>0</v>
      </c>
      <c r="N1889" s="23"/>
      <c r="O1889" s="22">
        <f>+PROVEEDORES[[#This Row],[Descuento sobre subtotal %]]*(PROVEEDORES[[#This Row],[SUBTOTAL]]-PROVEEDORES[[#This Row],[descuento sobre subtotal]])</f>
        <v>0</v>
      </c>
      <c r="P1889" s="74">
        <f>+IF(PROVEEDORES[[#This Row],[SUBTOTAL]]&lt;PROVEEDORES[[#This Row],[base retencion]],0,PROVEEDORES[[#This Row],[retención aplicada]])</f>
        <v>0</v>
      </c>
      <c r="Q1889" s="22">
        <f>+PROVEEDORES[[#This Row],[Rete Fuente %]]*(PROVEEDORES[[#This Row],[SUBTOTAL]]-PROVEEDORES[[#This Row],[descuento sobre subtotal]])</f>
        <v>0</v>
      </c>
      <c r="R1889" s="21">
        <f>+PROVEEDORES[[#This Row],[SUBTOTAL]]+PROVEEDORES[[#This Row],[IVA 19%]]-PROVEEDORES[[#This Row],[descuento sobre subtotal]]-PROVEEDORES[[#This Row],[Descuento sobre subtotal $2]]-PROVEEDORES[[#This Row],[Rete Fuente $]]</f>
        <v>198050</v>
      </c>
      <c r="S18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9" s="63">
        <f ca="1">IF(PROVEEDORES[[#This Row],[FECHA DE PAGO]]=0,TODAY()-PROVEEDORES[[#This Row],[FECHA DE FACTURACIÓN]]-PROVEEDORES[[#This Row],[PLAZO Días]],0)</f>
        <v>0</v>
      </c>
      <c r="U1889" s="104">
        <f>+VLOOKUP(PROVEEDORES[[#This Row],[PROVEEDOR]],Terceros!$A:$D,4,FALSE)</f>
        <v>0</v>
      </c>
      <c r="V1889" s="105">
        <f>+YEAR(PROVEEDORES[[#This Row],[FECHA DE FACTURACIÓN]])</f>
        <v>2023</v>
      </c>
      <c r="W1889" s="105">
        <f>+MATCH(PROVEEDORES[[#This Row],[año facturado]],Retenciones!$1:$1,0)</f>
        <v>6</v>
      </c>
      <c r="X1889" s="106">
        <f>+VLOOKUP(PROVEEDORES[[#This Row],[ID RETENCION]],Retenciones!$A$1:$O$25,PROVEEDORES[[#This Row],[indicador de columna]],FALSE)</f>
        <v>0</v>
      </c>
      <c r="Y1889" s="107">
        <f>+VLOOKUP(PROVEEDORES[[#This Row],[ID RETENCION]],Retenciones!$A$1:$O$25,2,FALSE)</f>
        <v>0</v>
      </c>
      <c r="Z1889" s="116" t="b">
        <f>OR(COUNTIF(PROVEEDORES[[#This Row],[PROVEEDOR]],"*"&amp;'Palabra no opera'!$A$2&amp;"*"))</f>
        <v>0</v>
      </c>
    </row>
    <row r="1890" spans="1:26" ht="22.35" customHeight="1" x14ac:dyDescent="0.3">
      <c r="A1890" s="67" t="str">
        <f>+IF(PROVEEDORES[[#This Row],[FECHA DE PAGO]]=PROVEEDORES[[#This Row],[FECHA DE FACTURACIÓN]],"DE CONTADO","CRÉDITO")</f>
        <v>CRÉDITO</v>
      </c>
      <c r="B1890" s="38" t="str">
        <f>+IF((PROVEEDORES[[#This Row],[FECHA DE PAGO]]-PROVEEDORES[[#This Row],[FECHA DE FACTURACIÓN]])&gt;PROVEEDORES[[#This Row],[PLAZO Días]],"PAGO VENCIDO")</f>
        <v>PAGO VENCIDO</v>
      </c>
      <c r="C1890" s="20">
        <f>+VLOOKUP(PROVEEDORES[[#This Row],[PROVEEDOR]],TERCEROS_INFO[#All],2,FALSE)</f>
        <v>30</v>
      </c>
      <c r="D1890" s="25">
        <f>+SUMIFS(PROVEEDORES[Total],PROVEEDORES[PROVEEDOR],PROVEEDORES[[#This Row],[PROVEEDOR]],PROVEEDORES[FECHA DE PAGO],"")</f>
        <v>4282200</v>
      </c>
      <c r="E1890" s="25"/>
      <c r="F1890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90" s="68">
        <v>45194</v>
      </c>
      <c r="H1890" s="95" t="s">
        <v>406</v>
      </c>
      <c r="I1890" s="68">
        <v>45124</v>
      </c>
      <c r="J1890" s="35">
        <v>4272</v>
      </c>
      <c r="K1890" s="21">
        <v>703000</v>
      </c>
      <c r="L1890" s="21">
        <v>105450</v>
      </c>
      <c r="M1890" s="22">
        <f>(PROVEEDORES[[#This Row],[SUBTOTAL]]-PROVEEDORES[[#This Row],[descuento sobre subtotal]])*VLOOKUP(PROVEEDORES[[#This Row],[PROVEEDOR]],TERCEROS_INFO[#All],3,FALSE)</f>
        <v>0</v>
      </c>
      <c r="N1890" s="23"/>
      <c r="O1890" s="22">
        <f>+PROVEEDORES[[#This Row],[Descuento sobre subtotal %]]*(PROVEEDORES[[#This Row],[SUBTOTAL]]-PROVEEDORES[[#This Row],[descuento sobre subtotal]])</f>
        <v>0</v>
      </c>
      <c r="P1890" s="74">
        <f>+IF(PROVEEDORES[[#This Row],[SUBTOTAL]]&lt;PROVEEDORES[[#This Row],[base retencion]],0,PROVEEDORES[[#This Row],[retención aplicada]])</f>
        <v>0</v>
      </c>
      <c r="Q1890" s="22">
        <f>+PROVEEDORES[[#This Row],[Rete Fuente %]]*(PROVEEDORES[[#This Row],[SUBTOTAL]]-PROVEEDORES[[#This Row],[descuento sobre subtotal]])</f>
        <v>0</v>
      </c>
      <c r="R1890" s="21">
        <f>+PROVEEDORES[[#This Row],[SUBTOTAL]]+PROVEEDORES[[#This Row],[IVA 19%]]-PROVEEDORES[[#This Row],[descuento sobre subtotal]]-PROVEEDORES[[#This Row],[Descuento sobre subtotal $2]]-PROVEEDORES[[#This Row],[Rete Fuente $]]</f>
        <v>597550</v>
      </c>
      <c r="S18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0" s="63">
        <f ca="1">IF(PROVEEDORES[[#This Row],[FECHA DE PAGO]]=0,TODAY()-PROVEEDORES[[#This Row],[FECHA DE FACTURACIÓN]]-PROVEEDORES[[#This Row],[PLAZO Días]],0)</f>
        <v>0</v>
      </c>
      <c r="U1890" s="104">
        <f>+VLOOKUP(PROVEEDORES[[#This Row],[PROVEEDOR]],Terceros!$A:$D,4,FALSE)</f>
        <v>0</v>
      </c>
      <c r="V1890" s="105">
        <f>+YEAR(PROVEEDORES[[#This Row],[FECHA DE FACTURACIÓN]])</f>
        <v>2023</v>
      </c>
      <c r="W1890" s="105">
        <f>+MATCH(PROVEEDORES[[#This Row],[año facturado]],Retenciones!$1:$1,0)</f>
        <v>6</v>
      </c>
      <c r="X1890" s="106">
        <f>+VLOOKUP(PROVEEDORES[[#This Row],[ID RETENCION]],Retenciones!$A$1:$O$25,PROVEEDORES[[#This Row],[indicador de columna]],FALSE)</f>
        <v>0</v>
      </c>
      <c r="Y1890" s="107">
        <f>+VLOOKUP(PROVEEDORES[[#This Row],[ID RETENCION]],Retenciones!$A$1:$O$25,2,FALSE)</f>
        <v>0</v>
      </c>
      <c r="Z1890" s="116" t="b">
        <f>OR(COUNTIF(PROVEEDORES[[#This Row],[PROVEEDOR]],"*"&amp;'Palabra no opera'!$A$2&amp;"*"))</f>
        <v>0</v>
      </c>
    </row>
    <row r="1891" spans="1:26" ht="22.35" customHeight="1" x14ac:dyDescent="0.3">
      <c r="A1891" s="67" t="str">
        <f>+IF(PROVEEDORES[[#This Row],[FECHA DE PAGO]]=PROVEEDORES[[#This Row],[FECHA DE FACTURACIÓN]],"DE CONTADO","CRÉDITO")</f>
        <v>CRÉDITO</v>
      </c>
      <c r="B1891" s="38" t="str">
        <f>+IF((PROVEEDORES[[#This Row],[FECHA DE PAGO]]-PROVEEDORES[[#This Row],[FECHA DE FACTURACIÓN]])&gt;PROVEEDORES[[#This Row],[PLAZO Días]],"PAGO VENCIDO")</f>
        <v>PAGO VENCIDO</v>
      </c>
      <c r="C1891" s="20">
        <f>+VLOOKUP(PROVEEDORES[[#This Row],[PROVEEDOR]],TERCEROS_INFO[#All],2,FALSE)</f>
        <v>30</v>
      </c>
      <c r="D1891" s="25">
        <f>+SUMIFS(PROVEEDORES[Total],PROVEEDORES[PROVEEDOR],PROVEEDORES[[#This Row],[PROVEEDOR]],PROVEEDORES[FECHA DE PAGO],"")</f>
        <v>4282200</v>
      </c>
      <c r="E1891" s="25"/>
      <c r="F1891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91" s="68">
        <v>45194</v>
      </c>
      <c r="H1891" s="95" t="s">
        <v>406</v>
      </c>
      <c r="I1891" s="68">
        <v>45142</v>
      </c>
      <c r="J1891" s="35">
        <v>4307</v>
      </c>
      <c r="K1891" s="21">
        <v>413100</v>
      </c>
      <c r="L1891" s="21"/>
      <c r="M1891" s="22">
        <f>(PROVEEDORES[[#This Row],[SUBTOTAL]]-PROVEEDORES[[#This Row],[descuento sobre subtotal]])*VLOOKUP(PROVEEDORES[[#This Row],[PROVEEDOR]],TERCEROS_INFO[#All],3,FALSE)</f>
        <v>0</v>
      </c>
      <c r="N1891" s="23"/>
      <c r="O1891" s="22">
        <f>+PROVEEDORES[[#This Row],[Descuento sobre subtotal %]]*(PROVEEDORES[[#This Row],[SUBTOTAL]]-PROVEEDORES[[#This Row],[descuento sobre subtotal]])</f>
        <v>0</v>
      </c>
      <c r="P1891" s="74">
        <f>+IF(PROVEEDORES[[#This Row],[SUBTOTAL]]&lt;PROVEEDORES[[#This Row],[base retencion]],0,PROVEEDORES[[#This Row],[retención aplicada]])</f>
        <v>0</v>
      </c>
      <c r="Q1891" s="22">
        <f>+PROVEEDORES[[#This Row],[Rete Fuente %]]*(PROVEEDORES[[#This Row],[SUBTOTAL]]-PROVEEDORES[[#This Row],[descuento sobre subtotal]])</f>
        <v>0</v>
      </c>
      <c r="R1891" s="21">
        <f>+PROVEEDORES[[#This Row],[SUBTOTAL]]+PROVEEDORES[[#This Row],[IVA 19%]]-PROVEEDORES[[#This Row],[descuento sobre subtotal]]-PROVEEDORES[[#This Row],[Descuento sobre subtotal $2]]-PROVEEDORES[[#This Row],[Rete Fuente $]]</f>
        <v>413100</v>
      </c>
      <c r="S18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1" s="63">
        <f ca="1">IF(PROVEEDORES[[#This Row],[FECHA DE PAGO]]=0,TODAY()-PROVEEDORES[[#This Row],[FECHA DE FACTURACIÓN]]-PROVEEDORES[[#This Row],[PLAZO Días]],0)</f>
        <v>0</v>
      </c>
      <c r="U1891" s="104">
        <f>+VLOOKUP(PROVEEDORES[[#This Row],[PROVEEDOR]],Terceros!$A:$D,4,FALSE)</f>
        <v>0</v>
      </c>
      <c r="V1891" s="105">
        <f>+YEAR(PROVEEDORES[[#This Row],[FECHA DE FACTURACIÓN]])</f>
        <v>2023</v>
      </c>
      <c r="W1891" s="105">
        <f>+MATCH(PROVEEDORES[[#This Row],[año facturado]],Retenciones!$1:$1,0)</f>
        <v>6</v>
      </c>
      <c r="X1891" s="106">
        <f>+VLOOKUP(PROVEEDORES[[#This Row],[ID RETENCION]],Retenciones!$A$1:$O$25,PROVEEDORES[[#This Row],[indicador de columna]],FALSE)</f>
        <v>0</v>
      </c>
      <c r="Y1891" s="107">
        <f>+VLOOKUP(PROVEEDORES[[#This Row],[ID RETENCION]],Retenciones!$A$1:$O$25,2,FALSE)</f>
        <v>0</v>
      </c>
      <c r="Z1891" s="116" t="b">
        <f>OR(COUNTIF(PROVEEDORES[[#This Row],[PROVEEDOR]],"*"&amp;'Palabra no opera'!$A$2&amp;"*"))</f>
        <v>0</v>
      </c>
    </row>
    <row r="1892" spans="1:26" ht="22.35" customHeight="1" x14ac:dyDescent="0.3">
      <c r="A1892" s="349" t="str">
        <f>+IF(PROVEEDORES[[#This Row],[FECHA DE PAGO]]=PROVEEDORES[[#This Row],[FECHA DE FACTURACIÓN]],"DE CONTADO","CRÉDITO")</f>
        <v>CRÉDITO</v>
      </c>
      <c r="B1892" s="38" t="str">
        <f>+IF((PROVEEDORES[[#This Row],[FECHA DE PAGO]]-PROVEEDORES[[#This Row],[FECHA DE FACTURACIÓN]])&gt;PROVEEDORES[[#This Row],[PLAZO Días]],"PAGO VENCIDO")</f>
        <v>PAGO VENCIDO</v>
      </c>
      <c r="C1892" s="20">
        <f>+VLOOKUP(PROVEEDORES[[#This Row],[PROVEEDOR]],TERCEROS_INFO[#All],2,FALSE)</f>
        <v>30</v>
      </c>
      <c r="D1892" s="25">
        <f>+SUMIFS(PROVEEDORES[Total],PROVEEDORES[PROVEEDOR],PROVEEDORES[[#This Row],[PROVEEDOR]],PROVEEDORES[FECHA DE PAGO],"")</f>
        <v>4282200</v>
      </c>
      <c r="E1892" s="25"/>
      <c r="F1892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92" s="68">
        <v>45194</v>
      </c>
      <c r="H1892" s="26" t="s">
        <v>406</v>
      </c>
      <c r="I1892" s="68">
        <v>45154</v>
      </c>
      <c r="J1892" s="35">
        <v>4327</v>
      </c>
      <c r="K1892" s="21">
        <v>200000</v>
      </c>
      <c r="L1892" s="21">
        <v>30000</v>
      </c>
      <c r="M1892" s="22">
        <f>(PROVEEDORES[[#This Row],[SUBTOTAL]]-PROVEEDORES[[#This Row],[descuento sobre subtotal]])*VLOOKUP(PROVEEDORES[[#This Row],[PROVEEDOR]],TERCEROS_INFO[#All],3,FALSE)</f>
        <v>0</v>
      </c>
      <c r="N1892" s="23"/>
      <c r="O1892" s="22">
        <f>+PROVEEDORES[[#This Row],[Descuento sobre subtotal %]]*(PROVEEDORES[[#This Row],[SUBTOTAL]]-PROVEEDORES[[#This Row],[descuento sobre subtotal]])</f>
        <v>0</v>
      </c>
      <c r="P1892" s="74">
        <f>+IF(PROVEEDORES[[#This Row],[SUBTOTAL]]&lt;PROVEEDORES[[#This Row],[base retencion]],0,PROVEEDORES[[#This Row],[retención aplicada]])</f>
        <v>0</v>
      </c>
      <c r="Q1892" s="22">
        <f>+PROVEEDORES[[#This Row],[Rete Fuente %]]*(PROVEEDORES[[#This Row],[SUBTOTAL]]-PROVEEDORES[[#This Row],[descuento sobre subtotal]])</f>
        <v>0</v>
      </c>
      <c r="R1892" s="21">
        <f>+PROVEEDORES[[#This Row],[SUBTOTAL]]+PROVEEDORES[[#This Row],[IVA 19%]]-PROVEEDORES[[#This Row],[descuento sobre subtotal]]-PROVEEDORES[[#This Row],[Descuento sobre subtotal $2]]-PROVEEDORES[[#This Row],[Rete Fuente $]]</f>
        <v>170000</v>
      </c>
      <c r="S1892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2" s="63">
        <f ca="1">IF(PROVEEDORES[[#This Row],[FECHA DE PAGO]]=0,TODAY()-PROVEEDORES[[#This Row],[FECHA DE FACTURACIÓN]]-PROVEEDORES[[#This Row],[PLAZO Días]],0)</f>
        <v>0</v>
      </c>
      <c r="U1892" s="104">
        <f>+VLOOKUP(PROVEEDORES[[#This Row],[PROVEEDOR]],Terceros!$A:$D,4,FALSE)</f>
        <v>0</v>
      </c>
      <c r="V1892" s="105">
        <f>+YEAR(PROVEEDORES[[#This Row],[FECHA DE FACTURACIÓN]])</f>
        <v>2023</v>
      </c>
      <c r="W1892" s="105">
        <f>+MATCH(PROVEEDORES[[#This Row],[año facturado]],Retenciones!$1:$1,0)</f>
        <v>6</v>
      </c>
      <c r="X1892" s="106">
        <f>+VLOOKUP(PROVEEDORES[[#This Row],[ID RETENCION]],Retenciones!$A$1:$O$25,PROVEEDORES[[#This Row],[indicador de columna]],FALSE)</f>
        <v>0</v>
      </c>
      <c r="Y1892" s="107">
        <f>+VLOOKUP(PROVEEDORES[[#This Row],[ID RETENCION]],Retenciones!$A$1:$O$25,2,FALSE)</f>
        <v>0</v>
      </c>
      <c r="Z1892" s="116" t="b">
        <f>OR(COUNTIF(PROVEEDORES[[#This Row],[PROVEEDOR]],"*"&amp;'Palabra no opera'!$A$2&amp;"*"))</f>
        <v>0</v>
      </c>
    </row>
    <row r="1893" spans="1:26" ht="22.35" customHeight="1" x14ac:dyDescent="0.3">
      <c r="A1893" s="67" t="str">
        <f>+IF(PROVEEDORES[[#This Row],[FECHA DE PAGO]]=PROVEEDORES[[#This Row],[FECHA DE FACTURACIÓN]],"DE CONTADO","CRÉDITO")</f>
        <v>CRÉDITO</v>
      </c>
      <c r="B1893" s="38" t="str">
        <f>+IF((PROVEEDORES[[#This Row],[FECHA DE PAGO]]-PROVEEDORES[[#This Row],[FECHA DE FACTURACIÓN]])&gt;PROVEEDORES[[#This Row],[PLAZO Días]],"PAGO VENCIDO")</f>
        <v>PAGO VENCIDO</v>
      </c>
      <c r="C1893" s="20">
        <f>+VLOOKUP(PROVEEDORES[[#This Row],[PROVEEDOR]],TERCEROS_INFO[#All],2,FALSE)</f>
        <v>30</v>
      </c>
      <c r="D1893" s="25">
        <f>+SUMIFS(PROVEEDORES[Total],PROVEEDORES[PROVEEDOR],PROVEEDORES[[#This Row],[PROVEEDOR]],PROVEEDORES[FECHA DE PAGO],"")</f>
        <v>0</v>
      </c>
      <c r="E1893" s="25"/>
      <c r="F1893" s="56" t="str">
        <f>+VLOOKUP(PROVEEDORES[[#This Row],[PROVEEDOR]],
                       Terceros!$A:$F,
                       5,
                       FALSE)</f>
        <v/>
      </c>
      <c r="G1893" s="68">
        <v>45194</v>
      </c>
      <c r="H1893" s="26" t="s">
        <v>1403</v>
      </c>
      <c r="I1893" s="68">
        <v>45111</v>
      </c>
      <c r="J1893" s="35">
        <v>57</v>
      </c>
      <c r="K1893" s="21">
        <v>171500</v>
      </c>
      <c r="L1893" s="21"/>
      <c r="M1893" s="22">
        <f>(PROVEEDORES[[#This Row],[SUBTOTAL]]-PROVEEDORES[[#This Row],[descuento sobre subtotal]])*VLOOKUP(PROVEEDORES[[#This Row],[PROVEEDOR]],TERCEROS_INFO[#All],3,FALSE)</f>
        <v>0</v>
      </c>
      <c r="N1893" s="23"/>
      <c r="O1893" s="22">
        <f>+PROVEEDORES[[#This Row],[Descuento sobre subtotal %]]*(PROVEEDORES[[#This Row],[SUBTOTAL]]-PROVEEDORES[[#This Row],[descuento sobre subtotal]])</f>
        <v>0</v>
      </c>
      <c r="P1893" s="74">
        <f>+IF(PROVEEDORES[[#This Row],[SUBTOTAL]]&lt;PROVEEDORES[[#This Row],[base retencion]],0,PROVEEDORES[[#This Row],[retención aplicada]])</f>
        <v>0</v>
      </c>
      <c r="Q1893" s="22">
        <f>+PROVEEDORES[[#This Row],[Rete Fuente %]]*(PROVEEDORES[[#This Row],[SUBTOTAL]]-PROVEEDORES[[#This Row],[descuento sobre subtotal]])</f>
        <v>0</v>
      </c>
      <c r="R1893" s="21">
        <f>+PROVEEDORES[[#This Row],[SUBTOTAL]]+PROVEEDORES[[#This Row],[IVA 19%]]-PROVEEDORES[[#This Row],[descuento sobre subtotal]]-PROVEEDORES[[#This Row],[Descuento sobre subtotal $2]]-PROVEEDORES[[#This Row],[Rete Fuente $]]</f>
        <v>171500</v>
      </c>
      <c r="S189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3" s="63">
        <f ca="1">IF(PROVEEDORES[[#This Row],[FECHA DE PAGO]]=0,TODAY()-PROVEEDORES[[#This Row],[FECHA DE FACTURACIÓN]]-PROVEEDORES[[#This Row],[PLAZO Días]],0)</f>
        <v>0</v>
      </c>
      <c r="U1893" s="104">
        <f>+VLOOKUP(PROVEEDORES[[#This Row],[PROVEEDOR]],Terceros!$A:$D,4,FALSE)</f>
        <v>0</v>
      </c>
      <c r="V1893" s="105">
        <f>+YEAR(PROVEEDORES[[#This Row],[FECHA DE FACTURACIÓN]])</f>
        <v>2023</v>
      </c>
      <c r="W1893" s="105">
        <f>+MATCH(PROVEEDORES[[#This Row],[año facturado]],Retenciones!$1:$1,0)</f>
        <v>6</v>
      </c>
      <c r="X1893" s="106">
        <f>+VLOOKUP(PROVEEDORES[[#This Row],[ID RETENCION]],Retenciones!$A$1:$O$25,PROVEEDORES[[#This Row],[indicador de columna]],FALSE)</f>
        <v>0</v>
      </c>
      <c r="Y1893" s="107">
        <f>+VLOOKUP(PROVEEDORES[[#This Row],[ID RETENCION]],Retenciones!$A$1:$O$25,2,FALSE)</f>
        <v>0</v>
      </c>
      <c r="Z1893" s="116" t="b">
        <f>OR(COUNTIF(PROVEEDORES[[#This Row],[PROVEEDOR]],"*"&amp;'Palabra no opera'!$A$2&amp;"*"))</f>
        <v>0</v>
      </c>
    </row>
    <row r="1894" spans="1:26" ht="22.35" customHeight="1" x14ac:dyDescent="0.3">
      <c r="A1894" s="67" t="str">
        <f>+IF(PROVEEDORES[[#This Row],[FECHA DE PAGO]]=PROVEEDORES[[#This Row],[FECHA DE FACTURACIÓN]],"DE CONTADO","CRÉDITO")</f>
        <v>CRÉDITO</v>
      </c>
      <c r="B1894" s="38" t="str">
        <f>+IF((PROVEEDORES[[#This Row],[FECHA DE PAGO]]-PROVEEDORES[[#This Row],[FECHA DE FACTURACIÓN]])&gt;PROVEEDORES[[#This Row],[PLAZO Días]],"PAGO VENCIDO")</f>
        <v>PAGO VENCIDO</v>
      </c>
      <c r="C1894" s="20">
        <f>+VLOOKUP(PROVEEDORES[[#This Row],[PROVEEDOR]],TERCEROS_INFO[#All],2,FALSE)</f>
        <v>30</v>
      </c>
      <c r="D1894" s="25">
        <f>+SUMIFS(PROVEEDORES[Total],PROVEEDORES[PROVEEDOR],PROVEEDORES[[#This Row],[PROVEEDOR]],PROVEEDORES[FECHA DE PAGO],"")</f>
        <v>0</v>
      </c>
      <c r="E1894" s="25"/>
      <c r="F1894" s="56" t="str">
        <f>+VLOOKUP(PROVEEDORES[[#This Row],[PROVEEDOR]],
                       Terceros!$A:$F,
                       5,
                       FALSE)</f>
        <v/>
      </c>
      <c r="G1894" s="68">
        <v>45194</v>
      </c>
      <c r="H1894" s="26" t="s">
        <v>1403</v>
      </c>
      <c r="I1894" s="68">
        <v>45114</v>
      </c>
      <c r="J1894" s="35">
        <v>58</v>
      </c>
      <c r="K1894" s="21">
        <v>65000</v>
      </c>
      <c r="L1894" s="21"/>
      <c r="M1894" s="22">
        <f>(PROVEEDORES[[#This Row],[SUBTOTAL]]-PROVEEDORES[[#This Row],[descuento sobre subtotal]])*VLOOKUP(PROVEEDORES[[#This Row],[PROVEEDOR]],TERCEROS_INFO[#All],3,FALSE)</f>
        <v>0</v>
      </c>
      <c r="N1894" s="23"/>
      <c r="O1894" s="22">
        <f>+PROVEEDORES[[#This Row],[Descuento sobre subtotal %]]*(PROVEEDORES[[#This Row],[SUBTOTAL]]-PROVEEDORES[[#This Row],[descuento sobre subtotal]])</f>
        <v>0</v>
      </c>
      <c r="P1894" s="74">
        <f>+IF(PROVEEDORES[[#This Row],[SUBTOTAL]]&lt;PROVEEDORES[[#This Row],[base retencion]],0,PROVEEDORES[[#This Row],[retención aplicada]])</f>
        <v>0</v>
      </c>
      <c r="Q1894" s="22">
        <f>+PROVEEDORES[[#This Row],[Rete Fuente %]]*(PROVEEDORES[[#This Row],[SUBTOTAL]]-PROVEEDORES[[#This Row],[descuento sobre subtotal]])</f>
        <v>0</v>
      </c>
      <c r="R1894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18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4" s="63">
        <f ca="1">IF(PROVEEDORES[[#This Row],[FECHA DE PAGO]]=0,TODAY()-PROVEEDORES[[#This Row],[FECHA DE FACTURACIÓN]]-PROVEEDORES[[#This Row],[PLAZO Días]],0)</f>
        <v>0</v>
      </c>
      <c r="U1894" s="104">
        <f>+VLOOKUP(PROVEEDORES[[#This Row],[PROVEEDOR]],Terceros!$A:$D,4,FALSE)</f>
        <v>0</v>
      </c>
      <c r="V1894" s="105">
        <f>+YEAR(PROVEEDORES[[#This Row],[FECHA DE FACTURACIÓN]])</f>
        <v>2023</v>
      </c>
      <c r="W1894" s="105">
        <f>+MATCH(PROVEEDORES[[#This Row],[año facturado]],Retenciones!$1:$1,0)</f>
        <v>6</v>
      </c>
      <c r="X1894" s="106">
        <f>+VLOOKUP(PROVEEDORES[[#This Row],[ID RETENCION]],Retenciones!$A$1:$O$25,PROVEEDORES[[#This Row],[indicador de columna]],FALSE)</f>
        <v>0</v>
      </c>
      <c r="Y1894" s="107">
        <f>+VLOOKUP(PROVEEDORES[[#This Row],[ID RETENCION]],Retenciones!$A$1:$O$25,2,FALSE)</f>
        <v>0</v>
      </c>
      <c r="Z1894" s="116" t="b">
        <f>OR(COUNTIF(PROVEEDORES[[#This Row],[PROVEEDOR]],"*"&amp;'Palabra no opera'!$A$2&amp;"*"))</f>
        <v>0</v>
      </c>
    </row>
    <row r="1895" spans="1:26" ht="22.35" customHeight="1" x14ac:dyDescent="0.3">
      <c r="A1895" s="67" t="str">
        <f>+IF(PROVEEDORES[[#This Row],[FECHA DE PAGO]]=PROVEEDORES[[#This Row],[FECHA DE FACTURACIÓN]],"DE CONTADO","CRÉDITO")</f>
        <v>CRÉDITO</v>
      </c>
      <c r="B1895" s="38" t="str">
        <f>+IF((PROVEEDORES[[#This Row],[FECHA DE PAGO]]-PROVEEDORES[[#This Row],[FECHA DE FACTURACIÓN]])&gt;PROVEEDORES[[#This Row],[PLAZO Días]],"PAGO VENCIDO")</f>
        <v>PAGO VENCIDO</v>
      </c>
      <c r="C1895" s="20">
        <f>+VLOOKUP(PROVEEDORES[[#This Row],[PROVEEDOR]],TERCEROS_INFO[#All],2,FALSE)</f>
        <v>30</v>
      </c>
      <c r="D1895" s="25">
        <f>+SUMIFS(PROVEEDORES[Total],PROVEEDORES[PROVEEDOR],PROVEEDORES[[#This Row],[PROVEEDOR]],PROVEEDORES[FECHA DE PAGO],"")</f>
        <v>0</v>
      </c>
      <c r="E1895" s="25"/>
      <c r="F1895" s="56" t="str">
        <f>+VLOOKUP(PROVEEDORES[[#This Row],[PROVEEDOR]],
                       Terceros!$A:$F,
                       5,
                       FALSE)</f>
        <v/>
      </c>
      <c r="G1895" s="68">
        <v>45194</v>
      </c>
      <c r="H1895" s="26" t="s">
        <v>1403</v>
      </c>
      <c r="I1895" s="68">
        <v>45122</v>
      </c>
      <c r="J1895" s="35">
        <v>60</v>
      </c>
      <c r="K1895" s="21">
        <v>227000</v>
      </c>
      <c r="L1895" s="21"/>
      <c r="M1895" s="22">
        <f>(PROVEEDORES[[#This Row],[SUBTOTAL]]-PROVEEDORES[[#This Row],[descuento sobre subtotal]])*VLOOKUP(PROVEEDORES[[#This Row],[PROVEEDOR]],TERCEROS_INFO[#All],3,FALSE)</f>
        <v>0</v>
      </c>
      <c r="N1895" s="23"/>
      <c r="O1895" s="22">
        <f>+PROVEEDORES[[#This Row],[Descuento sobre subtotal %]]*(PROVEEDORES[[#This Row],[SUBTOTAL]]-PROVEEDORES[[#This Row],[descuento sobre subtotal]])</f>
        <v>0</v>
      </c>
      <c r="P1895" s="74">
        <f>+IF(PROVEEDORES[[#This Row],[SUBTOTAL]]&lt;PROVEEDORES[[#This Row],[base retencion]],0,PROVEEDORES[[#This Row],[retención aplicada]])</f>
        <v>0</v>
      </c>
      <c r="Q1895" s="22">
        <f>+PROVEEDORES[[#This Row],[Rete Fuente %]]*(PROVEEDORES[[#This Row],[SUBTOTAL]]-PROVEEDORES[[#This Row],[descuento sobre subtotal]])</f>
        <v>0</v>
      </c>
      <c r="R1895" s="21">
        <f>+PROVEEDORES[[#This Row],[SUBTOTAL]]+PROVEEDORES[[#This Row],[IVA 19%]]-PROVEEDORES[[#This Row],[descuento sobre subtotal]]-PROVEEDORES[[#This Row],[Descuento sobre subtotal $2]]-PROVEEDORES[[#This Row],[Rete Fuente $]]</f>
        <v>227000</v>
      </c>
      <c r="S189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5" s="63">
        <f ca="1">IF(PROVEEDORES[[#This Row],[FECHA DE PAGO]]=0,TODAY()-PROVEEDORES[[#This Row],[FECHA DE FACTURACIÓN]]-PROVEEDORES[[#This Row],[PLAZO Días]],0)</f>
        <v>0</v>
      </c>
      <c r="U1895" s="104">
        <f>+VLOOKUP(PROVEEDORES[[#This Row],[PROVEEDOR]],Terceros!$A:$D,4,FALSE)</f>
        <v>0</v>
      </c>
      <c r="V1895" s="105">
        <f>+YEAR(PROVEEDORES[[#This Row],[FECHA DE FACTURACIÓN]])</f>
        <v>2023</v>
      </c>
      <c r="W1895" s="105">
        <f>+MATCH(PROVEEDORES[[#This Row],[año facturado]],Retenciones!$1:$1,0)</f>
        <v>6</v>
      </c>
      <c r="X1895" s="106">
        <f>+VLOOKUP(PROVEEDORES[[#This Row],[ID RETENCION]],Retenciones!$A$1:$O$25,PROVEEDORES[[#This Row],[indicador de columna]],FALSE)</f>
        <v>0</v>
      </c>
      <c r="Y1895" s="107">
        <f>+VLOOKUP(PROVEEDORES[[#This Row],[ID RETENCION]],Retenciones!$A$1:$O$25,2,FALSE)</f>
        <v>0</v>
      </c>
      <c r="Z1895" s="116" t="b">
        <f>OR(COUNTIF(PROVEEDORES[[#This Row],[PROVEEDOR]],"*"&amp;'Palabra no opera'!$A$2&amp;"*"))</f>
        <v>0</v>
      </c>
    </row>
    <row r="1896" spans="1:26" ht="22.35" customHeight="1" x14ac:dyDescent="0.3">
      <c r="A1896" s="67" t="str">
        <f>+IF(PROVEEDORES[[#This Row],[FECHA DE PAGO]]=PROVEEDORES[[#This Row],[FECHA DE FACTURACIÓN]],"DE CONTADO","CRÉDITO")</f>
        <v>CRÉDITO</v>
      </c>
      <c r="B1896" s="38" t="str">
        <f>+IF((PROVEEDORES[[#This Row],[FECHA DE PAGO]]-PROVEEDORES[[#This Row],[FECHA DE FACTURACIÓN]])&gt;PROVEEDORES[[#This Row],[PLAZO Días]],"PAGO VENCIDO")</f>
        <v>PAGO VENCIDO</v>
      </c>
      <c r="C1896" s="20">
        <f>+VLOOKUP(PROVEEDORES[[#This Row],[PROVEEDOR]],TERCEROS_INFO[#All],2,FALSE)</f>
        <v>30</v>
      </c>
      <c r="D1896" s="25">
        <f>+SUMIFS(PROVEEDORES[Total],PROVEEDORES[PROVEEDOR],PROVEEDORES[[#This Row],[PROVEEDOR]],PROVEEDORES[FECHA DE PAGO],"")</f>
        <v>0</v>
      </c>
      <c r="E1896" s="25"/>
      <c r="F1896" s="56" t="str">
        <f>+VLOOKUP(PROVEEDORES[[#This Row],[PROVEEDOR]],
                       Terceros!$A:$F,
                       5,
                       FALSE)</f>
        <v/>
      </c>
      <c r="G1896" s="68">
        <v>45194</v>
      </c>
      <c r="H1896" s="26" t="s">
        <v>1403</v>
      </c>
      <c r="I1896" s="68">
        <v>45122</v>
      </c>
      <c r="J1896" s="35">
        <v>59</v>
      </c>
      <c r="K1896" s="21">
        <v>78000</v>
      </c>
      <c r="L1896" s="21"/>
      <c r="M1896" s="22">
        <f>(PROVEEDORES[[#This Row],[SUBTOTAL]]-PROVEEDORES[[#This Row],[descuento sobre subtotal]])*VLOOKUP(PROVEEDORES[[#This Row],[PROVEEDOR]],TERCEROS_INFO[#All],3,FALSE)</f>
        <v>0</v>
      </c>
      <c r="N1896" s="23"/>
      <c r="O1896" s="22">
        <f>+PROVEEDORES[[#This Row],[Descuento sobre subtotal %]]*(PROVEEDORES[[#This Row],[SUBTOTAL]]-PROVEEDORES[[#This Row],[descuento sobre subtotal]])</f>
        <v>0</v>
      </c>
      <c r="P1896" s="74">
        <f>+IF(PROVEEDORES[[#This Row],[SUBTOTAL]]&lt;PROVEEDORES[[#This Row],[base retencion]],0,PROVEEDORES[[#This Row],[retención aplicada]])</f>
        <v>0</v>
      </c>
      <c r="Q1896" s="22">
        <f>+PROVEEDORES[[#This Row],[Rete Fuente %]]*(PROVEEDORES[[#This Row],[SUBTOTAL]]-PROVEEDORES[[#This Row],[descuento sobre subtotal]])</f>
        <v>0</v>
      </c>
      <c r="R1896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18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6" s="63">
        <f ca="1">IF(PROVEEDORES[[#This Row],[FECHA DE PAGO]]=0,TODAY()-PROVEEDORES[[#This Row],[FECHA DE FACTURACIÓN]]-PROVEEDORES[[#This Row],[PLAZO Días]],0)</f>
        <v>0</v>
      </c>
      <c r="U1896" s="104">
        <f>+VLOOKUP(PROVEEDORES[[#This Row],[PROVEEDOR]],Terceros!$A:$D,4,FALSE)</f>
        <v>0</v>
      </c>
      <c r="V1896" s="105">
        <f>+YEAR(PROVEEDORES[[#This Row],[FECHA DE FACTURACIÓN]])</f>
        <v>2023</v>
      </c>
      <c r="W1896" s="105">
        <f>+MATCH(PROVEEDORES[[#This Row],[año facturado]],Retenciones!$1:$1,0)</f>
        <v>6</v>
      </c>
      <c r="X1896" s="106">
        <f>+VLOOKUP(PROVEEDORES[[#This Row],[ID RETENCION]],Retenciones!$A$1:$O$25,PROVEEDORES[[#This Row],[indicador de columna]],FALSE)</f>
        <v>0</v>
      </c>
      <c r="Y1896" s="107">
        <f>+VLOOKUP(PROVEEDORES[[#This Row],[ID RETENCION]],Retenciones!$A$1:$O$25,2,FALSE)</f>
        <v>0</v>
      </c>
      <c r="Z1896" s="116" t="b">
        <f>OR(COUNTIF(PROVEEDORES[[#This Row],[PROVEEDOR]],"*"&amp;'Palabra no opera'!$A$2&amp;"*"))</f>
        <v>0</v>
      </c>
    </row>
    <row r="1897" spans="1:26" ht="22.35" customHeight="1" x14ac:dyDescent="0.3">
      <c r="A1897" s="67" t="str">
        <f>+IF(PROVEEDORES[[#This Row],[FECHA DE PAGO]]=PROVEEDORES[[#This Row],[FECHA DE FACTURACIÓN]],"DE CONTADO","CRÉDITO")</f>
        <v>CRÉDITO</v>
      </c>
      <c r="B1897" s="38" t="str">
        <f>+IF((PROVEEDORES[[#This Row],[FECHA DE PAGO]]-PROVEEDORES[[#This Row],[FECHA DE FACTURACIÓN]])&gt;PROVEEDORES[[#This Row],[PLAZO Días]],"PAGO VENCIDO")</f>
        <v>PAGO VENCIDO</v>
      </c>
      <c r="C1897" s="20">
        <f>+VLOOKUP(PROVEEDORES[[#This Row],[PROVEEDOR]],TERCEROS_INFO[#All],2,FALSE)</f>
        <v>30</v>
      </c>
      <c r="D1897" s="25">
        <f>+SUMIFS(PROVEEDORES[Total],PROVEEDORES[PROVEEDOR],PROVEEDORES[[#This Row],[PROVEEDOR]],PROVEEDORES[FECHA DE PAGO],"")</f>
        <v>0</v>
      </c>
      <c r="E1897" s="25"/>
      <c r="F1897" s="56" t="str">
        <f>+VLOOKUP(PROVEEDORES[[#This Row],[PROVEEDOR]],
                       Terceros!$A:$F,
                       5,
                       FALSE)</f>
        <v/>
      </c>
      <c r="G1897" s="68">
        <v>45194</v>
      </c>
      <c r="H1897" s="26" t="s">
        <v>1403</v>
      </c>
      <c r="I1897" s="68">
        <v>45140</v>
      </c>
      <c r="J1897" s="35">
        <v>61</v>
      </c>
      <c r="K1897" s="21">
        <v>75000</v>
      </c>
      <c r="L1897" s="21"/>
      <c r="M1897" s="22">
        <f>(PROVEEDORES[[#This Row],[SUBTOTAL]]-PROVEEDORES[[#This Row],[descuento sobre subtotal]])*VLOOKUP(PROVEEDORES[[#This Row],[PROVEEDOR]],TERCEROS_INFO[#All],3,FALSE)</f>
        <v>0</v>
      </c>
      <c r="N1897" s="23"/>
      <c r="O1897" s="22">
        <f>+PROVEEDORES[[#This Row],[Descuento sobre subtotal %]]*(PROVEEDORES[[#This Row],[SUBTOTAL]]-PROVEEDORES[[#This Row],[descuento sobre subtotal]])</f>
        <v>0</v>
      </c>
      <c r="P1897" s="74">
        <f>+IF(PROVEEDORES[[#This Row],[SUBTOTAL]]&lt;PROVEEDORES[[#This Row],[base retencion]],0,PROVEEDORES[[#This Row],[retención aplicada]])</f>
        <v>0</v>
      </c>
      <c r="Q1897" s="22">
        <f>+PROVEEDORES[[#This Row],[Rete Fuente %]]*(PROVEEDORES[[#This Row],[SUBTOTAL]]-PROVEEDORES[[#This Row],[descuento sobre subtotal]])</f>
        <v>0</v>
      </c>
      <c r="R1897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189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7" s="63">
        <f ca="1">IF(PROVEEDORES[[#This Row],[FECHA DE PAGO]]=0,TODAY()-PROVEEDORES[[#This Row],[FECHA DE FACTURACIÓN]]-PROVEEDORES[[#This Row],[PLAZO Días]],0)</f>
        <v>0</v>
      </c>
      <c r="U1897" s="104">
        <f>+VLOOKUP(PROVEEDORES[[#This Row],[PROVEEDOR]],Terceros!$A:$D,4,FALSE)</f>
        <v>0</v>
      </c>
      <c r="V1897" s="105">
        <f>+YEAR(PROVEEDORES[[#This Row],[FECHA DE FACTURACIÓN]])</f>
        <v>2023</v>
      </c>
      <c r="W1897" s="105">
        <f>+MATCH(PROVEEDORES[[#This Row],[año facturado]],Retenciones!$1:$1,0)</f>
        <v>6</v>
      </c>
      <c r="X1897" s="106">
        <f>+VLOOKUP(PROVEEDORES[[#This Row],[ID RETENCION]],Retenciones!$A$1:$O$25,PROVEEDORES[[#This Row],[indicador de columna]],FALSE)</f>
        <v>0</v>
      </c>
      <c r="Y1897" s="107">
        <f>+VLOOKUP(PROVEEDORES[[#This Row],[ID RETENCION]],Retenciones!$A$1:$O$25,2,FALSE)</f>
        <v>0</v>
      </c>
      <c r="Z1897" s="116" t="b">
        <f>OR(COUNTIF(PROVEEDORES[[#This Row],[PROVEEDOR]],"*"&amp;'Palabra no opera'!$A$2&amp;"*"))</f>
        <v>0</v>
      </c>
    </row>
    <row r="1898" spans="1:26" ht="22.35" customHeight="1" x14ac:dyDescent="0.3">
      <c r="A1898" s="67" t="str">
        <f>+IF(PROVEEDORES[[#This Row],[FECHA DE PAGO]]=PROVEEDORES[[#This Row],[FECHA DE FACTURACIÓN]],"DE CONTADO","CRÉDITO")</f>
        <v>CRÉDITO</v>
      </c>
      <c r="B1898" s="38" t="str">
        <f>+IF((PROVEEDORES[[#This Row],[FECHA DE PAGO]]-PROVEEDORES[[#This Row],[FECHA DE FACTURACIÓN]])&gt;PROVEEDORES[[#This Row],[PLAZO Días]],"PAGO VENCIDO")</f>
        <v>PAGO VENCIDO</v>
      </c>
      <c r="C1898" s="20">
        <f>+VLOOKUP(PROVEEDORES[[#This Row],[PROVEEDOR]],TERCEROS_INFO[#All],2,FALSE)</f>
        <v>30</v>
      </c>
      <c r="D1898" s="25">
        <f>+SUMIFS(PROVEEDORES[Total],PROVEEDORES[PROVEEDOR],PROVEEDORES[[#This Row],[PROVEEDOR]],PROVEEDORES[FECHA DE PAGO],"")</f>
        <v>0</v>
      </c>
      <c r="E1898" s="25"/>
      <c r="F1898" s="56" t="str">
        <f>+VLOOKUP(PROVEEDORES[[#This Row],[PROVEEDOR]],
                       Terceros!$A:$F,
                       5,
                       FALSE)</f>
        <v/>
      </c>
      <c r="G1898" s="68">
        <v>45194</v>
      </c>
      <c r="H1898" s="26" t="s">
        <v>1403</v>
      </c>
      <c r="I1898" s="68">
        <v>45142</v>
      </c>
      <c r="J1898" s="35">
        <v>62</v>
      </c>
      <c r="K1898" s="21">
        <v>50000</v>
      </c>
      <c r="L1898" s="21"/>
      <c r="M1898" s="22">
        <f>(PROVEEDORES[[#This Row],[SUBTOTAL]]-PROVEEDORES[[#This Row],[descuento sobre subtotal]])*VLOOKUP(PROVEEDORES[[#This Row],[PROVEEDOR]],TERCEROS_INFO[#All],3,FALSE)</f>
        <v>0</v>
      </c>
      <c r="N1898" s="23"/>
      <c r="O1898" s="22">
        <f>+PROVEEDORES[[#This Row],[Descuento sobre subtotal %]]*(PROVEEDORES[[#This Row],[SUBTOTAL]]-PROVEEDORES[[#This Row],[descuento sobre subtotal]])</f>
        <v>0</v>
      </c>
      <c r="P1898" s="74">
        <f>+IF(PROVEEDORES[[#This Row],[SUBTOTAL]]&lt;PROVEEDORES[[#This Row],[base retencion]],0,PROVEEDORES[[#This Row],[retención aplicada]])</f>
        <v>0</v>
      </c>
      <c r="Q1898" s="22">
        <f>+PROVEEDORES[[#This Row],[Rete Fuente %]]*(PROVEEDORES[[#This Row],[SUBTOTAL]]-PROVEEDORES[[#This Row],[descuento sobre subtotal]])</f>
        <v>0</v>
      </c>
      <c r="R1898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18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8" s="63">
        <f ca="1">IF(PROVEEDORES[[#This Row],[FECHA DE PAGO]]=0,TODAY()-PROVEEDORES[[#This Row],[FECHA DE FACTURACIÓN]]-PROVEEDORES[[#This Row],[PLAZO Días]],0)</f>
        <v>0</v>
      </c>
      <c r="U1898" s="104">
        <f>+VLOOKUP(PROVEEDORES[[#This Row],[PROVEEDOR]],Terceros!$A:$D,4,FALSE)</f>
        <v>0</v>
      </c>
      <c r="V1898" s="105">
        <f>+YEAR(PROVEEDORES[[#This Row],[FECHA DE FACTURACIÓN]])</f>
        <v>2023</v>
      </c>
      <c r="W1898" s="105">
        <f>+MATCH(PROVEEDORES[[#This Row],[año facturado]],Retenciones!$1:$1,0)</f>
        <v>6</v>
      </c>
      <c r="X1898" s="106">
        <f>+VLOOKUP(PROVEEDORES[[#This Row],[ID RETENCION]],Retenciones!$A$1:$O$25,PROVEEDORES[[#This Row],[indicador de columna]],FALSE)</f>
        <v>0</v>
      </c>
      <c r="Y1898" s="107">
        <f>+VLOOKUP(PROVEEDORES[[#This Row],[ID RETENCION]],Retenciones!$A$1:$O$25,2,FALSE)</f>
        <v>0</v>
      </c>
      <c r="Z1898" s="116" t="b">
        <f>OR(COUNTIF(PROVEEDORES[[#This Row],[PROVEEDOR]],"*"&amp;'Palabra no opera'!$A$2&amp;"*"))</f>
        <v>0</v>
      </c>
    </row>
    <row r="1899" spans="1:26" ht="22.35" customHeight="1" x14ac:dyDescent="0.3">
      <c r="A1899" s="67" t="str">
        <f>+IF(PROVEEDORES[[#This Row],[FECHA DE PAGO]]=PROVEEDORES[[#This Row],[FECHA DE FACTURACIÓN]],"DE CONTADO","CRÉDITO")</f>
        <v>CRÉDITO</v>
      </c>
      <c r="B1899" s="38" t="str">
        <f>+IF((PROVEEDORES[[#This Row],[FECHA DE PAGO]]-PROVEEDORES[[#This Row],[FECHA DE FACTURACIÓN]])&gt;PROVEEDORES[[#This Row],[PLAZO Días]],"PAGO VENCIDO")</f>
        <v>PAGO VENCIDO</v>
      </c>
      <c r="C1899" s="20">
        <f>+VLOOKUP(PROVEEDORES[[#This Row],[PROVEEDOR]],TERCEROS_INFO[#All],2,FALSE)</f>
        <v>30</v>
      </c>
      <c r="D1899" s="25">
        <f>+SUMIFS(PROVEEDORES[Total],PROVEEDORES[PROVEEDOR],PROVEEDORES[[#This Row],[PROVEEDOR]],PROVEEDORES[FECHA DE PAGO],"")</f>
        <v>0</v>
      </c>
      <c r="E1899" s="25"/>
      <c r="F1899" s="56" t="str">
        <f>+VLOOKUP(PROVEEDORES[[#This Row],[PROVEEDOR]],
                       Terceros!$A:$F,
                       5,
                       FALSE)</f>
        <v/>
      </c>
      <c r="G1899" s="68">
        <v>45194</v>
      </c>
      <c r="H1899" s="26" t="s">
        <v>1403</v>
      </c>
      <c r="I1899" s="68">
        <v>45144</v>
      </c>
      <c r="J1899" s="35">
        <v>63</v>
      </c>
      <c r="K1899" s="21">
        <v>49000</v>
      </c>
      <c r="L1899" s="21"/>
      <c r="M1899" s="22">
        <f>(PROVEEDORES[[#This Row],[SUBTOTAL]]-PROVEEDORES[[#This Row],[descuento sobre subtotal]])*VLOOKUP(PROVEEDORES[[#This Row],[PROVEEDOR]],TERCEROS_INFO[#All],3,FALSE)</f>
        <v>0</v>
      </c>
      <c r="N1899" s="23"/>
      <c r="O1899" s="22">
        <f>+PROVEEDORES[[#This Row],[Descuento sobre subtotal %]]*(PROVEEDORES[[#This Row],[SUBTOTAL]]-PROVEEDORES[[#This Row],[descuento sobre subtotal]])</f>
        <v>0</v>
      </c>
      <c r="P1899" s="74">
        <f>+IF(PROVEEDORES[[#This Row],[SUBTOTAL]]&lt;PROVEEDORES[[#This Row],[base retencion]],0,PROVEEDORES[[#This Row],[retención aplicada]])</f>
        <v>0</v>
      </c>
      <c r="Q1899" s="22">
        <f>+PROVEEDORES[[#This Row],[Rete Fuente %]]*(PROVEEDORES[[#This Row],[SUBTOTAL]]-PROVEEDORES[[#This Row],[descuento sobre subtotal]])</f>
        <v>0</v>
      </c>
      <c r="R1899" s="21">
        <f>+PROVEEDORES[[#This Row],[SUBTOTAL]]+PROVEEDORES[[#This Row],[IVA 19%]]-PROVEEDORES[[#This Row],[descuento sobre subtotal]]-PROVEEDORES[[#This Row],[Descuento sobre subtotal $2]]-PROVEEDORES[[#This Row],[Rete Fuente $]]</f>
        <v>49000</v>
      </c>
      <c r="S18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9" s="63">
        <f ca="1">IF(PROVEEDORES[[#This Row],[FECHA DE PAGO]]=0,TODAY()-PROVEEDORES[[#This Row],[FECHA DE FACTURACIÓN]]-PROVEEDORES[[#This Row],[PLAZO Días]],0)</f>
        <v>0</v>
      </c>
      <c r="U1899" s="104">
        <f>+VLOOKUP(PROVEEDORES[[#This Row],[PROVEEDOR]],Terceros!$A:$D,4,FALSE)</f>
        <v>0</v>
      </c>
      <c r="V1899" s="105">
        <f>+YEAR(PROVEEDORES[[#This Row],[FECHA DE FACTURACIÓN]])</f>
        <v>2023</v>
      </c>
      <c r="W1899" s="105">
        <f>+MATCH(PROVEEDORES[[#This Row],[año facturado]],Retenciones!$1:$1,0)</f>
        <v>6</v>
      </c>
      <c r="X1899" s="106">
        <f>+VLOOKUP(PROVEEDORES[[#This Row],[ID RETENCION]],Retenciones!$A$1:$O$25,PROVEEDORES[[#This Row],[indicador de columna]],FALSE)</f>
        <v>0</v>
      </c>
      <c r="Y1899" s="107">
        <f>+VLOOKUP(PROVEEDORES[[#This Row],[ID RETENCION]],Retenciones!$A$1:$O$25,2,FALSE)</f>
        <v>0</v>
      </c>
      <c r="Z1899" s="116" t="b">
        <f>OR(COUNTIF(PROVEEDORES[[#This Row],[PROVEEDOR]],"*"&amp;'Palabra no opera'!$A$2&amp;"*"))</f>
        <v>0</v>
      </c>
    </row>
    <row r="1900" spans="1:26" ht="22.35" customHeight="1" x14ac:dyDescent="0.3">
      <c r="A1900" s="351" t="str">
        <f>+IF(PROVEEDORES[[#This Row],[FECHA DE PAGO]]=PROVEEDORES[[#This Row],[FECHA DE FACTURACIÓN]],"DE CONTADO","CRÉDITO")</f>
        <v>CRÉDITO</v>
      </c>
      <c r="B1900" s="38" t="str">
        <f>+IF((PROVEEDORES[[#This Row],[FECHA DE PAGO]]-PROVEEDORES[[#This Row],[FECHA DE FACTURACIÓN]])&gt;PROVEEDORES[[#This Row],[PLAZO Días]],"PAGO VENCIDO")</f>
        <v>PAGO VENCIDO</v>
      </c>
      <c r="C1900" s="20">
        <f>+VLOOKUP(PROVEEDORES[[#This Row],[PROVEEDOR]],TERCEROS_INFO[#All],2,FALSE)</f>
        <v>30</v>
      </c>
      <c r="D1900" s="25">
        <f>+SUMIFS(PROVEEDORES[Total],PROVEEDORES[PROVEEDOR],PROVEEDORES[[#This Row],[PROVEEDOR]],PROVEEDORES[FECHA DE PAGO],"")</f>
        <v>0</v>
      </c>
      <c r="E1900" s="25"/>
      <c r="F1900" s="56" t="str">
        <f>+VLOOKUP(PROVEEDORES[[#This Row],[PROVEEDOR]],
                       Terceros!$A:$F,
                       5,
                       FALSE)</f>
        <v/>
      </c>
      <c r="G1900" s="68">
        <v>45194</v>
      </c>
      <c r="H1900" s="26" t="s">
        <v>1403</v>
      </c>
      <c r="I1900" s="68">
        <v>45149</v>
      </c>
      <c r="J1900" s="35">
        <v>64</v>
      </c>
      <c r="K1900" s="21">
        <v>34000</v>
      </c>
      <c r="L1900" s="21"/>
      <c r="M1900" s="22">
        <f>(PROVEEDORES[[#This Row],[SUBTOTAL]]-PROVEEDORES[[#This Row],[descuento sobre subtotal]])*VLOOKUP(PROVEEDORES[[#This Row],[PROVEEDOR]],TERCEROS_INFO[#All],3,FALSE)</f>
        <v>0</v>
      </c>
      <c r="N1900" s="23"/>
      <c r="O1900" s="22">
        <f>+PROVEEDORES[[#This Row],[Descuento sobre subtotal %]]*(PROVEEDORES[[#This Row],[SUBTOTAL]]-PROVEEDORES[[#This Row],[descuento sobre subtotal]])</f>
        <v>0</v>
      </c>
      <c r="P1900" s="74">
        <f>+IF(PROVEEDORES[[#This Row],[SUBTOTAL]]&lt;PROVEEDORES[[#This Row],[base retencion]],0,PROVEEDORES[[#This Row],[retención aplicada]])</f>
        <v>0</v>
      </c>
      <c r="Q1900" s="22">
        <f>+PROVEEDORES[[#This Row],[Rete Fuente %]]*(PROVEEDORES[[#This Row],[SUBTOTAL]]-PROVEEDORES[[#This Row],[descuento sobre subtotal]])</f>
        <v>0</v>
      </c>
      <c r="R1900" s="21">
        <f>+PROVEEDORES[[#This Row],[SUBTOTAL]]+PROVEEDORES[[#This Row],[IVA 19%]]-PROVEEDORES[[#This Row],[descuento sobre subtotal]]-PROVEEDORES[[#This Row],[Descuento sobre subtotal $2]]-PROVEEDORES[[#This Row],[Rete Fuente $]]</f>
        <v>34000</v>
      </c>
      <c r="S1900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0" s="63">
        <f ca="1">IF(PROVEEDORES[[#This Row],[FECHA DE PAGO]]=0,TODAY()-PROVEEDORES[[#This Row],[FECHA DE FACTURACIÓN]]-PROVEEDORES[[#This Row],[PLAZO Días]],0)</f>
        <v>0</v>
      </c>
      <c r="U1900" s="104">
        <f>+VLOOKUP(PROVEEDORES[[#This Row],[PROVEEDOR]],Terceros!$A:$D,4,FALSE)</f>
        <v>0</v>
      </c>
      <c r="V1900" s="105">
        <f>+YEAR(PROVEEDORES[[#This Row],[FECHA DE FACTURACIÓN]])</f>
        <v>2023</v>
      </c>
      <c r="W1900" s="105">
        <f>+MATCH(PROVEEDORES[[#This Row],[año facturado]],Retenciones!$1:$1,0)</f>
        <v>6</v>
      </c>
      <c r="X1900" s="106">
        <f>+VLOOKUP(PROVEEDORES[[#This Row],[ID RETENCION]],Retenciones!$A$1:$O$25,PROVEEDORES[[#This Row],[indicador de columna]],FALSE)</f>
        <v>0</v>
      </c>
      <c r="Y1900" s="107">
        <f>+VLOOKUP(PROVEEDORES[[#This Row],[ID RETENCION]],Retenciones!$A$1:$O$25,2,FALSE)</f>
        <v>0</v>
      </c>
      <c r="Z1900" s="116" t="b">
        <f>OR(COUNTIF(PROVEEDORES[[#This Row],[PROVEEDOR]],"*"&amp;'Palabra no opera'!$A$2&amp;"*"))</f>
        <v>0</v>
      </c>
    </row>
    <row r="1901" spans="1:26" ht="22.35" customHeight="1" x14ac:dyDescent="0.3">
      <c r="A1901" s="67" t="str">
        <f>+IF(PROVEEDORES[[#This Row],[FECHA DE PAGO]]=PROVEEDORES[[#This Row],[FECHA DE FACTURACIÓN]],"DE CONTADO","CRÉDITO")</f>
        <v>CRÉDITO</v>
      </c>
      <c r="B1901" s="38" t="str">
        <f>+IF((PROVEEDORES[[#This Row],[FECHA DE PAGO]]-PROVEEDORES[[#This Row],[FECHA DE FACTURACIÓN]])&gt;PROVEEDORES[[#This Row],[PLAZO Días]],"PAGO VENCIDO")</f>
        <v>PAGO VENCIDO</v>
      </c>
      <c r="C1901" s="20">
        <f>+VLOOKUP(PROVEEDORES[[#This Row],[PROVEEDOR]],TERCEROS_INFO[#All],2,FALSE)</f>
        <v>30</v>
      </c>
      <c r="D1901" s="25">
        <f>+SUMIFS(PROVEEDORES[Total],PROVEEDORES[PROVEEDOR],PROVEEDORES[[#This Row],[PROVEEDOR]],PROVEEDORES[FECHA DE PAGO],"")</f>
        <v>0</v>
      </c>
      <c r="E1901" s="25"/>
      <c r="F1901" s="56" t="str">
        <f>+VLOOKUP(PROVEEDORES[[#This Row],[PROVEEDOR]],
                       Terceros!$A:$F,
                       5,
                       FALSE)</f>
        <v/>
      </c>
      <c r="G1901" s="68">
        <v>45194</v>
      </c>
      <c r="H1901" s="26" t="s">
        <v>1403</v>
      </c>
      <c r="I1901" s="68">
        <v>45153</v>
      </c>
      <c r="J1901" s="35">
        <v>65</v>
      </c>
      <c r="K1901" s="21">
        <v>74000</v>
      </c>
      <c r="L1901" s="21"/>
      <c r="M1901" s="22">
        <f>(PROVEEDORES[[#This Row],[SUBTOTAL]]-PROVEEDORES[[#This Row],[descuento sobre subtotal]])*VLOOKUP(PROVEEDORES[[#This Row],[PROVEEDOR]],TERCEROS_INFO[#All],3,FALSE)</f>
        <v>0</v>
      </c>
      <c r="N1901" s="23"/>
      <c r="O1901" s="22">
        <f>+PROVEEDORES[[#This Row],[Descuento sobre subtotal %]]*(PROVEEDORES[[#This Row],[SUBTOTAL]]-PROVEEDORES[[#This Row],[descuento sobre subtotal]])</f>
        <v>0</v>
      </c>
      <c r="P1901" s="74">
        <f>+IF(PROVEEDORES[[#This Row],[SUBTOTAL]]&lt;PROVEEDORES[[#This Row],[base retencion]],0,PROVEEDORES[[#This Row],[retención aplicada]])</f>
        <v>0</v>
      </c>
      <c r="Q1901" s="22">
        <f>+PROVEEDORES[[#This Row],[Rete Fuente %]]*(PROVEEDORES[[#This Row],[SUBTOTAL]]-PROVEEDORES[[#This Row],[descuento sobre subtotal]])</f>
        <v>0</v>
      </c>
      <c r="R1901" s="21">
        <f>+PROVEEDORES[[#This Row],[SUBTOTAL]]+PROVEEDORES[[#This Row],[IVA 19%]]-PROVEEDORES[[#This Row],[descuento sobre subtotal]]-PROVEEDORES[[#This Row],[Descuento sobre subtotal $2]]-PROVEEDORES[[#This Row],[Rete Fuente $]]</f>
        <v>74000</v>
      </c>
      <c r="S19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1" s="63">
        <f ca="1">IF(PROVEEDORES[[#This Row],[FECHA DE PAGO]]=0,TODAY()-PROVEEDORES[[#This Row],[FECHA DE FACTURACIÓN]]-PROVEEDORES[[#This Row],[PLAZO Días]],0)</f>
        <v>0</v>
      </c>
      <c r="U1901" s="104">
        <f>+VLOOKUP(PROVEEDORES[[#This Row],[PROVEEDOR]],Terceros!$A:$D,4,FALSE)</f>
        <v>0</v>
      </c>
      <c r="V1901" s="105">
        <f>+YEAR(PROVEEDORES[[#This Row],[FECHA DE FACTURACIÓN]])</f>
        <v>2023</v>
      </c>
      <c r="W1901" s="105">
        <f>+MATCH(PROVEEDORES[[#This Row],[año facturado]],Retenciones!$1:$1,0)</f>
        <v>6</v>
      </c>
      <c r="X1901" s="106">
        <f>+VLOOKUP(PROVEEDORES[[#This Row],[ID RETENCION]],Retenciones!$A$1:$O$25,PROVEEDORES[[#This Row],[indicador de columna]],FALSE)</f>
        <v>0</v>
      </c>
      <c r="Y1901" s="107">
        <f>+VLOOKUP(PROVEEDORES[[#This Row],[ID RETENCION]],Retenciones!$A$1:$O$25,2,FALSE)</f>
        <v>0</v>
      </c>
      <c r="Z1901" s="116" t="b">
        <f>OR(COUNTIF(PROVEEDORES[[#This Row],[PROVEEDOR]],"*"&amp;'Palabra no opera'!$A$2&amp;"*"))</f>
        <v>0</v>
      </c>
    </row>
    <row r="1902" spans="1:26" ht="22.35" customHeight="1" x14ac:dyDescent="0.3">
      <c r="A1902" s="351" t="str">
        <f>+IF(PROVEEDORES[[#This Row],[FECHA DE PAGO]]=PROVEEDORES[[#This Row],[FECHA DE FACTURACIÓN]],"DE CONTADO","CRÉDITO")</f>
        <v>CRÉDITO</v>
      </c>
      <c r="B1902" s="38" t="str">
        <f>+IF((PROVEEDORES[[#This Row],[FECHA DE PAGO]]-PROVEEDORES[[#This Row],[FECHA DE FACTURACIÓN]])&gt;PROVEEDORES[[#This Row],[PLAZO Días]],"PAGO VENCIDO")</f>
        <v>PAGO VENCIDO</v>
      </c>
      <c r="C1902" s="20">
        <f>+VLOOKUP(PROVEEDORES[[#This Row],[PROVEEDOR]],TERCEROS_INFO[#All],2,FALSE)</f>
        <v>30</v>
      </c>
      <c r="D1902" s="25">
        <f>+SUMIFS(PROVEEDORES[Total],PROVEEDORES[PROVEEDOR],PROVEEDORES[[#This Row],[PROVEEDOR]],PROVEEDORES[FECHA DE PAGO],"")</f>
        <v>0</v>
      </c>
      <c r="E1902" s="25"/>
      <c r="F1902" s="56" t="str">
        <f>+VLOOKUP(PROVEEDORES[[#This Row],[PROVEEDOR]],
                       Terceros!$A:$F,
                       5,
                       FALSE)</f>
        <v/>
      </c>
      <c r="G1902" s="68">
        <v>45194</v>
      </c>
      <c r="H1902" s="26" t="s">
        <v>1403</v>
      </c>
      <c r="I1902" s="68">
        <v>45160</v>
      </c>
      <c r="J1902" s="35">
        <v>66</v>
      </c>
      <c r="K1902" s="21">
        <v>20000</v>
      </c>
      <c r="L1902" s="21"/>
      <c r="M1902" s="22">
        <f>(PROVEEDORES[[#This Row],[SUBTOTAL]]-PROVEEDORES[[#This Row],[descuento sobre subtotal]])*VLOOKUP(PROVEEDORES[[#This Row],[PROVEEDOR]],TERCEROS_INFO[#All],3,FALSE)</f>
        <v>0</v>
      </c>
      <c r="N1902" s="23"/>
      <c r="O1902" s="22">
        <f>+PROVEEDORES[[#This Row],[Descuento sobre subtotal %]]*(PROVEEDORES[[#This Row],[SUBTOTAL]]-PROVEEDORES[[#This Row],[descuento sobre subtotal]])</f>
        <v>0</v>
      </c>
      <c r="P1902" s="74">
        <f>+IF(PROVEEDORES[[#This Row],[SUBTOTAL]]&lt;PROVEEDORES[[#This Row],[base retencion]],0,PROVEEDORES[[#This Row],[retención aplicada]])</f>
        <v>0</v>
      </c>
      <c r="Q1902" s="22">
        <f>+PROVEEDORES[[#This Row],[Rete Fuente %]]*(PROVEEDORES[[#This Row],[SUBTOTAL]]-PROVEEDORES[[#This Row],[descuento sobre subtotal]])</f>
        <v>0</v>
      </c>
      <c r="R1902" s="21">
        <f>+PROVEEDORES[[#This Row],[SUBTOTAL]]+PROVEEDORES[[#This Row],[IVA 19%]]-PROVEEDORES[[#This Row],[descuento sobre subtotal]]-PROVEEDORES[[#This Row],[Descuento sobre subtotal $2]]-PROVEEDORES[[#This Row],[Rete Fuente $]]</f>
        <v>20000</v>
      </c>
      <c r="S1902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2" s="63">
        <f ca="1">IF(PROVEEDORES[[#This Row],[FECHA DE PAGO]]=0,TODAY()-PROVEEDORES[[#This Row],[FECHA DE FACTURACIÓN]]-PROVEEDORES[[#This Row],[PLAZO Días]],0)</f>
        <v>0</v>
      </c>
      <c r="U1902" s="104">
        <f>+VLOOKUP(PROVEEDORES[[#This Row],[PROVEEDOR]],Terceros!$A:$D,4,FALSE)</f>
        <v>0</v>
      </c>
      <c r="V1902" s="105">
        <f>+YEAR(PROVEEDORES[[#This Row],[FECHA DE FACTURACIÓN]])</f>
        <v>2023</v>
      </c>
      <c r="W1902" s="105">
        <f>+MATCH(PROVEEDORES[[#This Row],[año facturado]],Retenciones!$1:$1,0)</f>
        <v>6</v>
      </c>
      <c r="X1902" s="106">
        <f>+VLOOKUP(PROVEEDORES[[#This Row],[ID RETENCION]],Retenciones!$A$1:$O$25,PROVEEDORES[[#This Row],[indicador de columna]],FALSE)</f>
        <v>0</v>
      </c>
      <c r="Y1902" s="107">
        <f>+VLOOKUP(PROVEEDORES[[#This Row],[ID RETENCION]],Retenciones!$A$1:$O$25,2,FALSE)</f>
        <v>0</v>
      </c>
      <c r="Z1902" s="116" t="b">
        <f>OR(COUNTIF(PROVEEDORES[[#This Row],[PROVEEDOR]],"*"&amp;'Palabra no opera'!$A$2&amp;"*"))</f>
        <v>0</v>
      </c>
    </row>
    <row r="1903" spans="1:26" ht="22.35" customHeight="1" x14ac:dyDescent="0.3">
      <c r="A1903" s="351" t="str">
        <f>+IF(PROVEEDORES[[#This Row],[FECHA DE PAGO]]=PROVEEDORES[[#This Row],[FECHA DE FACTURACIÓN]],"DE CONTADO","CRÉDITO")</f>
        <v>CRÉDITO</v>
      </c>
      <c r="B1903" s="38" t="b">
        <f>+IF((PROVEEDORES[[#This Row],[FECHA DE PAGO]]-PROVEEDORES[[#This Row],[FECHA DE FACTURACIÓN]])&gt;PROVEEDORES[[#This Row],[PLAZO Días]],"PAGO VENCIDO")</f>
        <v>0</v>
      </c>
      <c r="C1903" s="20">
        <f>+VLOOKUP(PROVEEDORES[[#This Row],[PROVEEDOR]],TERCEROS_INFO[#All],2,FALSE)</f>
        <v>30</v>
      </c>
      <c r="D1903" s="25">
        <f>+SUMIFS(PROVEEDORES[Total],PROVEEDORES[PROVEEDOR],PROVEEDORES[[#This Row],[PROVEEDOR]],PROVEEDORES[FECHA DE PAGO],"")</f>
        <v>0</v>
      </c>
      <c r="E1903" s="25"/>
      <c r="F1903" s="56" t="str">
        <f>+VLOOKUP(PROVEEDORES[[#This Row],[PROVEEDOR]],
                       Terceros!$A:$F,
                       5,
                       FALSE)</f>
        <v/>
      </c>
      <c r="G1903" s="68">
        <v>45194</v>
      </c>
      <c r="H1903" s="26" t="s">
        <v>1403</v>
      </c>
      <c r="I1903" s="68">
        <v>45166</v>
      </c>
      <c r="J1903" s="35">
        <v>67</v>
      </c>
      <c r="K1903" s="21">
        <v>22000</v>
      </c>
      <c r="L1903" s="21"/>
      <c r="M1903" s="22">
        <f>(PROVEEDORES[[#This Row],[SUBTOTAL]]-PROVEEDORES[[#This Row],[descuento sobre subtotal]])*VLOOKUP(PROVEEDORES[[#This Row],[PROVEEDOR]],TERCEROS_INFO[#All],3,FALSE)</f>
        <v>0</v>
      </c>
      <c r="N1903" s="23"/>
      <c r="O1903" s="22">
        <f>+PROVEEDORES[[#This Row],[Descuento sobre subtotal %]]*(PROVEEDORES[[#This Row],[SUBTOTAL]]-PROVEEDORES[[#This Row],[descuento sobre subtotal]])</f>
        <v>0</v>
      </c>
      <c r="P1903" s="74">
        <f>+IF(PROVEEDORES[[#This Row],[SUBTOTAL]]&lt;PROVEEDORES[[#This Row],[base retencion]],0,PROVEEDORES[[#This Row],[retención aplicada]])</f>
        <v>0</v>
      </c>
      <c r="Q1903" s="22">
        <f>+PROVEEDORES[[#This Row],[Rete Fuente %]]*(PROVEEDORES[[#This Row],[SUBTOTAL]]-PROVEEDORES[[#This Row],[descuento sobre subtotal]])</f>
        <v>0</v>
      </c>
      <c r="R1903" s="21">
        <f>+PROVEEDORES[[#This Row],[SUBTOTAL]]+PROVEEDORES[[#This Row],[IVA 19%]]-PROVEEDORES[[#This Row],[descuento sobre subtotal]]-PROVEEDORES[[#This Row],[Descuento sobre subtotal $2]]-PROVEEDORES[[#This Row],[Rete Fuente $]]</f>
        <v>22000</v>
      </c>
      <c r="S1903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3" s="63">
        <f ca="1">IF(PROVEEDORES[[#This Row],[FECHA DE PAGO]]=0,TODAY()-PROVEEDORES[[#This Row],[FECHA DE FACTURACIÓN]]-PROVEEDORES[[#This Row],[PLAZO Días]],0)</f>
        <v>0</v>
      </c>
      <c r="U1903" s="104">
        <f>+VLOOKUP(PROVEEDORES[[#This Row],[PROVEEDOR]],Terceros!$A:$D,4,FALSE)</f>
        <v>0</v>
      </c>
      <c r="V1903" s="105">
        <f>+YEAR(PROVEEDORES[[#This Row],[FECHA DE FACTURACIÓN]])</f>
        <v>2023</v>
      </c>
      <c r="W1903" s="105">
        <f>+MATCH(PROVEEDORES[[#This Row],[año facturado]],Retenciones!$1:$1,0)</f>
        <v>6</v>
      </c>
      <c r="X1903" s="106">
        <f>+VLOOKUP(PROVEEDORES[[#This Row],[ID RETENCION]],Retenciones!$A$1:$O$25,PROVEEDORES[[#This Row],[indicador de columna]],FALSE)</f>
        <v>0</v>
      </c>
      <c r="Y1903" s="107">
        <f>+VLOOKUP(PROVEEDORES[[#This Row],[ID RETENCION]],Retenciones!$A$1:$O$25,2,FALSE)</f>
        <v>0</v>
      </c>
      <c r="Z1903" s="116" t="b">
        <f>OR(COUNTIF(PROVEEDORES[[#This Row],[PROVEEDOR]],"*"&amp;'Palabra no opera'!$A$2&amp;"*"))</f>
        <v>0</v>
      </c>
    </row>
    <row r="1904" spans="1:26" ht="22.35" customHeight="1" x14ac:dyDescent="0.3">
      <c r="A1904" s="67" t="str">
        <f>+IF(PROVEEDORES[[#This Row],[FECHA DE PAGO]]=PROVEEDORES[[#This Row],[FECHA DE FACTURACIÓN]],"DE CONTADO","CRÉDITO")</f>
        <v>CRÉDITO</v>
      </c>
      <c r="B1904" s="38" t="b">
        <f>+IF((PROVEEDORES[[#This Row],[FECHA DE PAGO]]-PROVEEDORES[[#This Row],[FECHA DE FACTURACIÓN]])&gt;PROVEEDORES[[#This Row],[PLAZO Días]],"PAGO VENCIDO")</f>
        <v>0</v>
      </c>
      <c r="C1904" s="20">
        <f>+VLOOKUP(PROVEEDORES[[#This Row],[PROVEEDOR]],TERCEROS_INFO[#All],2,FALSE)</f>
        <v>30</v>
      </c>
      <c r="D1904" s="25">
        <f>+SUMIFS(PROVEEDORES[Total],PROVEEDORES[PROVEEDOR],PROVEEDORES[[#This Row],[PROVEEDOR]],PROVEEDORES[FECHA DE PAGO],"")</f>
        <v>0</v>
      </c>
      <c r="E1904" s="25"/>
      <c r="F1904" s="56" t="str">
        <f>+VLOOKUP(PROVEEDORES[[#This Row],[PROVEEDOR]],
                       Terceros!$A:$F,
                       5,
                       FALSE)</f>
        <v/>
      </c>
      <c r="G1904" s="68">
        <v>45194</v>
      </c>
      <c r="H1904" s="26" t="s">
        <v>1403</v>
      </c>
      <c r="I1904" s="68">
        <v>45168</v>
      </c>
      <c r="J1904" s="35">
        <v>68</v>
      </c>
      <c r="K1904" s="21">
        <v>66000</v>
      </c>
      <c r="L1904" s="21"/>
      <c r="M1904" s="22">
        <f>(PROVEEDORES[[#This Row],[SUBTOTAL]]-PROVEEDORES[[#This Row],[descuento sobre subtotal]])*VLOOKUP(PROVEEDORES[[#This Row],[PROVEEDOR]],TERCEROS_INFO[#All],3,FALSE)</f>
        <v>0</v>
      </c>
      <c r="N1904" s="23"/>
      <c r="O1904" s="22">
        <f>+PROVEEDORES[[#This Row],[Descuento sobre subtotal %]]*(PROVEEDORES[[#This Row],[SUBTOTAL]]-PROVEEDORES[[#This Row],[descuento sobre subtotal]])</f>
        <v>0</v>
      </c>
      <c r="P1904" s="74">
        <f>+IF(PROVEEDORES[[#This Row],[SUBTOTAL]]&lt;PROVEEDORES[[#This Row],[base retencion]],0,PROVEEDORES[[#This Row],[retención aplicada]])</f>
        <v>0</v>
      </c>
      <c r="Q1904" s="22">
        <f>+PROVEEDORES[[#This Row],[Rete Fuente %]]*(PROVEEDORES[[#This Row],[SUBTOTAL]]-PROVEEDORES[[#This Row],[descuento sobre subtotal]])</f>
        <v>0</v>
      </c>
      <c r="R1904" s="21">
        <f>+PROVEEDORES[[#This Row],[SUBTOTAL]]+PROVEEDORES[[#This Row],[IVA 19%]]-PROVEEDORES[[#This Row],[descuento sobre subtotal]]-PROVEEDORES[[#This Row],[Descuento sobre subtotal $2]]-PROVEEDORES[[#This Row],[Rete Fuente $]]</f>
        <v>66000</v>
      </c>
      <c r="S19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4" s="63">
        <f ca="1">IF(PROVEEDORES[[#This Row],[FECHA DE PAGO]]=0,TODAY()-PROVEEDORES[[#This Row],[FECHA DE FACTURACIÓN]]-PROVEEDORES[[#This Row],[PLAZO Días]],0)</f>
        <v>0</v>
      </c>
      <c r="U1904" s="104">
        <f>+VLOOKUP(PROVEEDORES[[#This Row],[PROVEEDOR]],Terceros!$A:$D,4,FALSE)</f>
        <v>0</v>
      </c>
      <c r="V1904" s="105">
        <f>+YEAR(PROVEEDORES[[#This Row],[FECHA DE FACTURACIÓN]])</f>
        <v>2023</v>
      </c>
      <c r="W1904" s="105">
        <f>+MATCH(PROVEEDORES[[#This Row],[año facturado]],Retenciones!$1:$1,0)</f>
        <v>6</v>
      </c>
      <c r="X1904" s="106">
        <f>+VLOOKUP(PROVEEDORES[[#This Row],[ID RETENCION]],Retenciones!$A$1:$O$25,PROVEEDORES[[#This Row],[indicador de columna]],FALSE)</f>
        <v>0</v>
      </c>
      <c r="Y1904" s="107">
        <f>+VLOOKUP(PROVEEDORES[[#This Row],[ID RETENCION]],Retenciones!$A$1:$O$25,2,FALSE)</f>
        <v>0</v>
      </c>
      <c r="Z1904" s="116" t="b">
        <f>OR(COUNTIF(PROVEEDORES[[#This Row],[PROVEEDOR]],"*"&amp;'Palabra no opera'!$A$2&amp;"*"))</f>
        <v>0</v>
      </c>
    </row>
    <row r="1905" spans="1:26" ht="22.35" customHeight="1" x14ac:dyDescent="0.3">
      <c r="A1905" s="67" t="str">
        <f>+IF(PROVEEDORES[[#This Row],[FECHA DE PAGO]]=PROVEEDORES[[#This Row],[FECHA DE FACTURACIÓN]],"DE CONTADO","CRÉDITO")</f>
        <v>CRÉDITO</v>
      </c>
      <c r="B1905" s="38" t="str">
        <f>+IF((PROVEEDORES[[#This Row],[FECHA DE PAGO]]-PROVEEDORES[[#This Row],[FECHA DE FACTURACIÓN]])&gt;PROVEEDORES[[#This Row],[PLAZO Días]],"PAGO VENCIDO")</f>
        <v>PAGO VENCIDO</v>
      </c>
      <c r="C1905" s="20">
        <f>+VLOOKUP(PROVEEDORES[[#This Row],[PROVEEDOR]],TERCEROS_INFO[#All],2,FALSE)</f>
        <v>30</v>
      </c>
      <c r="D1905" s="25">
        <f>+SUMIFS(PROVEEDORES[Total],PROVEEDORES[PROVEEDOR],PROVEEDORES[[#This Row],[PROVEEDOR]],PROVEEDORES[FECHA DE PAGO],"")</f>
        <v>4248480.9550000001</v>
      </c>
      <c r="E1905" s="25"/>
      <c r="F1905" s="56" t="str">
        <f>+VLOOKUP(PROVEEDORES[[#This Row],[PROVEEDOR]],
                       Terceros!$A:$F,
                       5,
                       FALSE)</f>
        <v/>
      </c>
      <c r="G1905" s="68">
        <v>45194</v>
      </c>
      <c r="H1905" s="26" t="s">
        <v>78</v>
      </c>
      <c r="I1905" s="68">
        <v>45162</v>
      </c>
      <c r="J1905" s="35" t="s">
        <v>1902</v>
      </c>
      <c r="K1905" s="21">
        <v>1877600</v>
      </c>
      <c r="L1905" s="21"/>
      <c r="M1905" s="22">
        <f>(PROVEEDORES[[#This Row],[SUBTOTAL]]-PROVEEDORES[[#This Row],[descuento sobre subtotal]])*VLOOKUP(PROVEEDORES[[#This Row],[PROVEEDOR]],TERCEROS_INFO[#All],3,FALSE)</f>
        <v>356744</v>
      </c>
      <c r="N1905" s="23"/>
      <c r="O1905" s="22">
        <f>+PROVEEDORES[[#This Row],[Descuento sobre subtotal %]]*(PROVEEDORES[[#This Row],[SUBTOTAL]]-PROVEEDORES[[#This Row],[descuento sobre subtotal]])</f>
        <v>0</v>
      </c>
      <c r="P1905" s="74">
        <f>+IF(PROVEEDORES[[#This Row],[SUBTOTAL]]&lt;PROVEEDORES[[#This Row],[base retencion]],0,PROVEEDORES[[#This Row],[retención aplicada]])</f>
        <v>2.5000000000000001E-2</v>
      </c>
      <c r="Q1905" s="22">
        <f>+PROVEEDORES[[#This Row],[Rete Fuente %]]*(PROVEEDORES[[#This Row],[SUBTOTAL]]-PROVEEDORES[[#This Row],[descuento sobre subtotal]])</f>
        <v>46940</v>
      </c>
      <c r="R1905" s="21">
        <f>+PROVEEDORES[[#This Row],[SUBTOTAL]]+PROVEEDORES[[#This Row],[IVA 19%]]-PROVEEDORES[[#This Row],[descuento sobre subtotal]]-PROVEEDORES[[#This Row],[Descuento sobre subtotal $2]]-PROVEEDORES[[#This Row],[Rete Fuente $]]</f>
        <v>2187404</v>
      </c>
      <c r="S19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5" s="63">
        <f ca="1">IF(PROVEEDORES[[#This Row],[FECHA DE PAGO]]=0,TODAY()-PROVEEDORES[[#This Row],[FECHA DE FACTURACIÓN]]-PROVEEDORES[[#This Row],[PLAZO Días]],0)</f>
        <v>0</v>
      </c>
      <c r="U1905" s="104" t="str">
        <f>+VLOOKUP(PROVEEDORES[[#This Row],[PROVEEDOR]],Terceros!$A:$D,4,FALSE)</f>
        <v>2,5% con base</v>
      </c>
      <c r="V1905" s="105">
        <f>+YEAR(PROVEEDORES[[#This Row],[FECHA DE FACTURACIÓN]])</f>
        <v>2023</v>
      </c>
      <c r="W1905" s="105">
        <f>+MATCH(PROVEEDORES[[#This Row],[año facturado]],Retenciones!$1:$1,0)</f>
        <v>6</v>
      </c>
      <c r="X1905" s="106">
        <f>+VLOOKUP(PROVEEDORES[[#This Row],[ID RETENCION]],Retenciones!$A$1:$O$25,PROVEEDORES[[#This Row],[indicador de columna]],FALSE)</f>
        <v>1145000</v>
      </c>
      <c r="Y1905" s="107">
        <f>+VLOOKUP(PROVEEDORES[[#This Row],[ID RETENCION]],Retenciones!$A$1:$O$25,2,FALSE)</f>
        <v>2.5000000000000001E-2</v>
      </c>
      <c r="Z1905" s="116" t="b">
        <f>OR(COUNTIF(PROVEEDORES[[#This Row],[PROVEEDOR]],"*"&amp;'Palabra no opera'!$A$2&amp;"*"))</f>
        <v>0</v>
      </c>
    </row>
    <row r="1906" spans="1:26" ht="22.35" customHeight="1" x14ac:dyDescent="0.3">
      <c r="A1906" s="67" t="str">
        <f>+IF(PROVEEDORES[[#This Row],[FECHA DE PAGO]]=PROVEEDORES[[#This Row],[FECHA DE FACTURACIÓN]],"DE CONTADO","CRÉDITO")</f>
        <v>DE CONTADO</v>
      </c>
      <c r="B1906" s="38" t="b">
        <f>+IF((PROVEEDORES[[#This Row],[FECHA DE PAGO]]-PROVEEDORES[[#This Row],[FECHA DE FACTURACIÓN]])&gt;PROVEEDORES[[#This Row],[PLAZO Días]],"PAGO VENCIDO")</f>
        <v>0</v>
      </c>
      <c r="C1906" s="20">
        <f>+VLOOKUP(PROVEEDORES[[#This Row],[PROVEEDOR]],TERCEROS_INFO[#All],2,FALSE)</f>
        <v>30</v>
      </c>
      <c r="D1906" s="25">
        <f>+SUMIFS(PROVEEDORES[Total],PROVEEDORES[PROVEEDOR],PROVEEDORES[[#This Row],[PROVEEDOR]],PROVEEDORES[FECHA DE PAGO],"")</f>
        <v>0</v>
      </c>
      <c r="E1906" s="25"/>
      <c r="F1906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906" s="68">
        <v>45194</v>
      </c>
      <c r="H1906" s="26" t="s">
        <v>227</v>
      </c>
      <c r="I1906" s="68">
        <v>45194</v>
      </c>
      <c r="J1906" s="35" t="s">
        <v>1985</v>
      </c>
      <c r="K1906" s="21">
        <v>2299649</v>
      </c>
      <c r="L1906" s="21"/>
      <c r="M1906" s="22">
        <f>(PROVEEDORES[[#This Row],[SUBTOTAL]]-PROVEEDORES[[#This Row],[descuento sobre subtotal]])*VLOOKUP(PROVEEDORES[[#This Row],[PROVEEDOR]],TERCEROS_INFO[#All],3,FALSE)</f>
        <v>0</v>
      </c>
      <c r="N1906" s="23"/>
      <c r="O1906" s="22">
        <f>+PROVEEDORES[[#This Row],[Descuento sobre subtotal %]]*(PROVEEDORES[[#This Row],[SUBTOTAL]]-PROVEEDORES[[#This Row],[descuento sobre subtotal]])</f>
        <v>0</v>
      </c>
      <c r="P1906" s="74">
        <f>+IF(PROVEEDORES[[#This Row],[SUBTOTAL]]&lt;PROVEEDORES[[#This Row],[base retencion]],0,PROVEEDORES[[#This Row],[retención aplicada]])</f>
        <v>0</v>
      </c>
      <c r="Q1906" s="22">
        <f>+PROVEEDORES[[#This Row],[Rete Fuente %]]*(PROVEEDORES[[#This Row],[SUBTOTAL]]-PROVEEDORES[[#This Row],[descuento sobre subtotal]])</f>
        <v>0</v>
      </c>
      <c r="R1906" s="21">
        <f>+PROVEEDORES[[#This Row],[SUBTOTAL]]+PROVEEDORES[[#This Row],[IVA 19%]]-PROVEEDORES[[#This Row],[descuento sobre subtotal]]-PROVEEDORES[[#This Row],[Descuento sobre subtotal $2]]-PROVEEDORES[[#This Row],[Rete Fuente $]]</f>
        <v>2299649</v>
      </c>
      <c r="S19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6" s="63">
        <f ca="1">IF(PROVEEDORES[[#This Row],[FECHA DE PAGO]]=0,TODAY()-PROVEEDORES[[#This Row],[FECHA DE FACTURACIÓN]]-PROVEEDORES[[#This Row],[PLAZO Días]],0)</f>
        <v>0</v>
      </c>
      <c r="U1906" s="104">
        <f>+VLOOKUP(PROVEEDORES[[#This Row],[PROVEEDOR]],Terceros!$A:$D,4,FALSE)</f>
        <v>0</v>
      </c>
      <c r="V1906" s="105">
        <f>+YEAR(PROVEEDORES[[#This Row],[FECHA DE FACTURACIÓN]])</f>
        <v>2023</v>
      </c>
      <c r="W1906" s="105">
        <f>+MATCH(PROVEEDORES[[#This Row],[año facturado]],Retenciones!$1:$1,0)</f>
        <v>6</v>
      </c>
      <c r="X1906" s="106">
        <f>+VLOOKUP(PROVEEDORES[[#This Row],[ID RETENCION]],Retenciones!$A$1:$O$25,PROVEEDORES[[#This Row],[indicador de columna]],FALSE)</f>
        <v>0</v>
      </c>
      <c r="Y1906" s="107">
        <f>+VLOOKUP(PROVEEDORES[[#This Row],[ID RETENCION]],Retenciones!$A$1:$O$25,2,FALSE)</f>
        <v>0</v>
      </c>
      <c r="Z1906" s="116" t="b">
        <f>OR(COUNTIF(PROVEEDORES[[#This Row],[PROVEEDOR]],"*"&amp;'Palabra no opera'!$A$2&amp;"*"))</f>
        <v>0</v>
      </c>
    </row>
    <row r="1907" spans="1:26" ht="22.35" customHeight="1" x14ac:dyDescent="0.3">
      <c r="A1907" s="333" t="str">
        <f>+IF(PROVEEDORES[[#This Row],[FECHA DE PAGO]]=PROVEEDORES[[#This Row],[FECHA DE FACTURACIÓN]],"DE CONTADO","CRÉDITO")</f>
        <v>CRÉDITO</v>
      </c>
      <c r="B1907" s="38" t="str">
        <f>+IF((PROVEEDORES[[#This Row],[FECHA DE PAGO]]-PROVEEDORES[[#This Row],[FECHA DE FACTURACIÓN]])&gt;PROVEEDORES[[#This Row],[PLAZO Días]],"PAGO VENCIDO")</f>
        <v>PAGO VENCIDO</v>
      </c>
      <c r="C1907" s="20">
        <f>+VLOOKUP(PROVEEDORES[[#This Row],[PROVEEDOR]],TERCEROS_INFO[#All],2,FALSE)</f>
        <v>30</v>
      </c>
      <c r="D1907" s="25">
        <f>+SUMIFS(PROVEEDORES[Total],PROVEEDORES[PROVEEDOR],PROVEEDORES[[#This Row],[PROVEEDOR]],PROVEEDORES[FECHA DE PAGO],"")</f>
        <v>10321993.199999999</v>
      </c>
      <c r="E1907" s="25"/>
      <c r="F190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07" s="68">
        <v>45194</v>
      </c>
      <c r="H1907" s="26" t="s">
        <v>1068</v>
      </c>
      <c r="I1907" s="68">
        <v>45124</v>
      </c>
      <c r="J1907" s="35" t="s">
        <v>1819</v>
      </c>
      <c r="K1907" s="21">
        <v>925000</v>
      </c>
      <c r="L1907" s="21"/>
      <c r="M1907" s="22">
        <f>(PROVEEDORES[[#This Row],[SUBTOTAL]]-PROVEEDORES[[#This Row],[descuento sobre subtotal]])*VLOOKUP(PROVEEDORES[[#This Row],[PROVEEDOR]],TERCEROS_INFO[#All],3,FALSE)</f>
        <v>175750</v>
      </c>
      <c r="N1907" s="23"/>
      <c r="O1907" s="22">
        <f>+PROVEEDORES[[#This Row],[Descuento sobre subtotal %]]*(PROVEEDORES[[#This Row],[SUBTOTAL]]-PROVEEDORES[[#This Row],[descuento sobre subtotal]])</f>
        <v>0</v>
      </c>
      <c r="P1907" s="74">
        <f>+IF(PROVEEDORES[[#This Row],[SUBTOTAL]]&lt;PROVEEDORES[[#This Row],[base retencion]],0,PROVEEDORES[[#This Row],[retención aplicada]])</f>
        <v>0</v>
      </c>
      <c r="Q1907" s="22">
        <f>+PROVEEDORES[[#This Row],[Rete Fuente %]]*(PROVEEDORES[[#This Row],[SUBTOTAL]]-PROVEEDORES[[#This Row],[descuento sobre subtotal]])</f>
        <v>0</v>
      </c>
      <c r="R1907" s="21">
        <f>+PROVEEDORES[[#This Row],[SUBTOTAL]]+PROVEEDORES[[#This Row],[IVA 19%]]-PROVEEDORES[[#This Row],[descuento sobre subtotal]]-PROVEEDORES[[#This Row],[Descuento sobre subtotal $2]]-PROVEEDORES[[#This Row],[Rete Fuente $]]</f>
        <v>1100750</v>
      </c>
      <c r="S1907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7" s="63">
        <f ca="1">IF(PROVEEDORES[[#This Row],[FECHA DE PAGO]]=0,TODAY()-PROVEEDORES[[#This Row],[FECHA DE FACTURACIÓN]]-PROVEEDORES[[#This Row],[PLAZO Días]],0)</f>
        <v>0</v>
      </c>
      <c r="U1907" s="104" t="str">
        <f>+VLOOKUP(PROVEEDORES[[#This Row],[PROVEEDOR]],Terceros!$A:$D,4,FALSE)</f>
        <v>2,5% con base</v>
      </c>
      <c r="V1907" s="105">
        <f>+YEAR(PROVEEDORES[[#This Row],[FECHA DE FACTURACIÓN]])</f>
        <v>2023</v>
      </c>
      <c r="W1907" s="105">
        <f>+MATCH(PROVEEDORES[[#This Row],[año facturado]],Retenciones!$1:$1,0)</f>
        <v>6</v>
      </c>
      <c r="X1907" s="106">
        <f>+VLOOKUP(PROVEEDORES[[#This Row],[ID RETENCION]],Retenciones!$A$1:$O$25,PROVEEDORES[[#This Row],[indicador de columna]],FALSE)</f>
        <v>1145000</v>
      </c>
      <c r="Y1907" s="107">
        <f>+VLOOKUP(PROVEEDORES[[#This Row],[ID RETENCION]],Retenciones!$A$1:$O$25,2,FALSE)</f>
        <v>2.5000000000000001E-2</v>
      </c>
      <c r="Z1907" s="116" t="b">
        <f>OR(COUNTIF(PROVEEDORES[[#This Row],[PROVEEDOR]],"*"&amp;'Palabra no opera'!$A$2&amp;"*"))</f>
        <v>0</v>
      </c>
    </row>
    <row r="1908" spans="1:26" ht="22.35" customHeight="1" x14ac:dyDescent="0.3">
      <c r="A1908" s="333" t="str">
        <f>+IF(PROVEEDORES[[#This Row],[FECHA DE PAGO]]=PROVEEDORES[[#This Row],[FECHA DE FACTURACIÓN]],"DE CONTADO","CRÉDITO")</f>
        <v>CRÉDITO</v>
      </c>
      <c r="B1908" s="38" t="str">
        <f>+IF((PROVEEDORES[[#This Row],[FECHA DE PAGO]]-PROVEEDORES[[#This Row],[FECHA DE FACTURACIÓN]])&gt;PROVEEDORES[[#This Row],[PLAZO Días]],"PAGO VENCIDO")</f>
        <v>PAGO VENCIDO</v>
      </c>
      <c r="C1908" s="20">
        <f>+VLOOKUP(PROVEEDORES[[#This Row],[PROVEEDOR]],TERCEROS_INFO[#All],2,FALSE)</f>
        <v>30</v>
      </c>
      <c r="D1908" s="25">
        <f>+SUMIFS(PROVEEDORES[Total],PROVEEDORES[PROVEEDOR],PROVEEDORES[[#This Row],[PROVEEDOR]],PROVEEDORES[FECHA DE PAGO],"")</f>
        <v>10321993.199999999</v>
      </c>
      <c r="E1908" s="25"/>
      <c r="F190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08" s="68">
        <v>45194</v>
      </c>
      <c r="H1908" s="26" t="s">
        <v>1068</v>
      </c>
      <c r="I1908" s="68">
        <v>45131</v>
      </c>
      <c r="J1908" s="35" t="s">
        <v>1818</v>
      </c>
      <c r="K1908" s="21">
        <v>3318355</v>
      </c>
      <c r="L1908" s="21">
        <v>158335</v>
      </c>
      <c r="M1908" s="22">
        <f>(PROVEEDORES[[#This Row],[SUBTOTAL]]-PROVEEDORES[[#This Row],[descuento sobre subtotal]])*VLOOKUP(PROVEEDORES[[#This Row],[PROVEEDOR]],TERCEROS_INFO[#All],3,FALSE)</f>
        <v>600403.80000000005</v>
      </c>
      <c r="N1908" s="23"/>
      <c r="O1908" s="22">
        <f>+PROVEEDORES[[#This Row],[Descuento sobre subtotal %]]*(PROVEEDORES[[#This Row],[SUBTOTAL]]-PROVEEDORES[[#This Row],[descuento sobre subtotal]])</f>
        <v>0</v>
      </c>
      <c r="P1908" s="74">
        <f>+IF(PROVEEDORES[[#This Row],[SUBTOTAL]]&lt;PROVEEDORES[[#This Row],[base retencion]],0,PROVEEDORES[[#This Row],[retención aplicada]])</f>
        <v>2.5000000000000001E-2</v>
      </c>
      <c r="Q1908" s="22">
        <f>+PROVEEDORES[[#This Row],[Rete Fuente %]]*(PROVEEDORES[[#This Row],[SUBTOTAL]]-PROVEEDORES[[#This Row],[descuento sobre subtotal]])</f>
        <v>79000.5</v>
      </c>
      <c r="R1908" s="21">
        <f>+PROVEEDORES[[#This Row],[SUBTOTAL]]+PROVEEDORES[[#This Row],[IVA 19%]]-PROVEEDORES[[#This Row],[descuento sobre subtotal]]-PROVEEDORES[[#This Row],[Descuento sobre subtotal $2]]-PROVEEDORES[[#This Row],[Rete Fuente $]]</f>
        <v>3681423.3</v>
      </c>
      <c r="S1908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8" s="63">
        <f ca="1">IF(PROVEEDORES[[#This Row],[FECHA DE PAGO]]=0,TODAY()-PROVEEDORES[[#This Row],[FECHA DE FACTURACIÓN]]-PROVEEDORES[[#This Row],[PLAZO Días]],0)</f>
        <v>0</v>
      </c>
      <c r="U1908" s="104" t="str">
        <f>+VLOOKUP(PROVEEDORES[[#This Row],[PROVEEDOR]],Terceros!$A:$D,4,FALSE)</f>
        <v>2,5% con base</v>
      </c>
      <c r="V1908" s="105">
        <f>+YEAR(PROVEEDORES[[#This Row],[FECHA DE FACTURACIÓN]])</f>
        <v>2023</v>
      </c>
      <c r="W1908" s="105">
        <f>+MATCH(PROVEEDORES[[#This Row],[año facturado]],Retenciones!$1:$1,0)</f>
        <v>6</v>
      </c>
      <c r="X1908" s="106">
        <f>+VLOOKUP(PROVEEDORES[[#This Row],[ID RETENCION]],Retenciones!$A$1:$O$25,PROVEEDORES[[#This Row],[indicador de columna]],FALSE)</f>
        <v>1145000</v>
      </c>
      <c r="Y1908" s="107">
        <f>+VLOOKUP(PROVEEDORES[[#This Row],[ID RETENCION]],Retenciones!$A$1:$O$25,2,FALSE)</f>
        <v>2.5000000000000001E-2</v>
      </c>
      <c r="Z1908" s="116" t="b">
        <f>OR(COUNTIF(PROVEEDORES[[#This Row],[PROVEEDOR]],"*"&amp;'Palabra no opera'!$A$2&amp;"*"))</f>
        <v>0</v>
      </c>
    </row>
    <row r="1909" spans="1:26" ht="22.35" customHeight="1" x14ac:dyDescent="0.3">
      <c r="A1909" s="339" t="str">
        <f>+IF(PROVEEDORES[[#This Row],[FECHA DE PAGO]]=PROVEEDORES[[#This Row],[FECHA DE FACTURACIÓN]],"DE CONTADO","CRÉDITO")</f>
        <v>CRÉDITO</v>
      </c>
      <c r="B1909" s="38" t="str">
        <f>+IF((PROVEEDORES[[#This Row],[FECHA DE PAGO]]-PROVEEDORES[[#This Row],[FECHA DE FACTURACIÓN]])&gt;PROVEEDORES[[#This Row],[PLAZO Días]],"PAGO VENCIDO")</f>
        <v>PAGO VENCIDO</v>
      </c>
      <c r="C1909" s="20">
        <f>+VLOOKUP(PROVEEDORES[[#This Row],[PROVEEDOR]],TERCEROS_INFO[#All],2,FALSE)</f>
        <v>30</v>
      </c>
      <c r="D1909" s="25">
        <f>+SUMIFS(PROVEEDORES[Total],PROVEEDORES[PROVEEDOR],PROVEEDORES[[#This Row],[PROVEEDOR]],PROVEEDORES[FECHA DE PAGO],"")</f>
        <v>10321993.199999999</v>
      </c>
      <c r="E1909" s="25"/>
      <c r="F190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09" s="68">
        <v>45194</v>
      </c>
      <c r="H1909" s="26" t="s">
        <v>1068</v>
      </c>
      <c r="I1909" s="68">
        <v>45136</v>
      </c>
      <c r="J1909" s="35" t="s">
        <v>1851</v>
      </c>
      <c r="K1909" s="21">
        <v>225600</v>
      </c>
      <c r="L1909" s="21"/>
      <c r="M1909" s="22">
        <f>(PROVEEDORES[[#This Row],[SUBTOTAL]]-PROVEEDORES[[#This Row],[descuento sobre subtotal]])*VLOOKUP(PROVEEDORES[[#This Row],[PROVEEDOR]],TERCEROS_INFO[#All],3,FALSE)</f>
        <v>42864</v>
      </c>
      <c r="N1909" s="23"/>
      <c r="O1909" s="22">
        <f>+PROVEEDORES[[#This Row],[Descuento sobre subtotal %]]*(PROVEEDORES[[#This Row],[SUBTOTAL]]-PROVEEDORES[[#This Row],[descuento sobre subtotal]])</f>
        <v>0</v>
      </c>
      <c r="P1909" s="74">
        <f>+IF(PROVEEDORES[[#This Row],[SUBTOTAL]]&lt;PROVEEDORES[[#This Row],[base retencion]],0,PROVEEDORES[[#This Row],[retención aplicada]])</f>
        <v>0</v>
      </c>
      <c r="Q1909" s="22">
        <f>+PROVEEDORES[[#This Row],[Rete Fuente %]]*(PROVEEDORES[[#This Row],[SUBTOTAL]]-PROVEEDORES[[#This Row],[descuento sobre subtotal]])</f>
        <v>0</v>
      </c>
      <c r="R1909" s="21">
        <f>+PROVEEDORES[[#This Row],[SUBTOTAL]]+PROVEEDORES[[#This Row],[IVA 19%]]-PROVEEDORES[[#This Row],[descuento sobre subtotal]]-PROVEEDORES[[#This Row],[Descuento sobre subtotal $2]]-PROVEEDORES[[#This Row],[Rete Fuente $]]</f>
        <v>268464</v>
      </c>
      <c r="S1909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9" s="63">
        <f ca="1">IF(PROVEEDORES[[#This Row],[FECHA DE PAGO]]=0,TODAY()-PROVEEDORES[[#This Row],[FECHA DE FACTURACIÓN]]-PROVEEDORES[[#This Row],[PLAZO Días]],0)</f>
        <v>0</v>
      </c>
      <c r="U1909" s="104" t="str">
        <f>+VLOOKUP(PROVEEDORES[[#This Row],[PROVEEDOR]],Terceros!$A:$D,4,FALSE)</f>
        <v>2,5% con base</v>
      </c>
      <c r="V1909" s="105">
        <f>+YEAR(PROVEEDORES[[#This Row],[FECHA DE FACTURACIÓN]])</f>
        <v>2023</v>
      </c>
      <c r="W1909" s="105">
        <f>+MATCH(PROVEEDORES[[#This Row],[año facturado]],Retenciones!$1:$1,0)</f>
        <v>6</v>
      </c>
      <c r="X1909" s="106">
        <f>+VLOOKUP(PROVEEDORES[[#This Row],[ID RETENCION]],Retenciones!$A$1:$O$25,PROVEEDORES[[#This Row],[indicador de columna]],FALSE)</f>
        <v>1145000</v>
      </c>
      <c r="Y1909" s="107">
        <f>+VLOOKUP(PROVEEDORES[[#This Row],[ID RETENCION]],Retenciones!$A$1:$O$25,2,FALSE)</f>
        <v>2.5000000000000001E-2</v>
      </c>
      <c r="Z1909" s="116" t="b">
        <f>OR(COUNTIF(PROVEEDORES[[#This Row],[PROVEEDOR]],"*"&amp;'Palabra no opera'!$A$2&amp;"*"))</f>
        <v>0</v>
      </c>
    </row>
    <row r="1910" spans="1:26" ht="22.35" customHeight="1" x14ac:dyDescent="0.3">
      <c r="A1910" s="339" t="str">
        <f>+IF(PROVEEDORES[[#This Row],[FECHA DE PAGO]]=PROVEEDORES[[#This Row],[FECHA DE FACTURACIÓN]],"DE CONTADO","CRÉDITO")</f>
        <v>CRÉDITO</v>
      </c>
      <c r="B1910" s="38" t="str">
        <f>+IF((PROVEEDORES[[#This Row],[FECHA DE PAGO]]-PROVEEDORES[[#This Row],[FECHA DE FACTURACIÓN]])&gt;PROVEEDORES[[#This Row],[PLAZO Días]],"PAGO VENCIDO")</f>
        <v>PAGO VENCIDO</v>
      </c>
      <c r="C1910" s="20">
        <f>+VLOOKUP(PROVEEDORES[[#This Row],[PROVEEDOR]],TERCEROS_INFO[#All],2,FALSE)</f>
        <v>30</v>
      </c>
      <c r="D1910" s="25">
        <f>+SUMIFS(PROVEEDORES[Total],PROVEEDORES[PROVEEDOR],PROVEEDORES[[#This Row],[PROVEEDOR]],PROVEEDORES[FECHA DE PAGO],"")</f>
        <v>10321993.199999999</v>
      </c>
      <c r="E1910" s="25"/>
      <c r="F1910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10" s="68">
        <v>45194</v>
      </c>
      <c r="H1910" s="26" t="s">
        <v>1068</v>
      </c>
      <c r="I1910" s="68">
        <v>45141</v>
      </c>
      <c r="J1910" s="35" t="s">
        <v>1857</v>
      </c>
      <c r="K1910" s="21">
        <v>4116710</v>
      </c>
      <c r="L1910" s="21"/>
      <c r="M1910" s="22">
        <f>(PROVEEDORES[[#This Row],[SUBTOTAL]]-PROVEEDORES[[#This Row],[descuento sobre subtotal]])*VLOOKUP(PROVEEDORES[[#This Row],[PROVEEDOR]],TERCEROS_INFO[#All],3,FALSE)</f>
        <v>782174.9</v>
      </c>
      <c r="N1910" s="23"/>
      <c r="O1910" s="22">
        <f>+PROVEEDORES[[#This Row],[Descuento sobre subtotal %]]*(PROVEEDORES[[#This Row],[SUBTOTAL]]-PROVEEDORES[[#This Row],[descuento sobre subtotal]])</f>
        <v>0</v>
      </c>
      <c r="P1910" s="74">
        <f>+IF(PROVEEDORES[[#This Row],[SUBTOTAL]]&lt;PROVEEDORES[[#This Row],[base retencion]],0,PROVEEDORES[[#This Row],[retención aplicada]])</f>
        <v>2.5000000000000001E-2</v>
      </c>
      <c r="Q1910" s="22">
        <f>+PROVEEDORES[[#This Row],[Rete Fuente %]]*(PROVEEDORES[[#This Row],[SUBTOTAL]]-PROVEEDORES[[#This Row],[descuento sobre subtotal]])</f>
        <v>102917.75</v>
      </c>
      <c r="R1910" s="21">
        <f>+PROVEEDORES[[#This Row],[SUBTOTAL]]+PROVEEDORES[[#This Row],[IVA 19%]]-PROVEEDORES[[#This Row],[descuento sobre subtotal]]-PROVEEDORES[[#This Row],[Descuento sobre subtotal $2]]-PROVEEDORES[[#This Row],[Rete Fuente $]]</f>
        <v>4795967.1500000004</v>
      </c>
      <c r="S1910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0" s="63">
        <f ca="1">IF(PROVEEDORES[[#This Row],[FECHA DE PAGO]]=0,TODAY()-PROVEEDORES[[#This Row],[FECHA DE FACTURACIÓN]]-PROVEEDORES[[#This Row],[PLAZO Días]],0)</f>
        <v>0</v>
      </c>
      <c r="U1910" s="104" t="str">
        <f>+VLOOKUP(PROVEEDORES[[#This Row],[PROVEEDOR]],Terceros!$A:$D,4,FALSE)</f>
        <v>2,5% con base</v>
      </c>
      <c r="V1910" s="105">
        <f>+YEAR(PROVEEDORES[[#This Row],[FECHA DE FACTURACIÓN]])</f>
        <v>2023</v>
      </c>
      <c r="W1910" s="105">
        <f>+MATCH(PROVEEDORES[[#This Row],[año facturado]],Retenciones!$1:$1,0)</f>
        <v>6</v>
      </c>
      <c r="X1910" s="106">
        <f>+VLOOKUP(PROVEEDORES[[#This Row],[ID RETENCION]],Retenciones!$A$1:$O$25,PROVEEDORES[[#This Row],[indicador de columna]],FALSE)</f>
        <v>1145000</v>
      </c>
      <c r="Y1910" s="107">
        <f>+VLOOKUP(PROVEEDORES[[#This Row],[ID RETENCION]],Retenciones!$A$1:$O$25,2,FALSE)</f>
        <v>2.5000000000000001E-2</v>
      </c>
      <c r="Z1910" s="116" t="b">
        <f>OR(COUNTIF(PROVEEDORES[[#This Row],[PROVEEDOR]],"*"&amp;'Palabra no opera'!$A$2&amp;"*"))</f>
        <v>0</v>
      </c>
    </row>
    <row r="1911" spans="1:26" ht="22.35" customHeight="1" x14ac:dyDescent="0.3">
      <c r="A1911" s="364" t="str">
        <f>+IF(PROVEEDORES[[#This Row],[FECHA DE PAGO]]=PROVEEDORES[[#This Row],[FECHA DE FACTURACIÓN]],"DE CONTADO","CRÉDITO")</f>
        <v>CRÉDITO</v>
      </c>
      <c r="B1911" s="38" t="b">
        <f>+IF((PROVEEDORES[[#This Row],[FECHA DE PAGO]]-PROVEEDORES[[#This Row],[FECHA DE FACTURACIÓN]])&gt;PROVEEDORES[[#This Row],[PLAZO Días]],"PAGO VENCIDO")</f>
        <v>0</v>
      </c>
      <c r="C1911" s="20">
        <f>+VLOOKUP(PROVEEDORES[[#This Row],[PROVEEDOR]],TERCEROS_INFO[#All],2,FALSE)</f>
        <v>30</v>
      </c>
      <c r="D1911" s="25">
        <f>+SUMIFS(PROVEEDORES[Total],PROVEEDORES[PROVEEDOR],PROVEEDORES[[#This Row],[PROVEEDOR]],PROVEEDORES[FECHA DE PAGO],"")</f>
        <v>0</v>
      </c>
      <c r="E1911" s="25"/>
      <c r="F1911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911" s="68">
        <v>45194</v>
      </c>
      <c r="H1911" s="26" t="s">
        <v>635</v>
      </c>
      <c r="I1911" s="68">
        <v>45179</v>
      </c>
      <c r="J1911" s="35" t="s">
        <v>1954</v>
      </c>
      <c r="K1911" s="21">
        <v>3456200</v>
      </c>
      <c r="L1911" s="21"/>
      <c r="M1911" s="22">
        <f>(PROVEEDORES[[#This Row],[SUBTOTAL]]-PROVEEDORES[[#This Row],[descuento sobre subtotal]])*VLOOKUP(PROVEEDORES[[#This Row],[PROVEEDOR]],TERCEROS_INFO[#All],3,FALSE)</f>
        <v>0</v>
      </c>
      <c r="N1911" s="23"/>
      <c r="O1911" s="22">
        <f>+PROVEEDORES[[#This Row],[Descuento sobre subtotal %]]*(PROVEEDORES[[#This Row],[SUBTOTAL]]-PROVEEDORES[[#This Row],[descuento sobre subtotal]])</f>
        <v>0</v>
      </c>
      <c r="P1911" s="74">
        <f>+IF(PROVEEDORES[[#This Row],[SUBTOTAL]]&lt;PROVEEDORES[[#This Row],[base retencion]],0,PROVEEDORES[[#This Row],[retención aplicada]])</f>
        <v>3.5000000000000003E-2</v>
      </c>
      <c r="Q1911" s="22">
        <f>+PROVEEDORES[[#This Row],[Rete Fuente %]]*(PROVEEDORES[[#This Row],[SUBTOTAL]]-PROVEEDORES[[#This Row],[descuento sobre subtotal]])</f>
        <v>120967.00000000001</v>
      </c>
      <c r="R1911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1911" s="3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1" s="63">
        <f ca="1">IF(PROVEEDORES[[#This Row],[FECHA DE PAGO]]=0,TODAY()-PROVEEDORES[[#This Row],[FECHA DE FACTURACIÓN]]-PROVEEDORES[[#This Row],[PLAZO Días]],0)</f>
        <v>0</v>
      </c>
      <c r="U1911" s="104" t="str">
        <f>+VLOOKUP(PROVEEDORES[[#This Row],[PROVEEDOR]],Terceros!$A:$D,4,FALSE)</f>
        <v>3,5% sin base</v>
      </c>
      <c r="V1911" s="105">
        <f>+YEAR(PROVEEDORES[[#This Row],[FECHA DE FACTURACIÓN]])</f>
        <v>2023</v>
      </c>
      <c r="W1911" s="105">
        <f>+MATCH(PROVEEDORES[[#This Row],[año facturado]],Retenciones!$1:$1,0)</f>
        <v>6</v>
      </c>
      <c r="X1911" s="106">
        <f>+VLOOKUP(PROVEEDORES[[#This Row],[ID RETENCION]],Retenciones!$A$1:$O$25,PROVEEDORES[[#This Row],[indicador de columna]],FALSE)</f>
        <v>0</v>
      </c>
      <c r="Y1911" s="107">
        <f>+VLOOKUP(PROVEEDORES[[#This Row],[ID RETENCION]],Retenciones!$A$1:$O$25,2,FALSE)</f>
        <v>3.5000000000000003E-2</v>
      </c>
      <c r="Z1911" s="116" t="b">
        <f>OR(COUNTIF(PROVEEDORES[[#This Row],[PROVEEDOR]],"*"&amp;'Palabra no opera'!$A$2&amp;"*"))</f>
        <v>1</v>
      </c>
    </row>
    <row r="1912" spans="1:26" ht="22.35" customHeight="1" x14ac:dyDescent="0.3">
      <c r="A1912" s="364" t="str">
        <f>+IF(PROVEEDORES[[#This Row],[FECHA DE PAGO]]=PROVEEDORES[[#This Row],[FECHA DE FACTURACIÓN]],"DE CONTADO","CRÉDITO")</f>
        <v>CRÉDITO</v>
      </c>
      <c r="B1912" s="38" t="b">
        <f>+IF((PROVEEDORES[[#This Row],[FECHA DE PAGO]]-PROVEEDORES[[#This Row],[FECHA DE FACTURACIÓN]])&gt;PROVEEDORES[[#This Row],[PLAZO Días]],"PAGO VENCIDO")</f>
        <v>0</v>
      </c>
      <c r="C1912" s="20">
        <f>+VLOOKUP(PROVEEDORES[[#This Row],[PROVEEDOR]],TERCEROS_INFO[#All],2,FALSE)</f>
        <v>30</v>
      </c>
      <c r="D1912" s="25">
        <f>+SUMIFS(PROVEEDORES[Total],PROVEEDORES[PROVEEDOR],PROVEEDORES[[#This Row],[PROVEEDOR]],PROVEEDORES[FECHA DE PAGO],"")</f>
        <v>0</v>
      </c>
      <c r="E1912" s="25"/>
      <c r="F191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12" s="68">
        <v>45194</v>
      </c>
      <c r="H1912" s="26" t="s">
        <v>637</v>
      </c>
      <c r="I1912" s="68">
        <v>45170</v>
      </c>
      <c r="J1912" s="35" t="s">
        <v>1956</v>
      </c>
      <c r="K1912" s="21">
        <v>914023</v>
      </c>
      <c r="L1912" s="21"/>
      <c r="M1912" s="22">
        <f>(PROVEEDORES[[#This Row],[SUBTOTAL]]-PROVEEDORES[[#This Row],[descuento sobre subtotal]])*VLOOKUP(PROVEEDORES[[#This Row],[PROVEEDOR]],TERCEROS_INFO[#All],3,FALSE)</f>
        <v>0</v>
      </c>
      <c r="N1912" s="23"/>
      <c r="O1912" s="22">
        <f>+PROVEEDORES[[#This Row],[Descuento sobre subtotal %]]*(PROVEEDORES[[#This Row],[SUBTOTAL]]-PROVEEDORES[[#This Row],[descuento sobre subtotal]])</f>
        <v>0</v>
      </c>
      <c r="P1912" s="74">
        <f>+IF(PROVEEDORES[[#This Row],[SUBTOTAL]]&lt;PROVEEDORES[[#This Row],[base retencion]],0,PROVEEDORES[[#This Row],[retención aplicada]])</f>
        <v>0</v>
      </c>
      <c r="Q1912" s="22">
        <f>+PROVEEDORES[[#This Row],[Rete Fuente %]]*(PROVEEDORES[[#This Row],[SUBTOTAL]]-PROVEEDORES[[#This Row],[descuento sobre subtotal]])</f>
        <v>0</v>
      </c>
      <c r="R1912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912" s="3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2" s="63">
        <f ca="1">IF(PROVEEDORES[[#This Row],[FECHA DE PAGO]]=0,TODAY()-PROVEEDORES[[#This Row],[FECHA DE FACTURACIÓN]]-PROVEEDORES[[#This Row],[PLAZO Días]],0)</f>
        <v>0</v>
      </c>
      <c r="U1912" s="104">
        <f>+VLOOKUP(PROVEEDORES[[#This Row],[PROVEEDOR]],Terceros!$A:$D,4,FALSE)</f>
        <v>0</v>
      </c>
      <c r="V1912" s="105">
        <f>+YEAR(PROVEEDORES[[#This Row],[FECHA DE FACTURACIÓN]])</f>
        <v>2023</v>
      </c>
      <c r="W1912" s="105">
        <f>+MATCH(PROVEEDORES[[#This Row],[año facturado]],Retenciones!$1:$1,0)</f>
        <v>6</v>
      </c>
      <c r="X1912" s="106">
        <f>+VLOOKUP(PROVEEDORES[[#This Row],[ID RETENCION]],Retenciones!$A$1:$O$25,PROVEEDORES[[#This Row],[indicador de columna]],FALSE)</f>
        <v>0</v>
      </c>
      <c r="Y1912" s="107">
        <f>+VLOOKUP(PROVEEDORES[[#This Row],[ID RETENCION]],Retenciones!$A$1:$O$25,2,FALSE)</f>
        <v>0</v>
      </c>
      <c r="Z1912" s="116" t="b">
        <f>OR(COUNTIF(PROVEEDORES[[#This Row],[PROVEEDOR]],"*"&amp;'Palabra no opera'!$A$2&amp;"*"))</f>
        <v>1</v>
      </c>
    </row>
    <row r="1913" spans="1:26" ht="22.35" customHeight="1" x14ac:dyDescent="0.3">
      <c r="A1913" s="364" t="str">
        <f>+IF(PROVEEDORES[[#This Row],[FECHA DE PAGO]]=PROVEEDORES[[#This Row],[FECHA DE FACTURACIÓN]],"DE CONTADO","CRÉDITO")</f>
        <v>CRÉDITO</v>
      </c>
      <c r="B1913" s="38" t="b">
        <f>+IF((PROVEEDORES[[#This Row],[FECHA DE PAGO]]-PROVEEDORES[[#This Row],[FECHA DE FACTURACIÓN]])&gt;PROVEEDORES[[#This Row],[PLAZO Días]],"PAGO VENCIDO")</f>
        <v>0</v>
      </c>
      <c r="C1913" s="20">
        <f>+VLOOKUP(PROVEEDORES[[#This Row],[PROVEEDOR]],TERCEROS_INFO[#All],2,FALSE)</f>
        <v>30</v>
      </c>
      <c r="D1913" s="25">
        <f>+SUMIFS(PROVEEDORES[Total],PROVEEDORES[PROVEEDOR],PROVEEDORES[[#This Row],[PROVEEDOR]],PROVEEDORES[FECHA DE PAGO],"")</f>
        <v>0</v>
      </c>
      <c r="E1913" s="25"/>
      <c r="F191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13" s="68">
        <v>45194</v>
      </c>
      <c r="H1913" s="26" t="s">
        <v>637</v>
      </c>
      <c r="I1913" s="68">
        <v>45170</v>
      </c>
      <c r="J1913" s="35" t="s">
        <v>1957</v>
      </c>
      <c r="K1913" s="21">
        <v>934363</v>
      </c>
      <c r="L1913" s="21"/>
      <c r="M1913" s="22">
        <f>(PROVEEDORES[[#This Row],[SUBTOTAL]]-PROVEEDORES[[#This Row],[descuento sobre subtotal]])*VLOOKUP(PROVEEDORES[[#This Row],[PROVEEDOR]],TERCEROS_INFO[#All],3,FALSE)</f>
        <v>0</v>
      </c>
      <c r="N1913" s="23"/>
      <c r="O1913" s="22">
        <f>+PROVEEDORES[[#This Row],[Descuento sobre subtotal %]]*(PROVEEDORES[[#This Row],[SUBTOTAL]]-PROVEEDORES[[#This Row],[descuento sobre subtotal]])</f>
        <v>0</v>
      </c>
      <c r="P1913" s="74">
        <f>+IF(PROVEEDORES[[#This Row],[SUBTOTAL]]&lt;PROVEEDORES[[#This Row],[base retencion]],0,PROVEEDORES[[#This Row],[retención aplicada]])</f>
        <v>0</v>
      </c>
      <c r="Q1913" s="22">
        <f>+PROVEEDORES[[#This Row],[Rete Fuente %]]*(PROVEEDORES[[#This Row],[SUBTOTAL]]-PROVEEDORES[[#This Row],[descuento sobre subtotal]])</f>
        <v>0</v>
      </c>
      <c r="R1913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913" s="3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3" s="63">
        <f ca="1">IF(PROVEEDORES[[#This Row],[FECHA DE PAGO]]=0,TODAY()-PROVEEDORES[[#This Row],[FECHA DE FACTURACIÓN]]-PROVEEDORES[[#This Row],[PLAZO Días]],0)</f>
        <v>0</v>
      </c>
      <c r="U1913" s="104">
        <f>+VLOOKUP(PROVEEDORES[[#This Row],[PROVEEDOR]],Terceros!$A:$D,4,FALSE)</f>
        <v>0</v>
      </c>
      <c r="V1913" s="105">
        <f>+YEAR(PROVEEDORES[[#This Row],[FECHA DE FACTURACIÓN]])</f>
        <v>2023</v>
      </c>
      <c r="W1913" s="105">
        <f>+MATCH(PROVEEDORES[[#This Row],[año facturado]],Retenciones!$1:$1,0)</f>
        <v>6</v>
      </c>
      <c r="X1913" s="106">
        <f>+VLOOKUP(PROVEEDORES[[#This Row],[ID RETENCION]],Retenciones!$A$1:$O$25,PROVEEDORES[[#This Row],[indicador de columna]],FALSE)</f>
        <v>0</v>
      </c>
      <c r="Y1913" s="107">
        <f>+VLOOKUP(PROVEEDORES[[#This Row],[ID RETENCION]],Retenciones!$A$1:$O$25,2,FALSE)</f>
        <v>0</v>
      </c>
      <c r="Z1913" s="116" t="b">
        <f>OR(COUNTIF(PROVEEDORES[[#This Row],[PROVEEDOR]],"*"&amp;'Palabra no opera'!$A$2&amp;"*"))</f>
        <v>1</v>
      </c>
    </row>
    <row r="1914" spans="1:26" ht="22.35" customHeight="1" x14ac:dyDescent="0.3">
      <c r="A1914" s="67" t="str">
        <f>+IF(PROVEEDORES[[#This Row],[FECHA DE PAGO]]=PROVEEDORES[[#This Row],[FECHA DE FACTURACIÓN]],"DE CONTADO","CRÉDITO")</f>
        <v>CRÉDITO</v>
      </c>
      <c r="B1914" s="38" t="str">
        <f>+IF((PROVEEDORES[[#This Row],[FECHA DE PAGO]]-PROVEEDORES[[#This Row],[FECHA DE FACTURACIÓN]])&gt;PROVEEDORES[[#This Row],[PLAZO Días]],"PAGO VENCIDO")</f>
        <v>PAGO VENCIDO</v>
      </c>
      <c r="C1914" s="20">
        <f>+VLOOKUP(PROVEEDORES[[#This Row],[PROVEEDOR]],TERCEROS_INFO[#All],2,FALSE)</f>
        <v>30</v>
      </c>
      <c r="D1914" s="25">
        <f>+SUMIFS(PROVEEDORES[Total],PROVEEDORES[PROVEEDOR],PROVEEDORES[[#This Row],[PROVEEDOR]],PROVEEDORES[FECHA DE PAGO],"")</f>
        <v>22881826.27</v>
      </c>
      <c r="E1914" s="25"/>
      <c r="F1914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14" s="68">
        <v>45194</v>
      </c>
      <c r="H1914" s="26" t="s">
        <v>9</v>
      </c>
      <c r="I1914" s="68">
        <v>45100</v>
      </c>
      <c r="J1914" s="35" t="s">
        <v>1783</v>
      </c>
      <c r="K1914" s="21">
        <v>2734715</v>
      </c>
      <c r="L1914" s="21"/>
      <c r="M1914" s="22">
        <f>(PROVEEDORES[[#This Row],[SUBTOTAL]]-PROVEEDORES[[#This Row],[descuento sobre subtotal]])*VLOOKUP(PROVEEDORES[[#This Row],[PROVEEDOR]],TERCEROS_INFO[#All],3,FALSE)</f>
        <v>519595.85000000003</v>
      </c>
      <c r="N1914" s="23"/>
      <c r="O1914" s="22">
        <f>+PROVEEDORES[[#This Row],[Descuento sobre subtotal %]]*(PROVEEDORES[[#This Row],[SUBTOTAL]]-PROVEEDORES[[#This Row],[descuento sobre subtotal]])</f>
        <v>0</v>
      </c>
      <c r="P1914" s="74">
        <f>+IF(PROVEEDORES[[#This Row],[SUBTOTAL]]&lt;PROVEEDORES[[#This Row],[base retencion]],0,PROVEEDORES[[#This Row],[retención aplicada]])</f>
        <v>2.5000000000000001E-2</v>
      </c>
      <c r="Q1914" s="22">
        <f>+PROVEEDORES[[#This Row],[Rete Fuente %]]*(PROVEEDORES[[#This Row],[SUBTOTAL]]-PROVEEDORES[[#This Row],[descuento sobre subtotal]])</f>
        <v>68367.875</v>
      </c>
      <c r="R1914" s="21">
        <f>+PROVEEDORES[[#This Row],[SUBTOTAL]]+PROVEEDORES[[#This Row],[IVA 19%]]-PROVEEDORES[[#This Row],[descuento sobre subtotal]]-PROVEEDORES[[#This Row],[Descuento sobre subtotal $2]]-PROVEEDORES[[#This Row],[Rete Fuente $]]</f>
        <v>3185942.9750000001</v>
      </c>
      <c r="S19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4" s="63">
        <f ca="1">IF(PROVEEDORES[[#This Row],[FECHA DE PAGO]]=0,TODAY()-PROVEEDORES[[#This Row],[FECHA DE FACTURACIÓN]]-PROVEEDORES[[#This Row],[PLAZO Días]],0)</f>
        <v>0</v>
      </c>
      <c r="U1914" s="104" t="str">
        <f>+VLOOKUP(PROVEEDORES[[#This Row],[PROVEEDOR]],Terceros!$A:$D,4,FALSE)</f>
        <v>2,5% con base</v>
      </c>
      <c r="V1914" s="105">
        <f>+YEAR(PROVEEDORES[[#This Row],[FECHA DE FACTURACIÓN]])</f>
        <v>2023</v>
      </c>
      <c r="W1914" s="105">
        <f>+MATCH(PROVEEDORES[[#This Row],[año facturado]],Retenciones!$1:$1,0)</f>
        <v>6</v>
      </c>
      <c r="X1914" s="106">
        <f>+VLOOKUP(PROVEEDORES[[#This Row],[ID RETENCION]],Retenciones!$A$1:$O$25,PROVEEDORES[[#This Row],[indicador de columna]],FALSE)</f>
        <v>1145000</v>
      </c>
      <c r="Y1914" s="107">
        <f>+VLOOKUP(PROVEEDORES[[#This Row],[ID RETENCION]],Retenciones!$A$1:$O$25,2,FALSE)</f>
        <v>2.5000000000000001E-2</v>
      </c>
      <c r="Z1914" s="116" t="b">
        <f>OR(COUNTIF(PROVEEDORES[[#This Row],[PROVEEDOR]],"*"&amp;'Palabra no opera'!$A$2&amp;"*"))</f>
        <v>0</v>
      </c>
    </row>
    <row r="1915" spans="1:26" ht="22.35" customHeight="1" x14ac:dyDescent="0.3">
      <c r="A1915" s="364" t="str">
        <f>+IF(PROVEEDORES[[#This Row],[FECHA DE PAGO]]=PROVEEDORES[[#This Row],[FECHA DE FACTURACIÓN]],"DE CONTADO","CRÉDITO")</f>
        <v>CRÉDITO</v>
      </c>
      <c r="B1915" s="38" t="str">
        <f>+IF((PROVEEDORES[[#This Row],[FECHA DE PAGO]]-PROVEEDORES[[#This Row],[FECHA DE FACTURACIÓN]])&gt;PROVEEDORES[[#This Row],[PLAZO Días]],"PAGO VENCIDO")</f>
        <v>PAGO VENCIDO</v>
      </c>
      <c r="C1915" s="20">
        <f>+VLOOKUP(PROVEEDORES[[#This Row],[PROVEEDOR]],TERCEROS_INFO[#All],2,FALSE)</f>
        <v>10</v>
      </c>
      <c r="D1915" s="25">
        <f>+SUMIFS(PROVEEDORES[Total],PROVEEDORES[PROVEEDOR],PROVEEDORES[[#This Row],[PROVEEDOR]],PROVEEDORES[FECHA DE PAGO],"")</f>
        <v>0</v>
      </c>
      <c r="E1915" s="25"/>
      <c r="F1915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915" s="68">
        <v>45194</v>
      </c>
      <c r="H1915" s="26" t="s">
        <v>1202</v>
      </c>
      <c r="I1915" s="68">
        <v>45170</v>
      </c>
      <c r="J1915" s="35" t="s">
        <v>1955</v>
      </c>
      <c r="K1915" s="21">
        <v>5350576</v>
      </c>
      <c r="L1915" s="21"/>
      <c r="M1915" s="22">
        <v>1016609</v>
      </c>
      <c r="N1915" s="23"/>
      <c r="O1915" s="22">
        <f>+PROVEEDORES[[#This Row],[Descuento sobre subtotal %]]*(PROVEEDORES[[#This Row],[SUBTOTAL]]-PROVEEDORES[[#This Row],[descuento sobre subtotal]])</f>
        <v>0</v>
      </c>
      <c r="P1915" s="74">
        <f>+IF(PROVEEDORES[[#This Row],[SUBTOTAL]]&lt;PROVEEDORES[[#This Row],[base retencion]],0,PROVEEDORES[[#This Row],[retención aplicada]])</f>
        <v>0</v>
      </c>
      <c r="Q1915" s="22">
        <f>+PROVEEDORES[[#This Row],[Rete Fuente %]]*(PROVEEDORES[[#This Row],[SUBTOTAL]]-PROVEEDORES[[#This Row],[descuento sobre subtotal]])</f>
        <v>0</v>
      </c>
      <c r="R1915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915" s="3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5" s="63">
        <f ca="1">IF(PROVEEDORES[[#This Row],[FECHA DE PAGO]]=0,TODAY()-PROVEEDORES[[#This Row],[FECHA DE FACTURACIÓN]]-PROVEEDORES[[#This Row],[PLAZO Días]],0)</f>
        <v>0</v>
      </c>
      <c r="U1915" s="104">
        <f>+VLOOKUP(PROVEEDORES[[#This Row],[PROVEEDOR]],Terceros!$A:$D,4,FALSE)</f>
        <v>0</v>
      </c>
      <c r="V1915" s="105">
        <f>+YEAR(PROVEEDORES[[#This Row],[FECHA DE FACTURACIÓN]])</f>
        <v>2023</v>
      </c>
      <c r="W1915" s="105">
        <f>+MATCH(PROVEEDORES[[#This Row],[año facturado]],Retenciones!$1:$1,0)</f>
        <v>6</v>
      </c>
      <c r="X1915" s="106">
        <f>+VLOOKUP(PROVEEDORES[[#This Row],[ID RETENCION]],Retenciones!$A$1:$O$25,PROVEEDORES[[#This Row],[indicador de columna]],FALSE)</f>
        <v>0</v>
      </c>
      <c r="Y1915" s="107">
        <f>+VLOOKUP(PROVEEDORES[[#This Row],[ID RETENCION]],Retenciones!$A$1:$O$25,2,FALSE)</f>
        <v>0</v>
      </c>
      <c r="Z1915" s="116" t="b">
        <f>OR(COUNTIF(PROVEEDORES[[#This Row],[PROVEEDOR]],"*"&amp;'Palabra no opera'!$A$2&amp;"*"))</f>
        <v>1</v>
      </c>
    </row>
    <row r="1916" spans="1:26" ht="22.35" customHeight="1" x14ac:dyDescent="0.3">
      <c r="A1916" s="367" t="str">
        <f>+IF(PROVEEDORES[[#This Row],[FECHA DE PAGO]]=PROVEEDORES[[#This Row],[FECHA DE FACTURACIÓN]],"DE CONTADO","CRÉDITO")</f>
        <v>DE CONTADO</v>
      </c>
      <c r="B1916" s="38" t="b">
        <f>+IF((PROVEEDORES[[#This Row],[FECHA DE PAGO]]-PROVEEDORES[[#This Row],[FECHA DE FACTURACIÓN]])&gt;PROVEEDORES[[#This Row],[PLAZO Días]],"PAGO VENCIDO")</f>
        <v>0</v>
      </c>
      <c r="C1916" s="20">
        <f>+VLOOKUP(PROVEEDORES[[#This Row],[PROVEEDOR]],TERCEROS_INFO[#All],2,FALSE)</f>
        <v>30</v>
      </c>
      <c r="D1916" s="25">
        <f>+SUMIFS(PROVEEDORES[Total],PROVEEDORES[PROVEEDOR],PROVEEDORES[[#This Row],[PROVEEDOR]],PROVEEDORES[FECHA DE PAGO],"")</f>
        <v>0</v>
      </c>
      <c r="E1916" s="25"/>
      <c r="F1916" s="56" t="str">
        <f>+VLOOKUP(PROVEEDORES[[#This Row],[PROVEEDOR]],
                       Terceros!$A:$F,
                       5,
                       FALSE)</f>
        <v/>
      </c>
      <c r="G1916" s="68">
        <v>45195</v>
      </c>
      <c r="H1916" s="26" t="s">
        <v>353</v>
      </c>
      <c r="I1916" s="68">
        <v>45195</v>
      </c>
      <c r="J1916" s="35" t="s">
        <v>2009</v>
      </c>
      <c r="K1916" s="21">
        <v>320000</v>
      </c>
      <c r="L1916" s="21"/>
      <c r="M1916" s="22">
        <f>(PROVEEDORES[[#This Row],[SUBTOTAL]]-PROVEEDORES[[#This Row],[descuento sobre subtotal]])*VLOOKUP(PROVEEDORES[[#This Row],[PROVEEDOR]],TERCEROS_INFO[#All],3,FALSE)</f>
        <v>0</v>
      </c>
      <c r="N1916" s="23"/>
      <c r="O1916" s="22">
        <f>+PROVEEDORES[[#This Row],[Descuento sobre subtotal %]]*(PROVEEDORES[[#This Row],[SUBTOTAL]]-PROVEEDORES[[#This Row],[descuento sobre subtotal]])</f>
        <v>0</v>
      </c>
      <c r="P1916" s="74">
        <f>+IF(PROVEEDORES[[#This Row],[SUBTOTAL]]&lt;PROVEEDORES[[#This Row],[base retencion]],0,PROVEEDORES[[#This Row],[retención aplicada]])</f>
        <v>0</v>
      </c>
      <c r="Q1916" s="22">
        <f>+PROVEEDORES[[#This Row],[Rete Fuente %]]*(PROVEEDORES[[#This Row],[SUBTOTAL]]-PROVEEDORES[[#This Row],[descuento sobre subtotal]])</f>
        <v>0</v>
      </c>
      <c r="R1916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1916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6" s="63">
        <f ca="1">IF(PROVEEDORES[[#This Row],[FECHA DE PAGO]]=0,TODAY()-PROVEEDORES[[#This Row],[FECHA DE FACTURACIÓN]]-PROVEEDORES[[#This Row],[PLAZO Días]],0)</f>
        <v>0</v>
      </c>
      <c r="U1916" s="104">
        <f>+VLOOKUP(PROVEEDORES[[#This Row],[PROVEEDOR]],Terceros!$A:$D,4,FALSE)</f>
        <v>0</v>
      </c>
      <c r="V1916" s="105">
        <f>+YEAR(PROVEEDORES[[#This Row],[FECHA DE FACTURACIÓN]])</f>
        <v>2023</v>
      </c>
      <c r="W1916" s="105">
        <f>+MATCH(PROVEEDORES[[#This Row],[año facturado]],Retenciones!$1:$1,0)</f>
        <v>6</v>
      </c>
      <c r="X1916" s="106">
        <f>+VLOOKUP(PROVEEDORES[[#This Row],[ID RETENCION]],Retenciones!$A$1:$O$25,PROVEEDORES[[#This Row],[indicador de columna]],FALSE)</f>
        <v>0</v>
      </c>
      <c r="Y1916" s="107">
        <f>+VLOOKUP(PROVEEDORES[[#This Row],[ID RETENCION]],Retenciones!$A$1:$O$25,2,FALSE)</f>
        <v>0</v>
      </c>
      <c r="Z1916" s="116" t="b">
        <f>OR(COUNTIF(PROVEEDORES[[#This Row],[PROVEEDOR]],"*"&amp;'Palabra no opera'!$A$2&amp;"*"))</f>
        <v>0</v>
      </c>
    </row>
    <row r="1917" spans="1:26" ht="22.35" customHeight="1" x14ac:dyDescent="0.3">
      <c r="A1917" s="367" t="str">
        <f>+IF(PROVEEDORES[[#This Row],[FECHA DE PAGO]]=PROVEEDORES[[#This Row],[FECHA DE FACTURACIÓN]],"DE CONTADO","CRÉDITO")</f>
        <v>DE CONTADO</v>
      </c>
      <c r="B1917" s="38" t="b">
        <f>+IF((PROVEEDORES[[#This Row],[FECHA DE PAGO]]-PROVEEDORES[[#This Row],[FECHA DE FACTURACIÓN]])&gt;PROVEEDORES[[#This Row],[PLAZO Días]],"PAGO VENCIDO")</f>
        <v>0</v>
      </c>
      <c r="C1917" s="20">
        <f>+VLOOKUP(PROVEEDORES[[#This Row],[PROVEEDOR]],TERCEROS_INFO[#All],2,FALSE)</f>
        <v>30</v>
      </c>
      <c r="D1917" s="25">
        <f>+SUMIFS(PROVEEDORES[Total],PROVEEDORES[PROVEEDOR],PROVEEDORES[[#This Row],[PROVEEDOR]],PROVEEDORES[FECHA DE PAGO],"")</f>
        <v>0</v>
      </c>
      <c r="E1917" s="25"/>
      <c r="F1917" s="56" t="str">
        <f>+VLOOKUP(PROVEEDORES[[#This Row],[PROVEEDOR]],
                       Terceros!$A:$F,
                       5,
                       FALSE)</f>
        <v/>
      </c>
      <c r="G1917" s="68">
        <v>45195</v>
      </c>
      <c r="H1917" s="26" t="s">
        <v>362</v>
      </c>
      <c r="I1917" s="68">
        <v>45195</v>
      </c>
      <c r="J1917" s="35" t="s">
        <v>2010</v>
      </c>
      <c r="K1917" s="21">
        <v>708000</v>
      </c>
      <c r="L1917" s="21"/>
      <c r="M1917" s="22">
        <f>(PROVEEDORES[[#This Row],[SUBTOTAL]]-PROVEEDORES[[#This Row],[descuento sobre subtotal]])*VLOOKUP(PROVEEDORES[[#This Row],[PROVEEDOR]],TERCEROS_INFO[#All],3,FALSE)</f>
        <v>0</v>
      </c>
      <c r="N1917" s="23"/>
      <c r="O1917" s="22">
        <f>+PROVEEDORES[[#This Row],[Descuento sobre subtotal %]]*(PROVEEDORES[[#This Row],[SUBTOTAL]]-PROVEEDORES[[#This Row],[descuento sobre subtotal]])</f>
        <v>0</v>
      </c>
      <c r="P1917" s="74">
        <f>+IF(PROVEEDORES[[#This Row],[SUBTOTAL]]&lt;PROVEEDORES[[#This Row],[base retencion]],0,PROVEEDORES[[#This Row],[retención aplicada]])</f>
        <v>0</v>
      </c>
      <c r="Q1917" s="22">
        <f>+PROVEEDORES[[#This Row],[Rete Fuente %]]*(PROVEEDORES[[#This Row],[SUBTOTAL]]-PROVEEDORES[[#This Row],[descuento sobre subtotal]])</f>
        <v>0</v>
      </c>
      <c r="R1917" s="21">
        <f>+PROVEEDORES[[#This Row],[SUBTOTAL]]+PROVEEDORES[[#This Row],[IVA 19%]]-PROVEEDORES[[#This Row],[descuento sobre subtotal]]-PROVEEDORES[[#This Row],[Descuento sobre subtotal $2]]-PROVEEDORES[[#This Row],[Rete Fuente $]]</f>
        <v>708000</v>
      </c>
      <c r="S1917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7" s="63">
        <f ca="1">IF(PROVEEDORES[[#This Row],[FECHA DE PAGO]]=0,TODAY()-PROVEEDORES[[#This Row],[FECHA DE FACTURACIÓN]]-PROVEEDORES[[#This Row],[PLAZO Días]],0)</f>
        <v>0</v>
      </c>
      <c r="U1917" s="104">
        <f>+VLOOKUP(PROVEEDORES[[#This Row],[PROVEEDOR]],Terceros!$A:$D,4,FALSE)</f>
        <v>0</v>
      </c>
      <c r="V1917" s="105">
        <f>+YEAR(PROVEEDORES[[#This Row],[FECHA DE FACTURACIÓN]])</f>
        <v>2023</v>
      </c>
      <c r="W1917" s="105">
        <f>+MATCH(PROVEEDORES[[#This Row],[año facturado]],Retenciones!$1:$1,0)</f>
        <v>6</v>
      </c>
      <c r="X1917" s="106">
        <f>+VLOOKUP(PROVEEDORES[[#This Row],[ID RETENCION]],Retenciones!$A$1:$O$25,PROVEEDORES[[#This Row],[indicador de columna]],FALSE)</f>
        <v>0</v>
      </c>
      <c r="Y1917" s="107">
        <f>+VLOOKUP(PROVEEDORES[[#This Row],[ID RETENCION]],Retenciones!$A$1:$O$25,2,FALSE)</f>
        <v>0</v>
      </c>
      <c r="Z1917" s="116" t="b">
        <f>OR(COUNTIF(PROVEEDORES[[#This Row],[PROVEEDOR]],"*"&amp;'Palabra no opera'!$A$2&amp;"*"))</f>
        <v>0</v>
      </c>
    </row>
    <row r="1918" spans="1:26" ht="22.35" customHeight="1" x14ac:dyDescent="0.3">
      <c r="A1918" s="339" t="str">
        <f>+IF(PROVEEDORES[[#This Row],[FECHA DE PAGO]]=PROVEEDORES[[#This Row],[FECHA DE FACTURACIÓN]],"DE CONTADO","CRÉDITO")</f>
        <v>CRÉDITO</v>
      </c>
      <c r="B1918" s="38" t="str">
        <f>+IF((PROVEEDORES[[#This Row],[FECHA DE PAGO]]-PROVEEDORES[[#This Row],[FECHA DE FACTURACIÓN]])&gt;PROVEEDORES[[#This Row],[PLAZO Días]],"PAGO VENCIDO")</f>
        <v>PAGO VENCIDO</v>
      </c>
      <c r="C1918" s="20">
        <f>+VLOOKUP(PROVEEDORES[[#This Row],[PROVEEDOR]],TERCEROS_INFO[#All],2,FALSE)</f>
        <v>30</v>
      </c>
      <c r="D1918" s="25">
        <f>+SUMIFS(PROVEEDORES[Total],PROVEEDORES[PROVEEDOR],PROVEEDORES[[#This Row],[PROVEEDOR]],PROVEEDORES[FECHA DE PAGO],"")</f>
        <v>380979.69</v>
      </c>
      <c r="E1918" s="25"/>
      <c r="F1918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918" s="68">
        <v>45195</v>
      </c>
      <c r="H1918" s="26" t="s">
        <v>615</v>
      </c>
      <c r="I1918" s="68">
        <v>45134</v>
      </c>
      <c r="J1918" s="35" t="s">
        <v>1856</v>
      </c>
      <c r="K1918" s="21">
        <v>2187560</v>
      </c>
      <c r="L1918" s="21"/>
      <c r="M1918" s="22">
        <f>(PROVEEDORES[[#This Row],[SUBTOTAL]]-PROVEEDORES[[#This Row],[descuento sobre subtotal]])*VLOOKUP(PROVEEDORES[[#This Row],[PROVEEDOR]],TERCEROS_INFO[#All],3,FALSE)</f>
        <v>415636.4</v>
      </c>
      <c r="N1918" s="23"/>
      <c r="O1918" s="22">
        <f>+PROVEEDORES[[#This Row],[Descuento sobre subtotal %]]*(PROVEEDORES[[#This Row],[SUBTOTAL]]-PROVEEDORES[[#This Row],[descuento sobre subtotal]])</f>
        <v>0</v>
      </c>
      <c r="P1918" s="74">
        <f>+IF(PROVEEDORES[[#This Row],[SUBTOTAL]]&lt;PROVEEDORES[[#This Row],[base retencion]],0,PROVEEDORES[[#This Row],[retención aplicada]])</f>
        <v>0</v>
      </c>
      <c r="Q1918" s="22">
        <f>+PROVEEDORES[[#This Row],[Rete Fuente %]]*(PROVEEDORES[[#This Row],[SUBTOTAL]]-PROVEEDORES[[#This Row],[descuento sobre subtotal]])</f>
        <v>0</v>
      </c>
      <c r="R1918" s="21">
        <f>+PROVEEDORES[[#This Row],[SUBTOTAL]]+PROVEEDORES[[#This Row],[IVA 19%]]-PROVEEDORES[[#This Row],[descuento sobre subtotal]]-PROVEEDORES[[#This Row],[Descuento sobre subtotal $2]]-PROVEEDORES[[#This Row],[Rete Fuente $]]</f>
        <v>2603196.4</v>
      </c>
      <c r="S1918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8" s="63">
        <f ca="1">IF(PROVEEDORES[[#This Row],[FECHA DE PAGO]]=0,TODAY()-PROVEEDORES[[#This Row],[FECHA DE FACTURACIÓN]]-PROVEEDORES[[#This Row],[PLAZO Días]],0)</f>
        <v>0</v>
      </c>
      <c r="U1918" s="104">
        <f>+VLOOKUP(PROVEEDORES[[#This Row],[PROVEEDOR]],Terceros!$A:$D,4,FALSE)</f>
        <v>0</v>
      </c>
      <c r="V1918" s="105">
        <f>+YEAR(PROVEEDORES[[#This Row],[FECHA DE FACTURACIÓN]])</f>
        <v>2023</v>
      </c>
      <c r="W1918" s="105">
        <f>+MATCH(PROVEEDORES[[#This Row],[año facturado]],Retenciones!$1:$1,0)</f>
        <v>6</v>
      </c>
      <c r="X1918" s="106">
        <f>+VLOOKUP(PROVEEDORES[[#This Row],[ID RETENCION]],Retenciones!$A$1:$O$25,PROVEEDORES[[#This Row],[indicador de columna]],FALSE)</f>
        <v>0</v>
      </c>
      <c r="Y1918" s="107">
        <f>+VLOOKUP(PROVEEDORES[[#This Row],[ID RETENCION]],Retenciones!$A$1:$O$25,2,FALSE)</f>
        <v>0</v>
      </c>
      <c r="Z1918" s="116" t="b">
        <f>OR(COUNTIF(PROVEEDORES[[#This Row],[PROVEEDOR]],"*"&amp;'Palabra no opera'!$A$2&amp;"*"))</f>
        <v>1</v>
      </c>
    </row>
    <row r="1919" spans="1:26" ht="22.35" customHeight="1" x14ac:dyDescent="0.3">
      <c r="A1919" s="67" t="str">
        <f>+IF(PROVEEDORES[[#This Row],[FECHA DE PAGO]]=PROVEEDORES[[#This Row],[FECHA DE FACTURACIÓN]],"DE CONTADO","CRÉDITO")</f>
        <v>CRÉDITO</v>
      </c>
      <c r="B1919" s="38" t="str">
        <f>+IF((PROVEEDORES[[#This Row],[FECHA DE PAGO]]-PROVEEDORES[[#This Row],[FECHA DE FACTURACIÓN]])&gt;PROVEEDORES[[#This Row],[PLAZO Días]],"PAGO VENCIDO")</f>
        <v>PAGO VENCIDO</v>
      </c>
      <c r="C1919" s="20">
        <f>+VLOOKUP(PROVEEDORES[[#This Row],[PROVEEDOR]],TERCEROS_INFO[#All],2,FALSE)</f>
        <v>30</v>
      </c>
      <c r="D1919" s="25">
        <f>+SUMIFS(PROVEEDORES[Total],PROVEEDORES[PROVEEDOR],PROVEEDORES[[#This Row],[PROVEEDOR]],PROVEEDORES[FECHA DE PAGO],"")</f>
        <v>1125118.8199999998</v>
      </c>
      <c r="E1919" s="25"/>
      <c r="F1919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919" s="68">
        <v>45195</v>
      </c>
      <c r="H1919" s="26" t="s">
        <v>279</v>
      </c>
      <c r="I1919" s="68">
        <v>45132</v>
      </c>
      <c r="J1919" s="35" t="s">
        <v>1839</v>
      </c>
      <c r="K1919" s="21">
        <v>887394</v>
      </c>
      <c r="L1919" s="21"/>
      <c r="M1919" s="22">
        <f>(PROVEEDORES[[#This Row],[SUBTOTAL]]-PROVEEDORES[[#This Row],[descuento sobre subtotal]])*VLOOKUP(PROVEEDORES[[#This Row],[PROVEEDOR]],TERCEROS_INFO[#All],3,FALSE)</f>
        <v>168604.86000000002</v>
      </c>
      <c r="N1919" s="23"/>
      <c r="O1919" s="22">
        <f>+PROVEEDORES[[#This Row],[Descuento sobre subtotal %]]*(PROVEEDORES[[#This Row],[SUBTOTAL]]-PROVEEDORES[[#This Row],[descuento sobre subtotal]])</f>
        <v>0</v>
      </c>
      <c r="P1919" s="74">
        <f>+IF(PROVEEDORES[[#This Row],[SUBTOTAL]]&lt;PROVEEDORES[[#This Row],[base retencion]],0,PROVEEDORES[[#This Row],[retención aplicada]])</f>
        <v>0</v>
      </c>
      <c r="Q1919" s="22">
        <f>+PROVEEDORES[[#This Row],[Rete Fuente %]]*(PROVEEDORES[[#This Row],[SUBTOTAL]]-PROVEEDORES[[#This Row],[descuento sobre subtotal]])</f>
        <v>0</v>
      </c>
      <c r="R1919" s="21">
        <f>+PROVEEDORES[[#This Row],[SUBTOTAL]]+PROVEEDORES[[#This Row],[IVA 19%]]-PROVEEDORES[[#This Row],[descuento sobre subtotal]]-PROVEEDORES[[#This Row],[Descuento sobre subtotal $2]]-PROVEEDORES[[#This Row],[Rete Fuente $]]</f>
        <v>1055998.8600000001</v>
      </c>
      <c r="S191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9" s="63">
        <f ca="1">IF(PROVEEDORES[[#This Row],[FECHA DE PAGO]]=0,TODAY()-PROVEEDORES[[#This Row],[FECHA DE FACTURACIÓN]]-PROVEEDORES[[#This Row],[PLAZO Días]],0)</f>
        <v>0</v>
      </c>
      <c r="U1919" s="104" t="str">
        <f>+VLOOKUP(PROVEEDORES[[#This Row],[PROVEEDOR]],Terceros!$A:$D,4,FALSE)</f>
        <v>2,5% con base</v>
      </c>
      <c r="V1919" s="105">
        <f>+YEAR(PROVEEDORES[[#This Row],[FECHA DE FACTURACIÓN]])</f>
        <v>2023</v>
      </c>
      <c r="W1919" s="105">
        <f>+MATCH(PROVEEDORES[[#This Row],[año facturado]],Retenciones!$1:$1,0)</f>
        <v>6</v>
      </c>
      <c r="X1919" s="106">
        <f>+VLOOKUP(PROVEEDORES[[#This Row],[ID RETENCION]],Retenciones!$A$1:$O$25,PROVEEDORES[[#This Row],[indicador de columna]],FALSE)</f>
        <v>1145000</v>
      </c>
      <c r="Y1919" s="107">
        <f>+VLOOKUP(PROVEEDORES[[#This Row],[ID RETENCION]],Retenciones!$A$1:$O$25,2,FALSE)</f>
        <v>2.5000000000000001E-2</v>
      </c>
      <c r="Z1919" s="116" t="b">
        <f>OR(COUNTIF(PROVEEDORES[[#This Row],[PROVEEDOR]],"*"&amp;'Palabra no opera'!$A$2&amp;"*"))</f>
        <v>0</v>
      </c>
    </row>
    <row r="1920" spans="1:26" ht="22.35" customHeight="1" x14ac:dyDescent="0.3">
      <c r="A1920" s="67" t="str">
        <f>+IF(PROVEEDORES[[#This Row],[FECHA DE PAGO]]=PROVEEDORES[[#This Row],[FECHA DE FACTURACIÓN]],"DE CONTADO","CRÉDITO")</f>
        <v>CRÉDITO</v>
      </c>
      <c r="B1920" s="38" t="str">
        <f>+IF((PROVEEDORES[[#This Row],[FECHA DE PAGO]]-PROVEEDORES[[#This Row],[FECHA DE FACTURACIÓN]])&gt;PROVEEDORES[[#This Row],[PLAZO Días]],"PAGO VENCIDO")</f>
        <v>PAGO VENCIDO</v>
      </c>
      <c r="C1920" s="20">
        <f>+VLOOKUP(PROVEEDORES[[#This Row],[PROVEEDOR]],TERCEROS_INFO[#All],2,FALSE)</f>
        <v>45</v>
      </c>
      <c r="D1920" s="25">
        <f>+SUMIFS(PROVEEDORES[Total],PROVEEDORES[PROVEEDOR],PROVEEDORES[[#This Row],[PROVEEDOR]],PROVEEDORES[FECHA DE PAGO],"")</f>
        <v>15770594</v>
      </c>
      <c r="E1920" s="25"/>
      <c r="F1920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20" s="68">
        <v>45197</v>
      </c>
      <c r="H1920" s="26" t="s">
        <v>19</v>
      </c>
      <c r="I1920" s="68">
        <v>45142</v>
      </c>
      <c r="J1920" s="35" t="s">
        <v>1875</v>
      </c>
      <c r="K1920" s="21">
        <v>7543977</v>
      </c>
      <c r="L1920" s="21"/>
      <c r="M1920" s="22">
        <f>(PROVEEDORES[[#This Row],[SUBTOTAL]]-PROVEEDORES[[#This Row],[descuento sobre subtotal]])*VLOOKUP(PROVEEDORES[[#This Row],[PROVEEDOR]],TERCEROS_INFO[#All],3,FALSE)</f>
        <v>1433355.6300000001</v>
      </c>
      <c r="N1920" s="23"/>
      <c r="O1920" s="22">
        <f>+PROVEEDORES[[#This Row],[Descuento sobre subtotal %]]*(PROVEEDORES[[#This Row],[SUBTOTAL]]-PROVEEDORES[[#This Row],[descuento sobre subtotal]])</f>
        <v>0</v>
      </c>
      <c r="P1920" s="74">
        <f>+IF(PROVEEDORES[[#This Row],[SUBTOTAL]]&lt;PROVEEDORES[[#This Row],[base retencion]],0,PROVEEDORES[[#This Row],[retención aplicada]])</f>
        <v>0</v>
      </c>
      <c r="Q1920" s="22">
        <f>+PROVEEDORES[[#This Row],[Rete Fuente %]]*(PROVEEDORES[[#This Row],[SUBTOTAL]]-PROVEEDORES[[#This Row],[descuento sobre subtotal]])</f>
        <v>0</v>
      </c>
      <c r="R1920" s="21">
        <f>+PROVEEDORES[[#This Row],[SUBTOTAL]]+PROVEEDORES[[#This Row],[IVA 19%]]-PROVEEDORES[[#This Row],[descuento sobre subtotal]]-PROVEEDORES[[#This Row],[Descuento sobre subtotal $2]]-PROVEEDORES[[#This Row],[Rete Fuente $]]</f>
        <v>8977332.6300000008</v>
      </c>
      <c r="S192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0" s="63">
        <f ca="1">IF(PROVEEDORES[[#This Row],[FECHA DE PAGO]]=0,TODAY()-PROVEEDORES[[#This Row],[FECHA DE FACTURACIÓN]]-PROVEEDORES[[#This Row],[PLAZO Días]],0)</f>
        <v>0</v>
      </c>
      <c r="U1920" s="104">
        <f>+VLOOKUP(PROVEEDORES[[#This Row],[PROVEEDOR]],Terceros!$A:$D,4,FALSE)</f>
        <v>0</v>
      </c>
      <c r="V1920" s="105">
        <f>+YEAR(PROVEEDORES[[#This Row],[FECHA DE FACTURACIÓN]])</f>
        <v>2023</v>
      </c>
      <c r="W1920" s="105">
        <f>+MATCH(PROVEEDORES[[#This Row],[año facturado]],Retenciones!$1:$1,0)</f>
        <v>6</v>
      </c>
      <c r="X1920" s="106">
        <f>+VLOOKUP(PROVEEDORES[[#This Row],[ID RETENCION]],Retenciones!$A$1:$O$25,PROVEEDORES[[#This Row],[indicador de columna]],FALSE)</f>
        <v>0</v>
      </c>
      <c r="Y1920" s="107">
        <f>+VLOOKUP(PROVEEDORES[[#This Row],[ID RETENCION]],Retenciones!$A$1:$O$25,2,FALSE)</f>
        <v>0</v>
      </c>
      <c r="Z1920" s="116" t="b">
        <f>OR(COUNTIF(PROVEEDORES[[#This Row],[PROVEEDOR]],"*"&amp;'Palabra no opera'!$A$2&amp;"*"))</f>
        <v>0</v>
      </c>
    </row>
    <row r="1921" spans="1:26" ht="22.35" customHeight="1" x14ac:dyDescent="0.3">
      <c r="A1921" s="67" t="str">
        <f>+IF(PROVEEDORES[[#This Row],[FECHA DE PAGO]]=PROVEEDORES[[#This Row],[FECHA DE FACTURACIÓN]],"DE CONTADO","CRÉDITO")</f>
        <v>CRÉDITO</v>
      </c>
      <c r="B1921" s="38" t="str">
        <f>+IF((PROVEEDORES[[#This Row],[FECHA DE PAGO]]-PROVEEDORES[[#This Row],[FECHA DE FACTURACIÓN]])&gt;PROVEEDORES[[#This Row],[PLAZO Días]],"PAGO VENCIDO")</f>
        <v>PAGO VENCIDO</v>
      </c>
      <c r="C1921" s="20">
        <f>+VLOOKUP(PROVEEDORES[[#This Row],[PROVEEDOR]],TERCEROS_INFO[#All],2,FALSE)</f>
        <v>45</v>
      </c>
      <c r="D1921" s="25">
        <f>+SUMIFS(PROVEEDORES[Total],PROVEEDORES[PROVEEDOR],PROVEEDORES[[#This Row],[PROVEEDOR]],PROVEEDORES[FECHA DE PAGO],"")</f>
        <v>15770594</v>
      </c>
      <c r="E1921" s="25"/>
      <c r="F192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21" s="68">
        <v>45197</v>
      </c>
      <c r="H1921" s="26" t="s">
        <v>19</v>
      </c>
      <c r="I1921" s="68">
        <v>45146</v>
      </c>
      <c r="J1921" s="35" t="s">
        <v>1874</v>
      </c>
      <c r="K1921" s="21">
        <v>4162770</v>
      </c>
      <c r="L1921" s="21"/>
      <c r="M1921" s="22">
        <f>(PROVEEDORES[[#This Row],[SUBTOTAL]]-PROVEEDORES[[#This Row],[descuento sobre subtotal]])*VLOOKUP(PROVEEDORES[[#This Row],[PROVEEDOR]],TERCEROS_INFO[#All],3,FALSE)</f>
        <v>790926.3</v>
      </c>
      <c r="N1921" s="23"/>
      <c r="O1921" s="22">
        <f>+PROVEEDORES[[#This Row],[Descuento sobre subtotal %]]*(PROVEEDORES[[#This Row],[SUBTOTAL]]-PROVEEDORES[[#This Row],[descuento sobre subtotal]])</f>
        <v>0</v>
      </c>
      <c r="P1921" s="74">
        <f>+IF(PROVEEDORES[[#This Row],[SUBTOTAL]]&lt;PROVEEDORES[[#This Row],[base retencion]],0,PROVEEDORES[[#This Row],[retención aplicada]])</f>
        <v>0</v>
      </c>
      <c r="Q1921" s="22">
        <f>+PROVEEDORES[[#This Row],[Rete Fuente %]]*(PROVEEDORES[[#This Row],[SUBTOTAL]]-PROVEEDORES[[#This Row],[descuento sobre subtotal]])</f>
        <v>0</v>
      </c>
      <c r="R1921" s="21">
        <f>+PROVEEDORES[[#This Row],[SUBTOTAL]]+PROVEEDORES[[#This Row],[IVA 19%]]-PROVEEDORES[[#This Row],[descuento sobre subtotal]]-PROVEEDORES[[#This Row],[Descuento sobre subtotal $2]]-PROVEEDORES[[#This Row],[Rete Fuente $]]</f>
        <v>4953696.3</v>
      </c>
      <c r="S19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1" s="63">
        <f ca="1">IF(PROVEEDORES[[#This Row],[FECHA DE PAGO]]=0,TODAY()-PROVEEDORES[[#This Row],[FECHA DE FACTURACIÓN]]-PROVEEDORES[[#This Row],[PLAZO Días]],0)</f>
        <v>0</v>
      </c>
      <c r="U1921" s="104">
        <f>+VLOOKUP(PROVEEDORES[[#This Row],[PROVEEDOR]],Terceros!$A:$D,4,FALSE)</f>
        <v>0</v>
      </c>
      <c r="V1921" s="105">
        <f>+YEAR(PROVEEDORES[[#This Row],[FECHA DE FACTURACIÓN]])</f>
        <v>2023</v>
      </c>
      <c r="W1921" s="105">
        <f>+MATCH(PROVEEDORES[[#This Row],[año facturado]],Retenciones!$1:$1,0)</f>
        <v>6</v>
      </c>
      <c r="X1921" s="106">
        <f>+VLOOKUP(PROVEEDORES[[#This Row],[ID RETENCION]],Retenciones!$A$1:$O$25,PROVEEDORES[[#This Row],[indicador de columna]],FALSE)</f>
        <v>0</v>
      </c>
      <c r="Y1921" s="107">
        <f>+VLOOKUP(PROVEEDORES[[#This Row],[ID RETENCION]],Retenciones!$A$1:$O$25,2,FALSE)</f>
        <v>0</v>
      </c>
      <c r="Z1921" s="116" t="b">
        <f>OR(COUNTIF(PROVEEDORES[[#This Row],[PROVEEDOR]],"*"&amp;'Palabra no opera'!$A$2&amp;"*"))</f>
        <v>0</v>
      </c>
    </row>
    <row r="1922" spans="1:26" ht="22.35" customHeight="1" x14ac:dyDescent="0.3">
      <c r="A1922" s="67" t="str">
        <f>+IF(PROVEEDORES[[#This Row],[FECHA DE PAGO]]=PROVEEDORES[[#This Row],[FECHA DE FACTURACIÓN]],"DE CONTADO","CRÉDITO")</f>
        <v>CRÉDITO</v>
      </c>
      <c r="B1922" s="38" t="str">
        <f>+IF((PROVEEDORES[[#This Row],[FECHA DE PAGO]]-PROVEEDORES[[#This Row],[FECHA DE FACTURACIÓN]])&gt;PROVEEDORES[[#This Row],[PLAZO Días]],"PAGO VENCIDO")</f>
        <v>PAGO VENCIDO</v>
      </c>
      <c r="C1922" s="20">
        <f>+VLOOKUP(PROVEEDORES[[#This Row],[PROVEEDOR]],TERCEROS_INFO[#All],2,FALSE)</f>
        <v>30</v>
      </c>
      <c r="D1922" s="25">
        <f>+SUMIFS(PROVEEDORES[Total],PROVEEDORES[PROVEEDOR],PROVEEDORES[[#This Row],[PROVEEDOR]],PROVEEDORES[FECHA DE PAGO],"")</f>
        <v>2950000</v>
      </c>
      <c r="E1922" s="25"/>
      <c r="F1922" s="56">
        <f>+VLOOKUP(PROVEEDORES[[#This Row],[PROVEEDOR]],
                       Terceros!$A:$F,
                       5,
                       FALSE)</f>
        <v>0</v>
      </c>
      <c r="G1922" s="68">
        <v>45198</v>
      </c>
      <c r="H1922" s="95" t="s">
        <v>1152</v>
      </c>
      <c r="I1922" s="68">
        <v>45147</v>
      </c>
      <c r="J1922" s="35">
        <v>3979</v>
      </c>
      <c r="K1922" s="21">
        <v>2142000</v>
      </c>
      <c r="L1922" s="21"/>
      <c r="M1922" s="22">
        <f>(PROVEEDORES[[#This Row],[SUBTOTAL]]-PROVEEDORES[[#This Row],[descuento sobre subtotal]])*VLOOKUP(PROVEEDORES[[#This Row],[PROVEEDOR]],TERCEROS_INFO[#All],3,FALSE)</f>
        <v>0</v>
      </c>
      <c r="N1922" s="23"/>
      <c r="O1922" s="22">
        <f>+PROVEEDORES[[#This Row],[Descuento sobre subtotal %]]*(PROVEEDORES[[#This Row],[SUBTOTAL]]-PROVEEDORES[[#This Row],[descuento sobre subtotal]])</f>
        <v>0</v>
      </c>
      <c r="P1922" s="74">
        <f>+IF(PROVEEDORES[[#This Row],[SUBTOTAL]]&lt;PROVEEDORES[[#This Row],[base retencion]],0,PROVEEDORES[[#This Row],[retención aplicada]])</f>
        <v>0</v>
      </c>
      <c r="Q1922" s="22">
        <f>+PROVEEDORES[[#This Row],[Rete Fuente %]]*(PROVEEDORES[[#This Row],[SUBTOTAL]]-PROVEEDORES[[#This Row],[descuento sobre subtotal]])</f>
        <v>0</v>
      </c>
      <c r="R1922" s="21">
        <f>+PROVEEDORES[[#This Row],[SUBTOTAL]]+PROVEEDORES[[#This Row],[IVA 19%]]-PROVEEDORES[[#This Row],[descuento sobre subtotal]]-PROVEEDORES[[#This Row],[Descuento sobre subtotal $2]]-PROVEEDORES[[#This Row],[Rete Fuente $]]</f>
        <v>2142000</v>
      </c>
      <c r="S19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2" s="63">
        <f ca="1">IF(PROVEEDORES[[#This Row],[FECHA DE PAGO]]=0,TODAY()-PROVEEDORES[[#This Row],[FECHA DE FACTURACIÓN]]-PROVEEDORES[[#This Row],[PLAZO Días]],0)</f>
        <v>0</v>
      </c>
      <c r="U1922" s="104">
        <f>+VLOOKUP(PROVEEDORES[[#This Row],[PROVEEDOR]],Terceros!$A:$D,4,FALSE)</f>
        <v>0</v>
      </c>
      <c r="V1922" s="105">
        <f>+YEAR(PROVEEDORES[[#This Row],[FECHA DE FACTURACIÓN]])</f>
        <v>2023</v>
      </c>
      <c r="W1922" s="105">
        <f>+MATCH(PROVEEDORES[[#This Row],[año facturado]],Retenciones!$1:$1,0)</f>
        <v>6</v>
      </c>
      <c r="X1922" s="106">
        <f>+VLOOKUP(PROVEEDORES[[#This Row],[ID RETENCION]],Retenciones!$A$1:$O$25,PROVEEDORES[[#This Row],[indicador de columna]],FALSE)</f>
        <v>0</v>
      </c>
      <c r="Y1922" s="107">
        <f>+VLOOKUP(PROVEEDORES[[#This Row],[ID RETENCION]],Retenciones!$A$1:$O$25,2,FALSE)</f>
        <v>0</v>
      </c>
      <c r="Z1922" s="116" t="b">
        <f>OR(COUNTIF(PROVEEDORES[[#This Row],[PROVEEDOR]],"*"&amp;'Palabra no opera'!$A$2&amp;"*"))</f>
        <v>0</v>
      </c>
    </row>
    <row r="1923" spans="1:26" ht="22.35" customHeight="1" x14ac:dyDescent="0.3">
      <c r="A1923" s="367" t="str">
        <f>+IF(PROVEEDORES[[#This Row],[FECHA DE PAGO]]=PROVEEDORES[[#This Row],[FECHA DE FACTURACIÓN]],"DE CONTADO","CRÉDITO")</f>
        <v>DE CONTADO</v>
      </c>
      <c r="B1923" s="38" t="b">
        <f>+IF((PROVEEDORES[[#This Row],[FECHA DE PAGO]]-PROVEEDORES[[#This Row],[FECHA DE FACTURACIÓN]])&gt;PROVEEDORES[[#This Row],[PLAZO Días]],"PAGO VENCIDO")</f>
        <v>0</v>
      </c>
      <c r="C1923" s="20">
        <f>+VLOOKUP(PROVEEDORES[[#This Row],[PROVEEDOR]],TERCEROS_INFO[#All],2,FALSE)</f>
        <v>30</v>
      </c>
      <c r="D1923" s="25">
        <f>+SUMIFS(PROVEEDORES[Total],PROVEEDORES[PROVEEDOR],PROVEEDORES[[#This Row],[PROVEEDOR]],PROVEEDORES[FECHA DE PAGO],"")</f>
        <v>0</v>
      </c>
      <c r="E1923" s="25"/>
      <c r="F1923" s="56" t="str">
        <f>+VLOOKUP(PROVEEDORES[[#This Row],[PROVEEDOR]],
                       Terceros!$A:$F,
                       5,
                       FALSE)</f>
        <v/>
      </c>
      <c r="G1923" s="68">
        <v>45199</v>
      </c>
      <c r="H1923" s="26" t="s">
        <v>362</v>
      </c>
      <c r="I1923" s="68">
        <v>45199</v>
      </c>
      <c r="J1923" s="35" t="s">
        <v>1176</v>
      </c>
      <c r="K1923" s="21">
        <v>512100</v>
      </c>
      <c r="L1923" s="21"/>
      <c r="M1923" s="22">
        <f>(PROVEEDORES[[#This Row],[SUBTOTAL]]-PROVEEDORES[[#This Row],[descuento sobre subtotal]])*VLOOKUP(PROVEEDORES[[#This Row],[PROVEEDOR]],TERCEROS_INFO[#All],3,FALSE)</f>
        <v>0</v>
      </c>
      <c r="N1923" s="23"/>
      <c r="O1923" s="22">
        <f>+PROVEEDORES[[#This Row],[Descuento sobre subtotal %]]*(PROVEEDORES[[#This Row],[SUBTOTAL]]-PROVEEDORES[[#This Row],[descuento sobre subtotal]])</f>
        <v>0</v>
      </c>
      <c r="P1923" s="74">
        <f>+IF(PROVEEDORES[[#This Row],[SUBTOTAL]]&lt;PROVEEDORES[[#This Row],[base retencion]],0,PROVEEDORES[[#This Row],[retención aplicada]])</f>
        <v>0</v>
      </c>
      <c r="Q1923" s="22">
        <f>+PROVEEDORES[[#This Row],[Rete Fuente %]]*(PROVEEDORES[[#This Row],[SUBTOTAL]]-PROVEEDORES[[#This Row],[descuento sobre subtotal]])</f>
        <v>0</v>
      </c>
      <c r="R1923" s="21">
        <f>+PROVEEDORES[[#This Row],[SUBTOTAL]]+PROVEEDORES[[#This Row],[IVA 19%]]-PROVEEDORES[[#This Row],[descuento sobre subtotal]]-PROVEEDORES[[#This Row],[Descuento sobre subtotal $2]]-PROVEEDORES[[#This Row],[Rete Fuente $]]</f>
        <v>512100</v>
      </c>
      <c r="S1923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3" s="63">
        <f ca="1">IF(PROVEEDORES[[#This Row],[FECHA DE PAGO]]=0,TODAY()-PROVEEDORES[[#This Row],[FECHA DE FACTURACIÓN]]-PROVEEDORES[[#This Row],[PLAZO Días]],0)</f>
        <v>0</v>
      </c>
      <c r="U1923" s="104">
        <f>+VLOOKUP(PROVEEDORES[[#This Row],[PROVEEDOR]],Terceros!$A:$D,4,FALSE)</f>
        <v>0</v>
      </c>
      <c r="V1923" s="105">
        <f>+YEAR(PROVEEDORES[[#This Row],[FECHA DE FACTURACIÓN]])</f>
        <v>2023</v>
      </c>
      <c r="W1923" s="105">
        <f>+MATCH(PROVEEDORES[[#This Row],[año facturado]],Retenciones!$1:$1,0)</f>
        <v>6</v>
      </c>
      <c r="X1923" s="106">
        <f>+VLOOKUP(PROVEEDORES[[#This Row],[ID RETENCION]],Retenciones!$A$1:$O$25,PROVEEDORES[[#This Row],[indicador de columna]],FALSE)</f>
        <v>0</v>
      </c>
      <c r="Y1923" s="107">
        <f>+VLOOKUP(PROVEEDORES[[#This Row],[ID RETENCION]],Retenciones!$A$1:$O$25,2,FALSE)</f>
        <v>0</v>
      </c>
      <c r="Z1923" s="116" t="b">
        <f>OR(COUNTIF(PROVEEDORES[[#This Row],[PROVEEDOR]],"*"&amp;'Palabra no opera'!$A$2&amp;"*"))</f>
        <v>0</v>
      </c>
    </row>
    <row r="1924" spans="1:26" ht="22.35" customHeight="1" x14ac:dyDescent="0.3">
      <c r="A1924" s="367" t="str">
        <f>+IF(PROVEEDORES[[#This Row],[FECHA DE PAGO]]=PROVEEDORES[[#This Row],[FECHA DE FACTURACIÓN]],"DE CONTADO","CRÉDITO")</f>
        <v>DE CONTADO</v>
      </c>
      <c r="B1924" s="38" t="b">
        <f>+IF((PROVEEDORES[[#This Row],[FECHA DE PAGO]]-PROVEEDORES[[#This Row],[FECHA DE FACTURACIÓN]])&gt;PROVEEDORES[[#This Row],[PLAZO Días]],"PAGO VENCIDO")</f>
        <v>0</v>
      </c>
      <c r="C1924" s="20">
        <f>+VLOOKUP(PROVEEDORES[[#This Row],[PROVEEDOR]],TERCEROS_INFO[#All],2,FALSE)</f>
        <v>30</v>
      </c>
      <c r="D1924" s="25">
        <f>+SUMIFS(PROVEEDORES[Total],PROVEEDORES[PROVEEDOR],PROVEEDORES[[#This Row],[PROVEEDOR]],PROVEEDORES[FECHA DE PAGO],"")</f>
        <v>0</v>
      </c>
      <c r="E1924" s="25"/>
      <c r="F1924" s="56" t="str">
        <f>+VLOOKUP(PROVEEDORES[[#This Row],[PROVEEDOR]],
                       Terceros!$A:$F,
                       5,
                       FALSE)</f>
        <v/>
      </c>
      <c r="G1924" s="68">
        <v>45199</v>
      </c>
      <c r="H1924" s="26" t="s">
        <v>362</v>
      </c>
      <c r="I1924" s="68">
        <v>45199</v>
      </c>
      <c r="J1924" s="35" t="s">
        <v>1177</v>
      </c>
      <c r="K1924" s="21">
        <v>2566850</v>
      </c>
      <c r="L1924" s="21"/>
      <c r="M1924" s="22">
        <f>(PROVEEDORES[[#This Row],[SUBTOTAL]]-PROVEEDORES[[#This Row],[descuento sobre subtotal]])*VLOOKUP(PROVEEDORES[[#This Row],[PROVEEDOR]],TERCEROS_INFO[#All],3,FALSE)</f>
        <v>0</v>
      </c>
      <c r="N1924" s="23"/>
      <c r="O1924" s="22">
        <f>+PROVEEDORES[[#This Row],[Descuento sobre subtotal %]]*(PROVEEDORES[[#This Row],[SUBTOTAL]]-PROVEEDORES[[#This Row],[descuento sobre subtotal]])</f>
        <v>0</v>
      </c>
      <c r="P1924" s="74">
        <f>+IF(PROVEEDORES[[#This Row],[SUBTOTAL]]&lt;PROVEEDORES[[#This Row],[base retencion]],0,PROVEEDORES[[#This Row],[retención aplicada]])</f>
        <v>0</v>
      </c>
      <c r="Q1924" s="22">
        <f>+PROVEEDORES[[#This Row],[Rete Fuente %]]*(PROVEEDORES[[#This Row],[SUBTOTAL]]-PROVEEDORES[[#This Row],[descuento sobre subtotal]])</f>
        <v>0</v>
      </c>
      <c r="R1924" s="21">
        <f>+PROVEEDORES[[#This Row],[SUBTOTAL]]+PROVEEDORES[[#This Row],[IVA 19%]]-PROVEEDORES[[#This Row],[descuento sobre subtotal]]-PROVEEDORES[[#This Row],[Descuento sobre subtotal $2]]-PROVEEDORES[[#This Row],[Rete Fuente $]]</f>
        <v>2566850</v>
      </c>
      <c r="S1924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4" s="63">
        <f ca="1">IF(PROVEEDORES[[#This Row],[FECHA DE PAGO]]=0,TODAY()-PROVEEDORES[[#This Row],[FECHA DE FACTURACIÓN]]-PROVEEDORES[[#This Row],[PLAZO Días]],0)</f>
        <v>0</v>
      </c>
      <c r="U1924" s="104">
        <f>+VLOOKUP(PROVEEDORES[[#This Row],[PROVEEDOR]],Terceros!$A:$D,4,FALSE)</f>
        <v>0</v>
      </c>
      <c r="V1924" s="105">
        <f>+YEAR(PROVEEDORES[[#This Row],[FECHA DE FACTURACIÓN]])</f>
        <v>2023</v>
      </c>
      <c r="W1924" s="105">
        <f>+MATCH(PROVEEDORES[[#This Row],[año facturado]],Retenciones!$1:$1,0)</f>
        <v>6</v>
      </c>
      <c r="X1924" s="106">
        <f>+VLOOKUP(PROVEEDORES[[#This Row],[ID RETENCION]],Retenciones!$A$1:$O$25,PROVEEDORES[[#This Row],[indicador de columna]],FALSE)</f>
        <v>0</v>
      </c>
      <c r="Y1924" s="107">
        <f>+VLOOKUP(PROVEEDORES[[#This Row],[ID RETENCION]],Retenciones!$A$1:$O$25,2,FALSE)</f>
        <v>0</v>
      </c>
      <c r="Z1924" s="116" t="b">
        <f>OR(COUNTIF(PROVEEDORES[[#This Row],[PROVEEDOR]],"*"&amp;'Palabra no opera'!$A$2&amp;"*"))</f>
        <v>0</v>
      </c>
    </row>
    <row r="1925" spans="1:26" ht="22.35" customHeight="1" x14ac:dyDescent="0.3">
      <c r="A1925" s="367" t="str">
        <f>+IF(PROVEEDORES[[#This Row],[FECHA DE PAGO]]=PROVEEDORES[[#This Row],[FECHA DE FACTURACIÓN]],"DE CONTADO","CRÉDITO")</f>
        <v>DE CONTADO</v>
      </c>
      <c r="B1925" s="38" t="b">
        <f>+IF((PROVEEDORES[[#This Row],[FECHA DE PAGO]]-PROVEEDORES[[#This Row],[FECHA DE FACTURACIÓN]])&gt;PROVEEDORES[[#This Row],[PLAZO Días]],"PAGO VENCIDO")</f>
        <v>0</v>
      </c>
      <c r="C1925" s="20">
        <f>+VLOOKUP(PROVEEDORES[[#This Row],[PROVEEDOR]],TERCEROS_INFO[#All],2,FALSE)</f>
        <v>30</v>
      </c>
      <c r="D1925" s="25">
        <f>+SUMIFS(PROVEEDORES[Total],PROVEEDORES[PROVEEDOR],PROVEEDORES[[#This Row],[PROVEEDOR]],PROVEEDORES[FECHA DE PAGO],"")</f>
        <v>0</v>
      </c>
      <c r="E1925" s="25"/>
      <c r="F1925" s="56" t="str">
        <f>+VLOOKUP(PROVEEDORES[[#This Row],[PROVEEDOR]],
                       Terceros!$A:$F,
                       5,
                       FALSE)</f>
        <v/>
      </c>
      <c r="G1925" s="68">
        <v>45199</v>
      </c>
      <c r="H1925" s="26" t="s">
        <v>362</v>
      </c>
      <c r="I1925" s="68">
        <v>45199</v>
      </c>
      <c r="J1925" s="35" t="s">
        <v>1180</v>
      </c>
      <c r="K1925" s="21">
        <v>284873</v>
      </c>
      <c r="L1925" s="21"/>
      <c r="M1925" s="22">
        <f>(PROVEEDORES[[#This Row],[SUBTOTAL]]-PROVEEDORES[[#This Row],[descuento sobre subtotal]])*VLOOKUP(PROVEEDORES[[#This Row],[PROVEEDOR]],TERCEROS_INFO[#All],3,FALSE)</f>
        <v>0</v>
      </c>
      <c r="N1925" s="23"/>
      <c r="O1925" s="22">
        <f>+PROVEEDORES[[#This Row],[Descuento sobre subtotal %]]*(PROVEEDORES[[#This Row],[SUBTOTAL]]-PROVEEDORES[[#This Row],[descuento sobre subtotal]])</f>
        <v>0</v>
      </c>
      <c r="P1925" s="74">
        <f>+IF(PROVEEDORES[[#This Row],[SUBTOTAL]]&lt;PROVEEDORES[[#This Row],[base retencion]],0,PROVEEDORES[[#This Row],[retención aplicada]])</f>
        <v>0</v>
      </c>
      <c r="Q1925" s="22">
        <f>+PROVEEDORES[[#This Row],[Rete Fuente %]]*(PROVEEDORES[[#This Row],[SUBTOTAL]]-PROVEEDORES[[#This Row],[descuento sobre subtotal]])</f>
        <v>0</v>
      </c>
      <c r="R1925" s="21">
        <f>+PROVEEDORES[[#This Row],[SUBTOTAL]]+PROVEEDORES[[#This Row],[IVA 19%]]-PROVEEDORES[[#This Row],[descuento sobre subtotal]]-PROVEEDORES[[#This Row],[Descuento sobre subtotal $2]]-PROVEEDORES[[#This Row],[Rete Fuente $]]</f>
        <v>284873</v>
      </c>
      <c r="S1925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5" s="63">
        <f ca="1">IF(PROVEEDORES[[#This Row],[FECHA DE PAGO]]=0,TODAY()-PROVEEDORES[[#This Row],[FECHA DE FACTURACIÓN]]-PROVEEDORES[[#This Row],[PLAZO Días]],0)</f>
        <v>0</v>
      </c>
      <c r="U1925" s="104">
        <f>+VLOOKUP(PROVEEDORES[[#This Row],[PROVEEDOR]],Terceros!$A:$D,4,FALSE)</f>
        <v>0</v>
      </c>
      <c r="V1925" s="105">
        <f>+YEAR(PROVEEDORES[[#This Row],[FECHA DE FACTURACIÓN]])</f>
        <v>2023</v>
      </c>
      <c r="W1925" s="105">
        <f>+MATCH(PROVEEDORES[[#This Row],[año facturado]],Retenciones!$1:$1,0)</f>
        <v>6</v>
      </c>
      <c r="X1925" s="106">
        <f>+VLOOKUP(PROVEEDORES[[#This Row],[ID RETENCION]],Retenciones!$A$1:$O$25,PROVEEDORES[[#This Row],[indicador de columna]],FALSE)</f>
        <v>0</v>
      </c>
      <c r="Y1925" s="107">
        <f>+VLOOKUP(PROVEEDORES[[#This Row],[ID RETENCION]],Retenciones!$A$1:$O$25,2,FALSE)</f>
        <v>0</v>
      </c>
      <c r="Z1925" s="116" t="b">
        <f>OR(COUNTIF(PROVEEDORES[[#This Row],[PROVEEDOR]],"*"&amp;'Palabra no opera'!$A$2&amp;"*"))</f>
        <v>0</v>
      </c>
    </row>
    <row r="1926" spans="1:26" ht="22.35" customHeight="1" x14ac:dyDescent="0.3">
      <c r="A1926" s="367" t="str">
        <f>+IF(PROVEEDORES[[#This Row],[FECHA DE PAGO]]=PROVEEDORES[[#This Row],[FECHA DE FACTURACIÓN]],"DE CONTADO","CRÉDITO")</f>
        <v>DE CONTADO</v>
      </c>
      <c r="B1926" s="38" t="b">
        <f>+IF((PROVEEDORES[[#This Row],[FECHA DE PAGO]]-PROVEEDORES[[#This Row],[FECHA DE FACTURACIÓN]])&gt;PROVEEDORES[[#This Row],[PLAZO Días]],"PAGO VENCIDO")</f>
        <v>0</v>
      </c>
      <c r="C1926" s="20">
        <f>+VLOOKUP(PROVEEDORES[[#This Row],[PROVEEDOR]],TERCEROS_INFO[#All],2,FALSE)</f>
        <v>30</v>
      </c>
      <c r="D1926" s="25">
        <f>+SUMIFS(PROVEEDORES[Total],PROVEEDORES[PROVEEDOR],PROVEEDORES[[#This Row],[PROVEEDOR]],PROVEEDORES[FECHA DE PAGO],"")</f>
        <v>0</v>
      </c>
      <c r="E1926" s="25"/>
      <c r="F1926" s="56" t="str">
        <f>+VLOOKUP(PROVEEDORES[[#This Row],[PROVEEDOR]],
                       Terceros!$A:$F,
                       5,
                       FALSE)</f>
        <v/>
      </c>
      <c r="G1926" s="68">
        <v>45199</v>
      </c>
      <c r="H1926" s="26" t="s">
        <v>362</v>
      </c>
      <c r="I1926" s="68">
        <v>45199</v>
      </c>
      <c r="J1926" s="35" t="s">
        <v>1178</v>
      </c>
      <c r="K1926" s="21">
        <v>135500</v>
      </c>
      <c r="L1926" s="21"/>
      <c r="M1926" s="22">
        <f>(PROVEEDORES[[#This Row],[SUBTOTAL]]-PROVEEDORES[[#This Row],[descuento sobre subtotal]])*VLOOKUP(PROVEEDORES[[#This Row],[PROVEEDOR]],TERCEROS_INFO[#All],3,FALSE)</f>
        <v>0</v>
      </c>
      <c r="N1926" s="23"/>
      <c r="O1926" s="22">
        <f>+PROVEEDORES[[#This Row],[Descuento sobre subtotal %]]*(PROVEEDORES[[#This Row],[SUBTOTAL]]-PROVEEDORES[[#This Row],[descuento sobre subtotal]])</f>
        <v>0</v>
      </c>
      <c r="P1926" s="74">
        <f>+IF(PROVEEDORES[[#This Row],[SUBTOTAL]]&lt;PROVEEDORES[[#This Row],[base retencion]],0,PROVEEDORES[[#This Row],[retención aplicada]])</f>
        <v>0</v>
      </c>
      <c r="Q1926" s="22">
        <f>+PROVEEDORES[[#This Row],[Rete Fuente %]]*(PROVEEDORES[[#This Row],[SUBTOTAL]]-PROVEEDORES[[#This Row],[descuento sobre subtotal]])</f>
        <v>0</v>
      </c>
      <c r="R1926" s="21">
        <f>+PROVEEDORES[[#This Row],[SUBTOTAL]]+PROVEEDORES[[#This Row],[IVA 19%]]-PROVEEDORES[[#This Row],[descuento sobre subtotal]]-PROVEEDORES[[#This Row],[Descuento sobre subtotal $2]]-PROVEEDORES[[#This Row],[Rete Fuente $]]</f>
        <v>135500</v>
      </c>
      <c r="S1926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6" s="63">
        <f ca="1">IF(PROVEEDORES[[#This Row],[FECHA DE PAGO]]=0,TODAY()-PROVEEDORES[[#This Row],[FECHA DE FACTURACIÓN]]-PROVEEDORES[[#This Row],[PLAZO Días]],0)</f>
        <v>0</v>
      </c>
      <c r="U1926" s="104">
        <f>+VLOOKUP(PROVEEDORES[[#This Row],[PROVEEDOR]],Terceros!$A:$D,4,FALSE)</f>
        <v>0</v>
      </c>
      <c r="V1926" s="105">
        <f>+YEAR(PROVEEDORES[[#This Row],[FECHA DE FACTURACIÓN]])</f>
        <v>2023</v>
      </c>
      <c r="W1926" s="105">
        <f>+MATCH(PROVEEDORES[[#This Row],[año facturado]],Retenciones!$1:$1,0)</f>
        <v>6</v>
      </c>
      <c r="X1926" s="106">
        <f>+VLOOKUP(PROVEEDORES[[#This Row],[ID RETENCION]],Retenciones!$A$1:$O$25,PROVEEDORES[[#This Row],[indicador de columna]],FALSE)</f>
        <v>0</v>
      </c>
      <c r="Y1926" s="107">
        <f>+VLOOKUP(PROVEEDORES[[#This Row],[ID RETENCION]],Retenciones!$A$1:$O$25,2,FALSE)</f>
        <v>0</v>
      </c>
      <c r="Z1926" s="116" t="b">
        <f>OR(COUNTIF(PROVEEDORES[[#This Row],[PROVEEDOR]],"*"&amp;'Palabra no opera'!$A$2&amp;"*"))</f>
        <v>0</v>
      </c>
    </row>
    <row r="1927" spans="1:26" ht="22.35" customHeight="1" x14ac:dyDescent="0.3">
      <c r="A1927" s="367" t="str">
        <f>+IF(PROVEEDORES[[#This Row],[FECHA DE PAGO]]=PROVEEDORES[[#This Row],[FECHA DE FACTURACIÓN]],"DE CONTADO","CRÉDITO")</f>
        <v>DE CONTADO</v>
      </c>
      <c r="B1927" s="38" t="b">
        <f>+IF((PROVEEDORES[[#This Row],[FECHA DE PAGO]]-PROVEEDORES[[#This Row],[FECHA DE FACTURACIÓN]])&gt;PROVEEDORES[[#This Row],[PLAZO Días]],"PAGO VENCIDO")</f>
        <v>0</v>
      </c>
      <c r="C1927" s="20">
        <f>+VLOOKUP(PROVEEDORES[[#This Row],[PROVEEDOR]],TERCEROS_INFO[#All],2,FALSE)</f>
        <v>30</v>
      </c>
      <c r="D1927" s="25">
        <f>+SUMIFS(PROVEEDORES[Total],PROVEEDORES[PROVEEDOR],PROVEEDORES[[#This Row],[PROVEEDOR]],PROVEEDORES[FECHA DE PAGO],"")</f>
        <v>0</v>
      </c>
      <c r="E1927" s="25"/>
      <c r="F1927" s="56" t="str">
        <f>+VLOOKUP(PROVEEDORES[[#This Row],[PROVEEDOR]],
                       Terceros!$A:$F,
                       5,
                       FALSE)</f>
        <v/>
      </c>
      <c r="G1927" s="68">
        <v>45199</v>
      </c>
      <c r="H1927" s="26" t="s">
        <v>362</v>
      </c>
      <c r="I1927" s="68">
        <v>45199</v>
      </c>
      <c r="J1927" s="35" t="s">
        <v>1179</v>
      </c>
      <c r="K1927" s="21">
        <v>19000</v>
      </c>
      <c r="L1927" s="21"/>
      <c r="M1927" s="22">
        <f>(PROVEEDORES[[#This Row],[SUBTOTAL]]-PROVEEDORES[[#This Row],[descuento sobre subtotal]])*VLOOKUP(PROVEEDORES[[#This Row],[PROVEEDOR]],TERCEROS_INFO[#All],3,FALSE)</f>
        <v>0</v>
      </c>
      <c r="N1927" s="23"/>
      <c r="O1927" s="22">
        <f>+PROVEEDORES[[#This Row],[Descuento sobre subtotal %]]*(PROVEEDORES[[#This Row],[SUBTOTAL]]-PROVEEDORES[[#This Row],[descuento sobre subtotal]])</f>
        <v>0</v>
      </c>
      <c r="P1927" s="74">
        <f>+IF(PROVEEDORES[[#This Row],[SUBTOTAL]]&lt;PROVEEDORES[[#This Row],[base retencion]],0,PROVEEDORES[[#This Row],[retención aplicada]])</f>
        <v>0</v>
      </c>
      <c r="Q1927" s="22">
        <f>+PROVEEDORES[[#This Row],[Rete Fuente %]]*(PROVEEDORES[[#This Row],[SUBTOTAL]]-PROVEEDORES[[#This Row],[descuento sobre subtotal]])</f>
        <v>0</v>
      </c>
      <c r="R1927" s="21">
        <f>+PROVEEDORES[[#This Row],[SUBTOTAL]]+PROVEEDORES[[#This Row],[IVA 19%]]-PROVEEDORES[[#This Row],[descuento sobre subtotal]]-PROVEEDORES[[#This Row],[Descuento sobre subtotal $2]]-PROVEEDORES[[#This Row],[Rete Fuente $]]</f>
        <v>19000</v>
      </c>
      <c r="S1927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7" s="63">
        <f ca="1">IF(PROVEEDORES[[#This Row],[FECHA DE PAGO]]=0,TODAY()-PROVEEDORES[[#This Row],[FECHA DE FACTURACIÓN]]-PROVEEDORES[[#This Row],[PLAZO Días]],0)</f>
        <v>0</v>
      </c>
      <c r="U1927" s="104">
        <f>+VLOOKUP(PROVEEDORES[[#This Row],[PROVEEDOR]],Terceros!$A:$D,4,FALSE)</f>
        <v>0</v>
      </c>
      <c r="V1927" s="105">
        <f>+YEAR(PROVEEDORES[[#This Row],[FECHA DE FACTURACIÓN]])</f>
        <v>2023</v>
      </c>
      <c r="W1927" s="105">
        <f>+MATCH(PROVEEDORES[[#This Row],[año facturado]],Retenciones!$1:$1,0)</f>
        <v>6</v>
      </c>
      <c r="X1927" s="106">
        <f>+VLOOKUP(PROVEEDORES[[#This Row],[ID RETENCION]],Retenciones!$A$1:$O$25,PROVEEDORES[[#This Row],[indicador de columna]],FALSE)</f>
        <v>0</v>
      </c>
      <c r="Y1927" s="107">
        <f>+VLOOKUP(PROVEEDORES[[#This Row],[ID RETENCION]],Retenciones!$A$1:$O$25,2,FALSE)</f>
        <v>0</v>
      </c>
      <c r="Z1927" s="116" t="b">
        <f>OR(COUNTIF(PROVEEDORES[[#This Row],[PROVEEDOR]],"*"&amp;'Palabra no opera'!$A$2&amp;"*"))</f>
        <v>0</v>
      </c>
    </row>
    <row r="1928" spans="1:26" ht="22.35" customHeight="1" x14ac:dyDescent="0.3">
      <c r="A1928" s="367" t="str">
        <f>+IF(PROVEEDORES[[#This Row],[FECHA DE PAGO]]=PROVEEDORES[[#This Row],[FECHA DE FACTURACIÓN]],"DE CONTADO","CRÉDITO")</f>
        <v>DE CONTADO</v>
      </c>
      <c r="B1928" s="38" t="b">
        <f>+IF((PROVEEDORES[[#This Row],[FECHA DE PAGO]]-PROVEEDORES[[#This Row],[FECHA DE FACTURACIÓN]])&gt;PROVEEDORES[[#This Row],[PLAZO Días]],"PAGO VENCIDO")</f>
        <v>0</v>
      </c>
      <c r="C1928" s="20">
        <f>+VLOOKUP(PROVEEDORES[[#This Row],[PROVEEDOR]],TERCEROS_INFO[#All],2,FALSE)</f>
        <v>30</v>
      </c>
      <c r="D1928" s="25">
        <f>+SUMIFS(PROVEEDORES[Total],PROVEEDORES[PROVEEDOR],PROVEEDORES[[#This Row],[PROVEEDOR]],PROVEEDORES[FECHA DE PAGO],"")</f>
        <v>0</v>
      </c>
      <c r="E1928" s="25"/>
      <c r="F1928" s="56" t="str">
        <f>+VLOOKUP(PROVEEDORES[[#This Row],[PROVEEDOR]],
                       Terceros!$A:$F,
                       5,
                       FALSE)</f>
        <v/>
      </c>
      <c r="G1928" s="68">
        <v>45199</v>
      </c>
      <c r="H1928" s="26" t="s">
        <v>362</v>
      </c>
      <c r="I1928" s="68">
        <v>45199</v>
      </c>
      <c r="J1928" s="35" t="s">
        <v>1379</v>
      </c>
      <c r="K1928" s="21">
        <v>0</v>
      </c>
      <c r="L1928" s="21"/>
      <c r="M1928" s="22">
        <f>(PROVEEDORES[[#This Row],[SUBTOTAL]]-PROVEEDORES[[#This Row],[descuento sobre subtotal]])*VLOOKUP(PROVEEDORES[[#This Row],[PROVEEDOR]],TERCEROS_INFO[#All],3,FALSE)</f>
        <v>0</v>
      </c>
      <c r="N1928" s="23"/>
      <c r="O1928" s="22">
        <f>+PROVEEDORES[[#This Row],[Descuento sobre subtotal %]]*(PROVEEDORES[[#This Row],[SUBTOTAL]]-PROVEEDORES[[#This Row],[descuento sobre subtotal]])</f>
        <v>0</v>
      </c>
      <c r="P1928" s="74">
        <f>+IF(PROVEEDORES[[#This Row],[SUBTOTAL]]&lt;PROVEEDORES[[#This Row],[base retencion]],0,PROVEEDORES[[#This Row],[retención aplicada]])</f>
        <v>0</v>
      </c>
      <c r="Q1928" s="22">
        <f>+PROVEEDORES[[#This Row],[Rete Fuente %]]*(PROVEEDORES[[#This Row],[SUBTOTAL]]-PROVEEDORES[[#This Row],[descuento sobre subtotal]])</f>
        <v>0</v>
      </c>
      <c r="R1928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928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8" s="63">
        <f ca="1">IF(PROVEEDORES[[#This Row],[FECHA DE PAGO]]=0,TODAY()-PROVEEDORES[[#This Row],[FECHA DE FACTURACIÓN]]-PROVEEDORES[[#This Row],[PLAZO Días]],0)</f>
        <v>0</v>
      </c>
      <c r="U1928" s="104">
        <f>+VLOOKUP(PROVEEDORES[[#This Row],[PROVEEDOR]],Terceros!$A:$D,4,FALSE)</f>
        <v>0</v>
      </c>
      <c r="V1928" s="105">
        <f>+YEAR(PROVEEDORES[[#This Row],[FECHA DE FACTURACIÓN]])</f>
        <v>2023</v>
      </c>
      <c r="W1928" s="105">
        <f>+MATCH(PROVEEDORES[[#This Row],[año facturado]],Retenciones!$1:$1,0)</f>
        <v>6</v>
      </c>
      <c r="X1928" s="106">
        <f>+VLOOKUP(PROVEEDORES[[#This Row],[ID RETENCION]],Retenciones!$A$1:$O$25,PROVEEDORES[[#This Row],[indicador de columna]],FALSE)</f>
        <v>0</v>
      </c>
      <c r="Y1928" s="107">
        <f>+VLOOKUP(PROVEEDORES[[#This Row],[ID RETENCION]],Retenciones!$A$1:$O$25,2,FALSE)</f>
        <v>0</v>
      </c>
      <c r="Z1928" s="116" t="b">
        <f>OR(COUNTIF(PROVEEDORES[[#This Row],[PROVEEDOR]],"*"&amp;'Palabra no opera'!$A$2&amp;"*"))</f>
        <v>0</v>
      </c>
    </row>
    <row r="1929" spans="1:26" ht="22.35" customHeight="1" x14ac:dyDescent="0.3">
      <c r="A1929" s="67" t="str">
        <f>+IF(PROVEEDORES[[#This Row],[FECHA DE PAGO]]=PROVEEDORES[[#This Row],[FECHA DE FACTURACIÓN]],"DE CONTADO","CRÉDITO")</f>
        <v>CRÉDITO</v>
      </c>
      <c r="B1929" s="38" t="str">
        <f>+IF((PROVEEDORES[[#This Row],[FECHA DE PAGO]]-PROVEEDORES[[#This Row],[FECHA DE FACTURACIÓN]])&gt;PROVEEDORES[[#This Row],[PLAZO Días]],"PAGO VENCIDO")</f>
        <v>PAGO VENCIDO</v>
      </c>
      <c r="C1929" s="20">
        <f>+VLOOKUP(PROVEEDORES[[#This Row],[PROVEEDOR]],TERCEROS_INFO[#All],2,FALSE)</f>
        <v>30</v>
      </c>
      <c r="D1929" s="25">
        <f>+SUMIFS(PROVEEDORES[Total],PROVEEDORES[PROVEEDOR],PROVEEDORES[[#This Row],[PROVEEDOR]],PROVEEDORES[FECHA DE PAGO],"")</f>
        <v>0</v>
      </c>
      <c r="E1929" s="25"/>
      <c r="F1929" s="56" t="str">
        <f>+VLOOKUP(PROVEEDORES[[#This Row],[PROVEEDOR]],
                       Terceros!$A:$F,
                       5,
                       FALSE)</f>
        <v/>
      </c>
      <c r="G1929" s="68">
        <v>45201</v>
      </c>
      <c r="H1929" s="95" t="s">
        <v>362</v>
      </c>
      <c r="I1929" s="68">
        <v>45117</v>
      </c>
      <c r="J1929" s="35" t="s">
        <v>1791</v>
      </c>
      <c r="K1929" s="21">
        <v>1117000</v>
      </c>
      <c r="L1929" s="21"/>
      <c r="M1929" s="22">
        <f>(PROVEEDORES[[#This Row],[SUBTOTAL]]-PROVEEDORES[[#This Row],[descuento sobre subtotal]])*VLOOKUP(PROVEEDORES[[#This Row],[PROVEEDOR]],TERCEROS_INFO[#All],3,FALSE)</f>
        <v>0</v>
      </c>
      <c r="N1929" s="23"/>
      <c r="O1929" s="22">
        <f>+PROVEEDORES[[#This Row],[Descuento sobre subtotal %]]*(PROVEEDORES[[#This Row],[SUBTOTAL]]-PROVEEDORES[[#This Row],[descuento sobre subtotal]])</f>
        <v>0</v>
      </c>
      <c r="P1929" s="74">
        <f>+IF(PROVEEDORES[[#This Row],[SUBTOTAL]]&lt;PROVEEDORES[[#This Row],[base retencion]],0,PROVEEDORES[[#This Row],[retención aplicada]])</f>
        <v>0</v>
      </c>
      <c r="Q1929" s="22">
        <f>+PROVEEDORES[[#This Row],[Rete Fuente %]]*(PROVEEDORES[[#This Row],[SUBTOTAL]]-PROVEEDORES[[#This Row],[descuento sobre subtotal]])</f>
        <v>0</v>
      </c>
      <c r="R1929" s="21">
        <f>+PROVEEDORES[[#This Row],[SUBTOTAL]]+PROVEEDORES[[#This Row],[IVA 19%]]-PROVEEDORES[[#This Row],[descuento sobre subtotal]]-PROVEEDORES[[#This Row],[Descuento sobre subtotal $2]]-PROVEEDORES[[#This Row],[Rete Fuente $]]</f>
        <v>1117000</v>
      </c>
      <c r="S19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9" s="63">
        <f ca="1">IF(PROVEEDORES[[#This Row],[FECHA DE PAGO]]=0,TODAY()-PROVEEDORES[[#This Row],[FECHA DE FACTURACIÓN]]-PROVEEDORES[[#This Row],[PLAZO Días]],0)</f>
        <v>0</v>
      </c>
      <c r="U1929" s="104">
        <f>+VLOOKUP(PROVEEDORES[[#This Row],[PROVEEDOR]],Terceros!$A:$D,4,FALSE)</f>
        <v>0</v>
      </c>
      <c r="V1929" s="105">
        <f>+YEAR(PROVEEDORES[[#This Row],[FECHA DE FACTURACIÓN]])</f>
        <v>2023</v>
      </c>
      <c r="W1929" s="105">
        <f>+MATCH(PROVEEDORES[[#This Row],[año facturado]],Retenciones!$1:$1,0)</f>
        <v>6</v>
      </c>
      <c r="X1929" s="106">
        <f>+VLOOKUP(PROVEEDORES[[#This Row],[ID RETENCION]],Retenciones!$A$1:$O$25,PROVEEDORES[[#This Row],[indicador de columna]],FALSE)</f>
        <v>0</v>
      </c>
      <c r="Y1929" s="107">
        <f>+VLOOKUP(PROVEEDORES[[#This Row],[ID RETENCION]],Retenciones!$A$1:$O$25,2,FALSE)</f>
        <v>0</v>
      </c>
      <c r="Z1929" s="116" t="b">
        <f>OR(COUNTIF(PROVEEDORES[[#This Row],[PROVEEDOR]],"*"&amp;'Palabra no opera'!$A$2&amp;"*"))</f>
        <v>0</v>
      </c>
    </row>
    <row r="1930" spans="1:26" ht="22.35" customHeight="1" x14ac:dyDescent="0.3">
      <c r="A1930" s="67" t="str">
        <f>+IF(PROVEEDORES[[#This Row],[FECHA DE PAGO]]=PROVEEDORES[[#This Row],[FECHA DE FACTURACIÓN]],"DE CONTADO","CRÉDITO")</f>
        <v>DE CONTADO</v>
      </c>
      <c r="B1930" s="38" t="b">
        <f>+IF((PROVEEDORES[[#This Row],[FECHA DE PAGO]]-PROVEEDORES[[#This Row],[FECHA DE FACTURACIÓN]])&gt;PROVEEDORES[[#This Row],[PLAZO Días]],"PAGO VENCIDO")</f>
        <v>0</v>
      </c>
      <c r="C1930" s="20">
        <f>+VLOOKUP(PROVEEDORES[[#This Row],[PROVEEDOR]],TERCEROS_INFO[#All],2,FALSE)</f>
        <v>30</v>
      </c>
      <c r="D1930" s="25">
        <f>+SUMIFS(PROVEEDORES[Total],PROVEEDORES[PROVEEDOR],PROVEEDORES[[#This Row],[PROVEEDOR]],PROVEEDORES[FECHA DE PAGO],"")</f>
        <v>0</v>
      </c>
      <c r="E1930" s="25"/>
      <c r="F1930" s="56" t="str">
        <f>+VLOOKUP(PROVEEDORES[[#This Row],[PROVEEDOR]],
                       Terceros!$A:$F,
                       5,
                       FALSE)</f>
        <v/>
      </c>
      <c r="G1930" s="68">
        <v>45201</v>
      </c>
      <c r="H1930" s="26" t="s">
        <v>362</v>
      </c>
      <c r="I1930" s="68">
        <v>45201</v>
      </c>
      <c r="J1930" s="35" t="s">
        <v>2027</v>
      </c>
      <c r="K1930" s="21">
        <v>150000</v>
      </c>
      <c r="L1930" s="21"/>
      <c r="M1930" s="22">
        <f>(PROVEEDORES[[#This Row],[SUBTOTAL]]-PROVEEDORES[[#This Row],[descuento sobre subtotal]])*VLOOKUP(PROVEEDORES[[#This Row],[PROVEEDOR]],TERCEROS_INFO[#All],3,FALSE)</f>
        <v>0</v>
      </c>
      <c r="N1930" s="23"/>
      <c r="O1930" s="22">
        <f>+PROVEEDORES[[#This Row],[Descuento sobre subtotal %]]*(PROVEEDORES[[#This Row],[SUBTOTAL]]-PROVEEDORES[[#This Row],[descuento sobre subtotal]])</f>
        <v>0</v>
      </c>
      <c r="P1930" s="74">
        <f>+IF(PROVEEDORES[[#This Row],[SUBTOTAL]]&lt;PROVEEDORES[[#This Row],[base retencion]],0,PROVEEDORES[[#This Row],[retención aplicada]])</f>
        <v>0</v>
      </c>
      <c r="Q1930" s="22">
        <f>+PROVEEDORES[[#This Row],[Rete Fuente %]]*(PROVEEDORES[[#This Row],[SUBTOTAL]]-PROVEEDORES[[#This Row],[descuento sobre subtotal]])</f>
        <v>0</v>
      </c>
      <c r="R1930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19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0" s="63">
        <f ca="1">IF(PROVEEDORES[[#This Row],[FECHA DE PAGO]]=0,TODAY()-PROVEEDORES[[#This Row],[FECHA DE FACTURACIÓN]]-PROVEEDORES[[#This Row],[PLAZO Días]],0)</f>
        <v>0</v>
      </c>
      <c r="U1930" s="104">
        <f>+VLOOKUP(PROVEEDORES[[#This Row],[PROVEEDOR]],Terceros!$A:$D,4,FALSE)</f>
        <v>0</v>
      </c>
      <c r="V1930" s="105">
        <f>+YEAR(PROVEEDORES[[#This Row],[FECHA DE FACTURACIÓN]])</f>
        <v>2023</v>
      </c>
      <c r="W1930" s="105">
        <f>+MATCH(PROVEEDORES[[#This Row],[año facturado]],Retenciones!$1:$1,0)</f>
        <v>6</v>
      </c>
      <c r="X1930" s="106">
        <f>+VLOOKUP(PROVEEDORES[[#This Row],[ID RETENCION]],Retenciones!$A$1:$O$25,PROVEEDORES[[#This Row],[indicador de columna]],FALSE)</f>
        <v>0</v>
      </c>
      <c r="Y1930" s="107">
        <f>+VLOOKUP(PROVEEDORES[[#This Row],[ID RETENCION]],Retenciones!$A$1:$O$25,2,FALSE)</f>
        <v>0</v>
      </c>
      <c r="Z1930" s="116" t="b">
        <f>OR(COUNTIF(PROVEEDORES[[#This Row],[PROVEEDOR]],"*"&amp;'Palabra no opera'!$A$2&amp;"*"))</f>
        <v>0</v>
      </c>
    </row>
    <row r="1931" spans="1:26" ht="22.35" customHeight="1" x14ac:dyDescent="0.3">
      <c r="A1931" s="67" t="str">
        <f>+IF(PROVEEDORES[[#This Row],[FECHA DE PAGO]]=PROVEEDORES[[#This Row],[FECHA DE FACTURACIÓN]],"DE CONTADO","CRÉDITO")</f>
        <v>DE CONTADO</v>
      </c>
      <c r="B1931" s="38" t="b">
        <f>+IF((PROVEEDORES[[#This Row],[FECHA DE PAGO]]-PROVEEDORES[[#This Row],[FECHA DE FACTURACIÓN]])&gt;PROVEEDORES[[#This Row],[PLAZO Días]],"PAGO VENCIDO")</f>
        <v>0</v>
      </c>
      <c r="C1931" s="20">
        <f>+VLOOKUP(PROVEEDORES[[#This Row],[PROVEEDOR]],TERCEROS_INFO[#All],2,FALSE)</f>
        <v>30</v>
      </c>
      <c r="D1931" s="25">
        <f>+SUMIFS(PROVEEDORES[Total],PROVEEDORES[PROVEEDOR],PROVEEDORES[[#This Row],[PROVEEDOR]],PROVEEDORES[FECHA DE PAGO],"")</f>
        <v>0</v>
      </c>
      <c r="E1931" s="25"/>
      <c r="F1931" s="56" t="str">
        <f>+VLOOKUP(PROVEEDORES[[#This Row],[PROVEEDOR]],
                       Terceros!$A:$F,
                       5,
                       FALSE)</f>
        <v/>
      </c>
      <c r="G1931" s="68">
        <v>45201</v>
      </c>
      <c r="H1931" s="26" t="s">
        <v>362</v>
      </c>
      <c r="I1931" s="68">
        <v>45201</v>
      </c>
      <c r="J1931" s="35" t="s">
        <v>2028</v>
      </c>
      <c r="K1931" s="21">
        <v>588000</v>
      </c>
      <c r="L1931" s="21"/>
      <c r="M1931" s="22">
        <f>(PROVEEDORES[[#This Row],[SUBTOTAL]]-PROVEEDORES[[#This Row],[descuento sobre subtotal]])*VLOOKUP(PROVEEDORES[[#This Row],[PROVEEDOR]],TERCEROS_INFO[#All],3,FALSE)</f>
        <v>0</v>
      </c>
      <c r="N1931" s="23"/>
      <c r="O1931" s="22">
        <f>+PROVEEDORES[[#This Row],[Descuento sobre subtotal %]]*(PROVEEDORES[[#This Row],[SUBTOTAL]]-PROVEEDORES[[#This Row],[descuento sobre subtotal]])</f>
        <v>0</v>
      </c>
      <c r="P1931" s="74">
        <f>+IF(PROVEEDORES[[#This Row],[SUBTOTAL]]&lt;PROVEEDORES[[#This Row],[base retencion]],0,PROVEEDORES[[#This Row],[retención aplicada]])</f>
        <v>0</v>
      </c>
      <c r="Q1931" s="22">
        <f>+PROVEEDORES[[#This Row],[Rete Fuente %]]*(PROVEEDORES[[#This Row],[SUBTOTAL]]-PROVEEDORES[[#This Row],[descuento sobre subtotal]])</f>
        <v>0</v>
      </c>
      <c r="R1931" s="21">
        <f>+PROVEEDORES[[#This Row],[SUBTOTAL]]+PROVEEDORES[[#This Row],[IVA 19%]]-PROVEEDORES[[#This Row],[descuento sobre subtotal]]-PROVEEDORES[[#This Row],[Descuento sobre subtotal $2]]-PROVEEDORES[[#This Row],[Rete Fuente $]]</f>
        <v>588000</v>
      </c>
      <c r="S19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1" s="63">
        <f ca="1">IF(PROVEEDORES[[#This Row],[FECHA DE PAGO]]=0,TODAY()-PROVEEDORES[[#This Row],[FECHA DE FACTURACIÓN]]-PROVEEDORES[[#This Row],[PLAZO Días]],0)</f>
        <v>0</v>
      </c>
      <c r="U1931" s="104">
        <f>+VLOOKUP(PROVEEDORES[[#This Row],[PROVEEDOR]],Terceros!$A:$D,4,FALSE)</f>
        <v>0</v>
      </c>
      <c r="V1931" s="105">
        <f>+YEAR(PROVEEDORES[[#This Row],[FECHA DE FACTURACIÓN]])</f>
        <v>2023</v>
      </c>
      <c r="W1931" s="105">
        <f>+MATCH(PROVEEDORES[[#This Row],[año facturado]],Retenciones!$1:$1,0)</f>
        <v>6</v>
      </c>
      <c r="X1931" s="106">
        <f>+VLOOKUP(PROVEEDORES[[#This Row],[ID RETENCION]],Retenciones!$A$1:$O$25,PROVEEDORES[[#This Row],[indicador de columna]],FALSE)</f>
        <v>0</v>
      </c>
      <c r="Y1931" s="107">
        <f>+VLOOKUP(PROVEEDORES[[#This Row],[ID RETENCION]],Retenciones!$A$1:$O$25,2,FALSE)</f>
        <v>0</v>
      </c>
      <c r="Z1931" s="116" t="b">
        <f>OR(COUNTIF(PROVEEDORES[[#This Row],[PROVEEDOR]],"*"&amp;'Palabra no opera'!$A$2&amp;"*"))</f>
        <v>0</v>
      </c>
    </row>
    <row r="1932" spans="1:26" ht="22.35" customHeight="1" x14ac:dyDescent="0.3">
      <c r="A1932" s="67" t="str">
        <f>+IF(PROVEEDORES[[#This Row],[FECHA DE PAGO]]=PROVEEDORES[[#This Row],[FECHA DE FACTURACIÓN]],"DE CONTADO","CRÉDITO")</f>
        <v>CRÉDITO</v>
      </c>
      <c r="B1932" s="38" t="str">
        <f>+IF((PROVEEDORES[[#This Row],[FECHA DE PAGO]]-PROVEEDORES[[#This Row],[FECHA DE FACTURACIÓN]])&gt;PROVEEDORES[[#This Row],[PLAZO Días]],"PAGO VENCIDO")</f>
        <v>PAGO VENCIDO</v>
      </c>
      <c r="C1932" s="20">
        <f>+VLOOKUP(PROVEEDORES[[#This Row],[PROVEEDOR]],TERCEROS_INFO[#All],2,FALSE)</f>
        <v>30</v>
      </c>
      <c r="D1932" s="25">
        <f>+SUMIFS(PROVEEDORES[Total],PROVEEDORES[PROVEEDOR],PROVEEDORES[[#This Row],[PROVEEDOR]],PROVEEDORES[FECHA DE PAGO],"")</f>
        <v>5480000</v>
      </c>
      <c r="E1932" s="25"/>
      <c r="F1932" s="56" t="str">
        <f>+VLOOKUP(PROVEEDORES[[#This Row],[PROVEEDOR]],
                       Terceros!$A:$F,
                       5,
                       FALSE)</f>
        <v/>
      </c>
      <c r="G1932" s="68">
        <v>45201</v>
      </c>
      <c r="H1932" s="95" t="s">
        <v>369</v>
      </c>
      <c r="I1932" s="68">
        <v>45117</v>
      </c>
      <c r="J1932" s="35">
        <v>8943</v>
      </c>
      <c r="K1932" s="21">
        <v>3668500</v>
      </c>
      <c r="L1932" s="21"/>
      <c r="M1932" s="22">
        <f>(PROVEEDORES[[#This Row],[SUBTOTAL]]-PROVEEDORES[[#This Row],[descuento sobre subtotal]])*VLOOKUP(PROVEEDORES[[#This Row],[PROVEEDOR]],TERCEROS_INFO[#All],3,FALSE)</f>
        <v>0</v>
      </c>
      <c r="N1932" s="23"/>
      <c r="O1932" s="22">
        <f>+PROVEEDORES[[#This Row],[Descuento sobre subtotal %]]*(PROVEEDORES[[#This Row],[SUBTOTAL]]-PROVEEDORES[[#This Row],[descuento sobre subtotal]])</f>
        <v>0</v>
      </c>
      <c r="P1932" s="74">
        <f>+IF(PROVEEDORES[[#This Row],[SUBTOTAL]]&lt;PROVEEDORES[[#This Row],[base retencion]],0,PROVEEDORES[[#This Row],[retención aplicada]])</f>
        <v>0</v>
      </c>
      <c r="Q1932" s="22">
        <f>+PROVEEDORES[[#This Row],[Rete Fuente %]]*(PROVEEDORES[[#This Row],[SUBTOTAL]]-PROVEEDORES[[#This Row],[descuento sobre subtotal]])</f>
        <v>0</v>
      </c>
      <c r="R1932" s="21">
        <f>+PROVEEDORES[[#This Row],[SUBTOTAL]]+PROVEEDORES[[#This Row],[IVA 19%]]-PROVEEDORES[[#This Row],[descuento sobre subtotal]]-PROVEEDORES[[#This Row],[Descuento sobre subtotal $2]]-PROVEEDORES[[#This Row],[Rete Fuente $]]</f>
        <v>3668500</v>
      </c>
      <c r="S19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2" s="63">
        <f ca="1">IF(PROVEEDORES[[#This Row],[FECHA DE PAGO]]=0,TODAY()-PROVEEDORES[[#This Row],[FECHA DE FACTURACIÓN]]-PROVEEDORES[[#This Row],[PLAZO Días]],0)</f>
        <v>0</v>
      </c>
      <c r="U1932" s="104">
        <f>+VLOOKUP(PROVEEDORES[[#This Row],[PROVEEDOR]],Terceros!$A:$D,4,FALSE)</f>
        <v>0</v>
      </c>
      <c r="V1932" s="105">
        <f>+YEAR(PROVEEDORES[[#This Row],[FECHA DE FACTURACIÓN]])</f>
        <v>2023</v>
      </c>
      <c r="W1932" s="105">
        <f>+MATCH(PROVEEDORES[[#This Row],[año facturado]],Retenciones!$1:$1,0)</f>
        <v>6</v>
      </c>
      <c r="X1932" s="106">
        <f>+VLOOKUP(PROVEEDORES[[#This Row],[ID RETENCION]],Retenciones!$A$1:$O$25,PROVEEDORES[[#This Row],[indicador de columna]],FALSE)</f>
        <v>0</v>
      </c>
      <c r="Y1932" s="107">
        <f>+VLOOKUP(PROVEEDORES[[#This Row],[ID RETENCION]],Retenciones!$A$1:$O$25,2,FALSE)</f>
        <v>0</v>
      </c>
      <c r="Z1932" s="116" t="b">
        <f>OR(COUNTIF(PROVEEDORES[[#This Row],[PROVEEDOR]],"*"&amp;'Palabra no opera'!$A$2&amp;"*"))</f>
        <v>0</v>
      </c>
    </row>
    <row r="1933" spans="1:26" ht="22.35" customHeight="1" x14ac:dyDescent="0.3">
      <c r="A1933" s="67" t="str">
        <f>+IF(PROVEEDORES[[#This Row],[FECHA DE PAGO]]=PROVEEDORES[[#This Row],[FECHA DE FACTURACIÓN]],"DE CONTADO","CRÉDITO")</f>
        <v>DE CONTADO</v>
      </c>
      <c r="B1933" s="38" t="b">
        <f>+IF((PROVEEDORES[[#This Row],[FECHA DE PAGO]]-PROVEEDORES[[#This Row],[FECHA DE FACTURACIÓN]])&gt;PROVEEDORES[[#This Row],[PLAZO Días]],"PAGO VENCIDO")</f>
        <v>0</v>
      </c>
      <c r="C1933" s="20">
        <f>+VLOOKUP(PROVEEDORES[[#This Row],[PROVEEDOR]],TERCEROS_INFO[#All],2,FALSE)</f>
        <v>30</v>
      </c>
      <c r="D1933" s="25">
        <f>+SUMIFS(PROVEEDORES[Total],PROVEEDORES[PROVEEDOR],PROVEEDORES[[#This Row],[PROVEEDOR]],PROVEEDORES[FECHA DE PAGO],"")</f>
        <v>0</v>
      </c>
      <c r="E1933" s="25"/>
      <c r="F1933" s="56" t="str">
        <f>+VLOOKUP(PROVEEDORES[[#This Row],[PROVEEDOR]],
                       Terceros!$A:$F,
                       5,
                       FALSE)</f>
        <v/>
      </c>
      <c r="G1933" s="68">
        <v>45201</v>
      </c>
      <c r="H1933" s="26" t="s">
        <v>390</v>
      </c>
      <c r="I1933" s="68">
        <v>45201</v>
      </c>
      <c r="J1933" s="35"/>
      <c r="K1933" s="21">
        <v>1031000</v>
      </c>
      <c r="L1933" s="21"/>
      <c r="M1933" s="22">
        <f>(PROVEEDORES[[#This Row],[SUBTOTAL]]-PROVEEDORES[[#This Row],[descuento sobre subtotal]])*VLOOKUP(PROVEEDORES[[#This Row],[PROVEEDOR]],TERCEROS_INFO[#All],3,FALSE)</f>
        <v>0</v>
      </c>
      <c r="N1933" s="23"/>
      <c r="O1933" s="22">
        <f>+PROVEEDORES[[#This Row],[Descuento sobre subtotal %]]*(PROVEEDORES[[#This Row],[SUBTOTAL]]-PROVEEDORES[[#This Row],[descuento sobre subtotal]])</f>
        <v>0</v>
      </c>
      <c r="P1933" s="74">
        <f>+IF(PROVEEDORES[[#This Row],[SUBTOTAL]]&lt;PROVEEDORES[[#This Row],[base retencion]],0,PROVEEDORES[[#This Row],[retención aplicada]])</f>
        <v>0</v>
      </c>
      <c r="Q1933" s="22">
        <f>+PROVEEDORES[[#This Row],[Rete Fuente %]]*(PROVEEDORES[[#This Row],[SUBTOTAL]]-PROVEEDORES[[#This Row],[descuento sobre subtotal]])</f>
        <v>0</v>
      </c>
      <c r="R1933" s="21">
        <f>+PROVEEDORES[[#This Row],[SUBTOTAL]]+PROVEEDORES[[#This Row],[IVA 19%]]-PROVEEDORES[[#This Row],[descuento sobre subtotal]]-PROVEEDORES[[#This Row],[Descuento sobre subtotal $2]]-PROVEEDORES[[#This Row],[Rete Fuente $]]</f>
        <v>1031000</v>
      </c>
      <c r="S19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3" s="63">
        <f ca="1">IF(PROVEEDORES[[#This Row],[FECHA DE PAGO]]=0,TODAY()-PROVEEDORES[[#This Row],[FECHA DE FACTURACIÓN]]-PROVEEDORES[[#This Row],[PLAZO Días]],0)</f>
        <v>0</v>
      </c>
      <c r="U1933" s="104">
        <f>+VLOOKUP(PROVEEDORES[[#This Row],[PROVEEDOR]],Terceros!$A:$D,4,FALSE)</f>
        <v>0</v>
      </c>
      <c r="V1933" s="105">
        <f>+YEAR(PROVEEDORES[[#This Row],[FECHA DE FACTURACIÓN]])</f>
        <v>2023</v>
      </c>
      <c r="W1933" s="105">
        <f>+MATCH(PROVEEDORES[[#This Row],[año facturado]],Retenciones!$1:$1,0)</f>
        <v>6</v>
      </c>
      <c r="X1933" s="106">
        <f>+VLOOKUP(PROVEEDORES[[#This Row],[ID RETENCION]],Retenciones!$A$1:$O$25,PROVEEDORES[[#This Row],[indicador de columna]],FALSE)</f>
        <v>0</v>
      </c>
      <c r="Y1933" s="107">
        <f>+VLOOKUP(PROVEEDORES[[#This Row],[ID RETENCION]],Retenciones!$A$1:$O$25,2,FALSE)</f>
        <v>0</v>
      </c>
      <c r="Z1933" s="116" t="b">
        <f>OR(COUNTIF(PROVEEDORES[[#This Row],[PROVEEDOR]],"*"&amp;'Palabra no opera'!$A$2&amp;"*"))</f>
        <v>0</v>
      </c>
    </row>
    <row r="1934" spans="1:26" ht="22.35" customHeight="1" x14ac:dyDescent="0.3">
      <c r="A1934" s="67" t="str">
        <f>+IF(PROVEEDORES[[#This Row],[FECHA DE PAGO]]=PROVEEDORES[[#This Row],[FECHA DE FACTURACIÓN]],"DE CONTADO","CRÉDITO")</f>
        <v>CRÉDITO</v>
      </c>
      <c r="B1934" s="38" t="str">
        <f>+IF((PROVEEDORES[[#This Row],[FECHA DE PAGO]]-PROVEEDORES[[#This Row],[FECHA DE FACTURACIÓN]])&gt;PROVEEDORES[[#This Row],[PLAZO Días]],"PAGO VENCIDO")</f>
        <v>PAGO VENCIDO</v>
      </c>
      <c r="C1934" s="20">
        <f>+VLOOKUP(PROVEEDORES[[#This Row],[PROVEEDOR]],TERCEROS_INFO[#All],2,FALSE)</f>
        <v>30</v>
      </c>
      <c r="D1934" s="25">
        <f>+SUMIFS(PROVEEDORES[Total],PROVEEDORES[PROVEEDOR],PROVEEDORES[[#This Row],[PROVEEDOR]],PROVEEDORES[FECHA DE PAGO],"")</f>
        <v>3209330.35</v>
      </c>
      <c r="E1934" s="25"/>
      <c r="F1934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934" s="68">
        <v>45201</v>
      </c>
      <c r="H1934" s="26" t="s">
        <v>282</v>
      </c>
      <c r="I1934" s="68">
        <v>45139</v>
      </c>
      <c r="J1934" s="35" t="s">
        <v>1873</v>
      </c>
      <c r="K1934" s="21">
        <v>779495</v>
      </c>
      <c r="L1934" s="21"/>
      <c r="M1934" s="22">
        <f>(PROVEEDORES[[#This Row],[SUBTOTAL]]-PROVEEDORES[[#This Row],[descuento sobre subtotal]])*VLOOKUP(PROVEEDORES[[#This Row],[PROVEEDOR]],TERCEROS_INFO[#All],3,FALSE)</f>
        <v>148104.04999999999</v>
      </c>
      <c r="N1934" s="23"/>
      <c r="O1934" s="22">
        <f>+PROVEEDORES[[#This Row],[Descuento sobre subtotal %]]*(PROVEEDORES[[#This Row],[SUBTOTAL]]-PROVEEDORES[[#This Row],[descuento sobre subtotal]])</f>
        <v>0</v>
      </c>
      <c r="P1934" s="74">
        <f>+IF(PROVEEDORES[[#This Row],[SUBTOTAL]]&lt;PROVEEDORES[[#This Row],[base retencion]],0,PROVEEDORES[[#This Row],[retención aplicada]])</f>
        <v>0</v>
      </c>
      <c r="Q1934" s="22">
        <f>+PROVEEDORES[[#This Row],[Rete Fuente %]]*(PROVEEDORES[[#This Row],[SUBTOTAL]]-PROVEEDORES[[#This Row],[descuento sobre subtotal]])</f>
        <v>0</v>
      </c>
      <c r="R1934" s="21">
        <f>+PROVEEDORES[[#This Row],[SUBTOTAL]]+PROVEEDORES[[#This Row],[IVA 19%]]-PROVEEDORES[[#This Row],[descuento sobre subtotal]]-PROVEEDORES[[#This Row],[Descuento sobre subtotal $2]]-PROVEEDORES[[#This Row],[Rete Fuente $]]</f>
        <v>927599.05</v>
      </c>
      <c r="S193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4" s="63">
        <f ca="1">IF(PROVEEDORES[[#This Row],[FECHA DE PAGO]]=0,TODAY()-PROVEEDORES[[#This Row],[FECHA DE FACTURACIÓN]]-PROVEEDORES[[#This Row],[PLAZO Días]],0)</f>
        <v>0</v>
      </c>
      <c r="U1934" s="104" t="str">
        <f>+VLOOKUP(PROVEEDORES[[#This Row],[PROVEEDOR]],Terceros!$A:$D,4,FALSE)</f>
        <v>2,5% con base</v>
      </c>
      <c r="V1934" s="105">
        <f>+YEAR(PROVEEDORES[[#This Row],[FECHA DE FACTURACIÓN]])</f>
        <v>2023</v>
      </c>
      <c r="W1934" s="105">
        <f>+MATCH(PROVEEDORES[[#This Row],[año facturado]],Retenciones!$1:$1,0)</f>
        <v>6</v>
      </c>
      <c r="X1934" s="106">
        <f>+VLOOKUP(PROVEEDORES[[#This Row],[ID RETENCION]],Retenciones!$A$1:$O$25,PROVEEDORES[[#This Row],[indicador de columna]],FALSE)</f>
        <v>1145000</v>
      </c>
      <c r="Y1934" s="107">
        <f>+VLOOKUP(PROVEEDORES[[#This Row],[ID RETENCION]],Retenciones!$A$1:$O$25,2,FALSE)</f>
        <v>2.5000000000000001E-2</v>
      </c>
      <c r="Z1934" s="116" t="b">
        <f>OR(COUNTIF(PROVEEDORES[[#This Row],[PROVEEDOR]],"*"&amp;'Palabra no opera'!$A$2&amp;"*"))</f>
        <v>0</v>
      </c>
    </row>
    <row r="1935" spans="1:26" ht="22.35" customHeight="1" x14ac:dyDescent="0.3">
      <c r="A1935" s="67" t="str">
        <f>+IF(PROVEEDORES[[#This Row],[FECHA DE PAGO]]=PROVEEDORES[[#This Row],[FECHA DE FACTURACIÓN]],"DE CONTADO","CRÉDITO")</f>
        <v>CRÉDITO</v>
      </c>
      <c r="B1935" s="38" t="str">
        <f>+IF((PROVEEDORES[[#This Row],[FECHA DE PAGO]]-PROVEEDORES[[#This Row],[FECHA DE FACTURACIÓN]])&gt;PROVEEDORES[[#This Row],[PLAZO Días]],"PAGO VENCIDO")</f>
        <v>PAGO VENCIDO</v>
      </c>
      <c r="C1935" s="20">
        <f>+VLOOKUP(PROVEEDORES[[#This Row],[PROVEEDOR]],TERCEROS_INFO[#All],2,FALSE)</f>
        <v>30</v>
      </c>
      <c r="D1935" s="25">
        <f>+SUMIFS(PROVEEDORES[Total],PROVEEDORES[PROVEEDOR],PROVEEDORES[[#This Row],[PROVEEDOR]],PROVEEDORES[FECHA DE PAGO],"")</f>
        <v>0</v>
      </c>
      <c r="E1935" s="25"/>
      <c r="F1935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935" s="68">
        <v>45201</v>
      </c>
      <c r="H1935" s="26" t="s">
        <v>809</v>
      </c>
      <c r="I1935" s="68">
        <v>45170</v>
      </c>
      <c r="J1935" s="35" t="s">
        <v>1972</v>
      </c>
      <c r="K1935" s="21">
        <v>1796000</v>
      </c>
      <c r="L1935" s="21"/>
      <c r="M1935" s="22">
        <f>(PROVEEDORES[[#This Row],[SUBTOTAL]]-PROVEEDORES[[#This Row],[descuento sobre subtotal]])*VLOOKUP(PROVEEDORES[[#This Row],[PROVEEDOR]],TERCEROS_INFO[#All],3,FALSE)</f>
        <v>341240</v>
      </c>
      <c r="N1935" s="23">
        <v>0.1</v>
      </c>
      <c r="O1935" s="22">
        <f>+PROVEEDORES[[#This Row],[Descuento sobre subtotal %]]*(PROVEEDORES[[#This Row],[SUBTOTAL]]-PROVEEDORES[[#This Row],[descuento sobre subtotal]])</f>
        <v>179600</v>
      </c>
      <c r="P1935" s="74">
        <f>+IF(PROVEEDORES[[#This Row],[SUBTOTAL]]&lt;PROVEEDORES[[#This Row],[base retencion]],0,PROVEEDORES[[#This Row],[retención aplicada]])</f>
        <v>2.5000000000000001E-2</v>
      </c>
      <c r="Q1935" s="22">
        <f>+PROVEEDORES[[#This Row],[Rete Fuente %]]*(PROVEEDORES[[#This Row],[SUBTOTAL]]-PROVEEDORES[[#This Row],[descuento sobre subtotal]])</f>
        <v>44900</v>
      </c>
      <c r="R1935" s="21">
        <f>+PROVEEDORES[[#This Row],[SUBTOTAL]]+PROVEEDORES[[#This Row],[IVA 19%]]-PROVEEDORES[[#This Row],[descuento sobre subtotal]]-PROVEEDORES[[#This Row],[Descuento sobre subtotal $2]]-PROVEEDORES[[#This Row],[Rete Fuente $]]</f>
        <v>1912740</v>
      </c>
      <c r="S193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5" s="63">
        <f ca="1">IF(PROVEEDORES[[#This Row],[FECHA DE PAGO]]=0,TODAY()-PROVEEDORES[[#This Row],[FECHA DE FACTURACIÓN]]-PROVEEDORES[[#This Row],[PLAZO Días]],0)</f>
        <v>0</v>
      </c>
      <c r="U1935" s="104" t="str">
        <f>+VLOOKUP(PROVEEDORES[[#This Row],[PROVEEDOR]],Terceros!$A:$D,4,FALSE)</f>
        <v>2,5% con base</v>
      </c>
      <c r="V1935" s="105">
        <f>+YEAR(PROVEEDORES[[#This Row],[FECHA DE FACTURACIÓN]])</f>
        <v>2023</v>
      </c>
      <c r="W1935" s="105">
        <f>+MATCH(PROVEEDORES[[#This Row],[año facturado]],Retenciones!$1:$1,0)</f>
        <v>6</v>
      </c>
      <c r="X1935" s="106">
        <f>+VLOOKUP(PROVEEDORES[[#This Row],[ID RETENCION]],Retenciones!$A$1:$O$25,PROVEEDORES[[#This Row],[indicador de columna]],FALSE)</f>
        <v>1145000</v>
      </c>
      <c r="Y1935" s="107">
        <f>+VLOOKUP(PROVEEDORES[[#This Row],[ID RETENCION]],Retenciones!$A$1:$O$25,2,FALSE)</f>
        <v>2.5000000000000001E-2</v>
      </c>
      <c r="Z1935" s="116" t="b">
        <f>OR(COUNTIF(PROVEEDORES[[#This Row],[PROVEEDOR]],"*"&amp;'Palabra no opera'!$A$2&amp;"*"))</f>
        <v>0</v>
      </c>
    </row>
    <row r="1936" spans="1:26" ht="22.35" customHeight="1" x14ac:dyDescent="0.3">
      <c r="A1936" s="333" t="str">
        <f>+IF(PROVEEDORES[[#This Row],[FECHA DE PAGO]]=PROVEEDORES[[#This Row],[FECHA DE FACTURACIÓN]],"DE CONTADO","CRÉDITO")</f>
        <v>CRÉDITO</v>
      </c>
      <c r="B1936" s="38" t="str">
        <f>+IF((PROVEEDORES[[#This Row],[FECHA DE PAGO]]-PROVEEDORES[[#This Row],[FECHA DE FACTURACIÓN]])&gt;PROVEEDORES[[#This Row],[PLAZO Días]],"PAGO VENCIDO")</f>
        <v>PAGO VENCIDO</v>
      </c>
      <c r="C1936" s="20">
        <f>+VLOOKUP(PROVEEDORES[[#This Row],[PROVEEDOR]],TERCEROS_INFO[#All],2,FALSE)</f>
        <v>30</v>
      </c>
      <c r="D1936" s="25">
        <f>+SUMIFS(PROVEEDORES[Total],PROVEEDORES[PROVEEDOR],PROVEEDORES[[#This Row],[PROVEEDOR]],PROVEEDORES[FECHA DE PAGO],"")</f>
        <v>5538410</v>
      </c>
      <c r="E1936" s="25"/>
      <c r="F1936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936" s="68">
        <v>45201</v>
      </c>
      <c r="H1936" s="26" t="s">
        <v>1460</v>
      </c>
      <c r="I1936" s="68">
        <v>45114</v>
      </c>
      <c r="J1936" s="35" t="s">
        <v>1811</v>
      </c>
      <c r="K1936" s="21">
        <v>1519000</v>
      </c>
      <c r="L1936" s="21"/>
      <c r="M1936" s="22">
        <f>(PROVEEDORES[[#This Row],[SUBTOTAL]]-PROVEEDORES[[#This Row],[descuento sobre subtotal]])*VLOOKUP(PROVEEDORES[[#This Row],[PROVEEDOR]],TERCEROS_INFO[#All],3,FALSE)</f>
        <v>288610</v>
      </c>
      <c r="N1936" s="23"/>
      <c r="O1936" s="22">
        <f>+PROVEEDORES[[#This Row],[Descuento sobre subtotal %]]*(PROVEEDORES[[#This Row],[SUBTOTAL]]-PROVEEDORES[[#This Row],[descuento sobre subtotal]])</f>
        <v>0</v>
      </c>
      <c r="P1936" s="74">
        <f>+IF(PROVEEDORES[[#This Row],[SUBTOTAL]]&lt;PROVEEDORES[[#This Row],[base retencion]],0,PROVEEDORES[[#This Row],[retención aplicada]])</f>
        <v>2.5000000000000001E-2</v>
      </c>
      <c r="Q1936" s="22">
        <f>+PROVEEDORES[[#This Row],[Rete Fuente %]]*(PROVEEDORES[[#This Row],[SUBTOTAL]]-PROVEEDORES[[#This Row],[descuento sobre subtotal]])</f>
        <v>37975</v>
      </c>
      <c r="R1936" s="21">
        <f>+PROVEEDORES[[#This Row],[SUBTOTAL]]+PROVEEDORES[[#This Row],[IVA 19%]]-PROVEEDORES[[#This Row],[descuento sobre subtotal]]-PROVEEDORES[[#This Row],[Descuento sobre subtotal $2]]-PROVEEDORES[[#This Row],[Rete Fuente $]]</f>
        <v>1769635</v>
      </c>
      <c r="S1936" s="3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6" s="63">
        <f ca="1">IF(PROVEEDORES[[#This Row],[FECHA DE PAGO]]=0,TODAY()-PROVEEDORES[[#This Row],[FECHA DE FACTURACIÓN]]-PROVEEDORES[[#This Row],[PLAZO Días]],0)</f>
        <v>0</v>
      </c>
      <c r="U1936" s="104" t="str">
        <f>+VLOOKUP(PROVEEDORES[[#This Row],[PROVEEDOR]],Terceros!$A:$D,4,FALSE)</f>
        <v>2,5% con base</v>
      </c>
      <c r="V1936" s="105">
        <f>+YEAR(PROVEEDORES[[#This Row],[FECHA DE FACTURACIÓN]])</f>
        <v>2023</v>
      </c>
      <c r="W1936" s="105">
        <f>+MATCH(PROVEEDORES[[#This Row],[año facturado]],Retenciones!$1:$1,0)</f>
        <v>6</v>
      </c>
      <c r="X1936" s="106">
        <f>+VLOOKUP(PROVEEDORES[[#This Row],[ID RETENCION]],Retenciones!$A$1:$O$25,PROVEEDORES[[#This Row],[indicador de columna]],FALSE)</f>
        <v>1145000</v>
      </c>
      <c r="Y1936" s="107">
        <f>+VLOOKUP(PROVEEDORES[[#This Row],[ID RETENCION]],Retenciones!$A$1:$O$25,2,FALSE)</f>
        <v>2.5000000000000001E-2</v>
      </c>
      <c r="Z1936" s="116" t="b">
        <f>OR(COUNTIF(PROVEEDORES[[#This Row],[PROVEEDOR]],"*"&amp;'Palabra no opera'!$A$2&amp;"*"))</f>
        <v>0</v>
      </c>
    </row>
    <row r="1937" spans="1:26" ht="22.35" customHeight="1" x14ac:dyDescent="0.3">
      <c r="A1937" s="67" t="str">
        <f>+IF(PROVEEDORES[[#This Row],[FECHA DE PAGO]]=PROVEEDORES[[#This Row],[FECHA DE FACTURACIÓN]],"DE CONTADO","CRÉDITO")</f>
        <v>CRÉDITO</v>
      </c>
      <c r="B1937" s="38" t="str">
        <f>+IF((PROVEEDORES[[#This Row],[FECHA DE PAGO]]-PROVEEDORES[[#This Row],[FECHA DE FACTURACIÓN]])&gt;PROVEEDORES[[#This Row],[PLAZO Días]],"PAGO VENCIDO")</f>
        <v>PAGO VENCIDO</v>
      </c>
      <c r="C1937" s="20">
        <f>+VLOOKUP(PROVEEDORES[[#This Row],[PROVEEDOR]],TERCEROS_INFO[#All],2,FALSE)</f>
        <v>30</v>
      </c>
      <c r="D1937" s="25">
        <f>+SUMIFS(PROVEEDORES[Total],PROVEEDORES[PROVEEDOR],PROVEEDORES[[#This Row],[PROVEEDOR]],PROVEEDORES[FECHA DE PAGO],"")</f>
        <v>0</v>
      </c>
      <c r="E1937" s="25"/>
      <c r="F1937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937" s="68">
        <v>45201</v>
      </c>
      <c r="H1937" s="26" t="s">
        <v>248</v>
      </c>
      <c r="I1937" s="68">
        <v>45164</v>
      </c>
      <c r="J1937" s="35" t="s">
        <v>1910</v>
      </c>
      <c r="K1937" s="21">
        <v>6502674</v>
      </c>
      <c r="L1937" s="21"/>
      <c r="M1937" s="22">
        <f>(PROVEEDORES[[#This Row],[SUBTOTAL]]-PROVEEDORES[[#This Row],[descuento sobre subtotal]])*VLOOKUP(PROVEEDORES[[#This Row],[PROVEEDOR]],TERCEROS_INFO[#All],3,FALSE)</f>
        <v>1235508.06</v>
      </c>
      <c r="N1937" s="23"/>
      <c r="O1937" s="22">
        <f>+PROVEEDORES[[#This Row],[Descuento sobre subtotal %]]*(PROVEEDORES[[#This Row],[SUBTOTAL]]-PROVEEDORES[[#This Row],[descuento sobre subtotal]])</f>
        <v>0</v>
      </c>
      <c r="P1937" s="74">
        <f>+IF(PROVEEDORES[[#This Row],[SUBTOTAL]]&lt;PROVEEDORES[[#This Row],[base retencion]],0,PROVEEDORES[[#This Row],[retención aplicada]])</f>
        <v>0</v>
      </c>
      <c r="Q1937" s="22">
        <f>+PROVEEDORES[[#This Row],[Rete Fuente %]]*(PROVEEDORES[[#This Row],[SUBTOTAL]]-PROVEEDORES[[#This Row],[descuento sobre subtotal]])</f>
        <v>0</v>
      </c>
      <c r="R1937" s="21">
        <f>+PROVEEDORES[[#This Row],[SUBTOTAL]]+PROVEEDORES[[#This Row],[IVA 19%]]-PROVEEDORES[[#This Row],[descuento sobre subtotal]]-PROVEEDORES[[#This Row],[Descuento sobre subtotal $2]]-PROVEEDORES[[#This Row],[Rete Fuente $]]</f>
        <v>7738182.0600000005</v>
      </c>
      <c r="S193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7" s="63">
        <f ca="1">IF(PROVEEDORES[[#This Row],[FECHA DE PAGO]]=0,TODAY()-PROVEEDORES[[#This Row],[FECHA DE FACTURACIÓN]]-PROVEEDORES[[#This Row],[PLAZO Días]],0)</f>
        <v>0</v>
      </c>
      <c r="U1937" s="104">
        <f>+VLOOKUP(PROVEEDORES[[#This Row],[PROVEEDOR]],Terceros!$A:$D,4,FALSE)</f>
        <v>0</v>
      </c>
      <c r="V1937" s="105">
        <f>+YEAR(PROVEEDORES[[#This Row],[FECHA DE FACTURACIÓN]])</f>
        <v>2023</v>
      </c>
      <c r="W1937" s="105">
        <f>+MATCH(PROVEEDORES[[#This Row],[año facturado]],Retenciones!$1:$1,0)</f>
        <v>6</v>
      </c>
      <c r="X1937" s="106">
        <f>+VLOOKUP(PROVEEDORES[[#This Row],[ID RETENCION]],Retenciones!$A$1:$O$25,PROVEEDORES[[#This Row],[indicador de columna]],FALSE)</f>
        <v>0</v>
      </c>
      <c r="Y1937" s="107">
        <f>+VLOOKUP(PROVEEDORES[[#This Row],[ID RETENCION]],Retenciones!$A$1:$O$25,2,FALSE)</f>
        <v>0</v>
      </c>
      <c r="Z1937" s="116" t="b">
        <f>OR(COUNTIF(PROVEEDORES[[#This Row],[PROVEEDOR]],"*"&amp;'Palabra no opera'!$A$2&amp;"*"))</f>
        <v>0</v>
      </c>
    </row>
    <row r="1938" spans="1:26" ht="22.35" customHeight="1" x14ac:dyDescent="0.3">
      <c r="A1938" s="67" t="str">
        <f>+IF(PROVEEDORES[[#This Row],[FECHA DE PAGO]]=PROVEEDORES[[#This Row],[FECHA DE FACTURACIÓN]],"DE CONTADO","CRÉDITO")</f>
        <v>CRÉDITO</v>
      </c>
      <c r="B1938" s="38" t="str">
        <f>+IF((PROVEEDORES[[#This Row],[FECHA DE PAGO]]-PROVEEDORES[[#This Row],[FECHA DE FACTURACIÓN]])&gt;PROVEEDORES[[#This Row],[PLAZO Días]],"PAGO VENCIDO")</f>
        <v>PAGO VENCIDO</v>
      </c>
      <c r="C1938" s="20">
        <f>+VLOOKUP(PROVEEDORES[[#This Row],[PROVEEDOR]],TERCEROS_INFO[#All],2,FALSE)</f>
        <v>30</v>
      </c>
      <c r="D1938" s="25">
        <f>+SUMIFS(PROVEEDORES[Total],PROVEEDORES[PROVEEDOR],PROVEEDORES[[#This Row],[PROVEEDOR]],PROVEEDORES[FECHA DE PAGO],"")</f>
        <v>0</v>
      </c>
      <c r="E1938" s="25"/>
      <c r="F1938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938" s="68">
        <v>45201</v>
      </c>
      <c r="H1938" s="26" t="s">
        <v>248</v>
      </c>
      <c r="I1938" s="68">
        <v>45169</v>
      </c>
      <c r="J1938" s="35" t="s">
        <v>1963</v>
      </c>
      <c r="K1938" s="21">
        <v>-1748011</v>
      </c>
      <c r="L1938" s="21"/>
      <c r="M1938" s="22">
        <f>(PROVEEDORES[[#This Row],[SUBTOTAL]]-PROVEEDORES[[#This Row],[descuento sobre subtotal]])*VLOOKUP(PROVEEDORES[[#This Row],[PROVEEDOR]],TERCEROS_INFO[#All],3,FALSE)</f>
        <v>-332122.09000000003</v>
      </c>
      <c r="N1938" s="23"/>
      <c r="O1938" s="22">
        <f>+PROVEEDORES[[#This Row],[Descuento sobre subtotal %]]*(PROVEEDORES[[#This Row],[SUBTOTAL]]-PROVEEDORES[[#This Row],[descuento sobre subtotal]])</f>
        <v>0</v>
      </c>
      <c r="P1938" s="74">
        <f>+IF(PROVEEDORES[[#This Row],[SUBTOTAL]]&lt;PROVEEDORES[[#This Row],[base retencion]],0,PROVEEDORES[[#This Row],[retención aplicada]])</f>
        <v>0</v>
      </c>
      <c r="Q1938" s="22">
        <f>+PROVEEDORES[[#This Row],[Rete Fuente %]]*(PROVEEDORES[[#This Row],[SUBTOTAL]]-PROVEEDORES[[#This Row],[descuento sobre subtotal]])</f>
        <v>0</v>
      </c>
      <c r="R1938" s="21">
        <f>+PROVEEDORES[[#This Row],[SUBTOTAL]]+PROVEEDORES[[#This Row],[IVA 19%]]-PROVEEDORES[[#This Row],[descuento sobre subtotal]]-PROVEEDORES[[#This Row],[Descuento sobre subtotal $2]]-PROVEEDORES[[#This Row],[Rete Fuente $]]</f>
        <v>-2080133.09</v>
      </c>
      <c r="S193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8" s="63">
        <f ca="1">IF(PROVEEDORES[[#This Row],[FECHA DE PAGO]]=0,TODAY()-PROVEEDORES[[#This Row],[FECHA DE FACTURACIÓN]]-PROVEEDORES[[#This Row],[PLAZO Días]],0)</f>
        <v>0</v>
      </c>
      <c r="U1938" s="104">
        <f>+VLOOKUP(PROVEEDORES[[#This Row],[PROVEEDOR]],Terceros!$A:$D,4,FALSE)</f>
        <v>0</v>
      </c>
      <c r="V1938" s="105">
        <f>+YEAR(PROVEEDORES[[#This Row],[FECHA DE FACTURACIÓN]])</f>
        <v>2023</v>
      </c>
      <c r="W1938" s="105">
        <f>+MATCH(PROVEEDORES[[#This Row],[año facturado]],Retenciones!$1:$1,0)</f>
        <v>6</v>
      </c>
      <c r="X1938" s="106">
        <f>+VLOOKUP(PROVEEDORES[[#This Row],[ID RETENCION]],Retenciones!$A$1:$O$25,PROVEEDORES[[#This Row],[indicador de columna]],FALSE)</f>
        <v>0</v>
      </c>
      <c r="Y1938" s="107">
        <f>+VLOOKUP(PROVEEDORES[[#This Row],[ID RETENCION]],Retenciones!$A$1:$O$25,2,FALSE)</f>
        <v>0</v>
      </c>
      <c r="Z1938" s="116" t="b">
        <f>OR(COUNTIF(PROVEEDORES[[#This Row],[PROVEEDOR]],"*"&amp;'Palabra no opera'!$A$2&amp;"*"))</f>
        <v>0</v>
      </c>
    </row>
    <row r="1939" spans="1:26" ht="22.35" customHeight="1" x14ac:dyDescent="0.3">
      <c r="A1939" s="67" t="str">
        <f>+IF(PROVEEDORES[[#This Row],[FECHA DE PAGO]]=PROVEEDORES[[#This Row],[FECHA DE FACTURACIÓN]],"DE CONTADO","CRÉDITO")</f>
        <v>CRÉDITO</v>
      </c>
      <c r="B1939" s="38" t="str">
        <f>+IF((PROVEEDORES[[#This Row],[FECHA DE PAGO]]-PROVEEDORES[[#This Row],[FECHA DE FACTURACIÓN]])&gt;PROVEEDORES[[#This Row],[PLAZO Días]],"PAGO VENCIDO")</f>
        <v>PAGO VENCIDO</v>
      </c>
      <c r="C1939" s="20">
        <f>+VLOOKUP(PROVEEDORES[[#This Row],[PROVEEDOR]],TERCEROS_INFO[#All],2,FALSE)</f>
        <v>30</v>
      </c>
      <c r="D1939" s="25">
        <f>+SUMIFS(PROVEEDORES[Total],PROVEEDORES[PROVEEDOR],PROVEEDORES[[#This Row],[PROVEEDOR]],PROVEEDORES[FECHA DE PAGO],"")</f>
        <v>429590</v>
      </c>
      <c r="E1939" s="25"/>
      <c r="F1939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39" s="68">
        <v>45201</v>
      </c>
      <c r="H1939" s="26" t="s">
        <v>39</v>
      </c>
      <c r="I1939" s="68">
        <v>45160</v>
      </c>
      <c r="J1939" s="35" t="s">
        <v>1914</v>
      </c>
      <c r="K1939" s="21">
        <v>376000</v>
      </c>
      <c r="L1939" s="21"/>
      <c r="M1939" s="22">
        <f>(PROVEEDORES[[#This Row],[SUBTOTAL]]-PROVEEDORES[[#This Row],[descuento sobre subtotal]])*VLOOKUP(PROVEEDORES[[#This Row],[PROVEEDOR]],TERCEROS_INFO[#All],3,FALSE)</f>
        <v>71440</v>
      </c>
      <c r="N1939" s="23"/>
      <c r="O1939" s="22">
        <f>+PROVEEDORES[[#This Row],[Descuento sobre subtotal %]]*(PROVEEDORES[[#This Row],[SUBTOTAL]]-PROVEEDORES[[#This Row],[descuento sobre subtotal]])</f>
        <v>0</v>
      </c>
      <c r="P1939" s="74">
        <f>+IF(PROVEEDORES[[#This Row],[SUBTOTAL]]&lt;PROVEEDORES[[#This Row],[base retencion]],0,PROVEEDORES[[#This Row],[retención aplicada]])</f>
        <v>0</v>
      </c>
      <c r="Q1939" s="22">
        <f>+PROVEEDORES[[#This Row],[Rete Fuente %]]*(PROVEEDORES[[#This Row],[SUBTOTAL]]-PROVEEDORES[[#This Row],[descuento sobre subtotal]])</f>
        <v>0</v>
      </c>
      <c r="R1939" s="21">
        <f>+PROVEEDORES[[#This Row],[SUBTOTAL]]+PROVEEDORES[[#This Row],[IVA 19%]]-PROVEEDORES[[#This Row],[descuento sobre subtotal]]-PROVEEDORES[[#This Row],[Descuento sobre subtotal $2]]-PROVEEDORES[[#This Row],[Rete Fuente $]]</f>
        <v>447440</v>
      </c>
      <c r="S193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9" s="63">
        <f ca="1">IF(PROVEEDORES[[#This Row],[FECHA DE PAGO]]=0,TODAY()-PROVEEDORES[[#This Row],[FECHA DE FACTURACIÓN]]-PROVEEDORES[[#This Row],[PLAZO Días]],0)</f>
        <v>0</v>
      </c>
      <c r="U1939" s="104" t="str">
        <f>+VLOOKUP(PROVEEDORES[[#This Row],[PROVEEDOR]],Terceros!$A:$D,4,FALSE)</f>
        <v>2,5% con base</v>
      </c>
      <c r="V1939" s="105">
        <f>+YEAR(PROVEEDORES[[#This Row],[FECHA DE FACTURACIÓN]])</f>
        <v>2023</v>
      </c>
      <c r="W1939" s="105">
        <f>+MATCH(PROVEEDORES[[#This Row],[año facturado]],Retenciones!$1:$1,0)</f>
        <v>6</v>
      </c>
      <c r="X1939" s="106">
        <f>+VLOOKUP(PROVEEDORES[[#This Row],[ID RETENCION]],Retenciones!$A$1:$O$25,PROVEEDORES[[#This Row],[indicador de columna]],FALSE)</f>
        <v>1145000</v>
      </c>
      <c r="Y1939" s="107">
        <f>+VLOOKUP(PROVEEDORES[[#This Row],[ID RETENCION]],Retenciones!$A$1:$O$25,2,FALSE)</f>
        <v>2.5000000000000001E-2</v>
      </c>
      <c r="Z1939" s="116" t="b">
        <f>OR(COUNTIF(PROVEEDORES[[#This Row],[PROVEEDOR]],"*"&amp;'Palabra no opera'!$A$2&amp;"*"))</f>
        <v>0</v>
      </c>
    </row>
    <row r="1940" spans="1:26" ht="22.35" customHeight="1" x14ac:dyDescent="0.3">
      <c r="A1940" s="67" t="str">
        <f>+IF(PROVEEDORES[[#This Row],[FECHA DE PAGO]]=PROVEEDORES[[#This Row],[FECHA DE FACTURACIÓN]],"DE CONTADO","CRÉDITO")</f>
        <v>CRÉDITO</v>
      </c>
      <c r="B1940" s="38" t="str">
        <f>+IF((PROVEEDORES[[#This Row],[FECHA DE PAGO]]-PROVEEDORES[[#This Row],[FECHA DE FACTURACIÓN]])&gt;PROVEEDORES[[#This Row],[PLAZO Días]],"PAGO VENCIDO")</f>
        <v>PAGO VENCIDO</v>
      </c>
      <c r="C1940" s="20">
        <f>+VLOOKUP(PROVEEDORES[[#This Row],[PROVEEDOR]],TERCEROS_INFO[#All],2,FALSE)</f>
        <v>30</v>
      </c>
      <c r="D1940" s="25">
        <f>+SUMIFS(PROVEEDORES[Total],PROVEEDORES[PROVEEDOR],PROVEEDORES[[#This Row],[PROVEEDOR]],PROVEEDORES[FECHA DE PAGO],"")</f>
        <v>429590</v>
      </c>
      <c r="E1940" s="25"/>
      <c r="F1940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940" s="68">
        <v>45201</v>
      </c>
      <c r="H1940" s="26" t="s">
        <v>39</v>
      </c>
      <c r="I1940" s="68">
        <v>45162</v>
      </c>
      <c r="J1940" s="35" t="s">
        <v>1913</v>
      </c>
      <c r="K1940" s="21">
        <v>8000000</v>
      </c>
      <c r="L1940" s="21"/>
      <c r="M1940" s="22">
        <f>(PROVEEDORES[[#This Row],[SUBTOTAL]]-PROVEEDORES[[#This Row],[descuento sobre subtotal]])*VLOOKUP(PROVEEDORES[[#This Row],[PROVEEDOR]],TERCEROS_INFO[#All],3,FALSE)</f>
        <v>1520000</v>
      </c>
      <c r="N1940" s="23"/>
      <c r="O1940" s="22">
        <f>+PROVEEDORES[[#This Row],[Descuento sobre subtotal %]]*(PROVEEDORES[[#This Row],[SUBTOTAL]]-PROVEEDORES[[#This Row],[descuento sobre subtotal]])</f>
        <v>0</v>
      </c>
      <c r="P1940" s="74">
        <f>+IF(PROVEEDORES[[#This Row],[SUBTOTAL]]&lt;PROVEEDORES[[#This Row],[base retencion]],0,PROVEEDORES[[#This Row],[retención aplicada]])</f>
        <v>2.5000000000000001E-2</v>
      </c>
      <c r="Q1940" s="22">
        <f>+PROVEEDORES[[#This Row],[Rete Fuente %]]*(PROVEEDORES[[#This Row],[SUBTOTAL]]-PROVEEDORES[[#This Row],[descuento sobre subtotal]])</f>
        <v>200000</v>
      </c>
      <c r="R1940" s="21">
        <f>+PROVEEDORES[[#This Row],[SUBTOTAL]]+PROVEEDORES[[#This Row],[IVA 19%]]-PROVEEDORES[[#This Row],[descuento sobre subtotal]]-PROVEEDORES[[#This Row],[Descuento sobre subtotal $2]]-PROVEEDORES[[#This Row],[Rete Fuente $]]</f>
        <v>9320000</v>
      </c>
      <c r="S194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0" s="63">
        <f ca="1">IF(PROVEEDORES[[#This Row],[FECHA DE PAGO]]=0,TODAY()-PROVEEDORES[[#This Row],[FECHA DE FACTURACIÓN]]-PROVEEDORES[[#This Row],[PLAZO Días]],0)</f>
        <v>0</v>
      </c>
      <c r="U1940" s="104" t="str">
        <f>+VLOOKUP(PROVEEDORES[[#This Row],[PROVEEDOR]],Terceros!$A:$D,4,FALSE)</f>
        <v>2,5% con base</v>
      </c>
      <c r="V1940" s="105">
        <f>+YEAR(PROVEEDORES[[#This Row],[FECHA DE FACTURACIÓN]])</f>
        <v>2023</v>
      </c>
      <c r="W1940" s="105">
        <f>+MATCH(PROVEEDORES[[#This Row],[año facturado]],Retenciones!$1:$1,0)</f>
        <v>6</v>
      </c>
      <c r="X1940" s="106">
        <f>+VLOOKUP(PROVEEDORES[[#This Row],[ID RETENCION]],Retenciones!$A$1:$O$25,PROVEEDORES[[#This Row],[indicador de columna]],FALSE)</f>
        <v>1145000</v>
      </c>
      <c r="Y1940" s="107">
        <f>+VLOOKUP(PROVEEDORES[[#This Row],[ID RETENCION]],Retenciones!$A$1:$O$25,2,FALSE)</f>
        <v>2.5000000000000001E-2</v>
      </c>
      <c r="Z1940" s="116" t="b">
        <f>OR(COUNTIF(PROVEEDORES[[#This Row],[PROVEEDOR]],"*"&amp;'Palabra no opera'!$A$2&amp;"*"))</f>
        <v>0</v>
      </c>
    </row>
    <row r="1941" spans="1:26" ht="22.35" customHeight="1" x14ac:dyDescent="0.3">
      <c r="A1941" s="337" t="str">
        <f>+IF(PROVEEDORES[[#This Row],[FECHA DE PAGO]]=PROVEEDORES[[#This Row],[FECHA DE FACTURACIÓN]],"DE CONTADO","CRÉDITO")</f>
        <v>CRÉDITO</v>
      </c>
      <c r="B1941" s="38" t="str">
        <f>+IF((PROVEEDORES[[#This Row],[FECHA DE PAGO]]-PROVEEDORES[[#This Row],[FECHA DE FACTURACIÓN]])&gt;PROVEEDORES[[#This Row],[PLAZO Días]],"PAGO VENCIDO")</f>
        <v>PAGO VENCIDO</v>
      </c>
      <c r="C1941" s="20">
        <f>+VLOOKUP(PROVEEDORES[[#This Row],[PROVEEDOR]],TERCEROS_INFO[#All],2,FALSE)</f>
        <v>45</v>
      </c>
      <c r="D1941" s="25">
        <f>+SUMIFS(PROVEEDORES[Total],PROVEEDORES[PROVEEDOR],PROVEEDORES[[#This Row],[PROVEEDOR]],PROVEEDORES[FECHA DE PAGO],"")</f>
        <v>8072960</v>
      </c>
      <c r="E1941" s="25"/>
      <c r="F194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41" s="68">
        <v>45201</v>
      </c>
      <c r="H1941" s="26" t="s">
        <v>10</v>
      </c>
      <c r="I1941" s="68">
        <v>45135</v>
      </c>
      <c r="J1941" s="35" t="s">
        <v>1844</v>
      </c>
      <c r="K1941" s="21">
        <v>4200000</v>
      </c>
      <c r="L1941" s="21"/>
      <c r="M1941" s="22">
        <f>(PROVEEDORES[[#This Row],[SUBTOTAL]]-PROVEEDORES[[#This Row],[descuento sobre subtotal]])*VLOOKUP(PROVEEDORES[[#This Row],[PROVEEDOR]],TERCEROS_INFO[#All],3,FALSE)</f>
        <v>798000</v>
      </c>
      <c r="N1941" s="23"/>
      <c r="O1941" s="22">
        <f>+PROVEEDORES[[#This Row],[Descuento sobre subtotal %]]*(PROVEEDORES[[#This Row],[SUBTOTAL]]-PROVEEDORES[[#This Row],[descuento sobre subtotal]])</f>
        <v>0</v>
      </c>
      <c r="P1941" s="74">
        <f>+IF(PROVEEDORES[[#This Row],[SUBTOTAL]]&lt;PROVEEDORES[[#This Row],[base retencion]],0,PROVEEDORES[[#This Row],[retención aplicada]])</f>
        <v>0</v>
      </c>
      <c r="Q1941" s="22">
        <f>+PROVEEDORES[[#This Row],[Rete Fuente %]]*(PROVEEDORES[[#This Row],[SUBTOTAL]]-PROVEEDORES[[#This Row],[descuento sobre subtotal]])</f>
        <v>0</v>
      </c>
      <c r="R1941" s="21">
        <f>+PROVEEDORES[[#This Row],[SUBTOTAL]]+PROVEEDORES[[#This Row],[IVA 19%]]-PROVEEDORES[[#This Row],[descuento sobre subtotal]]-PROVEEDORES[[#This Row],[Descuento sobre subtotal $2]]-PROVEEDORES[[#This Row],[Rete Fuente $]]</f>
        <v>4998000</v>
      </c>
      <c r="S1941" s="3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1" s="63">
        <f ca="1">IF(PROVEEDORES[[#This Row],[FECHA DE PAGO]]=0,TODAY()-PROVEEDORES[[#This Row],[FECHA DE FACTURACIÓN]]-PROVEEDORES[[#This Row],[PLAZO Días]],0)</f>
        <v>0</v>
      </c>
      <c r="U1941" s="104">
        <f>+VLOOKUP(PROVEEDORES[[#This Row],[PROVEEDOR]],Terceros!$A:$D,4,FALSE)</f>
        <v>0</v>
      </c>
      <c r="V1941" s="105">
        <f>+YEAR(PROVEEDORES[[#This Row],[FECHA DE FACTURACIÓN]])</f>
        <v>2023</v>
      </c>
      <c r="W1941" s="105">
        <f>+MATCH(PROVEEDORES[[#This Row],[año facturado]],Retenciones!$1:$1,0)</f>
        <v>6</v>
      </c>
      <c r="X1941" s="106">
        <f>+VLOOKUP(PROVEEDORES[[#This Row],[ID RETENCION]],Retenciones!$A$1:$O$25,PROVEEDORES[[#This Row],[indicador de columna]],FALSE)</f>
        <v>0</v>
      </c>
      <c r="Y1941" s="107">
        <f>+VLOOKUP(PROVEEDORES[[#This Row],[ID RETENCION]],Retenciones!$A$1:$O$25,2,FALSE)</f>
        <v>0</v>
      </c>
      <c r="Z1941" s="116" t="b">
        <f>OR(COUNTIF(PROVEEDORES[[#This Row],[PROVEEDOR]],"*"&amp;'Palabra no opera'!$A$2&amp;"*"))</f>
        <v>0</v>
      </c>
    </row>
    <row r="1942" spans="1:26" ht="22.35" customHeight="1" x14ac:dyDescent="0.3">
      <c r="A1942" s="367" t="str">
        <f>+IF(PROVEEDORES[[#This Row],[FECHA DE PAGO]]=PROVEEDORES[[#This Row],[FECHA DE FACTURACIÓN]],"DE CONTADO","CRÉDITO")</f>
        <v>DE CONTADO</v>
      </c>
      <c r="B1942" s="38" t="b">
        <f>+IF((PROVEEDORES[[#This Row],[FECHA DE PAGO]]-PROVEEDORES[[#This Row],[FECHA DE FACTURACIÓN]])&gt;PROVEEDORES[[#This Row],[PLAZO Días]],"PAGO VENCIDO")</f>
        <v>0</v>
      </c>
      <c r="C1942" s="20">
        <f>+VLOOKUP(PROVEEDORES[[#This Row],[PROVEEDOR]],TERCEROS_INFO[#All],2,FALSE)</f>
        <v>30</v>
      </c>
      <c r="D1942" s="25">
        <f>+SUMIFS(PROVEEDORES[Total],PROVEEDORES[PROVEEDOR],PROVEEDORES[[#This Row],[PROVEEDOR]],PROVEEDORES[FECHA DE PAGO],"")</f>
        <v>0</v>
      </c>
      <c r="E1942" s="25"/>
      <c r="F1942" s="56" t="str">
        <f>+VLOOKUP(PROVEEDORES[[#This Row],[PROVEEDOR]],
                       Terceros!$A:$F,
                       5,
                       FALSE)</f>
        <v/>
      </c>
      <c r="G1942" s="68">
        <v>45202</v>
      </c>
      <c r="H1942" s="26" t="s">
        <v>362</v>
      </c>
      <c r="I1942" s="68">
        <v>45202</v>
      </c>
      <c r="J1942" s="35" t="s">
        <v>2008</v>
      </c>
      <c r="K1942" s="21">
        <v>150000</v>
      </c>
      <c r="L1942" s="21"/>
      <c r="M1942" s="22">
        <f>(PROVEEDORES[[#This Row],[SUBTOTAL]]-PROVEEDORES[[#This Row],[descuento sobre subtotal]])*VLOOKUP(PROVEEDORES[[#This Row],[PROVEEDOR]],TERCEROS_INFO[#All],3,FALSE)</f>
        <v>0</v>
      </c>
      <c r="N1942" s="23"/>
      <c r="O1942" s="22">
        <f>+PROVEEDORES[[#This Row],[Descuento sobre subtotal %]]*(PROVEEDORES[[#This Row],[SUBTOTAL]]-PROVEEDORES[[#This Row],[descuento sobre subtotal]])</f>
        <v>0</v>
      </c>
      <c r="P1942" s="74">
        <f>+IF(PROVEEDORES[[#This Row],[SUBTOTAL]]&lt;PROVEEDORES[[#This Row],[base retencion]],0,PROVEEDORES[[#This Row],[retención aplicada]])</f>
        <v>0</v>
      </c>
      <c r="Q1942" s="22">
        <f>+PROVEEDORES[[#This Row],[Rete Fuente %]]*(PROVEEDORES[[#This Row],[SUBTOTAL]]-PROVEEDORES[[#This Row],[descuento sobre subtotal]])</f>
        <v>0</v>
      </c>
      <c r="R1942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1942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2" s="63">
        <f ca="1">IF(PROVEEDORES[[#This Row],[FECHA DE PAGO]]=0,TODAY()-PROVEEDORES[[#This Row],[FECHA DE FACTURACIÓN]]-PROVEEDORES[[#This Row],[PLAZO Días]],0)</f>
        <v>0</v>
      </c>
      <c r="U1942" s="104">
        <f>+VLOOKUP(PROVEEDORES[[#This Row],[PROVEEDOR]],Terceros!$A:$D,4,FALSE)</f>
        <v>0</v>
      </c>
      <c r="V1942" s="105">
        <f>+YEAR(PROVEEDORES[[#This Row],[FECHA DE FACTURACIÓN]])</f>
        <v>2023</v>
      </c>
      <c r="W1942" s="105">
        <f>+MATCH(PROVEEDORES[[#This Row],[año facturado]],Retenciones!$1:$1,0)</f>
        <v>6</v>
      </c>
      <c r="X1942" s="106">
        <f>+VLOOKUP(PROVEEDORES[[#This Row],[ID RETENCION]],Retenciones!$A$1:$O$25,PROVEEDORES[[#This Row],[indicador de columna]],FALSE)</f>
        <v>0</v>
      </c>
      <c r="Y1942" s="107">
        <f>+VLOOKUP(PROVEEDORES[[#This Row],[ID RETENCION]],Retenciones!$A$1:$O$25,2,FALSE)</f>
        <v>0</v>
      </c>
      <c r="Z1942" s="116" t="b">
        <f>OR(COUNTIF(PROVEEDORES[[#This Row],[PROVEEDOR]],"*"&amp;'Palabra no opera'!$A$2&amp;"*"))</f>
        <v>0</v>
      </c>
    </row>
    <row r="1943" spans="1:26" ht="22.35" customHeight="1" x14ac:dyDescent="0.3">
      <c r="A1943" s="67" t="str">
        <f>+IF(PROVEEDORES[[#This Row],[FECHA DE PAGO]]=PROVEEDORES[[#This Row],[FECHA DE FACTURACIÓN]],"DE CONTADO","CRÉDITO")</f>
        <v>DE CONTADO</v>
      </c>
      <c r="B1943" s="38" t="b">
        <f>+IF((PROVEEDORES[[#This Row],[FECHA DE PAGO]]-PROVEEDORES[[#This Row],[FECHA DE FACTURACIÓN]])&gt;PROVEEDORES[[#This Row],[PLAZO Días]],"PAGO VENCIDO")</f>
        <v>0</v>
      </c>
      <c r="C1943" s="20">
        <f>+VLOOKUP(PROVEEDORES[[#This Row],[PROVEEDOR]],TERCEROS_INFO[#All],2,FALSE)</f>
        <v>30</v>
      </c>
      <c r="D1943" s="25">
        <f>+SUMIFS(PROVEEDORES[Total],PROVEEDORES[PROVEEDOR],PROVEEDORES[[#This Row],[PROVEEDOR]],PROVEEDORES[FECHA DE PAGO],"")</f>
        <v>0</v>
      </c>
      <c r="E1943" s="25"/>
      <c r="F1943" s="56" t="str">
        <f>+VLOOKUP(PROVEEDORES[[#This Row],[PROVEEDOR]],
                       Terceros!$A:$F,
                       5,
                       FALSE)</f>
        <v/>
      </c>
      <c r="G1943" s="68">
        <v>45202</v>
      </c>
      <c r="H1943" s="26" t="s">
        <v>362</v>
      </c>
      <c r="I1943" s="68">
        <v>45202</v>
      </c>
      <c r="J1943" s="35" t="s">
        <v>2029</v>
      </c>
      <c r="K1943" s="21">
        <v>210000</v>
      </c>
      <c r="L1943" s="21"/>
      <c r="M1943" s="22">
        <f>(PROVEEDORES[[#This Row],[SUBTOTAL]]-PROVEEDORES[[#This Row],[descuento sobre subtotal]])*VLOOKUP(PROVEEDORES[[#This Row],[PROVEEDOR]],TERCEROS_INFO[#All],3,FALSE)</f>
        <v>0</v>
      </c>
      <c r="N1943" s="23"/>
      <c r="O1943" s="22">
        <f>+PROVEEDORES[[#This Row],[Descuento sobre subtotal %]]*(PROVEEDORES[[#This Row],[SUBTOTAL]]-PROVEEDORES[[#This Row],[descuento sobre subtotal]])</f>
        <v>0</v>
      </c>
      <c r="P1943" s="74">
        <f>+IF(PROVEEDORES[[#This Row],[SUBTOTAL]]&lt;PROVEEDORES[[#This Row],[base retencion]],0,PROVEEDORES[[#This Row],[retención aplicada]])</f>
        <v>0</v>
      </c>
      <c r="Q1943" s="22">
        <f>+PROVEEDORES[[#This Row],[Rete Fuente %]]*(PROVEEDORES[[#This Row],[SUBTOTAL]]-PROVEEDORES[[#This Row],[descuento sobre subtotal]])</f>
        <v>0</v>
      </c>
      <c r="R1943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19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3" s="63">
        <f ca="1">IF(PROVEEDORES[[#This Row],[FECHA DE PAGO]]=0,TODAY()-PROVEEDORES[[#This Row],[FECHA DE FACTURACIÓN]]-PROVEEDORES[[#This Row],[PLAZO Días]],0)</f>
        <v>0</v>
      </c>
      <c r="U1943" s="104">
        <f>+VLOOKUP(PROVEEDORES[[#This Row],[PROVEEDOR]],Terceros!$A:$D,4,FALSE)</f>
        <v>0</v>
      </c>
      <c r="V1943" s="105">
        <f>+YEAR(PROVEEDORES[[#This Row],[FECHA DE FACTURACIÓN]])</f>
        <v>2023</v>
      </c>
      <c r="W1943" s="105">
        <f>+MATCH(PROVEEDORES[[#This Row],[año facturado]],Retenciones!$1:$1,0)</f>
        <v>6</v>
      </c>
      <c r="X1943" s="106">
        <f>+VLOOKUP(PROVEEDORES[[#This Row],[ID RETENCION]],Retenciones!$A$1:$O$25,PROVEEDORES[[#This Row],[indicador de columna]],FALSE)</f>
        <v>0</v>
      </c>
      <c r="Y1943" s="107">
        <f>+VLOOKUP(PROVEEDORES[[#This Row],[ID RETENCION]],Retenciones!$A$1:$O$25,2,FALSE)</f>
        <v>0</v>
      </c>
      <c r="Z1943" s="116" t="b">
        <f>OR(COUNTIF(PROVEEDORES[[#This Row],[PROVEEDOR]],"*"&amp;'Palabra no opera'!$A$2&amp;"*"))</f>
        <v>0</v>
      </c>
    </row>
    <row r="1944" spans="1:26" ht="22.35" customHeight="1" x14ac:dyDescent="0.3">
      <c r="A1944" s="67" t="str">
        <f>+IF(PROVEEDORES[[#This Row],[FECHA DE PAGO]]=PROVEEDORES[[#This Row],[FECHA DE FACTURACIÓN]],"DE CONTADO","CRÉDITO")</f>
        <v>DE CONTADO</v>
      </c>
      <c r="B1944" s="38" t="b">
        <f>+IF((PROVEEDORES[[#This Row],[FECHA DE PAGO]]-PROVEEDORES[[#This Row],[FECHA DE FACTURACIÓN]])&gt;PROVEEDORES[[#This Row],[PLAZO Días]],"PAGO VENCIDO")</f>
        <v>0</v>
      </c>
      <c r="C1944" s="20">
        <f>+VLOOKUP(PROVEEDORES[[#This Row],[PROVEEDOR]],TERCEROS_INFO[#All],2,FALSE)</f>
        <v>30</v>
      </c>
      <c r="D1944" s="25">
        <f>+SUMIFS(PROVEEDORES[Total],PROVEEDORES[PROVEEDOR],PROVEEDORES[[#This Row],[PROVEEDOR]],PROVEEDORES[FECHA DE PAGO],"")</f>
        <v>0</v>
      </c>
      <c r="E1944" s="25"/>
      <c r="F1944" s="56">
        <f>+VLOOKUP(PROVEEDORES[[#This Row],[PROVEEDOR]],
                       Terceros!$A:$F,
                       5,
                       FALSE)</f>
        <v>0</v>
      </c>
      <c r="G1944" s="68">
        <v>45202</v>
      </c>
      <c r="H1944" s="26" t="s">
        <v>1736</v>
      </c>
      <c r="I1944" s="68">
        <v>45202</v>
      </c>
      <c r="J1944" s="35"/>
      <c r="K1944" s="21">
        <v>392000</v>
      </c>
      <c r="L1944" s="21"/>
      <c r="M1944" s="22">
        <f>(PROVEEDORES[[#This Row],[SUBTOTAL]]-PROVEEDORES[[#This Row],[descuento sobre subtotal]])*VLOOKUP(PROVEEDORES[[#This Row],[PROVEEDOR]],TERCEROS_INFO[#All],3,FALSE)</f>
        <v>0</v>
      </c>
      <c r="N1944" s="23"/>
      <c r="O1944" s="22">
        <f>+PROVEEDORES[[#This Row],[Descuento sobre subtotal %]]*(PROVEEDORES[[#This Row],[SUBTOTAL]]-PROVEEDORES[[#This Row],[descuento sobre subtotal]])</f>
        <v>0</v>
      </c>
      <c r="P1944" s="74">
        <f>+IF(PROVEEDORES[[#This Row],[SUBTOTAL]]&lt;PROVEEDORES[[#This Row],[base retencion]],0,PROVEEDORES[[#This Row],[retención aplicada]])</f>
        <v>0</v>
      </c>
      <c r="Q1944" s="22">
        <f>+PROVEEDORES[[#This Row],[Rete Fuente %]]*(PROVEEDORES[[#This Row],[SUBTOTAL]]-PROVEEDORES[[#This Row],[descuento sobre subtotal]])</f>
        <v>0</v>
      </c>
      <c r="R1944" s="21">
        <f>+PROVEEDORES[[#This Row],[SUBTOTAL]]+PROVEEDORES[[#This Row],[IVA 19%]]-PROVEEDORES[[#This Row],[descuento sobre subtotal]]-PROVEEDORES[[#This Row],[Descuento sobre subtotal $2]]-PROVEEDORES[[#This Row],[Rete Fuente $]]</f>
        <v>392000</v>
      </c>
      <c r="S19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4" s="63">
        <f ca="1">IF(PROVEEDORES[[#This Row],[FECHA DE PAGO]]=0,TODAY()-PROVEEDORES[[#This Row],[FECHA DE FACTURACIÓN]]-PROVEEDORES[[#This Row],[PLAZO Días]],0)</f>
        <v>0</v>
      </c>
      <c r="U1944" s="104">
        <f>+VLOOKUP(PROVEEDORES[[#This Row],[PROVEEDOR]],Terceros!$A:$D,4,FALSE)</f>
        <v>0</v>
      </c>
      <c r="V1944" s="105">
        <f>+YEAR(PROVEEDORES[[#This Row],[FECHA DE FACTURACIÓN]])</f>
        <v>2023</v>
      </c>
      <c r="W1944" s="105">
        <f>+MATCH(PROVEEDORES[[#This Row],[año facturado]],Retenciones!$1:$1,0)</f>
        <v>6</v>
      </c>
      <c r="X1944" s="106">
        <f>+VLOOKUP(PROVEEDORES[[#This Row],[ID RETENCION]],Retenciones!$A$1:$O$25,PROVEEDORES[[#This Row],[indicador de columna]],FALSE)</f>
        <v>0</v>
      </c>
      <c r="Y1944" s="107">
        <f>+VLOOKUP(PROVEEDORES[[#This Row],[ID RETENCION]],Retenciones!$A$1:$O$25,2,FALSE)</f>
        <v>0</v>
      </c>
      <c r="Z1944" s="116" t="b">
        <f>OR(COUNTIF(PROVEEDORES[[#This Row],[PROVEEDOR]],"*"&amp;'Palabra no opera'!$A$2&amp;"*"))</f>
        <v>0</v>
      </c>
    </row>
    <row r="1945" spans="1:26" ht="22.35" customHeight="1" x14ac:dyDescent="0.3">
      <c r="A1945" s="67" t="str">
        <f>+IF(PROVEEDORES[[#This Row],[FECHA DE PAGO]]=PROVEEDORES[[#This Row],[FECHA DE FACTURACIÓN]],"DE CONTADO","CRÉDITO")</f>
        <v>CRÉDITO</v>
      </c>
      <c r="B1945" s="38" t="b">
        <f>+IF((PROVEEDORES[[#This Row],[FECHA DE PAGO]]-PROVEEDORES[[#This Row],[FECHA DE FACTURACIÓN]])&gt;PROVEEDORES[[#This Row],[PLAZO Días]],"PAGO VENCIDO")</f>
        <v>0</v>
      </c>
      <c r="C1945" s="20">
        <f>+VLOOKUP(PROVEEDORES[[#This Row],[PROVEEDOR]],TERCEROS_INFO[#All],2,FALSE)</f>
        <v>30</v>
      </c>
      <c r="D1945" s="25">
        <f>+SUMIFS(PROVEEDORES[Total],PROVEEDORES[PROVEEDOR],PROVEEDORES[[#This Row],[PROVEEDOR]],PROVEEDORES[FECHA DE PAGO],"")</f>
        <v>0</v>
      </c>
      <c r="E1945" s="25"/>
      <c r="F1945" s="56" t="str">
        <f>+VLOOKUP(PROVEEDORES[[#This Row],[PROVEEDOR]],
                       Terceros!$A:$F,
                       5,
                       FALSE)</f>
        <v/>
      </c>
      <c r="G1945" s="68">
        <v>45202</v>
      </c>
      <c r="H1945" s="26" t="s">
        <v>404</v>
      </c>
      <c r="I1945" s="68">
        <v>45201</v>
      </c>
      <c r="J1945" s="35" t="s">
        <v>2065</v>
      </c>
      <c r="K1945" s="21">
        <v>1921000</v>
      </c>
      <c r="L1945" s="21"/>
      <c r="M1945" s="22">
        <f>(PROVEEDORES[[#This Row],[SUBTOTAL]]-PROVEEDORES[[#This Row],[descuento sobre subtotal]])*VLOOKUP(PROVEEDORES[[#This Row],[PROVEEDOR]],TERCEROS_INFO[#All],3,FALSE)</f>
        <v>0</v>
      </c>
      <c r="N1945" s="23"/>
      <c r="O1945" s="22">
        <f>+PROVEEDORES[[#This Row],[Descuento sobre subtotal %]]*(PROVEEDORES[[#This Row],[SUBTOTAL]]-PROVEEDORES[[#This Row],[descuento sobre subtotal]])</f>
        <v>0</v>
      </c>
      <c r="P1945" s="74">
        <f>+IF(PROVEEDORES[[#This Row],[SUBTOTAL]]&lt;PROVEEDORES[[#This Row],[base retencion]],0,PROVEEDORES[[#This Row],[retención aplicada]])</f>
        <v>0</v>
      </c>
      <c r="Q1945" s="22">
        <f>+PROVEEDORES[[#This Row],[Rete Fuente %]]*(PROVEEDORES[[#This Row],[SUBTOTAL]]-PROVEEDORES[[#This Row],[descuento sobre subtotal]])</f>
        <v>0</v>
      </c>
      <c r="R1945" s="21">
        <f>+PROVEEDORES[[#This Row],[SUBTOTAL]]+PROVEEDORES[[#This Row],[IVA 19%]]-PROVEEDORES[[#This Row],[descuento sobre subtotal]]-PROVEEDORES[[#This Row],[Descuento sobre subtotal $2]]-PROVEEDORES[[#This Row],[Rete Fuente $]]</f>
        <v>1921000</v>
      </c>
      <c r="S194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5" s="63">
        <f ca="1">IF(PROVEEDORES[[#This Row],[FECHA DE PAGO]]=0,TODAY()-PROVEEDORES[[#This Row],[FECHA DE FACTURACIÓN]]-PROVEEDORES[[#This Row],[PLAZO Días]],0)</f>
        <v>0</v>
      </c>
      <c r="U1945" s="104">
        <f>+VLOOKUP(PROVEEDORES[[#This Row],[PROVEEDOR]],Terceros!$A:$D,4,FALSE)</f>
        <v>0</v>
      </c>
      <c r="V1945" s="105">
        <f>+YEAR(PROVEEDORES[[#This Row],[FECHA DE FACTURACIÓN]])</f>
        <v>2023</v>
      </c>
      <c r="W1945" s="105">
        <f>+MATCH(PROVEEDORES[[#This Row],[año facturado]],Retenciones!$1:$1,0)</f>
        <v>6</v>
      </c>
      <c r="X1945" s="106">
        <f>+VLOOKUP(PROVEEDORES[[#This Row],[ID RETENCION]],Retenciones!$A$1:$O$25,PROVEEDORES[[#This Row],[indicador de columna]],FALSE)</f>
        <v>0</v>
      </c>
      <c r="Y1945" s="107">
        <f>+VLOOKUP(PROVEEDORES[[#This Row],[ID RETENCION]],Retenciones!$A$1:$O$25,2,FALSE)</f>
        <v>0</v>
      </c>
      <c r="Z1945" s="116" t="b">
        <f>OR(COUNTIF(PROVEEDORES[[#This Row],[PROVEEDOR]],"*"&amp;'Palabra no opera'!$A$2&amp;"*"))</f>
        <v>0</v>
      </c>
    </row>
    <row r="1946" spans="1:26" ht="22.35" customHeight="1" x14ac:dyDescent="0.3">
      <c r="A1946" s="67" t="str">
        <f>+IF(PROVEEDORES[[#This Row],[FECHA DE PAGO]]=PROVEEDORES[[#This Row],[FECHA DE FACTURACIÓN]],"DE CONTADO","CRÉDITO")</f>
        <v>DE CONTADO</v>
      </c>
      <c r="B1946" s="38" t="b">
        <f>+IF((PROVEEDORES[[#This Row],[FECHA DE PAGO]]-PROVEEDORES[[#This Row],[FECHA DE FACTURACIÓN]])&gt;PROVEEDORES[[#This Row],[PLAZO Días]],"PAGO VENCIDO")</f>
        <v>0</v>
      </c>
      <c r="C1946" s="20">
        <f>+VLOOKUP(PROVEEDORES[[#This Row],[PROVEEDOR]],TERCEROS_INFO[#All],2,FALSE)</f>
        <v>30</v>
      </c>
      <c r="D1946" s="25">
        <f>+SUMIFS(PROVEEDORES[Total],PROVEEDORES[PROVEEDOR],PROVEEDORES[[#This Row],[PROVEEDOR]],PROVEEDORES[FECHA DE PAGO],"")</f>
        <v>0</v>
      </c>
      <c r="E1946" s="25"/>
      <c r="F1946" s="56">
        <f>+VLOOKUP(PROVEEDORES[[#This Row],[PROVEEDOR]],
                       Terceros!$A:$F,
                       5,
                       FALSE)</f>
        <v>0</v>
      </c>
      <c r="G1946" s="68">
        <v>45203</v>
      </c>
      <c r="H1946" s="26" t="s">
        <v>2030</v>
      </c>
      <c r="I1946" s="68">
        <v>45203</v>
      </c>
      <c r="J1946" s="35" t="s">
        <v>2031</v>
      </c>
      <c r="K1946" s="21">
        <v>833450</v>
      </c>
      <c r="L1946" s="21"/>
      <c r="M1946" s="22">
        <f>(PROVEEDORES[[#This Row],[SUBTOTAL]]-PROVEEDORES[[#This Row],[descuento sobre subtotal]])*VLOOKUP(PROVEEDORES[[#This Row],[PROVEEDOR]],TERCEROS_INFO[#All],3,FALSE)</f>
        <v>0</v>
      </c>
      <c r="N1946" s="23"/>
      <c r="O1946" s="22">
        <f>+PROVEEDORES[[#This Row],[Descuento sobre subtotal %]]*(PROVEEDORES[[#This Row],[SUBTOTAL]]-PROVEEDORES[[#This Row],[descuento sobre subtotal]])</f>
        <v>0</v>
      </c>
      <c r="P1946" s="74">
        <f>+IF(PROVEEDORES[[#This Row],[SUBTOTAL]]&lt;PROVEEDORES[[#This Row],[base retencion]],0,PROVEEDORES[[#This Row],[retención aplicada]])</f>
        <v>0</v>
      </c>
      <c r="Q1946" s="22">
        <f>+PROVEEDORES[[#This Row],[Rete Fuente %]]*(PROVEEDORES[[#This Row],[SUBTOTAL]]-PROVEEDORES[[#This Row],[descuento sobre subtotal]])</f>
        <v>0</v>
      </c>
      <c r="R1946" s="21">
        <f>+PROVEEDORES[[#This Row],[SUBTOTAL]]+PROVEEDORES[[#This Row],[IVA 19%]]-PROVEEDORES[[#This Row],[descuento sobre subtotal]]-PROVEEDORES[[#This Row],[Descuento sobre subtotal $2]]-PROVEEDORES[[#This Row],[Rete Fuente $]]</f>
        <v>833450</v>
      </c>
      <c r="S19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6" s="63">
        <f ca="1">IF(PROVEEDORES[[#This Row],[FECHA DE PAGO]]=0,TODAY()-PROVEEDORES[[#This Row],[FECHA DE FACTURACIÓN]]-PROVEEDORES[[#This Row],[PLAZO Días]],0)</f>
        <v>0</v>
      </c>
      <c r="U1946" s="104">
        <f>+VLOOKUP(PROVEEDORES[[#This Row],[PROVEEDOR]],Terceros!$A:$D,4,FALSE)</f>
        <v>0</v>
      </c>
      <c r="V1946" s="105">
        <f>+YEAR(PROVEEDORES[[#This Row],[FECHA DE FACTURACIÓN]])</f>
        <v>2023</v>
      </c>
      <c r="W1946" s="105">
        <f>+MATCH(PROVEEDORES[[#This Row],[año facturado]],Retenciones!$1:$1,0)</f>
        <v>6</v>
      </c>
      <c r="X1946" s="106">
        <f>+VLOOKUP(PROVEEDORES[[#This Row],[ID RETENCION]],Retenciones!$A$1:$O$25,PROVEEDORES[[#This Row],[indicador de columna]],FALSE)</f>
        <v>0</v>
      </c>
      <c r="Y1946" s="107">
        <f>+VLOOKUP(PROVEEDORES[[#This Row],[ID RETENCION]],Retenciones!$A$1:$O$25,2,FALSE)</f>
        <v>0</v>
      </c>
      <c r="Z1946" s="116" t="b">
        <f>OR(COUNTIF(PROVEEDORES[[#This Row],[PROVEEDOR]],"*"&amp;'Palabra no opera'!$A$2&amp;"*"))</f>
        <v>0</v>
      </c>
    </row>
    <row r="1947" spans="1:26" ht="22.35" customHeight="1" x14ac:dyDescent="0.3">
      <c r="A1947" s="67" t="str">
        <f>+IF(PROVEEDORES[[#This Row],[FECHA DE PAGO]]=PROVEEDORES[[#This Row],[FECHA DE FACTURACIÓN]],"DE CONTADO","CRÉDITO")</f>
        <v>CRÉDITO</v>
      </c>
      <c r="B1947" s="38" t="str">
        <f>+IF((PROVEEDORES[[#This Row],[FECHA DE PAGO]]-PROVEEDORES[[#This Row],[FECHA DE FACTURACIÓN]])&gt;PROVEEDORES[[#This Row],[PLAZO Días]],"PAGO VENCIDO")</f>
        <v>PAGO VENCIDO</v>
      </c>
      <c r="C1947" s="20">
        <f>+VLOOKUP(PROVEEDORES[[#This Row],[PROVEEDOR]],TERCEROS_INFO[#All],2,FALSE)</f>
        <v>30</v>
      </c>
      <c r="D1947" s="25">
        <f>+SUMIFS(PROVEEDORES[Total],PROVEEDORES[PROVEEDOR],PROVEEDORES[[#This Row],[PROVEEDOR]],PROVEEDORES[FECHA DE PAGO],"")</f>
        <v>380979.69</v>
      </c>
      <c r="E1947" s="25"/>
      <c r="F1947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947" s="68">
        <v>45203</v>
      </c>
      <c r="H1947" s="26" t="s">
        <v>615</v>
      </c>
      <c r="I1947" s="68">
        <v>45126</v>
      </c>
      <c r="J1947" s="35" t="s">
        <v>1838</v>
      </c>
      <c r="K1947" s="21">
        <v>4343040</v>
      </c>
      <c r="L1947" s="21"/>
      <c r="M1947" s="22">
        <f>(PROVEEDORES[[#This Row],[SUBTOTAL]]-PROVEEDORES[[#This Row],[descuento sobre subtotal]])*VLOOKUP(PROVEEDORES[[#This Row],[PROVEEDOR]],TERCEROS_INFO[#All],3,FALSE)</f>
        <v>825177.59999999998</v>
      </c>
      <c r="N1947" s="23"/>
      <c r="O1947" s="22">
        <f>+PROVEEDORES[[#This Row],[Descuento sobre subtotal %]]*(PROVEEDORES[[#This Row],[SUBTOTAL]]-PROVEEDORES[[#This Row],[descuento sobre subtotal]])</f>
        <v>0</v>
      </c>
      <c r="P1947" s="74">
        <f>+IF(PROVEEDORES[[#This Row],[SUBTOTAL]]&lt;PROVEEDORES[[#This Row],[base retencion]],0,PROVEEDORES[[#This Row],[retención aplicada]])</f>
        <v>0</v>
      </c>
      <c r="Q1947" s="22">
        <f>+PROVEEDORES[[#This Row],[Rete Fuente %]]*(PROVEEDORES[[#This Row],[SUBTOTAL]]-PROVEEDORES[[#This Row],[descuento sobre subtotal]])</f>
        <v>0</v>
      </c>
      <c r="R1947" s="21">
        <f>+PROVEEDORES[[#This Row],[SUBTOTAL]]+PROVEEDORES[[#This Row],[IVA 19%]]-PROVEEDORES[[#This Row],[descuento sobre subtotal]]-PROVEEDORES[[#This Row],[Descuento sobre subtotal $2]]-PROVEEDORES[[#This Row],[Rete Fuente $]]</f>
        <v>5168217.5999999996</v>
      </c>
      <c r="S19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7" s="63">
        <f ca="1">IF(PROVEEDORES[[#This Row],[FECHA DE PAGO]]=0,TODAY()-PROVEEDORES[[#This Row],[FECHA DE FACTURACIÓN]]-PROVEEDORES[[#This Row],[PLAZO Días]],0)</f>
        <v>0</v>
      </c>
      <c r="U1947" s="104">
        <f>+VLOOKUP(PROVEEDORES[[#This Row],[PROVEEDOR]],Terceros!$A:$D,4,FALSE)</f>
        <v>0</v>
      </c>
      <c r="V1947" s="105">
        <f>+YEAR(PROVEEDORES[[#This Row],[FECHA DE FACTURACIÓN]])</f>
        <v>2023</v>
      </c>
      <c r="W1947" s="105">
        <f>+MATCH(PROVEEDORES[[#This Row],[año facturado]],Retenciones!$1:$1,0)</f>
        <v>6</v>
      </c>
      <c r="X1947" s="106">
        <f>+VLOOKUP(PROVEEDORES[[#This Row],[ID RETENCION]],Retenciones!$A$1:$O$25,PROVEEDORES[[#This Row],[indicador de columna]],FALSE)</f>
        <v>0</v>
      </c>
      <c r="Y1947" s="107">
        <f>+VLOOKUP(PROVEEDORES[[#This Row],[ID RETENCION]],Retenciones!$A$1:$O$25,2,FALSE)</f>
        <v>0</v>
      </c>
      <c r="Z1947" s="116" t="b">
        <f>OR(COUNTIF(PROVEEDORES[[#This Row],[PROVEEDOR]],"*"&amp;'Palabra no opera'!$A$2&amp;"*"))</f>
        <v>1</v>
      </c>
    </row>
    <row r="1948" spans="1:26" ht="22.35" customHeight="1" x14ac:dyDescent="0.3">
      <c r="A1948" s="339" t="str">
        <f>+IF(PROVEEDORES[[#This Row],[FECHA DE PAGO]]=PROVEEDORES[[#This Row],[FECHA DE FACTURACIÓN]],"DE CONTADO","CRÉDITO")</f>
        <v>CRÉDITO</v>
      </c>
      <c r="B1948" s="38" t="str">
        <f>+IF((PROVEEDORES[[#This Row],[FECHA DE PAGO]]-PROVEEDORES[[#This Row],[FECHA DE FACTURACIÓN]])&gt;PROVEEDORES[[#This Row],[PLAZO Días]],"PAGO VENCIDO")</f>
        <v>PAGO VENCIDO</v>
      </c>
      <c r="C1948" s="20">
        <f>+VLOOKUP(PROVEEDORES[[#This Row],[PROVEEDOR]],TERCEROS_INFO[#All],2,FALSE)</f>
        <v>30</v>
      </c>
      <c r="D1948" s="25">
        <f>+SUMIFS(PROVEEDORES[Total],PROVEEDORES[PROVEEDOR],PROVEEDORES[[#This Row],[PROVEEDOR]],PROVEEDORES[FECHA DE PAGO],"")</f>
        <v>380979.69</v>
      </c>
      <c r="E1948" s="25"/>
      <c r="F1948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948" s="68">
        <v>45203</v>
      </c>
      <c r="H1948" s="26" t="s">
        <v>615</v>
      </c>
      <c r="I1948" s="68">
        <v>45134</v>
      </c>
      <c r="J1948" s="35" t="s">
        <v>1855</v>
      </c>
      <c r="K1948" s="21">
        <v>2187560</v>
      </c>
      <c r="L1948" s="21"/>
      <c r="M1948" s="22">
        <f>(PROVEEDORES[[#This Row],[SUBTOTAL]]-PROVEEDORES[[#This Row],[descuento sobre subtotal]])*VLOOKUP(PROVEEDORES[[#This Row],[PROVEEDOR]],TERCEROS_INFO[#All],3,FALSE)</f>
        <v>415636.4</v>
      </c>
      <c r="N1948" s="23"/>
      <c r="O1948" s="22">
        <f>+PROVEEDORES[[#This Row],[Descuento sobre subtotal %]]*(PROVEEDORES[[#This Row],[SUBTOTAL]]-PROVEEDORES[[#This Row],[descuento sobre subtotal]])</f>
        <v>0</v>
      </c>
      <c r="P1948" s="74">
        <f>+IF(PROVEEDORES[[#This Row],[SUBTOTAL]]&lt;PROVEEDORES[[#This Row],[base retencion]],0,PROVEEDORES[[#This Row],[retención aplicada]])</f>
        <v>0</v>
      </c>
      <c r="Q1948" s="22">
        <f>+PROVEEDORES[[#This Row],[Rete Fuente %]]*(PROVEEDORES[[#This Row],[SUBTOTAL]]-PROVEEDORES[[#This Row],[descuento sobre subtotal]])</f>
        <v>0</v>
      </c>
      <c r="R1948" s="21">
        <f>+PROVEEDORES[[#This Row],[SUBTOTAL]]+PROVEEDORES[[#This Row],[IVA 19%]]-PROVEEDORES[[#This Row],[descuento sobre subtotal]]-PROVEEDORES[[#This Row],[Descuento sobre subtotal $2]]-PROVEEDORES[[#This Row],[Rete Fuente $]]</f>
        <v>2603196.4</v>
      </c>
      <c r="S1948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8" s="63">
        <f ca="1">IF(PROVEEDORES[[#This Row],[FECHA DE PAGO]]=0,TODAY()-PROVEEDORES[[#This Row],[FECHA DE FACTURACIÓN]]-PROVEEDORES[[#This Row],[PLAZO Días]],0)</f>
        <v>0</v>
      </c>
      <c r="U1948" s="104">
        <f>+VLOOKUP(PROVEEDORES[[#This Row],[PROVEEDOR]],Terceros!$A:$D,4,FALSE)</f>
        <v>0</v>
      </c>
      <c r="V1948" s="105">
        <f>+YEAR(PROVEEDORES[[#This Row],[FECHA DE FACTURACIÓN]])</f>
        <v>2023</v>
      </c>
      <c r="W1948" s="105">
        <f>+MATCH(PROVEEDORES[[#This Row],[año facturado]],Retenciones!$1:$1,0)</f>
        <v>6</v>
      </c>
      <c r="X1948" s="106">
        <f>+VLOOKUP(PROVEEDORES[[#This Row],[ID RETENCION]],Retenciones!$A$1:$O$25,PROVEEDORES[[#This Row],[indicador de columna]],FALSE)</f>
        <v>0</v>
      </c>
      <c r="Y1948" s="107">
        <f>+VLOOKUP(PROVEEDORES[[#This Row],[ID RETENCION]],Retenciones!$A$1:$O$25,2,FALSE)</f>
        <v>0</v>
      </c>
      <c r="Z1948" s="116" t="b">
        <f>OR(COUNTIF(PROVEEDORES[[#This Row],[PROVEEDOR]],"*"&amp;'Palabra no opera'!$A$2&amp;"*"))</f>
        <v>1</v>
      </c>
    </row>
    <row r="1949" spans="1:26" ht="22.35" customHeight="1" x14ac:dyDescent="0.3">
      <c r="A1949" s="349" t="str">
        <f>+IF(PROVEEDORES[[#This Row],[FECHA DE PAGO]]=PROVEEDORES[[#This Row],[FECHA DE FACTURACIÓN]],"DE CONTADO","CRÉDITO")</f>
        <v>CRÉDITO</v>
      </c>
      <c r="B1949" s="38" t="str">
        <f>+IF((PROVEEDORES[[#This Row],[FECHA DE PAGO]]-PROVEEDORES[[#This Row],[FECHA DE FACTURACIÓN]])&gt;PROVEEDORES[[#This Row],[PLAZO Días]],"PAGO VENCIDO")</f>
        <v>PAGO VENCIDO</v>
      </c>
      <c r="C1949" s="20">
        <f>+VLOOKUP(PROVEEDORES[[#This Row],[PROVEEDOR]],TERCEROS_INFO[#All],2,FALSE)</f>
        <v>30</v>
      </c>
      <c r="D1949" s="25">
        <f>+SUMIFS(PROVEEDORES[Total],PROVEEDORES[PROVEEDOR],PROVEEDORES[[#This Row],[PROVEEDOR]],PROVEEDORES[FECHA DE PAGO],"")</f>
        <v>0</v>
      </c>
      <c r="E1949" s="25"/>
      <c r="F1949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949" s="68">
        <v>45203</v>
      </c>
      <c r="H1949" s="26" t="s">
        <v>38</v>
      </c>
      <c r="I1949" s="68">
        <v>45145</v>
      </c>
      <c r="J1949" s="35">
        <v>90105</v>
      </c>
      <c r="K1949" s="21">
        <v>2208124.6799999997</v>
      </c>
      <c r="L1949" s="21"/>
      <c r="M1949" s="22">
        <f>(PROVEEDORES[[#This Row],[SUBTOTAL]]-PROVEEDORES[[#This Row],[descuento sobre subtotal]])*VLOOKUP(PROVEEDORES[[#This Row],[PROVEEDOR]],TERCEROS_INFO[#All],3,FALSE)</f>
        <v>0</v>
      </c>
      <c r="N1949" s="23"/>
      <c r="O1949" s="22">
        <f>+PROVEEDORES[[#This Row],[Descuento sobre subtotal %]]*(PROVEEDORES[[#This Row],[SUBTOTAL]]-PROVEEDORES[[#This Row],[descuento sobre subtotal]])</f>
        <v>0</v>
      </c>
      <c r="P1949" s="74">
        <f>+IF(PROVEEDORES[[#This Row],[SUBTOTAL]]&lt;PROVEEDORES[[#This Row],[base retencion]],0,PROVEEDORES[[#This Row],[retención aplicada]])</f>
        <v>0</v>
      </c>
      <c r="Q1949" s="22">
        <f>+PROVEEDORES[[#This Row],[Rete Fuente %]]*(PROVEEDORES[[#This Row],[SUBTOTAL]]-PROVEEDORES[[#This Row],[descuento sobre subtotal]])</f>
        <v>0</v>
      </c>
      <c r="R1949" s="21">
        <f>+PROVEEDORES[[#This Row],[SUBTOTAL]]+PROVEEDORES[[#This Row],[IVA 19%]]-PROVEEDORES[[#This Row],[descuento sobre subtotal]]-PROVEEDORES[[#This Row],[Descuento sobre subtotal $2]]-PROVEEDORES[[#This Row],[Rete Fuente $]]</f>
        <v>2208124.6799999997</v>
      </c>
      <c r="S1949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9" s="63">
        <f ca="1">IF(PROVEEDORES[[#This Row],[FECHA DE PAGO]]=0,TODAY()-PROVEEDORES[[#This Row],[FECHA DE FACTURACIÓN]]-PROVEEDORES[[#This Row],[PLAZO Días]],0)</f>
        <v>0</v>
      </c>
      <c r="U1949" s="104">
        <f>+VLOOKUP(PROVEEDORES[[#This Row],[PROVEEDOR]],Terceros!$A:$D,4,FALSE)</f>
        <v>0</v>
      </c>
      <c r="V1949" s="105">
        <f>+YEAR(PROVEEDORES[[#This Row],[FECHA DE FACTURACIÓN]])</f>
        <v>2023</v>
      </c>
      <c r="W1949" s="105">
        <f>+MATCH(PROVEEDORES[[#This Row],[año facturado]],Retenciones!$1:$1,0)</f>
        <v>6</v>
      </c>
      <c r="X1949" s="106">
        <f>+VLOOKUP(PROVEEDORES[[#This Row],[ID RETENCION]],Retenciones!$A$1:$O$25,PROVEEDORES[[#This Row],[indicador de columna]],FALSE)</f>
        <v>0</v>
      </c>
      <c r="Y1949" s="107">
        <f>+VLOOKUP(PROVEEDORES[[#This Row],[ID RETENCION]],Retenciones!$A$1:$O$25,2,FALSE)</f>
        <v>0</v>
      </c>
      <c r="Z1949" s="116" t="b">
        <f>OR(COUNTIF(PROVEEDORES[[#This Row],[PROVEEDOR]],"*"&amp;'Palabra no opera'!$A$2&amp;"*"))</f>
        <v>0</v>
      </c>
    </row>
    <row r="1950" spans="1:26" ht="22.35" customHeight="1" x14ac:dyDescent="0.3">
      <c r="A1950" s="349" t="str">
        <f>+IF(PROVEEDORES[[#This Row],[FECHA DE PAGO]]=PROVEEDORES[[#This Row],[FECHA DE FACTURACIÓN]],"DE CONTADO","CRÉDITO")</f>
        <v>CRÉDITO</v>
      </c>
      <c r="B1950" s="38" t="str">
        <f>+IF((PROVEEDORES[[#This Row],[FECHA DE PAGO]]-PROVEEDORES[[#This Row],[FECHA DE FACTURACIÓN]])&gt;PROVEEDORES[[#This Row],[PLAZO Días]],"PAGO VENCIDO")</f>
        <v>PAGO VENCIDO</v>
      </c>
      <c r="C1950" s="20">
        <f>+VLOOKUP(PROVEEDORES[[#This Row],[PROVEEDOR]],TERCEROS_INFO[#All],2,FALSE)</f>
        <v>30</v>
      </c>
      <c r="D1950" s="25">
        <f>+SUMIFS(PROVEEDORES[Total],PROVEEDORES[PROVEEDOR],PROVEEDORES[[#This Row],[PROVEEDOR]],PROVEEDORES[FECHA DE PAGO],"")</f>
        <v>0</v>
      </c>
      <c r="E1950" s="25"/>
      <c r="F1950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950" s="68">
        <v>45203</v>
      </c>
      <c r="H1950" s="26" t="s">
        <v>38</v>
      </c>
      <c r="I1950" s="68">
        <v>45147</v>
      </c>
      <c r="J1950" s="35">
        <v>90276</v>
      </c>
      <c r="K1950" s="21">
        <v>3715930</v>
      </c>
      <c r="L1950" s="21"/>
      <c r="M1950" s="22">
        <f>(PROVEEDORES[[#This Row],[SUBTOTAL]]-PROVEEDORES[[#This Row],[descuento sobre subtotal]])*VLOOKUP(PROVEEDORES[[#This Row],[PROVEEDOR]],TERCEROS_INFO[#All],3,FALSE)</f>
        <v>0</v>
      </c>
      <c r="N1950" s="23"/>
      <c r="O1950" s="22">
        <f>+PROVEEDORES[[#This Row],[Descuento sobre subtotal %]]*(PROVEEDORES[[#This Row],[SUBTOTAL]]-PROVEEDORES[[#This Row],[descuento sobre subtotal]])</f>
        <v>0</v>
      </c>
      <c r="P1950" s="74">
        <f>+IF(PROVEEDORES[[#This Row],[SUBTOTAL]]&lt;PROVEEDORES[[#This Row],[base retencion]],0,PROVEEDORES[[#This Row],[retención aplicada]])</f>
        <v>0</v>
      </c>
      <c r="Q1950" s="22">
        <f>+PROVEEDORES[[#This Row],[Rete Fuente %]]*(PROVEEDORES[[#This Row],[SUBTOTAL]]-PROVEEDORES[[#This Row],[descuento sobre subtotal]])</f>
        <v>0</v>
      </c>
      <c r="R1950" s="21">
        <f>+PROVEEDORES[[#This Row],[SUBTOTAL]]+PROVEEDORES[[#This Row],[IVA 19%]]-PROVEEDORES[[#This Row],[descuento sobre subtotal]]-PROVEEDORES[[#This Row],[Descuento sobre subtotal $2]]-PROVEEDORES[[#This Row],[Rete Fuente $]]</f>
        <v>3715930</v>
      </c>
      <c r="S1950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0" s="63">
        <f ca="1">IF(PROVEEDORES[[#This Row],[FECHA DE PAGO]]=0,TODAY()-PROVEEDORES[[#This Row],[FECHA DE FACTURACIÓN]]-PROVEEDORES[[#This Row],[PLAZO Días]],0)</f>
        <v>0</v>
      </c>
      <c r="U1950" s="104">
        <f>+VLOOKUP(PROVEEDORES[[#This Row],[PROVEEDOR]],Terceros!$A:$D,4,FALSE)</f>
        <v>0</v>
      </c>
      <c r="V1950" s="105">
        <f>+YEAR(PROVEEDORES[[#This Row],[FECHA DE FACTURACIÓN]])</f>
        <v>2023</v>
      </c>
      <c r="W1950" s="105">
        <f>+MATCH(PROVEEDORES[[#This Row],[año facturado]],Retenciones!$1:$1,0)</f>
        <v>6</v>
      </c>
      <c r="X1950" s="106">
        <f>+VLOOKUP(PROVEEDORES[[#This Row],[ID RETENCION]],Retenciones!$A$1:$O$25,PROVEEDORES[[#This Row],[indicador de columna]],FALSE)</f>
        <v>0</v>
      </c>
      <c r="Y1950" s="107">
        <f>+VLOOKUP(PROVEEDORES[[#This Row],[ID RETENCION]],Retenciones!$A$1:$O$25,2,FALSE)</f>
        <v>0</v>
      </c>
      <c r="Z1950" s="116" t="b">
        <f>OR(COUNTIF(PROVEEDORES[[#This Row],[PROVEEDOR]],"*"&amp;'Palabra no opera'!$A$2&amp;"*"))</f>
        <v>0</v>
      </c>
    </row>
    <row r="1951" spans="1:26" ht="22.35" customHeight="1" x14ac:dyDescent="0.3">
      <c r="A1951" s="349" t="str">
        <f>+IF(PROVEEDORES[[#This Row],[FECHA DE PAGO]]=PROVEEDORES[[#This Row],[FECHA DE FACTURACIÓN]],"DE CONTADO","CRÉDITO")</f>
        <v>CRÉDITO</v>
      </c>
      <c r="B1951" s="38" t="str">
        <f>+IF((PROVEEDORES[[#This Row],[FECHA DE PAGO]]-PROVEEDORES[[#This Row],[FECHA DE FACTURACIÓN]])&gt;PROVEEDORES[[#This Row],[PLAZO Días]],"PAGO VENCIDO")</f>
        <v>PAGO VENCIDO</v>
      </c>
      <c r="C1951" s="20">
        <f>+VLOOKUP(PROVEEDORES[[#This Row],[PROVEEDOR]],TERCEROS_INFO[#All],2,FALSE)</f>
        <v>30</v>
      </c>
      <c r="D1951" s="25">
        <f>+SUMIFS(PROVEEDORES[Total],PROVEEDORES[PROVEEDOR],PROVEEDORES[[#This Row],[PROVEEDOR]],PROVEEDORES[FECHA DE PAGO],"")</f>
        <v>0</v>
      </c>
      <c r="E1951" s="25"/>
      <c r="F1951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951" s="68">
        <v>45203</v>
      </c>
      <c r="H1951" s="26" t="s">
        <v>38</v>
      </c>
      <c r="I1951" s="68">
        <v>45147</v>
      </c>
      <c r="J1951" s="35">
        <v>90700</v>
      </c>
      <c r="K1951" s="21">
        <v>3433190.84</v>
      </c>
      <c r="L1951" s="21"/>
      <c r="M1951" s="22">
        <f>(PROVEEDORES[[#This Row],[SUBTOTAL]]-PROVEEDORES[[#This Row],[descuento sobre subtotal]])*VLOOKUP(PROVEEDORES[[#This Row],[PROVEEDOR]],TERCEROS_INFO[#All],3,FALSE)</f>
        <v>0</v>
      </c>
      <c r="N1951" s="23"/>
      <c r="O1951" s="22">
        <f>+PROVEEDORES[[#This Row],[Descuento sobre subtotal %]]*(PROVEEDORES[[#This Row],[SUBTOTAL]]-PROVEEDORES[[#This Row],[descuento sobre subtotal]])</f>
        <v>0</v>
      </c>
      <c r="P1951" s="74">
        <f>+IF(PROVEEDORES[[#This Row],[SUBTOTAL]]&lt;PROVEEDORES[[#This Row],[base retencion]],0,PROVEEDORES[[#This Row],[retención aplicada]])</f>
        <v>0</v>
      </c>
      <c r="Q1951" s="22">
        <f>+PROVEEDORES[[#This Row],[Rete Fuente %]]*(PROVEEDORES[[#This Row],[SUBTOTAL]]-PROVEEDORES[[#This Row],[descuento sobre subtotal]])</f>
        <v>0</v>
      </c>
      <c r="R1951" s="21">
        <f>+PROVEEDORES[[#This Row],[SUBTOTAL]]+PROVEEDORES[[#This Row],[IVA 19%]]-PROVEEDORES[[#This Row],[descuento sobre subtotal]]-PROVEEDORES[[#This Row],[Descuento sobre subtotal $2]]-PROVEEDORES[[#This Row],[Rete Fuente $]]</f>
        <v>3433190.84</v>
      </c>
      <c r="S1951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1" s="63">
        <f ca="1">IF(PROVEEDORES[[#This Row],[FECHA DE PAGO]]=0,TODAY()-PROVEEDORES[[#This Row],[FECHA DE FACTURACIÓN]]-PROVEEDORES[[#This Row],[PLAZO Días]],0)</f>
        <v>0</v>
      </c>
      <c r="U1951" s="104">
        <f>+VLOOKUP(PROVEEDORES[[#This Row],[PROVEEDOR]],Terceros!$A:$D,4,FALSE)</f>
        <v>0</v>
      </c>
      <c r="V1951" s="105">
        <f>+YEAR(PROVEEDORES[[#This Row],[FECHA DE FACTURACIÓN]])</f>
        <v>2023</v>
      </c>
      <c r="W1951" s="105">
        <f>+MATCH(PROVEEDORES[[#This Row],[año facturado]],Retenciones!$1:$1,0)</f>
        <v>6</v>
      </c>
      <c r="X1951" s="106">
        <f>+VLOOKUP(PROVEEDORES[[#This Row],[ID RETENCION]],Retenciones!$A$1:$O$25,PROVEEDORES[[#This Row],[indicador de columna]],FALSE)</f>
        <v>0</v>
      </c>
      <c r="Y1951" s="107">
        <f>+VLOOKUP(PROVEEDORES[[#This Row],[ID RETENCION]],Retenciones!$A$1:$O$25,2,FALSE)</f>
        <v>0</v>
      </c>
      <c r="Z1951" s="116" t="b">
        <f>OR(COUNTIF(PROVEEDORES[[#This Row],[PROVEEDOR]],"*"&amp;'Palabra no opera'!$A$2&amp;"*"))</f>
        <v>0</v>
      </c>
    </row>
    <row r="1952" spans="1:26" ht="22.35" customHeight="1" x14ac:dyDescent="0.3">
      <c r="A1952" s="377" t="str">
        <f>+IF(PROVEEDORES[[#This Row],[FECHA DE PAGO]]=PROVEEDORES[[#This Row],[FECHA DE FACTURACIÓN]],"DE CONTADO","CRÉDITO")</f>
        <v>CRÉDITO</v>
      </c>
      <c r="B1952" s="38" t="b">
        <f>+IF((PROVEEDORES[[#This Row],[FECHA DE PAGO]]-PROVEEDORES[[#This Row],[FECHA DE FACTURACIÓN]])&gt;PROVEEDORES[[#This Row],[PLAZO Días]],"PAGO VENCIDO")</f>
        <v>0</v>
      </c>
      <c r="C1952" s="20">
        <f>+VLOOKUP(PROVEEDORES[[#This Row],[PROVEEDOR]],TERCEROS_INFO[#All],2,FALSE)</f>
        <v>30</v>
      </c>
      <c r="D1952" s="25">
        <f>+SUMIFS(PROVEEDORES[Total],PROVEEDORES[PROVEEDOR],PROVEEDORES[[#This Row],[PROVEEDOR]],PROVEEDORES[FECHA DE PAGO],"")</f>
        <v>0</v>
      </c>
      <c r="E1952" s="25"/>
      <c r="F1952" s="56">
        <f>+VLOOKUP(PROVEEDORES[[#This Row],[PROVEEDOR]],
                       Terceros!$A:$F,
                       5,
                       FALSE)</f>
        <v>0</v>
      </c>
      <c r="G1952" s="68">
        <v>45203</v>
      </c>
      <c r="H1952" s="26" t="s">
        <v>642</v>
      </c>
      <c r="I1952" s="68">
        <v>45200</v>
      </c>
      <c r="J1952" s="35" t="s">
        <v>919</v>
      </c>
      <c r="K1952" s="21">
        <v>129083</v>
      </c>
      <c r="L1952" s="21"/>
      <c r="M1952" s="22">
        <f>(PROVEEDORES[[#This Row],[SUBTOTAL]]-PROVEEDORES[[#This Row],[descuento sobre subtotal]])*VLOOKUP(PROVEEDORES[[#This Row],[PROVEEDOR]],TERCEROS_INFO[#All],3,FALSE)</f>
        <v>0</v>
      </c>
      <c r="N1952" s="23"/>
      <c r="O1952" s="22">
        <f>+PROVEEDORES[[#This Row],[Descuento sobre subtotal %]]*(PROVEEDORES[[#This Row],[SUBTOTAL]]-PROVEEDORES[[#This Row],[descuento sobre subtotal]])</f>
        <v>0</v>
      </c>
      <c r="P1952" s="74">
        <f>+IF(PROVEEDORES[[#This Row],[SUBTOTAL]]&lt;PROVEEDORES[[#This Row],[base retencion]],0,PROVEEDORES[[#This Row],[retención aplicada]])</f>
        <v>0</v>
      </c>
      <c r="Q1952" s="22">
        <f>+PROVEEDORES[[#This Row],[Rete Fuente %]]*(PROVEEDORES[[#This Row],[SUBTOTAL]]-PROVEEDORES[[#This Row],[descuento sobre subtotal]])</f>
        <v>0</v>
      </c>
      <c r="R1952" s="21">
        <f>+PROVEEDORES[[#This Row],[SUBTOTAL]]+PROVEEDORES[[#This Row],[IVA 19%]]-PROVEEDORES[[#This Row],[descuento sobre subtotal]]-PROVEEDORES[[#This Row],[Descuento sobre subtotal $2]]-PROVEEDORES[[#This Row],[Rete Fuente $]]</f>
        <v>129083</v>
      </c>
      <c r="S1952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2" s="63">
        <f ca="1">IF(PROVEEDORES[[#This Row],[FECHA DE PAGO]]=0,TODAY()-PROVEEDORES[[#This Row],[FECHA DE FACTURACIÓN]]-PROVEEDORES[[#This Row],[PLAZO Días]],0)</f>
        <v>0</v>
      </c>
      <c r="U1952" s="104">
        <f>+VLOOKUP(PROVEEDORES[[#This Row],[PROVEEDOR]],Terceros!$A:$D,4,FALSE)</f>
        <v>0</v>
      </c>
      <c r="V1952" s="105">
        <f>+YEAR(PROVEEDORES[[#This Row],[FECHA DE FACTURACIÓN]])</f>
        <v>2023</v>
      </c>
      <c r="W1952" s="105">
        <f>+MATCH(PROVEEDORES[[#This Row],[año facturado]],Retenciones!$1:$1,0)</f>
        <v>6</v>
      </c>
      <c r="X1952" s="106">
        <f>+VLOOKUP(PROVEEDORES[[#This Row],[ID RETENCION]],Retenciones!$A$1:$O$25,PROVEEDORES[[#This Row],[indicador de columna]],FALSE)</f>
        <v>0</v>
      </c>
      <c r="Y1952" s="107">
        <f>+VLOOKUP(PROVEEDORES[[#This Row],[ID RETENCION]],Retenciones!$A$1:$O$25,2,FALSE)</f>
        <v>0</v>
      </c>
      <c r="Z1952" s="116" t="b">
        <f>OR(COUNTIF(PROVEEDORES[[#This Row],[PROVEEDOR]],"*"&amp;'Palabra no opera'!$A$2&amp;"*"))</f>
        <v>1</v>
      </c>
    </row>
    <row r="1953" spans="1:26" ht="22.35" customHeight="1" x14ac:dyDescent="0.3">
      <c r="A1953" s="351" t="str">
        <f>+IF(PROVEEDORES[[#This Row],[FECHA DE PAGO]]=PROVEEDORES[[#This Row],[FECHA DE FACTURACIÓN]],"DE CONTADO","CRÉDITO")</f>
        <v>CRÉDITO</v>
      </c>
      <c r="B1953" s="38" t="str">
        <f>+IF((PROVEEDORES[[#This Row],[FECHA DE PAGO]]-PROVEEDORES[[#This Row],[FECHA DE FACTURACIÓN]])&gt;PROVEEDORES[[#This Row],[PLAZO Días]],"PAGO VENCIDO")</f>
        <v>PAGO VENCIDO</v>
      </c>
      <c r="C1953" s="20">
        <f>+VLOOKUP(PROVEEDORES[[#This Row],[PROVEEDOR]],TERCEROS_INFO[#All],2,FALSE)</f>
        <v>30</v>
      </c>
      <c r="D1953" s="25">
        <f>+SUMIFS(PROVEEDORES[Total],PROVEEDORES[PROVEEDOR],PROVEEDORES[[#This Row],[PROVEEDOR]],PROVEEDORES[FECHA DE PAGO],"")</f>
        <v>0</v>
      </c>
      <c r="E1953" s="25"/>
      <c r="F1953" s="56" t="str">
        <f>+VLOOKUP(PROVEEDORES[[#This Row],[PROVEEDOR]],
                       Terceros!$A:$F,
                       5,
                       FALSE)</f>
        <v/>
      </c>
      <c r="G1953" s="68">
        <v>45205</v>
      </c>
      <c r="H1953" s="26" t="s">
        <v>401</v>
      </c>
      <c r="I1953" s="68">
        <v>45169</v>
      </c>
      <c r="J1953" s="35" t="s">
        <v>1935</v>
      </c>
      <c r="K1953" s="21">
        <v>447500</v>
      </c>
      <c r="L1953" s="21"/>
      <c r="M1953" s="22">
        <f>(PROVEEDORES[[#This Row],[SUBTOTAL]]-PROVEEDORES[[#This Row],[descuento sobre subtotal]])*VLOOKUP(PROVEEDORES[[#This Row],[PROVEEDOR]],TERCEROS_INFO[#All],3,FALSE)</f>
        <v>0</v>
      </c>
      <c r="N1953" s="23"/>
      <c r="O1953" s="22">
        <f>+PROVEEDORES[[#This Row],[Descuento sobre subtotal %]]*(PROVEEDORES[[#This Row],[SUBTOTAL]]-PROVEEDORES[[#This Row],[descuento sobre subtotal]])</f>
        <v>0</v>
      </c>
      <c r="P1953" s="74">
        <f>+IF(PROVEEDORES[[#This Row],[SUBTOTAL]]&lt;PROVEEDORES[[#This Row],[base retencion]],0,PROVEEDORES[[#This Row],[retención aplicada]])</f>
        <v>0</v>
      </c>
      <c r="Q1953" s="22">
        <f>+PROVEEDORES[[#This Row],[Rete Fuente %]]*(PROVEEDORES[[#This Row],[SUBTOTAL]]-PROVEEDORES[[#This Row],[descuento sobre subtotal]])</f>
        <v>0</v>
      </c>
      <c r="R1953" s="21">
        <f>+PROVEEDORES[[#This Row],[SUBTOTAL]]+PROVEEDORES[[#This Row],[IVA 19%]]-PROVEEDORES[[#This Row],[descuento sobre subtotal]]-PROVEEDORES[[#This Row],[Descuento sobre subtotal $2]]-PROVEEDORES[[#This Row],[Rete Fuente $]]</f>
        <v>447500</v>
      </c>
      <c r="S1953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3" s="63">
        <f ca="1">IF(PROVEEDORES[[#This Row],[FECHA DE PAGO]]=0,TODAY()-PROVEEDORES[[#This Row],[FECHA DE FACTURACIÓN]]-PROVEEDORES[[#This Row],[PLAZO Días]],0)</f>
        <v>0</v>
      </c>
      <c r="U1953" s="104">
        <f>+VLOOKUP(PROVEEDORES[[#This Row],[PROVEEDOR]],Terceros!$A:$D,4,FALSE)</f>
        <v>0</v>
      </c>
      <c r="V1953" s="105">
        <f>+YEAR(PROVEEDORES[[#This Row],[FECHA DE FACTURACIÓN]])</f>
        <v>2023</v>
      </c>
      <c r="W1953" s="105">
        <f>+MATCH(PROVEEDORES[[#This Row],[año facturado]],Retenciones!$1:$1,0)</f>
        <v>6</v>
      </c>
      <c r="X1953" s="106">
        <f>+VLOOKUP(PROVEEDORES[[#This Row],[ID RETENCION]],Retenciones!$A$1:$O$25,PROVEEDORES[[#This Row],[indicador de columna]],FALSE)</f>
        <v>0</v>
      </c>
      <c r="Y1953" s="107">
        <f>+VLOOKUP(PROVEEDORES[[#This Row],[ID RETENCION]],Retenciones!$A$1:$O$25,2,FALSE)</f>
        <v>0</v>
      </c>
      <c r="Z1953" s="116" t="b">
        <f>OR(COUNTIF(PROVEEDORES[[#This Row],[PROVEEDOR]],"*"&amp;'Palabra no opera'!$A$2&amp;"*"))</f>
        <v>0</v>
      </c>
    </row>
    <row r="1954" spans="1:26" ht="22.35" customHeight="1" x14ac:dyDescent="0.3">
      <c r="A1954" s="351" t="str">
        <f>+IF(PROVEEDORES[[#This Row],[FECHA DE PAGO]]=PROVEEDORES[[#This Row],[FECHA DE FACTURACIÓN]],"DE CONTADO","CRÉDITO")</f>
        <v>CRÉDITO</v>
      </c>
      <c r="B1954" s="38" t="str">
        <f>+IF((PROVEEDORES[[#This Row],[FECHA DE PAGO]]-PROVEEDORES[[#This Row],[FECHA DE FACTURACIÓN]])&gt;PROVEEDORES[[#This Row],[PLAZO Días]],"PAGO VENCIDO")</f>
        <v>PAGO VENCIDO</v>
      </c>
      <c r="C1954" s="20">
        <f>+VLOOKUP(PROVEEDORES[[#This Row],[PROVEEDOR]],TERCEROS_INFO[#All],2,FALSE)</f>
        <v>30</v>
      </c>
      <c r="D1954" s="25">
        <f>+SUMIFS(PROVEEDORES[Total],PROVEEDORES[PROVEEDOR],PROVEEDORES[[#This Row],[PROVEEDOR]],PROVEEDORES[FECHA DE PAGO],"")</f>
        <v>0</v>
      </c>
      <c r="E1954" s="25"/>
      <c r="F1954" s="56" t="str">
        <f>+VLOOKUP(PROVEEDORES[[#This Row],[PROVEEDOR]],
                       Terceros!$A:$F,
                       5,
                       FALSE)</f>
        <v/>
      </c>
      <c r="G1954" s="68">
        <v>45205</v>
      </c>
      <c r="H1954" s="26" t="s">
        <v>401</v>
      </c>
      <c r="I1954" s="68">
        <v>45174</v>
      </c>
      <c r="J1954" s="35" t="s">
        <v>1934</v>
      </c>
      <c r="K1954" s="21">
        <v>452000</v>
      </c>
      <c r="L1954" s="21"/>
      <c r="M1954" s="22">
        <f>(PROVEEDORES[[#This Row],[SUBTOTAL]]-PROVEEDORES[[#This Row],[descuento sobre subtotal]])*VLOOKUP(PROVEEDORES[[#This Row],[PROVEEDOR]],TERCEROS_INFO[#All],3,FALSE)</f>
        <v>0</v>
      </c>
      <c r="N1954" s="23"/>
      <c r="O1954" s="22">
        <f>+PROVEEDORES[[#This Row],[Descuento sobre subtotal %]]*(PROVEEDORES[[#This Row],[SUBTOTAL]]-PROVEEDORES[[#This Row],[descuento sobre subtotal]])</f>
        <v>0</v>
      </c>
      <c r="P1954" s="74">
        <f>+IF(PROVEEDORES[[#This Row],[SUBTOTAL]]&lt;PROVEEDORES[[#This Row],[base retencion]],0,PROVEEDORES[[#This Row],[retención aplicada]])</f>
        <v>0</v>
      </c>
      <c r="Q1954" s="22">
        <f>+PROVEEDORES[[#This Row],[Rete Fuente %]]*(PROVEEDORES[[#This Row],[SUBTOTAL]]-PROVEEDORES[[#This Row],[descuento sobre subtotal]])</f>
        <v>0</v>
      </c>
      <c r="R1954" s="21">
        <f>+PROVEEDORES[[#This Row],[SUBTOTAL]]+PROVEEDORES[[#This Row],[IVA 19%]]-PROVEEDORES[[#This Row],[descuento sobre subtotal]]-PROVEEDORES[[#This Row],[Descuento sobre subtotal $2]]-PROVEEDORES[[#This Row],[Rete Fuente $]]</f>
        <v>452000</v>
      </c>
      <c r="S1954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4" s="63">
        <f ca="1">IF(PROVEEDORES[[#This Row],[FECHA DE PAGO]]=0,TODAY()-PROVEEDORES[[#This Row],[FECHA DE FACTURACIÓN]]-PROVEEDORES[[#This Row],[PLAZO Días]],0)</f>
        <v>0</v>
      </c>
      <c r="U1954" s="104">
        <f>+VLOOKUP(PROVEEDORES[[#This Row],[PROVEEDOR]],Terceros!$A:$D,4,FALSE)</f>
        <v>0</v>
      </c>
      <c r="V1954" s="105">
        <f>+YEAR(PROVEEDORES[[#This Row],[FECHA DE FACTURACIÓN]])</f>
        <v>2023</v>
      </c>
      <c r="W1954" s="105">
        <f>+MATCH(PROVEEDORES[[#This Row],[año facturado]],Retenciones!$1:$1,0)</f>
        <v>6</v>
      </c>
      <c r="X1954" s="106">
        <f>+VLOOKUP(PROVEEDORES[[#This Row],[ID RETENCION]],Retenciones!$A$1:$O$25,PROVEEDORES[[#This Row],[indicador de columna]],FALSE)</f>
        <v>0</v>
      </c>
      <c r="Y1954" s="107">
        <f>+VLOOKUP(PROVEEDORES[[#This Row],[ID RETENCION]],Retenciones!$A$1:$O$25,2,FALSE)</f>
        <v>0</v>
      </c>
      <c r="Z1954" s="116" t="b">
        <f>OR(COUNTIF(PROVEEDORES[[#This Row],[PROVEEDOR]],"*"&amp;'Palabra no opera'!$A$2&amp;"*"))</f>
        <v>0</v>
      </c>
    </row>
    <row r="1955" spans="1:26" ht="22.35" customHeight="1" x14ac:dyDescent="0.3">
      <c r="A1955" s="349" t="str">
        <f>+IF(PROVEEDORES[[#This Row],[FECHA DE PAGO]]=PROVEEDORES[[#This Row],[FECHA DE FACTURACIÓN]],"DE CONTADO","CRÉDITO")</f>
        <v>CRÉDITO</v>
      </c>
      <c r="B1955" s="38" t="b">
        <f>+IF((PROVEEDORES[[#This Row],[FECHA DE PAGO]]-PROVEEDORES[[#This Row],[FECHA DE FACTURACIÓN]])&gt;PROVEEDORES[[#This Row],[PLAZO Días]],"PAGO VENCIDO")</f>
        <v>0</v>
      </c>
      <c r="C1955" s="20">
        <f>+VLOOKUP(PROVEEDORES[[#This Row],[PROVEEDOR]],TERCEROS_INFO[#All],2,FALSE)</f>
        <v>60</v>
      </c>
      <c r="D1955" s="25">
        <f>+SUMIFS(PROVEEDORES[Total],PROVEEDORES[PROVEEDOR],PROVEEDORES[[#This Row],[PROVEEDOR]],PROVEEDORES[FECHA DE PAGO],"")</f>
        <v>395600</v>
      </c>
      <c r="E1955" s="25"/>
      <c r="F195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55" s="68">
        <v>45205</v>
      </c>
      <c r="H1955" s="26" t="s">
        <v>287</v>
      </c>
      <c r="I1955" s="68">
        <v>45169</v>
      </c>
      <c r="J1955" s="35">
        <v>1770</v>
      </c>
      <c r="K1955" s="21">
        <v>1024800</v>
      </c>
      <c r="L1955" s="21"/>
      <c r="M1955" s="22">
        <f>(PROVEEDORES[[#This Row],[SUBTOTAL]]-PROVEEDORES[[#This Row],[descuento sobre subtotal]])*VLOOKUP(PROVEEDORES[[#This Row],[PROVEEDOR]],TERCEROS_INFO[#All],3,FALSE)</f>
        <v>0</v>
      </c>
      <c r="N1955" s="23"/>
      <c r="O1955" s="22">
        <f>+PROVEEDORES[[#This Row],[Descuento sobre subtotal %]]*(PROVEEDORES[[#This Row],[SUBTOTAL]]-PROVEEDORES[[#This Row],[descuento sobre subtotal]])</f>
        <v>0</v>
      </c>
      <c r="P1955" s="74">
        <f>+IF(PROVEEDORES[[#This Row],[SUBTOTAL]]&lt;PROVEEDORES[[#This Row],[base retencion]],0,PROVEEDORES[[#This Row],[retención aplicada]])</f>
        <v>0</v>
      </c>
      <c r="Q1955" s="22">
        <f>+PROVEEDORES[[#This Row],[Rete Fuente %]]*(PROVEEDORES[[#This Row],[SUBTOTAL]]-PROVEEDORES[[#This Row],[descuento sobre subtotal]])</f>
        <v>0</v>
      </c>
      <c r="R1955" s="21">
        <f>+PROVEEDORES[[#This Row],[SUBTOTAL]]+PROVEEDORES[[#This Row],[IVA 19%]]-PROVEEDORES[[#This Row],[descuento sobre subtotal]]-PROVEEDORES[[#This Row],[Descuento sobre subtotal $2]]-PROVEEDORES[[#This Row],[Rete Fuente $]]</f>
        <v>1024800</v>
      </c>
      <c r="S1955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5" s="63">
        <f ca="1">IF(PROVEEDORES[[#This Row],[FECHA DE PAGO]]=0,TODAY()-PROVEEDORES[[#This Row],[FECHA DE FACTURACIÓN]]-PROVEEDORES[[#This Row],[PLAZO Días]],0)</f>
        <v>0</v>
      </c>
      <c r="U1955" s="104">
        <f>+VLOOKUP(PROVEEDORES[[#This Row],[PROVEEDOR]],Terceros!$A:$D,4,FALSE)</f>
        <v>0</v>
      </c>
      <c r="V1955" s="105">
        <f>+YEAR(PROVEEDORES[[#This Row],[FECHA DE FACTURACIÓN]])</f>
        <v>2023</v>
      </c>
      <c r="W1955" s="105">
        <f>+MATCH(PROVEEDORES[[#This Row],[año facturado]],Retenciones!$1:$1,0)</f>
        <v>6</v>
      </c>
      <c r="X1955" s="106">
        <f>+VLOOKUP(PROVEEDORES[[#This Row],[ID RETENCION]],Retenciones!$A$1:$O$25,PROVEEDORES[[#This Row],[indicador de columna]],FALSE)</f>
        <v>0</v>
      </c>
      <c r="Y1955" s="107">
        <f>+VLOOKUP(PROVEEDORES[[#This Row],[ID RETENCION]],Retenciones!$A$1:$O$25,2,FALSE)</f>
        <v>0</v>
      </c>
      <c r="Z1955" s="116" t="b">
        <f>OR(COUNTIF(PROVEEDORES[[#This Row],[PROVEEDOR]],"*"&amp;'Palabra no opera'!$A$2&amp;"*"))</f>
        <v>0</v>
      </c>
    </row>
    <row r="1956" spans="1:26" ht="22.35" customHeight="1" x14ac:dyDescent="0.3">
      <c r="A1956" s="67" t="str">
        <f>+IF(PROVEEDORES[[#This Row],[FECHA DE PAGO]]=PROVEEDORES[[#This Row],[FECHA DE FACTURACIÓN]],"DE CONTADO","CRÉDITO")</f>
        <v>CRÉDITO</v>
      </c>
      <c r="B1956" s="38" t="b">
        <f>+IF((PROVEEDORES[[#This Row],[FECHA DE PAGO]]-PROVEEDORES[[#This Row],[FECHA DE FACTURACIÓN]])&gt;PROVEEDORES[[#This Row],[PLAZO Días]],"PAGO VENCIDO")</f>
        <v>0</v>
      </c>
      <c r="C1956" s="20">
        <f>+VLOOKUP(PROVEEDORES[[#This Row],[PROVEEDOR]],TERCEROS_INFO[#All],2,FALSE)</f>
        <v>60</v>
      </c>
      <c r="D1956" s="25">
        <f>+SUMIFS(PROVEEDORES[Total],PROVEEDORES[PROVEEDOR],PROVEEDORES[[#This Row],[PROVEEDOR]],PROVEEDORES[FECHA DE PAGO],"")</f>
        <v>395600</v>
      </c>
      <c r="E1956" s="25"/>
      <c r="F195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56" s="68">
        <v>45205</v>
      </c>
      <c r="H1956" s="26" t="s">
        <v>287</v>
      </c>
      <c r="I1956" s="68">
        <v>45190</v>
      </c>
      <c r="J1956" s="35">
        <v>1794</v>
      </c>
      <c r="K1956" s="21">
        <v>252000</v>
      </c>
      <c r="L1956" s="21"/>
      <c r="M1956" s="22">
        <f>(PROVEEDORES[[#This Row],[SUBTOTAL]]-PROVEEDORES[[#This Row],[descuento sobre subtotal]])*VLOOKUP(PROVEEDORES[[#This Row],[PROVEEDOR]],TERCEROS_INFO[#All],3,FALSE)</f>
        <v>0</v>
      </c>
      <c r="N1956" s="23"/>
      <c r="O1956" s="22">
        <f>+PROVEEDORES[[#This Row],[Descuento sobre subtotal %]]*(PROVEEDORES[[#This Row],[SUBTOTAL]]-PROVEEDORES[[#This Row],[descuento sobre subtotal]])</f>
        <v>0</v>
      </c>
      <c r="P1956" s="74">
        <f>+IF(PROVEEDORES[[#This Row],[SUBTOTAL]]&lt;PROVEEDORES[[#This Row],[base retencion]],0,PROVEEDORES[[#This Row],[retención aplicada]])</f>
        <v>0</v>
      </c>
      <c r="Q1956" s="22">
        <f>+PROVEEDORES[[#This Row],[Rete Fuente %]]*(PROVEEDORES[[#This Row],[SUBTOTAL]]-PROVEEDORES[[#This Row],[descuento sobre subtotal]])</f>
        <v>0</v>
      </c>
      <c r="R1956" s="21">
        <f>+PROVEEDORES[[#This Row],[SUBTOTAL]]+PROVEEDORES[[#This Row],[IVA 19%]]-PROVEEDORES[[#This Row],[descuento sobre subtotal]]-PROVEEDORES[[#This Row],[Descuento sobre subtotal $2]]-PROVEEDORES[[#This Row],[Rete Fuente $]]</f>
        <v>252000</v>
      </c>
      <c r="S19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6" s="63">
        <f ca="1">IF(PROVEEDORES[[#This Row],[FECHA DE PAGO]]=0,TODAY()-PROVEEDORES[[#This Row],[FECHA DE FACTURACIÓN]]-PROVEEDORES[[#This Row],[PLAZO Días]],0)</f>
        <v>0</v>
      </c>
      <c r="U1956" s="104">
        <f>+VLOOKUP(PROVEEDORES[[#This Row],[PROVEEDOR]],Terceros!$A:$D,4,FALSE)</f>
        <v>0</v>
      </c>
      <c r="V1956" s="105">
        <f>+YEAR(PROVEEDORES[[#This Row],[FECHA DE FACTURACIÓN]])</f>
        <v>2023</v>
      </c>
      <c r="W1956" s="105">
        <f>+MATCH(PROVEEDORES[[#This Row],[año facturado]],Retenciones!$1:$1,0)</f>
        <v>6</v>
      </c>
      <c r="X1956" s="106">
        <f>+VLOOKUP(PROVEEDORES[[#This Row],[ID RETENCION]],Retenciones!$A$1:$O$25,PROVEEDORES[[#This Row],[indicador de columna]],FALSE)</f>
        <v>0</v>
      </c>
      <c r="Y1956" s="107">
        <f>+VLOOKUP(PROVEEDORES[[#This Row],[ID RETENCION]],Retenciones!$A$1:$O$25,2,FALSE)</f>
        <v>0</v>
      </c>
      <c r="Z1956" s="116" t="b">
        <f>OR(COUNTIF(PROVEEDORES[[#This Row],[PROVEEDOR]],"*"&amp;'Palabra no opera'!$A$2&amp;"*"))</f>
        <v>0</v>
      </c>
    </row>
    <row r="1957" spans="1:26" ht="22.35" customHeight="1" x14ac:dyDescent="0.3">
      <c r="A1957" s="349" t="str">
        <f>+IF(PROVEEDORES[[#This Row],[FECHA DE PAGO]]=PROVEEDORES[[#This Row],[FECHA DE FACTURACIÓN]],"DE CONTADO","CRÉDITO")</f>
        <v>CRÉDITO</v>
      </c>
      <c r="B1957" s="38" t="b">
        <f>+IF((PROVEEDORES[[#This Row],[FECHA DE PAGO]]-PROVEEDORES[[#This Row],[FECHA DE FACTURACIÓN]])&gt;PROVEEDORES[[#This Row],[PLAZO Días]],"PAGO VENCIDO")</f>
        <v>0</v>
      </c>
      <c r="C1957" s="20">
        <f>+VLOOKUP(PROVEEDORES[[#This Row],[PROVEEDOR]],TERCEROS_INFO[#All],2,FALSE)</f>
        <v>45</v>
      </c>
      <c r="D1957" s="25">
        <f>+SUMIFS(PROVEEDORES[Total],PROVEEDORES[PROVEEDOR],PROVEEDORES[[#This Row],[PROVEEDOR]],PROVEEDORES[FECHA DE PAGO],"")</f>
        <v>0</v>
      </c>
      <c r="E1957" s="25"/>
      <c r="F195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57" s="68">
        <v>45205</v>
      </c>
      <c r="H1957" s="26" t="s">
        <v>320</v>
      </c>
      <c r="I1957" s="68">
        <v>45169</v>
      </c>
      <c r="J1957" s="35">
        <v>1772</v>
      </c>
      <c r="K1957" s="21">
        <v>5107410</v>
      </c>
      <c r="L1957" s="21"/>
      <c r="M1957" s="22">
        <f>(PROVEEDORES[[#This Row],[SUBTOTAL]]-PROVEEDORES[[#This Row],[descuento sobre subtotal]])*VLOOKUP(PROVEEDORES[[#This Row],[PROVEEDOR]],TERCEROS_INFO[#All],3,FALSE)</f>
        <v>0</v>
      </c>
      <c r="N1957" s="23"/>
      <c r="O1957" s="22">
        <f>+PROVEEDORES[[#This Row],[Descuento sobre subtotal %]]*(PROVEEDORES[[#This Row],[SUBTOTAL]]-PROVEEDORES[[#This Row],[descuento sobre subtotal]])</f>
        <v>0</v>
      </c>
      <c r="P1957" s="74">
        <f>+IF(PROVEEDORES[[#This Row],[SUBTOTAL]]&lt;PROVEEDORES[[#This Row],[base retencion]],0,PROVEEDORES[[#This Row],[retención aplicada]])</f>
        <v>0</v>
      </c>
      <c r="Q1957" s="22">
        <f>+PROVEEDORES[[#This Row],[Rete Fuente %]]*(PROVEEDORES[[#This Row],[SUBTOTAL]]-PROVEEDORES[[#This Row],[descuento sobre subtotal]])</f>
        <v>0</v>
      </c>
      <c r="R1957" s="21">
        <f>+PROVEEDORES[[#This Row],[SUBTOTAL]]+PROVEEDORES[[#This Row],[IVA 19%]]-PROVEEDORES[[#This Row],[descuento sobre subtotal]]-PROVEEDORES[[#This Row],[Descuento sobre subtotal $2]]-PROVEEDORES[[#This Row],[Rete Fuente $]]</f>
        <v>5107410</v>
      </c>
      <c r="S1957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7" s="63">
        <f ca="1">IF(PROVEEDORES[[#This Row],[FECHA DE PAGO]]=0,TODAY()-PROVEEDORES[[#This Row],[FECHA DE FACTURACIÓN]]-PROVEEDORES[[#This Row],[PLAZO Días]],0)</f>
        <v>0</v>
      </c>
      <c r="U1957" s="104">
        <f>+VLOOKUP(PROVEEDORES[[#This Row],[PROVEEDOR]],Terceros!$A:$D,4,FALSE)</f>
        <v>0</v>
      </c>
      <c r="V1957" s="105">
        <f>+YEAR(PROVEEDORES[[#This Row],[FECHA DE FACTURACIÓN]])</f>
        <v>2023</v>
      </c>
      <c r="W1957" s="105">
        <f>+MATCH(PROVEEDORES[[#This Row],[año facturado]],Retenciones!$1:$1,0)</f>
        <v>6</v>
      </c>
      <c r="X1957" s="106">
        <f>+VLOOKUP(PROVEEDORES[[#This Row],[ID RETENCION]],Retenciones!$A$1:$O$25,PROVEEDORES[[#This Row],[indicador de columna]],FALSE)</f>
        <v>0</v>
      </c>
      <c r="Y1957" s="107">
        <f>+VLOOKUP(PROVEEDORES[[#This Row],[ID RETENCION]],Retenciones!$A$1:$O$25,2,FALSE)</f>
        <v>0</v>
      </c>
      <c r="Z1957" s="116" t="b">
        <f>OR(COUNTIF(PROVEEDORES[[#This Row],[PROVEEDOR]],"*"&amp;'Palabra no opera'!$A$2&amp;"*"))</f>
        <v>0</v>
      </c>
    </row>
    <row r="1958" spans="1:26" ht="22.35" customHeight="1" x14ac:dyDescent="0.3">
      <c r="A1958" s="349" t="str">
        <f>+IF(PROVEEDORES[[#This Row],[FECHA DE PAGO]]=PROVEEDORES[[#This Row],[FECHA DE FACTURACIÓN]],"DE CONTADO","CRÉDITO")</f>
        <v>CRÉDITO</v>
      </c>
      <c r="B1958" s="38" t="b">
        <f>+IF((PROVEEDORES[[#This Row],[FECHA DE PAGO]]-PROVEEDORES[[#This Row],[FECHA DE FACTURACIÓN]])&gt;PROVEEDORES[[#This Row],[PLAZO Días]],"PAGO VENCIDO")</f>
        <v>0</v>
      </c>
      <c r="C1958" s="20">
        <f>+VLOOKUP(PROVEEDORES[[#This Row],[PROVEEDOR]],TERCEROS_INFO[#All],2,FALSE)</f>
        <v>45</v>
      </c>
      <c r="D1958" s="25">
        <f>+SUMIFS(PROVEEDORES[Total],PROVEEDORES[PROVEEDOR],PROVEEDORES[[#This Row],[PROVEEDOR]],PROVEEDORES[FECHA DE PAGO],"")</f>
        <v>3074500</v>
      </c>
      <c r="E1958" s="25"/>
      <c r="F195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58" s="68">
        <v>45205</v>
      </c>
      <c r="H1958" s="26" t="s">
        <v>289</v>
      </c>
      <c r="I1958" s="68">
        <v>45169</v>
      </c>
      <c r="J1958" s="35">
        <v>1771</v>
      </c>
      <c r="K1958" s="21">
        <v>2793000</v>
      </c>
      <c r="L1958" s="21"/>
      <c r="M1958" s="22">
        <f>(PROVEEDORES[[#This Row],[SUBTOTAL]]-PROVEEDORES[[#This Row],[descuento sobre subtotal]])*VLOOKUP(PROVEEDORES[[#This Row],[PROVEEDOR]],TERCEROS_INFO[#All],3,FALSE)</f>
        <v>0</v>
      </c>
      <c r="N1958" s="23"/>
      <c r="O1958" s="22">
        <f>+PROVEEDORES[[#This Row],[Descuento sobre subtotal %]]*(PROVEEDORES[[#This Row],[SUBTOTAL]]-PROVEEDORES[[#This Row],[descuento sobre subtotal]])</f>
        <v>0</v>
      </c>
      <c r="P1958" s="74">
        <f>+IF(PROVEEDORES[[#This Row],[SUBTOTAL]]&lt;PROVEEDORES[[#This Row],[base retencion]],0,PROVEEDORES[[#This Row],[retención aplicada]])</f>
        <v>0</v>
      </c>
      <c r="Q1958" s="22">
        <f>+PROVEEDORES[[#This Row],[Rete Fuente %]]*(PROVEEDORES[[#This Row],[SUBTOTAL]]-PROVEEDORES[[#This Row],[descuento sobre subtotal]])</f>
        <v>0</v>
      </c>
      <c r="R1958" s="21">
        <f>+PROVEEDORES[[#This Row],[SUBTOTAL]]+PROVEEDORES[[#This Row],[IVA 19%]]-PROVEEDORES[[#This Row],[descuento sobre subtotal]]-PROVEEDORES[[#This Row],[Descuento sobre subtotal $2]]-PROVEEDORES[[#This Row],[Rete Fuente $]]</f>
        <v>2793000</v>
      </c>
      <c r="S1958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8" s="63">
        <f ca="1">IF(PROVEEDORES[[#This Row],[FECHA DE PAGO]]=0,TODAY()-PROVEEDORES[[#This Row],[FECHA DE FACTURACIÓN]]-PROVEEDORES[[#This Row],[PLAZO Días]],0)</f>
        <v>0</v>
      </c>
      <c r="U1958" s="104">
        <f>+VLOOKUP(PROVEEDORES[[#This Row],[PROVEEDOR]],Terceros!$A:$D,4,FALSE)</f>
        <v>0</v>
      </c>
      <c r="V1958" s="105">
        <f>+YEAR(PROVEEDORES[[#This Row],[FECHA DE FACTURACIÓN]])</f>
        <v>2023</v>
      </c>
      <c r="W1958" s="105">
        <f>+MATCH(PROVEEDORES[[#This Row],[año facturado]],Retenciones!$1:$1,0)</f>
        <v>6</v>
      </c>
      <c r="X1958" s="106">
        <f>+VLOOKUP(PROVEEDORES[[#This Row],[ID RETENCION]],Retenciones!$A$1:$O$25,PROVEEDORES[[#This Row],[indicador de columna]],FALSE)</f>
        <v>0</v>
      </c>
      <c r="Y1958" s="107">
        <f>+VLOOKUP(PROVEEDORES[[#This Row],[ID RETENCION]],Retenciones!$A$1:$O$25,2,FALSE)</f>
        <v>0</v>
      </c>
      <c r="Z1958" s="116" t="b">
        <f>OR(COUNTIF(PROVEEDORES[[#This Row],[PROVEEDOR]],"*"&amp;'Palabra no opera'!$A$2&amp;"*"))</f>
        <v>0</v>
      </c>
    </row>
    <row r="1959" spans="1:26" ht="22.35" customHeight="1" x14ac:dyDescent="0.3">
      <c r="A1959" s="349" t="str">
        <f>+IF(PROVEEDORES[[#This Row],[FECHA DE PAGO]]=PROVEEDORES[[#This Row],[FECHA DE FACTURACIÓN]],"DE CONTADO","CRÉDITO")</f>
        <v>CRÉDITO</v>
      </c>
      <c r="B1959" s="38" t="b">
        <f>+IF((PROVEEDORES[[#This Row],[FECHA DE PAGO]]-PROVEEDORES[[#This Row],[FECHA DE FACTURACIÓN]])&gt;PROVEEDORES[[#This Row],[PLAZO Días]],"PAGO VENCIDO")</f>
        <v>0</v>
      </c>
      <c r="C1959" s="20">
        <f>+VLOOKUP(PROVEEDORES[[#This Row],[PROVEEDOR]],TERCEROS_INFO[#All],2,FALSE)</f>
        <v>45</v>
      </c>
      <c r="D1959" s="25">
        <f>+SUMIFS(PROVEEDORES[Total],PROVEEDORES[PROVEEDOR],PROVEEDORES[[#This Row],[PROVEEDOR]],PROVEEDORES[FECHA DE PAGO],"")</f>
        <v>3074500</v>
      </c>
      <c r="E1959" s="25"/>
      <c r="F195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59" s="68">
        <v>45205</v>
      </c>
      <c r="H1959" s="26" t="s">
        <v>289</v>
      </c>
      <c r="I1959" s="68">
        <v>45169</v>
      </c>
      <c r="J1959" s="35">
        <v>1773</v>
      </c>
      <c r="K1959" s="21">
        <v>1512420</v>
      </c>
      <c r="L1959" s="21"/>
      <c r="M1959" s="22">
        <f>(PROVEEDORES[[#This Row],[SUBTOTAL]]-PROVEEDORES[[#This Row],[descuento sobre subtotal]])*VLOOKUP(PROVEEDORES[[#This Row],[PROVEEDOR]],TERCEROS_INFO[#All],3,FALSE)</f>
        <v>0</v>
      </c>
      <c r="N1959" s="23"/>
      <c r="O1959" s="22">
        <f>+PROVEEDORES[[#This Row],[Descuento sobre subtotal %]]*(PROVEEDORES[[#This Row],[SUBTOTAL]]-PROVEEDORES[[#This Row],[descuento sobre subtotal]])</f>
        <v>0</v>
      </c>
      <c r="P1959" s="74">
        <f>+IF(PROVEEDORES[[#This Row],[SUBTOTAL]]&lt;PROVEEDORES[[#This Row],[base retencion]],0,PROVEEDORES[[#This Row],[retención aplicada]])</f>
        <v>0</v>
      </c>
      <c r="Q1959" s="22">
        <f>+PROVEEDORES[[#This Row],[Rete Fuente %]]*(PROVEEDORES[[#This Row],[SUBTOTAL]]-PROVEEDORES[[#This Row],[descuento sobre subtotal]])</f>
        <v>0</v>
      </c>
      <c r="R1959" s="21">
        <f>+PROVEEDORES[[#This Row],[SUBTOTAL]]+PROVEEDORES[[#This Row],[IVA 19%]]-PROVEEDORES[[#This Row],[descuento sobre subtotal]]-PROVEEDORES[[#This Row],[Descuento sobre subtotal $2]]-PROVEEDORES[[#This Row],[Rete Fuente $]]</f>
        <v>1512420</v>
      </c>
      <c r="S1959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9" s="63">
        <f ca="1">IF(PROVEEDORES[[#This Row],[FECHA DE PAGO]]=0,TODAY()-PROVEEDORES[[#This Row],[FECHA DE FACTURACIÓN]]-PROVEEDORES[[#This Row],[PLAZO Días]],0)</f>
        <v>0</v>
      </c>
      <c r="U1959" s="104">
        <f>+VLOOKUP(PROVEEDORES[[#This Row],[PROVEEDOR]],Terceros!$A:$D,4,FALSE)</f>
        <v>0</v>
      </c>
      <c r="V1959" s="105">
        <f>+YEAR(PROVEEDORES[[#This Row],[FECHA DE FACTURACIÓN]])</f>
        <v>2023</v>
      </c>
      <c r="W1959" s="105">
        <f>+MATCH(PROVEEDORES[[#This Row],[año facturado]],Retenciones!$1:$1,0)</f>
        <v>6</v>
      </c>
      <c r="X1959" s="106">
        <f>+VLOOKUP(PROVEEDORES[[#This Row],[ID RETENCION]],Retenciones!$A$1:$O$25,PROVEEDORES[[#This Row],[indicador de columna]],FALSE)</f>
        <v>0</v>
      </c>
      <c r="Y1959" s="107">
        <f>+VLOOKUP(PROVEEDORES[[#This Row],[ID RETENCION]],Retenciones!$A$1:$O$25,2,FALSE)</f>
        <v>0</v>
      </c>
      <c r="Z1959" s="116" t="b">
        <f>OR(COUNTIF(PROVEEDORES[[#This Row],[PROVEEDOR]],"*"&amp;'Palabra no opera'!$A$2&amp;"*"))</f>
        <v>0</v>
      </c>
    </row>
    <row r="1960" spans="1:26" ht="22.35" customHeight="1" x14ac:dyDescent="0.3">
      <c r="A1960" s="355" t="str">
        <f>+IF(PROVEEDORES[[#This Row],[FECHA DE PAGO]]=PROVEEDORES[[#This Row],[FECHA DE FACTURACIÓN]],"DE CONTADO","CRÉDITO")</f>
        <v>CRÉDITO</v>
      </c>
      <c r="B1960" s="38" t="b">
        <f>+IF((PROVEEDORES[[#This Row],[FECHA DE PAGO]]-PROVEEDORES[[#This Row],[FECHA DE FACTURACIÓN]])&gt;PROVEEDORES[[#This Row],[PLAZO Días]],"PAGO VENCIDO")</f>
        <v>0</v>
      </c>
      <c r="C1960" s="20">
        <f>+VLOOKUP(PROVEEDORES[[#This Row],[PROVEEDOR]],TERCEROS_INFO[#All],2,FALSE)</f>
        <v>45</v>
      </c>
      <c r="D1960" s="25">
        <f>+SUMIFS(PROVEEDORES[Total],PROVEEDORES[PROVEEDOR],PROVEEDORES[[#This Row],[PROVEEDOR]],PROVEEDORES[FECHA DE PAGO],"")</f>
        <v>3074500</v>
      </c>
      <c r="E1960" s="25"/>
      <c r="F196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60" s="68">
        <v>45205</v>
      </c>
      <c r="H1960" s="26" t="s">
        <v>289</v>
      </c>
      <c r="I1960" s="68">
        <v>45176</v>
      </c>
      <c r="J1960" s="35">
        <v>1776</v>
      </c>
      <c r="K1960" s="21">
        <v>1501080</v>
      </c>
      <c r="L1960" s="21"/>
      <c r="M1960" s="22">
        <f>(PROVEEDORES[[#This Row],[SUBTOTAL]]-PROVEEDORES[[#This Row],[descuento sobre subtotal]])*VLOOKUP(PROVEEDORES[[#This Row],[PROVEEDOR]],TERCEROS_INFO[#All],3,FALSE)</f>
        <v>0</v>
      </c>
      <c r="N1960" s="23"/>
      <c r="O1960" s="22">
        <f>+PROVEEDORES[[#This Row],[Descuento sobre subtotal %]]*(PROVEEDORES[[#This Row],[SUBTOTAL]]-PROVEEDORES[[#This Row],[descuento sobre subtotal]])</f>
        <v>0</v>
      </c>
      <c r="P1960" s="74">
        <f>+IF(PROVEEDORES[[#This Row],[SUBTOTAL]]&lt;PROVEEDORES[[#This Row],[base retencion]],0,PROVEEDORES[[#This Row],[retención aplicada]])</f>
        <v>0</v>
      </c>
      <c r="Q1960" s="22">
        <f>+PROVEEDORES[[#This Row],[Rete Fuente %]]*(PROVEEDORES[[#This Row],[SUBTOTAL]]-PROVEEDORES[[#This Row],[descuento sobre subtotal]])</f>
        <v>0</v>
      </c>
      <c r="R1960" s="21">
        <f>+PROVEEDORES[[#This Row],[SUBTOTAL]]+PROVEEDORES[[#This Row],[IVA 19%]]-PROVEEDORES[[#This Row],[descuento sobre subtotal]]-PROVEEDORES[[#This Row],[Descuento sobre subtotal $2]]-PROVEEDORES[[#This Row],[Rete Fuente $]]</f>
        <v>1501080</v>
      </c>
      <c r="S1960" s="3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0" s="63">
        <f ca="1">IF(PROVEEDORES[[#This Row],[FECHA DE PAGO]]=0,TODAY()-PROVEEDORES[[#This Row],[FECHA DE FACTURACIÓN]]-PROVEEDORES[[#This Row],[PLAZO Días]],0)</f>
        <v>0</v>
      </c>
      <c r="U1960" s="104">
        <f>+VLOOKUP(PROVEEDORES[[#This Row],[PROVEEDOR]],Terceros!$A:$D,4,FALSE)</f>
        <v>0</v>
      </c>
      <c r="V1960" s="105">
        <f>+YEAR(PROVEEDORES[[#This Row],[FECHA DE FACTURACIÓN]])</f>
        <v>2023</v>
      </c>
      <c r="W1960" s="105">
        <f>+MATCH(PROVEEDORES[[#This Row],[año facturado]],Retenciones!$1:$1,0)</f>
        <v>6</v>
      </c>
      <c r="X1960" s="106">
        <f>+VLOOKUP(PROVEEDORES[[#This Row],[ID RETENCION]],Retenciones!$A$1:$O$25,PROVEEDORES[[#This Row],[indicador de columna]],FALSE)</f>
        <v>0</v>
      </c>
      <c r="Y1960" s="107">
        <f>+VLOOKUP(PROVEEDORES[[#This Row],[ID RETENCION]],Retenciones!$A$1:$O$25,2,FALSE)</f>
        <v>0</v>
      </c>
      <c r="Z1960" s="116" t="b">
        <f>OR(COUNTIF(PROVEEDORES[[#This Row],[PROVEEDOR]],"*"&amp;'Palabra no opera'!$A$2&amp;"*"))</f>
        <v>0</v>
      </c>
    </row>
    <row r="1961" spans="1:26" ht="22.35" customHeight="1" x14ac:dyDescent="0.3">
      <c r="A1961" s="67" t="str">
        <f>+IF(PROVEEDORES[[#This Row],[FECHA DE PAGO]]=PROVEEDORES[[#This Row],[FECHA DE FACTURACIÓN]],"DE CONTADO","CRÉDITO")</f>
        <v>CRÉDITO</v>
      </c>
      <c r="B1961" s="38" t="b">
        <f>+IF((PROVEEDORES[[#This Row],[FECHA DE PAGO]]-PROVEEDORES[[#This Row],[FECHA DE FACTURACIÓN]])&gt;PROVEEDORES[[#This Row],[PLAZO Días]],"PAGO VENCIDO")</f>
        <v>0</v>
      </c>
      <c r="C1961" s="20">
        <f>+VLOOKUP(PROVEEDORES[[#This Row],[PROVEEDOR]],TERCEROS_INFO[#All],2,FALSE)</f>
        <v>45</v>
      </c>
      <c r="D1961" s="25">
        <f>+SUMIFS(PROVEEDORES[Total],PROVEEDORES[PROVEEDOR],PROVEEDORES[[#This Row],[PROVEEDOR]],PROVEEDORES[FECHA DE PAGO],"")</f>
        <v>3074500</v>
      </c>
      <c r="E1961" s="25"/>
      <c r="F196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61" s="68">
        <v>45205</v>
      </c>
      <c r="H1961" s="26" t="s">
        <v>289</v>
      </c>
      <c r="I1961" s="68">
        <v>45188</v>
      </c>
      <c r="J1961" s="35">
        <v>1795</v>
      </c>
      <c r="K1961" s="21">
        <v>1407000</v>
      </c>
      <c r="L1961" s="21"/>
      <c r="M1961" s="22">
        <f>(PROVEEDORES[[#This Row],[SUBTOTAL]]-PROVEEDORES[[#This Row],[descuento sobre subtotal]])*VLOOKUP(PROVEEDORES[[#This Row],[PROVEEDOR]],TERCEROS_INFO[#All],3,FALSE)</f>
        <v>0</v>
      </c>
      <c r="N1961" s="23"/>
      <c r="O1961" s="22">
        <f>+PROVEEDORES[[#This Row],[Descuento sobre subtotal %]]*(PROVEEDORES[[#This Row],[SUBTOTAL]]-PROVEEDORES[[#This Row],[descuento sobre subtotal]])</f>
        <v>0</v>
      </c>
      <c r="P1961" s="74">
        <f>+IF(PROVEEDORES[[#This Row],[SUBTOTAL]]&lt;PROVEEDORES[[#This Row],[base retencion]],0,PROVEEDORES[[#This Row],[retención aplicada]])</f>
        <v>0</v>
      </c>
      <c r="Q1961" s="22">
        <f>+PROVEEDORES[[#This Row],[Rete Fuente %]]*(PROVEEDORES[[#This Row],[SUBTOTAL]]-PROVEEDORES[[#This Row],[descuento sobre subtotal]])</f>
        <v>0</v>
      </c>
      <c r="R1961" s="21">
        <f>+PROVEEDORES[[#This Row],[SUBTOTAL]]+PROVEEDORES[[#This Row],[IVA 19%]]-PROVEEDORES[[#This Row],[descuento sobre subtotal]]-PROVEEDORES[[#This Row],[Descuento sobre subtotal $2]]-PROVEEDORES[[#This Row],[Rete Fuente $]]</f>
        <v>1407000</v>
      </c>
      <c r="S19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1" s="63">
        <f ca="1">IF(PROVEEDORES[[#This Row],[FECHA DE PAGO]]=0,TODAY()-PROVEEDORES[[#This Row],[FECHA DE FACTURACIÓN]]-PROVEEDORES[[#This Row],[PLAZO Días]],0)</f>
        <v>0</v>
      </c>
      <c r="U1961" s="104">
        <f>+VLOOKUP(PROVEEDORES[[#This Row],[PROVEEDOR]],Terceros!$A:$D,4,FALSE)</f>
        <v>0</v>
      </c>
      <c r="V1961" s="105">
        <f>+YEAR(PROVEEDORES[[#This Row],[FECHA DE FACTURACIÓN]])</f>
        <v>2023</v>
      </c>
      <c r="W1961" s="105">
        <f>+MATCH(PROVEEDORES[[#This Row],[año facturado]],Retenciones!$1:$1,0)</f>
        <v>6</v>
      </c>
      <c r="X1961" s="106">
        <f>+VLOOKUP(PROVEEDORES[[#This Row],[ID RETENCION]],Retenciones!$A$1:$O$25,PROVEEDORES[[#This Row],[indicador de columna]],FALSE)</f>
        <v>0</v>
      </c>
      <c r="Y1961" s="107">
        <f>+VLOOKUP(PROVEEDORES[[#This Row],[ID RETENCION]],Retenciones!$A$1:$O$25,2,FALSE)</f>
        <v>0</v>
      </c>
      <c r="Z1961" s="116" t="b">
        <f>OR(COUNTIF(PROVEEDORES[[#This Row],[PROVEEDOR]],"*"&amp;'Palabra no opera'!$A$2&amp;"*"))</f>
        <v>0</v>
      </c>
    </row>
    <row r="1962" spans="1:26" ht="22.35" customHeight="1" x14ac:dyDescent="0.3">
      <c r="A1962" s="355" t="str">
        <f>+IF(PROVEEDORES[[#This Row],[FECHA DE PAGO]]=PROVEEDORES[[#This Row],[FECHA DE FACTURACIÓN]],"DE CONTADO","CRÉDITO")</f>
        <v>CRÉDITO</v>
      </c>
      <c r="B1962" s="38" t="b">
        <f>+IF((PROVEEDORES[[#This Row],[FECHA DE PAGO]]-PROVEEDORES[[#This Row],[FECHA DE FACTURACIÓN]])&gt;PROVEEDORES[[#This Row],[PLAZO Días]],"PAGO VENCIDO")</f>
        <v>0</v>
      </c>
      <c r="C1962" s="20">
        <f>+VLOOKUP(PROVEEDORES[[#This Row],[PROVEEDOR]],TERCEROS_INFO[#All],2,FALSE)</f>
        <v>45</v>
      </c>
      <c r="D1962" s="25">
        <f>+SUMIFS(PROVEEDORES[Total],PROVEEDORES[PROVEEDOR],PROVEEDORES[[#This Row],[PROVEEDOR]],PROVEEDORES[FECHA DE PAGO],"")</f>
        <v>3074500</v>
      </c>
      <c r="E1962" s="25"/>
      <c r="F196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962" s="68">
        <v>45205</v>
      </c>
      <c r="H1962" s="26" t="s">
        <v>289</v>
      </c>
      <c r="I1962" s="68">
        <v>45189</v>
      </c>
      <c r="J1962" s="35">
        <v>1793</v>
      </c>
      <c r="K1962" s="21">
        <v>2793000</v>
      </c>
      <c r="L1962" s="21"/>
      <c r="M1962" s="22">
        <f>(PROVEEDORES[[#This Row],[SUBTOTAL]]-PROVEEDORES[[#This Row],[descuento sobre subtotal]])*VLOOKUP(PROVEEDORES[[#This Row],[PROVEEDOR]],TERCEROS_INFO[#All],3,FALSE)</f>
        <v>0</v>
      </c>
      <c r="N1962" s="23"/>
      <c r="O1962" s="22">
        <f>+PROVEEDORES[[#This Row],[Descuento sobre subtotal %]]*(PROVEEDORES[[#This Row],[SUBTOTAL]]-PROVEEDORES[[#This Row],[descuento sobre subtotal]])</f>
        <v>0</v>
      </c>
      <c r="P1962" s="74">
        <f>+IF(PROVEEDORES[[#This Row],[SUBTOTAL]]&lt;PROVEEDORES[[#This Row],[base retencion]],0,PROVEEDORES[[#This Row],[retención aplicada]])</f>
        <v>0</v>
      </c>
      <c r="Q1962" s="22">
        <f>+PROVEEDORES[[#This Row],[Rete Fuente %]]*(PROVEEDORES[[#This Row],[SUBTOTAL]]-PROVEEDORES[[#This Row],[descuento sobre subtotal]])</f>
        <v>0</v>
      </c>
      <c r="R1962" s="21">
        <f>+PROVEEDORES[[#This Row],[SUBTOTAL]]+PROVEEDORES[[#This Row],[IVA 19%]]-PROVEEDORES[[#This Row],[descuento sobre subtotal]]-PROVEEDORES[[#This Row],[Descuento sobre subtotal $2]]-PROVEEDORES[[#This Row],[Rete Fuente $]]</f>
        <v>2793000</v>
      </c>
      <c r="S1962" s="3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2" s="63">
        <f ca="1">IF(PROVEEDORES[[#This Row],[FECHA DE PAGO]]=0,TODAY()-PROVEEDORES[[#This Row],[FECHA DE FACTURACIÓN]]-PROVEEDORES[[#This Row],[PLAZO Días]],0)</f>
        <v>0</v>
      </c>
      <c r="U1962" s="104">
        <f>+VLOOKUP(PROVEEDORES[[#This Row],[PROVEEDOR]],Terceros!$A:$D,4,FALSE)</f>
        <v>0</v>
      </c>
      <c r="V1962" s="105">
        <f>+YEAR(PROVEEDORES[[#This Row],[FECHA DE FACTURACIÓN]])</f>
        <v>2023</v>
      </c>
      <c r="W1962" s="105">
        <f>+MATCH(PROVEEDORES[[#This Row],[año facturado]],Retenciones!$1:$1,0)</f>
        <v>6</v>
      </c>
      <c r="X1962" s="106">
        <f>+VLOOKUP(PROVEEDORES[[#This Row],[ID RETENCION]],Retenciones!$A$1:$O$25,PROVEEDORES[[#This Row],[indicador de columna]],FALSE)</f>
        <v>0</v>
      </c>
      <c r="Y1962" s="107">
        <f>+VLOOKUP(PROVEEDORES[[#This Row],[ID RETENCION]],Retenciones!$A$1:$O$25,2,FALSE)</f>
        <v>0</v>
      </c>
      <c r="Z1962" s="116" t="b">
        <f>OR(COUNTIF(PROVEEDORES[[#This Row],[PROVEEDOR]],"*"&amp;'Palabra no opera'!$A$2&amp;"*"))</f>
        <v>0</v>
      </c>
    </row>
    <row r="1963" spans="1:26" ht="22.35" customHeight="1" x14ac:dyDescent="0.3">
      <c r="A1963" s="377" t="str">
        <f>+IF(PROVEEDORES[[#This Row],[FECHA DE PAGO]]=PROVEEDORES[[#This Row],[FECHA DE FACTURACIÓN]],"DE CONTADO","CRÉDITO")</f>
        <v>CRÉDITO</v>
      </c>
      <c r="B1963" s="38" t="b">
        <f>+IF((PROVEEDORES[[#This Row],[FECHA DE PAGO]]-PROVEEDORES[[#This Row],[FECHA DE FACTURACIÓN]])&gt;PROVEEDORES[[#This Row],[PLAZO Días]],"PAGO VENCIDO")</f>
        <v>0</v>
      </c>
      <c r="C1963" s="20">
        <f>+VLOOKUP(PROVEEDORES[[#This Row],[PROVEEDOR]],TERCEROS_INFO[#All],2,FALSE)</f>
        <v>30</v>
      </c>
      <c r="D1963" s="25">
        <f>+SUMIFS(PROVEEDORES[Total],PROVEEDORES[PROVEEDOR],PROVEEDORES[[#This Row],[PROVEEDOR]],PROVEEDORES[FECHA DE PAGO],"")</f>
        <v>0</v>
      </c>
      <c r="E1963" s="25"/>
      <c r="F1963" s="56">
        <f>+VLOOKUP(PROVEEDORES[[#This Row],[PROVEEDOR]],
                       Terceros!$A:$F,
                       5,
                       FALSE)</f>
        <v>0</v>
      </c>
      <c r="G1963" s="68">
        <v>45205</v>
      </c>
      <c r="H1963" s="26" t="s">
        <v>642</v>
      </c>
      <c r="I1963" s="68">
        <v>45200</v>
      </c>
      <c r="J1963" s="35" t="s">
        <v>217</v>
      </c>
      <c r="K1963" s="21">
        <v>411454</v>
      </c>
      <c r="L1963" s="21"/>
      <c r="M1963" s="22">
        <f>(PROVEEDORES[[#This Row],[SUBTOTAL]]-PROVEEDORES[[#This Row],[descuento sobre subtotal]])*VLOOKUP(PROVEEDORES[[#This Row],[PROVEEDOR]],TERCEROS_INFO[#All],3,FALSE)</f>
        <v>0</v>
      </c>
      <c r="N1963" s="23"/>
      <c r="O1963" s="22">
        <f>+PROVEEDORES[[#This Row],[Descuento sobre subtotal %]]*(PROVEEDORES[[#This Row],[SUBTOTAL]]-PROVEEDORES[[#This Row],[descuento sobre subtotal]])</f>
        <v>0</v>
      </c>
      <c r="P1963" s="74">
        <f>+IF(PROVEEDORES[[#This Row],[SUBTOTAL]]&lt;PROVEEDORES[[#This Row],[base retencion]],0,PROVEEDORES[[#This Row],[retención aplicada]])</f>
        <v>0</v>
      </c>
      <c r="Q1963" s="22">
        <f>+PROVEEDORES[[#This Row],[Rete Fuente %]]*(PROVEEDORES[[#This Row],[SUBTOTAL]]-PROVEEDORES[[#This Row],[descuento sobre subtotal]])</f>
        <v>0</v>
      </c>
      <c r="R1963" s="21">
        <f>+PROVEEDORES[[#This Row],[SUBTOTAL]]+PROVEEDORES[[#This Row],[IVA 19%]]-PROVEEDORES[[#This Row],[descuento sobre subtotal]]-PROVEEDORES[[#This Row],[Descuento sobre subtotal $2]]-PROVEEDORES[[#This Row],[Rete Fuente $]]</f>
        <v>411454</v>
      </c>
      <c r="S1963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3" s="63">
        <f ca="1">IF(PROVEEDORES[[#This Row],[FECHA DE PAGO]]=0,TODAY()-PROVEEDORES[[#This Row],[FECHA DE FACTURACIÓN]]-PROVEEDORES[[#This Row],[PLAZO Días]],0)</f>
        <v>0</v>
      </c>
      <c r="U1963" s="104">
        <f>+VLOOKUP(PROVEEDORES[[#This Row],[PROVEEDOR]],Terceros!$A:$D,4,FALSE)</f>
        <v>0</v>
      </c>
      <c r="V1963" s="105">
        <f>+YEAR(PROVEEDORES[[#This Row],[FECHA DE FACTURACIÓN]])</f>
        <v>2023</v>
      </c>
      <c r="W1963" s="105">
        <f>+MATCH(PROVEEDORES[[#This Row],[año facturado]],Retenciones!$1:$1,0)</f>
        <v>6</v>
      </c>
      <c r="X1963" s="106">
        <f>+VLOOKUP(PROVEEDORES[[#This Row],[ID RETENCION]],Retenciones!$A$1:$O$25,PROVEEDORES[[#This Row],[indicador de columna]],FALSE)</f>
        <v>0</v>
      </c>
      <c r="Y1963" s="107">
        <f>+VLOOKUP(PROVEEDORES[[#This Row],[ID RETENCION]],Retenciones!$A$1:$O$25,2,FALSE)</f>
        <v>0</v>
      </c>
      <c r="Z1963" s="116" t="b">
        <f>OR(COUNTIF(PROVEEDORES[[#This Row],[PROVEEDOR]],"*"&amp;'Palabra no opera'!$A$2&amp;"*"))</f>
        <v>1</v>
      </c>
    </row>
    <row r="1964" spans="1:26" ht="22.35" customHeight="1" x14ac:dyDescent="0.3">
      <c r="A1964" s="349" t="str">
        <f>+IF(PROVEEDORES[[#This Row],[FECHA DE PAGO]]=PROVEEDORES[[#This Row],[FECHA DE FACTURACIÓN]],"DE CONTADO","CRÉDITO")</f>
        <v>CRÉDITO</v>
      </c>
      <c r="B1964" s="38" t="str">
        <f>+IF((PROVEEDORES[[#This Row],[FECHA DE PAGO]]-PROVEEDORES[[#This Row],[FECHA DE FACTURACIÓN]])&gt;PROVEEDORES[[#This Row],[PLAZO Días]],"PAGO VENCIDO")</f>
        <v>PAGO VENCIDO</v>
      </c>
      <c r="C1964" s="20">
        <f>+VLOOKUP(PROVEEDORES[[#This Row],[PROVEEDOR]],TERCEROS_INFO[#All],2,FALSE)</f>
        <v>30</v>
      </c>
      <c r="D1964" s="25">
        <f>+SUMIFS(PROVEEDORES[Total],PROVEEDORES[PROVEEDOR],PROVEEDORES[[#This Row],[PROVEEDOR]],PROVEEDORES[FECHA DE PAGO],"")</f>
        <v>0</v>
      </c>
      <c r="E1964" s="25"/>
      <c r="F1964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964" s="68">
        <v>45206</v>
      </c>
      <c r="H1964" s="26" t="s">
        <v>394</v>
      </c>
      <c r="I1964" s="68">
        <v>45149</v>
      </c>
      <c r="J1964" s="35">
        <v>1863</v>
      </c>
      <c r="K1964" s="21">
        <v>1515000</v>
      </c>
      <c r="L1964" s="21"/>
      <c r="M1964" s="22">
        <f>(PROVEEDORES[[#This Row],[SUBTOTAL]]-PROVEEDORES[[#This Row],[descuento sobre subtotal]])*VLOOKUP(PROVEEDORES[[#This Row],[PROVEEDOR]],TERCEROS_INFO[#All],3,FALSE)</f>
        <v>0</v>
      </c>
      <c r="N1964" s="23"/>
      <c r="O1964" s="22">
        <f>+PROVEEDORES[[#This Row],[Descuento sobre subtotal %]]*(PROVEEDORES[[#This Row],[SUBTOTAL]]-PROVEEDORES[[#This Row],[descuento sobre subtotal]])</f>
        <v>0</v>
      </c>
      <c r="P1964" s="74">
        <f>+IF(PROVEEDORES[[#This Row],[SUBTOTAL]]&lt;PROVEEDORES[[#This Row],[base retencion]],0,PROVEEDORES[[#This Row],[retención aplicada]])</f>
        <v>0</v>
      </c>
      <c r="Q1964" s="22">
        <f>+PROVEEDORES[[#This Row],[Rete Fuente %]]*(PROVEEDORES[[#This Row],[SUBTOTAL]]-PROVEEDORES[[#This Row],[descuento sobre subtotal]])</f>
        <v>0</v>
      </c>
      <c r="R1964" s="21">
        <f>+PROVEEDORES[[#This Row],[SUBTOTAL]]+PROVEEDORES[[#This Row],[IVA 19%]]-PROVEEDORES[[#This Row],[descuento sobre subtotal]]-PROVEEDORES[[#This Row],[Descuento sobre subtotal $2]]-PROVEEDORES[[#This Row],[Rete Fuente $]]</f>
        <v>1515000</v>
      </c>
      <c r="S1964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4" s="63">
        <f ca="1">IF(PROVEEDORES[[#This Row],[FECHA DE PAGO]]=0,TODAY()-PROVEEDORES[[#This Row],[FECHA DE FACTURACIÓN]]-PROVEEDORES[[#This Row],[PLAZO Días]],0)</f>
        <v>0</v>
      </c>
      <c r="U1964" s="104">
        <f>+VLOOKUP(PROVEEDORES[[#This Row],[PROVEEDOR]],Terceros!$A:$D,4,FALSE)</f>
        <v>0</v>
      </c>
      <c r="V1964" s="105">
        <f>+YEAR(PROVEEDORES[[#This Row],[FECHA DE FACTURACIÓN]])</f>
        <v>2023</v>
      </c>
      <c r="W1964" s="105">
        <f>+MATCH(PROVEEDORES[[#This Row],[año facturado]],Retenciones!$1:$1,0)</f>
        <v>6</v>
      </c>
      <c r="X1964" s="106">
        <f>+VLOOKUP(PROVEEDORES[[#This Row],[ID RETENCION]],Retenciones!$A$1:$O$25,PROVEEDORES[[#This Row],[indicador de columna]],FALSE)</f>
        <v>0</v>
      </c>
      <c r="Y1964" s="107">
        <f>+VLOOKUP(PROVEEDORES[[#This Row],[ID RETENCION]],Retenciones!$A$1:$O$25,2,FALSE)</f>
        <v>0</v>
      </c>
      <c r="Z1964" s="116" t="b">
        <f>OR(COUNTIF(PROVEEDORES[[#This Row],[PROVEEDOR]],"*"&amp;'Palabra no opera'!$A$2&amp;"*"))</f>
        <v>0</v>
      </c>
    </row>
    <row r="1965" spans="1:26" ht="22.35" customHeight="1" x14ac:dyDescent="0.3">
      <c r="A1965" s="367" t="str">
        <f>+IF(PROVEEDORES[[#This Row],[FECHA DE PAGO]]=PROVEEDORES[[#This Row],[FECHA DE FACTURACIÓN]],"DE CONTADO","CRÉDITO")</f>
        <v>CRÉDITO</v>
      </c>
      <c r="B1965" s="38" t="b">
        <f>+IF((PROVEEDORES[[#This Row],[FECHA DE PAGO]]-PROVEEDORES[[#This Row],[FECHA DE FACTURACIÓN]])&gt;PROVEEDORES[[#This Row],[PLAZO Días]],"PAGO VENCIDO")</f>
        <v>0</v>
      </c>
      <c r="C1965" s="20">
        <f>+VLOOKUP(PROVEEDORES[[#This Row],[PROVEEDOR]],TERCEROS_INFO[#All],2,FALSE)</f>
        <v>30</v>
      </c>
      <c r="D1965" s="25">
        <f>+SUMIFS(PROVEEDORES[Total],PROVEEDORES[PROVEEDOR],PROVEEDORES[[#This Row],[PROVEEDOR]],PROVEEDORES[FECHA DE PAGO],"")</f>
        <v>0</v>
      </c>
      <c r="E1965" s="25"/>
      <c r="F1965" s="56">
        <f>+VLOOKUP(PROVEEDORES[[#This Row],[PROVEEDOR]],
                       Terceros!$A:$F,
                       5,
                       FALSE)</f>
        <v>0</v>
      </c>
      <c r="G1965" s="68">
        <v>45207</v>
      </c>
      <c r="H1965" s="26" t="s">
        <v>413</v>
      </c>
      <c r="I1965" s="68">
        <v>45191</v>
      </c>
      <c r="J1965" s="35" t="s">
        <v>2016</v>
      </c>
      <c r="K1965" s="21">
        <v>546000</v>
      </c>
      <c r="L1965" s="21"/>
      <c r="M1965" s="22">
        <f>(PROVEEDORES[[#This Row],[SUBTOTAL]]-PROVEEDORES[[#This Row],[descuento sobre subtotal]])*VLOOKUP(PROVEEDORES[[#This Row],[PROVEEDOR]],TERCEROS_INFO[#All],3,FALSE)</f>
        <v>0</v>
      </c>
      <c r="N1965" s="23"/>
      <c r="O1965" s="22">
        <f>+PROVEEDORES[[#This Row],[Descuento sobre subtotal %]]*(PROVEEDORES[[#This Row],[SUBTOTAL]]-PROVEEDORES[[#This Row],[descuento sobre subtotal]])</f>
        <v>0</v>
      </c>
      <c r="P1965" s="74">
        <f>+IF(PROVEEDORES[[#This Row],[SUBTOTAL]]&lt;PROVEEDORES[[#This Row],[base retencion]],0,PROVEEDORES[[#This Row],[retención aplicada]])</f>
        <v>0</v>
      </c>
      <c r="Q1965" s="22">
        <f>+PROVEEDORES[[#This Row],[Rete Fuente %]]*(PROVEEDORES[[#This Row],[SUBTOTAL]]-PROVEEDORES[[#This Row],[descuento sobre subtotal]])</f>
        <v>0</v>
      </c>
      <c r="R1965" s="21">
        <f>+PROVEEDORES[[#This Row],[SUBTOTAL]]+PROVEEDORES[[#This Row],[IVA 19%]]-PROVEEDORES[[#This Row],[descuento sobre subtotal]]-PROVEEDORES[[#This Row],[Descuento sobre subtotal $2]]-PROVEEDORES[[#This Row],[Rete Fuente $]]</f>
        <v>546000</v>
      </c>
      <c r="S1965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5" s="63">
        <f ca="1">IF(PROVEEDORES[[#This Row],[FECHA DE PAGO]]=0,TODAY()-PROVEEDORES[[#This Row],[FECHA DE FACTURACIÓN]]-PROVEEDORES[[#This Row],[PLAZO Días]],0)</f>
        <v>0</v>
      </c>
      <c r="U1965" s="104">
        <f>+VLOOKUP(PROVEEDORES[[#This Row],[PROVEEDOR]],Terceros!$A:$D,4,FALSE)</f>
        <v>0</v>
      </c>
      <c r="V1965" s="105">
        <f>+YEAR(PROVEEDORES[[#This Row],[FECHA DE FACTURACIÓN]])</f>
        <v>2023</v>
      </c>
      <c r="W1965" s="105">
        <f>+MATCH(PROVEEDORES[[#This Row],[año facturado]],Retenciones!$1:$1,0)</f>
        <v>6</v>
      </c>
      <c r="X1965" s="106">
        <f>+VLOOKUP(PROVEEDORES[[#This Row],[ID RETENCION]],Retenciones!$A$1:$O$25,PROVEEDORES[[#This Row],[indicador de columna]],FALSE)</f>
        <v>0</v>
      </c>
      <c r="Y1965" s="107">
        <f>+VLOOKUP(PROVEEDORES[[#This Row],[ID RETENCION]],Retenciones!$A$1:$O$25,2,FALSE)</f>
        <v>0</v>
      </c>
      <c r="Z1965" s="116" t="b">
        <f>OR(COUNTIF(PROVEEDORES[[#This Row],[PROVEEDOR]],"*"&amp;'Palabra no opera'!$A$2&amp;"*"))</f>
        <v>0</v>
      </c>
    </row>
    <row r="1966" spans="1:26" ht="22.35" customHeight="1" x14ac:dyDescent="0.3">
      <c r="A1966" s="351" t="str">
        <f>+IF(PROVEEDORES[[#This Row],[FECHA DE PAGO]]=PROVEEDORES[[#This Row],[FECHA DE FACTURACIÓN]],"DE CONTADO","CRÉDITO")</f>
        <v>CRÉDITO</v>
      </c>
      <c r="B1966" s="38" t="str">
        <f>+IF((PROVEEDORES[[#This Row],[FECHA DE PAGO]]-PROVEEDORES[[#This Row],[FECHA DE FACTURACIÓN]])&gt;PROVEEDORES[[#This Row],[PLAZO Días]],"PAGO VENCIDO")</f>
        <v>PAGO VENCIDO</v>
      </c>
      <c r="C1966" s="20">
        <f>+VLOOKUP(PROVEEDORES[[#This Row],[PROVEEDOR]],TERCEROS_INFO[#All],2,FALSE)</f>
        <v>30</v>
      </c>
      <c r="D1966" s="25">
        <f>+SUMIFS(PROVEEDORES[Total],PROVEEDORES[PROVEEDOR],PROVEEDORES[[#This Row],[PROVEEDOR]],PROVEEDORES[FECHA DE PAGO],"")</f>
        <v>1316890.8900000001</v>
      </c>
      <c r="E1966" s="25"/>
      <c r="F196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966" s="68">
        <v>45208</v>
      </c>
      <c r="H1966" s="26" t="s">
        <v>17</v>
      </c>
      <c r="I1966" s="68">
        <v>45173</v>
      </c>
      <c r="J1966" s="35" t="s">
        <v>1982</v>
      </c>
      <c r="K1966" s="21">
        <v>787465</v>
      </c>
      <c r="L1966" s="21"/>
      <c r="M1966" s="22">
        <v>0</v>
      </c>
      <c r="N1966" s="23"/>
      <c r="O1966" s="22">
        <f>+PROVEEDORES[[#This Row],[Descuento sobre subtotal %]]*(PROVEEDORES[[#This Row],[SUBTOTAL]]-PROVEEDORES[[#This Row],[descuento sobre subtotal]])</f>
        <v>0</v>
      </c>
      <c r="P1966" s="74">
        <f>+IF(PROVEEDORES[[#This Row],[SUBTOTAL]]&lt;PROVEEDORES[[#This Row],[base retencion]],0,PROVEEDORES[[#This Row],[retención aplicada]])</f>
        <v>0</v>
      </c>
      <c r="Q1966" s="22">
        <f>+PROVEEDORES[[#This Row],[Rete Fuente %]]*(PROVEEDORES[[#This Row],[SUBTOTAL]]-PROVEEDORES[[#This Row],[descuento sobre subtotal]])</f>
        <v>0</v>
      </c>
      <c r="R1966" s="21">
        <f>+PROVEEDORES[[#This Row],[SUBTOTAL]]+PROVEEDORES[[#This Row],[IVA 19%]]-PROVEEDORES[[#This Row],[descuento sobre subtotal]]-PROVEEDORES[[#This Row],[Descuento sobre subtotal $2]]-PROVEEDORES[[#This Row],[Rete Fuente $]]</f>
        <v>787465</v>
      </c>
      <c r="S1966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6" s="63">
        <f ca="1">IF(PROVEEDORES[[#This Row],[FECHA DE PAGO]]=0,TODAY()-PROVEEDORES[[#This Row],[FECHA DE FACTURACIÓN]]-PROVEEDORES[[#This Row],[PLAZO Días]],0)</f>
        <v>0</v>
      </c>
      <c r="U1966" s="104">
        <f>+VLOOKUP(PROVEEDORES[[#This Row],[PROVEEDOR]],Terceros!$A:$D,4,FALSE)</f>
        <v>0</v>
      </c>
      <c r="V1966" s="105">
        <f>+YEAR(PROVEEDORES[[#This Row],[FECHA DE FACTURACIÓN]])</f>
        <v>2023</v>
      </c>
      <c r="W1966" s="105">
        <f>+MATCH(PROVEEDORES[[#This Row],[año facturado]],Retenciones!$1:$1,0)</f>
        <v>6</v>
      </c>
      <c r="X1966" s="106">
        <f>+VLOOKUP(PROVEEDORES[[#This Row],[ID RETENCION]],Retenciones!$A$1:$O$25,PROVEEDORES[[#This Row],[indicador de columna]],FALSE)</f>
        <v>0</v>
      </c>
      <c r="Y1966" s="107">
        <f>+VLOOKUP(PROVEEDORES[[#This Row],[ID RETENCION]],Retenciones!$A$1:$O$25,2,FALSE)</f>
        <v>0</v>
      </c>
      <c r="Z1966" s="116" t="b">
        <f>OR(COUNTIF(PROVEEDORES[[#This Row],[PROVEEDOR]],"*"&amp;'Palabra no opera'!$A$2&amp;"*"))</f>
        <v>0</v>
      </c>
    </row>
    <row r="1967" spans="1:26" ht="22.35" customHeight="1" x14ac:dyDescent="0.3">
      <c r="A1967" s="339" t="str">
        <f>+IF(PROVEEDORES[[#This Row],[FECHA DE PAGO]]=PROVEEDORES[[#This Row],[FECHA DE FACTURACIÓN]],"DE CONTADO","CRÉDITO")</f>
        <v>CRÉDITO</v>
      </c>
      <c r="B1967" s="38" t="str">
        <f>+IF((PROVEEDORES[[#This Row],[FECHA DE PAGO]]-PROVEEDORES[[#This Row],[FECHA DE FACTURACIÓN]])&gt;PROVEEDORES[[#This Row],[PLAZO Días]],"PAGO VENCIDO")</f>
        <v>PAGO VENCIDO</v>
      </c>
      <c r="C1967" s="20">
        <f>+VLOOKUP(PROVEEDORES[[#This Row],[PROVEEDOR]],TERCEROS_INFO[#All],2,FALSE)</f>
        <v>30</v>
      </c>
      <c r="D1967" s="25">
        <f>+SUMIFS(PROVEEDORES[Total],PROVEEDORES[PROVEEDOR],PROVEEDORES[[#This Row],[PROVEEDOR]],PROVEEDORES[FECHA DE PAGO],"")</f>
        <v>0</v>
      </c>
      <c r="E1967" s="25"/>
      <c r="F1967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967" s="68">
        <v>45208</v>
      </c>
      <c r="H1967" s="95" t="s">
        <v>343</v>
      </c>
      <c r="I1967" s="68">
        <v>45139</v>
      </c>
      <c r="J1967" s="35" t="s">
        <v>1846</v>
      </c>
      <c r="K1967" s="21">
        <v>4057000</v>
      </c>
      <c r="L1967" s="21"/>
      <c r="M1967" s="22">
        <f>(PROVEEDORES[[#This Row],[SUBTOTAL]]-PROVEEDORES[[#This Row],[descuento sobre subtotal]])*VLOOKUP(PROVEEDORES[[#This Row],[PROVEEDOR]],TERCEROS_INFO[#All],3,FALSE)</f>
        <v>0</v>
      </c>
      <c r="N1967" s="23"/>
      <c r="O1967" s="22">
        <f>+PROVEEDORES[[#This Row],[Descuento sobre subtotal %]]*(PROVEEDORES[[#This Row],[SUBTOTAL]]-PROVEEDORES[[#This Row],[descuento sobre subtotal]])</f>
        <v>0</v>
      </c>
      <c r="P1967" s="74">
        <f>+IF(PROVEEDORES[[#This Row],[SUBTOTAL]]&lt;PROVEEDORES[[#This Row],[base retencion]],0,PROVEEDORES[[#This Row],[retención aplicada]])</f>
        <v>0</v>
      </c>
      <c r="Q1967" s="22">
        <f>+PROVEEDORES[[#This Row],[Rete Fuente %]]*(PROVEEDORES[[#This Row],[SUBTOTAL]]-PROVEEDORES[[#This Row],[descuento sobre subtotal]])</f>
        <v>0</v>
      </c>
      <c r="R1967" s="21">
        <f>+PROVEEDORES[[#This Row],[SUBTOTAL]]+PROVEEDORES[[#This Row],[IVA 19%]]-PROVEEDORES[[#This Row],[descuento sobre subtotal]]-PROVEEDORES[[#This Row],[Descuento sobre subtotal $2]]-PROVEEDORES[[#This Row],[Rete Fuente $]]</f>
        <v>4057000</v>
      </c>
      <c r="S1967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7" s="63">
        <f ca="1">IF(PROVEEDORES[[#This Row],[FECHA DE PAGO]]=0,TODAY()-PROVEEDORES[[#This Row],[FECHA DE FACTURACIÓN]]-PROVEEDORES[[#This Row],[PLAZO Días]],0)</f>
        <v>0</v>
      </c>
      <c r="U1967" s="104">
        <f>+VLOOKUP(PROVEEDORES[[#This Row],[PROVEEDOR]],Terceros!$A:$D,4,FALSE)</f>
        <v>0</v>
      </c>
      <c r="V1967" s="105">
        <f>+YEAR(PROVEEDORES[[#This Row],[FECHA DE FACTURACIÓN]])</f>
        <v>2023</v>
      </c>
      <c r="W1967" s="105">
        <f>+MATCH(PROVEEDORES[[#This Row],[año facturado]],Retenciones!$1:$1,0)</f>
        <v>6</v>
      </c>
      <c r="X1967" s="106">
        <f>+VLOOKUP(PROVEEDORES[[#This Row],[ID RETENCION]],Retenciones!$A$1:$O$25,PROVEEDORES[[#This Row],[indicador de columna]],FALSE)</f>
        <v>0</v>
      </c>
      <c r="Y1967" s="107">
        <f>+VLOOKUP(PROVEEDORES[[#This Row],[ID RETENCION]],Retenciones!$A$1:$O$25,2,FALSE)</f>
        <v>0</v>
      </c>
      <c r="Z1967" s="116" t="b">
        <f>OR(COUNTIF(PROVEEDORES[[#This Row],[PROVEEDOR]],"*"&amp;'Palabra no opera'!$A$2&amp;"*"))</f>
        <v>0</v>
      </c>
    </row>
    <row r="1968" spans="1:26" ht="22.35" customHeight="1" x14ac:dyDescent="0.3">
      <c r="A1968" s="67" t="str">
        <f>+IF(PROVEEDORES[[#This Row],[FECHA DE PAGO]]=PROVEEDORES[[#This Row],[FECHA DE FACTURACIÓN]],"DE CONTADO","CRÉDITO")</f>
        <v>DE CONTADO</v>
      </c>
      <c r="B1968" s="38" t="b">
        <f>+IF((PROVEEDORES[[#This Row],[FECHA DE PAGO]]-PROVEEDORES[[#This Row],[FECHA DE FACTURACIÓN]])&gt;PROVEEDORES[[#This Row],[PLAZO Días]],"PAGO VENCIDO")</f>
        <v>0</v>
      </c>
      <c r="C1968" s="20">
        <f>+VLOOKUP(PROVEEDORES[[#This Row],[PROVEEDOR]],TERCEROS_INFO[#All],2,FALSE)</f>
        <v>30</v>
      </c>
      <c r="D1968" s="25">
        <f>+SUMIFS(PROVEEDORES[Total],PROVEEDORES[PROVEEDOR],PROVEEDORES[[#This Row],[PROVEEDOR]],PROVEEDORES[FECHA DE PAGO],"")</f>
        <v>0</v>
      </c>
      <c r="E1968" s="25"/>
      <c r="F1968" s="56" t="str">
        <f>+VLOOKUP(PROVEEDORES[[#This Row],[PROVEEDOR]],
                       Terceros!$A:$F,
                       5,
                       FALSE)</f>
        <v/>
      </c>
      <c r="G1968" s="68">
        <v>45208</v>
      </c>
      <c r="H1968" s="26" t="s">
        <v>390</v>
      </c>
      <c r="I1968" s="68">
        <v>45208</v>
      </c>
      <c r="J1968" s="35"/>
      <c r="K1968" s="21">
        <v>1000000</v>
      </c>
      <c r="L1968" s="21"/>
      <c r="M1968" s="22">
        <f>(PROVEEDORES[[#This Row],[SUBTOTAL]]-PROVEEDORES[[#This Row],[descuento sobre subtotal]])*VLOOKUP(PROVEEDORES[[#This Row],[PROVEEDOR]],TERCEROS_INFO[#All],3,FALSE)</f>
        <v>0</v>
      </c>
      <c r="N1968" s="23"/>
      <c r="O1968" s="22">
        <f>+PROVEEDORES[[#This Row],[Descuento sobre subtotal %]]*(PROVEEDORES[[#This Row],[SUBTOTAL]]-PROVEEDORES[[#This Row],[descuento sobre subtotal]])</f>
        <v>0</v>
      </c>
      <c r="P1968" s="74">
        <f>+IF(PROVEEDORES[[#This Row],[SUBTOTAL]]&lt;PROVEEDORES[[#This Row],[base retencion]],0,PROVEEDORES[[#This Row],[retención aplicada]])</f>
        <v>0</v>
      </c>
      <c r="Q1968" s="22">
        <f>+PROVEEDORES[[#This Row],[Rete Fuente %]]*(PROVEEDORES[[#This Row],[SUBTOTAL]]-PROVEEDORES[[#This Row],[descuento sobre subtotal]])</f>
        <v>0</v>
      </c>
      <c r="R196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9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8" s="63">
        <f ca="1">IF(PROVEEDORES[[#This Row],[FECHA DE PAGO]]=0,TODAY()-PROVEEDORES[[#This Row],[FECHA DE FACTURACIÓN]]-PROVEEDORES[[#This Row],[PLAZO Días]],0)</f>
        <v>0</v>
      </c>
      <c r="U1968" s="104">
        <f>+VLOOKUP(PROVEEDORES[[#This Row],[PROVEEDOR]],Terceros!$A:$D,4,FALSE)</f>
        <v>0</v>
      </c>
      <c r="V1968" s="105">
        <f>+YEAR(PROVEEDORES[[#This Row],[FECHA DE FACTURACIÓN]])</f>
        <v>2023</v>
      </c>
      <c r="W1968" s="105">
        <f>+MATCH(PROVEEDORES[[#This Row],[año facturado]],Retenciones!$1:$1,0)</f>
        <v>6</v>
      </c>
      <c r="X1968" s="106">
        <f>+VLOOKUP(PROVEEDORES[[#This Row],[ID RETENCION]],Retenciones!$A$1:$O$25,PROVEEDORES[[#This Row],[indicador de columna]],FALSE)</f>
        <v>0</v>
      </c>
      <c r="Y1968" s="107">
        <f>+VLOOKUP(PROVEEDORES[[#This Row],[ID RETENCION]],Retenciones!$A$1:$O$25,2,FALSE)</f>
        <v>0</v>
      </c>
      <c r="Z1968" s="116" t="b">
        <f>OR(COUNTIF(PROVEEDORES[[#This Row],[PROVEEDOR]],"*"&amp;'Palabra no opera'!$A$2&amp;"*"))</f>
        <v>0</v>
      </c>
    </row>
    <row r="1969" spans="1:26" ht="22.35" customHeight="1" x14ac:dyDescent="0.3">
      <c r="A1969" s="67" t="str">
        <f>+IF(PROVEEDORES[[#This Row],[FECHA DE PAGO]]=PROVEEDORES[[#This Row],[FECHA DE FACTURACIÓN]],"DE CONTADO","CRÉDITO")</f>
        <v>CRÉDITO</v>
      </c>
      <c r="B1969" s="38" t="str">
        <f>+IF((PROVEEDORES[[#This Row],[FECHA DE PAGO]]-PROVEEDORES[[#This Row],[FECHA DE FACTURACIÓN]])&gt;PROVEEDORES[[#This Row],[PLAZO Días]],"PAGO VENCIDO")</f>
        <v>PAGO VENCIDO</v>
      </c>
      <c r="C1969" s="20">
        <f>+VLOOKUP(PROVEEDORES[[#This Row],[PROVEEDOR]],TERCEROS_INFO[#All],2,FALSE)</f>
        <v>30</v>
      </c>
      <c r="D1969" s="25">
        <f>+SUMIFS(PROVEEDORES[Total],PROVEEDORES[PROVEEDOR],PROVEEDORES[[#This Row],[PROVEEDOR]],PROVEEDORES[FECHA DE PAGO],"")</f>
        <v>17870934.149999999</v>
      </c>
      <c r="E1969" s="25"/>
      <c r="F196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69" s="68">
        <v>45208</v>
      </c>
      <c r="H1969" s="26" t="s">
        <v>18</v>
      </c>
      <c r="I1969" s="68">
        <v>45146</v>
      </c>
      <c r="J1969" s="35" t="s">
        <v>1872</v>
      </c>
      <c r="K1969" s="21">
        <v>2539374</v>
      </c>
      <c r="L1969" s="21"/>
      <c r="M1969" s="22">
        <f>(PROVEEDORES[[#This Row],[SUBTOTAL]]-PROVEEDORES[[#This Row],[descuento sobre subtotal]])*VLOOKUP(PROVEEDORES[[#This Row],[PROVEEDOR]],TERCEROS_INFO[#All],3,FALSE)</f>
        <v>482481.06</v>
      </c>
      <c r="N1969" s="23"/>
      <c r="O1969" s="22">
        <f>+PROVEEDORES[[#This Row],[Descuento sobre subtotal %]]*(PROVEEDORES[[#This Row],[SUBTOTAL]]-PROVEEDORES[[#This Row],[descuento sobre subtotal]])</f>
        <v>0</v>
      </c>
      <c r="P1969" s="74">
        <f>+IF(PROVEEDORES[[#This Row],[SUBTOTAL]]&lt;PROVEEDORES[[#This Row],[base retencion]],0,PROVEEDORES[[#This Row],[retención aplicada]])</f>
        <v>2.5000000000000001E-2</v>
      </c>
      <c r="Q1969" s="22">
        <f>+PROVEEDORES[[#This Row],[Rete Fuente %]]*(PROVEEDORES[[#This Row],[SUBTOTAL]]-PROVEEDORES[[#This Row],[descuento sobre subtotal]])</f>
        <v>63484.350000000006</v>
      </c>
      <c r="R1969" s="21">
        <f>+PROVEEDORES[[#This Row],[SUBTOTAL]]+PROVEEDORES[[#This Row],[IVA 19%]]-PROVEEDORES[[#This Row],[descuento sobre subtotal]]-PROVEEDORES[[#This Row],[Descuento sobre subtotal $2]]-PROVEEDORES[[#This Row],[Rete Fuente $]]</f>
        <v>2958370.71</v>
      </c>
      <c r="S19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9" s="63">
        <f ca="1">IF(PROVEEDORES[[#This Row],[FECHA DE PAGO]]=0,TODAY()-PROVEEDORES[[#This Row],[FECHA DE FACTURACIÓN]]-PROVEEDORES[[#This Row],[PLAZO Días]],0)</f>
        <v>0</v>
      </c>
      <c r="U1969" s="104" t="str">
        <f>+VLOOKUP(PROVEEDORES[[#This Row],[PROVEEDOR]],Terceros!$A:$D,4,FALSE)</f>
        <v>2,5% con base</v>
      </c>
      <c r="V1969" s="105">
        <f>+YEAR(PROVEEDORES[[#This Row],[FECHA DE FACTURACIÓN]])</f>
        <v>2023</v>
      </c>
      <c r="W1969" s="105">
        <f>+MATCH(PROVEEDORES[[#This Row],[año facturado]],Retenciones!$1:$1,0)</f>
        <v>6</v>
      </c>
      <c r="X1969" s="106">
        <f>+VLOOKUP(PROVEEDORES[[#This Row],[ID RETENCION]],Retenciones!$A$1:$O$25,PROVEEDORES[[#This Row],[indicador de columna]],FALSE)</f>
        <v>1145000</v>
      </c>
      <c r="Y1969" s="107">
        <f>+VLOOKUP(PROVEEDORES[[#This Row],[ID RETENCION]],Retenciones!$A$1:$O$25,2,FALSE)</f>
        <v>2.5000000000000001E-2</v>
      </c>
      <c r="Z1969" s="116" t="b">
        <f>OR(COUNTIF(PROVEEDORES[[#This Row],[PROVEEDOR]],"*"&amp;'Palabra no opera'!$A$2&amp;"*"))</f>
        <v>0</v>
      </c>
    </row>
    <row r="1970" spans="1:26" ht="22.35" customHeight="1" x14ac:dyDescent="0.3">
      <c r="A1970" s="67" t="str">
        <f>+IF(PROVEEDORES[[#This Row],[FECHA DE PAGO]]=PROVEEDORES[[#This Row],[FECHA DE FACTURACIÓN]],"DE CONTADO","CRÉDITO")</f>
        <v>CRÉDITO</v>
      </c>
      <c r="B1970" s="38" t="str">
        <f>+IF((PROVEEDORES[[#This Row],[FECHA DE PAGO]]-PROVEEDORES[[#This Row],[FECHA DE FACTURACIÓN]])&gt;PROVEEDORES[[#This Row],[PLAZO Días]],"PAGO VENCIDO")</f>
        <v>PAGO VENCIDO</v>
      </c>
      <c r="C1970" s="20">
        <f>+VLOOKUP(PROVEEDORES[[#This Row],[PROVEEDOR]],TERCEROS_INFO[#All],2,FALSE)</f>
        <v>30</v>
      </c>
      <c r="D1970" s="25">
        <f>+SUMIFS(PROVEEDORES[Total],PROVEEDORES[PROVEEDOR],PROVEEDORES[[#This Row],[PROVEEDOR]],PROVEEDORES[FECHA DE PAGO],"")</f>
        <v>17870934.149999999</v>
      </c>
      <c r="E1970" s="25"/>
      <c r="F197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0" s="68">
        <v>45208</v>
      </c>
      <c r="H1970" s="26" t="s">
        <v>18</v>
      </c>
      <c r="I1970" s="68">
        <v>45153</v>
      </c>
      <c r="J1970" s="35" t="s">
        <v>1908</v>
      </c>
      <c r="K1970" s="21">
        <v>3257262</v>
      </c>
      <c r="L1970" s="21"/>
      <c r="M1970" s="22">
        <f>(PROVEEDORES[[#This Row],[SUBTOTAL]]-PROVEEDORES[[#This Row],[descuento sobre subtotal]])*VLOOKUP(PROVEEDORES[[#This Row],[PROVEEDOR]],TERCEROS_INFO[#All],3,FALSE)</f>
        <v>618879.78</v>
      </c>
      <c r="N1970" s="23"/>
      <c r="O1970" s="22">
        <f>+PROVEEDORES[[#This Row],[Descuento sobre subtotal %]]*(PROVEEDORES[[#This Row],[SUBTOTAL]]-PROVEEDORES[[#This Row],[descuento sobre subtotal]])</f>
        <v>0</v>
      </c>
      <c r="P1970" s="74">
        <f>+IF(PROVEEDORES[[#This Row],[SUBTOTAL]]&lt;PROVEEDORES[[#This Row],[base retencion]],0,PROVEEDORES[[#This Row],[retención aplicada]])</f>
        <v>2.5000000000000001E-2</v>
      </c>
      <c r="Q1970" s="22">
        <f>+PROVEEDORES[[#This Row],[Rete Fuente %]]*(PROVEEDORES[[#This Row],[SUBTOTAL]]-PROVEEDORES[[#This Row],[descuento sobre subtotal]])</f>
        <v>81431.55</v>
      </c>
      <c r="R1970" s="21">
        <f>+PROVEEDORES[[#This Row],[SUBTOTAL]]+PROVEEDORES[[#This Row],[IVA 19%]]-PROVEEDORES[[#This Row],[descuento sobre subtotal]]-PROVEEDORES[[#This Row],[Descuento sobre subtotal $2]]-PROVEEDORES[[#This Row],[Rete Fuente $]]</f>
        <v>3794710.2300000004</v>
      </c>
      <c r="S197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0" s="63">
        <f ca="1">IF(PROVEEDORES[[#This Row],[FECHA DE PAGO]]=0,TODAY()-PROVEEDORES[[#This Row],[FECHA DE FACTURACIÓN]]-PROVEEDORES[[#This Row],[PLAZO Días]],0)</f>
        <v>0</v>
      </c>
      <c r="U1970" s="104" t="str">
        <f>+VLOOKUP(PROVEEDORES[[#This Row],[PROVEEDOR]],Terceros!$A:$D,4,FALSE)</f>
        <v>2,5% con base</v>
      </c>
      <c r="V1970" s="105">
        <f>+YEAR(PROVEEDORES[[#This Row],[FECHA DE FACTURACIÓN]])</f>
        <v>2023</v>
      </c>
      <c r="W1970" s="105">
        <f>+MATCH(PROVEEDORES[[#This Row],[año facturado]],Retenciones!$1:$1,0)</f>
        <v>6</v>
      </c>
      <c r="X1970" s="106">
        <f>+VLOOKUP(PROVEEDORES[[#This Row],[ID RETENCION]],Retenciones!$A$1:$O$25,PROVEEDORES[[#This Row],[indicador de columna]],FALSE)</f>
        <v>1145000</v>
      </c>
      <c r="Y1970" s="107">
        <f>+VLOOKUP(PROVEEDORES[[#This Row],[ID RETENCION]],Retenciones!$A$1:$O$25,2,FALSE)</f>
        <v>2.5000000000000001E-2</v>
      </c>
      <c r="Z1970" s="116" t="b">
        <f>OR(COUNTIF(PROVEEDORES[[#This Row],[PROVEEDOR]],"*"&amp;'Palabra no opera'!$A$2&amp;"*"))</f>
        <v>0</v>
      </c>
    </row>
    <row r="1971" spans="1:26" ht="22.35" customHeight="1" x14ac:dyDescent="0.3">
      <c r="A1971" s="67" t="str">
        <f>+IF(PROVEEDORES[[#This Row],[FECHA DE PAGO]]=PROVEEDORES[[#This Row],[FECHA DE FACTURACIÓN]],"DE CONTADO","CRÉDITO")</f>
        <v>CRÉDITO</v>
      </c>
      <c r="B1971" s="38" t="str">
        <f>+IF((PROVEEDORES[[#This Row],[FECHA DE PAGO]]-PROVEEDORES[[#This Row],[FECHA DE FACTURACIÓN]])&gt;PROVEEDORES[[#This Row],[PLAZO Días]],"PAGO VENCIDO")</f>
        <v>PAGO VENCIDO</v>
      </c>
      <c r="C1971" s="20">
        <f>+VLOOKUP(PROVEEDORES[[#This Row],[PROVEEDOR]],TERCEROS_INFO[#All],2,FALSE)</f>
        <v>30</v>
      </c>
      <c r="D1971" s="25">
        <f>+SUMIFS(PROVEEDORES[Total],PROVEEDORES[PROVEEDOR],PROVEEDORES[[#This Row],[PROVEEDOR]],PROVEEDORES[FECHA DE PAGO],"")</f>
        <v>17870934.149999999</v>
      </c>
      <c r="E1971" s="25"/>
      <c r="F197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1" s="68">
        <v>45208</v>
      </c>
      <c r="H1971" s="26" t="s">
        <v>18</v>
      </c>
      <c r="I1971" s="68">
        <v>45161</v>
      </c>
      <c r="J1971" s="35" t="s">
        <v>1909</v>
      </c>
      <c r="K1971" s="21">
        <v>1809303</v>
      </c>
      <c r="L1971" s="21"/>
      <c r="M1971" s="22">
        <f>(PROVEEDORES[[#This Row],[SUBTOTAL]]-PROVEEDORES[[#This Row],[descuento sobre subtotal]])*VLOOKUP(PROVEEDORES[[#This Row],[PROVEEDOR]],TERCEROS_INFO[#All],3,FALSE)</f>
        <v>343767.57</v>
      </c>
      <c r="N1971" s="23"/>
      <c r="O1971" s="22">
        <f>+PROVEEDORES[[#This Row],[Descuento sobre subtotal %]]*(PROVEEDORES[[#This Row],[SUBTOTAL]]-PROVEEDORES[[#This Row],[descuento sobre subtotal]])</f>
        <v>0</v>
      </c>
      <c r="P1971" s="74">
        <f>+IF(PROVEEDORES[[#This Row],[SUBTOTAL]]&lt;PROVEEDORES[[#This Row],[base retencion]],0,PROVEEDORES[[#This Row],[retención aplicada]])</f>
        <v>2.5000000000000001E-2</v>
      </c>
      <c r="Q1971" s="22">
        <f>+PROVEEDORES[[#This Row],[Rete Fuente %]]*(PROVEEDORES[[#This Row],[SUBTOTAL]]-PROVEEDORES[[#This Row],[descuento sobre subtotal]])</f>
        <v>45232.575000000004</v>
      </c>
      <c r="R1971" s="21">
        <f>+PROVEEDORES[[#This Row],[SUBTOTAL]]+PROVEEDORES[[#This Row],[IVA 19%]]-PROVEEDORES[[#This Row],[descuento sobre subtotal]]-PROVEEDORES[[#This Row],[Descuento sobre subtotal $2]]-PROVEEDORES[[#This Row],[Rete Fuente $]]</f>
        <v>2107837.9949999996</v>
      </c>
      <c r="S19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1" s="63">
        <f ca="1">IF(PROVEEDORES[[#This Row],[FECHA DE PAGO]]=0,TODAY()-PROVEEDORES[[#This Row],[FECHA DE FACTURACIÓN]]-PROVEEDORES[[#This Row],[PLAZO Días]],0)</f>
        <v>0</v>
      </c>
      <c r="U1971" s="104" t="str">
        <f>+VLOOKUP(PROVEEDORES[[#This Row],[PROVEEDOR]],Terceros!$A:$D,4,FALSE)</f>
        <v>2,5% con base</v>
      </c>
      <c r="V1971" s="105">
        <f>+YEAR(PROVEEDORES[[#This Row],[FECHA DE FACTURACIÓN]])</f>
        <v>2023</v>
      </c>
      <c r="W1971" s="105">
        <f>+MATCH(PROVEEDORES[[#This Row],[año facturado]],Retenciones!$1:$1,0)</f>
        <v>6</v>
      </c>
      <c r="X1971" s="106">
        <f>+VLOOKUP(PROVEEDORES[[#This Row],[ID RETENCION]],Retenciones!$A$1:$O$25,PROVEEDORES[[#This Row],[indicador de columna]],FALSE)</f>
        <v>1145000</v>
      </c>
      <c r="Y1971" s="107">
        <f>+VLOOKUP(PROVEEDORES[[#This Row],[ID RETENCION]],Retenciones!$A$1:$O$25,2,FALSE)</f>
        <v>2.5000000000000001E-2</v>
      </c>
      <c r="Z1971" s="116" t="b">
        <f>OR(COUNTIF(PROVEEDORES[[#This Row],[PROVEEDOR]],"*"&amp;'Palabra no opera'!$A$2&amp;"*"))</f>
        <v>0</v>
      </c>
    </row>
    <row r="1972" spans="1:26" ht="22.35" customHeight="1" x14ac:dyDescent="0.3">
      <c r="A1972" s="351" t="str">
        <f>+IF(PROVEEDORES[[#This Row],[FECHA DE PAGO]]=PROVEEDORES[[#This Row],[FECHA DE FACTURACIÓN]],"DE CONTADO","CRÉDITO")</f>
        <v>CRÉDITO</v>
      </c>
      <c r="B1972" s="38" t="str">
        <f>+IF((PROVEEDORES[[#This Row],[FECHA DE PAGO]]-PROVEEDORES[[#This Row],[FECHA DE FACTURACIÓN]])&gt;PROVEEDORES[[#This Row],[PLAZO Días]],"PAGO VENCIDO")</f>
        <v>PAGO VENCIDO</v>
      </c>
      <c r="C1972" s="20">
        <f>+VLOOKUP(PROVEEDORES[[#This Row],[PROVEEDOR]],TERCEROS_INFO[#All],2,FALSE)</f>
        <v>30</v>
      </c>
      <c r="D1972" s="25">
        <f>+SUMIFS(PROVEEDORES[Total],PROVEEDORES[PROVEEDOR],PROVEEDORES[[#This Row],[PROVEEDOR]],PROVEEDORES[FECHA DE PAGO],"")</f>
        <v>17870934.149999999</v>
      </c>
      <c r="E1972" s="25"/>
      <c r="F197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2" s="68">
        <v>45208</v>
      </c>
      <c r="H1972" s="26" t="s">
        <v>18</v>
      </c>
      <c r="I1972" s="68">
        <v>45168</v>
      </c>
      <c r="J1972" s="35" t="s">
        <v>1931</v>
      </c>
      <c r="K1972" s="21">
        <v>1507927</v>
      </c>
      <c r="L1972" s="21"/>
      <c r="M1972" s="22">
        <f>(PROVEEDORES[[#This Row],[SUBTOTAL]]-PROVEEDORES[[#This Row],[descuento sobre subtotal]])*VLOOKUP(PROVEEDORES[[#This Row],[PROVEEDOR]],TERCEROS_INFO[#All],3,FALSE)</f>
        <v>286506.13</v>
      </c>
      <c r="N1972" s="23"/>
      <c r="O1972" s="22">
        <f>+PROVEEDORES[[#This Row],[Descuento sobre subtotal %]]*(PROVEEDORES[[#This Row],[SUBTOTAL]]-PROVEEDORES[[#This Row],[descuento sobre subtotal]])</f>
        <v>0</v>
      </c>
      <c r="P1972" s="74">
        <f>+IF(PROVEEDORES[[#This Row],[SUBTOTAL]]&lt;PROVEEDORES[[#This Row],[base retencion]],0,PROVEEDORES[[#This Row],[retención aplicada]])</f>
        <v>2.5000000000000001E-2</v>
      </c>
      <c r="Q1972" s="22">
        <f>+PROVEEDORES[[#This Row],[Rete Fuente %]]*(PROVEEDORES[[#This Row],[SUBTOTAL]]-PROVEEDORES[[#This Row],[descuento sobre subtotal]])</f>
        <v>37698.175000000003</v>
      </c>
      <c r="R1972" s="21">
        <f>+PROVEEDORES[[#This Row],[SUBTOTAL]]+PROVEEDORES[[#This Row],[IVA 19%]]-PROVEEDORES[[#This Row],[descuento sobre subtotal]]-PROVEEDORES[[#This Row],[Descuento sobre subtotal $2]]-PROVEEDORES[[#This Row],[Rete Fuente $]]</f>
        <v>1756734.9549999998</v>
      </c>
      <c r="S1972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2" s="63">
        <f ca="1">IF(PROVEEDORES[[#This Row],[FECHA DE PAGO]]=0,TODAY()-PROVEEDORES[[#This Row],[FECHA DE FACTURACIÓN]]-PROVEEDORES[[#This Row],[PLAZO Días]],0)</f>
        <v>0</v>
      </c>
      <c r="U1972" s="104" t="str">
        <f>+VLOOKUP(PROVEEDORES[[#This Row],[PROVEEDOR]],Terceros!$A:$D,4,FALSE)</f>
        <v>2,5% con base</v>
      </c>
      <c r="V1972" s="105">
        <f>+YEAR(PROVEEDORES[[#This Row],[FECHA DE FACTURACIÓN]])</f>
        <v>2023</v>
      </c>
      <c r="W1972" s="105">
        <f>+MATCH(PROVEEDORES[[#This Row],[año facturado]],Retenciones!$1:$1,0)</f>
        <v>6</v>
      </c>
      <c r="X1972" s="106">
        <f>+VLOOKUP(PROVEEDORES[[#This Row],[ID RETENCION]],Retenciones!$A$1:$O$25,PROVEEDORES[[#This Row],[indicador de columna]],FALSE)</f>
        <v>1145000</v>
      </c>
      <c r="Y1972" s="107">
        <f>+VLOOKUP(PROVEEDORES[[#This Row],[ID RETENCION]],Retenciones!$A$1:$O$25,2,FALSE)</f>
        <v>2.5000000000000001E-2</v>
      </c>
      <c r="Z1972" s="116" t="b">
        <f>OR(COUNTIF(PROVEEDORES[[#This Row],[PROVEEDOR]],"*"&amp;'Palabra no opera'!$A$2&amp;"*"))</f>
        <v>0</v>
      </c>
    </row>
    <row r="1973" spans="1:26" ht="22.35" customHeight="1" x14ac:dyDescent="0.3">
      <c r="A1973" s="351" t="str">
        <f>+IF(PROVEEDORES[[#This Row],[FECHA DE PAGO]]=PROVEEDORES[[#This Row],[FECHA DE FACTURACIÓN]],"DE CONTADO","CRÉDITO")</f>
        <v>CRÉDITO</v>
      </c>
      <c r="B1973" s="38" t="str">
        <f>+IF((PROVEEDORES[[#This Row],[FECHA DE PAGO]]-PROVEEDORES[[#This Row],[FECHA DE FACTURACIÓN]])&gt;PROVEEDORES[[#This Row],[PLAZO Días]],"PAGO VENCIDO")</f>
        <v>PAGO VENCIDO</v>
      </c>
      <c r="C1973" s="20">
        <f>+VLOOKUP(PROVEEDORES[[#This Row],[PROVEEDOR]],TERCEROS_INFO[#All],2,FALSE)</f>
        <v>30</v>
      </c>
      <c r="D1973" s="25">
        <f>+SUMIFS(PROVEEDORES[Total],PROVEEDORES[PROVEEDOR],PROVEEDORES[[#This Row],[PROVEEDOR]],PROVEEDORES[FECHA DE PAGO],"")</f>
        <v>17870934.149999999</v>
      </c>
      <c r="E1973" s="25"/>
      <c r="F197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3" s="68">
        <v>45208</v>
      </c>
      <c r="H1973" s="26" t="s">
        <v>18</v>
      </c>
      <c r="I1973" s="68">
        <v>45169</v>
      </c>
      <c r="J1973" s="35" t="s">
        <v>1930</v>
      </c>
      <c r="K1973" s="21">
        <v>825295</v>
      </c>
      <c r="L1973" s="21"/>
      <c r="M1973" s="22">
        <f>(PROVEEDORES[[#This Row],[SUBTOTAL]]-PROVEEDORES[[#This Row],[descuento sobre subtotal]])*VLOOKUP(PROVEEDORES[[#This Row],[PROVEEDOR]],TERCEROS_INFO[#All],3,FALSE)</f>
        <v>156806.04999999999</v>
      </c>
      <c r="N1973" s="23"/>
      <c r="O1973" s="22">
        <f>+PROVEEDORES[[#This Row],[Descuento sobre subtotal %]]*(PROVEEDORES[[#This Row],[SUBTOTAL]]-PROVEEDORES[[#This Row],[descuento sobre subtotal]])</f>
        <v>0</v>
      </c>
      <c r="P1973" s="74">
        <f>+IF(PROVEEDORES[[#This Row],[SUBTOTAL]]&lt;PROVEEDORES[[#This Row],[base retencion]],0,PROVEEDORES[[#This Row],[retención aplicada]])</f>
        <v>0</v>
      </c>
      <c r="Q1973" s="22">
        <f>+PROVEEDORES[[#This Row],[Rete Fuente %]]*(PROVEEDORES[[#This Row],[SUBTOTAL]]-PROVEEDORES[[#This Row],[descuento sobre subtotal]])</f>
        <v>0</v>
      </c>
      <c r="R1973" s="21">
        <f>+PROVEEDORES[[#This Row],[SUBTOTAL]]+PROVEEDORES[[#This Row],[IVA 19%]]-PROVEEDORES[[#This Row],[descuento sobre subtotal]]-PROVEEDORES[[#This Row],[Descuento sobre subtotal $2]]-PROVEEDORES[[#This Row],[Rete Fuente $]]</f>
        <v>982101.05</v>
      </c>
      <c r="S1973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3" s="63">
        <f ca="1">IF(PROVEEDORES[[#This Row],[FECHA DE PAGO]]=0,TODAY()-PROVEEDORES[[#This Row],[FECHA DE FACTURACIÓN]]-PROVEEDORES[[#This Row],[PLAZO Días]],0)</f>
        <v>0</v>
      </c>
      <c r="U1973" s="104" t="str">
        <f>+VLOOKUP(PROVEEDORES[[#This Row],[PROVEEDOR]],Terceros!$A:$D,4,FALSE)</f>
        <v>2,5% con base</v>
      </c>
      <c r="V1973" s="105">
        <f>+YEAR(PROVEEDORES[[#This Row],[FECHA DE FACTURACIÓN]])</f>
        <v>2023</v>
      </c>
      <c r="W1973" s="105">
        <f>+MATCH(PROVEEDORES[[#This Row],[año facturado]],Retenciones!$1:$1,0)</f>
        <v>6</v>
      </c>
      <c r="X1973" s="106">
        <f>+VLOOKUP(PROVEEDORES[[#This Row],[ID RETENCION]],Retenciones!$A$1:$O$25,PROVEEDORES[[#This Row],[indicador de columna]],FALSE)</f>
        <v>1145000</v>
      </c>
      <c r="Y1973" s="107">
        <f>+VLOOKUP(PROVEEDORES[[#This Row],[ID RETENCION]],Retenciones!$A$1:$O$25,2,FALSE)</f>
        <v>2.5000000000000001E-2</v>
      </c>
      <c r="Z1973" s="116" t="b">
        <f>OR(COUNTIF(PROVEEDORES[[#This Row],[PROVEEDOR]],"*"&amp;'Palabra no opera'!$A$2&amp;"*"))</f>
        <v>0</v>
      </c>
    </row>
    <row r="1974" spans="1:26" ht="22.35" customHeight="1" x14ac:dyDescent="0.3">
      <c r="A1974" s="67" t="str">
        <f>+IF(PROVEEDORES[[#This Row],[FECHA DE PAGO]]=PROVEEDORES[[#This Row],[FECHA DE FACTURACIÓN]],"DE CONTADO","CRÉDITO")</f>
        <v>CRÉDITO</v>
      </c>
      <c r="B1974" s="38" t="str">
        <f>+IF((PROVEEDORES[[#This Row],[FECHA DE PAGO]]-PROVEEDORES[[#This Row],[FECHA DE FACTURACIÓN]])&gt;PROVEEDORES[[#This Row],[PLAZO Días]],"PAGO VENCIDO")</f>
        <v>PAGO VENCIDO</v>
      </c>
      <c r="C1974" s="20">
        <f>+VLOOKUP(PROVEEDORES[[#This Row],[PROVEEDOR]],TERCEROS_INFO[#All],2,FALSE)</f>
        <v>30</v>
      </c>
      <c r="D1974" s="25">
        <f>+SUMIFS(PROVEEDORES[Total],PROVEEDORES[PROVEEDOR],PROVEEDORES[[#This Row],[PROVEEDOR]],PROVEEDORES[FECHA DE PAGO],"")</f>
        <v>17870934.149999999</v>
      </c>
      <c r="E1974" s="25"/>
      <c r="F197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4" s="68">
        <v>45208</v>
      </c>
      <c r="H1974" s="26" t="s">
        <v>18</v>
      </c>
      <c r="I1974" s="68">
        <v>45175</v>
      </c>
      <c r="J1974" s="35" t="s">
        <v>1974</v>
      </c>
      <c r="K1974" s="21">
        <v>884468</v>
      </c>
      <c r="L1974" s="21"/>
      <c r="M1974" s="22">
        <f>(PROVEEDORES[[#This Row],[SUBTOTAL]]-PROVEEDORES[[#This Row],[descuento sobre subtotal]])*VLOOKUP(PROVEEDORES[[#This Row],[PROVEEDOR]],TERCEROS_INFO[#All],3,FALSE)</f>
        <v>168048.92</v>
      </c>
      <c r="N1974" s="23"/>
      <c r="O1974" s="22">
        <f>+PROVEEDORES[[#This Row],[Descuento sobre subtotal %]]*(PROVEEDORES[[#This Row],[SUBTOTAL]]-PROVEEDORES[[#This Row],[descuento sobre subtotal]])</f>
        <v>0</v>
      </c>
      <c r="P1974" s="74">
        <f>+IF(PROVEEDORES[[#This Row],[SUBTOTAL]]&lt;PROVEEDORES[[#This Row],[base retencion]],0,PROVEEDORES[[#This Row],[retención aplicada]])</f>
        <v>0</v>
      </c>
      <c r="Q1974" s="22">
        <f>+PROVEEDORES[[#This Row],[Rete Fuente %]]*(PROVEEDORES[[#This Row],[SUBTOTAL]]-PROVEEDORES[[#This Row],[descuento sobre subtotal]])</f>
        <v>0</v>
      </c>
      <c r="R1974" s="21">
        <f>+PROVEEDORES[[#This Row],[SUBTOTAL]]+PROVEEDORES[[#This Row],[IVA 19%]]-PROVEEDORES[[#This Row],[descuento sobre subtotal]]-PROVEEDORES[[#This Row],[Descuento sobre subtotal $2]]-PROVEEDORES[[#This Row],[Rete Fuente $]]</f>
        <v>1052516.92</v>
      </c>
      <c r="S19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4" s="63">
        <f ca="1">IF(PROVEEDORES[[#This Row],[FECHA DE PAGO]]=0,TODAY()-PROVEEDORES[[#This Row],[FECHA DE FACTURACIÓN]]-PROVEEDORES[[#This Row],[PLAZO Días]],0)</f>
        <v>0</v>
      </c>
      <c r="U1974" s="104" t="str">
        <f>+VLOOKUP(PROVEEDORES[[#This Row],[PROVEEDOR]],Terceros!$A:$D,4,FALSE)</f>
        <v>2,5% con base</v>
      </c>
      <c r="V1974" s="105">
        <f>+YEAR(PROVEEDORES[[#This Row],[FECHA DE FACTURACIÓN]])</f>
        <v>2023</v>
      </c>
      <c r="W1974" s="105">
        <f>+MATCH(PROVEEDORES[[#This Row],[año facturado]],Retenciones!$1:$1,0)</f>
        <v>6</v>
      </c>
      <c r="X1974" s="106">
        <f>+VLOOKUP(PROVEEDORES[[#This Row],[ID RETENCION]],Retenciones!$A$1:$O$25,PROVEEDORES[[#This Row],[indicador de columna]],FALSE)</f>
        <v>1145000</v>
      </c>
      <c r="Y1974" s="107">
        <f>+VLOOKUP(PROVEEDORES[[#This Row],[ID RETENCION]],Retenciones!$A$1:$O$25,2,FALSE)</f>
        <v>2.5000000000000001E-2</v>
      </c>
      <c r="Z1974" s="116" t="b">
        <f>OR(COUNTIF(PROVEEDORES[[#This Row],[PROVEEDOR]],"*"&amp;'Palabra no opera'!$A$2&amp;"*"))</f>
        <v>0</v>
      </c>
    </row>
    <row r="1975" spans="1:26" ht="22.35" customHeight="1" x14ac:dyDescent="0.3">
      <c r="A1975" s="339" t="str">
        <f>+IF(PROVEEDORES[[#This Row],[FECHA DE PAGO]]=PROVEEDORES[[#This Row],[FECHA DE FACTURACIÓN]],"DE CONTADO","CRÉDITO")</f>
        <v>CRÉDITO</v>
      </c>
      <c r="B1975" s="38" t="str">
        <f>+IF((PROVEEDORES[[#This Row],[FECHA DE PAGO]]-PROVEEDORES[[#This Row],[FECHA DE FACTURACIÓN]])&gt;PROVEEDORES[[#This Row],[PLAZO Días]],"PAGO VENCIDO")</f>
        <v>PAGO VENCIDO</v>
      </c>
      <c r="C1975" s="20">
        <f>+VLOOKUP(PROVEEDORES[[#This Row],[PROVEEDOR]],TERCEROS_INFO[#All],2,FALSE)</f>
        <v>30</v>
      </c>
      <c r="D1975" s="25">
        <f>+SUMIFS(PROVEEDORES[Total],PROVEEDORES[PROVEEDOR],PROVEEDORES[[#This Row],[PROVEEDOR]],PROVEEDORES[FECHA DE PAGO],"")</f>
        <v>0</v>
      </c>
      <c r="E1975" s="25"/>
      <c r="F197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75" s="68">
        <v>45208</v>
      </c>
      <c r="H1975" s="26" t="s">
        <v>1850</v>
      </c>
      <c r="I1975" s="68">
        <v>45140</v>
      </c>
      <c r="J1975" s="35" t="s">
        <v>1852</v>
      </c>
      <c r="K1975" s="21">
        <v>3115967</v>
      </c>
      <c r="L1975" s="21"/>
      <c r="M1975" s="22">
        <f>(PROVEEDORES[[#This Row],[SUBTOTAL]]-PROVEEDORES[[#This Row],[descuento sobre subtotal]])*VLOOKUP(PROVEEDORES[[#This Row],[PROVEEDOR]],TERCEROS_INFO[#All],3,FALSE)</f>
        <v>592033.73</v>
      </c>
      <c r="N1975" s="23"/>
      <c r="O1975" s="22">
        <f>+PROVEEDORES[[#This Row],[Descuento sobre subtotal %]]*(PROVEEDORES[[#This Row],[SUBTOTAL]]-PROVEEDORES[[#This Row],[descuento sobre subtotal]])</f>
        <v>0</v>
      </c>
      <c r="P1975" s="74">
        <f>+IF(PROVEEDORES[[#This Row],[SUBTOTAL]]&lt;PROVEEDORES[[#This Row],[base retencion]],0,PROVEEDORES[[#This Row],[retención aplicada]])</f>
        <v>2.5000000000000001E-2</v>
      </c>
      <c r="Q1975" s="22">
        <f>+PROVEEDORES[[#This Row],[Rete Fuente %]]*(PROVEEDORES[[#This Row],[SUBTOTAL]]-PROVEEDORES[[#This Row],[descuento sobre subtotal]])</f>
        <v>77899.175000000003</v>
      </c>
      <c r="R1975" s="21">
        <f>+PROVEEDORES[[#This Row],[SUBTOTAL]]+PROVEEDORES[[#This Row],[IVA 19%]]-PROVEEDORES[[#This Row],[descuento sobre subtotal]]-PROVEEDORES[[#This Row],[Descuento sobre subtotal $2]]-PROVEEDORES[[#This Row],[Rete Fuente $]]</f>
        <v>3630101.5550000002</v>
      </c>
      <c r="S1975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5" s="63">
        <f ca="1">IF(PROVEEDORES[[#This Row],[FECHA DE PAGO]]=0,TODAY()-PROVEEDORES[[#This Row],[FECHA DE FACTURACIÓN]]-PROVEEDORES[[#This Row],[PLAZO Días]],0)</f>
        <v>0</v>
      </c>
      <c r="U1975" s="104" t="str">
        <f>+VLOOKUP(PROVEEDORES[[#This Row],[PROVEEDOR]],Terceros!$A:$D,4,FALSE)</f>
        <v>2,5% con base</v>
      </c>
      <c r="V1975" s="105">
        <f>+YEAR(PROVEEDORES[[#This Row],[FECHA DE FACTURACIÓN]])</f>
        <v>2023</v>
      </c>
      <c r="W1975" s="105">
        <f>+MATCH(PROVEEDORES[[#This Row],[año facturado]],Retenciones!$1:$1,0)</f>
        <v>6</v>
      </c>
      <c r="X1975" s="106">
        <f>+VLOOKUP(PROVEEDORES[[#This Row],[ID RETENCION]],Retenciones!$A$1:$O$25,PROVEEDORES[[#This Row],[indicador de columna]],FALSE)</f>
        <v>1145000</v>
      </c>
      <c r="Y1975" s="107">
        <f>+VLOOKUP(PROVEEDORES[[#This Row],[ID RETENCION]],Retenciones!$A$1:$O$25,2,FALSE)</f>
        <v>2.5000000000000001E-2</v>
      </c>
      <c r="Z1975" s="116" t="b">
        <f>OR(COUNTIF(PROVEEDORES[[#This Row],[PROVEEDOR]],"*"&amp;'Palabra no opera'!$A$2&amp;"*"))</f>
        <v>0</v>
      </c>
    </row>
    <row r="1976" spans="1:26" ht="22.35" customHeight="1" x14ac:dyDescent="0.3">
      <c r="A1976" s="67" t="str">
        <f>+IF(PROVEEDORES[[#This Row],[FECHA DE PAGO]]=PROVEEDORES[[#This Row],[FECHA DE FACTURACIÓN]],"DE CONTADO","CRÉDITO")</f>
        <v>CRÉDITO</v>
      </c>
      <c r="B1976" s="38" t="str">
        <f>+IF((PROVEEDORES[[#This Row],[FECHA DE PAGO]]-PROVEEDORES[[#This Row],[FECHA DE FACTURACIÓN]])&gt;PROVEEDORES[[#This Row],[PLAZO Días]],"PAGO VENCIDO")</f>
        <v>PAGO VENCIDO</v>
      </c>
      <c r="C1976" s="20">
        <f>+VLOOKUP(PROVEEDORES[[#This Row],[PROVEEDOR]],TERCEROS_INFO[#All],2,FALSE)</f>
        <v>30</v>
      </c>
      <c r="D1976" s="25">
        <f>+SUMIFS(PROVEEDORES[Total],PROVEEDORES[PROVEEDOR],PROVEEDORES[[#This Row],[PROVEEDOR]],PROVEEDORES[FECHA DE PAGO],"")</f>
        <v>0</v>
      </c>
      <c r="E1976" s="25"/>
      <c r="F1976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976" s="68">
        <v>45208</v>
      </c>
      <c r="H1976" s="26" t="s">
        <v>1850</v>
      </c>
      <c r="I1976" s="68">
        <v>45153</v>
      </c>
      <c r="J1976" s="35" t="s">
        <v>1907</v>
      </c>
      <c r="K1976" s="21">
        <v>327731</v>
      </c>
      <c r="L1976" s="21"/>
      <c r="M1976" s="22">
        <f>(PROVEEDORES[[#This Row],[SUBTOTAL]]-PROVEEDORES[[#This Row],[descuento sobre subtotal]])*VLOOKUP(PROVEEDORES[[#This Row],[PROVEEDOR]],TERCEROS_INFO[#All],3,FALSE)</f>
        <v>62268.89</v>
      </c>
      <c r="N1976" s="23"/>
      <c r="O1976" s="22">
        <f>+PROVEEDORES[[#This Row],[Descuento sobre subtotal %]]*(PROVEEDORES[[#This Row],[SUBTOTAL]]-PROVEEDORES[[#This Row],[descuento sobre subtotal]])</f>
        <v>0</v>
      </c>
      <c r="P1976" s="74">
        <f>+IF(PROVEEDORES[[#This Row],[SUBTOTAL]]&lt;PROVEEDORES[[#This Row],[base retencion]],0,PROVEEDORES[[#This Row],[retención aplicada]])</f>
        <v>0</v>
      </c>
      <c r="Q1976" s="22">
        <f>+PROVEEDORES[[#This Row],[Rete Fuente %]]*(PROVEEDORES[[#This Row],[SUBTOTAL]]-PROVEEDORES[[#This Row],[descuento sobre subtotal]])</f>
        <v>0</v>
      </c>
      <c r="R1976" s="21">
        <f>+PROVEEDORES[[#This Row],[SUBTOTAL]]+PROVEEDORES[[#This Row],[IVA 19%]]-PROVEEDORES[[#This Row],[descuento sobre subtotal]]-PROVEEDORES[[#This Row],[Descuento sobre subtotal $2]]-PROVEEDORES[[#This Row],[Rete Fuente $]]</f>
        <v>389999.89</v>
      </c>
      <c r="S19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6" s="63">
        <f ca="1">IF(PROVEEDORES[[#This Row],[FECHA DE PAGO]]=0,TODAY()-PROVEEDORES[[#This Row],[FECHA DE FACTURACIÓN]]-PROVEEDORES[[#This Row],[PLAZO Días]],0)</f>
        <v>0</v>
      </c>
      <c r="U1976" s="104" t="str">
        <f>+VLOOKUP(PROVEEDORES[[#This Row],[PROVEEDOR]],Terceros!$A:$D,4,FALSE)</f>
        <v>2,5% con base</v>
      </c>
      <c r="V1976" s="105">
        <f>+YEAR(PROVEEDORES[[#This Row],[FECHA DE FACTURACIÓN]])</f>
        <v>2023</v>
      </c>
      <c r="W1976" s="105">
        <f>+MATCH(PROVEEDORES[[#This Row],[año facturado]],Retenciones!$1:$1,0)</f>
        <v>6</v>
      </c>
      <c r="X1976" s="106">
        <f>+VLOOKUP(PROVEEDORES[[#This Row],[ID RETENCION]],Retenciones!$A$1:$O$25,PROVEEDORES[[#This Row],[indicador de columna]],FALSE)</f>
        <v>1145000</v>
      </c>
      <c r="Y1976" s="107">
        <f>+VLOOKUP(PROVEEDORES[[#This Row],[ID RETENCION]],Retenciones!$A$1:$O$25,2,FALSE)</f>
        <v>2.5000000000000001E-2</v>
      </c>
      <c r="Z1976" s="116" t="b">
        <f>OR(COUNTIF(PROVEEDORES[[#This Row],[PROVEEDOR]],"*"&amp;'Palabra no opera'!$A$2&amp;"*"))</f>
        <v>0</v>
      </c>
    </row>
    <row r="1977" spans="1:26" ht="22.35" customHeight="1" x14ac:dyDescent="0.3">
      <c r="A1977" s="339" t="str">
        <f>+IF(PROVEEDORES[[#This Row],[FECHA DE PAGO]]=PROVEEDORES[[#This Row],[FECHA DE FACTURACIÓN]],"DE CONTADO","CRÉDITO")</f>
        <v>CRÉDITO</v>
      </c>
      <c r="B1977" s="38" t="str">
        <f>+IF((PROVEEDORES[[#This Row],[FECHA DE PAGO]]-PROVEEDORES[[#This Row],[FECHA DE FACTURACIÓN]])&gt;PROVEEDORES[[#This Row],[PLAZO Días]],"PAGO VENCIDO")</f>
        <v>PAGO VENCIDO</v>
      </c>
      <c r="C1977" s="20">
        <f>+VLOOKUP(PROVEEDORES[[#This Row],[PROVEEDOR]],TERCEROS_INFO[#All],2,FALSE)</f>
        <v>30</v>
      </c>
      <c r="D1977" s="25">
        <f>+SUMIFS(PROVEEDORES[Total],PROVEEDORES[PROVEEDOR],PROVEEDORES[[#This Row],[PROVEEDOR]],PROVEEDORES[FECHA DE PAGO],"")</f>
        <v>0</v>
      </c>
      <c r="E1977" s="25"/>
      <c r="F1977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977" s="68">
        <v>45208</v>
      </c>
      <c r="H1977" s="26" t="s">
        <v>76</v>
      </c>
      <c r="I1977" s="68">
        <v>45135</v>
      </c>
      <c r="J1977" s="35" t="s">
        <v>1853</v>
      </c>
      <c r="K1977" s="21">
        <v>5771424</v>
      </c>
      <c r="L1977" s="21"/>
      <c r="M1977" s="22">
        <f>(PROVEEDORES[[#This Row],[SUBTOTAL]]-PROVEEDORES[[#This Row],[descuento sobre subtotal]])*VLOOKUP(PROVEEDORES[[#This Row],[PROVEEDOR]],TERCEROS_INFO[#All],3,FALSE)</f>
        <v>1096570.56</v>
      </c>
      <c r="N1977" s="23"/>
      <c r="O1977" s="22">
        <f>+PROVEEDORES[[#This Row],[Descuento sobre subtotal %]]*(PROVEEDORES[[#This Row],[SUBTOTAL]]-PROVEEDORES[[#This Row],[descuento sobre subtotal]])</f>
        <v>0</v>
      </c>
      <c r="P1977" s="74">
        <f>+IF(PROVEEDORES[[#This Row],[SUBTOTAL]]&lt;PROVEEDORES[[#This Row],[base retencion]],0,PROVEEDORES[[#This Row],[retención aplicada]])</f>
        <v>2.5000000000000001E-2</v>
      </c>
      <c r="Q1977" s="22">
        <f>+PROVEEDORES[[#This Row],[Rete Fuente %]]*(PROVEEDORES[[#This Row],[SUBTOTAL]]-PROVEEDORES[[#This Row],[descuento sobre subtotal]])</f>
        <v>144285.6</v>
      </c>
      <c r="R1977" s="21">
        <f>+PROVEEDORES[[#This Row],[SUBTOTAL]]+PROVEEDORES[[#This Row],[IVA 19%]]-PROVEEDORES[[#This Row],[descuento sobre subtotal]]-PROVEEDORES[[#This Row],[Descuento sobre subtotal $2]]-PROVEEDORES[[#This Row],[Rete Fuente $]]</f>
        <v>6723708.9600000009</v>
      </c>
      <c r="S1977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7" s="63">
        <f ca="1">IF(PROVEEDORES[[#This Row],[FECHA DE PAGO]]=0,TODAY()-PROVEEDORES[[#This Row],[FECHA DE FACTURACIÓN]]-PROVEEDORES[[#This Row],[PLAZO Días]],0)</f>
        <v>0</v>
      </c>
      <c r="U1977" s="104" t="str">
        <f>+VLOOKUP(PROVEEDORES[[#This Row],[PROVEEDOR]],Terceros!$A:$D,4,FALSE)</f>
        <v>2,5% con base</v>
      </c>
      <c r="V1977" s="105">
        <f>+YEAR(PROVEEDORES[[#This Row],[FECHA DE FACTURACIÓN]])</f>
        <v>2023</v>
      </c>
      <c r="W1977" s="105">
        <f>+MATCH(PROVEEDORES[[#This Row],[año facturado]],Retenciones!$1:$1,0)</f>
        <v>6</v>
      </c>
      <c r="X1977" s="106">
        <f>+VLOOKUP(PROVEEDORES[[#This Row],[ID RETENCION]],Retenciones!$A$1:$O$25,PROVEEDORES[[#This Row],[indicador de columna]],FALSE)</f>
        <v>1145000</v>
      </c>
      <c r="Y1977" s="107">
        <f>+VLOOKUP(PROVEEDORES[[#This Row],[ID RETENCION]],Retenciones!$A$1:$O$25,2,FALSE)</f>
        <v>2.5000000000000001E-2</v>
      </c>
      <c r="Z1977" s="116" t="b">
        <f>OR(COUNTIF(PROVEEDORES[[#This Row],[PROVEEDOR]],"*"&amp;'Palabra no opera'!$A$2&amp;"*"))</f>
        <v>0</v>
      </c>
    </row>
    <row r="1978" spans="1:26" ht="22.35" customHeight="1" x14ac:dyDescent="0.3">
      <c r="A1978" s="67" t="str">
        <f>+IF(PROVEEDORES[[#This Row],[FECHA DE PAGO]]=PROVEEDORES[[#This Row],[FECHA DE FACTURACIÓN]],"DE CONTADO","CRÉDITO")</f>
        <v>CRÉDITO</v>
      </c>
      <c r="B1978" s="38" t="str">
        <f>+IF((PROVEEDORES[[#This Row],[FECHA DE PAGO]]-PROVEEDORES[[#This Row],[FECHA DE FACTURACIÓN]])&gt;PROVEEDORES[[#This Row],[PLAZO Días]],"PAGO VENCIDO")</f>
        <v>PAGO VENCIDO</v>
      </c>
      <c r="C1978" s="20">
        <f>+VLOOKUP(PROVEEDORES[[#This Row],[PROVEEDOR]],TERCEROS_INFO[#All],2,FALSE)</f>
        <v>30</v>
      </c>
      <c r="D1978" s="25">
        <f>+SUMIFS(PROVEEDORES[Total],PROVEEDORES[PROVEEDOR],PROVEEDORES[[#This Row],[PROVEEDOR]],PROVEEDORES[FECHA DE PAGO],"")</f>
        <v>1316890.8900000001</v>
      </c>
      <c r="E1978" s="25"/>
      <c r="F197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978" s="68">
        <v>45208</v>
      </c>
      <c r="H1978" s="26" t="s">
        <v>17</v>
      </c>
      <c r="I1978" s="68">
        <v>45174</v>
      </c>
      <c r="J1978" s="35" t="s">
        <v>2054</v>
      </c>
      <c r="K1978" s="21">
        <v>1053062</v>
      </c>
      <c r="L1978" s="21"/>
      <c r="M1978" s="22">
        <f>(PROVEEDORES[[#This Row],[SUBTOTAL]]-PROVEEDORES[[#This Row],[descuento sobre subtotal]])*VLOOKUP(PROVEEDORES[[#This Row],[PROVEEDOR]],TERCEROS_INFO[#All],3,FALSE)</f>
        <v>200081.78</v>
      </c>
      <c r="N1978" s="23"/>
      <c r="O1978" s="22">
        <f>+PROVEEDORES[[#This Row],[Descuento sobre subtotal %]]*(PROVEEDORES[[#This Row],[SUBTOTAL]]-PROVEEDORES[[#This Row],[descuento sobre subtotal]])</f>
        <v>0</v>
      </c>
      <c r="P1978" s="74">
        <f>+IF(PROVEEDORES[[#This Row],[SUBTOTAL]]&lt;PROVEEDORES[[#This Row],[base retencion]],0,PROVEEDORES[[#This Row],[retención aplicada]])</f>
        <v>0</v>
      </c>
      <c r="Q1978" s="22">
        <f>+PROVEEDORES[[#This Row],[Rete Fuente %]]*(PROVEEDORES[[#This Row],[SUBTOTAL]]-PROVEEDORES[[#This Row],[descuento sobre subtotal]])</f>
        <v>0</v>
      </c>
      <c r="R1978" s="21">
        <f>+PROVEEDORES[[#This Row],[SUBTOTAL]]+PROVEEDORES[[#This Row],[IVA 19%]]-PROVEEDORES[[#This Row],[descuento sobre subtotal]]-PROVEEDORES[[#This Row],[Descuento sobre subtotal $2]]-PROVEEDORES[[#This Row],[Rete Fuente $]]</f>
        <v>1253143.78</v>
      </c>
      <c r="S19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8" s="63">
        <f ca="1">IF(PROVEEDORES[[#This Row],[FECHA DE PAGO]]=0,TODAY()-PROVEEDORES[[#This Row],[FECHA DE FACTURACIÓN]]-PROVEEDORES[[#This Row],[PLAZO Días]],0)</f>
        <v>0</v>
      </c>
      <c r="U1978" s="104">
        <f>+VLOOKUP(PROVEEDORES[[#This Row],[PROVEEDOR]],Terceros!$A:$D,4,FALSE)</f>
        <v>0</v>
      </c>
      <c r="V1978" s="105">
        <f>+YEAR(PROVEEDORES[[#This Row],[FECHA DE FACTURACIÓN]])</f>
        <v>2023</v>
      </c>
      <c r="W1978" s="105">
        <f>+MATCH(PROVEEDORES[[#This Row],[año facturado]],Retenciones!$1:$1,0)</f>
        <v>6</v>
      </c>
      <c r="X1978" s="106">
        <f>+VLOOKUP(PROVEEDORES[[#This Row],[ID RETENCION]],Retenciones!$A$1:$O$25,PROVEEDORES[[#This Row],[indicador de columna]],FALSE)</f>
        <v>0</v>
      </c>
      <c r="Y1978" s="107">
        <f>+VLOOKUP(PROVEEDORES[[#This Row],[ID RETENCION]],Retenciones!$A$1:$O$25,2,FALSE)</f>
        <v>0</v>
      </c>
      <c r="Z1978" s="116" t="b">
        <f>OR(COUNTIF(PROVEEDORES[[#This Row],[PROVEEDOR]],"*"&amp;'Palabra no opera'!$A$2&amp;"*"))</f>
        <v>0</v>
      </c>
    </row>
    <row r="1979" spans="1:26" ht="22.35" customHeight="1" x14ac:dyDescent="0.3">
      <c r="A1979" s="67" t="str">
        <f>+IF(PROVEEDORES[[#This Row],[FECHA DE PAGO]]=PROVEEDORES[[#This Row],[FECHA DE FACTURACIÓN]],"DE CONTADO","CRÉDITO")</f>
        <v>DE CONTADO</v>
      </c>
      <c r="B1979" s="38" t="b">
        <f>+IF((PROVEEDORES[[#This Row],[FECHA DE PAGO]]-PROVEEDORES[[#This Row],[FECHA DE FACTURACIÓN]])&gt;PROVEEDORES[[#This Row],[PLAZO Días]],"PAGO VENCIDO")</f>
        <v>0</v>
      </c>
      <c r="C1979" s="20">
        <f>+VLOOKUP(PROVEEDORES[[#This Row],[PROVEEDOR]],TERCEROS_INFO[#All],2,FALSE)</f>
        <v>30</v>
      </c>
      <c r="D1979" s="25">
        <f>+SUMIFS(PROVEEDORES[Total],PROVEEDORES[PROVEEDOR],PROVEEDORES[[#This Row],[PROVEEDOR]],PROVEEDORES[FECHA DE PAGO],"")</f>
        <v>0</v>
      </c>
      <c r="E1979" s="25"/>
      <c r="F1979" s="56">
        <f>+VLOOKUP(PROVEEDORES[[#This Row],[PROVEEDOR]],
                       Terceros!$A:$F,
                       5,
                       FALSE)</f>
        <v>0</v>
      </c>
      <c r="G1979" s="68">
        <v>45208</v>
      </c>
      <c r="H1979" s="26" t="s">
        <v>1423</v>
      </c>
      <c r="I1979" s="68">
        <v>45208</v>
      </c>
      <c r="J1979" s="35" t="s">
        <v>2091</v>
      </c>
      <c r="K1979" s="21">
        <v>416500</v>
      </c>
      <c r="L1979" s="21"/>
      <c r="M1979" s="22">
        <f>(PROVEEDORES[[#This Row],[SUBTOTAL]]-PROVEEDORES[[#This Row],[descuento sobre subtotal]])*VLOOKUP(PROVEEDORES[[#This Row],[PROVEEDOR]],TERCEROS_INFO[#All],3,FALSE)</f>
        <v>79135</v>
      </c>
      <c r="N1979" s="23"/>
      <c r="O1979" s="22">
        <f>+PROVEEDORES[[#This Row],[Descuento sobre subtotal %]]*(PROVEEDORES[[#This Row],[SUBTOTAL]]-PROVEEDORES[[#This Row],[descuento sobre subtotal]])</f>
        <v>0</v>
      </c>
      <c r="P1979" s="74">
        <f>+IF(PROVEEDORES[[#This Row],[SUBTOTAL]]&lt;PROVEEDORES[[#This Row],[base retencion]],0,PROVEEDORES[[#This Row],[retención aplicada]])</f>
        <v>0</v>
      </c>
      <c r="Q1979" s="22">
        <f>+PROVEEDORES[[#This Row],[Rete Fuente %]]*(PROVEEDORES[[#This Row],[SUBTOTAL]]-PROVEEDORES[[#This Row],[descuento sobre subtotal]])</f>
        <v>0</v>
      </c>
      <c r="R1979" s="21">
        <f>+PROVEEDORES[[#This Row],[SUBTOTAL]]+PROVEEDORES[[#This Row],[IVA 19%]]-PROVEEDORES[[#This Row],[descuento sobre subtotal]]-PROVEEDORES[[#This Row],[Descuento sobre subtotal $2]]-PROVEEDORES[[#This Row],[Rete Fuente $]]</f>
        <v>495635</v>
      </c>
      <c r="S19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9" s="63">
        <f ca="1">IF(PROVEEDORES[[#This Row],[FECHA DE PAGO]]=0,TODAY()-PROVEEDORES[[#This Row],[FECHA DE FACTURACIÓN]]-PROVEEDORES[[#This Row],[PLAZO Días]],0)</f>
        <v>0</v>
      </c>
      <c r="U1979" s="104" t="str">
        <f>+VLOOKUP(PROVEEDORES[[#This Row],[PROVEEDOR]],Terceros!$A:$D,4,FALSE)</f>
        <v>2,5% con base</v>
      </c>
      <c r="V1979" s="105">
        <f>+YEAR(PROVEEDORES[[#This Row],[FECHA DE FACTURACIÓN]])</f>
        <v>2023</v>
      </c>
      <c r="W1979" s="105">
        <f>+MATCH(PROVEEDORES[[#This Row],[año facturado]],Retenciones!$1:$1,0)</f>
        <v>6</v>
      </c>
      <c r="X1979" s="106">
        <f>+VLOOKUP(PROVEEDORES[[#This Row],[ID RETENCION]],Retenciones!$A$1:$O$25,PROVEEDORES[[#This Row],[indicador de columna]],FALSE)</f>
        <v>1145000</v>
      </c>
      <c r="Y1979" s="107">
        <f>+VLOOKUP(PROVEEDORES[[#This Row],[ID RETENCION]],Retenciones!$A$1:$O$25,2,FALSE)</f>
        <v>2.5000000000000001E-2</v>
      </c>
      <c r="Z1979" s="116" t="b">
        <f>OR(COUNTIF(PROVEEDORES[[#This Row],[PROVEEDOR]],"*"&amp;'Palabra no opera'!$A$2&amp;"*"))</f>
        <v>0</v>
      </c>
    </row>
    <row r="1980" spans="1:26" ht="22.35" customHeight="1" x14ac:dyDescent="0.3">
      <c r="A1980" s="351" t="str">
        <f>+IF(PROVEEDORES[[#This Row],[FECHA DE PAGO]]=PROVEEDORES[[#This Row],[FECHA DE FACTURACIÓN]],"DE CONTADO","CRÉDITO")</f>
        <v>CRÉDITO</v>
      </c>
      <c r="B1980" s="38" t="str">
        <f>+IF((PROVEEDORES[[#This Row],[FECHA DE PAGO]]-PROVEEDORES[[#This Row],[FECHA DE FACTURACIÓN]])&gt;PROVEEDORES[[#This Row],[PLAZO Días]],"PAGO VENCIDO")</f>
        <v>PAGO VENCIDO</v>
      </c>
      <c r="C1980" s="20">
        <f>+VLOOKUP(PROVEEDORES[[#This Row],[PROVEEDOR]],TERCEROS_INFO[#All],2,FALSE)</f>
        <v>30</v>
      </c>
      <c r="D1980" s="25">
        <f>+SUMIFS(PROVEEDORES[Total],PROVEEDORES[PROVEEDOR],PROVEEDORES[[#This Row],[PROVEEDOR]],PROVEEDORES[FECHA DE PAGO],"")</f>
        <v>0</v>
      </c>
      <c r="E1980" s="25"/>
      <c r="F1980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980" s="68">
        <v>45208</v>
      </c>
      <c r="H1980" s="26" t="s">
        <v>26</v>
      </c>
      <c r="I1980" s="68">
        <v>45166</v>
      </c>
      <c r="J1980" s="35" t="s">
        <v>1922</v>
      </c>
      <c r="K1980" s="21">
        <v>1230000</v>
      </c>
      <c r="L1980" s="21"/>
      <c r="M1980" s="22">
        <f>(PROVEEDORES[[#This Row],[SUBTOTAL]]-PROVEEDORES[[#This Row],[descuento sobre subtotal]])*VLOOKUP(PROVEEDORES[[#This Row],[PROVEEDOR]],TERCEROS_INFO[#All],3,FALSE)</f>
        <v>233700</v>
      </c>
      <c r="N1980" s="23"/>
      <c r="O1980" s="22">
        <f>+PROVEEDORES[[#This Row],[Descuento sobre subtotal %]]*(PROVEEDORES[[#This Row],[SUBTOTAL]]-PROVEEDORES[[#This Row],[descuento sobre subtotal]])</f>
        <v>0</v>
      </c>
      <c r="P1980" s="74">
        <f>+IF(PROVEEDORES[[#This Row],[SUBTOTAL]]&lt;PROVEEDORES[[#This Row],[base retencion]],0,PROVEEDORES[[#This Row],[retención aplicada]])</f>
        <v>2.5000000000000001E-2</v>
      </c>
      <c r="Q1980" s="22">
        <f>+PROVEEDORES[[#This Row],[Rete Fuente %]]*(PROVEEDORES[[#This Row],[SUBTOTAL]]-PROVEEDORES[[#This Row],[descuento sobre subtotal]])</f>
        <v>30750</v>
      </c>
      <c r="R1980" s="21">
        <f>+PROVEEDORES[[#This Row],[SUBTOTAL]]+PROVEEDORES[[#This Row],[IVA 19%]]-PROVEEDORES[[#This Row],[descuento sobre subtotal]]-PROVEEDORES[[#This Row],[Descuento sobre subtotal $2]]-PROVEEDORES[[#This Row],[Rete Fuente $]]</f>
        <v>1432950</v>
      </c>
      <c r="S1980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0" s="63">
        <f ca="1">IF(PROVEEDORES[[#This Row],[FECHA DE PAGO]]=0,TODAY()-PROVEEDORES[[#This Row],[FECHA DE FACTURACIÓN]]-PROVEEDORES[[#This Row],[PLAZO Días]],0)</f>
        <v>0</v>
      </c>
      <c r="U1980" s="104" t="str">
        <f>+VLOOKUP(PROVEEDORES[[#This Row],[PROVEEDOR]],Terceros!$A:$D,4,FALSE)</f>
        <v>2,5% con base</v>
      </c>
      <c r="V1980" s="105">
        <f>+YEAR(PROVEEDORES[[#This Row],[FECHA DE FACTURACIÓN]])</f>
        <v>2023</v>
      </c>
      <c r="W1980" s="105">
        <f>+MATCH(PROVEEDORES[[#This Row],[año facturado]],Retenciones!$1:$1,0)</f>
        <v>6</v>
      </c>
      <c r="X1980" s="106">
        <f>+VLOOKUP(PROVEEDORES[[#This Row],[ID RETENCION]],Retenciones!$A$1:$O$25,PROVEEDORES[[#This Row],[indicador de columna]],FALSE)</f>
        <v>1145000</v>
      </c>
      <c r="Y1980" s="107">
        <f>+VLOOKUP(PROVEEDORES[[#This Row],[ID RETENCION]],Retenciones!$A$1:$O$25,2,FALSE)</f>
        <v>2.5000000000000001E-2</v>
      </c>
      <c r="Z1980" s="116" t="b">
        <f>OR(COUNTIF(PROVEEDORES[[#This Row],[PROVEEDOR]],"*"&amp;'Palabra no opera'!$A$2&amp;"*"))</f>
        <v>0</v>
      </c>
    </row>
    <row r="1981" spans="1:26" ht="22.35" customHeight="1" x14ac:dyDescent="0.3">
      <c r="A1981" s="339" t="str">
        <f>+IF(PROVEEDORES[[#This Row],[FECHA DE PAGO]]=PROVEEDORES[[#This Row],[FECHA DE FACTURACIÓN]],"DE CONTADO","CRÉDITO")</f>
        <v>CRÉDITO</v>
      </c>
      <c r="B1981" s="38" t="str">
        <f>+IF((PROVEEDORES[[#This Row],[FECHA DE PAGO]]-PROVEEDORES[[#This Row],[FECHA DE FACTURACIÓN]])&gt;PROVEEDORES[[#This Row],[PLAZO Días]],"PAGO VENCIDO")</f>
        <v>PAGO VENCIDO</v>
      </c>
      <c r="C1981" s="20">
        <f>+VLOOKUP(PROVEEDORES[[#This Row],[PROVEEDOR]],TERCEROS_INFO[#All],2,FALSE)</f>
        <v>45</v>
      </c>
      <c r="D1981" s="25">
        <f>+SUMIFS(PROVEEDORES[Total],PROVEEDORES[PROVEEDOR],PROVEEDORES[[#This Row],[PROVEEDOR]],PROVEEDORES[FECHA DE PAGO],"")</f>
        <v>8072960</v>
      </c>
      <c r="E1981" s="25"/>
      <c r="F198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81" s="68">
        <v>45208</v>
      </c>
      <c r="H1981" s="26" t="s">
        <v>10</v>
      </c>
      <c r="I1981" s="68">
        <v>45142</v>
      </c>
      <c r="J1981" s="35" t="s">
        <v>1859</v>
      </c>
      <c r="K1981" s="21">
        <v>1250000</v>
      </c>
      <c r="L1981" s="21"/>
      <c r="M1981" s="22">
        <f>(PROVEEDORES[[#This Row],[SUBTOTAL]]-PROVEEDORES[[#This Row],[descuento sobre subtotal]])*VLOOKUP(PROVEEDORES[[#This Row],[PROVEEDOR]],TERCEROS_INFO[#All],3,FALSE)</f>
        <v>237500</v>
      </c>
      <c r="N1981" s="23"/>
      <c r="O1981" s="22">
        <f>+PROVEEDORES[[#This Row],[Descuento sobre subtotal %]]*(PROVEEDORES[[#This Row],[SUBTOTAL]]-PROVEEDORES[[#This Row],[descuento sobre subtotal]])</f>
        <v>0</v>
      </c>
      <c r="P1981" s="74">
        <f>+IF(PROVEEDORES[[#This Row],[SUBTOTAL]]&lt;PROVEEDORES[[#This Row],[base retencion]],0,PROVEEDORES[[#This Row],[retención aplicada]])</f>
        <v>0</v>
      </c>
      <c r="Q1981" s="22">
        <f>+PROVEEDORES[[#This Row],[Rete Fuente %]]*(PROVEEDORES[[#This Row],[SUBTOTAL]]-PROVEEDORES[[#This Row],[descuento sobre subtotal]])</f>
        <v>0</v>
      </c>
      <c r="R1981" s="21">
        <f>+PROVEEDORES[[#This Row],[SUBTOTAL]]+PROVEEDORES[[#This Row],[IVA 19%]]-PROVEEDORES[[#This Row],[descuento sobre subtotal]]-PROVEEDORES[[#This Row],[Descuento sobre subtotal $2]]-PROVEEDORES[[#This Row],[Rete Fuente $]]</f>
        <v>1487500</v>
      </c>
      <c r="S1981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1" s="63">
        <f ca="1">IF(PROVEEDORES[[#This Row],[FECHA DE PAGO]]=0,TODAY()-PROVEEDORES[[#This Row],[FECHA DE FACTURACIÓN]]-PROVEEDORES[[#This Row],[PLAZO Días]],0)</f>
        <v>0</v>
      </c>
      <c r="U1981" s="104">
        <f>+VLOOKUP(PROVEEDORES[[#This Row],[PROVEEDOR]],Terceros!$A:$D,4,FALSE)</f>
        <v>0</v>
      </c>
      <c r="V1981" s="105">
        <f>+YEAR(PROVEEDORES[[#This Row],[FECHA DE FACTURACIÓN]])</f>
        <v>2023</v>
      </c>
      <c r="W1981" s="105">
        <f>+MATCH(PROVEEDORES[[#This Row],[año facturado]],Retenciones!$1:$1,0)</f>
        <v>6</v>
      </c>
      <c r="X1981" s="106">
        <f>+VLOOKUP(PROVEEDORES[[#This Row],[ID RETENCION]],Retenciones!$A$1:$O$25,PROVEEDORES[[#This Row],[indicador de columna]],FALSE)</f>
        <v>0</v>
      </c>
      <c r="Y1981" s="107">
        <f>+VLOOKUP(PROVEEDORES[[#This Row],[ID RETENCION]],Retenciones!$A$1:$O$25,2,FALSE)</f>
        <v>0</v>
      </c>
      <c r="Z1981" s="116" t="b">
        <f>OR(COUNTIF(PROVEEDORES[[#This Row],[PROVEEDOR]],"*"&amp;'Palabra no opera'!$A$2&amp;"*"))</f>
        <v>0</v>
      </c>
    </row>
    <row r="1982" spans="1:26" ht="22.35" customHeight="1" x14ac:dyDescent="0.3">
      <c r="A1982" s="67" t="str">
        <f>+IF(PROVEEDORES[[#This Row],[FECHA DE PAGO]]=PROVEEDORES[[#This Row],[FECHA DE FACTURACIÓN]],"DE CONTADO","CRÉDITO")</f>
        <v>CRÉDITO</v>
      </c>
      <c r="B1982" s="38" t="str">
        <f>+IF((PROVEEDORES[[#This Row],[FECHA DE PAGO]]-PROVEEDORES[[#This Row],[FECHA DE FACTURACIÓN]])&gt;PROVEEDORES[[#This Row],[PLAZO Días]],"PAGO VENCIDO")</f>
        <v>PAGO VENCIDO</v>
      </c>
      <c r="C1982" s="20">
        <f>+VLOOKUP(PROVEEDORES[[#This Row],[PROVEEDOR]],TERCEROS_INFO[#All],2,FALSE)</f>
        <v>45</v>
      </c>
      <c r="D1982" s="25">
        <f>+SUMIFS(PROVEEDORES[Total],PROVEEDORES[PROVEEDOR],PROVEEDORES[[#This Row],[PROVEEDOR]],PROVEEDORES[FECHA DE PAGO],"")</f>
        <v>8072960</v>
      </c>
      <c r="E1982" s="25"/>
      <c r="F198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82" s="68">
        <v>45208</v>
      </c>
      <c r="H1982" s="26" t="s">
        <v>10</v>
      </c>
      <c r="I1982" s="68">
        <v>45153</v>
      </c>
      <c r="J1982" s="35" t="s">
        <v>1916</v>
      </c>
      <c r="K1982" s="21">
        <v>768000</v>
      </c>
      <c r="L1982" s="21"/>
      <c r="M1982" s="22">
        <f>(PROVEEDORES[[#This Row],[SUBTOTAL]]-PROVEEDORES[[#This Row],[descuento sobre subtotal]])*VLOOKUP(PROVEEDORES[[#This Row],[PROVEEDOR]],TERCEROS_INFO[#All],3,FALSE)</f>
        <v>145920</v>
      </c>
      <c r="N1982" s="23"/>
      <c r="O1982" s="22">
        <f>+PROVEEDORES[[#This Row],[Descuento sobre subtotal %]]*(PROVEEDORES[[#This Row],[SUBTOTAL]]-PROVEEDORES[[#This Row],[descuento sobre subtotal]])</f>
        <v>0</v>
      </c>
      <c r="P1982" s="74">
        <f>+IF(PROVEEDORES[[#This Row],[SUBTOTAL]]&lt;PROVEEDORES[[#This Row],[base retencion]],0,PROVEEDORES[[#This Row],[retención aplicada]])</f>
        <v>0</v>
      </c>
      <c r="Q1982" s="22">
        <f>+PROVEEDORES[[#This Row],[Rete Fuente %]]*(PROVEEDORES[[#This Row],[SUBTOTAL]]-PROVEEDORES[[#This Row],[descuento sobre subtotal]])</f>
        <v>0</v>
      </c>
      <c r="R1982" s="21">
        <f>+PROVEEDORES[[#This Row],[SUBTOTAL]]+PROVEEDORES[[#This Row],[IVA 19%]]-PROVEEDORES[[#This Row],[descuento sobre subtotal]]-PROVEEDORES[[#This Row],[Descuento sobre subtotal $2]]-PROVEEDORES[[#This Row],[Rete Fuente $]]</f>
        <v>913920</v>
      </c>
      <c r="S19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2" s="63">
        <f ca="1">IF(PROVEEDORES[[#This Row],[FECHA DE PAGO]]=0,TODAY()-PROVEEDORES[[#This Row],[FECHA DE FACTURACIÓN]]-PROVEEDORES[[#This Row],[PLAZO Días]],0)</f>
        <v>0</v>
      </c>
      <c r="U1982" s="104">
        <f>+VLOOKUP(PROVEEDORES[[#This Row],[PROVEEDOR]],Terceros!$A:$D,4,FALSE)</f>
        <v>0</v>
      </c>
      <c r="V1982" s="105">
        <f>+YEAR(PROVEEDORES[[#This Row],[FECHA DE FACTURACIÓN]])</f>
        <v>2023</v>
      </c>
      <c r="W1982" s="105">
        <f>+MATCH(PROVEEDORES[[#This Row],[año facturado]],Retenciones!$1:$1,0)</f>
        <v>6</v>
      </c>
      <c r="X1982" s="106">
        <f>+VLOOKUP(PROVEEDORES[[#This Row],[ID RETENCION]],Retenciones!$A$1:$O$25,PROVEEDORES[[#This Row],[indicador de columna]],FALSE)</f>
        <v>0</v>
      </c>
      <c r="Y1982" s="107">
        <f>+VLOOKUP(PROVEEDORES[[#This Row],[ID RETENCION]],Retenciones!$A$1:$O$25,2,FALSE)</f>
        <v>0</v>
      </c>
      <c r="Z1982" s="116" t="b">
        <f>OR(COUNTIF(PROVEEDORES[[#This Row],[PROVEEDOR]],"*"&amp;'Palabra no opera'!$A$2&amp;"*"))</f>
        <v>0</v>
      </c>
    </row>
    <row r="1983" spans="1:26" ht="22.35" customHeight="1" x14ac:dyDescent="0.3">
      <c r="A1983" s="67" t="str">
        <f>+IF(PROVEEDORES[[#This Row],[FECHA DE PAGO]]=PROVEEDORES[[#This Row],[FECHA DE FACTURACIÓN]],"DE CONTADO","CRÉDITO")</f>
        <v>CRÉDITO</v>
      </c>
      <c r="B1983" s="38" t="str">
        <f>+IF((PROVEEDORES[[#This Row],[FECHA DE PAGO]]-PROVEEDORES[[#This Row],[FECHA DE FACTURACIÓN]])&gt;PROVEEDORES[[#This Row],[PLAZO Días]],"PAGO VENCIDO")</f>
        <v>PAGO VENCIDO</v>
      </c>
      <c r="C1983" s="20">
        <f>+VLOOKUP(PROVEEDORES[[#This Row],[PROVEEDOR]],TERCEROS_INFO[#All],2,FALSE)</f>
        <v>45</v>
      </c>
      <c r="D1983" s="25">
        <f>+SUMIFS(PROVEEDORES[Total],PROVEEDORES[PROVEEDOR],PROVEEDORES[[#This Row],[PROVEEDOR]],PROVEEDORES[FECHA DE PAGO],"")</f>
        <v>8072960</v>
      </c>
      <c r="E1983" s="25"/>
      <c r="F198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983" s="68">
        <v>45208</v>
      </c>
      <c r="H1983" s="26" t="s">
        <v>10</v>
      </c>
      <c r="I1983" s="68">
        <v>45154</v>
      </c>
      <c r="J1983" s="35" t="s">
        <v>1915</v>
      </c>
      <c r="K1983" s="21">
        <v>3900000</v>
      </c>
      <c r="L1983" s="21"/>
      <c r="M1983" s="22">
        <f>(PROVEEDORES[[#This Row],[SUBTOTAL]]-PROVEEDORES[[#This Row],[descuento sobre subtotal]])*VLOOKUP(PROVEEDORES[[#This Row],[PROVEEDOR]],TERCEROS_INFO[#All],3,FALSE)</f>
        <v>741000</v>
      </c>
      <c r="N1983" s="23"/>
      <c r="O1983" s="22">
        <f>+PROVEEDORES[[#This Row],[Descuento sobre subtotal %]]*(PROVEEDORES[[#This Row],[SUBTOTAL]]-PROVEEDORES[[#This Row],[descuento sobre subtotal]])</f>
        <v>0</v>
      </c>
      <c r="P1983" s="74">
        <f>+IF(PROVEEDORES[[#This Row],[SUBTOTAL]]&lt;PROVEEDORES[[#This Row],[base retencion]],0,PROVEEDORES[[#This Row],[retención aplicada]])</f>
        <v>0</v>
      </c>
      <c r="Q1983" s="22">
        <f>+PROVEEDORES[[#This Row],[Rete Fuente %]]*(PROVEEDORES[[#This Row],[SUBTOTAL]]-PROVEEDORES[[#This Row],[descuento sobre subtotal]])</f>
        <v>0</v>
      </c>
      <c r="R1983" s="21">
        <f>+PROVEEDORES[[#This Row],[SUBTOTAL]]+PROVEEDORES[[#This Row],[IVA 19%]]-PROVEEDORES[[#This Row],[descuento sobre subtotal]]-PROVEEDORES[[#This Row],[Descuento sobre subtotal $2]]-PROVEEDORES[[#This Row],[Rete Fuente $]]</f>
        <v>4641000</v>
      </c>
      <c r="S19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3" s="63">
        <f ca="1">IF(PROVEEDORES[[#This Row],[FECHA DE PAGO]]=0,TODAY()-PROVEEDORES[[#This Row],[FECHA DE FACTURACIÓN]]-PROVEEDORES[[#This Row],[PLAZO Días]],0)</f>
        <v>0</v>
      </c>
      <c r="U1983" s="104">
        <f>+VLOOKUP(PROVEEDORES[[#This Row],[PROVEEDOR]],Terceros!$A:$D,4,FALSE)</f>
        <v>0</v>
      </c>
      <c r="V1983" s="105">
        <f>+YEAR(PROVEEDORES[[#This Row],[FECHA DE FACTURACIÓN]])</f>
        <v>2023</v>
      </c>
      <c r="W1983" s="105">
        <f>+MATCH(PROVEEDORES[[#This Row],[año facturado]],Retenciones!$1:$1,0)</f>
        <v>6</v>
      </c>
      <c r="X1983" s="106">
        <f>+VLOOKUP(PROVEEDORES[[#This Row],[ID RETENCION]],Retenciones!$A$1:$O$25,PROVEEDORES[[#This Row],[indicador de columna]],FALSE)</f>
        <v>0</v>
      </c>
      <c r="Y1983" s="107">
        <f>+VLOOKUP(PROVEEDORES[[#This Row],[ID RETENCION]],Retenciones!$A$1:$O$25,2,FALSE)</f>
        <v>0</v>
      </c>
      <c r="Z1983" s="116" t="b">
        <f>OR(COUNTIF(PROVEEDORES[[#This Row],[PROVEEDOR]],"*"&amp;'Palabra no opera'!$A$2&amp;"*"))</f>
        <v>0</v>
      </c>
    </row>
    <row r="1984" spans="1:26" ht="22.35" customHeight="1" x14ac:dyDescent="0.3">
      <c r="A1984" s="67" t="str">
        <f>+IF(PROVEEDORES[[#This Row],[FECHA DE PAGO]]=PROVEEDORES[[#This Row],[FECHA DE FACTURACIÓN]],"DE CONTADO","CRÉDITO")</f>
        <v>CRÉDITO</v>
      </c>
      <c r="B1984" s="38" t="str">
        <f>+IF((PROVEEDORES[[#This Row],[FECHA DE PAGO]]-PROVEEDORES[[#This Row],[FECHA DE FACTURACIÓN]])&gt;PROVEEDORES[[#This Row],[PLAZO Días]],"PAGO VENCIDO")</f>
        <v>PAGO VENCIDO</v>
      </c>
      <c r="C1984" s="20">
        <f>+VLOOKUP(PROVEEDORES[[#This Row],[PROVEEDOR]],TERCEROS_INFO[#All],2,FALSE)</f>
        <v>30</v>
      </c>
      <c r="D1984" s="25">
        <f>+SUMIFS(PROVEEDORES[Total],PROVEEDORES[PROVEEDOR],PROVEEDORES[[#This Row],[PROVEEDOR]],PROVEEDORES[FECHA DE PAGO],"")</f>
        <v>0</v>
      </c>
      <c r="E1984" s="25"/>
      <c r="F1984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984" s="68">
        <v>45208</v>
      </c>
      <c r="H1984" s="26" t="s">
        <v>1069</v>
      </c>
      <c r="I1984" s="68">
        <v>45174</v>
      </c>
      <c r="J1984" s="35" t="s">
        <v>1968</v>
      </c>
      <c r="K1984" s="21">
        <v>1928576</v>
      </c>
      <c r="L1984" s="21"/>
      <c r="M1984" s="22">
        <f>(PROVEEDORES[[#This Row],[SUBTOTAL]]-PROVEEDORES[[#This Row],[descuento sobre subtotal]])*VLOOKUP(PROVEEDORES[[#This Row],[PROVEEDOR]],TERCEROS_INFO[#All],3,FALSE)</f>
        <v>366429.44</v>
      </c>
      <c r="N1984" s="23"/>
      <c r="O1984" s="22">
        <f>+PROVEEDORES[[#This Row],[Descuento sobre subtotal %]]*(PROVEEDORES[[#This Row],[SUBTOTAL]]-PROVEEDORES[[#This Row],[descuento sobre subtotal]])</f>
        <v>0</v>
      </c>
      <c r="P1984" s="74">
        <f>+IF(PROVEEDORES[[#This Row],[SUBTOTAL]]&lt;PROVEEDORES[[#This Row],[base retencion]],0,PROVEEDORES[[#This Row],[retención aplicada]])</f>
        <v>2.5000000000000001E-2</v>
      </c>
      <c r="Q1984" s="22">
        <f>+PROVEEDORES[[#This Row],[Rete Fuente %]]*(PROVEEDORES[[#This Row],[SUBTOTAL]]-PROVEEDORES[[#This Row],[descuento sobre subtotal]])</f>
        <v>48214.400000000001</v>
      </c>
      <c r="R1984" s="21">
        <f>+PROVEEDORES[[#This Row],[SUBTOTAL]]+PROVEEDORES[[#This Row],[IVA 19%]]-PROVEEDORES[[#This Row],[descuento sobre subtotal]]-PROVEEDORES[[#This Row],[Descuento sobre subtotal $2]]-PROVEEDORES[[#This Row],[Rete Fuente $]]</f>
        <v>2246791.04</v>
      </c>
      <c r="S19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4" s="63">
        <f ca="1">IF(PROVEEDORES[[#This Row],[FECHA DE PAGO]]=0,TODAY()-PROVEEDORES[[#This Row],[FECHA DE FACTURACIÓN]]-PROVEEDORES[[#This Row],[PLAZO Días]],0)</f>
        <v>0</v>
      </c>
      <c r="U1984" s="104" t="str">
        <f>+VLOOKUP(PROVEEDORES[[#This Row],[PROVEEDOR]],Terceros!$A:$D,4,FALSE)</f>
        <v>2,5% con base</v>
      </c>
      <c r="V1984" s="105">
        <f>+YEAR(PROVEEDORES[[#This Row],[FECHA DE FACTURACIÓN]])</f>
        <v>2023</v>
      </c>
      <c r="W1984" s="105">
        <f>+MATCH(PROVEEDORES[[#This Row],[año facturado]],Retenciones!$1:$1,0)</f>
        <v>6</v>
      </c>
      <c r="X1984" s="106">
        <f>+VLOOKUP(PROVEEDORES[[#This Row],[ID RETENCION]],Retenciones!$A$1:$O$25,PROVEEDORES[[#This Row],[indicador de columna]],FALSE)</f>
        <v>1145000</v>
      </c>
      <c r="Y1984" s="107">
        <f>+VLOOKUP(PROVEEDORES[[#This Row],[ID RETENCION]],Retenciones!$A$1:$O$25,2,FALSE)</f>
        <v>2.5000000000000001E-2</v>
      </c>
      <c r="Z1984" s="116" t="b">
        <f>OR(COUNTIF(PROVEEDORES[[#This Row],[PROVEEDOR]],"*"&amp;'Palabra no opera'!$A$2&amp;"*"))</f>
        <v>0</v>
      </c>
    </row>
    <row r="1985" spans="1:26" ht="22.35" customHeight="1" x14ac:dyDescent="0.3">
      <c r="A1985" s="339" t="str">
        <f>+IF(PROVEEDORES[[#This Row],[FECHA DE PAGO]]=PROVEEDORES[[#This Row],[FECHA DE FACTURACIÓN]],"DE CONTADO","CRÉDITO")</f>
        <v>CRÉDITO</v>
      </c>
      <c r="B1985" s="38" t="str">
        <f>+IF((PROVEEDORES[[#This Row],[FECHA DE PAGO]]-PROVEEDORES[[#This Row],[FECHA DE FACTURACIÓN]])&gt;PROVEEDORES[[#This Row],[PLAZO Días]],"PAGO VENCIDO")</f>
        <v>PAGO VENCIDO</v>
      </c>
      <c r="C1985" s="20">
        <f>+VLOOKUP(PROVEEDORES[[#This Row],[PROVEEDOR]],TERCEROS_INFO[#All],2,FALSE)</f>
        <v>30</v>
      </c>
      <c r="D1985" s="25">
        <f>+SUMIFS(PROVEEDORES[Total],PROVEEDORES[PROVEEDOR],PROVEEDORES[[#This Row],[PROVEEDOR]],PROVEEDORES[FECHA DE PAGO],"")</f>
        <v>18444236.894999996</v>
      </c>
      <c r="E1985" s="25"/>
      <c r="F1985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85" s="68">
        <v>45208</v>
      </c>
      <c r="H1985" s="26" t="s">
        <v>11</v>
      </c>
      <c r="I1985" s="68">
        <v>45141</v>
      </c>
      <c r="J1985" s="35" t="s">
        <v>1858</v>
      </c>
      <c r="K1985" s="21">
        <v>2420172</v>
      </c>
      <c r="L1985" s="21"/>
      <c r="M1985" s="22">
        <f>(PROVEEDORES[[#This Row],[SUBTOTAL]]-PROVEEDORES[[#This Row],[descuento sobre subtotal]])*VLOOKUP(PROVEEDORES[[#This Row],[PROVEEDOR]],TERCEROS_INFO[#All],3,FALSE)</f>
        <v>459832.68</v>
      </c>
      <c r="N1985" s="23"/>
      <c r="O1985" s="22">
        <f>+PROVEEDORES[[#This Row],[Descuento sobre subtotal %]]*(PROVEEDORES[[#This Row],[SUBTOTAL]]-PROVEEDORES[[#This Row],[descuento sobre subtotal]])</f>
        <v>0</v>
      </c>
      <c r="P1985" s="74">
        <f>+IF(PROVEEDORES[[#This Row],[SUBTOTAL]]&lt;PROVEEDORES[[#This Row],[base retencion]],0,PROVEEDORES[[#This Row],[retención aplicada]])</f>
        <v>2.5000000000000001E-2</v>
      </c>
      <c r="Q1985" s="22">
        <f>+PROVEEDORES[[#This Row],[Rete Fuente %]]*(PROVEEDORES[[#This Row],[SUBTOTAL]]-PROVEEDORES[[#This Row],[descuento sobre subtotal]])</f>
        <v>60504.3</v>
      </c>
      <c r="R1985" s="21">
        <f>+PROVEEDORES[[#This Row],[SUBTOTAL]]+PROVEEDORES[[#This Row],[IVA 19%]]-PROVEEDORES[[#This Row],[descuento sobre subtotal]]-PROVEEDORES[[#This Row],[Descuento sobre subtotal $2]]-PROVEEDORES[[#This Row],[Rete Fuente $]]</f>
        <v>2819500.3800000004</v>
      </c>
      <c r="S1985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5" s="63">
        <f ca="1">IF(PROVEEDORES[[#This Row],[FECHA DE PAGO]]=0,TODAY()-PROVEEDORES[[#This Row],[FECHA DE FACTURACIÓN]]-PROVEEDORES[[#This Row],[PLAZO Días]],0)</f>
        <v>0</v>
      </c>
      <c r="U1985" s="104" t="str">
        <f>+VLOOKUP(PROVEEDORES[[#This Row],[PROVEEDOR]],Terceros!$A:$D,4,FALSE)</f>
        <v>2,5% con base</v>
      </c>
      <c r="V1985" s="105">
        <f>+YEAR(PROVEEDORES[[#This Row],[FECHA DE FACTURACIÓN]])</f>
        <v>2023</v>
      </c>
      <c r="W1985" s="105">
        <f>+MATCH(PROVEEDORES[[#This Row],[año facturado]],Retenciones!$1:$1,0)</f>
        <v>6</v>
      </c>
      <c r="X1985" s="106">
        <f>+VLOOKUP(PROVEEDORES[[#This Row],[ID RETENCION]],Retenciones!$A$1:$O$25,PROVEEDORES[[#This Row],[indicador de columna]],FALSE)</f>
        <v>1145000</v>
      </c>
      <c r="Y1985" s="107">
        <f>+VLOOKUP(PROVEEDORES[[#This Row],[ID RETENCION]],Retenciones!$A$1:$O$25,2,FALSE)</f>
        <v>2.5000000000000001E-2</v>
      </c>
      <c r="Z1985" s="116" t="b">
        <f>OR(COUNTIF(PROVEEDORES[[#This Row],[PROVEEDOR]],"*"&amp;'Palabra no opera'!$A$2&amp;"*"))</f>
        <v>0</v>
      </c>
    </row>
    <row r="1986" spans="1:26" ht="22.35" customHeight="1" x14ac:dyDescent="0.3">
      <c r="A1986" s="67" t="str">
        <f>+IF(PROVEEDORES[[#This Row],[FECHA DE PAGO]]=PROVEEDORES[[#This Row],[FECHA DE FACTURACIÓN]],"DE CONTADO","CRÉDITO")</f>
        <v>CRÉDITO</v>
      </c>
      <c r="B1986" s="38" t="str">
        <f>+IF((PROVEEDORES[[#This Row],[FECHA DE PAGO]]-PROVEEDORES[[#This Row],[FECHA DE FACTURACIÓN]])&gt;PROVEEDORES[[#This Row],[PLAZO Días]],"PAGO VENCIDO")</f>
        <v>PAGO VENCIDO</v>
      </c>
      <c r="C1986" s="20">
        <f>+VLOOKUP(PROVEEDORES[[#This Row],[PROVEEDOR]],TERCEROS_INFO[#All],2,FALSE)</f>
        <v>30</v>
      </c>
      <c r="D1986" s="25">
        <f>+SUMIFS(PROVEEDORES[Total],PROVEEDORES[PROVEEDOR],PROVEEDORES[[#This Row],[PROVEEDOR]],PROVEEDORES[FECHA DE PAGO],"")</f>
        <v>18444236.894999996</v>
      </c>
      <c r="E1986" s="25"/>
      <c r="F1986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86" s="68">
        <v>45208</v>
      </c>
      <c r="H1986" s="26" t="s">
        <v>11</v>
      </c>
      <c r="I1986" s="68">
        <v>45155</v>
      </c>
      <c r="J1986" s="35" t="s">
        <v>1918</v>
      </c>
      <c r="K1986" s="21">
        <v>4658832</v>
      </c>
      <c r="L1986" s="21"/>
      <c r="M1986" s="22">
        <f>(PROVEEDORES[[#This Row],[SUBTOTAL]]-PROVEEDORES[[#This Row],[descuento sobre subtotal]])*VLOOKUP(PROVEEDORES[[#This Row],[PROVEEDOR]],TERCEROS_INFO[#All],3,FALSE)</f>
        <v>885178.08</v>
      </c>
      <c r="N1986" s="23"/>
      <c r="O1986" s="22">
        <f>+PROVEEDORES[[#This Row],[Descuento sobre subtotal %]]*(PROVEEDORES[[#This Row],[SUBTOTAL]]-PROVEEDORES[[#This Row],[descuento sobre subtotal]])</f>
        <v>0</v>
      </c>
      <c r="P1986" s="74">
        <f>+IF(PROVEEDORES[[#This Row],[SUBTOTAL]]&lt;PROVEEDORES[[#This Row],[base retencion]],0,PROVEEDORES[[#This Row],[retención aplicada]])</f>
        <v>2.5000000000000001E-2</v>
      </c>
      <c r="Q1986" s="22">
        <f>+PROVEEDORES[[#This Row],[Rete Fuente %]]*(PROVEEDORES[[#This Row],[SUBTOTAL]]-PROVEEDORES[[#This Row],[descuento sobre subtotal]])</f>
        <v>116470.8</v>
      </c>
      <c r="R1986" s="21">
        <f>+PROVEEDORES[[#This Row],[SUBTOTAL]]+PROVEEDORES[[#This Row],[IVA 19%]]-PROVEEDORES[[#This Row],[descuento sobre subtotal]]-PROVEEDORES[[#This Row],[Descuento sobre subtotal $2]]-PROVEEDORES[[#This Row],[Rete Fuente $]]</f>
        <v>5427539.2800000003</v>
      </c>
      <c r="S198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6" s="63">
        <f ca="1">IF(PROVEEDORES[[#This Row],[FECHA DE PAGO]]=0,TODAY()-PROVEEDORES[[#This Row],[FECHA DE FACTURACIÓN]]-PROVEEDORES[[#This Row],[PLAZO Días]],0)</f>
        <v>0</v>
      </c>
      <c r="U1986" s="104" t="str">
        <f>+VLOOKUP(PROVEEDORES[[#This Row],[PROVEEDOR]],Terceros!$A:$D,4,FALSE)</f>
        <v>2,5% con base</v>
      </c>
      <c r="V1986" s="105">
        <f>+YEAR(PROVEEDORES[[#This Row],[FECHA DE FACTURACIÓN]])</f>
        <v>2023</v>
      </c>
      <c r="W1986" s="105">
        <f>+MATCH(PROVEEDORES[[#This Row],[año facturado]],Retenciones!$1:$1,0)</f>
        <v>6</v>
      </c>
      <c r="X1986" s="106">
        <f>+VLOOKUP(PROVEEDORES[[#This Row],[ID RETENCION]],Retenciones!$A$1:$O$25,PROVEEDORES[[#This Row],[indicador de columna]],FALSE)</f>
        <v>1145000</v>
      </c>
      <c r="Y1986" s="107">
        <f>+VLOOKUP(PROVEEDORES[[#This Row],[ID RETENCION]],Retenciones!$A$1:$O$25,2,FALSE)</f>
        <v>2.5000000000000001E-2</v>
      </c>
      <c r="Z1986" s="116" t="b">
        <f>OR(COUNTIF(PROVEEDORES[[#This Row],[PROVEEDOR]],"*"&amp;'Palabra no opera'!$A$2&amp;"*"))</f>
        <v>0</v>
      </c>
    </row>
    <row r="1987" spans="1:26" ht="22.35" customHeight="1" x14ac:dyDescent="0.3">
      <c r="A1987" s="67" t="str">
        <f>+IF(PROVEEDORES[[#This Row],[FECHA DE PAGO]]=PROVEEDORES[[#This Row],[FECHA DE FACTURACIÓN]],"DE CONTADO","CRÉDITO")</f>
        <v>CRÉDITO</v>
      </c>
      <c r="B1987" s="38" t="str">
        <f>+IF((PROVEEDORES[[#This Row],[FECHA DE PAGO]]-PROVEEDORES[[#This Row],[FECHA DE FACTURACIÓN]])&gt;PROVEEDORES[[#This Row],[PLAZO Días]],"PAGO VENCIDO")</f>
        <v>PAGO VENCIDO</v>
      </c>
      <c r="C1987" s="20">
        <f>+VLOOKUP(PROVEEDORES[[#This Row],[PROVEEDOR]],TERCEROS_INFO[#All],2,FALSE)</f>
        <v>30</v>
      </c>
      <c r="D1987" s="25">
        <f>+SUMIFS(PROVEEDORES[Total],PROVEEDORES[PROVEEDOR],PROVEEDORES[[#This Row],[PROVEEDOR]],PROVEEDORES[FECHA DE PAGO],"")</f>
        <v>18444236.894999996</v>
      </c>
      <c r="E1987" s="25"/>
      <c r="F198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87" s="68">
        <v>45208</v>
      </c>
      <c r="H1987" s="26" t="s">
        <v>11</v>
      </c>
      <c r="I1987" s="68">
        <v>45160</v>
      </c>
      <c r="J1987" s="35" t="s">
        <v>1917</v>
      </c>
      <c r="K1987" s="21">
        <v>776472</v>
      </c>
      <c r="L1987" s="21"/>
      <c r="M1987" s="22">
        <f>(PROVEEDORES[[#This Row],[SUBTOTAL]]-PROVEEDORES[[#This Row],[descuento sobre subtotal]])*VLOOKUP(PROVEEDORES[[#This Row],[PROVEEDOR]],TERCEROS_INFO[#All],3,FALSE)</f>
        <v>147529.68</v>
      </c>
      <c r="N1987" s="23"/>
      <c r="O1987" s="22">
        <f>+PROVEEDORES[[#This Row],[Descuento sobre subtotal %]]*(PROVEEDORES[[#This Row],[SUBTOTAL]]-PROVEEDORES[[#This Row],[descuento sobre subtotal]])</f>
        <v>0</v>
      </c>
      <c r="P1987" s="74">
        <f>+IF(PROVEEDORES[[#This Row],[SUBTOTAL]]&lt;PROVEEDORES[[#This Row],[base retencion]],0,PROVEEDORES[[#This Row],[retención aplicada]])</f>
        <v>0</v>
      </c>
      <c r="Q1987" s="22">
        <f>+PROVEEDORES[[#This Row],[Rete Fuente %]]*(PROVEEDORES[[#This Row],[SUBTOTAL]]-PROVEEDORES[[#This Row],[descuento sobre subtotal]])</f>
        <v>0</v>
      </c>
      <c r="R1987" s="21">
        <f>+PROVEEDORES[[#This Row],[SUBTOTAL]]+PROVEEDORES[[#This Row],[IVA 19%]]-PROVEEDORES[[#This Row],[descuento sobre subtotal]]-PROVEEDORES[[#This Row],[Descuento sobre subtotal $2]]-PROVEEDORES[[#This Row],[Rete Fuente $]]</f>
        <v>924001.67999999993</v>
      </c>
      <c r="S19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7" s="63">
        <f ca="1">IF(PROVEEDORES[[#This Row],[FECHA DE PAGO]]=0,TODAY()-PROVEEDORES[[#This Row],[FECHA DE FACTURACIÓN]]-PROVEEDORES[[#This Row],[PLAZO Días]],0)</f>
        <v>0</v>
      </c>
      <c r="U1987" s="104" t="str">
        <f>+VLOOKUP(PROVEEDORES[[#This Row],[PROVEEDOR]],Terceros!$A:$D,4,FALSE)</f>
        <v>2,5% con base</v>
      </c>
      <c r="V1987" s="105">
        <f>+YEAR(PROVEEDORES[[#This Row],[FECHA DE FACTURACIÓN]])</f>
        <v>2023</v>
      </c>
      <c r="W1987" s="105">
        <f>+MATCH(PROVEEDORES[[#This Row],[año facturado]],Retenciones!$1:$1,0)</f>
        <v>6</v>
      </c>
      <c r="X1987" s="106">
        <f>+VLOOKUP(PROVEEDORES[[#This Row],[ID RETENCION]],Retenciones!$A$1:$O$25,PROVEEDORES[[#This Row],[indicador de columna]],FALSE)</f>
        <v>1145000</v>
      </c>
      <c r="Y1987" s="107">
        <f>+VLOOKUP(PROVEEDORES[[#This Row],[ID RETENCION]],Retenciones!$A$1:$O$25,2,FALSE)</f>
        <v>2.5000000000000001E-2</v>
      </c>
      <c r="Z1987" s="116" t="b">
        <f>OR(COUNTIF(PROVEEDORES[[#This Row],[PROVEEDOR]],"*"&amp;'Palabra no opera'!$A$2&amp;"*"))</f>
        <v>0</v>
      </c>
    </row>
    <row r="1988" spans="1:26" ht="22.35" customHeight="1" x14ac:dyDescent="0.3">
      <c r="A1988" s="67" t="str">
        <f>+IF(PROVEEDORES[[#This Row],[FECHA DE PAGO]]=PROVEEDORES[[#This Row],[FECHA DE FACTURACIÓN]],"DE CONTADO","CRÉDITO")</f>
        <v>DE CONTADO</v>
      </c>
      <c r="B1988" s="38" t="b">
        <f>+IF((PROVEEDORES[[#This Row],[FECHA DE PAGO]]-PROVEEDORES[[#This Row],[FECHA DE FACTURACIÓN]])&gt;PROVEEDORES[[#This Row],[PLAZO Días]],"PAGO VENCIDO")</f>
        <v>0</v>
      </c>
      <c r="C1988" s="20">
        <f>+VLOOKUP(PROVEEDORES[[#This Row],[PROVEEDOR]],TERCEROS_INFO[#All],2,FALSE)</f>
        <v>30</v>
      </c>
      <c r="D1988" s="25">
        <f>+SUMIFS(PROVEEDORES[Total],PROVEEDORES[PROVEEDOR],PROVEEDORES[[#This Row],[PROVEEDOR]],PROVEEDORES[FECHA DE PAGO],"")</f>
        <v>0</v>
      </c>
      <c r="E1988" s="25"/>
      <c r="F1988" s="56" t="str">
        <f>+VLOOKUP(PROVEEDORES[[#This Row],[PROVEEDOR]],
                       Terceros!$A:$F,
                       5,
                       FALSE)</f>
        <v/>
      </c>
      <c r="G1988" s="68">
        <v>45209</v>
      </c>
      <c r="H1988" s="26" t="s">
        <v>378</v>
      </c>
      <c r="I1988" s="68">
        <v>45209</v>
      </c>
      <c r="J1988" s="35" t="s">
        <v>2060</v>
      </c>
      <c r="K1988" s="21">
        <v>1380000</v>
      </c>
      <c r="L1988" s="21"/>
      <c r="M1988" s="22">
        <f>(PROVEEDORES[[#This Row],[SUBTOTAL]]-PROVEEDORES[[#This Row],[descuento sobre subtotal]])*VLOOKUP(PROVEEDORES[[#This Row],[PROVEEDOR]],TERCEROS_INFO[#All],3,FALSE)</f>
        <v>0</v>
      </c>
      <c r="N1988" s="23"/>
      <c r="O1988" s="22">
        <f>+PROVEEDORES[[#This Row],[Descuento sobre subtotal %]]*(PROVEEDORES[[#This Row],[SUBTOTAL]]-PROVEEDORES[[#This Row],[descuento sobre subtotal]])</f>
        <v>0</v>
      </c>
      <c r="P1988" s="74">
        <f>+IF(PROVEEDORES[[#This Row],[SUBTOTAL]]&lt;PROVEEDORES[[#This Row],[base retencion]],0,PROVEEDORES[[#This Row],[retención aplicada]])</f>
        <v>0</v>
      </c>
      <c r="Q1988" s="22">
        <f>+PROVEEDORES[[#This Row],[Rete Fuente %]]*(PROVEEDORES[[#This Row],[SUBTOTAL]]-PROVEEDORES[[#This Row],[descuento sobre subtotal]])</f>
        <v>0</v>
      </c>
      <c r="R1988" s="21">
        <f>+PROVEEDORES[[#This Row],[SUBTOTAL]]+PROVEEDORES[[#This Row],[IVA 19%]]-PROVEEDORES[[#This Row],[descuento sobre subtotal]]-PROVEEDORES[[#This Row],[Descuento sobre subtotal $2]]-PROVEEDORES[[#This Row],[Rete Fuente $]]</f>
        <v>1380000</v>
      </c>
      <c r="S198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8" s="63">
        <f ca="1">IF(PROVEEDORES[[#This Row],[FECHA DE PAGO]]=0,TODAY()-PROVEEDORES[[#This Row],[FECHA DE FACTURACIÓN]]-PROVEEDORES[[#This Row],[PLAZO Días]],0)</f>
        <v>0</v>
      </c>
      <c r="U1988" s="104">
        <f>+VLOOKUP(PROVEEDORES[[#This Row],[PROVEEDOR]],Terceros!$A:$D,4,FALSE)</f>
        <v>0</v>
      </c>
      <c r="V1988" s="105">
        <f>+YEAR(PROVEEDORES[[#This Row],[FECHA DE FACTURACIÓN]])</f>
        <v>2023</v>
      </c>
      <c r="W1988" s="105">
        <f>+MATCH(PROVEEDORES[[#This Row],[año facturado]],Retenciones!$1:$1,0)</f>
        <v>6</v>
      </c>
      <c r="X1988" s="106">
        <f>+VLOOKUP(PROVEEDORES[[#This Row],[ID RETENCION]],Retenciones!$A$1:$O$25,PROVEEDORES[[#This Row],[indicador de columna]],FALSE)</f>
        <v>0</v>
      </c>
      <c r="Y1988" s="107">
        <f>+VLOOKUP(PROVEEDORES[[#This Row],[ID RETENCION]],Retenciones!$A$1:$O$25,2,FALSE)</f>
        <v>0</v>
      </c>
      <c r="Z1988" s="116" t="b">
        <f>OR(COUNTIF(PROVEEDORES[[#This Row],[PROVEEDOR]],"*"&amp;'Palabra no opera'!$A$2&amp;"*"))</f>
        <v>0</v>
      </c>
    </row>
    <row r="1989" spans="1:26" ht="22.35" customHeight="1" x14ac:dyDescent="0.3">
      <c r="A1989" s="367" t="str">
        <f>+IF(PROVEEDORES[[#This Row],[FECHA DE PAGO]]=PROVEEDORES[[#This Row],[FECHA DE FACTURACIÓN]],"DE CONTADO","CRÉDITO")</f>
        <v>CRÉDITO</v>
      </c>
      <c r="B1989" s="38" t="b">
        <f>+IF((PROVEEDORES[[#This Row],[FECHA DE PAGO]]-PROVEEDORES[[#This Row],[FECHA DE FACTURACIÓN]])&gt;PROVEEDORES[[#This Row],[PLAZO Días]],"PAGO VENCIDO")</f>
        <v>0</v>
      </c>
      <c r="C1989" s="20">
        <f>+VLOOKUP(PROVEEDORES[[#This Row],[PROVEEDOR]],TERCEROS_INFO[#All],2,FALSE)</f>
        <v>30</v>
      </c>
      <c r="D1989" s="25">
        <f>+SUMIFS(PROVEEDORES[Total],PROVEEDORES[PROVEEDOR],PROVEEDORES[[#This Row],[PROVEEDOR]],PROVEEDORES[FECHA DE PAGO],"")</f>
        <v>0</v>
      </c>
      <c r="E1989" s="25"/>
      <c r="F1989" s="56" t="str">
        <f>+VLOOKUP(PROVEEDORES[[#This Row],[PROVEEDOR]],
                       Terceros!$A:$F,
                       5,
                       FALSE)</f>
        <v/>
      </c>
      <c r="G1989" s="68">
        <v>45209</v>
      </c>
      <c r="H1989" s="26" t="s">
        <v>401</v>
      </c>
      <c r="I1989" s="68">
        <v>45181</v>
      </c>
      <c r="J1989" s="35" t="s">
        <v>2013</v>
      </c>
      <c r="K1989" s="21">
        <v>1068000</v>
      </c>
      <c r="L1989" s="21"/>
      <c r="M1989" s="22">
        <f>(PROVEEDORES[[#This Row],[SUBTOTAL]]-PROVEEDORES[[#This Row],[descuento sobre subtotal]])*VLOOKUP(PROVEEDORES[[#This Row],[PROVEEDOR]],TERCEROS_INFO[#All],3,FALSE)</f>
        <v>0</v>
      </c>
      <c r="N1989" s="23"/>
      <c r="O1989" s="22">
        <f>+PROVEEDORES[[#This Row],[Descuento sobre subtotal %]]*(PROVEEDORES[[#This Row],[SUBTOTAL]]-PROVEEDORES[[#This Row],[descuento sobre subtotal]])</f>
        <v>0</v>
      </c>
      <c r="P1989" s="74">
        <f>+IF(PROVEEDORES[[#This Row],[SUBTOTAL]]&lt;PROVEEDORES[[#This Row],[base retencion]],0,PROVEEDORES[[#This Row],[retención aplicada]])</f>
        <v>0</v>
      </c>
      <c r="Q1989" s="22">
        <f>+PROVEEDORES[[#This Row],[Rete Fuente %]]*(PROVEEDORES[[#This Row],[SUBTOTAL]]-PROVEEDORES[[#This Row],[descuento sobre subtotal]])</f>
        <v>0</v>
      </c>
      <c r="R1989" s="21">
        <f>+PROVEEDORES[[#This Row],[SUBTOTAL]]+PROVEEDORES[[#This Row],[IVA 19%]]-PROVEEDORES[[#This Row],[descuento sobre subtotal]]-PROVEEDORES[[#This Row],[Descuento sobre subtotal $2]]-PROVEEDORES[[#This Row],[Rete Fuente $]]</f>
        <v>1068000</v>
      </c>
      <c r="S1989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9" s="63">
        <f ca="1">IF(PROVEEDORES[[#This Row],[FECHA DE PAGO]]=0,TODAY()-PROVEEDORES[[#This Row],[FECHA DE FACTURACIÓN]]-PROVEEDORES[[#This Row],[PLAZO Días]],0)</f>
        <v>0</v>
      </c>
      <c r="U1989" s="104">
        <f>+VLOOKUP(PROVEEDORES[[#This Row],[PROVEEDOR]],Terceros!$A:$D,4,FALSE)</f>
        <v>0</v>
      </c>
      <c r="V1989" s="105">
        <f>+YEAR(PROVEEDORES[[#This Row],[FECHA DE FACTURACIÓN]])</f>
        <v>2023</v>
      </c>
      <c r="W1989" s="105">
        <f>+MATCH(PROVEEDORES[[#This Row],[año facturado]],Retenciones!$1:$1,0)</f>
        <v>6</v>
      </c>
      <c r="X1989" s="106">
        <f>+VLOOKUP(PROVEEDORES[[#This Row],[ID RETENCION]],Retenciones!$A$1:$O$25,PROVEEDORES[[#This Row],[indicador de columna]],FALSE)</f>
        <v>0</v>
      </c>
      <c r="Y1989" s="107">
        <f>+VLOOKUP(PROVEEDORES[[#This Row],[ID RETENCION]],Retenciones!$A$1:$O$25,2,FALSE)</f>
        <v>0</v>
      </c>
      <c r="Z1989" s="116" t="b">
        <f>OR(COUNTIF(PROVEEDORES[[#This Row],[PROVEEDOR]],"*"&amp;'Palabra no opera'!$A$2&amp;"*"))</f>
        <v>0</v>
      </c>
    </row>
    <row r="1990" spans="1:26" ht="22.35" customHeight="1" x14ac:dyDescent="0.3">
      <c r="A1990" s="67" t="str">
        <f>+IF(PROVEEDORES[[#This Row],[FECHA DE PAGO]]=PROVEEDORES[[#This Row],[FECHA DE FACTURACIÓN]],"DE CONTADO","CRÉDITO")</f>
        <v>CRÉDITO</v>
      </c>
      <c r="B1990" s="38" t="b">
        <f>+IF((PROVEEDORES[[#This Row],[FECHA DE PAGO]]-PROVEEDORES[[#This Row],[FECHA DE FACTURACIÓN]])&gt;PROVEEDORES[[#This Row],[PLAZO Días]],"PAGO VENCIDO")</f>
        <v>0</v>
      </c>
      <c r="C1990" s="20">
        <f>+VLOOKUP(PROVEEDORES[[#This Row],[PROVEEDOR]],TERCEROS_INFO[#All],2,FALSE)</f>
        <v>30</v>
      </c>
      <c r="D1990" s="25">
        <f>+SUMIFS(PROVEEDORES[Total],PROVEEDORES[PROVEEDOR],PROVEEDORES[[#This Row],[PROVEEDOR]],PROVEEDORES[FECHA DE PAGO],"")</f>
        <v>0</v>
      </c>
      <c r="E1990" s="25"/>
      <c r="F199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90" s="68">
        <v>45209</v>
      </c>
      <c r="H1990" s="26" t="s">
        <v>623</v>
      </c>
      <c r="I1990" s="68">
        <v>45200</v>
      </c>
      <c r="J1990" s="35" t="s">
        <v>1987</v>
      </c>
      <c r="K1990" s="21">
        <v>3792544</v>
      </c>
      <c r="L1990" s="21"/>
      <c r="M1990" s="22">
        <f>(PROVEEDORES[[#This Row],[SUBTOTAL]]-PROVEEDORES[[#This Row],[descuento sobre subtotal]])*VLOOKUP(PROVEEDORES[[#This Row],[PROVEEDOR]],TERCEROS_INFO[#All],3,FALSE)</f>
        <v>720583.36</v>
      </c>
      <c r="N1990" s="23"/>
      <c r="O1990" s="22">
        <f>+PROVEEDORES[[#This Row],[Descuento sobre subtotal %]]*(PROVEEDORES[[#This Row],[SUBTOTAL]]-PROVEEDORES[[#This Row],[descuento sobre subtotal]])</f>
        <v>0</v>
      </c>
      <c r="P1990" s="74">
        <v>0</v>
      </c>
      <c r="Q1990" s="22">
        <f>+PROVEEDORES[[#This Row],[Rete Fuente %]]*(PROVEEDORES[[#This Row],[SUBTOTAL]]-PROVEEDORES[[#This Row],[descuento sobre subtotal]])</f>
        <v>0</v>
      </c>
      <c r="R1990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9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0" s="63">
        <f ca="1">IF(PROVEEDORES[[#This Row],[FECHA DE PAGO]]=0,TODAY()-PROVEEDORES[[#This Row],[FECHA DE FACTURACIÓN]]-PROVEEDORES[[#This Row],[PLAZO Días]],0)</f>
        <v>0</v>
      </c>
      <c r="U1990" s="104" t="str">
        <f>+VLOOKUP(PROVEEDORES[[#This Row],[PROVEEDOR]],Terceros!$A:$D,4,FALSE)</f>
        <v>4% sin base</v>
      </c>
      <c r="V1990" s="105">
        <f>+YEAR(PROVEEDORES[[#This Row],[FECHA DE FACTURACIÓN]])</f>
        <v>2023</v>
      </c>
      <c r="W1990" s="105">
        <f>+MATCH(PROVEEDORES[[#This Row],[año facturado]],Retenciones!$1:$1,0)</f>
        <v>6</v>
      </c>
      <c r="X1990" s="106">
        <f>+VLOOKUP(PROVEEDORES[[#This Row],[ID RETENCION]],Retenciones!$A$1:$O$25,PROVEEDORES[[#This Row],[indicador de columna]],FALSE)</f>
        <v>0</v>
      </c>
      <c r="Y1990" s="107">
        <f>+VLOOKUP(PROVEEDORES[[#This Row],[ID RETENCION]],Retenciones!$A$1:$O$25,2,FALSE)</f>
        <v>0.04</v>
      </c>
      <c r="Z1990" s="116" t="b">
        <f>OR(COUNTIF(PROVEEDORES[[#This Row],[PROVEEDOR]],"*"&amp;'Palabra no opera'!$A$2&amp;"*"))</f>
        <v>1</v>
      </c>
    </row>
    <row r="1991" spans="1:26" ht="22.35" customHeight="1" x14ac:dyDescent="0.3">
      <c r="A1991" s="67" t="str">
        <f>+IF(PROVEEDORES[[#This Row],[FECHA DE PAGO]]=PROVEEDORES[[#This Row],[FECHA DE FACTURACIÓN]],"DE CONTADO","CRÉDITO")</f>
        <v>CRÉDITO</v>
      </c>
      <c r="B1991" s="38" t="b">
        <f>+IF((PROVEEDORES[[#This Row],[FECHA DE PAGO]]-PROVEEDORES[[#This Row],[FECHA DE FACTURACIÓN]])&gt;PROVEEDORES[[#This Row],[PLAZO Días]],"PAGO VENCIDO")</f>
        <v>0</v>
      </c>
      <c r="C1991" s="20">
        <f>+VLOOKUP(PROVEEDORES[[#This Row],[PROVEEDOR]],TERCEROS_INFO[#All],2,FALSE)</f>
        <v>30</v>
      </c>
      <c r="D1991" s="25">
        <f>+SUMIFS(PROVEEDORES[Total],PROVEEDORES[PROVEEDOR],PROVEEDORES[[#This Row],[PROVEEDOR]],PROVEEDORES[FECHA DE PAGO],"")</f>
        <v>0</v>
      </c>
      <c r="E1991" s="25"/>
      <c r="F199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91" s="68">
        <v>45209</v>
      </c>
      <c r="H1991" s="26" t="s">
        <v>623</v>
      </c>
      <c r="I1991" s="68">
        <v>45200</v>
      </c>
      <c r="J1991" s="35" t="s">
        <v>1990</v>
      </c>
      <c r="K1991" s="21">
        <v>908172</v>
      </c>
      <c r="L1991" s="21"/>
      <c r="M1991" s="22">
        <f>(PROVEEDORES[[#This Row],[SUBTOTAL]]-PROVEEDORES[[#This Row],[descuento sobre subtotal]])*VLOOKUP(PROVEEDORES[[#This Row],[PROVEEDOR]],TERCEROS_INFO[#All],3,FALSE)</f>
        <v>172552.68</v>
      </c>
      <c r="N1991" s="23"/>
      <c r="O1991" s="22">
        <f>+PROVEEDORES[[#This Row],[Descuento sobre subtotal %]]*(PROVEEDORES[[#This Row],[SUBTOTAL]]-PROVEEDORES[[#This Row],[descuento sobre subtotal]])</f>
        <v>0</v>
      </c>
      <c r="P1991" s="74">
        <f>+IF(PROVEEDORES[[#This Row],[SUBTOTAL]]&lt;PROVEEDORES[[#This Row],[base retencion]],0,PROVEEDORES[[#This Row],[retención aplicada]])</f>
        <v>0.04</v>
      </c>
      <c r="Q1991" s="22">
        <f>+PROVEEDORES[[#This Row],[Rete Fuente %]]*(PROVEEDORES[[#This Row],[SUBTOTAL]]-PROVEEDORES[[#This Row],[descuento sobre subtotal]])</f>
        <v>36326.879999999997</v>
      </c>
      <c r="R1991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19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1" s="63">
        <f ca="1">IF(PROVEEDORES[[#This Row],[FECHA DE PAGO]]=0,TODAY()-PROVEEDORES[[#This Row],[FECHA DE FACTURACIÓN]]-PROVEEDORES[[#This Row],[PLAZO Días]],0)</f>
        <v>0</v>
      </c>
      <c r="U1991" s="104" t="str">
        <f>+VLOOKUP(PROVEEDORES[[#This Row],[PROVEEDOR]],Terceros!$A:$D,4,FALSE)</f>
        <v>4% sin base</v>
      </c>
      <c r="V1991" s="105">
        <f>+YEAR(PROVEEDORES[[#This Row],[FECHA DE FACTURACIÓN]])</f>
        <v>2023</v>
      </c>
      <c r="W1991" s="105">
        <f>+MATCH(PROVEEDORES[[#This Row],[año facturado]],Retenciones!$1:$1,0)</f>
        <v>6</v>
      </c>
      <c r="X1991" s="106">
        <f>+VLOOKUP(PROVEEDORES[[#This Row],[ID RETENCION]],Retenciones!$A$1:$O$25,PROVEEDORES[[#This Row],[indicador de columna]],FALSE)</f>
        <v>0</v>
      </c>
      <c r="Y1991" s="107">
        <f>+VLOOKUP(PROVEEDORES[[#This Row],[ID RETENCION]],Retenciones!$A$1:$O$25,2,FALSE)</f>
        <v>0.04</v>
      </c>
      <c r="Z1991" s="116" t="b">
        <f>OR(COUNTIF(PROVEEDORES[[#This Row],[PROVEEDOR]],"*"&amp;'Palabra no opera'!$A$2&amp;"*"))</f>
        <v>1</v>
      </c>
    </row>
    <row r="1992" spans="1:26" ht="22.35" customHeight="1" x14ac:dyDescent="0.3">
      <c r="A1992" s="67" t="str">
        <f>+IF(PROVEEDORES[[#This Row],[FECHA DE PAGO]]=PROVEEDORES[[#This Row],[FECHA DE FACTURACIÓN]],"DE CONTADO","CRÉDITO")</f>
        <v>CRÉDITO</v>
      </c>
      <c r="B1992" s="38" t="b">
        <f>+IF((PROVEEDORES[[#This Row],[FECHA DE PAGO]]-PROVEEDORES[[#This Row],[FECHA DE FACTURACIÓN]])&gt;PROVEEDORES[[#This Row],[PLAZO Días]],"PAGO VENCIDO")</f>
        <v>0</v>
      </c>
      <c r="C1992" s="20">
        <f>+VLOOKUP(PROVEEDORES[[#This Row],[PROVEEDOR]],TERCEROS_INFO[#All],2,FALSE)</f>
        <v>30</v>
      </c>
      <c r="D1992" s="25">
        <f>+SUMIFS(PROVEEDORES[Total],PROVEEDORES[PROVEEDOR],PROVEEDORES[[#This Row],[PROVEEDOR]],PROVEEDORES[FECHA DE PAGO],"")</f>
        <v>0</v>
      </c>
      <c r="E1992" s="25"/>
      <c r="F199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92" s="68">
        <v>45209</v>
      </c>
      <c r="H1992" s="26" t="s">
        <v>623</v>
      </c>
      <c r="I1992" s="68">
        <v>45200</v>
      </c>
      <c r="J1992" s="35" t="s">
        <v>1991</v>
      </c>
      <c r="K1992" s="21">
        <v>20226</v>
      </c>
      <c r="L1992" s="21"/>
      <c r="M1992" s="22">
        <f>(PROVEEDORES[[#This Row],[SUBTOTAL]]-PROVEEDORES[[#This Row],[descuento sobre subtotal]])*VLOOKUP(PROVEEDORES[[#This Row],[PROVEEDOR]],TERCEROS_INFO[#All],3,FALSE)</f>
        <v>3842.94</v>
      </c>
      <c r="N1992" s="23"/>
      <c r="O1992" s="22">
        <f>+PROVEEDORES[[#This Row],[Descuento sobre subtotal %]]*(PROVEEDORES[[#This Row],[SUBTOTAL]]-PROVEEDORES[[#This Row],[descuento sobre subtotal]])</f>
        <v>0</v>
      </c>
      <c r="P1992" s="74">
        <v>0</v>
      </c>
      <c r="Q1992" s="22">
        <f>+PROVEEDORES[[#This Row],[Rete Fuente %]]*(PROVEEDORES[[#This Row],[SUBTOTAL]]-PROVEEDORES[[#This Row],[descuento sobre subtotal]])</f>
        <v>0</v>
      </c>
      <c r="R1992" s="21">
        <f>+PROVEEDORES[[#This Row],[SUBTOTAL]]+PROVEEDORES[[#This Row],[IVA 19%]]-PROVEEDORES[[#This Row],[descuento sobre subtotal]]-PROVEEDORES[[#This Row],[Descuento sobre subtotal $2]]-PROVEEDORES[[#This Row],[Rete Fuente $]]</f>
        <v>24068.94</v>
      </c>
      <c r="S199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2" s="63">
        <f ca="1">IF(PROVEEDORES[[#This Row],[FECHA DE PAGO]]=0,TODAY()-PROVEEDORES[[#This Row],[FECHA DE FACTURACIÓN]]-PROVEEDORES[[#This Row],[PLAZO Días]],0)</f>
        <v>0</v>
      </c>
      <c r="U1992" s="104" t="str">
        <f>+VLOOKUP(PROVEEDORES[[#This Row],[PROVEEDOR]],Terceros!$A:$D,4,FALSE)</f>
        <v>4% sin base</v>
      </c>
      <c r="V1992" s="105">
        <f>+YEAR(PROVEEDORES[[#This Row],[FECHA DE FACTURACIÓN]])</f>
        <v>2023</v>
      </c>
      <c r="W1992" s="105">
        <f>+MATCH(PROVEEDORES[[#This Row],[año facturado]],Retenciones!$1:$1,0)</f>
        <v>6</v>
      </c>
      <c r="X1992" s="106">
        <f>+VLOOKUP(PROVEEDORES[[#This Row],[ID RETENCION]],Retenciones!$A$1:$O$25,PROVEEDORES[[#This Row],[indicador de columna]],FALSE)</f>
        <v>0</v>
      </c>
      <c r="Y1992" s="107">
        <f>+VLOOKUP(PROVEEDORES[[#This Row],[ID RETENCION]],Retenciones!$A$1:$O$25,2,FALSE)</f>
        <v>0.04</v>
      </c>
      <c r="Z1992" s="116" t="b">
        <f>OR(COUNTIF(PROVEEDORES[[#This Row],[PROVEEDOR]],"*"&amp;'Palabra no opera'!$A$2&amp;"*"))</f>
        <v>1</v>
      </c>
    </row>
    <row r="1993" spans="1:26" ht="22.35" customHeight="1" x14ac:dyDescent="0.3">
      <c r="A1993" s="67" t="str">
        <f>+IF(PROVEEDORES[[#This Row],[FECHA DE PAGO]]=PROVEEDORES[[#This Row],[FECHA DE FACTURACIÓN]],"DE CONTADO","CRÉDITO")</f>
        <v>DE CONTADO</v>
      </c>
      <c r="B1993" s="38" t="b">
        <f>+IF((PROVEEDORES[[#This Row],[FECHA DE PAGO]]-PROVEEDORES[[#This Row],[FECHA DE FACTURACIÓN]])&gt;PROVEEDORES[[#This Row],[PLAZO Días]],"PAGO VENCIDO")</f>
        <v>0</v>
      </c>
      <c r="C1993" s="20">
        <f>+VLOOKUP(PROVEEDORES[[#This Row],[PROVEEDOR]],TERCEROS_INFO[#All],2,FALSE)</f>
        <v>30</v>
      </c>
      <c r="D1993" s="25">
        <f>+SUMIFS(PROVEEDORES[Total],PROVEEDORES[PROVEEDOR],PROVEEDORES[[#This Row],[PROVEEDOR]],PROVEEDORES[FECHA DE PAGO],"")</f>
        <v>0</v>
      </c>
      <c r="E1993" s="25"/>
      <c r="F1993" s="56" t="str">
        <f>+VLOOKUP(PROVEEDORES[[#This Row],[PROVEEDOR]],
                       Terceros!$A:$F,
                       5,
                       FALSE)</f>
        <v/>
      </c>
      <c r="G1993" s="68">
        <v>45210</v>
      </c>
      <c r="H1993" s="26" t="s">
        <v>362</v>
      </c>
      <c r="I1993" s="68">
        <v>45210</v>
      </c>
      <c r="J1993" s="35" t="s">
        <v>2056</v>
      </c>
      <c r="K1993" s="21">
        <v>180000</v>
      </c>
      <c r="L1993" s="21"/>
      <c r="M1993" s="22">
        <f>(PROVEEDORES[[#This Row],[SUBTOTAL]]-PROVEEDORES[[#This Row],[descuento sobre subtotal]])*VLOOKUP(PROVEEDORES[[#This Row],[PROVEEDOR]],TERCEROS_INFO[#All],3,FALSE)</f>
        <v>0</v>
      </c>
      <c r="N1993" s="23"/>
      <c r="O1993" s="22">
        <f>+PROVEEDORES[[#This Row],[Descuento sobre subtotal %]]*(PROVEEDORES[[#This Row],[SUBTOTAL]]-PROVEEDORES[[#This Row],[descuento sobre subtotal]])</f>
        <v>0</v>
      </c>
      <c r="P1993" s="74">
        <f>+IF(PROVEEDORES[[#This Row],[SUBTOTAL]]&lt;PROVEEDORES[[#This Row],[base retencion]],0,PROVEEDORES[[#This Row],[retención aplicada]])</f>
        <v>0</v>
      </c>
      <c r="Q1993" s="22">
        <f>+PROVEEDORES[[#This Row],[Rete Fuente %]]*(PROVEEDORES[[#This Row],[SUBTOTAL]]-PROVEEDORES[[#This Row],[descuento sobre subtotal]])</f>
        <v>0</v>
      </c>
      <c r="R1993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199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3" s="63">
        <f ca="1">IF(PROVEEDORES[[#This Row],[FECHA DE PAGO]]=0,TODAY()-PROVEEDORES[[#This Row],[FECHA DE FACTURACIÓN]]-PROVEEDORES[[#This Row],[PLAZO Días]],0)</f>
        <v>0</v>
      </c>
      <c r="U1993" s="104">
        <f>+VLOOKUP(PROVEEDORES[[#This Row],[PROVEEDOR]],Terceros!$A:$D,4,FALSE)</f>
        <v>0</v>
      </c>
      <c r="V1993" s="105">
        <f>+YEAR(PROVEEDORES[[#This Row],[FECHA DE FACTURACIÓN]])</f>
        <v>2023</v>
      </c>
      <c r="W1993" s="105">
        <f>+MATCH(PROVEEDORES[[#This Row],[año facturado]],Retenciones!$1:$1,0)</f>
        <v>6</v>
      </c>
      <c r="X1993" s="106">
        <f>+VLOOKUP(PROVEEDORES[[#This Row],[ID RETENCION]],Retenciones!$A$1:$O$25,PROVEEDORES[[#This Row],[indicador de columna]],FALSE)</f>
        <v>0</v>
      </c>
      <c r="Y1993" s="107">
        <f>+VLOOKUP(PROVEEDORES[[#This Row],[ID RETENCION]],Retenciones!$A$1:$O$25,2,FALSE)</f>
        <v>0</v>
      </c>
      <c r="Z1993" s="116" t="b">
        <f>OR(COUNTIF(PROVEEDORES[[#This Row],[PROVEEDOR]],"*"&amp;'Palabra no opera'!$A$2&amp;"*"))</f>
        <v>0</v>
      </c>
    </row>
    <row r="1994" spans="1:26" ht="22.35" customHeight="1" x14ac:dyDescent="0.3">
      <c r="A1994" s="67" t="str">
        <f>+IF(PROVEEDORES[[#This Row],[FECHA DE PAGO]]=PROVEEDORES[[#This Row],[FECHA DE FACTURACIÓN]],"DE CONTADO","CRÉDITO")</f>
        <v>DE CONTADO</v>
      </c>
      <c r="B1994" s="38" t="b">
        <f>+IF((PROVEEDORES[[#This Row],[FECHA DE PAGO]]-PROVEEDORES[[#This Row],[FECHA DE FACTURACIÓN]])&gt;PROVEEDORES[[#This Row],[PLAZO Días]],"PAGO VENCIDO")</f>
        <v>0</v>
      </c>
      <c r="C1994" s="20">
        <f>+VLOOKUP(PROVEEDORES[[#This Row],[PROVEEDOR]],TERCEROS_INFO[#All],2,FALSE)</f>
        <v>30</v>
      </c>
      <c r="D1994" s="25">
        <f>+SUMIFS(PROVEEDORES[Total],PROVEEDORES[PROVEEDOR],PROVEEDORES[[#This Row],[PROVEEDOR]],PROVEEDORES[FECHA DE PAGO],"")</f>
        <v>0</v>
      </c>
      <c r="E1994" s="25"/>
      <c r="F1994" s="56" t="str">
        <f>+VLOOKUP(PROVEEDORES[[#This Row],[PROVEEDOR]],
                       Terceros!$A:$F,
                       5,
                       FALSE)</f>
        <v/>
      </c>
      <c r="G1994" s="68">
        <v>45211</v>
      </c>
      <c r="H1994" s="26" t="s">
        <v>362</v>
      </c>
      <c r="I1994" s="68">
        <v>45211</v>
      </c>
      <c r="J1994" s="35" t="s">
        <v>2034</v>
      </c>
      <c r="K1994" s="21">
        <v>280331</v>
      </c>
      <c r="L1994" s="21"/>
      <c r="M1994" s="22">
        <f>(PROVEEDORES[[#This Row],[SUBTOTAL]]-PROVEEDORES[[#This Row],[descuento sobre subtotal]])*VLOOKUP(PROVEEDORES[[#This Row],[PROVEEDOR]],TERCEROS_INFO[#All],3,FALSE)</f>
        <v>0</v>
      </c>
      <c r="N1994" s="23"/>
      <c r="O1994" s="22">
        <f>+PROVEEDORES[[#This Row],[Descuento sobre subtotal %]]*(PROVEEDORES[[#This Row],[SUBTOTAL]]-PROVEEDORES[[#This Row],[descuento sobre subtotal]])</f>
        <v>0</v>
      </c>
      <c r="P1994" s="74">
        <f>+IF(PROVEEDORES[[#This Row],[SUBTOTAL]]&lt;PROVEEDORES[[#This Row],[base retencion]],0,PROVEEDORES[[#This Row],[retención aplicada]])</f>
        <v>0</v>
      </c>
      <c r="Q1994" s="22">
        <f>+PROVEEDORES[[#This Row],[Rete Fuente %]]*(PROVEEDORES[[#This Row],[SUBTOTAL]]-PROVEEDORES[[#This Row],[descuento sobre subtotal]])</f>
        <v>0</v>
      </c>
      <c r="R1994" s="21">
        <f>+PROVEEDORES[[#This Row],[SUBTOTAL]]+PROVEEDORES[[#This Row],[IVA 19%]]-PROVEEDORES[[#This Row],[descuento sobre subtotal]]-PROVEEDORES[[#This Row],[Descuento sobre subtotal $2]]-PROVEEDORES[[#This Row],[Rete Fuente $]]</f>
        <v>280331</v>
      </c>
      <c r="S19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4" s="63">
        <f ca="1">IF(PROVEEDORES[[#This Row],[FECHA DE PAGO]]=0,TODAY()-PROVEEDORES[[#This Row],[FECHA DE FACTURACIÓN]]-PROVEEDORES[[#This Row],[PLAZO Días]],0)</f>
        <v>0</v>
      </c>
      <c r="U1994" s="104">
        <f>+VLOOKUP(PROVEEDORES[[#This Row],[PROVEEDOR]],Terceros!$A:$D,4,FALSE)</f>
        <v>0</v>
      </c>
      <c r="V1994" s="105">
        <f>+YEAR(PROVEEDORES[[#This Row],[FECHA DE FACTURACIÓN]])</f>
        <v>2023</v>
      </c>
      <c r="W1994" s="105">
        <f>+MATCH(PROVEEDORES[[#This Row],[año facturado]],Retenciones!$1:$1,0)</f>
        <v>6</v>
      </c>
      <c r="X1994" s="106">
        <f>+VLOOKUP(PROVEEDORES[[#This Row],[ID RETENCION]],Retenciones!$A$1:$O$25,PROVEEDORES[[#This Row],[indicador de columna]],FALSE)</f>
        <v>0</v>
      </c>
      <c r="Y1994" s="107">
        <f>+VLOOKUP(PROVEEDORES[[#This Row],[ID RETENCION]],Retenciones!$A$1:$O$25,2,FALSE)</f>
        <v>0</v>
      </c>
      <c r="Z1994" s="116" t="b">
        <f>OR(COUNTIF(PROVEEDORES[[#This Row],[PROVEEDOR]],"*"&amp;'Palabra no opera'!$A$2&amp;"*"))</f>
        <v>0</v>
      </c>
    </row>
    <row r="1995" spans="1:26" ht="22.35" customHeight="1" x14ac:dyDescent="0.3">
      <c r="A1995" s="372" t="str">
        <f>+IF(PROVEEDORES[[#This Row],[FECHA DE PAGO]]=PROVEEDORES[[#This Row],[FECHA DE FACTURACIÓN]],"DE CONTADO","CRÉDITO")</f>
        <v>DE CONTADO</v>
      </c>
      <c r="B1995" s="38" t="b">
        <f>+IF((PROVEEDORES[[#This Row],[FECHA DE PAGO]]-PROVEEDORES[[#This Row],[FECHA DE FACTURACIÓN]])&gt;PROVEEDORES[[#This Row],[PLAZO Días]],"PAGO VENCIDO")</f>
        <v>0</v>
      </c>
      <c r="C1995" s="20">
        <f>+VLOOKUP(PROVEEDORES[[#This Row],[PROVEEDOR]],TERCEROS_INFO[#All],2,FALSE)</f>
        <v>30</v>
      </c>
      <c r="D1995" s="25">
        <f>+SUMIFS(PROVEEDORES[Total],PROVEEDORES[PROVEEDOR],PROVEEDORES[[#This Row],[PROVEEDOR]],PROVEEDORES[FECHA DE PAGO],"")</f>
        <v>0</v>
      </c>
      <c r="E1995" s="25"/>
      <c r="F1995" s="56" t="str">
        <f>+VLOOKUP(PROVEEDORES[[#This Row],[PROVEEDOR]],
                       Terceros!$A:$F,
                       5,
                       FALSE)</f>
        <v/>
      </c>
      <c r="G1995" s="68">
        <v>45211</v>
      </c>
      <c r="H1995" s="26" t="s">
        <v>396</v>
      </c>
      <c r="I1995" s="68">
        <v>45211</v>
      </c>
      <c r="J1995" s="35" t="s">
        <v>2047</v>
      </c>
      <c r="K1995" s="21">
        <v>550000</v>
      </c>
      <c r="L1995" s="21"/>
      <c r="M1995" s="22">
        <f>(PROVEEDORES[[#This Row],[SUBTOTAL]]-PROVEEDORES[[#This Row],[descuento sobre subtotal]])*VLOOKUP(PROVEEDORES[[#This Row],[PROVEEDOR]],TERCEROS_INFO[#All],3,FALSE)</f>
        <v>0</v>
      </c>
      <c r="N1995" s="23"/>
      <c r="O1995" s="22">
        <f>+PROVEEDORES[[#This Row],[Descuento sobre subtotal %]]*(PROVEEDORES[[#This Row],[SUBTOTAL]]-PROVEEDORES[[#This Row],[descuento sobre subtotal]])</f>
        <v>0</v>
      </c>
      <c r="P1995" s="74">
        <f>+IF(PROVEEDORES[[#This Row],[SUBTOTAL]]&lt;PROVEEDORES[[#This Row],[base retencion]],0,PROVEEDORES[[#This Row],[retención aplicada]])</f>
        <v>0</v>
      </c>
      <c r="Q1995" s="22">
        <f>+PROVEEDORES[[#This Row],[Rete Fuente %]]*(PROVEEDORES[[#This Row],[SUBTOTAL]]-PROVEEDORES[[#This Row],[descuento sobre subtotal]])</f>
        <v>0</v>
      </c>
      <c r="R1995" s="21">
        <f>+PROVEEDORES[[#This Row],[SUBTOTAL]]+PROVEEDORES[[#This Row],[IVA 19%]]-PROVEEDORES[[#This Row],[descuento sobre subtotal]]-PROVEEDORES[[#This Row],[Descuento sobre subtotal $2]]-PROVEEDORES[[#This Row],[Rete Fuente $]]</f>
        <v>550000</v>
      </c>
      <c r="S1995" s="3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5" s="63">
        <f ca="1">IF(PROVEEDORES[[#This Row],[FECHA DE PAGO]]=0,TODAY()-PROVEEDORES[[#This Row],[FECHA DE FACTURACIÓN]]-PROVEEDORES[[#This Row],[PLAZO Días]],0)</f>
        <v>0</v>
      </c>
      <c r="U1995" s="104">
        <f>+VLOOKUP(PROVEEDORES[[#This Row],[PROVEEDOR]],Terceros!$A:$D,4,FALSE)</f>
        <v>0</v>
      </c>
      <c r="V1995" s="105">
        <f>+YEAR(PROVEEDORES[[#This Row],[FECHA DE FACTURACIÓN]])</f>
        <v>2023</v>
      </c>
      <c r="W1995" s="105">
        <f>+MATCH(PROVEEDORES[[#This Row],[año facturado]],Retenciones!$1:$1,0)</f>
        <v>6</v>
      </c>
      <c r="X1995" s="106">
        <f>+VLOOKUP(PROVEEDORES[[#This Row],[ID RETENCION]],Retenciones!$A$1:$O$25,PROVEEDORES[[#This Row],[indicador de columna]],FALSE)</f>
        <v>0</v>
      </c>
      <c r="Y1995" s="107">
        <f>+VLOOKUP(PROVEEDORES[[#This Row],[ID RETENCION]],Retenciones!$A$1:$O$25,2,FALSE)</f>
        <v>0</v>
      </c>
      <c r="Z1995" s="116" t="b">
        <f>OR(COUNTIF(PROVEEDORES[[#This Row],[PROVEEDOR]],"*"&amp;'Palabra no opera'!$A$2&amp;"*"))</f>
        <v>0</v>
      </c>
    </row>
    <row r="1996" spans="1:26" ht="22.35" customHeight="1" x14ac:dyDescent="0.3">
      <c r="A1996" s="67" t="str">
        <f>+IF(PROVEEDORES[[#This Row],[FECHA DE PAGO]]=PROVEEDORES[[#This Row],[FECHA DE FACTURACIÓN]],"DE CONTADO","CRÉDITO")</f>
        <v>CRÉDITO</v>
      </c>
      <c r="B1996" s="38" t="b">
        <f>+IF((PROVEEDORES[[#This Row],[FECHA DE PAGO]]-PROVEEDORES[[#This Row],[FECHA DE FACTURACIÓN]])&gt;PROVEEDORES[[#This Row],[PLAZO Días]],"PAGO VENCIDO")</f>
        <v>0</v>
      </c>
      <c r="C1996" s="20">
        <f>+VLOOKUP(PROVEEDORES[[#This Row],[PROVEEDOR]],TERCEROS_INFO[#All],2,FALSE)</f>
        <v>30</v>
      </c>
      <c r="D1996" s="25">
        <f>+SUMIFS(PROVEEDORES[Total],PROVEEDORES[PROVEEDOR],PROVEEDORES[[#This Row],[PROVEEDOR]],PROVEEDORES[FECHA DE PAGO],"")</f>
        <v>0</v>
      </c>
      <c r="E1996" s="25"/>
      <c r="F1996" s="56" t="str">
        <f>+VLOOKUP(PROVEEDORES[[#This Row],[PROVEEDOR]],
                       Terceros!$A:$F,
                       5,
                       FALSE)</f>
        <v/>
      </c>
      <c r="G1996" s="68">
        <v>45213</v>
      </c>
      <c r="H1996" s="26" t="s">
        <v>1194</v>
      </c>
      <c r="I1996" s="68">
        <v>45212</v>
      </c>
      <c r="J1996" s="35" t="s">
        <v>2053</v>
      </c>
      <c r="K1996" s="21">
        <v>2740000</v>
      </c>
      <c r="L1996" s="21"/>
      <c r="M1996" s="22">
        <f>(PROVEEDORES[[#This Row],[SUBTOTAL]]-PROVEEDORES[[#This Row],[descuento sobre subtotal]])*VLOOKUP(PROVEEDORES[[#This Row],[PROVEEDOR]],TERCEROS_INFO[#All],3,FALSE)</f>
        <v>0</v>
      </c>
      <c r="N1996" s="23"/>
      <c r="O1996" s="22">
        <f>+PROVEEDORES[[#This Row],[Descuento sobre subtotal %]]*(PROVEEDORES[[#This Row],[SUBTOTAL]]-PROVEEDORES[[#This Row],[descuento sobre subtotal]])</f>
        <v>0</v>
      </c>
      <c r="P1996" s="74">
        <f>+IF(PROVEEDORES[[#This Row],[SUBTOTAL]]&lt;PROVEEDORES[[#This Row],[base retencion]],0,PROVEEDORES[[#This Row],[retención aplicada]])</f>
        <v>0</v>
      </c>
      <c r="Q1996" s="22">
        <f>+PROVEEDORES[[#This Row],[Rete Fuente %]]*(PROVEEDORES[[#This Row],[SUBTOTAL]]-PROVEEDORES[[#This Row],[descuento sobre subtotal]])</f>
        <v>0</v>
      </c>
      <c r="R1996" s="21">
        <f>+PROVEEDORES[[#This Row],[SUBTOTAL]]+PROVEEDORES[[#This Row],[IVA 19%]]-PROVEEDORES[[#This Row],[descuento sobre subtotal]]-PROVEEDORES[[#This Row],[Descuento sobre subtotal $2]]-PROVEEDORES[[#This Row],[Rete Fuente $]]</f>
        <v>2740000</v>
      </c>
      <c r="S19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6" s="63">
        <f ca="1">IF(PROVEEDORES[[#This Row],[FECHA DE PAGO]]=0,TODAY()-PROVEEDORES[[#This Row],[FECHA DE FACTURACIÓN]]-PROVEEDORES[[#This Row],[PLAZO Días]],0)</f>
        <v>0</v>
      </c>
      <c r="U1996" s="104">
        <f>+VLOOKUP(PROVEEDORES[[#This Row],[PROVEEDOR]],Terceros!$A:$D,4,FALSE)</f>
        <v>0</v>
      </c>
      <c r="V1996" s="105">
        <f>+YEAR(PROVEEDORES[[#This Row],[FECHA DE FACTURACIÓN]])</f>
        <v>2023</v>
      </c>
      <c r="W1996" s="105">
        <f>+MATCH(PROVEEDORES[[#This Row],[año facturado]],Retenciones!$1:$1,0)</f>
        <v>6</v>
      </c>
      <c r="X1996" s="106">
        <f>+VLOOKUP(PROVEEDORES[[#This Row],[ID RETENCION]],Retenciones!$A$1:$O$25,PROVEEDORES[[#This Row],[indicador de columna]],FALSE)</f>
        <v>0</v>
      </c>
      <c r="Y1996" s="107">
        <f>+VLOOKUP(PROVEEDORES[[#This Row],[ID RETENCION]],Retenciones!$A$1:$O$25,2,FALSE)</f>
        <v>0</v>
      </c>
      <c r="Z1996" s="116" t="b">
        <f>OR(COUNTIF(PROVEEDORES[[#This Row],[PROVEEDOR]],"*"&amp;'Palabra no opera'!$A$2&amp;"*"))</f>
        <v>0</v>
      </c>
    </row>
    <row r="1997" spans="1:26" ht="22.35" customHeight="1" x14ac:dyDescent="0.3">
      <c r="A1997" s="339" t="str">
        <f>+IF(PROVEEDORES[[#This Row],[FECHA DE PAGO]]=PROVEEDORES[[#This Row],[FECHA DE FACTURACIÓN]],"DE CONTADO","CRÉDITO")</f>
        <v>CRÉDITO</v>
      </c>
      <c r="B1997" s="38" t="str">
        <f>+IF((PROVEEDORES[[#This Row],[FECHA DE PAGO]]-PROVEEDORES[[#This Row],[FECHA DE FACTURACIÓN]])&gt;PROVEEDORES[[#This Row],[PLAZO Días]],"PAGO VENCIDO")</f>
        <v>PAGO VENCIDO</v>
      </c>
      <c r="C1997" s="20">
        <f>+VLOOKUP(PROVEEDORES[[#This Row],[PROVEEDOR]],TERCEROS_INFO[#All],2,FALSE)</f>
        <v>30</v>
      </c>
      <c r="D1997" s="25">
        <f>+SUMIFS(PROVEEDORES[Total],PROVEEDORES[PROVEEDOR],PROVEEDORES[[#This Row],[PROVEEDOR]],PROVEEDORES[FECHA DE PAGO],"")</f>
        <v>2100000</v>
      </c>
      <c r="E1997" s="25"/>
      <c r="F1997" s="56" t="str">
        <f>+VLOOKUP(PROVEEDORES[[#This Row],[PROVEEDOR]],
                       Terceros!$A:$F,
                       5,
                       FALSE)</f>
        <v/>
      </c>
      <c r="G1997" s="68">
        <v>45217</v>
      </c>
      <c r="H1997" s="95" t="s">
        <v>349</v>
      </c>
      <c r="I1997" s="68">
        <v>45140</v>
      </c>
      <c r="J1997" s="35" t="s">
        <v>1847</v>
      </c>
      <c r="K1997" s="21">
        <v>3496000</v>
      </c>
      <c r="L1997" s="21"/>
      <c r="M1997" s="22">
        <f>(PROVEEDORES[[#This Row],[SUBTOTAL]]-PROVEEDORES[[#This Row],[descuento sobre subtotal]])*VLOOKUP(PROVEEDORES[[#This Row],[PROVEEDOR]],TERCEROS_INFO[#All],3,FALSE)</f>
        <v>0</v>
      </c>
      <c r="N1997" s="23"/>
      <c r="O1997" s="22">
        <f>+PROVEEDORES[[#This Row],[Descuento sobre subtotal %]]*(PROVEEDORES[[#This Row],[SUBTOTAL]]-PROVEEDORES[[#This Row],[descuento sobre subtotal]])</f>
        <v>0</v>
      </c>
      <c r="P1997" s="74">
        <f>+IF(PROVEEDORES[[#This Row],[SUBTOTAL]]&lt;PROVEEDORES[[#This Row],[base retencion]],0,PROVEEDORES[[#This Row],[retención aplicada]])</f>
        <v>0</v>
      </c>
      <c r="Q1997" s="22">
        <f>+PROVEEDORES[[#This Row],[Rete Fuente %]]*(PROVEEDORES[[#This Row],[SUBTOTAL]]-PROVEEDORES[[#This Row],[descuento sobre subtotal]])</f>
        <v>0</v>
      </c>
      <c r="R1997" s="21">
        <f>+PROVEEDORES[[#This Row],[SUBTOTAL]]+PROVEEDORES[[#This Row],[IVA 19%]]-PROVEEDORES[[#This Row],[descuento sobre subtotal]]-PROVEEDORES[[#This Row],[Descuento sobre subtotal $2]]-PROVEEDORES[[#This Row],[Rete Fuente $]]</f>
        <v>3496000</v>
      </c>
      <c r="S1997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7" s="63">
        <f ca="1">IF(PROVEEDORES[[#This Row],[FECHA DE PAGO]]=0,TODAY()-PROVEEDORES[[#This Row],[FECHA DE FACTURACIÓN]]-PROVEEDORES[[#This Row],[PLAZO Días]],0)</f>
        <v>0</v>
      </c>
      <c r="U1997" s="104">
        <f>+VLOOKUP(PROVEEDORES[[#This Row],[PROVEEDOR]],Terceros!$A:$D,4,FALSE)</f>
        <v>0</v>
      </c>
      <c r="V1997" s="105">
        <f>+YEAR(PROVEEDORES[[#This Row],[FECHA DE FACTURACIÓN]])</f>
        <v>2023</v>
      </c>
      <c r="W1997" s="105">
        <f>+MATCH(PROVEEDORES[[#This Row],[año facturado]],Retenciones!$1:$1,0)</f>
        <v>6</v>
      </c>
      <c r="X1997" s="106">
        <f>+VLOOKUP(PROVEEDORES[[#This Row],[ID RETENCION]],Retenciones!$A$1:$O$25,PROVEEDORES[[#This Row],[indicador de columna]],FALSE)</f>
        <v>0</v>
      </c>
      <c r="Y1997" s="107">
        <f>+VLOOKUP(PROVEEDORES[[#This Row],[ID RETENCION]],Retenciones!$A$1:$O$25,2,FALSE)</f>
        <v>0</v>
      </c>
      <c r="Z1997" s="116" t="b">
        <f>OR(COUNTIF(PROVEEDORES[[#This Row],[PROVEEDOR]],"*"&amp;'Palabra no opera'!$A$2&amp;"*"))</f>
        <v>0</v>
      </c>
    </row>
    <row r="1998" spans="1:26" ht="22.35" customHeight="1" x14ac:dyDescent="0.3">
      <c r="A1998" s="67" t="str">
        <f>+IF(PROVEEDORES[[#This Row],[FECHA DE PAGO]]=PROVEEDORES[[#This Row],[FECHA DE FACTURACIÓN]],"DE CONTADO","CRÉDITO")</f>
        <v>CRÉDITO</v>
      </c>
      <c r="B1998" s="38" t="b">
        <f>+IF((PROVEEDORES[[#This Row],[FECHA DE PAGO]]-PROVEEDORES[[#This Row],[FECHA DE FACTURACIÓN]])&gt;PROVEEDORES[[#This Row],[PLAZO Días]],"PAGO VENCIDO")</f>
        <v>0</v>
      </c>
      <c r="C1998" s="20">
        <f>+VLOOKUP(PROVEEDORES[[#This Row],[PROVEEDOR]],TERCEROS_INFO[#All],2,FALSE)</f>
        <v>30</v>
      </c>
      <c r="D1998" s="25">
        <f>+SUMIFS(PROVEEDORES[Total],PROVEEDORES[PROVEEDOR],PROVEEDORES[[#This Row],[PROVEEDOR]],PROVEEDORES[FECHA DE PAGO],"")</f>
        <v>0</v>
      </c>
      <c r="E1998" s="25"/>
      <c r="F1998" s="56" t="str">
        <f>+VLOOKUP(PROVEEDORES[[#This Row],[PROVEEDOR]],
                       Terceros!$A:$F,
                       5,
                       FALSE)</f>
        <v/>
      </c>
      <c r="G1998" s="68">
        <v>45218</v>
      </c>
      <c r="H1998" s="26" t="s">
        <v>1194</v>
      </c>
      <c r="I1998" s="68">
        <v>45217</v>
      </c>
      <c r="J1998" s="35" t="s">
        <v>2052</v>
      </c>
      <c r="K1998" s="21">
        <v>6764000</v>
      </c>
      <c r="L1998" s="21"/>
      <c r="M1998" s="22">
        <f>(PROVEEDORES[[#This Row],[SUBTOTAL]]-PROVEEDORES[[#This Row],[descuento sobre subtotal]])*VLOOKUP(PROVEEDORES[[#This Row],[PROVEEDOR]],TERCEROS_INFO[#All],3,FALSE)</f>
        <v>0</v>
      </c>
      <c r="N1998" s="23"/>
      <c r="O1998" s="22">
        <f>+PROVEEDORES[[#This Row],[Descuento sobre subtotal %]]*(PROVEEDORES[[#This Row],[SUBTOTAL]]-PROVEEDORES[[#This Row],[descuento sobre subtotal]])</f>
        <v>0</v>
      </c>
      <c r="P1998" s="74">
        <f>+IF(PROVEEDORES[[#This Row],[SUBTOTAL]]&lt;PROVEEDORES[[#This Row],[base retencion]],0,PROVEEDORES[[#This Row],[retención aplicada]])</f>
        <v>0</v>
      </c>
      <c r="Q1998" s="22">
        <f>+PROVEEDORES[[#This Row],[Rete Fuente %]]*(PROVEEDORES[[#This Row],[SUBTOTAL]]-PROVEEDORES[[#This Row],[descuento sobre subtotal]])</f>
        <v>0</v>
      </c>
      <c r="R1998" s="21">
        <f>+PROVEEDORES[[#This Row],[SUBTOTAL]]+PROVEEDORES[[#This Row],[IVA 19%]]-PROVEEDORES[[#This Row],[descuento sobre subtotal]]-PROVEEDORES[[#This Row],[Descuento sobre subtotal $2]]-PROVEEDORES[[#This Row],[Rete Fuente $]]</f>
        <v>6764000</v>
      </c>
      <c r="S19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8" s="63">
        <f ca="1">IF(PROVEEDORES[[#This Row],[FECHA DE PAGO]]=0,TODAY()-PROVEEDORES[[#This Row],[FECHA DE FACTURACIÓN]]-PROVEEDORES[[#This Row],[PLAZO Días]],0)</f>
        <v>0</v>
      </c>
      <c r="U1998" s="104">
        <f>+VLOOKUP(PROVEEDORES[[#This Row],[PROVEEDOR]],Terceros!$A:$D,4,FALSE)</f>
        <v>0</v>
      </c>
      <c r="V1998" s="105">
        <f>+YEAR(PROVEEDORES[[#This Row],[FECHA DE FACTURACIÓN]])</f>
        <v>2023</v>
      </c>
      <c r="W1998" s="105">
        <f>+MATCH(PROVEEDORES[[#This Row],[año facturado]],Retenciones!$1:$1,0)</f>
        <v>6</v>
      </c>
      <c r="X1998" s="106">
        <f>+VLOOKUP(PROVEEDORES[[#This Row],[ID RETENCION]],Retenciones!$A$1:$O$25,PROVEEDORES[[#This Row],[indicador de columna]],FALSE)</f>
        <v>0</v>
      </c>
      <c r="Y1998" s="107">
        <f>+VLOOKUP(PROVEEDORES[[#This Row],[ID RETENCION]],Retenciones!$A$1:$O$25,2,FALSE)</f>
        <v>0</v>
      </c>
      <c r="Z1998" s="116" t="b">
        <f>OR(COUNTIF(PROVEEDORES[[#This Row],[PROVEEDOR]],"*"&amp;'Palabra no opera'!$A$2&amp;"*"))</f>
        <v>0</v>
      </c>
    </row>
    <row r="1999" spans="1:26" ht="22.35" customHeight="1" x14ac:dyDescent="0.3">
      <c r="A1999" s="67" t="str">
        <f>+IF(PROVEEDORES[[#This Row],[FECHA DE PAGO]]=PROVEEDORES[[#This Row],[FECHA DE FACTURACIÓN]],"DE CONTADO","CRÉDITO")</f>
        <v>DE CONTADO</v>
      </c>
      <c r="B1999" s="38" t="b">
        <f>+IF((PROVEEDORES[[#This Row],[FECHA DE PAGO]]-PROVEEDORES[[#This Row],[FECHA DE FACTURACIÓN]])&gt;PROVEEDORES[[#This Row],[PLAZO Días]],"PAGO VENCIDO")</f>
        <v>0</v>
      </c>
      <c r="C1999" s="20">
        <f>+VLOOKUP(PROVEEDORES[[#This Row],[PROVEEDOR]],TERCEROS_INFO[#All],2,FALSE)</f>
        <v>30</v>
      </c>
      <c r="D1999" s="25">
        <f>+SUMIFS(PROVEEDORES[Total],PROVEEDORES[PROVEEDOR],PROVEEDORES[[#This Row],[PROVEEDOR]],PROVEEDORES[FECHA DE PAGO],"")</f>
        <v>0</v>
      </c>
      <c r="E1999" s="25"/>
      <c r="F1999" s="56" t="str">
        <f>+VLOOKUP(PROVEEDORES[[#This Row],[PROVEEDOR]],
                       Terceros!$A:$F,
                       5,
                       FALSE)</f>
        <v/>
      </c>
      <c r="G1999" s="68">
        <v>45218</v>
      </c>
      <c r="H1999" s="26" t="s">
        <v>390</v>
      </c>
      <c r="I1999" s="68">
        <v>45218</v>
      </c>
      <c r="J1999" s="35"/>
      <c r="K1999" s="21">
        <v>1000000</v>
      </c>
      <c r="L1999" s="21"/>
      <c r="M1999" s="22">
        <f>(PROVEEDORES[[#This Row],[SUBTOTAL]]-PROVEEDORES[[#This Row],[descuento sobre subtotal]])*VLOOKUP(PROVEEDORES[[#This Row],[PROVEEDOR]],TERCEROS_INFO[#All],3,FALSE)</f>
        <v>0</v>
      </c>
      <c r="N1999" s="23"/>
      <c r="O1999" s="22">
        <f>+PROVEEDORES[[#This Row],[Descuento sobre subtotal %]]*(PROVEEDORES[[#This Row],[SUBTOTAL]]-PROVEEDORES[[#This Row],[descuento sobre subtotal]])</f>
        <v>0</v>
      </c>
      <c r="P1999" s="74">
        <f>+IF(PROVEEDORES[[#This Row],[SUBTOTAL]]&lt;PROVEEDORES[[#This Row],[base retencion]],0,PROVEEDORES[[#This Row],[retención aplicada]])</f>
        <v>0</v>
      </c>
      <c r="Q1999" s="22">
        <f>+PROVEEDORES[[#This Row],[Rete Fuente %]]*(PROVEEDORES[[#This Row],[SUBTOTAL]]-PROVEEDORES[[#This Row],[descuento sobre subtotal]])</f>
        <v>0</v>
      </c>
      <c r="R199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9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9" s="63">
        <f ca="1">IF(PROVEEDORES[[#This Row],[FECHA DE PAGO]]=0,TODAY()-PROVEEDORES[[#This Row],[FECHA DE FACTURACIÓN]]-PROVEEDORES[[#This Row],[PLAZO Días]],0)</f>
        <v>0</v>
      </c>
      <c r="U1999" s="104">
        <f>+VLOOKUP(PROVEEDORES[[#This Row],[PROVEEDOR]],Terceros!$A:$D,4,FALSE)</f>
        <v>0</v>
      </c>
      <c r="V1999" s="105">
        <f>+YEAR(PROVEEDORES[[#This Row],[FECHA DE FACTURACIÓN]])</f>
        <v>2023</v>
      </c>
      <c r="W1999" s="105">
        <f>+MATCH(PROVEEDORES[[#This Row],[año facturado]],Retenciones!$1:$1,0)</f>
        <v>6</v>
      </c>
      <c r="X1999" s="106">
        <f>+VLOOKUP(PROVEEDORES[[#This Row],[ID RETENCION]],Retenciones!$A$1:$O$25,PROVEEDORES[[#This Row],[indicador de columna]],FALSE)</f>
        <v>0</v>
      </c>
      <c r="Y1999" s="107">
        <f>+VLOOKUP(PROVEEDORES[[#This Row],[ID RETENCION]],Retenciones!$A$1:$O$25,2,FALSE)</f>
        <v>0</v>
      </c>
      <c r="Z1999" s="116" t="b">
        <f>OR(COUNTIF(PROVEEDORES[[#This Row],[PROVEEDOR]],"*"&amp;'Palabra no opera'!$A$2&amp;"*"))</f>
        <v>0</v>
      </c>
    </row>
    <row r="2000" spans="1:26" ht="22.35" customHeight="1" x14ac:dyDescent="0.3">
      <c r="A2000" s="349" t="str">
        <f>+IF(PROVEEDORES[[#This Row],[FECHA DE PAGO]]=PROVEEDORES[[#This Row],[FECHA DE FACTURACIÓN]],"DE CONTADO","CRÉDITO")</f>
        <v>CRÉDITO</v>
      </c>
      <c r="B2000" s="38" t="str">
        <f>+IF((PROVEEDORES[[#This Row],[FECHA DE PAGO]]-PROVEEDORES[[#This Row],[FECHA DE FACTURACIÓN]])&gt;PROVEEDORES[[#This Row],[PLAZO Días]],"PAGO VENCIDO")</f>
        <v>PAGO VENCIDO</v>
      </c>
      <c r="C2000" s="20">
        <f>+VLOOKUP(PROVEEDORES[[#This Row],[PROVEEDOR]],TERCEROS_INFO[#All],2,FALSE)</f>
        <v>30</v>
      </c>
      <c r="D2000" s="25">
        <f>+SUMIFS(PROVEEDORES[Total],PROVEEDORES[PROVEEDOR],PROVEEDORES[[#This Row],[PROVEEDOR]],PROVEEDORES[FECHA DE PAGO],"")</f>
        <v>0</v>
      </c>
      <c r="E2000" s="25"/>
      <c r="F2000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2000" s="68">
        <v>45218</v>
      </c>
      <c r="H2000" s="26" t="s">
        <v>1622</v>
      </c>
      <c r="I2000" s="68">
        <v>45153</v>
      </c>
      <c r="J2000" s="35">
        <v>31505</v>
      </c>
      <c r="K2000" s="21">
        <v>116000</v>
      </c>
      <c r="L2000" s="21"/>
      <c r="M2000" s="22">
        <f>(PROVEEDORES[[#This Row],[SUBTOTAL]]-PROVEEDORES[[#This Row],[descuento sobre subtotal]])*VLOOKUP(PROVEEDORES[[#This Row],[PROVEEDOR]],TERCEROS_INFO[#All],3,FALSE)</f>
        <v>0</v>
      </c>
      <c r="N2000" s="23"/>
      <c r="O2000" s="22">
        <f>+PROVEEDORES[[#This Row],[Descuento sobre subtotal %]]*(PROVEEDORES[[#This Row],[SUBTOTAL]]-PROVEEDORES[[#This Row],[descuento sobre subtotal]])</f>
        <v>0</v>
      </c>
      <c r="P2000" s="74">
        <f>+IF(PROVEEDORES[[#This Row],[SUBTOTAL]]&lt;PROVEEDORES[[#This Row],[base retencion]],0,PROVEEDORES[[#This Row],[retención aplicada]])</f>
        <v>0</v>
      </c>
      <c r="Q2000" s="22">
        <f>+PROVEEDORES[[#This Row],[Rete Fuente %]]*(PROVEEDORES[[#This Row],[SUBTOTAL]]-PROVEEDORES[[#This Row],[descuento sobre subtotal]])</f>
        <v>0</v>
      </c>
      <c r="R2000" s="21">
        <f>+PROVEEDORES[[#This Row],[SUBTOTAL]]+PROVEEDORES[[#This Row],[IVA 19%]]-PROVEEDORES[[#This Row],[descuento sobre subtotal]]-PROVEEDORES[[#This Row],[Descuento sobre subtotal $2]]-PROVEEDORES[[#This Row],[Rete Fuente $]]</f>
        <v>116000</v>
      </c>
      <c r="S2000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0" s="63">
        <f ca="1">IF(PROVEEDORES[[#This Row],[FECHA DE PAGO]]=0,TODAY()-PROVEEDORES[[#This Row],[FECHA DE FACTURACIÓN]]-PROVEEDORES[[#This Row],[PLAZO Días]],0)</f>
        <v>0</v>
      </c>
      <c r="U2000" s="104">
        <f>+VLOOKUP(PROVEEDORES[[#This Row],[PROVEEDOR]],Terceros!$A:$D,4,FALSE)</f>
        <v>0</v>
      </c>
      <c r="V2000" s="105">
        <f>+YEAR(PROVEEDORES[[#This Row],[FECHA DE FACTURACIÓN]])</f>
        <v>2023</v>
      </c>
      <c r="W2000" s="105">
        <f>+MATCH(PROVEEDORES[[#This Row],[año facturado]],Retenciones!$1:$1,0)</f>
        <v>6</v>
      </c>
      <c r="X2000" s="106">
        <f>+VLOOKUP(PROVEEDORES[[#This Row],[ID RETENCION]],Retenciones!$A$1:$O$25,PROVEEDORES[[#This Row],[indicador de columna]],FALSE)</f>
        <v>0</v>
      </c>
      <c r="Y2000" s="107">
        <f>+VLOOKUP(PROVEEDORES[[#This Row],[ID RETENCION]],Retenciones!$A$1:$O$25,2,FALSE)</f>
        <v>0</v>
      </c>
      <c r="Z2000" s="116" t="b">
        <f>OR(COUNTIF(PROVEEDORES[[#This Row],[PROVEEDOR]],"*"&amp;'Palabra no opera'!$A$2&amp;"*"))</f>
        <v>0</v>
      </c>
    </row>
    <row r="2001" spans="1:26" ht="22.35" customHeight="1" x14ac:dyDescent="0.3">
      <c r="A2001" s="351" t="str">
        <f>+IF(PROVEEDORES[[#This Row],[FECHA DE PAGO]]=PROVEEDORES[[#This Row],[FECHA DE FACTURACIÓN]],"DE CONTADO","CRÉDITO")</f>
        <v>CRÉDITO</v>
      </c>
      <c r="B2001" s="38" t="str">
        <f>+IF((PROVEEDORES[[#This Row],[FECHA DE PAGO]]-PROVEEDORES[[#This Row],[FECHA DE FACTURACIÓN]])&gt;PROVEEDORES[[#This Row],[PLAZO Días]],"PAGO VENCIDO")</f>
        <v>PAGO VENCIDO</v>
      </c>
      <c r="C2001" s="20">
        <f>+VLOOKUP(PROVEEDORES[[#This Row],[PROVEEDOR]],TERCEROS_INFO[#All],2,FALSE)</f>
        <v>30</v>
      </c>
      <c r="D2001" s="25">
        <f>+SUMIFS(PROVEEDORES[Total],PROVEEDORES[PROVEEDOR],PROVEEDORES[[#This Row],[PROVEEDOR]],PROVEEDORES[FECHA DE PAGO],"")</f>
        <v>1125118.8199999998</v>
      </c>
      <c r="E2001" s="25"/>
      <c r="F2001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2001" s="68">
        <v>45218</v>
      </c>
      <c r="H2001" s="26" t="s">
        <v>279</v>
      </c>
      <c r="I2001" s="68">
        <v>45169</v>
      </c>
      <c r="J2001" s="35" t="s">
        <v>1932</v>
      </c>
      <c r="K2001" s="21">
        <v>1181915</v>
      </c>
      <c r="L2001" s="21"/>
      <c r="M2001" s="22">
        <f>(PROVEEDORES[[#This Row],[SUBTOTAL]]-PROVEEDORES[[#This Row],[descuento sobre subtotal]])*VLOOKUP(PROVEEDORES[[#This Row],[PROVEEDOR]],TERCEROS_INFO[#All],3,FALSE)</f>
        <v>224563.85</v>
      </c>
      <c r="N2001" s="23"/>
      <c r="O2001" s="22">
        <f>+PROVEEDORES[[#This Row],[Descuento sobre subtotal %]]*(PROVEEDORES[[#This Row],[SUBTOTAL]]-PROVEEDORES[[#This Row],[descuento sobre subtotal]])</f>
        <v>0</v>
      </c>
      <c r="P2001" s="74">
        <f>+IF(PROVEEDORES[[#This Row],[SUBTOTAL]]&lt;PROVEEDORES[[#This Row],[base retencion]],0,PROVEEDORES[[#This Row],[retención aplicada]])</f>
        <v>2.5000000000000001E-2</v>
      </c>
      <c r="Q2001" s="22">
        <f>+PROVEEDORES[[#This Row],[Rete Fuente %]]*(PROVEEDORES[[#This Row],[SUBTOTAL]]-PROVEEDORES[[#This Row],[descuento sobre subtotal]])</f>
        <v>29547.875</v>
      </c>
      <c r="R2001" s="21">
        <f>+PROVEEDORES[[#This Row],[SUBTOTAL]]+PROVEEDORES[[#This Row],[IVA 19%]]-PROVEEDORES[[#This Row],[descuento sobre subtotal]]-PROVEEDORES[[#This Row],[Descuento sobre subtotal $2]]-PROVEEDORES[[#This Row],[Rete Fuente $]]</f>
        <v>1376930.9750000001</v>
      </c>
      <c r="S2001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1" s="63">
        <f ca="1">IF(PROVEEDORES[[#This Row],[FECHA DE PAGO]]=0,TODAY()-PROVEEDORES[[#This Row],[FECHA DE FACTURACIÓN]]-PROVEEDORES[[#This Row],[PLAZO Días]],0)</f>
        <v>0</v>
      </c>
      <c r="U2001" s="104" t="str">
        <f>+VLOOKUP(PROVEEDORES[[#This Row],[PROVEEDOR]],Terceros!$A:$D,4,FALSE)</f>
        <v>2,5% con base</v>
      </c>
      <c r="V2001" s="105">
        <f>+YEAR(PROVEEDORES[[#This Row],[FECHA DE FACTURACIÓN]])</f>
        <v>2023</v>
      </c>
      <c r="W2001" s="105">
        <f>+MATCH(PROVEEDORES[[#This Row],[año facturado]],Retenciones!$1:$1,0)</f>
        <v>6</v>
      </c>
      <c r="X2001" s="106">
        <f>+VLOOKUP(PROVEEDORES[[#This Row],[ID RETENCION]],Retenciones!$A$1:$O$25,PROVEEDORES[[#This Row],[indicador de columna]],FALSE)</f>
        <v>1145000</v>
      </c>
      <c r="Y2001" s="107">
        <f>+VLOOKUP(PROVEEDORES[[#This Row],[ID RETENCION]],Retenciones!$A$1:$O$25,2,FALSE)</f>
        <v>2.5000000000000001E-2</v>
      </c>
      <c r="Z2001" s="116" t="b">
        <f>OR(COUNTIF(PROVEEDORES[[#This Row],[PROVEEDOR]],"*"&amp;'Palabra no opera'!$A$2&amp;"*"))</f>
        <v>0</v>
      </c>
    </row>
    <row r="2002" spans="1:26" ht="22.35" customHeight="1" x14ac:dyDescent="0.3">
      <c r="A2002" s="370" t="str">
        <f>+IF(PROVEEDORES[[#This Row],[FECHA DE PAGO]]=PROVEEDORES[[#This Row],[FECHA DE FACTURACIÓN]],"DE CONTADO","CRÉDITO")</f>
        <v>CRÉDITO</v>
      </c>
      <c r="B2002" s="38" t="b">
        <f>+IF((PROVEEDORES[[#This Row],[FECHA DE PAGO]]-PROVEEDORES[[#This Row],[FECHA DE FACTURACIÓN]])&gt;PROVEEDORES[[#This Row],[PLAZO Días]],"PAGO VENCIDO")</f>
        <v>0</v>
      </c>
      <c r="C2002" s="20">
        <f>+VLOOKUP(PROVEEDORES[[#This Row],[PROVEEDOR]],TERCEROS_INFO[#All],2,FALSE)</f>
        <v>30</v>
      </c>
      <c r="D2002" s="25">
        <f>+SUMIFS(PROVEEDORES[Total],PROVEEDORES[PROVEEDOR],PROVEEDORES[[#This Row],[PROVEEDOR]],PROVEEDORES[FECHA DE PAGO],"")</f>
        <v>0</v>
      </c>
      <c r="E2002" s="25"/>
      <c r="F2002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002" s="68">
        <v>45218</v>
      </c>
      <c r="H2002" s="26" t="s">
        <v>628</v>
      </c>
      <c r="I2002" s="68">
        <v>45201</v>
      </c>
      <c r="J2002" s="35" t="s">
        <v>2025</v>
      </c>
      <c r="K2002" s="21">
        <v>1840056</v>
      </c>
      <c r="L2002" s="21"/>
      <c r="M2002" s="22">
        <f>(PROVEEDORES[[#This Row],[SUBTOTAL]]-PROVEEDORES[[#This Row],[descuento sobre subtotal]])*VLOOKUP(PROVEEDORES[[#This Row],[PROVEEDOR]],TERCEROS_INFO[#All],3,FALSE)</f>
        <v>0</v>
      </c>
      <c r="N2002" s="23"/>
      <c r="O2002" s="22">
        <v>105097</v>
      </c>
      <c r="P2002" s="74">
        <f>+IF(PROVEEDORES[[#This Row],[SUBTOTAL]]&lt;PROVEEDORES[[#This Row],[base retencion]],0,PROVEEDORES[[#This Row],[retención aplicada]])</f>
        <v>0</v>
      </c>
      <c r="Q2002" s="22">
        <f>+PROVEEDORES[[#This Row],[Rete Fuente %]]*(PROVEEDORES[[#This Row],[SUBTOTAL]]-PROVEEDORES[[#This Row],[descuento sobre subtotal]])</f>
        <v>0</v>
      </c>
      <c r="R2002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2002" s="3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2" s="63">
        <f ca="1">IF(PROVEEDORES[[#This Row],[FECHA DE PAGO]]=0,TODAY()-PROVEEDORES[[#This Row],[FECHA DE FACTURACIÓN]]-PROVEEDORES[[#This Row],[PLAZO Días]],0)</f>
        <v>0</v>
      </c>
      <c r="U2002" s="104">
        <f>+VLOOKUP(PROVEEDORES[[#This Row],[PROVEEDOR]],Terceros!$A:$D,4,FALSE)</f>
        <v>0</v>
      </c>
      <c r="V2002" s="105">
        <f>+YEAR(PROVEEDORES[[#This Row],[FECHA DE FACTURACIÓN]])</f>
        <v>2023</v>
      </c>
      <c r="W2002" s="105">
        <f>+MATCH(PROVEEDORES[[#This Row],[año facturado]],Retenciones!$1:$1,0)</f>
        <v>6</v>
      </c>
      <c r="X2002" s="106">
        <f>+VLOOKUP(PROVEEDORES[[#This Row],[ID RETENCION]],Retenciones!$A$1:$O$25,PROVEEDORES[[#This Row],[indicador de columna]],FALSE)</f>
        <v>0</v>
      </c>
      <c r="Y2002" s="107">
        <f>+VLOOKUP(PROVEEDORES[[#This Row],[ID RETENCION]],Retenciones!$A$1:$O$25,2,FALSE)</f>
        <v>0</v>
      </c>
      <c r="Z2002" s="116" t="b">
        <f>OR(COUNTIF(PROVEEDORES[[#This Row],[PROVEEDOR]],"*"&amp;'Palabra no opera'!$A$2&amp;"*"))</f>
        <v>1</v>
      </c>
    </row>
    <row r="2003" spans="1:26" ht="22.35" customHeight="1" x14ac:dyDescent="0.3">
      <c r="A2003" s="370" t="str">
        <f>+IF(PROVEEDORES[[#This Row],[FECHA DE PAGO]]=PROVEEDORES[[#This Row],[FECHA DE FACTURACIÓN]],"DE CONTADO","CRÉDITO")</f>
        <v>CRÉDITO</v>
      </c>
      <c r="B2003" s="38" t="b">
        <f>+IF((PROVEEDORES[[#This Row],[FECHA DE PAGO]]-PROVEEDORES[[#This Row],[FECHA DE FACTURACIÓN]])&gt;PROVEEDORES[[#This Row],[PLAZO Días]],"PAGO VENCIDO")</f>
        <v>0</v>
      </c>
      <c r="C2003" s="20">
        <f>+VLOOKUP(PROVEEDORES[[#This Row],[PROVEEDOR]],TERCEROS_INFO[#All],2,FALSE)</f>
        <v>30</v>
      </c>
      <c r="D2003" s="25">
        <f>+SUMIFS(PROVEEDORES[Total],PROVEEDORES[PROVEEDOR],PROVEEDORES[[#This Row],[PROVEEDOR]],PROVEEDORES[FECHA DE PAGO],"")</f>
        <v>352505.48</v>
      </c>
      <c r="E2003" s="25"/>
      <c r="F2003" s="56" t="str">
        <f>+VLOOKUP(PROVEEDORES[[#This Row],[PROVEEDOR]],
                       Terceros!$A:$F,
                       5,
                       FALSE)</f>
        <v>facturacion@losmolinos.com.co</v>
      </c>
      <c r="G2003" s="68">
        <v>45218</v>
      </c>
      <c r="H2003" s="26" t="s">
        <v>631</v>
      </c>
      <c r="I2003" s="68">
        <v>45200</v>
      </c>
      <c r="J2003" s="35" t="s">
        <v>2024</v>
      </c>
      <c r="K2003" s="21">
        <v>318603</v>
      </c>
      <c r="L2003" s="21">
        <v>9545</v>
      </c>
      <c r="M2003" s="22">
        <f>(PROVEEDORES[[#This Row],[SUBTOTAL]]-PROVEEDORES[[#This Row],[descuento sobre subtotal]])*VLOOKUP(PROVEEDORES[[#This Row],[PROVEEDOR]],TERCEROS_INFO[#All],3,FALSE)</f>
        <v>0</v>
      </c>
      <c r="N2003" s="23"/>
      <c r="O2003" s="22">
        <f>+PROVEEDORES[[#This Row],[Descuento sobre subtotal %]]*(PROVEEDORES[[#This Row],[SUBTOTAL]]-PROVEEDORES[[#This Row],[descuento sobre subtotal]])</f>
        <v>0</v>
      </c>
      <c r="P2003" s="74">
        <f>+IF(PROVEEDORES[[#This Row],[SUBTOTAL]]&lt;PROVEEDORES[[#This Row],[base retencion]],0,PROVEEDORES[[#This Row],[retención aplicada]])</f>
        <v>0</v>
      </c>
      <c r="Q2003" s="22">
        <f>+PROVEEDORES[[#This Row],[Rete Fuente %]]*(PROVEEDORES[[#This Row],[SUBTOTAL]]-PROVEEDORES[[#This Row],[descuento sobre subtotal]])</f>
        <v>0</v>
      </c>
      <c r="R2003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2003" s="3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3" s="63">
        <f ca="1">IF(PROVEEDORES[[#This Row],[FECHA DE PAGO]]=0,TODAY()-PROVEEDORES[[#This Row],[FECHA DE FACTURACIÓN]]-PROVEEDORES[[#This Row],[PLAZO Días]],0)</f>
        <v>0</v>
      </c>
      <c r="U2003" s="104">
        <f>+VLOOKUP(PROVEEDORES[[#This Row],[PROVEEDOR]],Terceros!$A:$D,4,FALSE)</f>
        <v>0</v>
      </c>
      <c r="V2003" s="105">
        <f>+YEAR(PROVEEDORES[[#This Row],[FECHA DE FACTURACIÓN]])</f>
        <v>2023</v>
      </c>
      <c r="W2003" s="105">
        <f>+MATCH(PROVEEDORES[[#This Row],[año facturado]],Retenciones!$1:$1,0)</f>
        <v>6</v>
      </c>
      <c r="X2003" s="106">
        <f>+VLOOKUP(PROVEEDORES[[#This Row],[ID RETENCION]],Retenciones!$A$1:$O$25,PROVEEDORES[[#This Row],[indicador de columna]],FALSE)</f>
        <v>0</v>
      </c>
      <c r="Y2003" s="107">
        <f>+VLOOKUP(PROVEEDORES[[#This Row],[ID RETENCION]],Retenciones!$A$1:$O$25,2,FALSE)</f>
        <v>0</v>
      </c>
      <c r="Z2003" s="116" t="b">
        <f>OR(COUNTIF(PROVEEDORES[[#This Row],[PROVEEDOR]],"*"&amp;'Palabra no opera'!$A$2&amp;"*"))</f>
        <v>1</v>
      </c>
    </row>
    <row r="2004" spans="1:26" ht="22.35" customHeight="1" x14ac:dyDescent="0.3">
      <c r="A2004" s="67" t="str">
        <f>+IF(PROVEEDORES[[#This Row],[FECHA DE PAGO]]=PROVEEDORES[[#This Row],[FECHA DE FACTURACIÓN]],"DE CONTADO","CRÉDITO")</f>
        <v>CRÉDITO</v>
      </c>
      <c r="B2004" s="38" t="str">
        <f>+IF((PROVEEDORES[[#This Row],[FECHA DE PAGO]]-PROVEEDORES[[#This Row],[FECHA DE FACTURACIÓN]])&gt;PROVEEDORES[[#This Row],[PLAZO Días]],"PAGO VENCIDO")</f>
        <v>PAGO VENCIDO</v>
      </c>
      <c r="C2004" s="20">
        <f>+VLOOKUP(PROVEEDORES[[#This Row],[PROVEEDOR]],TERCEROS_INFO[#All],2,FALSE)</f>
        <v>30</v>
      </c>
      <c r="D2004" s="25">
        <f>+SUMIFS(PROVEEDORES[Total],PROVEEDORES[PROVEEDOR],PROVEEDORES[[#This Row],[PROVEEDOR]],PROVEEDORES[FECHA DE PAGO],"")</f>
        <v>8306450</v>
      </c>
      <c r="E2004" s="25"/>
      <c r="F2004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2004" s="68">
        <v>45218</v>
      </c>
      <c r="H2004" s="26" t="s">
        <v>1606</v>
      </c>
      <c r="I2004" s="68">
        <v>45154</v>
      </c>
      <c r="J2004" s="35" t="s">
        <v>1911</v>
      </c>
      <c r="K2004" s="21">
        <v>6870000</v>
      </c>
      <c r="L2004" s="21"/>
      <c r="M2004" s="22">
        <f>(PROVEEDORES[[#This Row],[SUBTOTAL]]-PROVEEDORES[[#This Row],[descuento sobre subtotal]])*VLOOKUP(PROVEEDORES[[#This Row],[PROVEEDOR]],TERCEROS_INFO[#All],3,FALSE)</f>
        <v>1305300</v>
      </c>
      <c r="N2004" s="23"/>
      <c r="O2004" s="22">
        <f>+PROVEEDORES[[#This Row],[Descuento sobre subtotal %]]*(PROVEEDORES[[#This Row],[SUBTOTAL]]-PROVEEDORES[[#This Row],[descuento sobre subtotal]])</f>
        <v>0</v>
      </c>
      <c r="P2004" s="74">
        <f>+IF(PROVEEDORES[[#This Row],[SUBTOTAL]]&lt;PROVEEDORES[[#This Row],[base retencion]],0,PROVEEDORES[[#This Row],[retención aplicada]])</f>
        <v>2.5000000000000001E-2</v>
      </c>
      <c r="Q2004" s="22">
        <f>+PROVEEDORES[[#This Row],[Rete Fuente %]]*(PROVEEDORES[[#This Row],[SUBTOTAL]]-PROVEEDORES[[#This Row],[descuento sobre subtotal]])</f>
        <v>171750</v>
      </c>
      <c r="R2004" s="21">
        <f>+PROVEEDORES[[#This Row],[SUBTOTAL]]+PROVEEDORES[[#This Row],[IVA 19%]]-PROVEEDORES[[#This Row],[descuento sobre subtotal]]-PROVEEDORES[[#This Row],[Descuento sobre subtotal $2]]-PROVEEDORES[[#This Row],[Rete Fuente $]]</f>
        <v>8003550</v>
      </c>
      <c r="S20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4" s="63">
        <f ca="1">IF(PROVEEDORES[[#This Row],[FECHA DE PAGO]]=0,TODAY()-PROVEEDORES[[#This Row],[FECHA DE FACTURACIÓN]]-PROVEEDORES[[#This Row],[PLAZO Días]],0)</f>
        <v>0</v>
      </c>
      <c r="U2004" s="104" t="str">
        <f>+VLOOKUP(PROVEEDORES[[#This Row],[PROVEEDOR]],Terceros!$A:$D,4,FALSE)</f>
        <v>2,5% con base</v>
      </c>
      <c r="V2004" s="105">
        <f>+YEAR(PROVEEDORES[[#This Row],[FECHA DE FACTURACIÓN]])</f>
        <v>2023</v>
      </c>
      <c r="W2004" s="105">
        <f>+MATCH(PROVEEDORES[[#This Row],[año facturado]],Retenciones!$1:$1,0)</f>
        <v>6</v>
      </c>
      <c r="X2004" s="106">
        <f>+VLOOKUP(PROVEEDORES[[#This Row],[ID RETENCION]],Retenciones!$A$1:$O$25,PROVEEDORES[[#This Row],[indicador de columna]],FALSE)</f>
        <v>1145000</v>
      </c>
      <c r="Y2004" s="107">
        <f>+VLOOKUP(PROVEEDORES[[#This Row],[ID RETENCION]],Retenciones!$A$1:$O$25,2,FALSE)</f>
        <v>2.5000000000000001E-2</v>
      </c>
      <c r="Z2004" s="116" t="b">
        <f>OR(COUNTIF(PROVEEDORES[[#This Row],[PROVEEDOR]],"*"&amp;'Palabra no opera'!$A$2&amp;"*"))</f>
        <v>0</v>
      </c>
    </row>
    <row r="2005" spans="1:26" ht="22.35" customHeight="1" x14ac:dyDescent="0.3">
      <c r="A2005" s="370" t="str">
        <f>+IF(PROVEEDORES[[#This Row],[FECHA DE PAGO]]=PROVEEDORES[[#This Row],[FECHA DE FACTURACIÓN]],"DE CONTADO","CRÉDITO")</f>
        <v>CRÉDITO</v>
      </c>
      <c r="B2005" s="38" t="b">
        <f>+IF((PROVEEDORES[[#This Row],[FECHA DE PAGO]]-PROVEEDORES[[#This Row],[FECHA DE FACTURACIÓN]])&gt;PROVEEDORES[[#This Row],[PLAZO Días]],"PAGO VENCIDO")</f>
        <v>0</v>
      </c>
      <c r="C2005" s="20">
        <f>+VLOOKUP(PROVEEDORES[[#This Row],[PROVEEDOR]],TERCEROS_INFO[#All],2,FALSE)</f>
        <v>30</v>
      </c>
      <c r="D2005" s="25">
        <f>+SUMIFS(PROVEEDORES[Total],PROVEEDORES[PROVEEDOR],PROVEEDORES[[#This Row],[PROVEEDOR]],PROVEEDORES[FECHA DE PAGO],"")</f>
        <v>0</v>
      </c>
      <c r="E2005" s="25"/>
      <c r="F2005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005" s="68">
        <v>45218</v>
      </c>
      <c r="H2005" s="26" t="s">
        <v>638</v>
      </c>
      <c r="I2005" s="68">
        <v>45200</v>
      </c>
      <c r="J2005" s="35" t="s">
        <v>2035</v>
      </c>
      <c r="K2005" s="21">
        <v>3935776</v>
      </c>
      <c r="L2005" s="21"/>
      <c r="M2005" s="22">
        <v>665000</v>
      </c>
      <c r="N2005" s="23"/>
      <c r="O2005" s="22">
        <f>+PROVEEDORES[[#This Row],[Descuento sobre subtotal %]]*(PROVEEDORES[[#This Row],[SUBTOTAL]]-PROVEEDORES[[#This Row],[descuento sobre subtotal]])</f>
        <v>0</v>
      </c>
      <c r="P2005" s="74">
        <f>+IF(PROVEEDORES[[#This Row],[SUBTOTAL]]&lt;PROVEEDORES[[#This Row],[base retencion]],0,PROVEEDORES[[#This Row],[retención aplicada]])</f>
        <v>3.5000000000000003E-2</v>
      </c>
      <c r="Q2005" s="22"/>
      <c r="R2005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2005" s="3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5" s="63">
        <f ca="1">IF(PROVEEDORES[[#This Row],[FECHA DE PAGO]]=0,TODAY()-PROVEEDORES[[#This Row],[FECHA DE FACTURACIÓN]]-PROVEEDORES[[#This Row],[PLAZO Días]],0)</f>
        <v>0</v>
      </c>
      <c r="U2005" s="104" t="str">
        <f>+VLOOKUP(PROVEEDORES[[#This Row],[PROVEEDOR]],Terceros!$A:$D,4,FALSE)</f>
        <v>3,5% sin base</v>
      </c>
      <c r="V2005" s="105">
        <f>+YEAR(PROVEEDORES[[#This Row],[FECHA DE FACTURACIÓN]])</f>
        <v>2023</v>
      </c>
      <c r="W2005" s="105">
        <f>+MATCH(PROVEEDORES[[#This Row],[año facturado]],Retenciones!$1:$1,0)</f>
        <v>6</v>
      </c>
      <c r="X2005" s="106">
        <f>+VLOOKUP(PROVEEDORES[[#This Row],[ID RETENCION]],Retenciones!$A$1:$O$25,PROVEEDORES[[#This Row],[indicador de columna]],FALSE)</f>
        <v>0</v>
      </c>
      <c r="Y2005" s="107">
        <f>+VLOOKUP(PROVEEDORES[[#This Row],[ID RETENCION]],Retenciones!$A$1:$O$25,2,FALSE)</f>
        <v>3.5000000000000003E-2</v>
      </c>
      <c r="Z2005" s="116" t="b">
        <f>OR(COUNTIF(PROVEEDORES[[#This Row],[PROVEEDOR]],"*"&amp;'Palabra no opera'!$A$2&amp;"*"))</f>
        <v>1</v>
      </c>
    </row>
    <row r="2006" spans="1:26" ht="22.35" customHeight="1" x14ac:dyDescent="0.3">
      <c r="A2006" s="67" t="str">
        <f>+IF(PROVEEDORES[[#This Row],[FECHA DE PAGO]]=PROVEEDORES[[#This Row],[FECHA DE FACTURACIÓN]],"DE CONTADO","CRÉDITO")</f>
        <v>CRÉDITO</v>
      </c>
      <c r="B2006" s="38" t="b">
        <f>+IF((PROVEEDORES[[#This Row],[FECHA DE PAGO]]-PROVEEDORES[[#This Row],[FECHA DE FACTURACIÓN]])&gt;PROVEEDORES[[#This Row],[PLAZO Días]],"PAGO VENCIDO")</f>
        <v>0</v>
      </c>
      <c r="C2006" s="20">
        <f>+VLOOKUP(PROVEEDORES[[#This Row],[PROVEEDOR]],TERCEROS_INFO[#All],2,FALSE)</f>
        <v>30</v>
      </c>
      <c r="D2006" s="25">
        <f>+SUMIFS(PROVEEDORES[Total],PROVEEDORES[PROVEEDOR],PROVEEDORES[[#This Row],[PROVEEDOR]],PROVEEDORES[FECHA DE PAGO],"")</f>
        <v>0</v>
      </c>
      <c r="E2006" s="25"/>
      <c r="F2006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006" s="68">
        <v>45218</v>
      </c>
      <c r="H2006" s="26" t="s">
        <v>651</v>
      </c>
      <c r="I2006" s="68">
        <v>45200</v>
      </c>
      <c r="J2006" s="35" t="s">
        <v>2026</v>
      </c>
      <c r="K2006" s="21">
        <v>243611</v>
      </c>
      <c r="L2006" s="21"/>
      <c r="M2006" s="22">
        <f>(PROVEEDORES[[#This Row],[SUBTOTAL]]-PROVEEDORES[[#This Row],[descuento sobre subtotal]])*VLOOKUP(PROVEEDORES[[#This Row],[PROVEEDOR]],TERCEROS_INFO[#All],3,FALSE)</f>
        <v>46286.090000000004</v>
      </c>
      <c r="N2006" s="23"/>
      <c r="O2006" s="22">
        <f>+PROVEEDORES[[#This Row],[Descuento sobre subtotal %]]*(PROVEEDORES[[#This Row],[SUBTOTAL]]-PROVEEDORES[[#This Row],[descuento sobre subtotal]])</f>
        <v>0</v>
      </c>
      <c r="P2006" s="74">
        <f>+IF(PROVEEDORES[[#This Row],[SUBTOTAL]]&lt;PROVEEDORES[[#This Row],[base retencion]],0,PROVEEDORES[[#This Row],[retención aplicada]])</f>
        <v>3.5000000000000003E-2</v>
      </c>
      <c r="Q2006" s="22">
        <f>+PROVEEDORES[[#This Row],[Rete Fuente %]]*(PROVEEDORES[[#This Row],[SUBTOTAL]]-PROVEEDORES[[#This Row],[descuento sobre subtotal]])</f>
        <v>8526.3850000000002</v>
      </c>
      <c r="R2006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20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6" s="63">
        <f ca="1">IF(PROVEEDORES[[#This Row],[FECHA DE PAGO]]=0,TODAY()-PROVEEDORES[[#This Row],[FECHA DE FACTURACIÓN]]-PROVEEDORES[[#This Row],[PLAZO Días]],0)</f>
        <v>0</v>
      </c>
      <c r="U2006" s="104" t="str">
        <f>+VLOOKUP(PROVEEDORES[[#This Row],[PROVEEDOR]],Terceros!$A:$D,4,FALSE)</f>
        <v>3,5% sin base</v>
      </c>
      <c r="V2006" s="105">
        <f>+YEAR(PROVEEDORES[[#This Row],[FECHA DE FACTURACIÓN]])</f>
        <v>2023</v>
      </c>
      <c r="W2006" s="105">
        <f>+MATCH(PROVEEDORES[[#This Row],[año facturado]],Retenciones!$1:$1,0)</f>
        <v>6</v>
      </c>
      <c r="X2006" s="106">
        <f>+VLOOKUP(PROVEEDORES[[#This Row],[ID RETENCION]],Retenciones!$A$1:$O$25,PROVEEDORES[[#This Row],[indicador de columna]],FALSE)</f>
        <v>0</v>
      </c>
      <c r="Y2006" s="107">
        <f>+VLOOKUP(PROVEEDORES[[#This Row],[ID RETENCION]],Retenciones!$A$1:$O$25,2,FALSE)</f>
        <v>3.5000000000000003E-2</v>
      </c>
      <c r="Z2006" s="116" t="b">
        <f>OR(COUNTIF(PROVEEDORES[[#This Row],[PROVEEDOR]],"*"&amp;'Palabra no opera'!$A$2&amp;"*"))</f>
        <v>1</v>
      </c>
    </row>
    <row r="2007" spans="1:26" ht="22.35" customHeight="1" x14ac:dyDescent="0.3">
      <c r="A2007" s="370" t="str">
        <f>+IF(PROVEEDORES[[#This Row],[FECHA DE PAGO]]=PROVEEDORES[[#This Row],[FECHA DE FACTURACIÓN]],"DE CONTADO","CRÉDITO")</f>
        <v>CRÉDITO</v>
      </c>
      <c r="B2007" s="38" t="str">
        <f>+IF((PROVEEDORES[[#This Row],[FECHA DE PAGO]]-PROVEEDORES[[#This Row],[FECHA DE FACTURACIÓN]])&gt;PROVEEDORES[[#This Row],[PLAZO Días]],"PAGO VENCIDO")</f>
        <v>PAGO VENCIDO</v>
      </c>
      <c r="C2007" s="20">
        <f>+VLOOKUP(PROVEEDORES[[#This Row],[PROVEEDOR]],TERCEROS_INFO[#All],2,FALSE)</f>
        <v>10</v>
      </c>
      <c r="D2007" s="25">
        <f>+SUMIFS(PROVEEDORES[Total],PROVEEDORES[PROVEEDOR],PROVEEDORES[[#This Row],[PROVEEDOR]],PROVEEDORES[FECHA DE PAGO],"")</f>
        <v>0</v>
      </c>
      <c r="E2007" s="25"/>
      <c r="F2007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007" s="68">
        <v>45218</v>
      </c>
      <c r="H2007" s="26" t="s">
        <v>1202</v>
      </c>
      <c r="I2007" s="68">
        <v>45200</v>
      </c>
      <c r="J2007" s="35" t="s">
        <v>2023</v>
      </c>
      <c r="K2007" s="21">
        <v>5350576</v>
      </c>
      <c r="L2007" s="21"/>
      <c r="M2007" s="22">
        <v>1016609</v>
      </c>
      <c r="N2007" s="23"/>
      <c r="O2007" s="22">
        <f>+PROVEEDORES[[#This Row],[Descuento sobre subtotal %]]*(PROVEEDORES[[#This Row],[SUBTOTAL]]-PROVEEDORES[[#This Row],[descuento sobre subtotal]])</f>
        <v>0</v>
      </c>
      <c r="P2007" s="74">
        <f>+IF(PROVEEDORES[[#This Row],[SUBTOTAL]]&lt;PROVEEDORES[[#This Row],[base retencion]],0,PROVEEDORES[[#This Row],[retención aplicada]])</f>
        <v>0</v>
      </c>
      <c r="Q2007" s="22">
        <f>+PROVEEDORES[[#This Row],[Rete Fuente %]]*(PROVEEDORES[[#This Row],[SUBTOTAL]]-PROVEEDORES[[#This Row],[descuento sobre subtotal]])</f>
        <v>0</v>
      </c>
      <c r="R2007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2007" s="3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7" s="63">
        <f ca="1">IF(PROVEEDORES[[#This Row],[FECHA DE PAGO]]=0,TODAY()-PROVEEDORES[[#This Row],[FECHA DE FACTURACIÓN]]-PROVEEDORES[[#This Row],[PLAZO Días]],0)</f>
        <v>0</v>
      </c>
      <c r="U2007" s="104">
        <f>+VLOOKUP(PROVEEDORES[[#This Row],[PROVEEDOR]],Terceros!$A:$D,4,FALSE)</f>
        <v>0</v>
      </c>
      <c r="V2007" s="105">
        <f>+YEAR(PROVEEDORES[[#This Row],[FECHA DE FACTURACIÓN]])</f>
        <v>2023</v>
      </c>
      <c r="W2007" s="105">
        <f>+MATCH(PROVEEDORES[[#This Row],[año facturado]],Retenciones!$1:$1,0)</f>
        <v>6</v>
      </c>
      <c r="X2007" s="106">
        <f>+VLOOKUP(PROVEEDORES[[#This Row],[ID RETENCION]],Retenciones!$A$1:$O$25,PROVEEDORES[[#This Row],[indicador de columna]],FALSE)</f>
        <v>0</v>
      </c>
      <c r="Y2007" s="107">
        <f>+VLOOKUP(PROVEEDORES[[#This Row],[ID RETENCION]],Retenciones!$A$1:$O$25,2,FALSE)</f>
        <v>0</v>
      </c>
      <c r="Z2007" s="116" t="b">
        <f>OR(COUNTIF(PROVEEDORES[[#This Row],[PROVEEDOR]],"*"&amp;'Palabra no opera'!$A$2&amp;"*"))</f>
        <v>1</v>
      </c>
    </row>
    <row r="2008" spans="1:26" ht="22.35" customHeight="1" x14ac:dyDescent="0.3">
      <c r="A2008" s="67" t="str">
        <f>+IF(PROVEEDORES[[#This Row],[FECHA DE PAGO]]=PROVEEDORES[[#This Row],[FECHA DE FACTURACIÓN]],"DE CONTADO","CRÉDITO")</f>
        <v>CRÉDITO</v>
      </c>
      <c r="B2008" s="38" t="b">
        <f>+IF((PROVEEDORES[[#This Row],[FECHA DE PAGO]]-PROVEEDORES[[#This Row],[FECHA DE FACTURACIÓN]])&gt;PROVEEDORES[[#This Row],[PLAZO Días]],"PAGO VENCIDO")</f>
        <v>0</v>
      </c>
      <c r="C2008" s="20">
        <f>+VLOOKUP(PROVEEDORES[[#This Row],[PROVEEDOR]],TERCEROS_INFO[#All],2,FALSE)</f>
        <v>30</v>
      </c>
      <c r="D2008" s="25">
        <f>+SUMIFS(PROVEEDORES[Total],PROVEEDORES[PROVEEDOR],PROVEEDORES[[#This Row],[PROVEEDOR]],PROVEEDORES[FECHA DE PAGO],"")</f>
        <v>0</v>
      </c>
      <c r="E2008" s="25"/>
      <c r="F2008" s="56">
        <f>+VLOOKUP(PROVEEDORES[[#This Row],[PROVEEDOR]],
                       Terceros!$A:$F,
                       5,
                       FALSE)</f>
        <v>0</v>
      </c>
      <c r="G2008" s="68">
        <v>45219</v>
      </c>
      <c r="H2008" s="26" t="s">
        <v>1736</v>
      </c>
      <c r="I2008" s="68">
        <v>45217</v>
      </c>
      <c r="J2008" s="35"/>
      <c r="K2008" s="21">
        <v>478000</v>
      </c>
      <c r="L2008" s="21"/>
      <c r="M2008" s="22">
        <f>(PROVEEDORES[[#This Row],[SUBTOTAL]]-PROVEEDORES[[#This Row],[descuento sobre subtotal]])*VLOOKUP(PROVEEDORES[[#This Row],[PROVEEDOR]],TERCEROS_INFO[#All],3,FALSE)</f>
        <v>0</v>
      </c>
      <c r="N2008" s="23"/>
      <c r="O2008" s="22">
        <f>+PROVEEDORES[[#This Row],[Descuento sobre subtotal %]]*(PROVEEDORES[[#This Row],[SUBTOTAL]]-PROVEEDORES[[#This Row],[descuento sobre subtotal]])</f>
        <v>0</v>
      </c>
      <c r="P2008" s="74">
        <f>+IF(PROVEEDORES[[#This Row],[SUBTOTAL]]&lt;PROVEEDORES[[#This Row],[base retencion]],0,PROVEEDORES[[#This Row],[retención aplicada]])</f>
        <v>0</v>
      </c>
      <c r="Q2008" s="22">
        <f>+PROVEEDORES[[#This Row],[Rete Fuente %]]*(PROVEEDORES[[#This Row],[SUBTOTAL]]-PROVEEDORES[[#This Row],[descuento sobre subtotal]])</f>
        <v>0</v>
      </c>
      <c r="R2008" s="21">
        <f>+PROVEEDORES[[#This Row],[SUBTOTAL]]+PROVEEDORES[[#This Row],[IVA 19%]]-PROVEEDORES[[#This Row],[descuento sobre subtotal]]-PROVEEDORES[[#This Row],[Descuento sobre subtotal $2]]-PROVEEDORES[[#This Row],[Rete Fuente $]]</f>
        <v>478000</v>
      </c>
      <c r="S20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8" s="63">
        <f ca="1">IF(PROVEEDORES[[#This Row],[FECHA DE PAGO]]=0,TODAY()-PROVEEDORES[[#This Row],[FECHA DE FACTURACIÓN]]-PROVEEDORES[[#This Row],[PLAZO Días]],0)</f>
        <v>0</v>
      </c>
      <c r="U2008" s="104">
        <f>+VLOOKUP(PROVEEDORES[[#This Row],[PROVEEDOR]],Terceros!$A:$D,4,FALSE)</f>
        <v>0</v>
      </c>
      <c r="V2008" s="105">
        <f>+YEAR(PROVEEDORES[[#This Row],[FECHA DE FACTURACIÓN]])</f>
        <v>2023</v>
      </c>
      <c r="W2008" s="105">
        <f>+MATCH(PROVEEDORES[[#This Row],[año facturado]],Retenciones!$1:$1,0)</f>
        <v>6</v>
      </c>
      <c r="X2008" s="106">
        <f>+VLOOKUP(PROVEEDORES[[#This Row],[ID RETENCION]],Retenciones!$A$1:$O$25,PROVEEDORES[[#This Row],[indicador de columna]],FALSE)</f>
        <v>0</v>
      </c>
      <c r="Y2008" s="107">
        <f>+VLOOKUP(PROVEEDORES[[#This Row],[ID RETENCION]],Retenciones!$A$1:$O$25,2,FALSE)</f>
        <v>0</v>
      </c>
      <c r="Z2008" s="116" t="b">
        <f>OR(COUNTIF(PROVEEDORES[[#This Row],[PROVEEDOR]],"*"&amp;'Palabra no opera'!$A$2&amp;"*"))</f>
        <v>0</v>
      </c>
    </row>
    <row r="2009" spans="1:26" ht="22.35" customHeight="1" x14ac:dyDescent="0.3">
      <c r="A2009" s="370" t="str">
        <f>+IF(PROVEEDORES[[#This Row],[FECHA DE PAGO]]=PROVEEDORES[[#This Row],[FECHA DE FACTURACIÓN]],"DE CONTADO","CRÉDITO")</f>
        <v>DE CONTADO</v>
      </c>
      <c r="B2009" s="38" t="b">
        <f>+IF((PROVEEDORES[[#This Row],[FECHA DE PAGO]]-PROVEEDORES[[#This Row],[FECHA DE FACTURACIÓN]])&gt;PROVEEDORES[[#This Row],[PLAZO Días]],"PAGO VENCIDO")</f>
        <v>0</v>
      </c>
      <c r="C2009" s="20">
        <f>+VLOOKUP(PROVEEDORES[[#This Row],[PROVEEDOR]],TERCEROS_INFO[#All],2,FALSE)</f>
        <v>30</v>
      </c>
      <c r="D2009" s="25">
        <f>+SUMIFS(PROVEEDORES[Total],PROVEEDORES[PROVEEDOR],PROVEEDORES[[#This Row],[PROVEEDOR]],PROVEEDORES[FECHA DE PAGO],"")</f>
        <v>0</v>
      </c>
      <c r="E2009" s="25"/>
      <c r="F2009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009" s="68">
        <v>45219</v>
      </c>
      <c r="H2009" s="26" t="s">
        <v>628</v>
      </c>
      <c r="I2009" s="68">
        <v>45219</v>
      </c>
      <c r="J2009" s="35" t="s">
        <v>2036</v>
      </c>
      <c r="K2009" s="21">
        <v>196317</v>
      </c>
      <c r="L2009" s="21"/>
      <c r="M2009" s="22">
        <f>(PROVEEDORES[[#This Row],[SUBTOTAL]]-PROVEEDORES[[#This Row],[descuento sobre subtotal]])*VLOOKUP(PROVEEDORES[[#This Row],[PROVEEDOR]],TERCEROS_INFO[#All],3,FALSE)</f>
        <v>0</v>
      </c>
      <c r="N2009" s="23"/>
      <c r="O2009" s="22">
        <f>+PROVEEDORES[[#This Row],[Descuento sobre subtotal %]]*(PROVEEDORES[[#This Row],[SUBTOTAL]]-PROVEEDORES[[#This Row],[descuento sobre subtotal]])</f>
        <v>0</v>
      </c>
      <c r="P2009" s="74">
        <f>+IF(PROVEEDORES[[#This Row],[SUBTOTAL]]&lt;PROVEEDORES[[#This Row],[base retencion]],0,PROVEEDORES[[#This Row],[retención aplicada]])</f>
        <v>0</v>
      </c>
      <c r="Q2009" s="22">
        <f>+PROVEEDORES[[#This Row],[Rete Fuente %]]*(PROVEEDORES[[#This Row],[SUBTOTAL]]-PROVEEDORES[[#This Row],[descuento sobre subtotal]])</f>
        <v>0</v>
      </c>
      <c r="R2009" s="21">
        <f>+PROVEEDORES[[#This Row],[SUBTOTAL]]+PROVEEDORES[[#This Row],[IVA 19%]]-PROVEEDORES[[#This Row],[descuento sobre subtotal]]-PROVEEDORES[[#This Row],[Descuento sobre subtotal $2]]-PROVEEDORES[[#This Row],[Rete Fuente $]]</f>
        <v>196317</v>
      </c>
      <c r="S2009" s="3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9" s="63">
        <f ca="1">IF(PROVEEDORES[[#This Row],[FECHA DE PAGO]]=0,TODAY()-PROVEEDORES[[#This Row],[FECHA DE FACTURACIÓN]]-PROVEEDORES[[#This Row],[PLAZO Días]],0)</f>
        <v>0</v>
      </c>
      <c r="U2009" s="104">
        <f>+VLOOKUP(PROVEEDORES[[#This Row],[PROVEEDOR]],Terceros!$A:$D,4,FALSE)</f>
        <v>0</v>
      </c>
      <c r="V2009" s="105">
        <f>+YEAR(PROVEEDORES[[#This Row],[FECHA DE FACTURACIÓN]])</f>
        <v>2023</v>
      </c>
      <c r="W2009" s="105">
        <f>+MATCH(PROVEEDORES[[#This Row],[año facturado]],Retenciones!$1:$1,0)</f>
        <v>6</v>
      </c>
      <c r="X2009" s="106">
        <f>+VLOOKUP(PROVEEDORES[[#This Row],[ID RETENCION]],Retenciones!$A$1:$O$25,PROVEEDORES[[#This Row],[indicador de columna]],FALSE)</f>
        <v>0</v>
      </c>
      <c r="Y2009" s="107">
        <f>+VLOOKUP(PROVEEDORES[[#This Row],[ID RETENCION]],Retenciones!$A$1:$O$25,2,FALSE)</f>
        <v>0</v>
      </c>
      <c r="Z2009" s="116" t="b">
        <f>OR(COUNTIF(PROVEEDORES[[#This Row],[PROVEEDOR]],"*"&amp;'Palabra no opera'!$A$2&amp;"*"))</f>
        <v>1</v>
      </c>
    </row>
    <row r="2010" spans="1:26" ht="22.35" customHeight="1" x14ac:dyDescent="0.3">
      <c r="A2010" s="351" t="str">
        <f>+IF(PROVEEDORES[[#This Row],[FECHA DE PAGO]]=PROVEEDORES[[#This Row],[FECHA DE FACTURACIÓN]],"DE CONTADO","CRÉDITO")</f>
        <v>CRÉDITO</v>
      </c>
      <c r="B2010" s="38" t="str">
        <f>+IF((PROVEEDORES[[#This Row],[FECHA DE PAGO]]-PROVEEDORES[[#This Row],[FECHA DE FACTURACIÓN]])&gt;PROVEEDORES[[#This Row],[PLAZO Días]],"PAGO VENCIDO")</f>
        <v>PAGO VENCIDO</v>
      </c>
      <c r="C2010" s="20">
        <f>+VLOOKUP(PROVEEDORES[[#This Row],[PROVEEDOR]],TERCEROS_INFO[#All],2,FALSE)</f>
        <v>45</v>
      </c>
      <c r="D2010" s="25">
        <f>+SUMIFS(PROVEEDORES[Total],PROVEEDORES[PROVEEDOR],PROVEEDORES[[#This Row],[PROVEEDOR]],PROVEEDORES[FECHA DE PAGO],"")</f>
        <v>15770594</v>
      </c>
      <c r="E2010" s="25"/>
      <c r="F2010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10" s="68">
        <v>45219</v>
      </c>
      <c r="H2010" s="26" t="s">
        <v>19</v>
      </c>
      <c r="I2010" s="68">
        <v>45167</v>
      </c>
      <c r="J2010" s="35" t="s">
        <v>1926</v>
      </c>
      <c r="K2010" s="21">
        <v>13296150</v>
      </c>
      <c r="L2010" s="21"/>
      <c r="M2010" s="22">
        <f>(PROVEEDORES[[#This Row],[SUBTOTAL]]-PROVEEDORES[[#This Row],[descuento sobre subtotal]])*VLOOKUP(PROVEEDORES[[#This Row],[PROVEEDOR]],TERCEROS_INFO[#All],3,FALSE)</f>
        <v>2526268.5</v>
      </c>
      <c r="N2010" s="23"/>
      <c r="O2010" s="22">
        <f>+PROVEEDORES[[#This Row],[Descuento sobre subtotal %]]*(PROVEEDORES[[#This Row],[SUBTOTAL]]-PROVEEDORES[[#This Row],[descuento sobre subtotal]])</f>
        <v>0</v>
      </c>
      <c r="P2010" s="74">
        <f>+IF(PROVEEDORES[[#This Row],[SUBTOTAL]]&lt;PROVEEDORES[[#This Row],[base retencion]],0,PROVEEDORES[[#This Row],[retención aplicada]])</f>
        <v>0</v>
      </c>
      <c r="Q2010" s="22">
        <f>+PROVEEDORES[[#This Row],[Rete Fuente %]]*(PROVEEDORES[[#This Row],[SUBTOTAL]]-PROVEEDORES[[#This Row],[descuento sobre subtotal]])</f>
        <v>0</v>
      </c>
      <c r="R2010" s="21">
        <f>+PROVEEDORES[[#This Row],[SUBTOTAL]]+PROVEEDORES[[#This Row],[IVA 19%]]-PROVEEDORES[[#This Row],[descuento sobre subtotal]]-PROVEEDORES[[#This Row],[Descuento sobre subtotal $2]]-PROVEEDORES[[#This Row],[Rete Fuente $]]</f>
        <v>15822418.5</v>
      </c>
      <c r="S2010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0" s="63">
        <f ca="1">IF(PROVEEDORES[[#This Row],[FECHA DE PAGO]]=0,TODAY()-PROVEEDORES[[#This Row],[FECHA DE FACTURACIÓN]]-PROVEEDORES[[#This Row],[PLAZO Días]],0)</f>
        <v>0</v>
      </c>
      <c r="U2010" s="104">
        <f>+VLOOKUP(PROVEEDORES[[#This Row],[PROVEEDOR]],Terceros!$A:$D,4,FALSE)</f>
        <v>0</v>
      </c>
      <c r="V2010" s="105">
        <f>+YEAR(PROVEEDORES[[#This Row],[FECHA DE FACTURACIÓN]])</f>
        <v>2023</v>
      </c>
      <c r="W2010" s="105">
        <f>+MATCH(PROVEEDORES[[#This Row],[año facturado]],Retenciones!$1:$1,0)</f>
        <v>6</v>
      </c>
      <c r="X2010" s="106">
        <f>+VLOOKUP(PROVEEDORES[[#This Row],[ID RETENCION]],Retenciones!$A$1:$O$25,PROVEEDORES[[#This Row],[indicador de columna]],FALSE)</f>
        <v>0</v>
      </c>
      <c r="Y2010" s="107">
        <f>+VLOOKUP(PROVEEDORES[[#This Row],[ID RETENCION]],Retenciones!$A$1:$O$25,2,FALSE)</f>
        <v>0</v>
      </c>
      <c r="Z2010" s="116" t="b">
        <f>OR(COUNTIF(PROVEEDORES[[#This Row],[PROVEEDOR]],"*"&amp;'Palabra no opera'!$A$2&amp;"*"))</f>
        <v>0</v>
      </c>
    </row>
    <row r="2011" spans="1:26" ht="22.35" customHeight="1" x14ac:dyDescent="0.3">
      <c r="A2011" s="67" t="str">
        <f>+IF(PROVEEDORES[[#This Row],[FECHA DE PAGO]]=PROVEEDORES[[#This Row],[FECHA DE FACTURACIÓN]],"DE CONTADO","CRÉDITO")</f>
        <v>CRÉDITO</v>
      </c>
      <c r="B2011" s="38" t="b">
        <f>+IF((PROVEEDORES[[#This Row],[FECHA DE PAGO]]-PROVEEDORES[[#This Row],[FECHA DE FACTURACIÓN]])&gt;PROVEEDORES[[#This Row],[PLAZO Días]],"PAGO VENCIDO")</f>
        <v>0</v>
      </c>
      <c r="C2011" s="20">
        <f>+VLOOKUP(PROVEEDORES[[#This Row],[PROVEEDOR]],TERCEROS_INFO[#All],2,FALSE)</f>
        <v>45</v>
      </c>
      <c r="D2011" s="25">
        <f>+SUMIFS(PROVEEDORES[Total],PROVEEDORES[PROVEEDOR],PROVEEDORES[[#This Row],[PROVEEDOR]],PROVEEDORES[FECHA DE PAGO],"")</f>
        <v>15770594</v>
      </c>
      <c r="E2011" s="25"/>
      <c r="F201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11" s="68">
        <v>45219</v>
      </c>
      <c r="H2011" s="26" t="s">
        <v>19</v>
      </c>
      <c r="I2011" s="68">
        <v>45197</v>
      </c>
      <c r="J2011" s="35" t="s">
        <v>1958</v>
      </c>
      <c r="K2011" s="21">
        <v>-5882353</v>
      </c>
      <c r="L2011" s="21"/>
      <c r="M2011" s="22">
        <f>(PROVEEDORES[[#This Row],[SUBTOTAL]]-PROVEEDORES[[#This Row],[descuento sobre subtotal]])*VLOOKUP(PROVEEDORES[[#This Row],[PROVEEDOR]],TERCEROS_INFO[#All],3,FALSE)</f>
        <v>-1117647.07</v>
      </c>
      <c r="N2011" s="23"/>
      <c r="O2011" s="22">
        <f>+PROVEEDORES[[#This Row],[Descuento sobre subtotal %]]*(PROVEEDORES[[#This Row],[SUBTOTAL]]-PROVEEDORES[[#This Row],[descuento sobre subtotal]])</f>
        <v>0</v>
      </c>
      <c r="P2011" s="74">
        <f>+IF(PROVEEDORES[[#This Row],[SUBTOTAL]]&lt;PROVEEDORES[[#This Row],[base retencion]],0,PROVEEDORES[[#This Row],[retención aplicada]])</f>
        <v>0</v>
      </c>
      <c r="Q2011" s="22">
        <f>+PROVEEDORES[[#This Row],[Rete Fuente %]]*(PROVEEDORES[[#This Row],[SUBTOTAL]]-PROVEEDORES[[#This Row],[descuento sobre subtotal]])</f>
        <v>0</v>
      </c>
      <c r="R2011" s="21">
        <f>+PROVEEDORES[[#This Row],[SUBTOTAL]]+PROVEEDORES[[#This Row],[IVA 19%]]-PROVEEDORES[[#This Row],[descuento sobre subtotal]]-PROVEEDORES[[#This Row],[Descuento sobre subtotal $2]]-PROVEEDORES[[#This Row],[Rete Fuente $]]</f>
        <v>-7000000.0700000003</v>
      </c>
      <c r="S20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1" s="63">
        <f ca="1">IF(PROVEEDORES[[#This Row],[FECHA DE PAGO]]=0,TODAY()-PROVEEDORES[[#This Row],[FECHA DE FACTURACIÓN]]-PROVEEDORES[[#This Row],[PLAZO Días]],0)</f>
        <v>0</v>
      </c>
      <c r="U2011" s="104">
        <f>+VLOOKUP(PROVEEDORES[[#This Row],[PROVEEDOR]],Terceros!$A:$D,4,FALSE)</f>
        <v>0</v>
      </c>
      <c r="V2011" s="105">
        <f>+YEAR(PROVEEDORES[[#This Row],[FECHA DE FACTURACIÓN]])</f>
        <v>2023</v>
      </c>
      <c r="W2011" s="105">
        <f>+MATCH(PROVEEDORES[[#This Row],[año facturado]],Retenciones!$1:$1,0)</f>
        <v>6</v>
      </c>
      <c r="X2011" s="106">
        <f>+VLOOKUP(PROVEEDORES[[#This Row],[ID RETENCION]],Retenciones!$A$1:$O$25,PROVEEDORES[[#This Row],[indicador de columna]],FALSE)</f>
        <v>0</v>
      </c>
      <c r="Y2011" s="107">
        <f>+VLOOKUP(PROVEEDORES[[#This Row],[ID RETENCION]],Retenciones!$A$1:$O$25,2,FALSE)</f>
        <v>0</v>
      </c>
      <c r="Z2011" s="116" t="b">
        <f>OR(COUNTIF(PROVEEDORES[[#This Row],[PROVEEDOR]],"*"&amp;'Palabra no opera'!$A$2&amp;"*"))</f>
        <v>0</v>
      </c>
    </row>
    <row r="2012" spans="1:26" ht="22.35" customHeight="1" x14ac:dyDescent="0.3">
      <c r="A2012" s="372" t="str">
        <f>+IF(PROVEEDORES[[#This Row],[FECHA DE PAGO]]=PROVEEDORES[[#This Row],[FECHA DE FACTURACIÓN]],"DE CONTADO","CRÉDITO")</f>
        <v>DE CONTADO</v>
      </c>
      <c r="B2012" s="38" t="b">
        <f>+IF((PROVEEDORES[[#This Row],[FECHA DE PAGO]]-PROVEEDORES[[#This Row],[FECHA DE FACTURACIÓN]])&gt;PROVEEDORES[[#This Row],[PLAZO Días]],"PAGO VENCIDO")</f>
        <v>0</v>
      </c>
      <c r="C2012" s="20">
        <f>+VLOOKUP(PROVEEDORES[[#This Row],[PROVEEDOR]],TERCEROS_INFO[#All],2,FALSE)</f>
        <v>30</v>
      </c>
      <c r="D2012" s="25">
        <f>+SUMIFS(PROVEEDORES[Total],PROVEEDORES[PROVEEDOR],PROVEEDORES[[#This Row],[PROVEEDOR]],PROVEEDORES[FECHA DE PAGO],"")</f>
        <v>0</v>
      </c>
      <c r="E2012" s="25"/>
      <c r="F2012" s="56" t="str">
        <f>+VLOOKUP(PROVEEDORES[[#This Row],[PROVEEDOR]],
                       Terceros!$A:$F,
                       5,
                       FALSE)</f>
        <v/>
      </c>
      <c r="G2012" s="68">
        <v>45220</v>
      </c>
      <c r="H2012" s="26" t="s">
        <v>362</v>
      </c>
      <c r="I2012" s="68">
        <v>45220</v>
      </c>
      <c r="J2012" s="35" t="s">
        <v>2028</v>
      </c>
      <c r="K2012" s="21">
        <v>200000</v>
      </c>
      <c r="L2012" s="21"/>
      <c r="M2012" s="22">
        <f>(PROVEEDORES[[#This Row],[SUBTOTAL]]-PROVEEDORES[[#This Row],[descuento sobre subtotal]])*VLOOKUP(PROVEEDORES[[#This Row],[PROVEEDOR]],TERCEROS_INFO[#All],3,FALSE)</f>
        <v>0</v>
      </c>
      <c r="N2012" s="23"/>
      <c r="O2012" s="22">
        <f>+PROVEEDORES[[#This Row],[Descuento sobre subtotal %]]*(PROVEEDORES[[#This Row],[SUBTOTAL]]-PROVEEDORES[[#This Row],[descuento sobre subtotal]])</f>
        <v>0</v>
      </c>
      <c r="P2012" s="74">
        <f>+IF(PROVEEDORES[[#This Row],[SUBTOTAL]]&lt;PROVEEDORES[[#This Row],[base retencion]],0,PROVEEDORES[[#This Row],[retención aplicada]])</f>
        <v>0</v>
      </c>
      <c r="Q2012" s="22">
        <f>+PROVEEDORES[[#This Row],[Rete Fuente %]]*(PROVEEDORES[[#This Row],[SUBTOTAL]]-PROVEEDORES[[#This Row],[descuento sobre subtotal]])</f>
        <v>0</v>
      </c>
      <c r="R2012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2012" s="3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2" s="63">
        <f ca="1">IF(PROVEEDORES[[#This Row],[FECHA DE PAGO]]=0,TODAY()-PROVEEDORES[[#This Row],[FECHA DE FACTURACIÓN]]-PROVEEDORES[[#This Row],[PLAZO Días]],0)</f>
        <v>0</v>
      </c>
      <c r="U2012" s="104">
        <f>+VLOOKUP(PROVEEDORES[[#This Row],[PROVEEDOR]],Terceros!$A:$D,4,FALSE)</f>
        <v>0</v>
      </c>
      <c r="V2012" s="105">
        <f>+YEAR(PROVEEDORES[[#This Row],[FECHA DE FACTURACIÓN]])</f>
        <v>2023</v>
      </c>
      <c r="W2012" s="105">
        <f>+MATCH(PROVEEDORES[[#This Row],[año facturado]],Retenciones!$1:$1,0)</f>
        <v>6</v>
      </c>
      <c r="X2012" s="106">
        <f>+VLOOKUP(PROVEEDORES[[#This Row],[ID RETENCION]],Retenciones!$A$1:$O$25,PROVEEDORES[[#This Row],[indicador de columna]],FALSE)</f>
        <v>0</v>
      </c>
      <c r="Y2012" s="107">
        <f>+VLOOKUP(PROVEEDORES[[#This Row],[ID RETENCION]],Retenciones!$A$1:$O$25,2,FALSE)</f>
        <v>0</v>
      </c>
      <c r="Z2012" s="116" t="b">
        <f>OR(COUNTIF(PROVEEDORES[[#This Row],[PROVEEDOR]],"*"&amp;'Palabra no opera'!$A$2&amp;"*"))</f>
        <v>0</v>
      </c>
    </row>
    <row r="2013" spans="1:26" ht="22.35" customHeight="1" x14ac:dyDescent="0.3">
      <c r="A2013" s="67" t="str">
        <f>+IF(PROVEEDORES[[#This Row],[FECHA DE PAGO]]=PROVEEDORES[[#This Row],[FECHA DE FACTURACIÓN]],"DE CONTADO","CRÉDITO")</f>
        <v>DE CONTADO</v>
      </c>
      <c r="B2013" s="38" t="b">
        <f>+IF((PROVEEDORES[[#This Row],[FECHA DE PAGO]]-PROVEEDORES[[#This Row],[FECHA DE FACTURACIÓN]])&gt;PROVEEDORES[[#This Row],[PLAZO Días]],"PAGO VENCIDO")</f>
        <v>0</v>
      </c>
      <c r="C2013" s="20">
        <f>+VLOOKUP(PROVEEDORES[[#This Row],[PROVEEDOR]],TERCEROS_INFO[#All],2,FALSE)</f>
        <v>30</v>
      </c>
      <c r="D2013" s="25">
        <f>+SUMIFS(PROVEEDORES[Total],PROVEEDORES[PROVEEDOR],PROVEEDORES[[#This Row],[PROVEEDOR]],PROVEEDORES[FECHA DE PAGO],"")</f>
        <v>0</v>
      </c>
      <c r="E2013" s="25"/>
      <c r="F2013" s="56" t="str">
        <f>+VLOOKUP(PROVEEDORES[[#This Row],[PROVEEDOR]],
                       Terceros!$A:$F,
                       5,
                       FALSE)</f>
        <v/>
      </c>
      <c r="G2013" s="68">
        <v>45220</v>
      </c>
      <c r="H2013" s="26" t="s">
        <v>378</v>
      </c>
      <c r="I2013" s="68">
        <v>45220</v>
      </c>
      <c r="J2013" s="35" t="s">
        <v>2061</v>
      </c>
      <c r="K2013" s="21">
        <v>680000</v>
      </c>
      <c r="L2013" s="21"/>
      <c r="M2013" s="22">
        <f>(PROVEEDORES[[#This Row],[SUBTOTAL]]-PROVEEDORES[[#This Row],[descuento sobre subtotal]])*VLOOKUP(PROVEEDORES[[#This Row],[PROVEEDOR]],TERCEROS_INFO[#All],3,FALSE)</f>
        <v>0</v>
      </c>
      <c r="N2013" s="23"/>
      <c r="O2013" s="22">
        <f>+PROVEEDORES[[#This Row],[Descuento sobre subtotal %]]*(PROVEEDORES[[#This Row],[SUBTOTAL]]-PROVEEDORES[[#This Row],[descuento sobre subtotal]])</f>
        <v>0</v>
      </c>
      <c r="P2013" s="74">
        <f>+IF(PROVEEDORES[[#This Row],[SUBTOTAL]]&lt;PROVEEDORES[[#This Row],[base retencion]],0,PROVEEDORES[[#This Row],[retención aplicada]])</f>
        <v>0</v>
      </c>
      <c r="Q2013" s="22">
        <f>+PROVEEDORES[[#This Row],[Rete Fuente %]]*(PROVEEDORES[[#This Row],[SUBTOTAL]]-PROVEEDORES[[#This Row],[descuento sobre subtotal]])</f>
        <v>0</v>
      </c>
      <c r="R2013" s="21">
        <f>+PROVEEDORES[[#This Row],[SUBTOTAL]]+PROVEEDORES[[#This Row],[IVA 19%]]-PROVEEDORES[[#This Row],[descuento sobre subtotal]]-PROVEEDORES[[#This Row],[Descuento sobre subtotal $2]]-PROVEEDORES[[#This Row],[Rete Fuente $]]</f>
        <v>680000</v>
      </c>
      <c r="S20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3" s="63">
        <f ca="1">IF(PROVEEDORES[[#This Row],[FECHA DE PAGO]]=0,TODAY()-PROVEEDORES[[#This Row],[FECHA DE FACTURACIÓN]]-PROVEEDORES[[#This Row],[PLAZO Días]],0)</f>
        <v>0</v>
      </c>
      <c r="U2013" s="104">
        <f>+VLOOKUP(PROVEEDORES[[#This Row],[PROVEEDOR]],Terceros!$A:$D,4,FALSE)</f>
        <v>0</v>
      </c>
      <c r="V2013" s="105">
        <f>+YEAR(PROVEEDORES[[#This Row],[FECHA DE FACTURACIÓN]])</f>
        <v>2023</v>
      </c>
      <c r="W2013" s="105">
        <f>+MATCH(PROVEEDORES[[#This Row],[año facturado]],Retenciones!$1:$1,0)</f>
        <v>6</v>
      </c>
      <c r="X2013" s="106">
        <f>+VLOOKUP(PROVEEDORES[[#This Row],[ID RETENCION]],Retenciones!$A$1:$O$25,PROVEEDORES[[#This Row],[indicador de columna]],FALSE)</f>
        <v>0</v>
      </c>
      <c r="Y2013" s="107">
        <f>+VLOOKUP(PROVEEDORES[[#This Row],[ID RETENCION]],Retenciones!$A$1:$O$25,2,FALSE)</f>
        <v>0</v>
      </c>
      <c r="Z2013" s="116" t="b">
        <f>OR(COUNTIF(PROVEEDORES[[#This Row],[PROVEEDOR]],"*"&amp;'Palabra no opera'!$A$2&amp;"*"))</f>
        <v>0</v>
      </c>
    </row>
    <row r="2014" spans="1:26" ht="22.35" customHeight="1" x14ac:dyDescent="0.3">
      <c r="A2014" s="67" t="str">
        <f>+IF(PROVEEDORES[[#This Row],[FECHA DE PAGO]]=PROVEEDORES[[#This Row],[FECHA DE FACTURACIÓN]],"DE CONTADO","CRÉDITO")</f>
        <v>DE CONTADO</v>
      </c>
      <c r="B2014" s="38" t="b">
        <f>+IF((PROVEEDORES[[#This Row],[FECHA DE PAGO]]-PROVEEDORES[[#This Row],[FECHA DE FACTURACIÓN]])&gt;PROVEEDORES[[#This Row],[PLAZO Días]],"PAGO VENCIDO")</f>
        <v>0</v>
      </c>
      <c r="C2014" s="20">
        <f>+VLOOKUP(PROVEEDORES[[#This Row],[PROVEEDOR]],TERCEROS_INFO[#All],2,FALSE)</f>
        <v>30</v>
      </c>
      <c r="D2014" s="25">
        <f>+SUMIFS(PROVEEDORES[Total],PROVEEDORES[PROVEEDOR],PROVEEDORES[[#This Row],[PROVEEDOR]],PROVEEDORES[FECHA DE PAGO],"")</f>
        <v>0</v>
      </c>
      <c r="E2014" s="25"/>
      <c r="F2014" s="56" t="str">
        <f>+VLOOKUP(PROVEEDORES[[#This Row],[PROVEEDOR]],
                       Terceros!$A:$F,
                       5,
                       FALSE)</f>
        <v/>
      </c>
      <c r="G2014" s="68">
        <v>45222</v>
      </c>
      <c r="H2014" s="26" t="s">
        <v>362</v>
      </c>
      <c r="I2014" s="68">
        <v>45222</v>
      </c>
      <c r="J2014" s="35" t="s">
        <v>2044</v>
      </c>
      <c r="K2014" s="21">
        <v>628650</v>
      </c>
      <c r="L2014" s="21"/>
      <c r="M2014" s="22">
        <f>(PROVEEDORES[[#This Row],[SUBTOTAL]]-PROVEEDORES[[#This Row],[descuento sobre subtotal]])*VLOOKUP(PROVEEDORES[[#This Row],[PROVEEDOR]],TERCEROS_INFO[#All],3,FALSE)</f>
        <v>0</v>
      </c>
      <c r="N2014" s="23"/>
      <c r="O2014" s="22">
        <f>+PROVEEDORES[[#This Row],[Descuento sobre subtotal %]]*(PROVEEDORES[[#This Row],[SUBTOTAL]]-PROVEEDORES[[#This Row],[descuento sobre subtotal]])</f>
        <v>0</v>
      </c>
      <c r="P2014" s="74">
        <f>+IF(PROVEEDORES[[#This Row],[SUBTOTAL]]&lt;PROVEEDORES[[#This Row],[base retencion]],0,PROVEEDORES[[#This Row],[retención aplicada]])</f>
        <v>0</v>
      </c>
      <c r="Q2014" s="22">
        <f>+PROVEEDORES[[#This Row],[Rete Fuente %]]*(PROVEEDORES[[#This Row],[SUBTOTAL]]-PROVEEDORES[[#This Row],[descuento sobre subtotal]])</f>
        <v>0</v>
      </c>
      <c r="R2014" s="21">
        <f>+PROVEEDORES[[#This Row],[SUBTOTAL]]+PROVEEDORES[[#This Row],[IVA 19%]]-PROVEEDORES[[#This Row],[descuento sobre subtotal]]-PROVEEDORES[[#This Row],[Descuento sobre subtotal $2]]-PROVEEDORES[[#This Row],[Rete Fuente $]]</f>
        <v>628650</v>
      </c>
      <c r="S20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4" s="63">
        <f ca="1">IF(PROVEEDORES[[#This Row],[FECHA DE PAGO]]=0,TODAY()-PROVEEDORES[[#This Row],[FECHA DE FACTURACIÓN]]-PROVEEDORES[[#This Row],[PLAZO Días]],0)</f>
        <v>0</v>
      </c>
      <c r="U2014" s="104">
        <f>+VLOOKUP(PROVEEDORES[[#This Row],[PROVEEDOR]],Terceros!$A:$D,4,FALSE)</f>
        <v>0</v>
      </c>
      <c r="V2014" s="105">
        <f>+YEAR(PROVEEDORES[[#This Row],[FECHA DE FACTURACIÓN]])</f>
        <v>2023</v>
      </c>
      <c r="W2014" s="105">
        <f>+MATCH(PROVEEDORES[[#This Row],[año facturado]],Retenciones!$1:$1,0)</f>
        <v>6</v>
      </c>
      <c r="X2014" s="106">
        <f>+VLOOKUP(PROVEEDORES[[#This Row],[ID RETENCION]],Retenciones!$A$1:$O$25,PROVEEDORES[[#This Row],[indicador de columna]],FALSE)</f>
        <v>0</v>
      </c>
      <c r="Y2014" s="107">
        <f>+VLOOKUP(PROVEEDORES[[#This Row],[ID RETENCION]],Retenciones!$A$1:$O$25,2,FALSE)</f>
        <v>0</v>
      </c>
      <c r="Z2014" s="116" t="b">
        <f>OR(COUNTIF(PROVEEDORES[[#This Row],[PROVEEDOR]],"*"&amp;'Palabra no opera'!$A$2&amp;"*"))</f>
        <v>0</v>
      </c>
    </row>
    <row r="2015" spans="1:26" ht="22.35" customHeight="1" x14ac:dyDescent="0.3">
      <c r="A2015" s="67" t="str">
        <f>+IF(PROVEEDORES[[#This Row],[FECHA DE PAGO]]=PROVEEDORES[[#This Row],[FECHA DE FACTURACIÓN]],"DE CONTADO","CRÉDITO")</f>
        <v>DE CONTADO</v>
      </c>
      <c r="B2015" s="38" t="b">
        <f>+IF((PROVEEDORES[[#This Row],[FECHA DE PAGO]]-PROVEEDORES[[#This Row],[FECHA DE FACTURACIÓN]])&gt;PROVEEDORES[[#This Row],[PLAZO Días]],"PAGO VENCIDO")</f>
        <v>0</v>
      </c>
      <c r="C2015" s="20">
        <f>+VLOOKUP(PROVEEDORES[[#This Row],[PROVEEDOR]],TERCEROS_INFO[#All],2,FALSE)</f>
        <v>30</v>
      </c>
      <c r="D2015" s="25">
        <f>+SUMIFS(PROVEEDORES[Total],PROVEEDORES[PROVEEDOR],PROVEEDORES[[#This Row],[PROVEEDOR]],PROVEEDORES[FECHA DE PAGO],"")</f>
        <v>0</v>
      </c>
      <c r="E2015" s="25"/>
      <c r="F2015" s="56" t="str">
        <f>+VLOOKUP(PROVEEDORES[[#This Row],[PROVEEDOR]],
                       Terceros!$A:$F,
                       5,
                       FALSE)</f>
        <v/>
      </c>
      <c r="G2015" s="68">
        <v>45222</v>
      </c>
      <c r="H2015" s="26" t="s">
        <v>362</v>
      </c>
      <c r="I2015" s="68">
        <v>45222</v>
      </c>
      <c r="J2015" s="35" t="s">
        <v>2045</v>
      </c>
      <c r="K2015" s="21">
        <v>172600</v>
      </c>
      <c r="L2015" s="21"/>
      <c r="M2015" s="22">
        <f>(PROVEEDORES[[#This Row],[SUBTOTAL]]-PROVEEDORES[[#This Row],[descuento sobre subtotal]])*VLOOKUP(PROVEEDORES[[#This Row],[PROVEEDOR]],TERCEROS_INFO[#All],3,FALSE)</f>
        <v>0</v>
      </c>
      <c r="N2015" s="23"/>
      <c r="O2015" s="22">
        <f>+PROVEEDORES[[#This Row],[Descuento sobre subtotal %]]*(PROVEEDORES[[#This Row],[SUBTOTAL]]-PROVEEDORES[[#This Row],[descuento sobre subtotal]])</f>
        <v>0</v>
      </c>
      <c r="P2015" s="74">
        <f>+IF(PROVEEDORES[[#This Row],[SUBTOTAL]]&lt;PROVEEDORES[[#This Row],[base retencion]],0,PROVEEDORES[[#This Row],[retención aplicada]])</f>
        <v>0</v>
      </c>
      <c r="Q2015" s="22">
        <f>+PROVEEDORES[[#This Row],[Rete Fuente %]]*(PROVEEDORES[[#This Row],[SUBTOTAL]]-PROVEEDORES[[#This Row],[descuento sobre subtotal]])</f>
        <v>0</v>
      </c>
      <c r="R2015" s="21">
        <f>+PROVEEDORES[[#This Row],[SUBTOTAL]]+PROVEEDORES[[#This Row],[IVA 19%]]-PROVEEDORES[[#This Row],[descuento sobre subtotal]]-PROVEEDORES[[#This Row],[Descuento sobre subtotal $2]]-PROVEEDORES[[#This Row],[Rete Fuente $]]</f>
        <v>172600</v>
      </c>
      <c r="S20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5" s="63">
        <f ca="1">IF(PROVEEDORES[[#This Row],[FECHA DE PAGO]]=0,TODAY()-PROVEEDORES[[#This Row],[FECHA DE FACTURACIÓN]]-PROVEEDORES[[#This Row],[PLAZO Días]],0)</f>
        <v>0</v>
      </c>
      <c r="U2015" s="104">
        <f>+VLOOKUP(PROVEEDORES[[#This Row],[PROVEEDOR]],Terceros!$A:$D,4,FALSE)</f>
        <v>0</v>
      </c>
      <c r="V2015" s="105">
        <f>+YEAR(PROVEEDORES[[#This Row],[FECHA DE FACTURACIÓN]])</f>
        <v>2023</v>
      </c>
      <c r="W2015" s="105">
        <f>+MATCH(PROVEEDORES[[#This Row],[año facturado]],Retenciones!$1:$1,0)</f>
        <v>6</v>
      </c>
      <c r="X2015" s="106">
        <f>+VLOOKUP(PROVEEDORES[[#This Row],[ID RETENCION]],Retenciones!$A$1:$O$25,PROVEEDORES[[#This Row],[indicador de columna]],FALSE)</f>
        <v>0</v>
      </c>
      <c r="Y2015" s="107">
        <f>+VLOOKUP(PROVEEDORES[[#This Row],[ID RETENCION]],Retenciones!$A$1:$O$25,2,FALSE)</f>
        <v>0</v>
      </c>
      <c r="Z2015" s="116" t="b">
        <f>OR(COUNTIF(PROVEEDORES[[#This Row],[PROVEEDOR]],"*"&amp;'Palabra no opera'!$A$2&amp;"*"))</f>
        <v>0</v>
      </c>
    </row>
    <row r="2016" spans="1:26" ht="22.35" customHeight="1" x14ac:dyDescent="0.3">
      <c r="A2016" s="67" t="str">
        <f>+IF(PROVEEDORES[[#This Row],[FECHA DE PAGO]]=PROVEEDORES[[#This Row],[FECHA DE FACTURACIÓN]],"DE CONTADO","CRÉDITO")</f>
        <v>DE CONTADO</v>
      </c>
      <c r="B2016" s="38" t="b">
        <f>+IF((PROVEEDORES[[#This Row],[FECHA DE PAGO]]-PROVEEDORES[[#This Row],[FECHA DE FACTURACIÓN]])&gt;PROVEEDORES[[#This Row],[PLAZO Días]],"PAGO VENCIDO")</f>
        <v>0</v>
      </c>
      <c r="C2016" s="20">
        <f>+VLOOKUP(PROVEEDORES[[#This Row],[PROVEEDOR]],TERCEROS_INFO[#All],2,FALSE)</f>
        <v>30</v>
      </c>
      <c r="D2016" s="25">
        <f>+SUMIFS(PROVEEDORES[Total],PROVEEDORES[PROVEEDOR],PROVEEDORES[[#This Row],[PROVEEDOR]],PROVEEDORES[FECHA DE PAGO],"")</f>
        <v>0</v>
      </c>
      <c r="E2016" s="25"/>
      <c r="F2016" s="56" t="str">
        <f>+VLOOKUP(PROVEEDORES[[#This Row],[PROVEEDOR]],
                       Terceros!$A:$F,
                       5,
                       FALSE)</f>
        <v/>
      </c>
      <c r="G2016" s="68">
        <v>45222</v>
      </c>
      <c r="H2016" s="26" t="s">
        <v>362</v>
      </c>
      <c r="I2016" s="68">
        <v>45222</v>
      </c>
      <c r="J2016" s="35" t="s">
        <v>2046</v>
      </c>
      <c r="K2016" s="21">
        <v>2000000</v>
      </c>
      <c r="L2016" s="21"/>
      <c r="M2016" s="22">
        <f>(PROVEEDORES[[#This Row],[SUBTOTAL]]-PROVEEDORES[[#This Row],[descuento sobre subtotal]])*VLOOKUP(PROVEEDORES[[#This Row],[PROVEEDOR]],TERCEROS_INFO[#All],3,FALSE)</f>
        <v>0</v>
      </c>
      <c r="N2016" s="23"/>
      <c r="O2016" s="22">
        <f>+PROVEEDORES[[#This Row],[Descuento sobre subtotal %]]*(PROVEEDORES[[#This Row],[SUBTOTAL]]-PROVEEDORES[[#This Row],[descuento sobre subtotal]])</f>
        <v>0</v>
      </c>
      <c r="P2016" s="74">
        <f>+IF(PROVEEDORES[[#This Row],[SUBTOTAL]]&lt;PROVEEDORES[[#This Row],[base retencion]],0,PROVEEDORES[[#This Row],[retención aplicada]])</f>
        <v>0</v>
      </c>
      <c r="Q2016" s="22">
        <f>+PROVEEDORES[[#This Row],[Rete Fuente %]]*(PROVEEDORES[[#This Row],[SUBTOTAL]]-PROVEEDORES[[#This Row],[descuento sobre subtotal]])</f>
        <v>0</v>
      </c>
      <c r="R2016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20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6" s="63">
        <f ca="1">IF(PROVEEDORES[[#This Row],[FECHA DE PAGO]]=0,TODAY()-PROVEEDORES[[#This Row],[FECHA DE FACTURACIÓN]]-PROVEEDORES[[#This Row],[PLAZO Días]],0)</f>
        <v>0</v>
      </c>
      <c r="U2016" s="104">
        <f>+VLOOKUP(PROVEEDORES[[#This Row],[PROVEEDOR]],Terceros!$A:$D,4,FALSE)</f>
        <v>0</v>
      </c>
      <c r="V2016" s="105">
        <f>+YEAR(PROVEEDORES[[#This Row],[FECHA DE FACTURACIÓN]])</f>
        <v>2023</v>
      </c>
      <c r="W2016" s="105">
        <f>+MATCH(PROVEEDORES[[#This Row],[año facturado]],Retenciones!$1:$1,0)</f>
        <v>6</v>
      </c>
      <c r="X2016" s="106">
        <f>+VLOOKUP(PROVEEDORES[[#This Row],[ID RETENCION]],Retenciones!$A$1:$O$25,PROVEEDORES[[#This Row],[indicador de columna]],FALSE)</f>
        <v>0</v>
      </c>
      <c r="Y2016" s="107">
        <f>+VLOOKUP(PROVEEDORES[[#This Row],[ID RETENCION]],Retenciones!$A$1:$O$25,2,FALSE)</f>
        <v>0</v>
      </c>
      <c r="Z2016" s="116" t="b">
        <f>OR(COUNTIF(PROVEEDORES[[#This Row],[PROVEEDOR]],"*"&amp;'Palabra no opera'!$A$2&amp;"*"))</f>
        <v>0</v>
      </c>
    </row>
    <row r="2017" spans="1:26" ht="22.35" customHeight="1" x14ac:dyDescent="0.3">
      <c r="A2017" s="372" t="str">
        <f>+IF(PROVEEDORES[[#This Row],[FECHA DE PAGO]]=PROVEEDORES[[#This Row],[FECHA DE FACTURACIÓN]],"DE CONTADO","CRÉDITO")</f>
        <v>DE CONTADO</v>
      </c>
      <c r="B2017" s="38" t="b">
        <f>+IF((PROVEEDORES[[#This Row],[FECHA DE PAGO]]-PROVEEDORES[[#This Row],[FECHA DE FACTURACIÓN]])&gt;PROVEEDORES[[#This Row],[PLAZO Días]],"PAGO VENCIDO")</f>
        <v>0</v>
      </c>
      <c r="C2017" s="20">
        <f>+VLOOKUP(PROVEEDORES[[#This Row],[PROVEEDOR]],TERCEROS_INFO[#All],2,FALSE)</f>
        <v>30</v>
      </c>
      <c r="D2017" s="25">
        <f>+SUMIFS(PROVEEDORES[Total],PROVEEDORES[PROVEEDOR],PROVEEDORES[[#This Row],[PROVEEDOR]],PROVEEDORES[FECHA DE PAGO],"")</f>
        <v>0</v>
      </c>
      <c r="E2017" s="25"/>
      <c r="F2017" s="56" t="str">
        <f>+VLOOKUP(PROVEEDORES[[#This Row],[PROVEEDOR]],
                       Terceros!$A:$F,
                       5,
                       FALSE)</f>
        <v/>
      </c>
      <c r="G2017" s="68">
        <v>45222</v>
      </c>
      <c r="H2017" s="26" t="s">
        <v>362</v>
      </c>
      <c r="I2017" s="68">
        <v>45222</v>
      </c>
      <c r="J2017" s="35" t="s">
        <v>2049</v>
      </c>
      <c r="K2017" s="21">
        <v>245000</v>
      </c>
      <c r="L2017" s="21"/>
      <c r="M2017" s="22">
        <f>(PROVEEDORES[[#This Row],[SUBTOTAL]]-PROVEEDORES[[#This Row],[descuento sobre subtotal]])*VLOOKUP(PROVEEDORES[[#This Row],[PROVEEDOR]],TERCEROS_INFO[#All],3,FALSE)</f>
        <v>0</v>
      </c>
      <c r="N2017" s="23"/>
      <c r="O2017" s="22">
        <f>+PROVEEDORES[[#This Row],[Descuento sobre subtotal %]]*(PROVEEDORES[[#This Row],[SUBTOTAL]]-PROVEEDORES[[#This Row],[descuento sobre subtotal]])</f>
        <v>0</v>
      </c>
      <c r="P2017" s="74">
        <f>+IF(PROVEEDORES[[#This Row],[SUBTOTAL]]&lt;PROVEEDORES[[#This Row],[base retencion]],0,PROVEEDORES[[#This Row],[retención aplicada]])</f>
        <v>0</v>
      </c>
      <c r="Q2017" s="22">
        <f>+PROVEEDORES[[#This Row],[Rete Fuente %]]*(PROVEEDORES[[#This Row],[SUBTOTAL]]-PROVEEDORES[[#This Row],[descuento sobre subtotal]])</f>
        <v>0</v>
      </c>
      <c r="R2017" s="21">
        <f>+PROVEEDORES[[#This Row],[SUBTOTAL]]+PROVEEDORES[[#This Row],[IVA 19%]]-PROVEEDORES[[#This Row],[descuento sobre subtotal]]-PROVEEDORES[[#This Row],[Descuento sobre subtotal $2]]-PROVEEDORES[[#This Row],[Rete Fuente $]]</f>
        <v>245000</v>
      </c>
      <c r="S2017" s="3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7" s="63">
        <f ca="1">IF(PROVEEDORES[[#This Row],[FECHA DE PAGO]]=0,TODAY()-PROVEEDORES[[#This Row],[FECHA DE FACTURACIÓN]]-PROVEEDORES[[#This Row],[PLAZO Días]],0)</f>
        <v>0</v>
      </c>
      <c r="U2017" s="104">
        <f>+VLOOKUP(PROVEEDORES[[#This Row],[PROVEEDOR]],Terceros!$A:$D,4,FALSE)</f>
        <v>0</v>
      </c>
      <c r="V2017" s="105">
        <f>+YEAR(PROVEEDORES[[#This Row],[FECHA DE FACTURACIÓN]])</f>
        <v>2023</v>
      </c>
      <c r="W2017" s="105">
        <f>+MATCH(PROVEEDORES[[#This Row],[año facturado]],Retenciones!$1:$1,0)</f>
        <v>6</v>
      </c>
      <c r="X2017" s="106">
        <f>+VLOOKUP(PROVEEDORES[[#This Row],[ID RETENCION]],Retenciones!$A$1:$O$25,PROVEEDORES[[#This Row],[indicador de columna]],FALSE)</f>
        <v>0</v>
      </c>
      <c r="Y2017" s="107">
        <f>+VLOOKUP(PROVEEDORES[[#This Row],[ID RETENCION]],Retenciones!$A$1:$O$25,2,FALSE)</f>
        <v>0</v>
      </c>
      <c r="Z2017" s="116" t="b">
        <f>OR(COUNTIF(PROVEEDORES[[#This Row],[PROVEEDOR]],"*"&amp;'Palabra no opera'!$A$2&amp;"*"))</f>
        <v>0</v>
      </c>
    </row>
    <row r="2018" spans="1:26" ht="22.35" customHeight="1" x14ac:dyDescent="0.3">
      <c r="A2018" s="372" t="str">
        <f>+IF(PROVEEDORES[[#This Row],[FECHA DE PAGO]]=PROVEEDORES[[#This Row],[FECHA DE FACTURACIÓN]],"DE CONTADO","CRÉDITO")</f>
        <v>DE CONTADO</v>
      </c>
      <c r="B2018" s="38" t="b">
        <f>+IF((PROVEEDORES[[#This Row],[FECHA DE PAGO]]-PROVEEDORES[[#This Row],[FECHA DE FACTURACIÓN]])&gt;PROVEEDORES[[#This Row],[PLAZO Días]],"PAGO VENCIDO")</f>
        <v>0</v>
      </c>
      <c r="C2018" s="20">
        <f>+VLOOKUP(PROVEEDORES[[#This Row],[PROVEEDOR]],TERCEROS_INFO[#All],2,FALSE)</f>
        <v>30</v>
      </c>
      <c r="D2018" s="25">
        <f>+SUMIFS(PROVEEDORES[Total],PROVEEDORES[PROVEEDOR],PROVEEDORES[[#This Row],[PROVEEDOR]],PROVEEDORES[FECHA DE PAGO],"")</f>
        <v>0</v>
      </c>
      <c r="E2018" s="25"/>
      <c r="F2018" s="56" t="str">
        <f>+VLOOKUP(PROVEEDORES[[#This Row],[PROVEEDOR]],
                       Terceros!$A:$F,
                       5,
                       FALSE)</f>
        <v/>
      </c>
      <c r="G2018" s="68">
        <v>45222</v>
      </c>
      <c r="H2018" s="26" t="s">
        <v>362</v>
      </c>
      <c r="I2018" s="68">
        <v>45222</v>
      </c>
      <c r="J2018" s="35" t="s">
        <v>2050</v>
      </c>
      <c r="K2018" s="21">
        <v>621000</v>
      </c>
      <c r="L2018" s="21"/>
      <c r="M2018" s="22">
        <f>(PROVEEDORES[[#This Row],[SUBTOTAL]]-PROVEEDORES[[#This Row],[descuento sobre subtotal]])*VLOOKUP(PROVEEDORES[[#This Row],[PROVEEDOR]],TERCEROS_INFO[#All],3,FALSE)</f>
        <v>0</v>
      </c>
      <c r="N2018" s="23"/>
      <c r="O2018" s="22">
        <f>+PROVEEDORES[[#This Row],[Descuento sobre subtotal %]]*(PROVEEDORES[[#This Row],[SUBTOTAL]]-PROVEEDORES[[#This Row],[descuento sobre subtotal]])</f>
        <v>0</v>
      </c>
      <c r="P2018" s="74">
        <f>+IF(PROVEEDORES[[#This Row],[SUBTOTAL]]&lt;PROVEEDORES[[#This Row],[base retencion]],0,PROVEEDORES[[#This Row],[retención aplicada]])</f>
        <v>0</v>
      </c>
      <c r="Q2018" s="22">
        <f>+PROVEEDORES[[#This Row],[Rete Fuente %]]*(PROVEEDORES[[#This Row],[SUBTOTAL]]-PROVEEDORES[[#This Row],[descuento sobre subtotal]])</f>
        <v>0</v>
      </c>
      <c r="R2018" s="21">
        <f>+PROVEEDORES[[#This Row],[SUBTOTAL]]+PROVEEDORES[[#This Row],[IVA 19%]]-PROVEEDORES[[#This Row],[descuento sobre subtotal]]-PROVEEDORES[[#This Row],[Descuento sobre subtotal $2]]-PROVEEDORES[[#This Row],[Rete Fuente $]]</f>
        <v>621000</v>
      </c>
      <c r="S2018" s="3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8" s="63">
        <f ca="1">IF(PROVEEDORES[[#This Row],[FECHA DE PAGO]]=0,TODAY()-PROVEEDORES[[#This Row],[FECHA DE FACTURACIÓN]]-PROVEEDORES[[#This Row],[PLAZO Días]],0)</f>
        <v>0</v>
      </c>
      <c r="U2018" s="104">
        <f>+VLOOKUP(PROVEEDORES[[#This Row],[PROVEEDOR]],Terceros!$A:$D,4,FALSE)</f>
        <v>0</v>
      </c>
      <c r="V2018" s="105">
        <f>+YEAR(PROVEEDORES[[#This Row],[FECHA DE FACTURACIÓN]])</f>
        <v>2023</v>
      </c>
      <c r="W2018" s="105">
        <f>+MATCH(PROVEEDORES[[#This Row],[año facturado]],Retenciones!$1:$1,0)</f>
        <v>6</v>
      </c>
      <c r="X2018" s="106">
        <f>+VLOOKUP(PROVEEDORES[[#This Row],[ID RETENCION]],Retenciones!$A$1:$O$25,PROVEEDORES[[#This Row],[indicador de columna]],FALSE)</f>
        <v>0</v>
      </c>
      <c r="Y2018" s="107">
        <f>+VLOOKUP(PROVEEDORES[[#This Row],[ID RETENCION]],Retenciones!$A$1:$O$25,2,FALSE)</f>
        <v>0</v>
      </c>
      <c r="Z2018" s="116" t="b">
        <f>OR(COUNTIF(PROVEEDORES[[#This Row],[PROVEEDOR]],"*"&amp;'Palabra no opera'!$A$2&amp;"*"))</f>
        <v>0</v>
      </c>
    </row>
    <row r="2019" spans="1:26" ht="22.35" customHeight="1" x14ac:dyDescent="0.3">
      <c r="A2019" s="372" t="str">
        <f>+IF(PROVEEDORES[[#This Row],[FECHA DE PAGO]]=PROVEEDORES[[#This Row],[FECHA DE FACTURACIÓN]],"DE CONTADO","CRÉDITO")</f>
        <v>DE CONTADO</v>
      </c>
      <c r="B2019" s="38" t="b">
        <f>+IF((PROVEEDORES[[#This Row],[FECHA DE PAGO]]-PROVEEDORES[[#This Row],[FECHA DE FACTURACIÓN]])&gt;PROVEEDORES[[#This Row],[PLAZO Días]],"PAGO VENCIDO")</f>
        <v>0</v>
      </c>
      <c r="C2019" s="20">
        <f>+VLOOKUP(PROVEEDORES[[#This Row],[PROVEEDOR]],TERCEROS_INFO[#All],2,FALSE)</f>
        <v>30</v>
      </c>
      <c r="D2019" s="25">
        <f>+SUMIFS(PROVEEDORES[Total],PROVEEDORES[PROVEEDOR],PROVEEDORES[[#This Row],[PROVEEDOR]],PROVEEDORES[FECHA DE PAGO],"")</f>
        <v>0</v>
      </c>
      <c r="E2019" s="25"/>
      <c r="F2019" s="56" t="str">
        <f>+VLOOKUP(PROVEEDORES[[#This Row],[PROVEEDOR]],
                       Terceros!$A:$F,
                       5,
                       FALSE)</f>
        <v/>
      </c>
      <c r="G2019" s="68">
        <v>45222</v>
      </c>
      <c r="H2019" s="26" t="s">
        <v>362</v>
      </c>
      <c r="I2019" s="68">
        <v>45222</v>
      </c>
      <c r="J2019" s="35" t="s">
        <v>2051</v>
      </c>
      <c r="K2019" s="21">
        <v>1200000</v>
      </c>
      <c r="L2019" s="21"/>
      <c r="M2019" s="22">
        <f>(PROVEEDORES[[#This Row],[SUBTOTAL]]-PROVEEDORES[[#This Row],[descuento sobre subtotal]])*VLOOKUP(PROVEEDORES[[#This Row],[PROVEEDOR]],TERCEROS_INFO[#All],3,FALSE)</f>
        <v>0</v>
      </c>
      <c r="N2019" s="23"/>
      <c r="O2019" s="22">
        <f>+PROVEEDORES[[#This Row],[Descuento sobre subtotal %]]*(PROVEEDORES[[#This Row],[SUBTOTAL]]-PROVEEDORES[[#This Row],[descuento sobre subtotal]])</f>
        <v>0</v>
      </c>
      <c r="P2019" s="74">
        <f>+IF(PROVEEDORES[[#This Row],[SUBTOTAL]]&lt;PROVEEDORES[[#This Row],[base retencion]],0,PROVEEDORES[[#This Row],[retención aplicada]])</f>
        <v>0</v>
      </c>
      <c r="Q2019" s="22">
        <f>+PROVEEDORES[[#This Row],[Rete Fuente %]]*(PROVEEDORES[[#This Row],[SUBTOTAL]]-PROVEEDORES[[#This Row],[descuento sobre subtotal]])</f>
        <v>0</v>
      </c>
      <c r="R2019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2019" s="3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9" s="63">
        <f ca="1">IF(PROVEEDORES[[#This Row],[FECHA DE PAGO]]=0,TODAY()-PROVEEDORES[[#This Row],[FECHA DE FACTURACIÓN]]-PROVEEDORES[[#This Row],[PLAZO Días]],0)</f>
        <v>0</v>
      </c>
      <c r="U2019" s="104">
        <f>+VLOOKUP(PROVEEDORES[[#This Row],[PROVEEDOR]],Terceros!$A:$D,4,FALSE)</f>
        <v>0</v>
      </c>
      <c r="V2019" s="105">
        <f>+YEAR(PROVEEDORES[[#This Row],[FECHA DE FACTURACIÓN]])</f>
        <v>2023</v>
      </c>
      <c r="W2019" s="105">
        <f>+MATCH(PROVEEDORES[[#This Row],[año facturado]],Retenciones!$1:$1,0)</f>
        <v>6</v>
      </c>
      <c r="X2019" s="106">
        <f>+VLOOKUP(PROVEEDORES[[#This Row],[ID RETENCION]],Retenciones!$A$1:$O$25,PROVEEDORES[[#This Row],[indicador de columna]],FALSE)</f>
        <v>0</v>
      </c>
      <c r="Y2019" s="107">
        <f>+VLOOKUP(PROVEEDORES[[#This Row],[ID RETENCION]],Retenciones!$A$1:$O$25,2,FALSE)</f>
        <v>0</v>
      </c>
      <c r="Z2019" s="116" t="b">
        <f>OR(COUNTIF(PROVEEDORES[[#This Row],[PROVEEDOR]],"*"&amp;'Palabra no opera'!$A$2&amp;"*"))</f>
        <v>0</v>
      </c>
    </row>
    <row r="2020" spans="1:26" ht="22.35" customHeight="1" x14ac:dyDescent="0.3">
      <c r="A2020" s="67" t="str">
        <f>+IF(PROVEEDORES[[#This Row],[FECHA DE PAGO]]=PROVEEDORES[[#This Row],[FECHA DE FACTURACIÓN]],"DE CONTADO","CRÉDITO")</f>
        <v>CRÉDITO</v>
      </c>
      <c r="B2020" s="38" t="b">
        <f>+IF((PROVEEDORES[[#This Row],[FECHA DE PAGO]]-PROVEEDORES[[#This Row],[FECHA DE FACTURACIÓN]])&gt;PROVEEDORES[[#This Row],[PLAZO Días]],"PAGO VENCIDO")</f>
        <v>0</v>
      </c>
      <c r="C2020" s="20">
        <f>+VLOOKUP(PROVEEDORES[[#This Row],[PROVEEDOR]],TERCEROS_INFO[#All],2,FALSE)</f>
        <v>30</v>
      </c>
      <c r="D2020" s="25">
        <f>+SUMIFS(PROVEEDORES[Total],PROVEEDORES[PROVEEDOR],PROVEEDORES[[#This Row],[PROVEEDOR]],PROVEEDORES[FECHA DE PAGO],"")</f>
        <v>0</v>
      </c>
      <c r="E2020" s="25"/>
      <c r="F2020" s="56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2020" s="68">
        <v>45222</v>
      </c>
      <c r="H2020" s="26" t="s">
        <v>373</v>
      </c>
      <c r="I2020" s="68">
        <v>45219</v>
      </c>
      <c r="J2020" s="35" t="s">
        <v>2043</v>
      </c>
      <c r="K2020" s="21">
        <v>2074832</v>
      </c>
      <c r="L2020" s="21"/>
      <c r="M2020" s="22">
        <f>(PROVEEDORES[[#This Row],[SUBTOTAL]]-PROVEEDORES[[#This Row],[descuento sobre subtotal]])*VLOOKUP(PROVEEDORES[[#This Row],[PROVEEDOR]],TERCEROS_INFO[#All],3,FALSE)</f>
        <v>0</v>
      </c>
      <c r="N2020" s="23"/>
      <c r="O2020" s="22">
        <f>+PROVEEDORES[[#This Row],[Descuento sobre subtotal %]]*(PROVEEDORES[[#This Row],[SUBTOTAL]]-PROVEEDORES[[#This Row],[descuento sobre subtotal]])</f>
        <v>0</v>
      </c>
      <c r="P2020" s="74">
        <f>+IF(PROVEEDORES[[#This Row],[SUBTOTAL]]&lt;PROVEEDORES[[#This Row],[base retencion]],0,PROVEEDORES[[#This Row],[retención aplicada]])</f>
        <v>0</v>
      </c>
      <c r="Q2020" s="22">
        <f>+PROVEEDORES[[#This Row],[Rete Fuente %]]*(PROVEEDORES[[#This Row],[SUBTOTAL]]-PROVEEDORES[[#This Row],[descuento sobre subtotal]])</f>
        <v>0</v>
      </c>
      <c r="R2020" s="21">
        <f>+PROVEEDORES[[#This Row],[SUBTOTAL]]+PROVEEDORES[[#This Row],[IVA 19%]]-PROVEEDORES[[#This Row],[descuento sobre subtotal]]-PROVEEDORES[[#This Row],[Descuento sobre subtotal $2]]-PROVEEDORES[[#This Row],[Rete Fuente $]]</f>
        <v>2074832</v>
      </c>
      <c r="S202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0" s="63">
        <f ca="1">IF(PROVEEDORES[[#This Row],[FECHA DE PAGO]]=0,TODAY()-PROVEEDORES[[#This Row],[FECHA DE FACTURACIÓN]]-PROVEEDORES[[#This Row],[PLAZO Días]],0)</f>
        <v>0</v>
      </c>
      <c r="U2020" s="104">
        <f>+VLOOKUP(PROVEEDORES[[#This Row],[PROVEEDOR]],Terceros!$A:$D,4,FALSE)</f>
        <v>0</v>
      </c>
      <c r="V2020" s="105">
        <f>+YEAR(PROVEEDORES[[#This Row],[FECHA DE FACTURACIÓN]])</f>
        <v>2023</v>
      </c>
      <c r="W2020" s="105">
        <f>+MATCH(PROVEEDORES[[#This Row],[año facturado]],Retenciones!$1:$1,0)</f>
        <v>6</v>
      </c>
      <c r="X2020" s="106">
        <f>+VLOOKUP(PROVEEDORES[[#This Row],[ID RETENCION]],Retenciones!$A$1:$O$25,PROVEEDORES[[#This Row],[indicador de columna]],FALSE)</f>
        <v>0</v>
      </c>
      <c r="Y2020" s="107">
        <f>+VLOOKUP(PROVEEDORES[[#This Row],[ID RETENCION]],Retenciones!$A$1:$O$25,2,FALSE)</f>
        <v>0</v>
      </c>
      <c r="Z2020" s="116" t="b">
        <f>OR(COUNTIF(PROVEEDORES[[#This Row],[PROVEEDOR]],"*"&amp;'Palabra no opera'!$A$2&amp;"*"))</f>
        <v>0</v>
      </c>
    </row>
    <row r="2021" spans="1:26" ht="22.35" customHeight="1" x14ac:dyDescent="0.3">
      <c r="A2021" s="67" t="str">
        <f>+IF(PROVEEDORES[[#This Row],[FECHA DE PAGO]]=PROVEEDORES[[#This Row],[FECHA DE FACTURACIÓN]],"DE CONTADO","CRÉDITO")</f>
        <v>CRÉDITO</v>
      </c>
      <c r="B2021" s="38" t="b">
        <f>+IF((PROVEEDORES[[#This Row],[FECHA DE PAGO]]-PROVEEDORES[[#This Row],[FECHA DE FACTURACIÓN]])&gt;PROVEEDORES[[#This Row],[PLAZO Días]],"PAGO VENCIDO")</f>
        <v>0</v>
      </c>
      <c r="C2021" s="20">
        <f>+VLOOKUP(PROVEEDORES[[#This Row],[PROVEEDOR]],TERCEROS_INFO[#All],2,FALSE)</f>
        <v>30</v>
      </c>
      <c r="D2021" s="25">
        <f>+SUMIFS(PROVEEDORES[Total],PROVEEDORES[PROVEEDOR],PROVEEDORES[[#This Row],[PROVEEDOR]],PROVEEDORES[FECHA DE PAGO],"")</f>
        <v>0</v>
      </c>
      <c r="E2021" s="25"/>
      <c r="F2021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2021" s="68">
        <v>45222</v>
      </c>
      <c r="H2021" s="26" t="s">
        <v>2038</v>
      </c>
      <c r="I2021" s="68">
        <v>45220</v>
      </c>
      <c r="J2021" s="35" t="s">
        <v>2039</v>
      </c>
      <c r="K2021" s="21">
        <v>973672</v>
      </c>
      <c r="L2021" s="21"/>
      <c r="M2021" s="22">
        <v>178538</v>
      </c>
      <c r="N2021" s="23"/>
      <c r="O2021" s="22">
        <f>+PROVEEDORES[[#This Row],[Descuento sobre subtotal %]]*(PROVEEDORES[[#This Row],[SUBTOTAL]]-PROVEEDORES[[#This Row],[descuento sobre subtotal]])</f>
        <v>0</v>
      </c>
      <c r="P2021" s="74">
        <f>+IF(PROVEEDORES[[#This Row],[SUBTOTAL]]&lt;PROVEEDORES[[#This Row],[base retencion]],0,PROVEEDORES[[#This Row],[retención aplicada]])</f>
        <v>0</v>
      </c>
      <c r="Q2021" s="22">
        <f>+PROVEEDORES[[#This Row],[Rete Fuente %]]*(PROVEEDORES[[#This Row],[SUBTOTAL]]-PROVEEDORES[[#This Row],[descuento sobre subtotal]])</f>
        <v>0</v>
      </c>
      <c r="R2021" s="21">
        <f>+PROVEEDORES[[#This Row],[SUBTOTAL]]+PROVEEDORES[[#This Row],[IVA 19%]]-PROVEEDORES[[#This Row],[descuento sobre subtotal]]-PROVEEDORES[[#This Row],[Descuento sobre subtotal $2]]-PROVEEDORES[[#This Row],[Rete Fuente $]]</f>
        <v>1152210</v>
      </c>
      <c r="S20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1" s="63">
        <f ca="1">IF(PROVEEDORES[[#This Row],[FECHA DE PAGO]]=0,TODAY()-PROVEEDORES[[#This Row],[FECHA DE FACTURACIÓN]]-PROVEEDORES[[#This Row],[PLAZO Días]],0)</f>
        <v>0</v>
      </c>
      <c r="U2021" s="104" t="str">
        <f>+VLOOKUP(PROVEEDORES[[#This Row],[PROVEEDOR]],Terceros!$A:$D,4,FALSE)</f>
        <v>2,5% con base</v>
      </c>
      <c r="V2021" s="105">
        <f>+YEAR(PROVEEDORES[[#This Row],[FECHA DE FACTURACIÓN]])</f>
        <v>2023</v>
      </c>
      <c r="W2021" s="105">
        <f>+MATCH(PROVEEDORES[[#This Row],[año facturado]],Retenciones!$1:$1,0)</f>
        <v>6</v>
      </c>
      <c r="X2021" s="106">
        <f>+VLOOKUP(PROVEEDORES[[#This Row],[ID RETENCION]],Retenciones!$A$1:$O$25,PROVEEDORES[[#This Row],[indicador de columna]],FALSE)</f>
        <v>1145000</v>
      </c>
      <c r="Y2021" s="107">
        <f>+VLOOKUP(PROVEEDORES[[#This Row],[ID RETENCION]],Retenciones!$A$1:$O$25,2,FALSE)</f>
        <v>2.5000000000000001E-2</v>
      </c>
      <c r="Z2021" s="116" t="b">
        <f>OR(COUNTIF(PROVEEDORES[[#This Row],[PROVEEDOR]],"*"&amp;'Palabra no opera'!$A$2&amp;"*"))</f>
        <v>0</v>
      </c>
    </row>
    <row r="2022" spans="1:26" ht="22.35" customHeight="1" x14ac:dyDescent="0.3">
      <c r="A2022" s="67" t="str">
        <f>+IF(PROVEEDORES[[#This Row],[FECHA DE PAGO]]=PROVEEDORES[[#This Row],[FECHA DE FACTURACIÓN]],"DE CONTADO","CRÉDITO")</f>
        <v>CRÉDITO</v>
      </c>
      <c r="B2022" s="38" t="b">
        <f>+IF((PROVEEDORES[[#This Row],[FECHA DE PAGO]]-PROVEEDORES[[#This Row],[FECHA DE FACTURACIÓN]])&gt;PROVEEDORES[[#This Row],[PLAZO Días]],"PAGO VENCIDO")</f>
        <v>0</v>
      </c>
      <c r="C2022" s="20">
        <f>+VLOOKUP(PROVEEDORES[[#This Row],[PROVEEDOR]],TERCEROS_INFO[#All],2,FALSE)</f>
        <v>30</v>
      </c>
      <c r="D2022" s="25">
        <f>+SUMIFS(PROVEEDORES[Total],PROVEEDORES[PROVEEDOR],PROVEEDORES[[#This Row],[PROVEEDOR]],PROVEEDORES[FECHA DE PAGO],"")</f>
        <v>0</v>
      </c>
      <c r="E2022" s="25"/>
      <c r="F2022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022" s="68">
        <v>45222</v>
      </c>
      <c r="H2022" s="26" t="s">
        <v>635</v>
      </c>
      <c r="I2022" s="68">
        <v>45219</v>
      </c>
      <c r="J2022" s="35" t="s">
        <v>2040</v>
      </c>
      <c r="K2022" s="21">
        <v>3456200</v>
      </c>
      <c r="L2022" s="21"/>
      <c r="M2022" s="22">
        <f>(PROVEEDORES[[#This Row],[SUBTOTAL]]-PROVEEDORES[[#This Row],[descuento sobre subtotal]])*VLOOKUP(PROVEEDORES[[#This Row],[PROVEEDOR]],TERCEROS_INFO[#All],3,FALSE)</f>
        <v>0</v>
      </c>
      <c r="N2022" s="23"/>
      <c r="O2022" s="22">
        <f>+PROVEEDORES[[#This Row],[Descuento sobre subtotal %]]*(PROVEEDORES[[#This Row],[SUBTOTAL]]-PROVEEDORES[[#This Row],[descuento sobre subtotal]])</f>
        <v>0</v>
      </c>
      <c r="P2022" s="74">
        <f>+IF(PROVEEDORES[[#This Row],[SUBTOTAL]]&lt;PROVEEDORES[[#This Row],[base retencion]],0,PROVEEDORES[[#This Row],[retención aplicada]])</f>
        <v>3.5000000000000003E-2</v>
      </c>
      <c r="Q2022" s="22">
        <f>+PROVEEDORES[[#This Row],[Rete Fuente %]]*(PROVEEDORES[[#This Row],[SUBTOTAL]]-PROVEEDORES[[#This Row],[descuento sobre subtotal]])</f>
        <v>120967.00000000001</v>
      </c>
      <c r="R2022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20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2" s="63">
        <f ca="1">IF(PROVEEDORES[[#This Row],[FECHA DE PAGO]]=0,TODAY()-PROVEEDORES[[#This Row],[FECHA DE FACTURACIÓN]]-PROVEEDORES[[#This Row],[PLAZO Días]],0)</f>
        <v>0</v>
      </c>
      <c r="U2022" s="104" t="str">
        <f>+VLOOKUP(PROVEEDORES[[#This Row],[PROVEEDOR]],Terceros!$A:$D,4,FALSE)</f>
        <v>3,5% sin base</v>
      </c>
      <c r="V2022" s="105">
        <f>+YEAR(PROVEEDORES[[#This Row],[FECHA DE FACTURACIÓN]])</f>
        <v>2023</v>
      </c>
      <c r="W2022" s="105">
        <f>+MATCH(PROVEEDORES[[#This Row],[año facturado]],Retenciones!$1:$1,0)</f>
        <v>6</v>
      </c>
      <c r="X2022" s="106">
        <f>+VLOOKUP(PROVEEDORES[[#This Row],[ID RETENCION]],Retenciones!$A$1:$O$25,PROVEEDORES[[#This Row],[indicador de columna]],FALSE)</f>
        <v>0</v>
      </c>
      <c r="Y2022" s="107">
        <f>+VLOOKUP(PROVEEDORES[[#This Row],[ID RETENCION]],Retenciones!$A$1:$O$25,2,FALSE)</f>
        <v>3.5000000000000003E-2</v>
      </c>
      <c r="Z2022" s="116" t="b">
        <f>OR(COUNTIF(PROVEEDORES[[#This Row],[PROVEEDOR]],"*"&amp;'Palabra no opera'!$A$2&amp;"*"))</f>
        <v>1</v>
      </c>
    </row>
    <row r="2023" spans="1:26" ht="22.35" customHeight="1" x14ac:dyDescent="0.3">
      <c r="A2023" s="67" t="str">
        <f>+IF(PROVEEDORES[[#This Row],[FECHA DE PAGO]]=PROVEEDORES[[#This Row],[FECHA DE FACTURACIÓN]],"DE CONTADO","CRÉDITO")</f>
        <v>CRÉDITO</v>
      </c>
      <c r="B2023" s="38" t="str">
        <f>+IF((PROVEEDORES[[#This Row],[FECHA DE PAGO]]-PROVEEDORES[[#This Row],[FECHA DE FACTURACIÓN]])&gt;PROVEEDORES[[#This Row],[PLAZO Días]],"PAGO VENCIDO")</f>
        <v>PAGO VENCIDO</v>
      </c>
      <c r="C2023" s="20">
        <f>+VLOOKUP(PROVEEDORES[[#This Row],[PROVEEDOR]],TERCEROS_INFO[#All],2,FALSE)</f>
        <v>30</v>
      </c>
      <c r="D2023" s="25">
        <f>+SUMIFS(PROVEEDORES[Total],PROVEEDORES[PROVEEDOR],PROVEEDORES[[#This Row],[PROVEEDOR]],PROVEEDORES[FECHA DE PAGO],"")</f>
        <v>0</v>
      </c>
      <c r="E2023" s="25"/>
      <c r="F2023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023" s="68">
        <v>45222</v>
      </c>
      <c r="H2023" s="26" t="s">
        <v>1069</v>
      </c>
      <c r="I2023" s="68">
        <v>45187</v>
      </c>
      <c r="J2023" s="35" t="s">
        <v>1969</v>
      </c>
      <c r="K2023" s="21">
        <v>2762184</v>
      </c>
      <c r="L2023" s="21"/>
      <c r="M2023" s="22">
        <f>(PROVEEDORES[[#This Row],[SUBTOTAL]]-PROVEEDORES[[#This Row],[descuento sobre subtotal]])*VLOOKUP(PROVEEDORES[[#This Row],[PROVEEDOR]],TERCEROS_INFO[#All],3,FALSE)</f>
        <v>524814.96</v>
      </c>
      <c r="N2023" s="23"/>
      <c r="O2023" s="22">
        <f>+PROVEEDORES[[#This Row],[Descuento sobre subtotal %]]*(PROVEEDORES[[#This Row],[SUBTOTAL]]-PROVEEDORES[[#This Row],[descuento sobre subtotal]])</f>
        <v>0</v>
      </c>
      <c r="P2023" s="74">
        <f>+IF(PROVEEDORES[[#This Row],[SUBTOTAL]]&lt;PROVEEDORES[[#This Row],[base retencion]],0,PROVEEDORES[[#This Row],[retención aplicada]])</f>
        <v>2.5000000000000001E-2</v>
      </c>
      <c r="Q2023" s="22">
        <f>+PROVEEDORES[[#This Row],[Rete Fuente %]]*(PROVEEDORES[[#This Row],[SUBTOTAL]]-PROVEEDORES[[#This Row],[descuento sobre subtotal]])</f>
        <v>69054.600000000006</v>
      </c>
      <c r="R2023" s="21">
        <f>+PROVEEDORES[[#This Row],[SUBTOTAL]]+PROVEEDORES[[#This Row],[IVA 19%]]-PROVEEDORES[[#This Row],[descuento sobre subtotal]]-PROVEEDORES[[#This Row],[Descuento sobre subtotal $2]]-PROVEEDORES[[#This Row],[Rete Fuente $]]</f>
        <v>3217944.36</v>
      </c>
      <c r="S202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3" s="63">
        <f ca="1">IF(PROVEEDORES[[#This Row],[FECHA DE PAGO]]=0,TODAY()-PROVEEDORES[[#This Row],[FECHA DE FACTURACIÓN]]-PROVEEDORES[[#This Row],[PLAZO Días]],0)</f>
        <v>0</v>
      </c>
      <c r="U2023" s="104" t="str">
        <f>+VLOOKUP(PROVEEDORES[[#This Row],[PROVEEDOR]],Terceros!$A:$D,4,FALSE)</f>
        <v>2,5% con base</v>
      </c>
      <c r="V2023" s="105">
        <f>+YEAR(PROVEEDORES[[#This Row],[FECHA DE FACTURACIÓN]])</f>
        <v>2023</v>
      </c>
      <c r="W2023" s="105">
        <f>+MATCH(PROVEEDORES[[#This Row],[año facturado]],Retenciones!$1:$1,0)</f>
        <v>6</v>
      </c>
      <c r="X2023" s="106">
        <f>+VLOOKUP(PROVEEDORES[[#This Row],[ID RETENCION]],Retenciones!$A$1:$O$25,PROVEEDORES[[#This Row],[indicador de columna]],FALSE)</f>
        <v>1145000</v>
      </c>
      <c r="Y2023" s="107">
        <f>+VLOOKUP(PROVEEDORES[[#This Row],[ID RETENCION]],Retenciones!$A$1:$O$25,2,FALSE)</f>
        <v>2.5000000000000001E-2</v>
      </c>
      <c r="Z2023" s="116" t="b">
        <f>OR(COUNTIF(PROVEEDORES[[#This Row],[PROVEEDOR]],"*"&amp;'Palabra no opera'!$A$2&amp;"*"))</f>
        <v>0</v>
      </c>
    </row>
    <row r="2024" spans="1:26" ht="22.35" customHeight="1" x14ac:dyDescent="0.3">
      <c r="A2024" s="67" t="str">
        <f>+IF(PROVEEDORES[[#This Row],[FECHA DE PAGO]]=PROVEEDORES[[#This Row],[FECHA DE FACTURACIÓN]],"DE CONTADO","CRÉDITO")</f>
        <v>CRÉDITO</v>
      </c>
      <c r="B2024" s="38" t="b">
        <f>+IF((PROVEEDORES[[#This Row],[FECHA DE PAGO]]-PROVEEDORES[[#This Row],[FECHA DE FACTURACIÓN]])&gt;PROVEEDORES[[#This Row],[PLAZO Días]],"PAGO VENCIDO")</f>
        <v>0</v>
      </c>
      <c r="C2024" s="20">
        <f>+VLOOKUP(PROVEEDORES[[#This Row],[PROVEEDOR]],TERCEROS_INFO[#All],2,FALSE)</f>
        <v>30</v>
      </c>
      <c r="D2024" s="25">
        <f>+SUMIFS(PROVEEDORES[Total],PROVEEDORES[PROVEEDOR],PROVEEDORES[[#This Row],[PROVEEDOR]],PROVEEDORES[FECHA DE PAGO],"")</f>
        <v>0</v>
      </c>
      <c r="E2024" s="25"/>
      <c r="F202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24" s="68">
        <v>45223</v>
      </c>
      <c r="H2024" s="26" t="s">
        <v>637</v>
      </c>
      <c r="I2024" s="68">
        <v>45200</v>
      </c>
      <c r="J2024" s="35" t="s">
        <v>2041</v>
      </c>
      <c r="K2024" s="21">
        <v>934363</v>
      </c>
      <c r="L2024" s="21"/>
      <c r="M2024" s="22">
        <f>(PROVEEDORES[[#This Row],[SUBTOTAL]]-PROVEEDORES[[#This Row],[descuento sobre subtotal]])*VLOOKUP(PROVEEDORES[[#This Row],[PROVEEDOR]],TERCEROS_INFO[#All],3,FALSE)</f>
        <v>0</v>
      </c>
      <c r="N2024" s="23"/>
      <c r="O2024" s="22">
        <f>+PROVEEDORES[[#This Row],[Descuento sobre subtotal %]]*(PROVEEDORES[[#This Row],[SUBTOTAL]]-PROVEEDORES[[#This Row],[descuento sobre subtotal]])</f>
        <v>0</v>
      </c>
      <c r="P2024" s="74">
        <f>+IF(PROVEEDORES[[#This Row],[SUBTOTAL]]&lt;PROVEEDORES[[#This Row],[base retencion]],0,PROVEEDORES[[#This Row],[retención aplicada]])</f>
        <v>0</v>
      </c>
      <c r="Q2024" s="22">
        <f>+PROVEEDORES[[#This Row],[Rete Fuente %]]*(PROVEEDORES[[#This Row],[SUBTOTAL]]-PROVEEDORES[[#This Row],[descuento sobre subtotal]])</f>
        <v>0</v>
      </c>
      <c r="R2024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20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4" s="63">
        <f ca="1">IF(PROVEEDORES[[#This Row],[FECHA DE PAGO]]=0,TODAY()-PROVEEDORES[[#This Row],[FECHA DE FACTURACIÓN]]-PROVEEDORES[[#This Row],[PLAZO Días]],0)</f>
        <v>0</v>
      </c>
      <c r="U2024" s="104">
        <f>+VLOOKUP(PROVEEDORES[[#This Row],[PROVEEDOR]],Terceros!$A:$D,4,FALSE)</f>
        <v>0</v>
      </c>
      <c r="V2024" s="105">
        <f>+YEAR(PROVEEDORES[[#This Row],[FECHA DE FACTURACIÓN]])</f>
        <v>2023</v>
      </c>
      <c r="W2024" s="105">
        <f>+MATCH(PROVEEDORES[[#This Row],[año facturado]],Retenciones!$1:$1,0)</f>
        <v>6</v>
      </c>
      <c r="X2024" s="106">
        <f>+VLOOKUP(PROVEEDORES[[#This Row],[ID RETENCION]],Retenciones!$A$1:$O$25,PROVEEDORES[[#This Row],[indicador de columna]],FALSE)</f>
        <v>0</v>
      </c>
      <c r="Y2024" s="107">
        <f>+VLOOKUP(PROVEEDORES[[#This Row],[ID RETENCION]],Retenciones!$A$1:$O$25,2,FALSE)</f>
        <v>0</v>
      </c>
      <c r="Z2024" s="116" t="b">
        <f>OR(COUNTIF(PROVEEDORES[[#This Row],[PROVEEDOR]],"*"&amp;'Palabra no opera'!$A$2&amp;"*"))</f>
        <v>1</v>
      </c>
    </row>
    <row r="2025" spans="1:26" ht="22.35" customHeight="1" x14ac:dyDescent="0.3">
      <c r="A2025" s="67" t="str">
        <f>+IF(PROVEEDORES[[#This Row],[FECHA DE PAGO]]=PROVEEDORES[[#This Row],[FECHA DE FACTURACIÓN]],"DE CONTADO","CRÉDITO")</f>
        <v>CRÉDITO</v>
      </c>
      <c r="B2025" s="38" t="b">
        <f>+IF((PROVEEDORES[[#This Row],[FECHA DE PAGO]]-PROVEEDORES[[#This Row],[FECHA DE FACTURACIÓN]])&gt;PROVEEDORES[[#This Row],[PLAZO Días]],"PAGO VENCIDO")</f>
        <v>0</v>
      </c>
      <c r="C2025" s="20">
        <f>+VLOOKUP(PROVEEDORES[[#This Row],[PROVEEDOR]],TERCEROS_INFO[#All],2,FALSE)</f>
        <v>30</v>
      </c>
      <c r="D2025" s="25">
        <f>+SUMIFS(PROVEEDORES[Total],PROVEEDORES[PROVEEDOR],PROVEEDORES[[#This Row],[PROVEEDOR]],PROVEEDORES[FECHA DE PAGO],"")</f>
        <v>0</v>
      </c>
      <c r="E2025" s="25"/>
      <c r="F202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25" s="68">
        <v>45223</v>
      </c>
      <c r="H2025" s="26" t="s">
        <v>637</v>
      </c>
      <c r="I2025" s="68">
        <v>45200</v>
      </c>
      <c r="J2025" s="35" t="s">
        <v>2042</v>
      </c>
      <c r="K2025" s="21">
        <v>914023</v>
      </c>
      <c r="L2025" s="21"/>
      <c r="M2025" s="22">
        <f>(PROVEEDORES[[#This Row],[SUBTOTAL]]-PROVEEDORES[[#This Row],[descuento sobre subtotal]])*VLOOKUP(PROVEEDORES[[#This Row],[PROVEEDOR]],TERCEROS_INFO[#All],3,FALSE)</f>
        <v>0</v>
      </c>
      <c r="N2025" s="23"/>
      <c r="O2025" s="22">
        <f>+PROVEEDORES[[#This Row],[Descuento sobre subtotal %]]*(PROVEEDORES[[#This Row],[SUBTOTAL]]-PROVEEDORES[[#This Row],[descuento sobre subtotal]])</f>
        <v>0</v>
      </c>
      <c r="P2025" s="74">
        <f>+IF(PROVEEDORES[[#This Row],[SUBTOTAL]]&lt;PROVEEDORES[[#This Row],[base retencion]],0,PROVEEDORES[[#This Row],[retención aplicada]])</f>
        <v>0</v>
      </c>
      <c r="Q2025" s="22">
        <f>+PROVEEDORES[[#This Row],[Rete Fuente %]]*(PROVEEDORES[[#This Row],[SUBTOTAL]]-PROVEEDORES[[#This Row],[descuento sobre subtotal]])</f>
        <v>0</v>
      </c>
      <c r="R2025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202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5" s="63">
        <f ca="1">IF(PROVEEDORES[[#This Row],[FECHA DE PAGO]]=0,TODAY()-PROVEEDORES[[#This Row],[FECHA DE FACTURACIÓN]]-PROVEEDORES[[#This Row],[PLAZO Días]],0)</f>
        <v>0</v>
      </c>
      <c r="U2025" s="104">
        <f>+VLOOKUP(PROVEEDORES[[#This Row],[PROVEEDOR]],Terceros!$A:$D,4,FALSE)</f>
        <v>0</v>
      </c>
      <c r="V2025" s="105">
        <f>+YEAR(PROVEEDORES[[#This Row],[FECHA DE FACTURACIÓN]])</f>
        <v>2023</v>
      </c>
      <c r="W2025" s="105">
        <f>+MATCH(PROVEEDORES[[#This Row],[año facturado]],Retenciones!$1:$1,0)</f>
        <v>6</v>
      </c>
      <c r="X2025" s="106">
        <f>+VLOOKUP(PROVEEDORES[[#This Row],[ID RETENCION]],Retenciones!$A$1:$O$25,PROVEEDORES[[#This Row],[indicador de columna]],FALSE)</f>
        <v>0</v>
      </c>
      <c r="Y2025" s="107">
        <f>+VLOOKUP(PROVEEDORES[[#This Row],[ID RETENCION]],Retenciones!$A$1:$O$25,2,FALSE)</f>
        <v>0</v>
      </c>
      <c r="Z2025" s="116" t="b">
        <f>OR(COUNTIF(PROVEEDORES[[#This Row],[PROVEEDOR]],"*"&amp;'Palabra no opera'!$A$2&amp;"*"))</f>
        <v>1</v>
      </c>
    </row>
    <row r="2026" spans="1:26" ht="22.35" customHeight="1" x14ac:dyDescent="0.3">
      <c r="A2026" s="372" t="str">
        <f>+IF(PROVEEDORES[[#This Row],[FECHA DE PAGO]]=PROVEEDORES[[#This Row],[FECHA DE FACTURACIÓN]],"DE CONTADO","CRÉDITO")</f>
        <v>DE CONTADO</v>
      </c>
      <c r="B2026" s="38" t="b">
        <f>+IF((PROVEEDORES[[#This Row],[FECHA DE PAGO]]-PROVEEDORES[[#This Row],[FECHA DE FACTURACIÓN]])&gt;PROVEEDORES[[#This Row],[PLAZO Días]],"PAGO VENCIDO")</f>
        <v>0</v>
      </c>
      <c r="C2026" s="20">
        <f>+VLOOKUP(PROVEEDORES[[#This Row],[PROVEEDOR]],TERCEROS_INFO[#All],2,FALSE)</f>
        <v>30</v>
      </c>
      <c r="D2026" s="25">
        <f>+SUMIFS(PROVEEDORES[Total],PROVEEDORES[PROVEEDOR],PROVEEDORES[[#This Row],[PROVEEDOR]],PROVEEDORES[FECHA DE PAGO],"")</f>
        <v>0</v>
      </c>
      <c r="E2026" s="25"/>
      <c r="F2026" s="56" t="str">
        <f>+VLOOKUP(PROVEEDORES[[#This Row],[PROVEEDOR]],
                       Terceros!$A:$F,
                       5,
                       FALSE)</f>
        <v/>
      </c>
      <c r="G2026" s="68">
        <v>45224</v>
      </c>
      <c r="H2026" s="26" t="s">
        <v>390</v>
      </c>
      <c r="I2026" s="68">
        <v>45224</v>
      </c>
      <c r="J2026" s="35"/>
      <c r="K2026" s="21">
        <v>800000</v>
      </c>
      <c r="L2026" s="21"/>
      <c r="M2026" s="22">
        <f>(PROVEEDORES[[#This Row],[SUBTOTAL]]-PROVEEDORES[[#This Row],[descuento sobre subtotal]])*VLOOKUP(PROVEEDORES[[#This Row],[PROVEEDOR]],TERCEROS_INFO[#All],3,FALSE)</f>
        <v>0</v>
      </c>
      <c r="N2026" s="23"/>
      <c r="O2026" s="22">
        <f>+PROVEEDORES[[#This Row],[Descuento sobre subtotal %]]*(PROVEEDORES[[#This Row],[SUBTOTAL]]-PROVEEDORES[[#This Row],[descuento sobre subtotal]])</f>
        <v>0</v>
      </c>
      <c r="P2026" s="74">
        <f>+IF(PROVEEDORES[[#This Row],[SUBTOTAL]]&lt;PROVEEDORES[[#This Row],[base retencion]],0,PROVEEDORES[[#This Row],[retención aplicada]])</f>
        <v>0</v>
      </c>
      <c r="Q2026" s="22">
        <f>+PROVEEDORES[[#This Row],[Rete Fuente %]]*(PROVEEDORES[[#This Row],[SUBTOTAL]]-PROVEEDORES[[#This Row],[descuento sobre subtotal]])</f>
        <v>0</v>
      </c>
      <c r="R2026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2026" s="3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6" s="63">
        <f ca="1">IF(PROVEEDORES[[#This Row],[FECHA DE PAGO]]=0,TODAY()-PROVEEDORES[[#This Row],[FECHA DE FACTURACIÓN]]-PROVEEDORES[[#This Row],[PLAZO Días]],0)</f>
        <v>0</v>
      </c>
      <c r="U2026" s="104">
        <f>+VLOOKUP(PROVEEDORES[[#This Row],[PROVEEDOR]],Terceros!$A:$D,4,FALSE)</f>
        <v>0</v>
      </c>
      <c r="V2026" s="105">
        <f>+YEAR(PROVEEDORES[[#This Row],[FECHA DE FACTURACIÓN]])</f>
        <v>2023</v>
      </c>
      <c r="W2026" s="105">
        <f>+MATCH(PROVEEDORES[[#This Row],[año facturado]],Retenciones!$1:$1,0)</f>
        <v>6</v>
      </c>
      <c r="X2026" s="106">
        <f>+VLOOKUP(PROVEEDORES[[#This Row],[ID RETENCION]],Retenciones!$A$1:$O$25,PROVEEDORES[[#This Row],[indicador de columna]],FALSE)</f>
        <v>0</v>
      </c>
      <c r="Y2026" s="107">
        <f>+VLOOKUP(PROVEEDORES[[#This Row],[ID RETENCION]],Retenciones!$A$1:$O$25,2,FALSE)</f>
        <v>0</v>
      </c>
      <c r="Z2026" s="116" t="b">
        <f>OR(COUNTIF(PROVEEDORES[[#This Row],[PROVEEDOR]],"*"&amp;'Palabra no opera'!$A$2&amp;"*"))</f>
        <v>0</v>
      </c>
    </row>
    <row r="2027" spans="1:26" ht="22.35" customHeight="1" x14ac:dyDescent="0.3">
      <c r="A2027" s="351" t="str">
        <f>+IF(PROVEEDORES[[#This Row],[FECHA DE PAGO]]=PROVEEDORES[[#This Row],[FECHA DE FACTURACIÓN]],"DE CONTADO","CRÉDITO")</f>
        <v>CRÉDITO</v>
      </c>
      <c r="B2027" s="38" t="str">
        <f>+IF((PROVEEDORES[[#This Row],[FECHA DE PAGO]]-PROVEEDORES[[#This Row],[FECHA DE FACTURACIÓN]])&gt;PROVEEDORES[[#This Row],[PLAZO Días]],"PAGO VENCIDO")</f>
        <v>PAGO VENCIDO</v>
      </c>
      <c r="C2027" s="20">
        <f>+VLOOKUP(PROVEEDORES[[#This Row],[PROVEEDOR]],TERCEROS_INFO[#All],2,FALSE)</f>
        <v>30</v>
      </c>
      <c r="D2027" s="25">
        <f>+SUMIFS(PROVEEDORES[Total],PROVEEDORES[PROVEEDOR],PROVEEDORES[[#This Row],[PROVEEDOR]],PROVEEDORES[FECHA DE PAGO],"")</f>
        <v>2773899.95</v>
      </c>
      <c r="E2027" s="25"/>
      <c r="F2027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027" s="68">
        <v>45224</v>
      </c>
      <c r="H2027" s="26" t="s">
        <v>20</v>
      </c>
      <c r="I2027" s="68">
        <v>45168</v>
      </c>
      <c r="J2027" s="35" t="s">
        <v>1929</v>
      </c>
      <c r="K2027" s="21">
        <v>876780</v>
      </c>
      <c r="L2027" s="21"/>
      <c r="M2027" s="22">
        <f>(PROVEEDORES[[#This Row],[SUBTOTAL]]-PROVEEDORES[[#This Row],[descuento sobre subtotal]])*VLOOKUP(PROVEEDORES[[#This Row],[PROVEEDOR]],TERCEROS_INFO[#All],3,FALSE)</f>
        <v>166588.20000000001</v>
      </c>
      <c r="N2027" s="23"/>
      <c r="O2027" s="22">
        <f>+PROVEEDORES[[#This Row],[Descuento sobre subtotal %]]*(PROVEEDORES[[#This Row],[SUBTOTAL]]-PROVEEDORES[[#This Row],[descuento sobre subtotal]])</f>
        <v>0</v>
      </c>
      <c r="P2027" s="74">
        <f>+IF(PROVEEDORES[[#This Row],[SUBTOTAL]]&lt;PROVEEDORES[[#This Row],[base retencion]],0,PROVEEDORES[[#This Row],[retención aplicada]])</f>
        <v>0</v>
      </c>
      <c r="Q2027" s="22">
        <f>+PROVEEDORES[[#This Row],[Rete Fuente %]]*(PROVEEDORES[[#This Row],[SUBTOTAL]]-PROVEEDORES[[#This Row],[descuento sobre subtotal]])</f>
        <v>0</v>
      </c>
      <c r="R2027" s="21">
        <f>+PROVEEDORES[[#This Row],[SUBTOTAL]]+PROVEEDORES[[#This Row],[IVA 19%]]-PROVEEDORES[[#This Row],[descuento sobre subtotal]]-PROVEEDORES[[#This Row],[Descuento sobre subtotal $2]]-PROVEEDORES[[#This Row],[Rete Fuente $]]</f>
        <v>1043368.2</v>
      </c>
      <c r="S2027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7" s="63">
        <f ca="1">IF(PROVEEDORES[[#This Row],[FECHA DE PAGO]]=0,TODAY()-PROVEEDORES[[#This Row],[FECHA DE FACTURACIÓN]]-PROVEEDORES[[#This Row],[PLAZO Días]],0)</f>
        <v>0</v>
      </c>
      <c r="U2027" s="104" t="str">
        <f>+VLOOKUP(PROVEEDORES[[#This Row],[PROVEEDOR]],Terceros!$A:$D,4,FALSE)</f>
        <v>2,5% con base</v>
      </c>
      <c r="V2027" s="105">
        <f>+YEAR(PROVEEDORES[[#This Row],[FECHA DE FACTURACIÓN]])</f>
        <v>2023</v>
      </c>
      <c r="W2027" s="105">
        <f>+MATCH(PROVEEDORES[[#This Row],[año facturado]],Retenciones!$1:$1,0)</f>
        <v>6</v>
      </c>
      <c r="X2027" s="106">
        <f>+VLOOKUP(PROVEEDORES[[#This Row],[ID RETENCION]],Retenciones!$A$1:$O$25,PROVEEDORES[[#This Row],[indicador de columna]],FALSE)</f>
        <v>1145000</v>
      </c>
      <c r="Y2027" s="107">
        <f>+VLOOKUP(PROVEEDORES[[#This Row],[ID RETENCION]],Retenciones!$A$1:$O$25,2,FALSE)</f>
        <v>2.5000000000000001E-2</v>
      </c>
      <c r="Z2027" s="116" t="b">
        <f>OR(COUNTIF(PROVEEDORES[[#This Row],[PROVEEDOR]],"*"&amp;'Palabra no opera'!$A$2&amp;"*"))</f>
        <v>0</v>
      </c>
    </row>
    <row r="2028" spans="1:26" ht="22.35" customHeight="1" x14ac:dyDescent="0.3">
      <c r="A2028" s="67" t="str">
        <f>+IF(PROVEEDORES[[#This Row],[FECHA DE PAGO]]=PROVEEDORES[[#This Row],[FECHA DE FACTURACIÓN]],"DE CONTADO","CRÉDITO")</f>
        <v>CRÉDITO</v>
      </c>
      <c r="B2028" s="38" t="str">
        <f>+IF((PROVEEDORES[[#This Row],[FECHA DE PAGO]]-PROVEEDORES[[#This Row],[FECHA DE FACTURACIÓN]])&gt;PROVEEDORES[[#This Row],[PLAZO Días]],"PAGO VENCIDO")</f>
        <v>PAGO VENCIDO</v>
      </c>
      <c r="C2028" s="20">
        <f>+VLOOKUP(PROVEEDORES[[#This Row],[PROVEEDOR]],TERCEROS_INFO[#All],2,FALSE)</f>
        <v>30</v>
      </c>
      <c r="D2028" s="25">
        <f>+SUMIFS(PROVEEDORES[Total],PROVEEDORES[PROVEEDOR],PROVEEDORES[[#This Row],[PROVEEDOR]],PROVEEDORES[FECHA DE PAGO],"")</f>
        <v>5538410</v>
      </c>
      <c r="E2028" s="25"/>
      <c r="F2028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2028" s="68">
        <v>45224</v>
      </c>
      <c r="H2028" s="26" t="s">
        <v>1460</v>
      </c>
      <c r="I2028" s="68">
        <v>45155</v>
      </c>
      <c r="J2028" s="35" t="s">
        <v>1904</v>
      </c>
      <c r="K2028" s="21">
        <v>3384000</v>
      </c>
      <c r="L2028" s="21"/>
      <c r="M2028" s="22">
        <f>(PROVEEDORES[[#This Row],[SUBTOTAL]]-PROVEEDORES[[#This Row],[descuento sobre subtotal]])*VLOOKUP(PROVEEDORES[[#This Row],[PROVEEDOR]],TERCEROS_INFO[#All],3,FALSE)</f>
        <v>642960</v>
      </c>
      <c r="N2028" s="23"/>
      <c r="O2028" s="22">
        <f>+PROVEEDORES[[#This Row],[Descuento sobre subtotal %]]*(PROVEEDORES[[#This Row],[SUBTOTAL]]-PROVEEDORES[[#This Row],[descuento sobre subtotal]])</f>
        <v>0</v>
      </c>
      <c r="P2028" s="74">
        <f>+IF(PROVEEDORES[[#This Row],[SUBTOTAL]]&lt;PROVEEDORES[[#This Row],[base retencion]],0,PROVEEDORES[[#This Row],[retención aplicada]])</f>
        <v>2.5000000000000001E-2</v>
      </c>
      <c r="Q2028" s="22">
        <f>+PROVEEDORES[[#This Row],[Rete Fuente %]]*(PROVEEDORES[[#This Row],[SUBTOTAL]]-PROVEEDORES[[#This Row],[descuento sobre subtotal]])</f>
        <v>84600</v>
      </c>
      <c r="R2028" s="21">
        <f>+PROVEEDORES[[#This Row],[SUBTOTAL]]+PROVEEDORES[[#This Row],[IVA 19%]]-PROVEEDORES[[#This Row],[descuento sobre subtotal]]-PROVEEDORES[[#This Row],[Descuento sobre subtotal $2]]-PROVEEDORES[[#This Row],[Rete Fuente $]]</f>
        <v>3942360</v>
      </c>
      <c r="S202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8" s="63">
        <f ca="1">IF(PROVEEDORES[[#This Row],[FECHA DE PAGO]]=0,TODAY()-PROVEEDORES[[#This Row],[FECHA DE FACTURACIÓN]]-PROVEEDORES[[#This Row],[PLAZO Días]],0)</f>
        <v>0</v>
      </c>
      <c r="U2028" s="104" t="str">
        <f>+VLOOKUP(PROVEEDORES[[#This Row],[PROVEEDOR]],Terceros!$A:$D,4,FALSE)</f>
        <v>2,5% con base</v>
      </c>
      <c r="V2028" s="105">
        <f>+YEAR(PROVEEDORES[[#This Row],[FECHA DE FACTURACIÓN]])</f>
        <v>2023</v>
      </c>
      <c r="W2028" s="105">
        <f>+MATCH(PROVEEDORES[[#This Row],[año facturado]],Retenciones!$1:$1,0)</f>
        <v>6</v>
      </c>
      <c r="X2028" s="106">
        <f>+VLOOKUP(PROVEEDORES[[#This Row],[ID RETENCION]],Retenciones!$A$1:$O$25,PROVEEDORES[[#This Row],[indicador de columna]],FALSE)</f>
        <v>1145000</v>
      </c>
      <c r="Y2028" s="107">
        <f>+VLOOKUP(PROVEEDORES[[#This Row],[ID RETENCION]],Retenciones!$A$1:$O$25,2,FALSE)</f>
        <v>2.5000000000000001E-2</v>
      </c>
      <c r="Z2028" s="116" t="b">
        <f>OR(COUNTIF(PROVEEDORES[[#This Row],[PROVEEDOR]],"*"&amp;'Palabra no opera'!$A$2&amp;"*"))</f>
        <v>0</v>
      </c>
    </row>
    <row r="2029" spans="1:26" ht="22.35" customHeight="1" x14ac:dyDescent="0.3">
      <c r="A2029" s="67" t="str">
        <f>+IF(PROVEEDORES[[#This Row],[FECHA DE PAGO]]=PROVEEDORES[[#This Row],[FECHA DE FACTURACIÓN]],"DE CONTADO","CRÉDITO")</f>
        <v>DE CONTADO</v>
      </c>
      <c r="B2029" s="38" t="b">
        <f>+IF((PROVEEDORES[[#This Row],[FECHA DE PAGO]]-PROVEEDORES[[#This Row],[FECHA DE FACTURACIÓN]])&gt;PROVEEDORES[[#This Row],[PLAZO Días]],"PAGO VENCIDO")</f>
        <v>0</v>
      </c>
      <c r="C2029" s="20">
        <f>+VLOOKUP(PROVEEDORES[[#This Row],[PROVEEDOR]],TERCEROS_INFO[#All],2,FALSE)</f>
        <v>30</v>
      </c>
      <c r="D2029" s="25">
        <f>+SUMIFS(PROVEEDORES[Total],PROVEEDORES[PROVEEDOR],PROVEEDORES[[#This Row],[PROVEEDOR]],PROVEEDORES[FECHA DE PAGO],"")</f>
        <v>27189617.395</v>
      </c>
      <c r="E2029" s="25"/>
      <c r="F2029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029" s="68">
        <v>45229</v>
      </c>
      <c r="H2029" s="26" t="s">
        <v>77</v>
      </c>
      <c r="I2029" s="68">
        <v>45229</v>
      </c>
      <c r="J2029" s="35" t="s">
        <v>2106</v>
      </c>
      <c r="K2029" s="21">
        <v>-7563025</v>
      </c>
      <c r="L2029" s="21"/>
      <c r="M2029" s="22">
        <f>(PROVEEDORES[[#This Row],[SUBTOTAL]]-PROVEEDORES[[#This Row],[descuento sobre subtotal]])*VLOOKUP(PROVEEDORES[[#This Row],[PROVEEDOR]],TERCEROS_INFO[#All],3,FALSE)</f>
        <v>-1436974.75</v>
      </c>
      <c r="N2029" s="23"/>
      <c r="O2029" s="22">
        <f>+PROVEEDORES[[#This Row],[Descuento sobre subtotal %]]*(PROVEEDORES[[#This Row],[SUBTOTAL]]-PROVEEDORES[[#This Row],[descuento sobre subtotal]])</f>
        <v>0</v>
      </c>
      <c r="P2029" s="74">
        <f>+IF(PROVEEDORES[[#This Row],[SUBTOTAL]]&lt;PROVEEDORES[[#This Row],[base retencion]],0,PROVEEDORES[[#This Row],[retención aplicada]])</f>
        <v>0</v>
      </c>
      <c r="Q2029" s="22">
        <f>+PROVEEDORES[[#This Row],[Rete Fuente %]]*(PROVEEDORES[[#This Row],[SUBTOTAL]]-PROVEEDORES[[#This Row],[descuento sobre subtotal]])</f>
        <v>0</v>
      </c>
      <c r="R2029" s="21">
        <f>+PROVEEDORES[[#This Row],[SUBTOTAL]]+PROVEEDORES[[#This Row],[IVA 19%]]-PROVEEDORES[[#This Row],[descuento sobre subtotal]]-PROVEEDORES[[#This Row],[Descuento sobre subtotal $2]]-PROVEEDORES[[#This Row],[Rete Fuente $]]</f>
        <v>-8999999.75</v>
      </c>
      <c r="S20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9" s="63">
        <f ca="1">IF(PROVEEDORES[[#This Row],[FECHA DE PAGO]]=0,TODAY()-PROVEEDORES[[#This Row],[FECHA DE FACTURACIÓN]]-PROVEEDORES[[#This Row],[PLAZO Días]],0)</f>
        <v>0</v>
      </c>
      <c r="U2029" s="104" t="str">
        <f>+VLOOKUP(PROVEEDORES[[#This Row],[PROVEEDOR]],Terceros!$A:$D,4,FALSE)</f>
        <v>2,5% con base</v>
      </c>
      <c r="V2029" s="105">
        <f>+YEAR(PROVEEDORES[[#This Row],[FECHA DE FACTURACIÓN]])</f>
        <v>2023</v>
      </c>
      <c r="W2029" s="105">
        <f>+MATCH(PROVEEDORES[[#This Row],[año facturado]],Retenciones!$1:$1,0)</f>
        <v>6</v>
      </c>
      <c r="X2029" s="106">
        <f>+VLOOKUP(PROVEEDORES[[#This Row],[ID RETENCION]],Retenciones!$A$1:$O$25,PROVEEDORES[[#This Row],[indicador de columna]],FALSE)</f>
        <v>1145000</v>
      </c>
      <c r="Y2029" s="107">
        <f>+VLOOKUP(PROVEEDORES[[#This Row],[ID RETENCION]],Retenciones!$A$1:$O$25,2,FALSE)</f>
        <v>2.5000000000000001E-2</v>
      </c>
      <c r="Z2029" s="116" t="b">
        <f>OR(COUNTIF(PROVEEDORES[[#This Row],[PROVEEDOR]],"*"&amp;'Palabra no opera'!$A$2&amp;"*"))</f>
        <v>0</v>
      </c>
    </row>
    <row r="2030" spans="1:26" ht="22.35" customHeight="1" x14ac:dyDescent="0.3">
      <c r="A2030" s="67" t="str">
        <f>+IF(PROVEEDORES[[#This Row],[FECHA DE PAGO]]=PROVEEDORES[[#This Row],[FECHA DE FACTURACIÓN]],"DE CONTADO","CRÉDITO")</f>
        <v>CRÉDITO</v>
      </c>
      <c r="B2030" s="38" t="str">
        <f>+IF((PROVEEDORES[[#This Row],[FECHA DE PAGO]]-PROVEEDORES[[#This Row],[FECHA DE FACTURACIÓN]])&gt;PROVEEDORES[[#This Row],[PLAZO Días]],"PAGO VENCIDO")</f>
        <v>PAGO VENCIDO</v>
      </c>
      <c r="C2030" s="20">
        <f>+VLOOKUP(PROVEEDORES[[#This Row],[PROVEEDOR]],TERCEROS_INFO[#All],2,FALSE)</f>
        <v>30</v>
      </c>
      <c r="D2030" s="25">
        <f>+SUMIFS(PROVEEDORES[Total],PROVEEDORES[PROVEEDOR],PROVEEDORES[[#This Row],[PROVEEDOR]],PROVEEDORES[FECHA DE PAGO],"")</f>
        <v>22881826.27</v>
      </c>
      <c r="E2030" s="25"/>
      <c r="F203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30" s="68">
        <v>45225</v>
      </c>
      <c r="H2030" s="26" t="s">
        <v>9</v>
      </c>
      <c r="I2030" s="68">
        <v>45156</v>
      </c>
      <c r="J2030" s="35" t="s">
        <v>1889</v>
      </c>
      <c r="K2030" s="335">
        <v>-18933650</v>
      </c>
      <c r="L2030" s="21"/>
      <c r="M2030" s="336">
        <f>(PROVEEDORES[[#This Row],[SUBTOTAL]]-PROVEEDORES[[#This Row],[descuento sobre subtotal]])*VLOOKUP(PROVEEDORES[[#This Row],[PROVEEDOR]],TERCEROS_INFO[#All],3,FALSE)</f>
        <v>-3597393.5</v>
      </c>
      <c r="N2030" s="23"/>
      <c r="O2030" s="22">
        <f>+PROVEEDORES[[#This Row],[Descuento sobre subtotal %]]*(PROVEEDORES[[#This Row],[SUBTOTAL]]-PROVEEDORES[[#This Row],[descuento sobre subtotal]])</f>
        <v>0</v>
      </c>
      <c r="P2030" s="74">
        <f>+IF(PROVEEDORES[[#This Row],[SUBTOTAL]]&lt;PROVEEDORES[[#This Row],[base retencion]],0,PROVEEDORES[[#This Row],[retención aplicada]])</f>
        <v>0</v>
      </c>
      <c r="Q2030" s="22"/>
      <c r="R2030" s="335">
        <f>+PROVEEDORES[[#This Row],[SUBTOTAL]]+PROVEEDORES[[#This Row],[IVA 19%]]-PROVEEDORES[[#This Row],[descuento sobre subtotal]]-PROVEEDORES[[#This Row],[Descuento sobre subtotal $2]]-PROVEEDORES[[#This Row],[Rete Fuente $]]</f>
        <v>-22531043.5</v>
      </c>
      <c r="S20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0" s="63">
        <f ca="1">IF(PROVEEDORES[[#This Row],[FECHA DE PAGO]]=0,TODAY()-PROVEEDORES[[#This Row],[FECHA DE FACTURACIÓN]]-PROVEEDORES[[#This Row],[PLAZO Días]],0)</f>
        <v>0</v>
      </c>
      <c r="U2030" s="104" t="str">
        <f>+VLOOKUP(PROVEEDORES[[#This Row],[PROVEEDOR]],Terceros!$A:$D,4,FALSE)</f>
        <v>2,5% con base</v>
      </c>
      <c r="V2030" s="105">
        <f>+YEAR(PROVEEDORES[[#This Row],[FECHA DE FACTURACIÓN]])</f>
        <v>2023</v>
      </c>
      <c r="W2030" s="105">
        <f>+MATCH(PROVEEDORES[[#This Row],[año facturado]],Retenciones!$1:$1,0)</f>
        <v>6</v>
      </c>
      <c r="X2030" s="106">
        <f>+VLOOKUP(PROVEEDORES[[#This Row],[ID RETENCION]],Retenciones!$A$1:$O$25,PROVEEDORES[[#This Row],[indicador de columna]],FALSE)</f>
        <v>1145000</v>
      </c>
      <c r="Y2030" s="107">
        <f>+VLOOKUP(PROVEEDORES[[#This Row],[ID RETENCION]],Retenciones!$A$1:$O$25,2,FALSE)</f>
        <v>2.5000000000000001E-2</v>
      </c>
      <c r="Z2030" s="116" t="b">
        <f>OR(COUNTIF(PROVEEDORES[[#This Row],[PROVEEDOR]],"*"&amp;'Palabra no opera'!$A$2&amp;"*"))</f>
        <v>0</v>
      </c>
    </row>
    <row r="2031" spans="1:26" ht="22.35" customHeight="1" x14ac:dyDescent="0.3">
      <c r="A2031" s="351" t="str">
        <f>+IF(PROVEEDORES[[#This Row],[FECHA DE PAGO]]=PROVEEDORES[[#This Row],[FECHA DE FACTURACIÓN]],"DE CONTADO","CRÉDITO")</f>
        <v>CRÉDITO</v>
      </c>
      <c r="B2031" s="38" t="str">
        <f>+IF((PROVEEDORES[[#This Row],[FECHA DE PAGO]]-PROVEEDORES[[#This Row],[FECHA DE FACTURACIÓN]])&gt;PROVEEDORES[[#This Row],[PLAZO Días]],"PAGO VENCIDO")</f>
        <v>PAGO VENCIDO</v>
      </c>
      <c r="C2031" s="20">
        <f>+VLOOKUP(PROVEEDORES[[#This Row],[PROVEEDOR]],TERCEROS_INFO[#All],2,FALSE)</f>
        <v>30</v>
      </c>
      <c r="D2031" s="25">
        <f>+SUMIFS(PROVEEDORES[Total],PROVEEDORES[PROVEEDOR],PROVEEDORES[[#This Row],[PROVEEDOR]],PROVEEDORES[FECHA DE PAGO],"")</f>
        <v>22881826.27</v>
      </c>
      <c r="E2031" s="25"/>
      <c r="F2031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31" s="68">
        <v>45225</v>
      </c>
      <c r="H2031" s="26" t="s">
        <v>9</v>
      </c>
      <c r="I2031" s="68">
        <v>45162</v>
      </c>
      <c r="J2031" s="35" t="s">
        <v>1923</v>
      </c>
      <c r="K2031" s="21">
        <v>62709092</v>
      </c>
      <c r="L2031" s="21"/>
      <c r="M2031" s="22">
        <f>(PROVEEDORES[[#This Row],[SUBTOTAL]]-PROVEEDORES[[#This Row],[descuento sobre subtotal]])*VLOOKUP(PROVEEDORES[[#This Row],[PROVEEDOR]],TERCEROS_INFO[#All],3,FALSE)</f>
        <v>11914727.48</v>
      </c>
      <c r="N2031" s="23"/>
      <c r="O2031" s="22">
        <f>+PROVEEDORES[[#This Row],[Descuento sobre subtotal %]]*(PROVEEDORES[[#This Row],[SUBTOTAL]]-PROVEEDORES[[#This Row],[descuento sobre subtotal]])</f>
        <v>0</v>
      </c>
      <c r="P2031" s="74">
        <f>+IF(PROVEEDORES[[#This Row],[SUBTOTAL]]&lt;PROVEEDORES[[#This Row],[base retencion]],0,PROVEEDORES[[#This Row],[retención aplicada]])</f>
        <v>2.5000000000000001E-2</v>
      </c>
      <c r="Q2031" s="22">
        <f>+PROVEEDORES[[#This Row],[Rete Fuente %]]*(PROVEEDORES[[#This Row],[SUBTOTAL]]-PROVEEDORES[[#This Row],[descuento sobre subtotal]])</f>
        <v>1567727.3</v>
      </c>
      <c r="R2031" s="21">
        <f>+PROVEEDORES[[#This Row],[SUBTOTAL]]+PROVEEDORES[[#This Row],[IVA 19%]]-PROVEEDORES[[#This Row],[descuento sobre subtotal]]-PROVEEDORES[[#This Row],[Descuento sobre subtotal $2]]-PROVEEDORES[[#This Row],[Rete Fuente $]]</f>
        <v>73056092.180000007</v>
      </c>
      <c r="S2031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1" s="63">
        <f ca="1">IF(PROVEEDORES[[#This Row],[FECHA DE PAGO]]=0,TODAY()-PROVEEDORES[[#This Row],[FECHA DE FACTURACIÓN]]-PROVEEDORES[[#This Row],[PLAZO Días]],0)</f>
        <v>0</v>
      </c>
      <c r="U2031" s="104" t="str">
        <f>+VLOOKUP(PROVEEDORES[[#This Row],[PROVEEDOR]],Terceros!$A:$D,4,FALSE)</f>
        <v>2,5% con base</v>
      </c>
      <c r="V2031" s="105">
        <f>+YEAR(PROVEEDORES[[#This Row],[FECHA DE FACTURACIÓN]])</f>
        <v>2023</v>
      </c>
      <c r="W2031" s="105">
        <f>+MATCH(PROVEEDORES[[#This Row],[año facturado]],Retenciones!$1:$1,0)</f>
        <v>6</v>
      </c>
      <c r="X2031" s="106">
        <f>+VLOOKUP(PROVEEDORES[[#This Row],[ID RETENCION]],Retenciones!$A$1:$O$25,PROVEEDORES[[#This Row],[indicador de columna]],FALSE)</f>
        <v>1145000</v>
      </c>
      <c r="Y2031" s="107">
        <f>+VLOOKUP(PROVEEDORES[[#This Row],[ID RETENCION]],Retenciones!$A$1:$O$25,2,FALSE)</f>
        <v>2.5000000000000001E-2</v>
      </c>
      <c r="Z2031" s="116" t="b">
        <f>OR(COUNTIF(PROVEEDORES[[#This Row],[PROVEEDOR]],"*"&amp;'Palabra no opera'!$A$2&amp;"*"))</f>
        <v>0</v>
      </c>
    </row>
    <row r="2032" spans="1:26" ht="22.35" customHeight="1" x14ac:dyDescent="0.3">
      <c r="A2032" s="367" t="str">
        <f>+IF(PROVEEDORES[[#This Row],[FECHA DE PAGO]]=PROVEEDORES[[#This Row],[FECHA DE FACTURACIÓN]],"DE CONTADO","CRÉDITO")</f>
        <v>CRÉDITO</v>
      </c>
      <c r="B2032" s="38" t="b">
        <f>+IF((PROVEEDORES[[#This Row],[FECHA DE PAGO]]-PROVEEDORES[[#This Row],[FECHA DE FACTURACIÓN]])&gt;PROVEEDORES[[#This Row],[PLAZO Días]],"PAGO VENCIDO")</f>
        <v>0</v>
      </c>
      <c r="C2032" s="20">
        <f>+VLOOKUP(PROVEEDORES[[#This Row],[PROVEEDOR]],TERCEROS_INFO[#All],2,FALSE)</f>
        <v>30</v>
      </c>
      <c r="D2032" s="25">
        <f>+SUMIFS(PROVEEDORES[Total],PROVEEDORES[PROVEEDOR],PROVEEDORES[[#This Row],[PROVEEDOR]],PROVEEDORES[FECHA DE PAGO],"")</f>
        <v>22881826.27</v>
      </c>
      <c r="E2032" s="25"/>
      <c r="F2032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32" s="68">
        <v>45225</v>
      </c>
      <c r="H2032" s="26" t="s">
        <v>9</v>
      </c>
      <c r="I2032" s="68">
        <v>45203</v>
      </c>
      <c r="J2032" s="35" t="s">
        <v>1992</v>
      </c>
      <c r="K2032" s="21">
        <v>-159664</v>
      </c>
      <c r="L2032" s="21"/>
      <c r="M2032" s="22">
        <f>(PROVEEDORES[[#This Row],[SUBTOTAL]]-PROVEEDORES[[#This Row],[descuento sobre subtotal]])*VLOOKUP(PROVEEDORES[[#This Row],[PROVEEDOR]],TERCEROS_INFO[#All],3,FALSE)</f>
        <v>-30336.16</v>
      </c>
      <c r="N2032" s="23"/>
      <c r="O2032" s="22">
        <f>+PROVEEDORES[[#This Row],[Descuento sobre subtotal %]]*(PROVEEDORES[[#This Row],[SUBTOTAL]]-PROVEEDORES[[#This Row],[descuento sobre subtotal]])</f>
        <v>0</v>
      </c>
      <c r="P2032" s="74">
        <f>+IF(PROVEEDORES[[#This Row],[SUBTOTAL]]&lt;PROVEEDORES[[#This Row],[base retencion]],0,PROVEEDORES[[#This Row],[retención aplicada]])</f>
        <v>0</v>
      </c>
      <c r="Q2032" s="22">
        <f>+PROVEEDORES[[#This Row],[Rete Fuente %]]*(PROVEEDORES[[#This Row],[SUBTOTAL]]-PROVEEDORES[[#This Row],[descuento sobre subtotal]])</f>
        <v>0</v>
      </c>
      <c r="R2032" s="21">
        <f>+PROVEEDORES[[#This Row],[SUBTOTAL]]+PROVEEDORES[[#This Row],[IVA 19%]]-PROVEEDORES[[#This Row],[descuento sobre subtotal]]-PROVEEDORES[[#This Row],[Descuento sobre subtotal $2]]-PROVEEDORES[[#This Row],[Rete Fuente $]]</f>
        <v>-190000.16</v>
      </c>
      <c r="S2032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2" s="63">
        <f ca="1">IF(PROVEEDORES[[#This Row],[FECHA DE PAGO]]=0,TODAY()-PROVEEDORES[[#This Row],[FECHA DE FACTURACIÓN]]-PROVEEDORES[[#This Row],[PLAZO Días]],0)</f>
        <v>0</v>
      </c>
      <c r="U2032" s="104" t="str">
        <f>+VLOOKUP(PROVEEDORES[[#This Row],[PROVEEDOR]],Terceros!$A:$D,4,FALSE)</f>
        <v>2,5% con base</v>
      </c>
      <c r="V2032" s="105">
        <f>+YEAR(PROVEEDORES[[#This Row],[FECHA DE FACTURACIÓN]])</f>
        <v>2023</v>
      </c>
      <c r="W2032" s="105">
        <f>+MATCH(PROVEEDORES[[#This Row],[año facturado]],Retenciones!$1:$1,0)</f>
        <v>6</v>
      </c>
      <c r="X2032" s="106">
        <f>+VLOOKUP(PROVEEDORES[[#This Row],[ID RETENCION]],Retenciones!$A$1:$O$25,PROVEEDORES[[#This Row],[indicador de columna]],FALSE)</f>
        <v>1145000</v>
      </c>
      <c r="Y2032" s="107">
        <f>+VLOOKUP(PROVEEDORES[[#This Row],[ID RETENCION]],Retenciones!$A$1:$O$25,2,FALSE)</f>
        <v>2.5000000000000001E-2</v>
      </c>
      <c r="Z2032" s="116" t="b">
        <f>OR(COUNTIF(PROVEEDORES[[#This Row],[PROVEEDOR]],"*"&amp;'Palabra no opera'!$A$2&amp;"*"))</f>
        <v>0</v>
      </c>
    </row>
    <row r="2033" spans="1:26" ht="22.35" customHeight="1" x14ac:dyDescent="0.3">
      <c r="A2033" s="372" t="str">
        <f>+IF(PROVEEDORES[[#This Row],[FECHA DE PAGO]]=PROVEEDORES[[#This Row],[FECHA DE FACTURACIÓN]],"DE CONTADO","CRÉDITO")</f>
        <v>DE CONTADO</v>
      </c>
      <c r="B2033" s="38" t="b">
        <f>+IF((PROVEEDORES[[#This Row],[FECHA DE PAGO]]-PROVEEDORES[[#This Row],[FECHA DE FACTURACIÓN]])&gt;PROVEEDORES[[#This Row],[PLAZO Días]],"PAGO VENCIDO")</f>
        <v>0</v>
      </c>
      <c r="C2033" s="20">
        <f>+VLOOKUP(PROVEEDORES[[#This Row],[PROVEEDOR]],TERCEROS_INFO[#All],2,FALSE)</f>
        <v>30</v>
      </c>
      <c r="D2033" s="25">
        <f>+SUMIFS(PROVEEDORES[Total],PROVEEDORES[PROVEEDOR],PROVEEDORES[[#This Row],[PROVEEDOR]],PROVEEDORES[FECHA DE PAGO],"")</f>
        <v>0</v>
      </c>
      <c r="E2033" s="25"/>
      <c r="F2033" s="56" t="str">
        <f>+VLOOKUP(PROVEEDORES[[#This Row],[PROVEEDOR]],
                       Terceros!$A:$F,
                       5,
                       FALSE)</f>
        <v/>
      </c>
      <c r="G2033" s="68">
        <v>45226</v>
      </c>
      <c r="H2033" s="26" t="s">
        <v>362</v>
      </c>
      <c r="I2033" s="68">
        <v>45226</v>
      </c>
      <c r="J2033" s="35" t="s">
        <v>2028</v>
      </c>
      <c r="K2033" s="21">
        <v>200000</v>
      </c>
      <c r="L2033" s="21"/>
      <c r="M2033" s="22">
        <f>(PROVEEDORES[[#This Row],[SUBTOTAL]]-PROVEEDORES[[#This Row],[descuento sobre subtotal]])*VLOOKUP(PROVEEDORES[[#This Row],[PROVEEDOR]],TERCEROS_INFO[#All],3,FALSE)</f>
        <v>0</v>
      </c>
      <c r="N2033" s="23"/>
      <c r="O2033" s="22">
        <f>+PROVEEDORES[[#This Row],[Descuento sobre subtotal %]]*(PROVEEDORES[[#This Row],[SUBTOTAL]]-PROVEEDORES[[#This Row],[descuento sobre subtotal]])</f>
        <v>0</v>
      </c>
      <c r="P2033" s="74">
        <f>+IF(PROVEEDORES[[#This Row],[SUBTOTAL]]&lt;PROVEEDORES[[#This Row],[base retencion]],0,PROVEEDORES[[#This Row],[retención aplicada]])</f>
        <v>0</v>
      </c>
      <c r="Q2033" s="22">
        <f>+PROVEEDORES[[#This Row],[Rete Fuente %]]*(PROVEEDORES[[#This Row],[SUBTOTAL]]-PROVEEDORES[[#This Row],[descuento sobre subtotal]])</f>
        <v>0</v>
      </c>
      <c r="R2033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2033" s="3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3" s="63">
        <f ca="1">IF(PROVEEDORES[[#This Row],[FECHA DE PAGO]]=0,TODAY()-PROVEEDORES[[#This Row],[FECHA DE FACTURACIÓN]]-PROVEEDORES[[#This Row],[PLAZO Días]],0)</f>
        <v>0</v>
      </c>
      <c r="U2033" s="104">
        <f>+VLOOKUP(PROVEEDORES[[#This Row],[PROVEEDOR]],Terceros!$A:$D,4,FALSE)</f>
        <v>0</v>
      </c>
      <c r="V2033" s="105">
        <f>+YEAR(PROVEEDORES[[#This Row],[FECHA DE FACTURACIÓN]])</f>
        <v>2023</v>
      </c>
      <c r="W2033" s="105">
        <f>+MATCH(PROVEEDORES[[#This Row],[año facturado]],Retenciones!$1:$1,0)</f>
        <v>6</v>
      </c>
      <c r="X2033" s="106">
        <f>+VLOOKUP(PROVEEDORES[[#This Row],[ID RETENCION]],Retenciones!$A$1:$O$25,PROVEEDORES[[#This Row],[indicador de columna]],FALSE)</f>
        <v>0</v>
      </c>
      <c r="Y2033" s="107">
        <f>+VLOOKUP(PROVEEDORES[[#This Row],[ID RETENCION]],Retenciones!$A$1:$O$25,2,FALSE)</f>
        <v>0</v>
      </c>
      <c r="Z2033" s="116" t="b">
        <f>OR(COUNTIF(PROVEEDORES[[#This Row],[PROVEEDOR]],"*"&amp;'Palabra no opera'!$A$2&amp;"*"))</f>
        <v>0</v>
      </c>
    </row>
    <row r="2034" spans="1:26" ht="22.35" customHeight="1" x14ac:dyDescent="0.3">
      <c r="A2034" s="374" t="str">
        <f>+IF(PROVEEDORES[[#This Row],[FECHA DE PAGO]]=PROVEEDORES[[#This Row],[FECHA DE FACTURACIÓN]],"DE CONTADO","CRÉDITO")</f>
        <v>DE CONTADO</v>
      </c>
      <c r="B2034" s="38" t="b">
        <f>+IF((PROVEEDORES[[#This Row],[FECHA DE PAGO]]-PROVEEDORES[[#This Row],[FECHA DE FACTURACIÓN]])&gt;PROVEEDORES[[#This Row],[PLAZO Días]],"PAGO VENCIDO")</f>
        <v>0</v>
      </c>
      <c r="C2034" s="20">
        <f>+VLOOKUP(PROVEEDORES[[#This Row],[PROVEEDOR]],TERCEROS_INFO[#All],2,FALSE)</f>
        <v>30</v>
      </c>
      <c r="D2034" s="25">
        <f>+SUMIFS(PROVEEDORES[Total],PROVEEDORES[PROVEEDOR],PROVEEDORES[[#This Row],[PROVEEDOR]],PROVEEDORES[FECHA DE PAGO],"")</f>
        <v>0</v>
      </c>
      <c r="E2034" s="25"/>
      <c r="F2034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2034" s="68">
        <v>45226</v>
      </c>
      <c r="H2034" s="26" t="s">
        <v>2094</v>
      </c>
      <c r="I2034" s="68">
        <v>45226</v>
      </c>
      <c r="J2034" s="35" t="s">
        <v>2095</v>
      </c>
      <c r="K2034" s="21">
        <v>702352</v>
      </c>
      <c r="L2034" s="21"/>
      <c r="M2034" s="22">
        <f>(PROVEEDORES[[#This Row],[SUBTOTAL]]-PROVEEDORES[[#This Row],[descuento sobre subtotal]])*VLOOKUP(PROVEEDORES[[#This Row],[PROVEEDOR]],TERCEROS_INFO[#All],3,FALSE)</f>
        <v>133446.88</v>
      </c>
      <c r="N2034" s="23"/>
      <c r="O2034" s="22">
        <f>+PROVEEDORES[[#This Row],[Descuento sobre subtotal %]]*(PROVEEDORES[[#This Row],[SUBTOTAL]]-PROVEEDORES[[#This Row],[descuento sobre subtotal]])</f>
        <v>0</v>
      </c>
      <c r="P2034" s="74">
        <f>+IF(PROVEEDORES[[#This Row],[SUBTOTAL]]&lt;PROVEEDORES[[#This Row],[base retencion]],0,PROVEEDORES[[#This Row],[retención aplicada]])</f>
        <v>0</v>
      </c>
      <c r="Q2034" s="22">
        <f>+PROVEEDORES[[#This Row],[Rete Fuente %]]*(PROVEEDORES[[#This Row],[SUBTOTAL]]-PROVEEDORES[[#This Row],[descuento sobre subtotal]])</f>
        <v>0</v>
      </c>
      <c r="R2034" s="21">
        <f>+PROVEEDORES[[#This Row],[SUBTOTAL]]+PROVEEDORES[[#This Row],[IVA 19%]]-PROVEEDORES[[#This Row],[descuento sobre subtotal]]-PROVEEDORES[[#This Row],[Descuento sobre subtotal $2]]-PROVEEDORES[[#This Row],[Rete Fuente $]]</f>
        <v>835798.88</v>
      </c>
      <c r="S2034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4" s="63">
        <f ca="1">IF(PROVEEDORES[[#This Row],[FECHA DE PAGO]]=0,TODAY()-PROVEEDORES[[#This Row],[FECHA DE FACTURACIÓN]]-PROVEEDORES[[#This Row],[PLAZO Días]],0)</f>
        <v>0</v>
      </c>
      <c r="U2034" s="104" t="str">
        <f>+VLOOKUP(PROVEEDORES[[#This Row],[PROVEEDOR]],Terceros!$A:$D,4,FALSE)</f>
        <v>2,5% con base</v>
      </c>
      <c r="V2034" s="105">
        <f>+YEAR(PROVEEDORES[[#This Row],[FECHA DE FACTURACIÓN]])</f>
        <v>2023</v>
      </c>
      <c r="W2034" s="105">
        <f>+MATCH(PROVEEDORES[[#This Row],[año facturado]],Retenciones!$1:$1,0)</f>
        <v>6</v>
      </c>
      <c r="X2034" s="106">
        <f>+VLOOKUP(PROVEEDORES[[#This Row],[ID RETENCION]],Retenciones!$A$1:$O$25,PROVEEDORES[[#This Row],[indicador de columna]],FALSE)</f>
        <v>1145000</v>
      </c>
      <c r="Y2034" s="107">
        <f>+VLOOKUP(PROVEEDORES[[#This Row],[ID RETENCION]],Retenciones!$A$1:$O$25,2,FALSE)</f>
        <v>2.5000000000000001E-2</v>
      </c>
      <c r="Z2034" s="116" t="b">
        <f>OR(COUNTIF(PROVEEDORES[[#This Row],[PROVEEDOR]],"*"&amp;'Palabra no opera'!$A$2&amp;"*"))</f>
        <v>0</v>
      </c>
    </row>
    <row r="2035" spans="1:26" ht="22.35" customHeight="1" x14ac:dyDescent="0.3">
      <c r="A2035" s="67" t="str">
        <f>+IF(PROVEEDORES[[#This Row],[FECHA DE PAGO]]=PROVEEDORES[[#This Row],[FECHA DE FACTURACIÓN]],"DE CONTADO","CRÉDITO")</f>
        <v>CRÉDITO</v>
      </c>
      <c r="B2035" s="38" t="b">
        <f>+IF((PROVEEDORES[[#This Row],[FECHA DE PAGO]]-PROVEEDORES[[#This Row],[FECHA DE FACTURACIÓN]])&gt;PROVEEDORES[[#This Row],[PLAZO Días]],"PAGO VENCIDO")</f>
        <v>0</v>
      </c>
      <c r="C2035" s="20">
        <f>+VLOOKUP(PROVEEDORES[[#This Row],[PROVEEDOR]],TERCEROS_INFO[#All],2,FALSE)</f>
        <v>30</v>
      </c>
      <c r="D2035" s="25">
        <f>+SUMIFS(PROVEEDORES[Total],PROVEEDORES[PROVEEDOR],PROVEEDORES[[#This Row],[PROVEEDOR]],PROVEEDORES[FECHA DE PAGO],"")</f>
        <v>27189617.395</v>
      </c>
      <c r="E2035" s="25"/>
      <c r="F2035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035" s="68">
        <v>45246</v>
      </c>
      <c r="H2035" s="26" t="s">
        <v>77</v>
      </c>
      <c r="I2035" s="68">
        <v>45218</v>
      </c>
      <c r="J2035" s="35" t="s">
        <v>2074</v>
      </c>
      <c r="K2035" s="21">
        <v>5488200</v>
      </c>
      <c r="L2035" s="21"/>
      <c r="M2035" s="22">
        <f>(PROVEEDORES[[#This Row],[SUBTOTAL]]-PROVEEDORES[[#This Row],[descuento sobre subtotal]])*VLOOKUP(PROVEEDORES[[#This Row],[PROVEEDOR]],TERCEROS_INFO[#All],3,FALSE)</f>
        <v>1042758</v>
      </c>
      <c r="N2035" s="23"/>
      <c r="O2035" s="22">
        <f>+PROVEEDORES[[#This Row],[Descuento sobre subtotal %]]*(PROVEEDORES[[#This Row],[SUBTOTAL]]-PROVEEDORES[[#This Row],[descuento sobre subtotal]])</f>
        <v>0</v>
      </c>
      <c r="P2035" s="74">
        <f>+IF(PROVEEDORES[[#This Row],[SUBTOTAL]]&lt;PROVEEDORES[[#This Row],[base retencion]],0,PROVEEDORES[[#This Row],[retención aplicada]])</f>
        <v>2.5000000000000001E-2</v>
      </c>
      <c r="Q2035" s="22">
        <f>+PROVEEDORES[[#This Row],[Rete Fuente %]]*(PROVEEDORES[[#This Row],[SUBTOTAL]]-PROVEEDORES[[#This Row],[descuento sobre subtotal]])</f>
        <v>137205</v>
      </c>
      <c r="R2035" s="21">
        <f>+PROVEEDORES[[#This Row],[SUBTOTAL]]+PROVEEDORES[[#This Row],[IVA 19%]]-PROVEEDORES[[#This Row],[descuento sobre subtotal]]-PROVEEDORES[[#This Row],[Descuento sobre subtotal $2]]-PROVEEDORES[[#This Row],[Rete Fuente $]]</f>
        <v>6393753</v>
      </c>
      <c r="S203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5" s="63">
        <f ca="1">IF(PROVEEDORES[[#This Row],[FECHA DE PAGO]]=0,TODAY()-PROVEEDORES[[#This Row],[FECHA DE FACTURACIÓN]]-PROVEEDORES[[#This Row],[PLAZO Días]],0)</f>
        <v>0</v>
      </c>
      <c r="U2035" s="104" t="str">
        <f>+VLOOKUP(PROVEEDORES[[#This Row],[PROVEEDOR]],Terceros!$A:$D,4,FALSE)</f>
        <v>2,5% con base</v>
      </c>
      <c r="V2035" s="105">
        <f>+YEAR(PROVEEDORES[[#This Row],[FECHA DE FACTURACIÓN]])</f>
        <v>2023</v>
      </c>
      <c r="W2035" s="105">
        <f>+MATCH(PROVEEDORES[[#This Row],[año facturado]],Retenciones!$1:$1,0)</f>
        <v>6</v>
      </c>
      <c r="X2035" s="106">
        <f>+VLOOKUP(PROVEEDORES[[#This Row],[ID RETENCION]],Retenciones!$A$1:$O$25,PROVEEDORES[[#This Row],[indicador de columna]],FALSE)</f>
        <v>1145000</v>
      </c>
      <c r="Y2035" s="107">
        <f>+VLOOKUP(PROVEEDORES[[#This Row],[ID RETENCION]],Retenciones!$A$1:$O$25,2,FALSE)</f>
        <v>2.5000000000000001E-2</v>
      </c>
      <c r="Z2035" s="116" t="b">
        <f>OR(COUNTIF(PROVEEDORES[[#This Row],[PROVEEDOR]],"*"&amp;'Palabra no opera'!$A$2&amp;"*"))</f>
        <v>0</v>
      </c>
    </row>
    <row r="2036" spans="1:26" ht="22.35" customHeight="1" x14ac:dyDescent="0.3">
      <c r="A2036" s="374" t="str">
        <f>+IF(PROVEEDORES[[#This Row],[FECHA DE PAGO]]=PROVEEDORES[[#This Row],[FECHA DE FACTURACIÓN]],"DE CONTADO","CRÉDITO")</f>
        <v>DE CONTADO</v>
      </c>
      <c r="B2036" s="38" t="b">
        <f>+IF((PROVEEDORES[[#This Row],[FECHA DE PAGO]]-PROVEEDORES[[#This Row],[FECHA DE FACTURACIÓN]])&gt;PROVEEDORES[[#This Row],[PLAZO Días]],"PAGO VENCIDO")</f>
        <v>0</v>
      </c>
      <c r="C2036" s="20">
        <f>+VLOOKUP(PROVEEDORES[[#This Row],[PROVEEDOR]],TERCEROS_INFO[#All],2,FALSE)</f>
        <v>30</v>
      </c>
      <c r="D2036" s="25">
        <f>+SUMIFS(PROVEEDORES[Total],PROVEEDORES[PROVEEDOR],PROVEEDORES[[#This Row],[PROVEEDOR]],PROVEEDORES[FECHA DE PAGO],"")</f>
        <v>0</v>
      </c>
      <c r="E2036" s="25"/>
      <c r="F2036" s="56" t="str">
        <f>+VLOOKUP(PROVEEDORES[[#This Row],[PROVEEDOR]],
                       Terceros!$A:$F,
                       5,
                       FALSE)</f>
        <v/>
      </c>
      <c r="G2036" s="68">
        <v>45230</v>
      </c>
      <c r="H2036" s="26" t="s">
        <v>362</v>
      </c>
      <c r="I2036" s="68">
        <v>45230</v>
      </c>
      <c r="J2036" s="35" t="s">
        <v>1177</v>
      </c>
      <c r="K2036" s="21">
        <v>1574050</v>
      </c>
      <c r="L2036" s="21"/>
      <c r="M2036" s="22">
        <f>(PROVEEDORES[[#This Row],[SUBTOTAL]]-PROVEEDORES[[#This Row],[descuento sobre subtotal]])*VLOOKUP(PROVEEDORES[[#This Row],[PROVEEDOR]],TERCEROS_INFO[#All],3,FALSE)</f>
        <v>0</v>
      </c>
      <c r="N2036" s="23"/>
      <c r="O2036" s="22">
        <f>+PROVEEDORES[[#This Row],[Descuento sobre subtotal %]]*(PROVEEDORES[[#This Row],[SUBTOTAL]]-PROVEEDORES[[#This Row],[descuento sobre subtotal]])</f>
        <v>0</v>
      </c>
      <c r="P2036" s="74">
        <f>+IF(PROVEEDORES[[#This Row],[SUBTOTAL]]&lt;PROVEEDORES[[#This Row],[base retencion]],0,PROVEEDORES[[#This Row],[retención aplicada]])</f>
        <v>0</v>
      </c>
      <c r="Q2036" s="22">
        <f>+PROVEEDORES[[#This Row],[Rete Fuente %]]*(PROVEEDORES[[#This Row],[SUBTOTAL]]-PROVEEDORES[[#This Row],[descuento sobre subtotal]])</f>
        <v>0</v>
      </c>
      <c r="R2036" s="21">
        <f>+PROVEEDORES[[#This Row],[SUBTOTAL]]+PROVEEDORES[[#This Row],[IVA 19%]]-PROVEEDORES[[#This Row],[descuento sobre subtotal]]-PROVEEDORES[[#This Row],[Descuento sobre subtotal $2]]-PROVEEDORES[[#This Row],[Rete Fuente $]]</f>
        <v>1574050</v>
      </c>
      <c r="S2036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6" s="63">
        <f ca="1">IF(PROVEEDORES[[#This Row],[FECHA DE PAGO]]=0,TODAY()-PROVEEDORES[[#This Row],[FECHA DE FACTURACIÓN]]-PROVEEDORES[[#This Row],[PLAZO Días]],0)</f>
        <v>0</v>
      </c>
      <c r="U2036" s="104">
        <f>+VLOOKUP(PROVEEDORES[[#This Row],[PROVEEDOR]],Terceros!$A:$D,4,FALSE)</f>
        <v>0</v>
      </c>
      <c r="V2036" s="105">
        <f>+YEAR(PROVEEDORES[[#This Row],[FECHA DE FACTURACIÓN]])</f>
        <v>2023</v>
      </c>
      <c r="W2036" s="105">
        <f>+MATCH(PROVEEDORES[[#This Row],[año facturado]],Retenciones!$1:$1,0)</f>
        <v>6</v>
      </c>
      <c r="X2036" s="106">
        <f>+VLOOKUP(PROVEEDORES[[#This Row],[ID RETENCION]],Retenciones!$A$1:$O$25,PROVEEDORES[[#This Row],[indicador de columna]],FALSE)</f>
        <v>0</v>
      </c>
      <c r="Y2036" s="107">
        <f>+VLOOKUP(PROVEEDORES[[#This Row],[ID RETENCION]],Retenciones!$A$1:$O$25,2,FALSE)</f>
        <v>0</v>
      </c>
      <c r="Z2036" s="116" t="b">
        <f>OR(COUNTIF(PROVEEDORES[[#This Row],[PROVEEDOR]],"*"&amp;'Palabra no opera'!$A$2&amp;"*"))</f>
        <v>0</v>
      </c>
    </row>
    <row r="2037" spans="1:26" ht="22.35" customHeight="1" x14ac:dyDescent="0.3">
      <c r="A2037" s="374" t="str">
        <f>+IF(PROVEEDORES[[#This Row],[FECHA DE PAGO]]=PROVEEDORES[[#This Row],[FECHA DE FACTURACIÓN]],"DE CONTADO","CRÉDITO")</f>
        <v>DE CONTADO</v>
      </c>
      <c r="B2037" s="38" t="b">
        <f>+IF((PROVEEDORES[[#This Row],[FECHA DE PAGO]]-PROVEEDORES[[#This Row],[FECHA DE FACTURACIÓN]])&gt;PROVEEDORES[[#This Row],[PLAZO Días]],"PAGO VENCIDO")</f>
        <v>0</v>
      </c>
      <c r="C2037" s="20">
        <f>+VLOOKUP(PROVEEDORES[[#This Row],[PROVEEDOR]],TERCEROS_INFO[#All],2,FALSE)</f>
        <v>30</v>
      </c>
      <c r="D2037" s="25">
        <f>+SUMIFS(PROVEEDORES[Total],PROVEEDORES[PROVEEDOR],PROVEEDORES[[#This Row],[PROVEEDOR]],PROVEEDORES[FECHA DE PAGO],"")</f>
        <v>0</v>
      </c>
      <c r="E2037" s="25"/>
      <c r="F2037" s="56" t="str">
        <f>+VLOOKUP(PROVEEDORES[[#This Row],[PROVEEDOR]],
                       Terceros!$A:$F,
                       5,
                       FALSE)</f>
        <v/>
      </c>
      <c r="G2037" s="68">
        <v>45230</v>
      </c>
      <c r="H2037" s="26" t="s">
        <v>362</v>
      </c>
      <c r="I2037" s="68">
        <v>45230</v>
      </c>
      <c r="J2037" s="35" t="s">
        <v>1176</v>
      </c>
      <c r="K2037" s="21">
        <v>267000</v>
      </c>
      <c r="L2037" s="21"/>
      <c r="M2037" s="22">
        <f>(PROVEEDORES[[#This Row],[SUBTOTAL]]-PROVEEDORES[[#This Row],[descuento sobre subtotal]])*VLOOKUP(PROVEEDORES[[#This Row],[PROVEEDOR]],TERCEROS_INFO[#All],3,FALSE)</f>
        <v>0</v>
      </c>
      <c r="N2037" s="23"/>
      <c r="O2037" s="22">
        <f>+PROVEEDORES[[#This Row],[Descuento sobre subtotal %]]*(PROVEEDORES[[#This Row],[SUBTOTAL]]-PROVEEDORES[[#This Row],[descuento sobre subtotal]])</f>
        <v>0</v>
      </c>
      <c r="P2037" s="74">
        <f>+IF(PROVEEDORES[[#This Row],[SUBTOTAL]]&lt;PROVEEDORES[[#This Row],[base retencion]],0,PROVEEDORES[[#This Row],[retención aplicada]])</f>
        <v>0</v>
      </c>
      <c r="Q2037" s="22">
        <f>+PROVEEDORES[[#This Row],[Rete Fuente %]]*(PROVEEDORES[[#This Row],[SUBTOTAL]]-PROVEEDORES[[#This Row],[descuento sobre subtotal]])</f>
        <v>0</v>
      </c>
      <c r="R2037" s="21">
        <f>+PROVEEDORES[[#This Row],[SUBTOTAL]]+PROVEEDORES[[#This Row],[IVA 19%]]-PROVEEDORES[[#This Row],[descuento sobre subtotal]]-PROVEEDORES[[#This Row],[Descuento sobre subtotal $2]]-PROVEEDORES[[#This Row],[Rete Fuente $]]</f>
        <v>267000</v>
      </c>
      <c r="S2037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7" s="63">
        <f ca="1">IF(PROVEEDORES[[#This Row],[FECHA DE PAGO]]=0,TODAY()-PROVEEDORES[[#This Row],[FECHA DE FACTURACIÓN]]-PROVEEDORES[[#This Row],[PLAZO Días]],0)</f>
        <v>0</v>
      </c>
      <c r="U2037" s="104">
        <f>+VLOOKUP(PROVEEDORES[[#This Row],[PROVEEDOR]],Terceros!$A:$D,4,FALSE)</f>
        <v>0</v>
      </c>
      <c r="V2037" s="105">
        <f>+YEAR(PROVEEDORES[[#This Row],[FECHA DE FACTURACIÓN]])</f>
        <v>2023</v>
      </c>
      <c r="W2037" s="105">
        <f>+MATCH(PROVEEDORES[[#This Row],[año facturado]],Retenciones!$1:$1,0)</f>
        <v>6</v>
      </c>
      <c r="X2037" s="106">
        <f>+VLOOKUP(PROVEEDORES[[#This Row],[ID RETENCION]],Retenciones!$A$1:$O$25,PROVEEDORES[[#This Row],[indicador de columna]],FALSE)</f>
        <v>0</v>
      </c>
      <c r="Y2037" s="107">
        <f>+VLOOKUP(PROVEEDORES[[#This Row],[ID RETENCION]],Retenciones!$A$1:$O$25,2,FALSE)</f>
        <v>0</v>
      </c>
      <c r="Z2037" s="116" t="b">
        <f>OR(COUNTIF(PROVEEDORES[[#This Row],[PROVEEDOR]],"*"&amp;'Palabra no opera'!$A$2&amp;"*"))</f>
        <v>0</v>
      </c>
    </row>
    <row r="2038" spans="1:26" ht="22.35" customHeight="1" x14ac:dyDescent="0.3">
      <c r="A2038" s="374" t="str">
        <f>+IF(PROVEEDORES[[#This Row],[FECHA DE PAGO]]=PROVEEDORES[[#This Row],[FECHA DE FACTURACIÓN]],"DE CONTADO","CRÉDITO")</f>
        <v>DE CONTADO</v>
      </c>
      <c r="B2038" s="38" t="b">
        <f>+IF((PROVEEDORES[[#This Row],[FECHA DE PAGO]]-PROVEEDORES[[#This Row],[FECHA DE FACTURACIÓN]])&gt;PROVEEDORES[[#This Row],[PLAZO Días]],"PAGO VENCIDO")</f>
        <v>0</v>
      </c>
      <c r="C2038" s="20">
        <f>+VLOOKUP(PROVEEDORES[[#This Row],[PROVEEDOR]],TERCEROS_INFO[#All],2,FALSE)</f>
        <v>30</v>
      </c>
      <c r="D2038" s="25">
        <f>+SUMIFS(PROVEEDORES[Total],PROVEEDORES[PROVEEDOR],PROVEEDORES[[#This Row],[PROVEEDOR]],PROVEEDORES[FECHA DE PAGO],"")</f>
        <v>0</v>
      </c>
      <c r="E2038" s="25"/>
      <c r="F2038" s="56" t="str">
        <f>+VLOOKUP(PROVEEDORES[[#This Row],[PROVEEDOR]],
                       Terceros!$A:$F,
                       5,
                       FALSE)</f>
        <v/>
      </c>
      <c r="G2038" s="68">
        <v>45230</v>
      </c>
      <c r="H2038" s="26" t="s">
        <v>362</v>
      </c>
      <c r="I2038" s="68">
        <v>45230</v>
      </c>
      <c r="J2038" s="35" t="s">
        <v>1178</v>
      </c>
      <c r="K2038" s="21">
        <v>144000</v>
      </c>
      <c r="L2038" s="21"/>
      <c r="M2038" s="22">
        <f>(PROVEEDORES[[#This Row],[SUBTOTAL]]-PROVEEDORES[[#This Row],[descuento sobre subtotal]])*VLOOKUP(PROVEEDORES[[#This Row],[PROVEEDOR]],TERCEROS_INFO[#All],3,FALSE)</f>
        <v>0</v>
      </c>
      <c r="N2038" s="23"/>
      <c r="O2038" s="22">
        <f>+PROVEEDORES[[#This Row],[Descuento sobre subtotal %]]*(PROVEEDORES[[#This Row],[SUBTOTAL]]-PROVEEDORES[[#This Row],[descuento sobre subtotal]])</f>
        <v>0</v>
      </c>
      <c r="P2038" s="74">
        <f>+IF(PROVEEDORES[[#This Row],[SUBTOTAL]]&lt;PROVEEDORES[[#This Row],[base retencion]],0,PROVEEDORES[[#This Row],[retención aplicada]])</f>
        <v>0</v>
      </c>
      <c r="Q2038" s="22">
        <f>+PROVEEDORES[[#This Row],[Rete Fuente %]]*(PROVEEDORES[[#This Row],[SUBTOTAL]]-PROVEEDORES[[#This Row],[descuento sobre subtotal]])</f>
        <v>0</v>
      </c>
      <c r="R2038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2038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8" s="63">
        <f ca="1">IF(PROVEEDORES[[#This Row],[FECHA DE PAGO]]=0,TODAY()-PROVEEDORES[[#This Row],[FECHA DE FACTURACIÓN]]-PROVEEDORES[[#This Row],[PLAZO Días]],0)</f>
        <v>0</v>
      </c>
      <c r="U2038" s="104">
        <f>+VLOOKUP(PROVEEDORES[[#This Row],[PROVEEDOR]],Terceros!$A:$D,4,FALSE)</f>
        <v>0</v>
      </c>
      <c r="V2038" s="105">
        <f>+YEAR(PROVEEDORES[[#This Row],[FECHA DE FACTURACIÓN]])</f>
        <v>2023</v>
      </c>
      <c r="W2038" s="105">
        <f>+MATCH(PROVEEDORES[[#This Row],[año facturado]],Retenciones!$1:$1,0)</f>
        <v>6</v>
      </c>
      <c r="X2038" s="106">
        <f>+VLOOKUP(PROVEEDORES[[#This Row],[ID RETENCION]],Retenciones!$A$1:$O$25,PROVEEDORES[[#This Row],[indicador de columna]],FALSE)</f>
        <v>0</v>
      </c>
      <c r="Y2038" s="107">
        <f>+VLOOKUP(PROVEEDORES[[#This Row],[ID RETENCION]],Retenciones!$A$1:$O$25,2,FALSE)</f>
        <v>0</v>
      </c>
      <c r="Z2038" s="116" t="b">
        <f>OR(COUNTIF(PROVEEDORES[[#This Row],[PROVEEDOR]],"*"&amp;'Palabra no opera'!$A$2&amp;"*"))</f>
        <v>0</v>
      </c>
    </row>
    <row r="2039" spans="1:26" ht="22.35" customHeight="1" x14ac:dyDescent="0.3">
      <c r="A2039" s="374" t="str">
        <f>+IF(PROVEEDORES[[#This Row],[FECHA DE PAGO]]=PROVEEDORES[[#This Row],[FECHA DE FACTURACIÓN]],"DE CONTADO","CRÉDITO")</f>
        <v>DE CONTADO</v>
      </c>
      <c r="B2039" s="38" t="b">
        <f>+IF((PROVEEDORES[[#This Row],[FECHA DE PAGO]]-PROVEEDORES[[#This Row],[FECHA DE FACTURACIÓN]])&gt;PROVEEDORES[[#This Row],[PLAZO Días]],"PAGO VENCIDO")</f>
        <v>0</v>
      </c>
      <c r="C2039" s="20">
        <f>+VLOOKUP(PROVEEDORES[[#This Row],[PROVEEDOR]],TERCEROS_INFO[#All],2,FALSE)</f>
        <v>30</v>
      </c>
      <c r="D2039" s="25">
        <f>+SUMIFS(PROVEEDORES[Total],PROVEEDORES[PROVEEDOR],PROVEEDORES[[#This Row],[PROVEEDOR]],PROVEEDORES[FECHA DE PAGO],"")</f>
        <v>0</v>
      </c>
      <c r="E2039" s="25"/>
      <c r="F2039" s="56" t="str">
        <f>+VLOOKUP(PROVEEDORES[[#This Row],[PROVEEDOR]],
                       Terceros!$A:$F,
                       5,
                       FALSE)</f>
        <v/>
      </c>
      <c r="G2039" s="68">
        <v>45230</v>
      </c>
      <c r="H2039" s="26" t="s">
        <v>362</v>
      </c>
      <c r="I2039" s="68">
        <v>45230</v>
      </c>
      <c r="J2039" s="35" t="s">
        <v>1180</v>
      </c>
      <c r="K2039" s="21">
        <v>160000</v>
      </c>
      <c r="L2039" s="21"/>
      <c r="M2039" s="22">
        <f>(PROVEEDORES[[#This Row],[SUBTOTAL]]-PROVEEDORES[[#This Row],[descuento sobre subtotal]])*VLOOKUP(PROVEEDORES[[#This Row],[PROVEEDOR]],TERCEROS_INFO[#All],3,FALSE)</f>
        <v>0</v>
      </c>
      <c r="N2039" s="23"/>
      <c r="O2039" s="22">
        <f>+PROVEEDORES[[#This Row],[Descuento sobre subtotal %]]*(PROVEEDORES[[#This Row],[SUBTOTAL]]-PROVEEDORES[[#This Row],[descuento sobre subtotal]])</f>
        <v>0</v>
      </c>
      <c r="P2039" s="74">
        <f>+IF(PROVEEDORES[[#This Row],[SUBTOTAL]]&lt;PROVEEDORES[[#This Row],[base retencion]],0,PROVEEDORES[[#This Row],[retención aplicada]])</f>
        <v>0</v>
      </c>
      <c r="Q2039" s="22">
        <f>+PROVEEDORES[[#This Row],[Rete Fuente %]]*(PROVEEDORES[[#This Row],[SUBTOTAL]]-PROVEEDORES[[#This Row],[descuento sobre subtotal]])</f>
        <v>0</v>
      </c>
      <c r="R2039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2039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9" s="63">
        <f ca="1">IF(PROVEEDORES[[#This Row],[FECHA DE PAGO]]=0,TODAY()-PROVEEDORES[[#This Row],[FECHA DE FACTURACIÓN]]-PROVEEDORES[[#This Row],[PLAZO Días]],0)</f>
        <v>0</v>
      </c>
      <c r="U2039" s="104">
        <f>+VLOOKUP(PROVEEDORES[[#This Row],[PROVEEDOR]],Terceros!$A:$D,4,FALSE)</f>
        <v>0</v>
      </c>
      <c r="V2039" s="105">
        <f>+YEAR(PROVEEDORES[[#This Row],[FECHA DE FACTURACIÓN]])</f>
        <v>2023</v>
      </c>
      <c r="W2039" s="105">
        <f>+MATCH(PROVEEDORES[[#This Row],[año facturado]],Retenciones!$1:$1,0)</f>
        <v>6</v>
      </c>
      <c r="X2039" s="106">
        <f>+VLOOKUP(PROVEEDORES[[#This Row],[ID RETENCION]],Retenciones!$A$1:$O$25,PROVEEDORES[[#This Row],[indicador de columna]],FALSE)</f>
        <v>0</v>
      </c>
      <c r="Y2039" s="107">
        <f>+VLOOKUP(PROVEEDORES[[#This Row],[ID RETENCION]],Retenciones!$A$1:$O$25,2,FALSE)</f>
        <v>0</v>
      </c>
      <c r="Z2039" s="116" t="b">
        <f>OR(COUNTIF(PROVEEDORES[[#This Row],[PROVEEDOR]],"*"&amp;'Palabra no opera'!$A$2&amp;"*"))</f>
        <v>0</v>
      </c>
    </row>
    <row r="2040" spans="1:26" ht="22.35" customHeight="1" x14ac:dyDescent="0.3">
      <c r="A2040" s="374" t="str">
        <f>+IF(PROVEEDORES[[#This Row],[FECHA DE PAGO]]=PROVEEDORES[[#This Row],[FECHA DE FACTURACIÓN]],"DE CONTADO","CRÉDITO")</f>
        <v>DE CONTADO</v>
      </c>
      <c r="B2040" s="38" t="b">
        <f>+IF((PROVEEDORES[[#This Row],[FECHA DE PAGO]]-PROVEEDORES[[#This Row],[FECHA DE FACTURACIÓN]])&gt;PROVEEDORES[[#This Row],[PLAZO Días]],"PAGO VENCIDO")</f>
        <v>0</v>
      </c>
      <c r="C2040" s="20">
        <f>+VLOOKUP(PROVEEDORES[[#This Row],[PROVEEDOR]],TERCEROS_INFO[#All],2,FALSE)</f>
        <v>30</v>
      </c>
      <c r="D2040" s="25">
        <f>+SUMIFS(PROVEEDORES[Total],PROVEEDORES[PROVEEDOR],PROVEEDORES[[#This Row],[PROVEEDOR]],PROVEEDORES[FECHA DE PAGO],"")</f>
        <v>0</v>
      </c>
      <c r="E2040" s="25"/>
      <c r="F2040" s="56" t="str">
        <f>+VLOOKUP(PROVEEDORES[[#This Row],[PROVEEDOR]],
                       Terceros!$A:$F,
                       5,
                       FALSE)</f>
        <v/>
      </c>
      <c r="G2040" s="68">
        <v>45230</v>
      </c>
      <c r="H2040" s="26" t="s">
        <v>362</v>
      </c>
      <c r="I2040" s="68">
        <v>45230</v>
      </c>
      <c r="J2040" s="35" t="s">
        <v>1179</v>
      </c>
      <c r="K2040" s="21">
        <v>157900</v>
      </c>
      <c r="L2040" s="21"/>
      <c r="M2040" s="22">
        <f>(PROVEEDORES[[#This Row],[SUBTOTAL]]-PROVEEDORES[[#This Row],[descuento sobre subtotal]])*VLOOKUP(PROVEEDORES[[#This Row],[PROVEEDOR]],TERCEROS_INFO[#All],3,FALSE)</f>
        <v>0</v>
      </c>
      <c r="N2040" s="23"/>
      <c r="O2040" s="22">
        <f>+PROVEEDORES[[#This Row],[Descuento sobre subtotal %]]*(PROVEEDORES[[#This Row],[SUBTOTAL]]-PROVEEDORES[[#This Row],[descuento sobre subtotal]])</f>
        <v>0</v>
      </c>
      <c r="P2040" s="74">
        <f>+IF(PROVEEDORES[[#This Row],[SUBTOTAL]]&lt;PROVEEDORES[[#This Row],[base retencion]],0,PROVEEDORES[[#This Row],[retención aplicada]])</f>
        <v>0</v>
      </c>
      <c r="Q2040" s="22">
        <f>+PROVEEDORES[[#This Row],[Rete Fuente %]]*(PROVEEDORES[[#This Row],[SUBTOTAL]]-PROVEEDORES[[#This Row],[descuento sobre subtotal]])</f>
        <v>0</v>
      </c>
      <c r="R2040" s="21">
        <f>+PROVEEDORES[[#This Row],[SUBTOTAL]]+PROVEEDORES[[#This Row],[IVA 19%]]-PROVEEDORES[[#This Row],[descuento sobre subtotal]]-PROVEEDORES[[#This Row],[Descuento sobre subtotal $2]]-PROVEEDORES[[#This Row],[Rete Fuente $]]</f>
        <v>157900</v>
      </c>
      <c r="S2040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0" s="63">
        <f ca="1">IF(PROVEEDORES[[#This Row],[FECHA DE PAGO]]=0,TODAY()-PROVEEDORES[[#This Row],[FECHA DE FACTURACIÓN]]-PROVEEDORES[[#This Row],[PLAZO Días]],0)</f>
        <v>0</v>
      </c>
      <c r="U2040" s="104">
        <f>+VLOOKUP(PROVEEDORES[[#This Row],[PROVEEDOR]],Terceros!$A:$D,4,FALSE)</f>
        <v>0</v>
      </c>
      <c r="V2040" s="105">
        <f>+YEAR(PROVEEDORES[[#This Row],[FECHA DE FACTURACIÓN]])</f>
        <v>2023</v>
      </c>
      <c r="W2040" s="105">
        <f>+MATCH(PROVEEDORES[[#This Row],[año facturado]],Retenciones!$1:$1,0)</f>
        <v>6</v>
      </c>
      <c r="X2040" s="106">
        <f>+VLOOKUP(PROVEEDORES[[#This Row],[ID RETENCION]],Retenciones!$A$1:$O$25,PROVEEDORES[[#This Row],[indicador de columna]],FALSE)</f>
        <v>0</v>
      </c>
      <c r="Y2040" s="107">
        <f>+VLOOKUP(PROVEEDORES[[#This Row],[ID RETENCION]],Retenciones!$A$1:$O$25,2,FALSE)</f>
        <v>0</v>
      </c>
      <c r="Z2040" s="116" t="b">
        <f>OR(COUNTIF(PROVEEDORES[[#This Row],[PROVEEDOR]],"*"&amp;'Palabra no opera'!$A$2&amp;"*"))</f>
        <v>0</v>
      </c>
    </row>
    <row r="2041" spans="1:26" ht="22.35" customHeight="1" x14ac:dyDescent="0.3">
      <c r="A2041" s="374" t="str">
        <f>+IF(PROVEEDORES[[#This Row],[FECHA DE PAGO]]=PROVEEDORES[[#This Row],[FECHA DE FACTURACIÓN]],"DE CONTADO","CRÉDITO")</f>
        <v>DE CONTADO</v>
      </c>
      <c r="B2041" s="38" t="b">
        <f>+IF((PROVEEDORES[[#This Row],[FECHA DE PAGO]]-PROVEEDORES[[#This Row],[FECHA DE FACTURACIÓN]])&gt;PROVEEDORES[[#This Row],[PLAZO Días]],"PAGO VENCIDO")</f>
        <v>0</v>
      </c>
      <c r="C2041" s="20">
        <f>+VLOOKUP(PROVEEDORES[[#This Row],[PROVEEDOR]],TERCEROS_INFO[#All],2,FALSE)</f>
        <v>30</v>
      </c>
      <c r="D2041" s="25">
        <f>+SUMIFS(PROVEEDORES[Total],PROVEEDORES[PROVEEDOR],PROVEEDORES[[#This Row],[PROVEEDOR]],PROVEEDORES[FECHA DE PAGO],"")</f>
        <v>0</v>
      </c>
      <c r="E2041" s="25"/>
      <c r="F2041" s="56" t="str">
        <f>+VLOOKUP(PROVEEDORES[[#This Row],[PROVEEDOR]],
                       Terceros!$A:$F,
                       5,
                       FALSE)</f>
        <v/>
      </c>
      <c r="G2041" s="68">
        <v>45230</v>
      </c>
      <c r="H2041" s="26" t="s">
        <v>362</v>
      </c>
      <c r="I2041" s="68">
        <v>45230</v>
      </c>
      <c r="J2041" s="35" t="s">
        <v>1379</v>
      </c>
      <c r="K2041" s="21">
        <v>0</v>
      </c>
      <c r="L2041" s="21"/>
      <c r="M2041" s="22">
        <f>(PROVEEDORES[[#This Row],[SUBTOTAL]]-PROVEEDORES[[#This Row],[descuento sobre subtotal]])*VLOOKUP(PROVEEDORES[[#This Row],[PROVEEDOR]],TERCEROS_INFO[#All],3,FALSE)</f>
        <v>0</v>
      </c>
      <c r="N2041" s="23"/>
      <c r="O2041" s="22">
        <f>+PROVEEDORES[[#This Row],[Descuento sobre subtotal %]]*(PROVEEDORES[[#This Row],[SUBTOTAL]]-PROVEEDORES[[#This Row],[descuento sobre subtotal]])</f>
        <v>0</v>
      </c>
      <c r="P2041" s="74">
        <f>+IF(PROVEEDORES[[#This Row],[SUBTOTAL]]&lt;PROVEEDORES[[#This Row],[base retencion]],0,PROVEEDORES[[#This Row],[retención aplicada]])</f>
        <v>0</v>
      </c>
      <c r="Q2041" s="22">
        <f>+PROVEEDORES[[#This Row],[Rete Fuente %]]*(PROVEEDORES[[#This Row],[SUBTOTAL]]-PROVEEDORES[[#This Row],[descuento sobre subtotal]])</f>
        <v>0</v>
      </c>
      <c r="R2041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041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1" s="63">
        <f ca="1">IF(PROVEEDORES[[#This Row],[FECHA DE PAGO]]=0,TODAY()-PROVEEDORES[[#This Row],[FECHA DE FACTURACIÓN]]-PROVEEDORES[[#This Row],[PLAZO Días]],0)</f>
        <v>0</v>
      </c>
      <c r="U2041" s="104">
        <f>+VLOOKUP(PROVEEDORES[[#This Row],[PROVEEDOR]],Terceros!$A:$D,4,FALSE)</f>
        <v>0</v>
      </c>
      <c r="V2041" s="105">
        <f>+YEAR(PROVEEDORES[[#This Row],[FECHA DE FACTURACIÓN]])</f>
        <v>2023</v>
      </c>
      <c r="W2041" s="105">
        <f>+MATCH(PROVEEDORES[[#This Row],[año facturado]],Retenciones!$1:$1,0)</f>
        <v>6</v>
      </c>
      <c r="X2041" s="106">
        <f>+VLOOKUP(PROVEEDORES[[#This Row],[ID RETENCION]],Retenciones!$A$1:$O$25,PROVEEDORES[[#This Row],[indicador de columna]],FALSE)</f>
        <v>0</v>
      </c>
      <c r="Y2041" s="107">
        <f>+VLOOKUP(PROVEEDORES[[#This Row],[ID RETENCION]],Retenciones!$A$1:$O$25,2,FALSE)</f>
        <v>0</v>
      </c>
      <c r="Z2041" s="116" t="b">
        <f>OR(COUNTIF(PROVEEDORES[[#This Row],[PROVEEDOR]],"*"&amp;'Palabra no opera'!$A$2&amp;"*"))</f>
        <v>0</v>
      </c>
    </row>
    <row r="2042" spans="1:26" ht="22.35" customHeight="1" x14ac:dyDescent="0.3">
      <c r="A2042" s="67" t="str">
        <f>+IF(PROVEEDORES[[#This Row],[FECHA DE PAGO]]=PROVEEDORES[[#This Row],[FECHA DE FACTURACIÓN]],"DE CONTADO","CRÉDITO")</f>
        <v>DE CONTADO</v>
      </c>
      <c r="B2042" s="38" t="b">
        <f>+IF((PROVEEDORES[[#This Row],[FECHA DE PAGO]]-PROVEEDORES[[#This Row],[FECHA DE FACTURACIÓN]])&gt;PROVEEDORES[[#This Row],[PLAZO Días]],"PAGO VENCIDO")</f>
        <v>0</v>
      </c>
      <c r="C2042" s="20">
        <f>+VLOOKUP(PROVEEDORES[[#This Row],[PROVEEDOR]],TERCEROS_INFO[#All],2,FALSE)</f>
        <v>30</v>
      </c>
      <c r="D2042" s="25">
        <f>+SUMIFS(PROVEEDORES[Total],PROVEEDORES[PROVEEDOR],PROVEEDORES[[#This Row],[PROVEEDOR]],PROVEEDORES[FECHA DE PAGO],"")</f>
        <v>0</v>
      </c>
      <c r="E2042" s="25"/>
      <c r="F2042" s="56" t="str">
        <f>+VLOOKUP(PROVEEDORES[[#This Row],[PROVEEDOR]],
                       Terceros!$A:$F,
                       5,
                       FALSE)</f>
        <v/>
      </c>
      <c r="G2042" s="68">
        <v>45230</v>
      </c>
      <c r="H2042" s="26" t="s">
        <v>53</v>
      </c>
      <c r="I2042" s="68">
        <v>45230</v>
      </c>
      <c r="J2042" s="35">
        <v>313196</v>
      </c>
      <c r="K2042" s="21">
        <v>2262000</v>
      </c>
      <c r="L2042" s="21"/>
      <c r="M2042" s="22">
        <f>(PROVEEDORES[[#This Row],[SUBTOTAL]]-PROVEEDORES[[#This Row],[descuento sobre subtotal]])*VLOOKUP(PROVEEDORES[[#This Row],[PROVEEDOR]],TERCEROS_INFO[#All],3,FALSE)</f>
        <v>0</v>
      </c>
      <c r="N2042" s="23"/>
      <c r="O2042" s="22">
        <f>+PROVEEDORES[[#This Row],[Descuento sobre subtotal %]]*(PROVEEDORES[[#This Row],[SUBTOTAL]]-PROVEEDORES[[#This Row],[descuento sobre subtotal]])</f>
        <v>0</v>
      </c>
      <c r="P2042" s="74">
        <f>+IF(PROVEEDORES[[#This Row],[SUBTOTAL]]&lt;PROVEEDORES[[#This Row],[base retencion]],0,PROVEEDORES[[#This Row],[retención aplicada]])</f>
        <v>0</v>
      </c>
      <c r="Q2042" s="22">
        <f>+PROVEEDORES[[#This Row],[Rete Fuente %]]*(PROVEEDORES[[#This Row],[SUBTOTAL]]-PROVEEDORES[[#This Row],[descuento sobre subtotal]])</f>
        <v>0</v>
      </c>
      <c r="R2042" s="21">
        <f>+PROVEEDORES[[#This Row],[SUBTOTAL]]+PROVEEDORES[[#This Row],[IVA 19%]]-PROVEEDORES[[#This Row],[descuento sobre subtotal]]-PROVEEDORES[[#This Row],[Descuento sobre subtotal $2]]-PROVEEDORES[[#This Row],[Rete Fuente $]]</f>
        <v>2262000</v>
      </c>
      <c r="S20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2" s="63">
        <f ca="1">IF(PROVEEDORES[[#This Row],[FECHA DE PAGO]]=0,TODAY()-PROVEEDORES[[#This Row],[FECHA DE FACTURACIÓN]]-PROVEEDORES[[#This Row],[PLAZO Días]],0)</f>
        <v>0</v>
      </c>
      <c r="U2042" s="104">
        <f>+VLOOKUP(PROVEEDORES[[#This Row],[PROVEEDOR]],Terceros!$A:$D,4,FALSE)</f>
        <v>0</v>
      </c>
      <c r="V2042" s="105">
        <f>+YEAR(PROVEEDORES[[#This Row],[FECHA DE FACTURACIÓN]])</f>
        <v>2023</v>
      </c>
      <c r="W2042" s="105">
        <f>+MATCH(PROVEEDORES[[#This Row],[año facturado]],Retenciones!$1:$1,0)</f>
        <v>6</v>
      </c>
      <c r="X2042" s="106">
        <f>+VLOOKUP(PROVEEDORES[[#This Row],[ID RETENCION]],Retenciones!$A$1:$O$25,PROVEEDORES[[#This Row],[indicador de columna]],FALSE)</f>
        <v>0</v>
      </c>
      <c r="Y2042" s="107">
        <f>+VLOOKUP(PROVEEDORES[[#This Row],[ID RETENCION]],Retenciones!$A$1:$O$25,2,FALSE)</f>
        <v>0</v>
      </c>
      <c r="Z2042" s="116" t="b">
        <f>OR(COUNTIF(PROVEEDORES[[#This Row],[PROVEEDOR]],"*"&amp;'Palabra no opera'!$A$2&amp;"*"))</f>
        <v>0</v>
      </c>
    </row>
    <row r="2043" spans="1:26" ht="22.35" customHeight="1" x14ac:dyDescent="0.3">
      <c r="A2043" s="67" t="str">
        <f>+IF(PROVEEDORES[[#This Row],[FECHA DE PAGO]]=PROVEEDORES[[#This Row],[FECHA DE FACTURACIÓN]],"DE CONTADO","CRÉDITO")</f>
        <v>DE CONTADO</v>
      </c>
      <c r="B2043" s="38" t="b">
        <f>+IF((PROVEEDORES[[#This Row],[FECHA DE PAGO]]-PROVEEDORES[[#This Row],[FECHA DE FACTURACIÓN]])&gt;PROVEEDORES[[#This Row],[PLAZO Días]],"PAGO VENCIDO")</f>
        <v>0</v>
      </c>
      <c r="C2043" s="20">
        <f>+VLOOKUP(PROVEEDORES[[#This Row],[PROVEEDOR]],TERCEROS_INFO[#All],2,FALSE)</f>
        <v>30</v>
      </c>
      <c r="D2043" s="25">
        <f>+SUMIFS(PROVEEDORES[Total],PROVEEDORES[PROVEEDOR],PROVEEDORES[[#This Row],[PROVEEDOR]],PROVEEDORES[FECHA DE PAGO],"")</f>
        <v>0</v>
      </c>
      <c r="E2043" s="25"/>
      <c r="F204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043" s="68">
        <v>45230</v>
      </c>
      <c r="H2043" s="26" t="s">
        <v>227</v>
      </c>
      <c r="I2043" s="68">
        <v>45230</v>
      </c>
      <c r="J2043" s="35" t="s">
        <v>2100</v>
      </c>
      <c r="K2043" s="21">
        <v>1790000</v>
      </c>
      <c r="L2043" s="21"/>
      <c r="M2043" s="22">
        <f>(PROVEEDORES[[#This Row],[SUBTOTAL]]-PROVEEDORES[[#This Row],[descuento sobre subtotal]])*VLOOKUP(PROVEEDORES[[#This Row],[PROVEEDOR]],TERCEROS_INFO[#All],3,FALSE)</f>
        <v>0</v>
      </c>
      <c r="N2043" s="23"/>
      <c r="O2043" s="22">
        <f>+PROVEEDORES[[#This Row],[Descuento sobre subtotal %]]*(PROVEEDORES[[#This Row],[SUBTOTAL]]-PROVEEDORES[[#This Row],[descuento sobre subtotal]])</f>
        <v>0</v>
      </c>
      <c r="P2043" s="74">
        <f>+IF(PROVEEDORES[[#This Row],[SUBTOTAL]]&lt;PROVEEDORES[[#This Row],[base retencion]],0,PROVEEDORES[[#This Row],[retención aplicada]])</f>
        <v>0</v>
      </c>
      <c r="Q2043" s="22">
        <f>+PROVEEDORES[[#This Row],[Rete Fuente %]]*(PROVEEDORES[[#This Row],[SUBTOTAL]]-PROVEEDORES[[#This Row],[descuento sobre subtotal]])</f>
        <v>0</v>
      </c>
      <c r="R2043" s="21">
        <f>+PROVEEDORES[[#This Row],[SUBTOTAL]]+PROVEEDORES[[#This Row],[IVA 19%]]-PROVEEDORES[[#This Row],[descuento sobre subtotal]]-PROVEEDORES[[#This Row],[Descuento sobre subtotal $2]]-PROVEEDORES[[#This Row],[Rete Fuente $]]</f>
        <v>1790000</v>
      </c>
      <c r="S20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3" s="63">
        <f ca="1">IF(PROVEEDORES[[#This Row],[FECHA DE PAGO]]=0,TODAY()-PROVEEDORES[[#This Row],[FECHA DE FACTURACIÓN]]-PROVEEDORES[[#This Row],[PLAZO Días]],0)</f>
        <v>0</v>
      </c>
      <c r="U2043" s="104">
        <f>+VLOOKUP(PROVEEDORES[[#This Row],[PROVEEDOR]],Terceros!$A:$D,4,FALSE)</f>
        <v>0</v>
      </c>
      <c r="V2043" s="105">
        <f>+YEAR(PROVEEDORES[[#This Row],[FECHA DE FACTURACIÓN]])</f>
        <v>2023</v>
      </c>
      <c r="W2043" s="105">
        <f>+MATCH(PROVEEDORES[[#This Row],[año facturado]],Retenciones!$1:$1,0)</f>
        <v>6</v>
      </c>
      <c r="X2043" s="106">
        <f>+VLOOKUP(PROVEEDORES[[#This Row],[ID RETENCION]],Retenciones!$A$1:$O$25,PROVEEDORES[[#This Row],[indicador de columna]],FALSE)</f>
        <v>0</v>
      </c>
      <c r="Y2043" s="107">
        <f>+VLOOKUP(PROVEEDORES[[#This Row],[ID RETENCION]],Retenciones!$A$1:$O$25,2,FALSE)</f>
        <v>0</v>
      </c>
      <c r="Z2043" s="116" t="b">
        <f>OR(COUNTIF(PROVEEDORES[[#This Row],[PROVEEDOR]],"*"&amp;'Palabra no opera'!$A$2&amp;"*"))</f>
        <v>0</v>
      </c>
    </row>
    <row r="2044" spans="1:26" ht="22.35" customHeight="1" x14ac:dyDescent="0.3">
      <c r="A2044" s="381" t="str">
        <f>+IF(PROVEEDORES[[#This Row],[FECHA DE PAGO]]=PROVEEDORES[[#This Row],[FECHA DE FACTURACIÓN]],"DE CONTADO","CRÉDITO")</f>
        <v>DE CONTADO</v>
      </c>
      <c r="B2044" s="38" t="b">
        <f>+IF((PROVEEDORES[[#This Row],[FECHA DE PAGO]]-PROVEEDORES[[#This Row],[FECHA DE FACTURACIÓN]])&gt;PROVEEDORES[[#This Row],[PLAZO Días]],"PAGO VENCIDO")</f>
        <v>0</v>
      </c>
      <c r="C2044" s="20">
        <f>+VLOOKUP(PROVEEDORES[[#This Row],[PROVEEDOR]],TERCEROS_INFO[#All],2,FALSE)</f>
        <v>30</v>
      </c>
      <c r="D2044" s="25">
        <f>+SUMIFS(PROVEEDORES[Total],PROVEEDORES[PROVEEDOR],PROVEEDORES[[#This Row],[PROVEEDOR]],PROVEEDORES[FECHA DE PAGO],"")</f>
        <v>0</v>
      </c>
      <c r="E2044" s="25"/>
      <c r="F2044" s="56" t="str">
        <f>+VLOOKUP(PROVEEDORES[[#This Row],[PROVEEDOR]],
                       Terceros!$A:$F,
                       5,
                       FALSE)</f>
        <v/>
      </c>
      <c r="G2044" s="68">
        <v>45231</v>
      </c>
      <c r="H2044" s="26" t="s">
        <v>362</v>
      </c>
      <c r="I2044" s="68">
        <v>45231</v>
      </c>
      <c r="J2044" s="35" t="s">
        <v>2121</v>
      </c>
      <c r="K2044" s="21">
        <v>420000</v>
      </c>
      <c r="L2044" s="21"/>
      <c r="M2044" s="22">
        <f>(PROVEEDORES[[#This Row],[SUBTOTAL]]-PROVEEDORES[[#This Row],[descuento sobre subtotal]])*VLOOKUP(PROVEEDORES[[#This Row],[PROVEEDOR]],TERCEROS_INFO[#All],3,FALSE)</f>
        <v>0</v>
      </c>
      <c r="N2044" s="23"/>
      <c r="O2044" s="22">
        <f>+PROVEEDORES[[#This Row],[Descuento sobre subtotal %]]*(PROVEEDORES[[#This Row],[SUBTOTAL]]-PROVEEDORES[[#This Row],[descuento sobre subtotal]])</f>
        <v>0</v>
      </c>
      <c r="P2044" s="74">
        <f>+IF(PROVEEDORES[[#This Row],[SUBTOTAL]]&lt;PROVEEDORES[[#This Row],[base retencion]],0,PROVEEDORES[[#This Row],[retención aplicada]])</f>
        <v>0</v>
      </c>
      <c r="Q2044" s="22">
        <f>+PROVEEDORES[[#This Row],[Rete Fuente %]]*(PROVEEDORES[[#This Row],[SUBTOTAL]]-PROVEEDORES[[#This Row],[descuento sobre subtotal]])</f>
        <v>0</v>
      </c>
      <c r="R2044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2044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4" s="63">
        <f ca="1">IF(PROVEEDORES[[#This Row],[FECHA DE PAGO]]=0,TODAY()-PROVEEDORES[[#This Row],[FECHA DE FACTURACIÓN]]-PROVEEDORES[[#This Row],[PLAZO Días]],0)</f>
        <v>0</v>
      </c>
      <c r="U2044" s="104">
        <f>+VLOOKUP(PROVEEDORES[[#This Row],[PROVEEDOR]],Terceros!$A:$D,4,FALSE)</f>
        <v>0</v>
      </c>
      <c r="V2044" s="105">
        <f>+YEAR(PROVEEDORES[[#This Row],[FECHA DE FACTURACIÓN]])</f>
        <v>2023</v>
      </c>
      <c r="W2044" s="105">
        <f>+MATCH(PROVEEDORES[[#This Row],[año facturado]],Retenciones!$1:$1,0)</f>
        <v>6</v>
      </c>
      <c r="X2044" s="106">
        <f>+VLOOKUP(PROVEEDORES[[#This Row],[ID RETENCION]],Retenciones!$A$1:$O$25,PROVEEDORES[[#This Row],[indicador de columna]],FALSE)</f>
        <v>0</v>
      </c>
      <c r="Y2044" s="107">
        <f>+VLOOKUP(PROVEEDORES[[#This Row],[ID RETENCION]],Retenciones!$A$1:$O$25,2,FALSE)</f>
        <v>0</v>
      </c>
      <c r="Z2044" s="116" t="b">
        <f>OR(COUNTIF(PROVEEDORES[[#This Row],[PROVEEDOR]],"*"&amp;'Palabra no opera'!$A$2&amp;"*"))</f>
        <v>0</v>
      </c>
    </row>
    <row r="2045" spans="1:26" ht="22.35" customHeight="1" x14ac:dyDescent="0.3">
      <c r="A2045" s="381" t="str">
        <f>+IF(PROVEEDORES[[#This Row],[FECHA DE PAGO]]=PROVEEDORES[[#This Row],[FECHA DE FACTURACIÓN]],"DE CONTADO","CRÉDITO")</f>
        <v>DE CONTADO</v>
      </c>
      <c r="B2045" s="38" t="b">
        <f>+IF((PROVEEDORES[[#This Row],[FECHA DE PAGO]]-PROVEEDORES[[#This Row],[FECHA DE FACTURACIÓN]])&gt;PROVEEDORES[[#This Row],[PLAZO Días]],"PAGO VENCIDO")</f>
        <v>0</v>
      </c>
      <c r="C2045" s="20">
        <f>+VLOOKUP(PROVEEDORES[[#This Row],[PROVEEDOR]],TERCEROS_INFO[#All],2,FALSE)</f>
        <v>30</v>
      </c>
      <c r="D2045" s="25">
        <f>+SUMIFS(PROVEEDORES[Total],PROVEEDORES[PROVEEDOR],PROVEEDORES[[#This Row],[PROVEEDOR]],PROVEEDORES[FECHA DE PAGO],"")</f>
        <v>0</v>
      </c>
      <c r="E2045" s="25"/>
      <c r="F2045" s="56" t="str">
        <f>+VLOOKUP(PROVEEDORES[[#This Row],[PROVEEDOR]],
                       Terceros!$A:$F,
                       5,
                       FALSE)</f>
        <v/>
      </c>
      <c r="G2045" s="68">
        <v>45231</v>
      </c>
      <c r="H2045" s="26" t="s">
        <v>362</v>
      </c>
      <c r="I2045" s="68">
        <v>45231</v>
      </c>
      <c r="J2045" s="35" t="s">
        <v>2124</v>
      </c>
      <c r="K2045" s="21">
        <v>120000</v>
      </c>
      <c r="L2045" s="21"/>
      <c r="M2045" s="22">
        <f>(PROVEEDORES[[#This Row],[SUBTOTAL]]-PROVEEDORES[[#This Row],[descuento sobre subtotal]])*VLOOKUP(PROVEEDORES[[#This Row],[PROVEEDOR]],TERCEROS_INFO[#All],3,FALSE)</f>
        <v>0</v>
      </c>
      <c r="N2045" s="23"/>
      <c r="O2045" s="22">
        <f>+PROVEEDORES[[#This Row],[Descuento sobre subtotal %]]*(PROVEEDORES[[#This Row],[SUBTOTAL]]-PROVEEDORES[[#This Row],[descuento sobre subtotal]])</f>
        <v>0</v>
      </c>
      <c r="P2045" s="74">
        <f>+IF(PROVEEDORES[[#This Row],[SUBTOTAL]]&lt;PROVEEDORES[[#This Row],[base retencion]],0,PROVEEDORES[[#This Row],[retención aplicada]])</f>
        <v>0</v>
      </c>
      <c r="Q2045" s="22">
        <f>+PROVEEDORES[[#This Row],[Rete Fuente %]]*(PROVEEDORES[[#This Row],[SUBTOTAL]]-PROVEEDORES[[#This Row],[descuento sobre subtotal]])</f>
        <v>0</v>
      </c>
      <c r="R2045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2045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5" s="63">
        <f ca="1">IF(PROVEEDORES[[#This Row],[FECHA DE PAGO]]=0,TODAY()-PROVEEDORES[[#This Row],[FECHA DE FACTURACIÓN]]-PROVEEDORES[[#This Row],[PLAZO Días]],0)</f>
        <v>0</v>
      </c>
      <c r="U2045" s="104">
        <f>+VLOOKUP(PROVEEDORES[[#This Row],[PROVEEDOR]],Terceros!$A:$D,4,FALSE)</f>
        <v>0</v>
      </c>
      <c r="V2045" s="105">
        <f>+YEAR(PROVEEDORES[[#This Row],[FECHA DE FACTURACIÓN]])</f>
        <v>2023</v>
      </c>
      <c r="W2045" s="105">
        <f>+MATCH(PROVEEDORES[[#This Row],[año facturado]],Retenciones!$1:$1,0)</f>
        <v>6</v>
      </c>
      <c r="X2045" s="106">
        <f>+VLOOKUP(PROVEEDORES[[#This Row],[ID RETENCION]],Retenciones!$A$1:$O$25,PROVEEDORES[[#This Row],[indicador de columna]],FALSE)</f>
        <v>0</v>
      </c>
      <c r="Y2045" s="107">
        <f>+VLOOKUP(PROVEEDORES[[#This Row],[ID RETENCION]],Retenciones!$A$1:$O$25,2,FALSE)</f>
        <v>0</v>
      </c>
      <c r="Z2045" s="116" t="b">
        <f>OR(COUNTIF(PROVEEDORES[[#This Row],[PROVEEDOR]],"*"&amp;'Palabra no opera'!$A$2&amp;"*"))</f>
        <v>0</v>
      </c>
    </row>
    <row r="2046" spans="1:26" ht="22.35" customHeight="1" x14ac:dyDescent="0.3">
      <c r="A2046" s="381" t="str">
        <f>+IF(PROVEEDORES[[#This Row],[FECHA DE PAGO]]=PROVEEDORES[[#This Row],[FECHA DE FACTURACIÓN]],"DE CONTADO","CRÉDITO")</f>
        <v>DE CONTADO</v>
      </c>
      <c r="B2046" s="38" t="b">
        <f>+IF((PROVEEDORES[[#This Row],[FECHA DE PAGO]]-PROVEEDORES[[#This Row],[FECHA DE FACTURACIÓN]])&gt;PROVEEDORES[[#This Row],[PLAZO Días]],"PAGO VENCIDO")</f>
        <v>0</v>
      </c>
      <c r="C2046" s="20">
        <f>+VLOOKUP(PROVEEDORES[[#This Row],[PROVEEDOR]],TERCEROS_INFO[#All],2,FALSE)</f>
        <v>30</v>
      </c>
      <c r="D2046" s="25">
        <f>+SUMIFS(PROVEEDORES[Total],PROVEEDORES[PROVEEDOR],PROVEEDORES[[#This Row],[PROVEEDOR]],PROVEEDORES[FECHA DE PAGO],"")</f>
        <v>0</v>
      </c>
      <c r="E2046" s="25"/>
      <c r="F2046" s="56" t="str">
        <f>+VLOOKUP(PROVEEDORES[[#This Row],[PROVEEDOR]],
                       Terceros!$A:$F,
                       5,
                       FALSE)</f>
        <v/>
      </c>
      <c r="G2046" s="68">
        <v>45231</v>
      </c>
      <c r="H2046" s="26" t="s">
        <v>378</v>
      </c>
      <c r="I2046" s="68">
        <v>45231</v>
      </c>
      <c r="J2046" s="35" t="s">
        <v>2125</v>
      </c>
      <c r="K2046" s="21">
        <v>810000</v>
      </c>
      <c r="L2046" s="21"/>
      <c r="M2046" s="22">
        <f>(PROVEEDORES[[#This Row],[SUBTOTAL]]-PROVEEDORES[[#This Row],[descuento sobre subtotal]])*VLOOKUP(PROVEEDORES[[#This Row],[PROVEEDOR]],TERCEROS_INFO[#All],3,FALSE)</f>
        <v>0</v>
      </c>
      <c r="N2046" s="23"/>
      <c r="O2046" s="22">
        <f>+PROVEEDORES[[#This Row],[Descuento sobre subtotal %]]*(PROVEEDORES[[#This Row],[SUBTOTAL]]-PROVEEDORES[[#This Row],[descuento sobre subtotal]])</f>
        <v>0</v>
      </c>
      <c r="P2046" s="74">
        <f>+IF(PROVEEDORES[[#This Row],[SUBTOTAL]]&lt;PROVEEDORES[[#This Row],[base retencion]],0,PROVEEDORES[[#This Row],[retención aplicada]])</f>
        <v>0</v>
      </c>
      <c r="Q2046" s="22">
        <f>+PROVEEDORES[[#This Row],[Rete Fuente %]]*(PROVEEDORES[[#This Row],[SUBTOTAL]]-PROVEEDORES[[#This Row],[descuento sobre subtotal]])</f>
        <v>0</v>
      </c>
      <c r="R2046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2046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6" s="63">
        <f ca="1">IF(PROVEEDORES[[#This Row],[FECHA DE PAGO]]=0,TODAY()-PROVEEDORES[[#This Row],[FECHA DE FACTURACIÓN]]-PROVEEDORES[[#This Row],[PLAZO Días]],0)</f>
        <v>0</v>
      </c>
      <c r="U2046" s="104">
        <f>+VLOOKUP(PROVEEDORES[[#This Row],[PROVEEDOR]],Terceros!$A:$D,4,FALSE)</f>
        <v>0</v>
      </c>
      <c r="V2046" s="105">
        <f>+YEAR(PROVEEDORES[[#This Row],[FECHA DE FACTURACIÓN]])</f>
        <v>2023</v>
      </c>
      <c r="W2046" s="105">
        <f>+MATCH(PROVEEDORES[[#This Row],[año facturado]],Retenciones!$1:$1,0)</f>
        <v>6</v>
      </c>
      <c r="X2046" s="106">
        <f>+VLOOKUP(PROVEEDORES[[#This Row],[ID RETENCION]],Retenciones!$A$1:$O$25,PROVEEDORES[[#This Row],[indicador de columna]],FALSE)</f>
        <v>0</v>
      </c>
      <c r="Y2046" s="107">
        <f>+VLOOKUP(PROVEEDORES[[#This Row],[ID RETENCION]],Retenciones!$A$1:$O$25,2,FALSE)</f>
        <v>0</v>
      </c>
      <c r="Z2046" s="116" t="b">
        <f>OR(COUNTIF(PROVEEDORES[[#This Row],[PROVEEDOR]],"*"&amp;'Palabra no opera'!$A$2&amp;"*"))</f>
        <v>0</v>
      </c>
    </row>
    <row r="2047" spans="1:26" ht="22.35" customHeight="1" x14ac:dyDescent="0.3">
      <c r="A2047" s="67" t="str">
        <f>+IF(PROVEEDORES[[#This Row],[FECHA DE PAGO]]=PROVEEDORES[[#This Row],[FECHA DE FACTURACIÓN]],"DE CONTADO","CRÉDITO")</f>
        <v>DE CONTADO</v>
      </c>
      <c r="B2047" s="38" t="b">
        <f>+IF((PROVEEDORES[[#This Row],[FECHA DE PAGO]]-PROVEEDORES[[#This Row],[FECHA DE FACTURACIÓN]])&gt;PROVEEDORES[[#This Row],[PLAZO Días]],"PAGO VENCIDO")</f>
        <v>0</v>
      </c>
      <c r="C2047" s="20">
        <f>+VLOOKUP(PROVEEDORES[[#This Row],[PROVEEDOR]],TERCEROS_INFO[#All],2,FALSE)</f>
        <v>30</v>
      </c>
      <c r="D2047" s="25">
        <f>+SUMIFS(PROVEEDORES[Total],PROVEEDORES[PROVEEDOR],PROVEEDORES[[#This Row],[PROVEEDOR]],PROVEEDORES[FECHA DE PAGO],"")</f>
        <v>0</v>
      </c>
      <c r="E2047" s="25"/>
      <c r="F2047" s="56" t="str">
        <f>+VLOOKUP(PROVEEDORES[[#This Row],[PROVEEDOR]],
                       Terceros!$A:$F,
                       5,
                       FALSE)</f>
        <v/>
      </c>
      <c r="G2047" s="68">
        <v>45231</v>
      </c>
      <c r="H2047" s="26" t="s">
        <v>404</v>
      </c>
      <c r="I2047" s="68">
        <v>45231</v>
      </c>
      <c r="J2047" s="35" t="s">
        <v>2193</v>
      </c>
      <c r="K2047" s="21">
        <v>1234000</v>
      </c>
      <c r="L2047" s="21"/>
      <c r="M2047" s="22">
        <f>(PROVEEDORES[[#This Row],[SUBTOTAL]]-PROVEEDORES[[#This Row],[descuento sobre subtotal]])*VLOOKUP(PROVEEDORES[[#This Row],[PROVEEDOR]],TERCEROS_INFO[#All],3,FALSE)</f>
        <v>0</v>
      </c>
      <c r="N2047" s="23"/>
      <c r="O2047" s="22">
        <f>+PROVEEDORES[[#This Row],[Descuento sobre subtotal %]]*(PROVEEDORES[[#This Row],[SUBTOTAL]]-PROVEEDORES[[#This Row],[descuento sobre subtotal]])</f>
        <v>0</v>
      </c>
      <c r="P2047" s="74">
        <f>+IF(PROVEEDORES[[#This Row],[SUBTOTAL]]&lt;PROVEEDORES[[#This Row],[base retencion]],0,PROVEEDORES[[#This Row],[retención aplicada]])</f>
        <v>0</v>
      </c>
      <c r="Q2047" s="22">
        <f>+PROVEEDORES[[#This Row],[Rete Fuente %]]*(PROVEEDORES[[#This Row],[SUBTOTAL]]-PROVEEDORES[[#This Row],[descuento sobre subtotal]])</f>
        <v>0</v>
      </c>
      <c r="R2047" s="21">
        <f>+PROVEEDORES[[#This Row],[SUBTOTAL]]+PROVEEDORES[[#This Row],[IVA 19%]]-PROVEEDORES[[#This Row],[descuento sobre subtotal]]-PROVEEDORES[[#This Row],[Descuento sobre subtotal $2]]-PROVEEDORES[[#This Row],[Rete Fuente $]]</f>
        <v>1234000</v>
      </c>
      <c r="S20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7" s="63">
        <f ca="1">IF(PROVEEDORES[[#This Row],[FECHA DE PAGO]]=0,TODAY()-PROVEEDORES[[#This Row],[FECHA DE FACTURACIÓN]]-PROVEEDORES[[#This Row],[PLAZO Días]],0)</f>
        <v>0</v>
      </c>
      <c r="U2047" s="104">
        <f>+VLOOKUP(PROVEEDORES[[#This Row],[PROVEEDOR]],Terceros!$A:$D,4,FALSE)</f>
        <v>0</v>
      </c>
      <c r="V2047" s="105">
        <f>+YEAR(PROVEEDORES[[#This Row],[FECHA DE FACTURACIÓN]])</f>
        <v>2023</v>
      </c>
      <c r="W2047" s="105">
        <f>+MATCH(PROVEEDORES[[#This Row],[año facturado]],Retenciones!$1:$1,0)</f>
        <v>6</v>
      </c>
      <c r="X2047" s="106">
        <f>+VLOOKUP(PROVEEDORES[[#This Row],[ID RETENCION]],Retenciones!$A$1:$O$25,PROVEEDORES[[#This Row],[indicador de columna]],FALSE)</f>
        <v>0</v>
      </c>
      <c r="Y2047" s="107">
        <f>+VLOOKUP(PROVEEDORES[[#This Row],[ID RETENCION]],Retenciones!$A$1:$O$25,2,FALSE)</f>
        <v>0</v>
      </c>
      <c r="Z2047" s="116" t="b">
        <f>OR(COUNTIF(PROVEEDORES[[#This Row],[PROVEEDOR]],"*"&amp;'Palabra no opera'!$A$2&amp;"*"))</f>
        <v>0</v>
      </c>
    </row>
    <row r="2048" spans="1:26" ht="22.35" customHeight="1" x14ac:dyDescent="0.3">
      <c r="A2048" s="67" t="str">
        <f>+IF(PROVEEDORES[[#This Row],[FECHA DE PAGO]]=PROVEEDORES[[#This Row],[FECHA DE FACTURACIÓN]],"DE CONTADO","CRÉDITO")</f>
        <v>DE CONTADO</v>
      </c>
      <c r="B2048" s="38" t="b">
        <f>+IF((PROVEEDORES[[#This Row],[FECHA DE PAGO]]-PROVEEDORES[[#This Row],[FECHA DE FACTURACIÓN]])&gt;PROVEEDORES[[#This Row],[PLAZO Días]],"PAGO VENCIDO")</f>
        <v>0</v>
      </c>
      <c r="C2048" s="20">
        <f>+VLOOKUP(PROVEEDORES[[#This Row],[PROVEEDOR]],TERCEROS_INFO[#All],2,FALSE)</f>
        <v>30</v>
      </c>
      <c r="D2048" s="25">
        <f>+SUMIFS(PROVEEDORES[Total],PROVEEDORES[PROVEEDOR],PROVEEDORES[[#This Row],[PROVEEDOR]],PROVEEDORES[FECHA DE PAGO],"")</f>
        <v>4282200</v>
      </c>
      <c r="E2048" s="25"/>
      <c r="F2048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048" s="68">
        <v>45231</v>
      </c>
      <c r="H2048" s="26" t="s">
        <v>406</v>
      </c>
      <c r="I2048" s="68">
        <v>45231</v>
      </c>
      <c r="J2048" s="35" t="s">
        <v>2191</v>
      </c>
      <c r="K2048" s="21">
        <v>45000</v>
      </c>
      <c r="L2048" s="21"/>
      <c r="M2048" s="22">
        <f>(PROVEEDORES[[#This Row],[SUBTOTAL]]-PROVEEDORES[[#This Row],[descuento sobre subtotal]])*VLOOKUP(PROVEEDORES[[#This Row],[PROVEEDOR]],TERCEROS_INFO[#All],3,FALSE)</f>
        <v>0</v>
      </c>
      <c r="N2048" s="23"/>
      <c r="O2048" s="22">
        <f>+PROVEEDORES[[#This Row],[Descuento sobre subtotal %]]*(PROVEEDORES[[#This Row],[SUBTOTAL]]-PROVEEDORES[[#This Row],[descuento sobre subtotal]])</f>
        <v>0</v>
      </c>
      <c r="P2048" s="74">
        <f>+IF(PROVEEDORES[[#This Row],[SUBTOTAL]]&lt;PROVEEDORES[[#This Row],[base retencion]],0,PROVEEDORES[[#This Row],[retención aplicada]])</f>
        <v>0</v>
      </c>
      <c r="Q2048" s="22">
        <f>+PROVEEDORES[[#This Row],[Rete Fuente %]]*(PROVEEDORES[[#This Row],[SUBTOTAL]]-PROVEEDORES[[#This Row],[descuento sobre subtotal]])</f>
        <v>0</v>
      </c>
      <c r="R2048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204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8" s="63">
        <f ca="1">IF(PROVEEDORES[[#This Row],[FECHA DE PAGO]]=0,TODAY()-PROVEEDORES[[#This Row],[FECHA DE FACTURACIÓN]]-PROVEEDORES[[#This Row],[PLAZO Días]],0)</f>
        <v>0</v>
      </c>
      <c r="U2048" s="104">
        <f>+VLOOKUP(PROVEEDORES[[#This Row],[PROVEEDOR]],Terceros!$A:$D,4,FALSE)</f>
        <v>0</v>
      </c>
      <c r="V2048" s="105">
        <f>+YEAR(PROVEEDORES[[#This Row],[FECHA DE FACTURACIÓN]])</f>
        <v>2023</v>
      </c>
      <c r="W2048" s="105">
        <f>+MATCH(PROVEEDORES[[#This Row],[año facturado]],Retenciones!$1:$1,0)</f>
        <v>6</v>
      </c>
      <c r="X2048" s="106">
        <f>+VLOOKUP(PROVEEDORES[[#This Row],[ID RETENCION]],Retenciones!$A$1:$O$25,PROVEEDORES[[#This Row],[indicador de columna]],FALSE)</f>
        <v>0</v>
      </c>
      <c r="Y2048" s="107">
        <f>+VLOOKUP(PROVEEDORES[[#This Row],[ID RETENCION]],Retenciones!$A$1:$O$25,2,FALSE)</f>
        <v>0</v>
      </c>
      <c r="Z2048" s="116" t="b">
        <f>OR(COUNTIF(PROVEEDORES[[#This Row],[PROVEEDOR]],"*"&amp;'Palabra no opera'!$A$2&amp;"*"))</f>
        <v>0</v>
      </c>
    </row>
    <row r="2049" spans="1:26" ht="22.35" customHeight="1" x14ac:dyDescent="0.3">
      <c r="A2049" s="67" t="str">
        <f>+IF(PROVEEDORES[[#This Row],[FECHA DE PAGO]]=PROVEEDORES[[#This Row],[FECHA DE FACTURACIÓN]],"DE CONTADO","CRÉDITO")</f>
        <v>DE CONTADO</v>
      </c>
      <c r="B2049" s="38" t="b">
        <f>+IF((PROVEEDORES[[#This Row],[FECHA DE PAGO]]-PROVEEDORES[[#This Row],[FECHA DE FACTURACIÓN]])&gt;PROVEEDORES[[#This Row],[PLAZO Días]],"PAGO VENCIDO")</f>
        <v>0</v>
      </c>
      <c r="C2049" s="20">
        <f>+VLOOKUP(PROVEEDORES[[#This Row],[PROVEEDOR]],TERCEROS_INFO[#All],2,FALSE)</f>
        <v>30</v>
      </c>
      <c r="D2049" s="25">
        <f>+SUMIFS(PROVEEDORES[Total],PROVEEDORES[PROVEEDOR],PROVEEDORES[[#This Row],[PROVEEDOR]],PROVEEDORES[FECHA DE PAGO],"")</f>
        <v>4282200</v>
      </c>
      <c r="E2049" s="25"/>
      <c r="F2049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049" s="68">
        <v>45231</v>
      </c>
      <c r="H2049" s="26" t="s">
        <v>406</v>
      </c>
      <c r="I2049" s="68">
        <v>45231</v>
      </c>
      <c r="J2049" s="35" t="s">
        <v>2192</v>
      </c>
      <c r="K2049" s="21">
        <v>39000</v>
      </c>
      <c r="L2049" s="21"/>
      <c r="M2049" s="22">
        <f>(PROVEEDORES[[#This Row],[SUBTOTAL]]-PROVEEDORES[[#This Row],[descuento sobre subtotal]])*VLOOKUP(PROVEEDORES[[#This Row],[PROVEEDOR]],TERCEROS_INFO[#All],3,FALSE)</f>
        <v>0</v>
      </c>
      <c r="N2049" s="23"/>
      <c r="O2049" s="22">
        <f>+PROVEEDORES[[#This Row],[Descuento sobre subtotal %]]*(PROVEEDORES[[#This Row],[SUBTOTAL]]-PROVEEDORES[[#This Row],[descuento sobre subtotal]])</f>
        <v>0</v>
      </c>
      <c r="P2049" s="74">
        <f>+IF(PROVEEDORES[[#This Row],[SUBTOTAL]]&lt;PROVEEDORES[[#This Row],[base retencion]],0,PROVEEDORES[[#This Row],[retención aplicada]])</f>
        <v>0</v>
      </c>
      <c r="Q2049" s="22">
        <f>+PROVEEDORES[[#This Row],[Rete Fuente %]]*(PROVEEDORES[[#This Row],[SUBTOTAL]]-PROVEEDORES[[#This Row],[descuento sobre subtotal]])</f>
        <v>0</v>
      </c>
      <c r="R2049" s="21">
        <f>+PROVEEDORES[[#This Row],[SUBTOTAL]]+PROVEEDORES[[#This Row],[IVA 19%]]-PROVEEDORES[[#This Row],[descuento sobre subtotal]]-PROVEEDORES[[#This Row],[Descuento sobre subtotal $2]]-PROVEEDORES[[#This Row],[Rete Fuente $]]</f>
        <v>39000</v>
      </c>
      <c r="S20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9" s="63">
        <f ca="1">IF(PROVEEDORES[[#This Row],[FECHA DE PAGO]]=0,TODAY()-PROVEEDORES[[#This Row],[FECHA DE FACTURACIÓN]]-PROVEEDORES[[#This Row],[PLAZO Días]],0)</f>
        <v>0</v>
      </c>
      <c r="U2049" s="104">
        <f>+VLOOKUP(PROVEEDORES[[#This Row],[PROVEEDOR]],Terceros!$A:$D,4,FALSE)</f>
        <v>0</v>
      </c>
      <c r="V2049" s="105">
        <f>+YEAR(PROVEEDORES[[#This Row],[FECHA DE FACTURACIÓN]])</f>
        <v>2023</v>
      </c>
      <c r="W2049" s="105">
        <f>+MATCH(PROVEEDORES[[#This Row],[año facturado]],Retenciones!$1:$1,0)</f>
        <v>6</v>
      </c>
      <c r="X2049" s="106">
        <f>+VLOOKUP(PROVEEDORES[[#This Row],[ID RETENCION]],Retenciones!$A$1:$O$25,PROVEEDORES[[#This Row],[indicador de columna]],FALSE)</f>
        <v>0</v>
      </c>
      <c r="Y2049" s="107">
        <f>+VLOOKUP(PROVEEDORES[[#This Row],[ID RETENCION]],Retenciones!$A$1:$O$25,2,FALSE)</f>
        <v>0</v>
      </c>
      <c r="Z2049" s="116" t="b">
        <f>OR(COUNTIF(PROVEEDORES[[#This Row],[PROVEEDOR]],"*"&amp;'Palabra no opera'!$A$2&amp;"*"))</f>
        <v>0</v>
      </c>
    </row>
    <row r="2050" spans="1:26" ht="22.35" customHeight="1" x14ac:dyDescent="0.3">
      <c r="A2050" s="67" t="str">
        <f>+IF(PROVEEDORES[[#This Row],[FECHA DE PAGO]]=PROVEEDORES[[#This Row],[FECHA DE FACTURACIÓN]],"DE CONTADO","CRÉDITO")</f>
        <v>CRÉDITO</v>
      </c>
      <c r="B2050" s="38" t="b">
        <f>+IF((PROVEEDORES[[#This Row],[FECHA DE PAGO]]-PROVEEDORES[[#This Row],[FECHA DE FACTURACIÓN]])&gt;PROVEEDORES[[#This Row],[PLAZO Días]],"PAGO VENCIDO")</f>
        <v>0</v>
      </c>
      <c r="C2050" s="20">
        <f>+VLOOKUP(PROVEEDORES[[#This Row],[PROVEEDOR]],TERCEROS_INFO[#All],2,FALSE)</f>
        <v>30</v>
      </c>
      <c r="D2050" s="25">
        <f>+SUMIFS(PROVEEDORES[Total],PROVEEDORES[PROVEEDOR],PROVEEDORES[[#This Row],[PROVEEDOR]],PROVEEDORES[FECHA DE PAGO],"")</f>
        <v>0</v>
      </c>
      <c r="E2050" s="25"/>
      <c r="F2050" s="56" t="str">
        <f>+VLOOKUP(PROVEEDORES[[#This Row],[PROVEEDOR]],
                       Terceros!$A:$F,
                       5,
                       FALSE)</f>
        <v/>
      </c>
      <c r="G2050" s="68">
        <v>45232</v>
      </c>
      <c r="H2050" s="26" t="s">
        <v>1194</v>
      </c>
      <c r="I2050" s="68">
        <v>45231</v>
      </c>
      <c r="J2050" s="35" t="s">
        <v>2198</v>
      </c>
      <c r="K2050" s="21">
        <v>5136000</v>
      </c>
      <c r="L2050" s="21"/>
      <c r="M2050" s="22">
        <f>(PROVEEDORES[[#This Row],[SUBTOTAL]]-PROVEEDORES[[#This Row],[descuento sobre subtotal]])*VLOOKUP(PROVEEDORES[[#This Row],[PROVEEDOR]],TERCEROS_INFO[#All],3,FALSE)</f>
        <v>0</v>
      </c>
      <c r="N2050" s="23"/>
      <c r="O2050" s="22">
        <f>+PROVEEDORES[[#This Row],[Descuento sobre subtotal %]]*(PROVEEDORES[[#This Row],[SUBTOTAL]]-PROVEEDORES[[#This Row],[descuento sobre subtotal]])</f>
        <v>0</v>
      </c>
      <c r="P2050" s="74">
        <f>+IF(PROVEEDORES[[#This Row],[SUBTOTAL]]&lt;PROVEEDORES[[#This Row],[base retencion]],0,PROVEEDORES[[#This Row],[retención aplicada]])</f>
        <v>0</v>
      </c>
      <c r="Q2050" s="22">
        <f>+PROVEEDORES[[#This Row],[Rete Fuente %]]*(PROVEEDORES[[#This Row],[SUBTOTAL]]-PROVEEDORES[[#This Row],[descuento sobre subtotal]])</f>
        <v>0</v>
      </c>
      <c r="R2050" s="21">
        <f>+PROVEEDORES[[#This Row],[SUBTOTAL]]+PROVEEDORES[[#This Row],[IVA 19%]]-PROVEEDORES[[#This Row],[descuento sobre subtotal]]-PROVEEDORES[[#This Row],[Descuento sobre subtotal $2]]-PROVEEDORES[[#This Row],[Rete Fuente $]]</f>
        <v>5136000</v>
      </c>
      <c r="S20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0" s="63">
        <f ca="1">IF(PROVEEDORES[[#This Row],[FECHA DE PAGO]]=0,TODAY()-PROVEEDORES[[#This Row],[FECHA DE FACTURACIÓN]]-PROVEEDORES[[#This Row],[PLAZO Días]],0)</f>
        <v>0</v>
      </c>
      <c r="U2050" s="104">
        <f>+VLOOKUP(PROVEEDORES[[#This Row],[PROVEEDOR]],Terceros!$A:$D,4,FALSE)</f>
        <v>0</v>
      </c>
      <c r="V2050" s="105">
        <f>+YEAR(PROVEEDORES[[#This Row],[FECHA DE FACTURACIÓN]])</f>
        <v>2023</v>
      </c>
      <c r="W2050" s="105">
        <f>+MATCH(PROVEEDORES[[#This Row],[año facturado]],Retenciones!$1:$1,0)</f>
        <v>6</v>
      </c>
      <c r="X2050" s="106">
        <f>+VLOOKUP(PROVEEDORES[[#This Row],[ID RETENCION]],Retenciones!$A$1:$O$25,PROVEEDORES[[#This Row],[indicador de columna]],FALSE)</f>
        <v>0</v>
      </c>
      <c r="Y2050" s="107">
        <f>+VLOOKUP(PROVEEDORES[[#This Row],[ID RETENCION]],Retenciones!$A$1:$O$25,2,FALSE)</f>
        <v>0</v>
      </c>
      <c r="Z2050" s="116" t="b">
        <f>OR(COUNTIF(PROVEEDORES[[#This Row],[PROVEEDOR]],"*"&amp;'Palabra no opera'!$A$2&amp;"*"))</f>
        <v>0</v>
      </c>
    </row>
    <row r="2051" spans="1:26" ht="22.35" customHeight="1" x14ac:dyDescent="0.3">
      <c r="A2051" s="374" t="str">
        <f>+IF(PROVEEDORES[[#This Row],[FECHA DE PAGO]]=PROVEEDORES[[#This Row],[FECHA DE FACTURACIÓN]],"DE CONTADO","CRÉDITO")</f>
        <v>DE CONTADO</v>
      </c>
      <c r="B2051" s="38" t="b">
        <f>+IF((PROVEEDORES[[#This Row],[FECHA DE PAGO]]-PROVEEDORES[[#This Row],[FECHA DE FACTURACIÓN]])&gt;PROVEEDORES[[#This Row],[PLAZO Días]],"PAGO VENCIDO")</f>
        <v>0</v>
      </c>
      <c r="C2051" s="20">
        <f>+VLOOKUP(PROVEEDORES[[#This Row],[PROVEEDOR]],TERCEROS_INFO[#All],2,FALSE)</f>
        <v>30</v>
      </c>
      <c r="D2051" s="25">
        <f>+SUMIFS(PROVEEDORES[Total],PROVEEDORES[PROVEEDOR],PROVEEDORES[[#This Row],[PROVEEDOR]],PROVEEDORES[FECHA DE PAGO],"")</f>
        <v>0</v>
      </c>
      <c r="E2051" s="25"/>
      <c r="F2051" s="56" t="str">
        <f>+VLOOKUP(PROVEEDORES[[#This Row],[PROVEEDOR]],
                       Terceros!$A:$F,
                       5,
                       FALSE)</f>
        <v/>
      </c>
      <c r="G2051" s="68">
        <v>45232</v>
      </c>
      <c r="H2051" s="26" t="s">
        <v>390</v>
      </c>
      <c r="I2051" s="68">
        <v>45232</v>
      </c>
      <c r="J2051" s="35"/>
      <c r="K2051" s="21">
        <v>1000000</v>
      </c>
      <c r="L2051" s="21"/>
      <c r="M2051" s="22">
        <f>(PROVEEDORES[[#This Row],[SUBTOTAL]]-PROVEEDORES[[#This Row],[descuento sobre subtotal]])*VLOOKUP(PROVEEDORES[[#This Row],[PROVEEDOR]],TERCEROS_INFO[#All],3,FALSE)</f>
        <v>0</v>
      </c>
      <c r="N2051" s="23"/>
      <c r="O2051" s="22">
        <f>+PROVEEDORES[[#This Row],[Descuento sobre subtotal %]]*(PROVEEDORES[[#This Row],[SUBTOTAL]]-PROVEEDORES[[#This Row],[descuento sobre subtotal]])</f>
        <v>0</v>
      </c>
      <c r="P2051" s="74">
        <f>+IF(PROVEEDORES[[#This Row],[SUBTOTAL]]&lt;PROVEEDORES[[#This Row],[base retencion]],0,PROVEEDORES[[#This Row],[retención aplicada]])</f>
        <v>0</v>
      </c>
      <c r="Q2051" s="22">
        <f>+PROVEEDORES[[#This Row],[Rete Fuente %]]*(PROVEEDORES[[#This Row],[SUBTOTAL]]-PROVEEDORES[[#This Row],[descuento sobre subtotal]])</f>
        <v>0</v>
      </c>
      <c r="R205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51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1" s="63">
        <f ca="1">IF(PROVEEDORES[[#This Row],[FECHA DE PAGO]]=0,TODAY()-PROVEEDORES[[#This Row],[FECHA DE FACTURACIÓN]]-PROVEEDORES[[#This Row],[PLAZO Días]],0)</f>
        <v>0</v>
      </c>
      <c r="U2051" s="104">
        <f>+VLOOKUP(PROVEEDORES[[#This Row],[PROVEEDOR]],Terceros!$A:$D,4,FALSE)</f>
        <v>0</v>
      </c>
      <c r="V2051" s="105">
        <f>+YEAR(PROVEEDORES[[#This Row],[FECHA DE FACTURACIÓN]])</f>
        <v>2023</v>
      </c>
      <c r="W2051" s="105">
        <f>+MATCH(PROVEEDORES[[#This Row],[año facturado]],Retenciones!$1:$1,0)</f>
        <v>6</v>
      </c>
      <c r="X2051" s="106">
        <f>+VLOOKUP(PROVEEDORES[[#This Row],[ID RETENCION]],Retenciones!$A$1:$O$25,PROVEEDORES[[#This Row],[indicador de columna]],FALSE)</f>
        <v>0</v>
      </c>
      <c r="Y2051" s="107">
        <f>+VLOOKUP(PROVEEDORES[[#This Row],[ID RETENCION]],Retenciones!$A$1:$O$25,2,FALSE)</f>
        <v>0</v>
      </c>
      <c r="Z2051" s="116" t="b">
        <f>OR(COUNTIF(PROVEEDORES[[#This Row],[PROVEEDOR]],"*"&amp;'Palabra no opera'!$A$2&amp;"*"))</f>
        <v>0</v>
      </c>
    </row>
    <row r="2052" spans="1:26" ht="22.35" customHeight="1" x14ac:dyDescent="0.3">
      <c r="A2052" s="67" t="str">
        <f>+IF(PROVEEDORES[[#This Row],[FECHA DE PAGO]]=PROVEEDORES[[#This Row],[FECHA DE FACTURACIÓN]],"DE CONTADO","CRÉDITO")</f>
        <v>CRÉDITO</v>
      </c>
      <c r="B2052" s="38" t="str">
        <f>+IF((PROVEEDORES[[#This Row],[FECHA DE PAGO]]-PROVEEDORES[[#This Row],[FECHA DE FACTURACIÓN]])&gt;PROVEEDORES[[#This Row],[PLAZO Días]],"PAGO VENCIDO")</f>
        <v>PAGO VENCIDO</v>
      </c>
      <c r="C2052" s="20">
        <f>+VLOOKUP(PROVEEDORES[[#This Row],[PROVEEDOR]],TERCEROS_INFO[#All],2,FALSE)</f>
        <v>30</v>
      </c>
      <c r="D2052" s="25">
        <f>+SUMIFS(PROVEEDORES[Total],PROVEEDORES[PROVEEDOR],PROVEEDORES[[#This Row],[PROVEEDOR]],PROVEEDORES[FECHA DE PAGO],"")</f>
        <v>3669750</v>
      </c>
      <c r="E2052" s="25"/>
      <c r="F2052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52" s="68">
        <v>45232</v>
      </c>
      <c r="H2052" s="26" t="s">
        <v>24</v>
      </c>
      <c r="I2052" s="68">
        <v>44998</v>
      </c>
      <c r="J2052" s="35" t="s">
        <v>1282</v>
      </c>
      <c r="K2052" s="21">
        <v>-1680672</v>
      </c>
      <c r="L2052" s="21"/>
      <c r="M2052" s="22">
        <f>(PROVEEDORES[[#This Row],[SUBTOTAL]]-PROVEEDORES[[#This Row],[descuento sobre subtotal]])*VLOOKUP(PROVEEDORES[[#This Row],[PROVEEDOR]],TERCEROS_INFO[#All],3,FALSE)</f>
        <v>-319327.68</v>
      </c>
      <c r="N2052" s="23"/>
      <c r="O2052" s="22">
        <f>+PROVEEDORES[[#This Row],[Descuento sobre subtotal %]]*(PROVEEDORES[[#This Row],[SUBTOTAL]]-PROVEEDORES[[#This Row],[descuento sobre subtotal]])</f>
        <v>0</v>
      </c>
      <c r="P2052" s="74">
        <f>+IF(PROVEEDORES[[#This Row],[SUBTOTAL]]&lt;PROVEEDORES[[#This Row],[base retencion]],0,PROVEEDORES[[#This Row],[retención aplicada]])</f>
        <v>0</v>
      </c>
      <c r="Q2052" s="22">
        <f>+PROVEEDORES[[#This Row],[Rete Fuente %]]*(PROVEEDORES[[#This Row],[SUBTOTAL]]-PROVEEDORES[[#This Row],[descuento sobre subtotal]])</f>
        <v>0</v>
      </c>
      <c r="R2052" s="21">
        <f>+PROVEEDORES[[#This Row],[SUBTOTAL]]+PROVEEDORES[[#This Row],[IVA 19%]]-PROVEEDORES[[#This Row],[descuento sobre subtotal]]-PROVEEDORES[[#This Row],[Descuento sobre subtotal $2]]-PROVEEDORES[[#This Row],[Rete Fuente $]]</f>
        <v>-1999999.68</v>
      </c>
      <c r="S205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2" s="63">
        <f ca="1">IF(PROVEEDORES[[#This Row],[FECHA DE PAGO]]=0,TODAY()-PROVEEDORES[[#This Row],[FECHA DE FACTURACIÓN]]-PROVEEDORES[[#This Row],[PLAZO Días]],0)</f>
        <v>0</v>
      </c>
      <c r="U2052" s="104" t="str">
        <f>+VLOOKUP(PROVEEDORES[[#This Row],[PROVEEDOR]],Terceros!$A:$D,4,FALSE)</f>
        <v>2,5% con base</v>
      </c>
      <c r="V2052" s="105">
        <f>+YEAR(PROVEEDORES[[#This Row],[FECHA DE FACTURACIÓN]])</f>
        <v>2023</v>
      </c>
      <c r="W2052" s="105">
        <f>+MATCH(PROVEEDORES[[#This Row],[año facturado]],Retenciones!$1:$1,0)</f>
        <v>6</v>
      </c>
      <c r="X2052" s="106">
        <f>+VLOOKUP(PROVEEDORES[[#This Row],[ID RETENCION]],Retenciones!$A$1:$O$25,PROVEEDORES[[#This Row],[indicador de columna]],FALSE)</f>
        <v>1145000</v>
      </c>
      <c r="Y2052" s="107">
        <f>+VLOOKUP(PROVEEDORES[[#This Row],[ID RETENCION]],Retenciones!$A$1:$O$25,2,FALSE)</f>
        <v>2.5000000000000001E-2</v>
      </c>
      <c r="Z2052" s="116" t="b">
        <f>OR(COUNTIF(PROVEEDORES[[#This Row],[PROVEEDOR]],"*"&amp;'Palabra no opera'!$A$2&amp;"*"))</f>
        <v>0</v>
      </c>
    </row>
    <row r="2053" spans="1:26" ht="22.35" customHeight="1" x14ac:dyDescent="0.3">
      <c r="A2053" s="67" t="str">
        <f>+IF(PROVEEDORES[[#This Row],[FECHA DE PAGO]]=PROVEEDORES[[#This Row],[FECHA DE FACTURACIÓN]],"DE CONTADO","CRÉDITO")</f>
        <v>CRÉDITO</v>
      </c>
      <c r="B2053" s="38" t="str">
        <f>+IF((PROVEEDORES[[#This Row],[FECHA DE PAGO]]-PROVEEDORES[[#This Row],[FECHA DE FACTURACIÓN]])&gt;PROVEEDORES[[#This Row],[PLAZO Días]],"PAGO VENCIDO")</f>
        <v>PAGO VENCIDO</v>
      </c>
      <c r="C2053" s="20">
        <f>+VLOOKUP(PROVEEDORES[[#This Row],[PROVEEDOR]],TERCEROS_INFO[#All],2,FALSE)</f>
        <v>30</v>
      </c>
      <c r="D2053" s="25">
        <f>+SUMIFS(PROVEEDORES[Total],PROVEEDORES[PROVEEDOR],PROVEEDORES[[#This Row],[PROVEEDOR]],PROVEEDORES[FECHA DE PAGO],"")</f>
        <v>3669750</v>
      </c>
      <c r="E2053" s="25"/>
      <c r="F2053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53" s="68">
        <v>45232</v>
      </c>
      <c r="H2053" s="26" t="s">
        <v>24</v>
      </c>
      <c r="I2053" s="68">
        <v>45162</v>
      </c>
      <c r="J2053" s="35" t="s">
        <v>1905</v>
      </c>
      <c r="K2053" s="21">
        <v>798720</v>
      </c>
      <c r="L2053" s="21"/>
      <c r="M2053" s="22">
        <f>(PROVEEDORES[[#This Row],[SUBTOTAL]]-PROVEEDORES[[#This Row],[descuento sobre subtotal]])*VLOOKUP(PROVEEDORES[[#This Row],[PROVEEDOR]],TERCEROS_INFO[#All],3,FALSE)</f>
        <v>151756.79999999999</v>
      </c>
      <c r="N2053" s="23"/>
      <c r="O2053" s="22">
        <f>+PROVEEDORES[[#This Row],[Descuento sobre subtotal %]]*(PROVEEDORES[[#This Row],[SUBTOTAL]]-PROVEEDORES[[#This Row],[descuento sobre subtotal]])</f>
        <v>0</v>
      </c>
      <c r="P2053" s="74">
        <f>+IF(PROVEEDORES[[#This Row],[SUBTOTAL]]&lt;PROVEEDORES[[#This Row],[base retencion]],0,PROVEEDORES[[#This Row],[retención aplicada]])</f>
        <v>0</v>
      </c>
      <c r="Q2053" s="22">
        <f>+PROVEEDORES[[#This Row],[Rete Fuente %]]*(PROVEEDORES[[#This Row],[SUBTOTAL]]-PROVEEDORES[[#This Row],[descuento sobre subtotal]])</f>
        <v>0</v>
      </c>
      <c r="R2053" s="21">
        <f>+PROVEEDORES[[#This Row],[SUBTOTAL]]+PROVEEDORES[[#This Row],[IVA 19%]]-PROVEEDORES[[#This Row],[descuento sobre subtotal]]-PROVEEDORES[[#This Row],[Descuento sobre subtotal $2]]-PROVEEDORES[[#This Row],[Rete Fuente $]]</f>
        <v>950476.80000000005</v>
      </c>
      <c r="S20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3" s="63">
        <f ca="1">IF(PROVEEDORES[[#This Row],[FECHA DE PAGO]]=0,TODAY()-PROVEEDORES[[#This Row],[FECHA DE FACTURACIÓN]]-PROVEEDORES[[#This Row],[PLAZO Días]],0)</f>
        <v>0</v>
      </c>
      <c r="U2053" s="104" t="str">
        <f>+VLOOKUP(PROVEEDORES[[#This Row],[PROVEEDOR]],Terceros!$A:$D,4,FALSE)</f>
        <v>2,5% con base</v>
      </c>
      <c r="V2053" s="105">
        <f>+YEAR(PROVEEDORES[[#This Row],[FECHA DE FACTURACIÓN]])</f>
        <v>2023</v>
      </c>
      <c r="W2053" s="105">
        <f>+MATCH(PROVEEDORES[[#This Row],[año facturado]],Retenciones!$1:$1,0)</f>
        <v>6</v>
      </c>
      <c r="X2053" s="106">
        <f>+VLOOKUP(PROVEEDORES[[#This Row],[ID RETENCION]],Retenciones!$A$1:$O$25,PROVEEDORES[[#This Row],[indicador de columna]],FALSE)</f>
        <v>1145000</v>
      </c>
      <c r="Y2053" s="107">
        <f>+VLOOKUP(PROVEEDORES[[#This Row],[ID RETENCION]],Retenciones!$A$1:$O$25,2,FALSE)</f>
        <v>2.5000000000000001E-2</v>
      </c>
      <c r="Z2053" s="116" t="b">
        <f>OR(COUNTIF(PROVEEDORES[[#This Row],[PROVEEDOR]],"*"&amp;'Palabra no opera'!$A$2&amp;"*"))</f>
        <v>0</v>
      </c>
    </row>
    <row r="2054" spans="1:26" ht="22.35" customHeight="1" x14ac:dyDescent="0.3">
      <c r="A2054" s="67" t="str">
        <f>+IF(PROVEEDORES[[#This Row],[FECHA DE PAGO]]=PROVEEDORES[[#This Row],[FECHA DE FACTURACIÓN]],"DE CONTADO","CRÉDITO")</f>
        <v>CRÉDITO</v>
      </c>
      <c r="B2054" s="38" t="str">
        <f>+IF((PROVEEDORES[[#This Row],[FECHA DE PAGO]]-PROVEEDORES[[#This Row],[FECHA DE FACTURACIÓN]])&gt;PROVEEDORES[[#This Row],[PLAZO Días]],"PAGO VENCIDO")</f>
        <v>PAGO VENCIDO</v>
      </c>
      <c r="C2054" s="20">
        <f>+VLOOKUP(PROVEEDORES[[#This Row],[PROVEEDOR]],TERCEROS_INFO[#All],2,FALSE)</f>
        <v>30</v>
      </c>
      <c r="D2054" s="25">
        <f>+SUMIFS(PROVEEDORES[Total],PROVEEDORES[PROVEEDOR],PROVEEDORES[[#This Row],[PROVEEDOR]],PROVEEDORES[FECHA DE PAGO],"")</f>
        <v>3669750</v>
      </c>
      <c r="E2054" s="25"/>
      <c r="F2054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54" s="68">
        <v>45232</v>
      </c>
      <c r="H2054" s="26" t="s">
        <v>24</v>
      </c>
      <c r="I2054" s="68">
        <v>45174</v>
      </c>
      <c r="J2054" s="35" t="s">
        <v>1960</v>
      </c>
      <c r="K2054" s="21">
        <v>444528</v>
      </c>
      <c r="L2054" s="21"/>
      <c r="M2054" s="22">
        <f>(PROVEEDORES[[#This Row],[SUBTOTAL]]-PROVEEDORES[[#This Row],[descuento sobre subtotal]])*VLOOKUP(PROVEEDORES[[#This Row],[PROVEEDOR]],TERCEROS_INFO[#All],3,FALSE)</f>
        <v>84460.32</v>
      </c>
      <c r="N2054" s="23"/>
      <c r="O2054" s="22">
        <f>+PROVEEDORES[[#This Row],[Descuento sobre subtotal %]]*(PROVEEDORES[[#This Row],[SUBTOTAL]]-PROVEEDORES[[#This Row],[descuento sobre subtotal]])</f>
        <v>0</v>
      </c>
      <c r="P2054" s="74">
        <f>+IF(PROVEEDORES[[#This Row],[SUBTOTAL]]&lt;PROVEEDORES[[#This Row],[base retencion]],0,PROVEEDORES[[#This Row],[retención aplicada]])</f>
        <v>0</v>
      </c>
      <c r="Q2054" s="22">
        <f>+PROVEEDORES[[#This Row],[Rete Fuente %]]*(PROVEEDORES[[#This Row],[SUBTOTAL]]-PROVEEDORES[[#This Row],[descuento sobre subtotal]])</f>
        <v>0</v>
      </c>
      <c r="R2054" s="21">
        <f>+PROVEEDORES[[#This Row],[SUBTOTAL]]+PROVEEDORES[[#This Row],[IVA 19%]]-PROVEEDORES[[#This Row],[descuento sobre subtotal]]-PROVEEDORES[[#This Row],[Descuento sobre subtotal $2]]-PROVEEDORES[[#This Row],[Rete Fuente $]]</f>
        <v>528988.32000000007</v>
      </c>
      <c r="S20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4" s="63">
        <f ca="1">IF(PROVEEDORES[[#This Row],[FECHA DE PAGO]]=0,TODAY()-PROVEEDORES[[#This Row],[FECHA DE FACTURACIÓN]]-PROVEEDORES[[#This Row],[PLAZO Días]],0)</f>
        <v>0</v>
      </c>
      <c r="U2054" s="104" t="str">
        <f>+VLOOKUP(PROVEEDORES[[#This Row],[PROVEEDOR]],Terceros!$A:$D,4,FALSE)</f>
        <v>2,5% con base</v>
      </c>
      <c r="V2054" s="105">
        <f>+YEAR(PROVEEDORES[[#This Row],[FECHA DE FACTURACIÓN]])</f>
        <v>2023</v>
      </c>
      <c r="W2054" s="105">
        <f>+MATCH(PROVEEDORES[[#This Row],[año facturado]],Retenciones!$1:$1,0)</f>
        <v>6</v>
      </c>
      <c r="X2054" s="106">
        <f>+VLOOKUP(PROVEEDORES[[#This Row],[ID RETENCION]],Retenciones!$A$1:$O$25,PROVEEDORES[[#This Row],[indicador de columna]],FALSE)</f>
        <v>1145000</v>
      </c>
      <c r="Y2054" s="107">
        <f>+VLOOKUP(PROVEEDORES[[#This Row],[ID RETENCION]],Retenciones!$A$1:$O$25,2,FALSE)</f>
        <v>2.5000000000000001E-2</v>
      </c>
      <c r="Z2054" s="116" t="b">
        <f>OR(COUNTIF(PROVEEDORES[[#This Row],[PROVEEDOR]],"*"&amp;'Palabra no opera'!$A$2&amp;"*"))</f>
        <v>0</v>
      </c>
    </row>
    <row r="2055" spans="1:26" ht="22.35" customHeight="1" x14ac:dyDescent="0.3">
      <c r="A2055" s="67" t="str">
        <f>+IF(PROVEEDORES[[#This Row],[FECHA DE PAGO]]=PROVEEDORES[[#This Row],[FECHA DE FACTURACIÓN]],"DE CONTADO","CRÉDITO")</f>
        <v>CRÉDITO</v>
      </c>
      <c r="B2055" s="38" t="str">
        <f>+IF((PROVEEDORES[[#This Row],[FECHA DE PAGO]]-PROVEEDORES[[#This Row],[FECHA DE FACTURACIÓN]])&gt;PROVEEDORES[[#This Row],[PLAZO Días]],"PAGO VENCIDO")</f>
        <v>PAGO VENCIDO</v>
      </c>
      <c r="C2055" s="20">
        <f>+VLOOKUP(PROVEEDORES[[#This Row],[PROVEEDOR]],TERCEROS_INFO[#All],2,FALSE)</f>
        <v>30</v>
      </c>
      <c r="D2055" s="25">
        <f>+SUMIFS(PROVEEDORES[Total],PROVEEDORES[PROVEEDOR],PROVEEDORES[[#This Row],[PROVEEDOR]],PROVEEDORES[FECHA DE PAGO],"")</f>
        <v>3669750</v>
      </c>
      <c r="E2055" s="25"/>
      <c r="F2055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55" s="68">
        <v>45232</v>
      </c>
      <c r="H2055" s="26" t="s">
        <v>24</v>
      </c>
      <c r="I2055" s="68">
        <v>45185</v>
      </c>
      <c r="J2055" s="35" t="s">
        <v>1959</v>
      </c>
      <c r="K2055" s="21">
        <v>4376000</v>
      </c>
      <c r="L2055" s="21"/>
      <c r="M2055" s="22">
        <f>(PROVEEDORES[[#This Row],[SUBTOTAL]]-PROVEEDORES[[#This Row],[descuento sobre subtotal]])*VLOOKUP(PROVEEDORES[[#This Row],[PROVEEDOR]],TERCEROS_INFO[#All],3,FALSE)</f>
        <v>831440</v>
      </c>
      <c r="N2055" s="23"/>
      <c r="O2055" s="22">
        <f>+PROVEEDORES[[#This Row],[Descuento sobre subtotal %]]*(PROVEEDORES[[#This Row],[SUBTOTAL]]-PROVEEDORES[[#This Row],[descuento sobre subtotal]])</f>
        <v>0</v>
      </c>
      <c r="P2055" s="74">
        <f>+IF(PROVEEDORES[[#This Row],[SUBTOTAL]]&lt;PROVEEDORES[[#This Row],[base retencion]],0,PROVEEDORES[[#This Row],[retención aplicada]])</f>
        <v>2.5000000000000001E-2</v>
      </c>
      <c r="Q2055" s="22">
        <f>+PROVEEDORES[[#This Row],[Rete Fuente %]]*(PROVEEDORES[[#This Row],[SUBTOTAL]]-PROVEEDORES[[#This Row],[descuento sobre subtotal]])</f>
        <v>109400</v>
      </c>
      <c r="R2055" s="21">
        <f>+PROVEEDORES[[#This Row],[SUBTOTAL]]+PROVEEDORES[[#This Row],[IVA 19%]]-PROVEEDORES[[#This Row],[descuento sobre subtotal]]-PROVEEDORES[[#This Row],[Descuento sobre subtotal $2]]-PROVEEDORES[[#This Row],[Rete Fuente $]]</f>
        <v>5098040</v>
      </c>
      <c r="S205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5" s="63">
        <f ca="1">IF(PROVEEDORES[[#This Row],[FECHA DE PAGO]]=0,TODAY()-PROVEEDORES[[#This Row],[FECHA DE FACTURACIÓN]]-PROVEEDORES[[#This Row],[PLAZO Días]],0)</f>
        <v>0</v>
      </c>
      <c r="U2055" s="104" t="str">
        <f>+VLOOKUP(PROVEEDORES[[#This Row],[PROVEEDOR]],Terceros!$A:$D,4,FALSE)</f>
        <v>2,5% con base</v>
      </c>
      <c r="V2055" s="105">
        <f>+YEAR(PROVEEDORES[[#This Row],[FECHA DE FACTURACIÓN]])</f>
        <v>2023</v>
      </c>
      <c r="W2055" s="105">
        <f>+MATCH(PROVEEDORES[[#This Row],[año facturado]],Retenciones!$1:$1,0)</f>
        <v>6</v>
      </c>
      <c r="X2055" s="106">
        <f>+VLOOKUP(PROVEEDORES[[#This Row],[ID RETENCION]],Retenciones!$A$1:$O$25,PROVEEDORES[[#This Row],[indicador de columna]],FALSE)</f>
        <v>1145000</v>
      </c>
      <c r="Y2055" s="107">
        <f>+VLOOKUP(PROVEEDORES[[#This Row],[ID RETENCION]],Retenciones!$A$1:$O$25,2,FALSE)</f>
        <v>2.5000000000000001E-2</v>
      </c>
      <c r="Z2055" s="116" t="b">
        <f>OR(COUNTIF(PROVEEDORES[[#This Row],[PROVEEDOR]],"*"&amp;'Palabra no opera'!$A$2&amp;"*"))</f>
        <v>0</v>
      </c>
    </row>
    <row r="2056" spans="1:26" ht="22.35" customHeight="1" x14ac:dyDescent="0.3">
      <c r="A2056" s="367" t="str">
        <f>+IF(PROVEEDORES[[#This Row],[FECHA DE PAGO]]=PROVEEDORES[[#This Row],[FECHA DE FACTURACIÓN]],"DE CONTADO","CRÉDITO")</f>
        <v>CRÉDITO</v>
      </c>
      <c r="B2056" s="38" t="str">
        <f>+IF((PROVEEDORES[[#This Row],[FECHA DE PAGO]]-PROVEEDORES[[#This Row],[FECHA DE FACTURACIÓN]])&gt;PROVEEDORES[[#This Row],[PLAZO Días]],"PAGO VENCIDO")</f>
        <v>PAGO VENCIDO</v>
      </c>
      <c r="C2056" s="20">
        <f>+VLOOKUP(PROVEEDORES[[#This Row],[PROVEEDOR]],TERCEROS_INFO[#All],2,FALSE)</f>
        <v>30</v>
      </c>
      <c r="D2056" s="25">
        <f>+SUMIFS(PROVEEDORES[Total],PROVEEDORES[PROVEEDOR],PROVEEDORES[[#This Row],[PROVEEDOR]],PROVEEDORES[FECHA DE PAGO],"")</f>
        <v>3669750</v>
      </c>
      <c r="E2056" s="25"/>
      <c r="F2056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56" s="68">
        <v>45232</v>
      </c>
      <c r="H2056" s="26" t="s">
        <v>24</v>
      </c>
      <c r="I2056" s="68">
        <v>45187</v>
      </c>
      <c r="J2056" s="35" t="s">
        <v>2002</v>
      </c>
      <c r="K2056" s="21">
        <v>-354192</v>
      </c>
      <c r="L2056" s="21"/>
      <c r="M2056" s="22">
        <f>(PROVEEDORES[[#This Row],[SUBTOTAL]]-PROVEEDORES[[#This Row],[descuento sobre subtotal]])*VLOOKUP(PROVEEDORES[[#This Row],[PROVEEDOR]],TERCEROS_INFO[#All],3,FALSE)</f>
        <v>-67296.479999999996</v>
      </c>
      <c r="N2056" s="23"/>
      <c r="O2056" s="22">
        <f>+PROVEEDORES[[#This Row],[Descuento sobre subtotal %]]*(PROVEEDORES[[#This Row],[SUBTOTAL]]-PROVEEDORES[[#This Row],[descuento sobre subtotal]])</f>
        <v>0</v>
      </c>
      <c r="P2056" s="74">
        <f>+IF(PROVEEDORES[[#This Row],[SUBTOTAL]]&lt;PROVEEDORES[[#This Row],[base retencion]],0,PROVEEDORES[[#This Row],[retención aplicada]])</f>
        <v>0</v>
      </c>
      <c r="Q2056" s="22">
        <f>+PROVEEDORES[[#This Row],[Rete Fuente %]]*(PROVEEDORES[[#This Row],[SUBTOTAL]]-PROVEEDORES[[#This Row],[descuento sobre subtotal]])</f>
        <v>0</v>
      </c>
      <c r="R2056" s="21">
        <f>+PROVEEDORES[[#This Row],[SUBTOTAL]]+PROVEEDORES[[#This Row],[IVA 19%]]-PROVEEDORES[[#This Row],[descuento sobre subtotal]]-PROVEEDORES[[#This Row],[Descuento sobre subtotal $2]]-PROVEEDORES[[#This Row],[Rete Fuente $]]</f>
        <v>-421488.48</v>
      </c>
      <c r="S2056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6" s="63">
        <f ca="1">IF(PROVEEDORES[[#This Row],[FECHA DE PAGO]]=0,TODAY()-PROVEEDORES[[#This Row],[FECHA DE FACTURACIÓN]]-PROVEEDORES[[#This Row],[PLAZO Días]],0)</f>
        <v>0</v>
      </c>
      <c r="U2056" s="104" t="str">
        <f>+VLOOKUP(PROVEEDORES[[#This Row],[PROVEEDOR]],Terceros!$A:$D,4,FALSE)</f>
        <v>2,5% con base</v>
      </c>
      <c r="V2056" s="105">
        <f>+YEAR(PROVEEDORES[[#This Row],[FECHA DE FACTURACIÓN]])</f>
        <v>2023</v>
      </c>
      <c r="W2056" s="105">
        <f>+MATCH(PROVEEDORES[[#This Row],[año facturado]],Retenciones!$1:$1,0)</f>
        <v>6</v>
      </c>
      <c r="X2056" s="106">
        <f>+VLOOKUP(PROVEEDORES[[#This Row],[ID RETENCION]],Retenciones!$A$1:$O$25,PROVEEDORES[[#This Row],[indicador de columna]],FALSE)</f>
        <v>1145000</v>
      </c>
      <c r="Y2056" s="107">
        <f>+VLOOKUP(PROVEEDORES[[#This Row],[ID RETENCION]],Retenciones!$A$1:$O$25,2,FALSE)</f>
        <v>2.5000000000000001E-2</v>
      </c>
      <c r="Z2056" s="116" t="b">
        <f>OR(COUNTIF(PROVEEDORES[[#This Row],[PROVEEDOR]],"*"&amp;'Palabra no opera'!$A$2&amp;"*"))</f>
        <v>0</v>
      </c>
    </row>
    <row r="2057" spans="1:26" ht="22.35" customHeight="1" x14ac:dyDescent="0.3">
      <c r="A2057" s="67" t="str">
        <f>+IF(PROVEEDORES[[#This Row],[FECHA DE PAGO]]=PROVEEDORES[[#This Row],[FECHA DE FACTURACIÓN]],"DE CONTADO","CRÉDITO")</f>
        <v>CRÉDITO</v>
      </c>
      <c r="B2057" s="38" t="str">
        <f>+IF((PROVEEDORES[[#This Row],[FECHA DE PAGO]]-PROVEEDORES[[#This Row],[FECHA DE FACTURACIÓN]])&gt;PROVEEDORES[[#This Row],[PLAZO Días]],"PAGO VENCIDO")</f>
        <v>PAGO VENCIDO</v>
      </c>
      <c r="C2057" s="20">
        <f>+VLOOKUP(PROVEEDORES[[#This Row],[PROVEEDOR]],TERCEROS_INFO[#All],2,FALSE)</f>
        <v>30</v>
      </c>
      <c r="D2057" s="25">
        <f>+SUMIFS(PROVEEDORES[Total],PROVEEDORES[PROVEEDOR],PROVEEDORES[[#This Row],[PROVEEDOR]],PROVEEDORES[FECHA DE PAGO],"")</f>
        <v>3669750</v>
      </c>
      <c r="E2057" s="25"/>
      <c r="F2057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57" s="68">
        <v>45232</v>
      </c>
      <c r="H2057" s="26" t="s">
        <v>24</v>
      </c>
      <c r="I2057" s="68">
        <v>45194</v>
      </c>
      <c r="J2057" s="35" t="s">
        <v>1960</v>
      </c>
      <c r="K2057" s="21">
        <v>5600000</v>
      </c>
      <c r="L2057" s="21"/>
      <c r="M2057" s="22">
        <f>(PROVEEDORES[[#This Row],[SUBTOTAL]]-PROVEEDORES[[#This Row],[descuento sobre subtotal]])*VLOOKUP(PROVEEDORES[[#This Row],[PROVEEDOR]],TERCEROS_INFO[#All],3,FALSE)</f>
        <v>1064000</v>
      </c>
      <c r="N2057" s="23"/>
      <c r="O2057" s="22">
        <f>+PROVEEDORES[[#This Row],[Descuento sobre subtotal %]]*(PROVEEDORES[[#This Row],[SUBTOTAL]]-PROVEEDORES[[#This Row],[descuento sobre subtotal]])</f>
        <v>0</v>
      </c>
      <c r="P2057" s="74">
        <f>+IF(PROVEEDORES[[#This Row],[SUBTOTAL]]&lt;PROVEEDORES[[#This Row],[base retencion]],0,PROVEEDORES[[#This Row],[retención aplicada]])</f>
        <v>2.5000000000000001E-2</v>
      </c>
      <c r="Q2057" s="22">
        <f>+PROVEEDORES[[#This Row],[Rete Fuente %]]*(PROVEEDORES[[#This Row],[SUBTOTAL]]-PROVEEDORES[[#This Row],[descuento sobre subtotal]])</f>
        <v>140000</v>
      </c>
      <c r="R2057" s="21">
        <f>+PROVEEDORES[[#This Row],[SUBTOTAL]]+PROVEEDORES[[#This Row],[IVA 19%]]-PROVEEDORES[[#This Row],[descuento sobre subtotal]]-PROVEEDORES[[#This Row],[Descuento sobre subtotal $2]]-PROVEEDORES[[#This Row],[Rete Fuente $]]</f>
        <v>6524000</v>
      </c>
      <c r="S20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7" s="63">
        <f ca="1">IF(PROVEEDORES[[#This Row],[FECHA DE PAGO]]=0,TODAY()-PROVEEDORES[[#This Row],[FECHA DE FACTURACIÓN]]-PROVEEDORES[[#This Row],[PLAZO Días]],0)</f>
        <v>0</v>
      </c>
      <c r="U2057" s="104" t="str">
        <f>+VLOOKUP(PROVEEDORES[[#This Row],[PROVEEDOR]],Terceros!$A:$D,4,FALSE)</f>
        <v>2,5% con base</v>
      </c>
      <c r="V2057" s="105">
        <f>+YEAR(PROVEEDORES[[#This Row],[FECHA DE FACTURACIÓN]])</f>
        <v>2023</v>
      </c>
      <c r="W2057" s="105">
        <f>+MATCH(PROVEEDORES[[#This Row],[año facturado]],Retenciones!$1:$1,0)</f>
        <v>6</v>
      </c>
      <c r="X2057" s="106">
        <f>+VLOOKUP(PROVEEDORES[[#This Row],[ID RETENCION]],Retenciones!$A$1:$O$25,PROVEEDORES[[#This Row],[indicador de columna]],FALSE)</f>
        <v>1145000</v>
      </c>
      <c r="Y2057" s="107">
        <f>+VLOOKUP(PROVEEDORES[[#This Row],[ID RETENCION]],Retenciones!$A$1:$O$25,2,FALSE)</f>
        <v>2.5000000000000001E-2</v>
      </c>
      <c r="Z2057" s="116" t="b">
        <f>OR(COUNTIF(PROVEEDORES[[#This Row],[PROVEEDOR]],"*"&amp;'Palabra no opera'!$A$2&amp;"*"))</f>
        <v>0</v>
      </c>
    </row>
    <row r="2058" spans="1:26" ht="22.35" customHeight="1" x14ac:dyDescent="0.3">
      <c r="A2058" s="67" t="str">
        <f>+IF(PROVEEDORES[[#This Row],[FECHA DE PAGO]]=PROVEEDORES[[#This Row],[FECHA DE FACTURACIÓN]],"DE CONTADO","CRÉDITO")</f>
        <v>CRÉDITO</v>
      </c>
      <c r="B2058" s="38" t="str">
        <f>+IF((PROVEEDORES[[#This Row],[FECHA DE PAGO]]-PROVEEDORES[[#This Row],[FECHA DE FACTURACIÓN]])&gt;PROVEEDORES[[#This Row],[PLAZO Días]],"PAGO VENCIDO")</f>
        <v>PAGO VENCIDO</v>
      </c>
      <c r="C2058" s="20">
        <f>+VLOOKUP(PROVEEDORES[[#This Row],[PROVEEDOR]],TERCEROS_INFO[#All],2,FALSE)</f>
        <v>30</v>
      </c>
      <c r="D2058" s="25">
        <f>+SUMIFS(PROVEEDORES[Total],PROVEEDORES[PROVEEDOR],PROVEEDORES[[#This Row],[PROVEEDOR]],PROVEEDORES[FECHA DE PAGO],"")</f>
        <v>12030261.305</v>
      </c>
      <c r="E2058" s="25"/>
      <c r="F2058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58" s="68">
        <v>45232</v>
      </c>
      <c r="H2058" s="26" t="s">
        <v>12</v>
      </c>
      <c r="I2058" s="68">
        <v>45152</v>
      </c>
      <c r="J2058" s="35" t="s">
        <v>1878</v>
      </c>
      <c r="K2058" s="21">
        <v>-436975</v>
      </c>
      <c r="L2058" s="21"/>
      <c r="M2058" s="22">
        <f>(PROVEEDORES[[#This Row],[SUBTOTAL]]-PROVEEDORES[[#This Row],[descuento sobre subtotal]])*VLOOKUP(PROVEEDORES[[#This Row],[PROVEEDOR]],TERCEROS_INFO[#All],3,FALSE)</f>
        <v>-83025.25</v>
      </c>
      <c r="N2058" s="23"/>
      <c r="O2058" s="22">
        <f>+PROVEEDORES[[#This Row],[Descuento sobre subtotal %]]*(PROVEEDORES[[#This Row],[SUBTOTAL]]-PROVEEDORES[[#This Row],[descuento sobre subtotal]])</f>
        <v>0</v>
      </c>
      <c r="P2058" s="74">
        <f>+IF(PROVEEDORES[[#This Row],[SUBTOTAL]]&lt;PROVEEDORES[[#This Row],[base retencion]],0,PROVEEDORES[[#This Row],[retención aplicada]])</f>
        <v>0</v>
      </c>
      <c r="Q2058" s="22">
        <f>+PROVEEDORES[[#This Row],[Rete Fuente %]]*(PROVEEDORES[[#This Row],[SUBTOTAL]]-PROVEEDORES[[#This Row],[descuento sobre subtotal]])</f>
        <v>0</v>
      </c>
      <c r="R2058" s="21">
        <f>+PROVEEDORES[[#This Row],[SUBTOTAL]]+PROVEEDORES[[#This Row],[IVA 19%]]-PROVEEDORES[[#This Row],[descuento sobre subtotal]]-PROVEEDORES[[#This Row],[Descuento sobre subtotal $2]]-PROVEEDORES[[#This Row],[Rete Fuente $]]</f>
        <v>-520000.25</v>
      </c>
      <c r="S20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8" s="63">
        <f ca="1">IF(PROVEEDORES[[#This Row],[FECHA DE PAGO]]=0,TODAY()-PROVEEDORES[[#This Row],[FECHA DE FACTURACIÓN]]-PROVEEDORES[[#This Row],[PLAZO Días]],0)</f>
        <v>0</v>
      </c>
      <c r="U2058" s="104" t="str">
        <f>+VLOOKUP(PROVEEDORES[[#This Row],[PROVEEDOR]],Terceros!$A:$D,4,FALSE)</f>
        <v>2,5% con base</v>
      </c>
      <c r="V2058" s="105">
        <f>+YEAR(PROVEEDORES[[#This Row],[FECHA DE FACTURACIÓN]])</f>
        <v>2023</v>
      </c>
      <c r="W2058" s="105">
        <f>+MATCH(PROVEEDORES[[#This Row],[año facturado]],Retenciones!$1:$1,0)</f>
        <v>6</v>
      </c>
      <c r="X2058" s="106">
        <f>+VLOOKUP(PROVEEDORES[[#This Row],[ID RETENCION]],Retenciones!$A$1:$O$25,PROVEEDORES[[#This Row],[indicador de columna]],FALSE)</f>
        <v>1145000</v>
      </c>
      <c r="Y2058" s="107">
        <f>+VLOOKUP(PROVEEDORES[[#This Row],[ID RETENCION]],Retenciones!$A$1:$O$25,2,FALSE)</f>
        <v>2.5000000000000001E-2</v>
      </c>
      <c r="Z2058" s="116" t="b">
        <f>OR(COUNTIF(PROVEEDORES[[#This Row],[PROVEEDOR]],"*"&amp;'Palabra no opera'!$A$2&amp;"*"))</f>
        <v>0</v>
      </c>
    </row>
    <row r="2059" spans="1:26" ht="22.35" customHeight="1" x14ac:dyDescent="0.3">
      <c r="A2059" s="67" t="str">
        <f>+IF(PROVEEDORES[[#This Row],[FECHA DE PAGO]]=PROVEEDORES[[#This Row],[FECHA DE FACTURACIÓN]],"DE CONTADO","CRÉDITO")</f>
        <v>CRÉDITO</v>
      </c>
      <c r="B2059" s="38" t="str">
        <f>+IF((PROVEEDORES[[#This Row],[FECHA DE PAGO]]-PROVEEDORES[[#This Row],[FECHA DE FACTURACIÓN]])&gt;PROVEEDORES[[#This Row],[PLAZO Días]],"PAGO VENCIDO")</f>
        <v>PAGO VENCIDO</v>
      </c>
      <c r="C2059" s="20">
        <f>+VLOOKUP(PROVEEDORES[[#This Row],[PROVEEDOR]],TERCEROS_INFO[#All],2,FALSE)</f>
        <v>30</v>
      </c>
      <c r="D2059" s="25">
        <f>+SUMIFS(PROVEEDORES[Total],PROVEEDORES[PROVEEDOR],PROVEEDORES[[#This Row],[PROVEEDOR]],PROVEEDORES[FECHA DE PAGO],"")</f>
        <v>12030261.305</v>
      </c>
      <c r="E2059" s="25"/>
      <c r="F2059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59" s="68">
        <v>45232</v>
      </c>
      <c r="H2059" s="26" t="s">
        <v>12</v>
      </c>
      <c r="I2059" s="68">
        <v>45155</v>
      </c>
      <c r="J2059" s="35" t="s">
        <v>1906</v>
      </c>
      <c r="K2059" s="21">
        <v>5567234</v>
      </c>
      <c r="L2059" s="21"/>
      <c r="M2059" s="22">
        <f>(PROVEEDORES[[#This Row],[SUBTOTAL]]-PROVEEDORES[[#This Row],[descuento sobre subtotal]])*VLOOKUP(PROVEEDORES[[#This Row],[PROVEEDOR]],TERCEROS_INFO[#All],3,FALSE)</f>
        <v>1057774.46</v>
      </c>
      <c r="N2059" s="23"/>
      <c r="O2059" s="22">
        <f>+PROVEEDORES[[#This Row],[Descuento sobre subtotal %]]*(PROVEEDORES[[#This Row],[SUBTOTAL]]-PROVEEDORES[[#This Row],[descuento sobre subtotal]])</f>
        <v>0</v>
      </c>
      <c r="P2059" s="74">
        <f>+IF(PROVEEDORES[[#This Row],[SUBTOTAL]]&lt;PROVEEDORES[[#This Row],[base retencion]],0,PROVEEDORES[[#This Row],[retención aplicada]])</f>
        <v>2.5000000000000001E-2</v>
      </c>
      <c r="Q2059" s="22">
        <f>+PROVEEDORES[[#This Row],[Rete Fuente %]]*(PROVEEDORES[[#This Row],[SUBTOTAL]]-PROVEEDORES[[#This Row],[descuento sobre subtotal]])</f>
        <v>139180.85</v>
      </c>
      <c r="R2059" s="21">
        <f>+PROVEEDORES[[#This Row],[SUBTOTAL]]+PROVEEDORES[[#This Row],[IVA 19%]]-PROVEEDORES[[#This Row],[descuento sobre subtotal]]-PROVEEDORES[[#This Row],[Descuento sobre subtotal $2]]-PROVEEDORES[[#This Row],[Rete Fuente $]]</f>
        <v>6485827.6100000003</v>
      </c>
      <c r="S20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9" s="63">
        <f ca="1">IF(PROVEEDORES[[#This Row],[FECHA DE PAGO]]=0,TODAY()-PROVEEDORES[[#This Row],[FECHA DE FACTURACIÓN]]-PROVEEDORES[[#This Row],[PLAZO Días]],0)</f>
        <v>0</v>
      </c>
      <c r="U2059" s="104" t="str">
        <f>+VLOOKUP(PROVEEDORES[[#This Row],[PROVEEDOR]],Terceros!$A:$D,4,FALSE)</f>
        <v>2,5% con base</v>
      </c>
      <c r="V2059" s="105">
        <f>+YEAR(PROVEEDORES[[#This Row],[FECHA DE FACTURACIÓN]])</f>
        <v>2023</v>
      </c>
      <c r="W2059" s="105">
        <f>+MATCH(PROVEEDORES[[#This Row],[año facturado]],Retenciones!$1:$1,0)</f>
        <v>6</v>
      </c>
      <c r="X2059" s="106">
        <f>+VLOOKUP(PROVEEDORES[[#This Row],[ID RETENCION]],Retenciones!$A$1:$O$25,PROVEEDORES[[#This Row],[indicador de columna]],FALSE)</f>
        <v>1145000</v>
      </c>
      <c r="Y2059" s="107">
        <f>+VLOOKUP(PROVEEDORES[[#This Row],[ID RETENCION]],Retenciones!$A$1:$O$25,2,FALSE)</f>
        <v>2.5000000000000001E-2</v>
      </c>
      <c r="Z2059" s="116" t="b">
        <f>OR(COUNTIF(PROVEEDORES[[#This Row],[PROVEEDOR]],"*"&amp;'Palabra no opera'!$A$2&amp;"*"))</f>
        <v>0</v>
      </c>
    </row>
    <row r="2060" spans="1:26" ht="22.35" customHeight="1" x14ac:dyDescent="0.3">
      <c r="A2060" s="67" t="str">
        <f>+IF(PROVEEDORES[[#This Row],[FECHA DE PAGO]]=PROVEEDORES[[#This Row],[FECHA DE FACTURACIÓN]],"DE CONTADO","CRÉDITO")</f>
        <v>CRÉDITO</v>
      </c>
      <c r="B2060" s="38" t="str">
        <f>+IF((PROVEEDORES[[#This Row],[FECHA DE PAGO]]-PROVEEDORES[[#This Row],[FECHA DE FACTURACIÓN]])&gt;PROVEEDORES[[#This Row],[PLAZO Días]],"PAGO VENCIDO")</f>
        <v>PAGO VENCIDO</v>
      </c>
      <c r="C2060" s="20">
        <f>+VLOOKUP(PROVEEDORES[[#This Row],[PROVEEDOR]],TERCEROS_INFO[#All],2,FALSE)</f>
        <v>30</v>
      </c>
      <c r="D2060" s="25">
        <f>+SUMIFS(PROVEEDORES[Total],PROVEEDORES[PROVEEDOR],PROVEEDORES[[#This Row],[PROVEEDOR]],PROVEEDORES[FECHA DE PAGO],"")</f>
        <v>0</v>
      </c>
      <c r="E2060" s="25"/>
      <c r="F2060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060" s="68">
        <v>45232</v>
      </c>
      <c r="H2060" s="26" t="s">
        <v>33</v>
      </c>
      <c r="I2060" s="68">
        <v>45146</v>
      </c>
      <c r="J2060" s="35" t="s">
        <v>1876</v>
      </c>
      <c r="K2060" s="21">
        <v>4565000</v>
      </c>
      <c r="L2060" s="21"/>
      <c r="M2060" s="22">
        <f>(PROVEEDORES[[#This Row],[SUBTOTAL]]-PROVEEDORES[[#This Row],[descuento sobre subtotal]])*VLOOKUP(PROVEEDORES[[#This Row],[PROVEEDOR]],TERCEROS_INFO[#All],3,FALSE)</f>
        <v>867350</v>
      </c>
      <c r="N2060" s="23"/>
      <c r="O2060" s="22">
        <f>+PROVEEDORES[[#This Row],[Descuento sobre subtotal %]]*(PROVEEDORES[[#This Row],[SUBTOTAL]]-PROVEEDORES[[#This Row],[descuento sobre subtotal]])</f>
        <v>0</v>
      </c>
      <c r="P2060" s="74">
        <f>+IF(PROVEEDORES[[#This Row],[SUBTOTAL]]&lt;PROVEEDORES[[#This Row],[base retencion]],0,PROVEEDORES[[#This Row],[retención aplicada]])</f>
        <v>2.5000000000000001E-2</v>
      </c>
      <c r="Q2060" s="22">
        <f>+PROVEEDORES[[#This Row],[Rete Fuente %]]*(PROVEEDORES[[#This Row],[SUBTOTAL]]-PROVEEDORES[[#This Row],[descuento sobre subtotal]])</f>
        <v>114125</v>
      </c>
      <c r="R2060" s="21">
        <f>+PROVEEDORES[[#This Row],[SUBTOTAL]]+PROVEEDORES[[#This Row],[IVA 19%]]-PROVEEDORES[[#This Row],[descuento sobre subtotal]]-PROVEEDORES[[#This Row],[Descuento sobre subtotal $2]]-PROVEEDORES[[#This Row],[Rete Fuente $]]</f>
        <v>5318225</v>
      </c>
      <c r="S206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0" s="63">
        <f ca="1">IF(PROVEEDORES[[#This Row],[FECHA DE PAGO]]=0,TODAY()-PROVEEDORES[[#This Row],[FECHA DE FACTURACIÓN]]-PROVEEDORES[[#This Row],[PLAZO Días]],0)</f>
        <v>0</v>
      </c>
      <c r="U2060" s="104" t="str">
        <f>+VLOOKUP(PROVEEDORES[[#This Row],[PROVEEDOR]],Terceros!$A:$D,4,FALSE)</f>
        <v>2,5% con base</v>
      </c>
      <c r="V2060" s="105">
        <f>+YEAR(PROVEEDORES[[#This Row],[FECHA DE FACTURACIÓN]])</f>
        <v>2023</v>
      </c>
      <c r="W2060" s="105">
        <f>+MATCH(PROVEEDORES[[#This Row],[año facturado]],Retenciones!$1:$1,0)</f>
        <v>6</v>
      </c>
      <c r="X2060" s="106">
        <f>+VLOOKUP(PROVEEDORES[[#This Row],[ID RETENCION]],Retenciones!$A$1:$O$25,PROVEEDORES[[#This Row],[indicador de columna]],FALSE)</f>
        <v>1145000</v>
      </c>
      <c r="Y2060" s="107">
        <f>+VLOOKUP(PROVEEDORES[[#This Row],[ID RETENCION]],Retenciones!$A$1:$O$25,2,FALSE)</f>
        <v>2.5000000000000001E-2</v>
      </c>
      <c r="Z2060" s="116" t="b">
        <f>OR(COUNTIF(PROVEEDORES[[#This Row],[PROVEEDOR]],"*"&amp;'Palabra no opera'!$A$2&amp;"*"))</f>
        <v>0</v>
      </c>
    </row>
    <row r="2061" spans="1:26" ht="22.35" customHeight="1" x14ac:dyDescent="0.3">
      <c r="A2061" s="351" t="str">
        <f>+IF(PROVEEDORES[[#This Row],[FECHA DE PAGO]]=PROVEEDORES[[#This Row],[FECHA DE FACTURACIÓN]],"DE CONTADO","CRÉDITO")</f>
        <v>CRÉDITO</v>
      </c>
      <c r="B2061" s="38" t="str">
        <f>+IF((PROVEEDORES[[#This Row],[FECHA DE PAGO]]-PROVEEDORES[[#This Row],[FECHA DE FACTURACIÓN]])&gt;PROVEEDORES[[#This Row],[PLAZO Días]],"PAGO VENCIDO")</f>
        <v>PAGO VENCIDO</v>
      </c>
      <c r="C2061" s="20">
        <f>+VLOOKUP(PROVEEDORES[[#This Row],[PROVEEDOR]],TERCEROS_INFO[#All],2,FALSE)</f>
        <v>30</v>
      </c>
      <c r="D2061" s="25">
        <f>+SUMIFS(PROVEEDORES[Total],PROVEEDORES[PROVEEDOR],PROVEEDORES[[#This Row],[PROVEEDOR]],PROVEEDORES[FECHA DE PAGO],"")</f>
        <v>0</v>
      </c>
      <c r="E2061" s="25"/>
      <c r="F2061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061" s="68">
        <v>45232</v>
      </c>
      <c r="H2061" s="26" t="s">
        <v>33</v>
      </c>
      <c r="I2061" s="68">
        <v>45167</v>
      </c>
      <c r="J2061" s="35" t="s">
        <v>1928</v>
      </c>
      <c r="K2061" s="21">
        <v>6926500</v>
      </c>
      <c r="L2061" s="21"/>
      <c r="M2061" s="22">
        <f>(PROVEEDORES[[#This Row],[SUBTOTAL]]-PROVEEDORES[[#This Row],[descuento sobre subtotal]])*VLOOKUP(PROVEEDORES[[#This Row],[PROVEEDOR]],TERCEROS_INFO[#All],3,FALSE)</f>
        <v>1316035</v>
      </c>
      <c r="N2061" s="23"/>
      <c r="O2061" s="22">
        <f>+PROVEEDORES[[#This Row],[Descuento sobre subtotal %]]*(PROVEEDORES[[#This Row],[SUBTOTAL]]-PROVEEDORES[[#This Row],[descuento sobre subtotal]])</f>
        <v>0</v>
      </c>
      <c r="P2061" s="74">
        <f>+IF(PROVEEDORES[[#This Row],[SUBTOTAL]]&lt;PROVEEDORES[[#This Row],[base retencion]],0,PROVEEDORES[[#This Row],[retención aplicada]])</f>
        <v>2.5000000000000001E-2</v>
      </c>
      <c r="Q2061" s="22">
        <f>+PROVEEDORES[[#This Row],[Rete Fuente %]]*(PROVEEDORES[[#This Row],[SUBTOTAL]]-PROVEEDORES[[#This Row],[descuento sobre subtotal]])</f>
        <v>173162.5</v>
      </c>
      <c r="R2061" s="21">
        <f>+PROVEEDORES[[#This Row],[SUBTOTAL]]+PROVEEDORES[[#This Row],[IVA 19%]]-PROVEEDORES[[#This Row],[descuento sobre subtotal]]-PROVEEDORES[[#This Row],[Descuento sobre subtotal $2]]-PROVEEDORES[[#This Row],[Rete Fuente $]]</f>
        <v>8069372.5</v>
      </c>
      <c r="S2061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1" s="63">
        <f ca="1">IF(PROVEEDORES[[#This Row],[FECHA DE PAGO]]=0,TODAY()-PROVEEDORES[[#This Row],[FECHA DE FACTURACIÓN]]-PROVEEDORES[[#This Row],[PLAZO Días]],0)</f>
        <v>0</v>
      </c>
      <c r="U2061" s="104" t="str">
        <f>+VLOOKUP(PROVEEDORES[[#This Row],[PROVEEDOR]],Terceros!$A:$D,4,FALSE)</f>
        <v>2,5% con base</v>
      </c>
      <c r="V2061" s="105">
        <f>+YEAR(PROVEEDORES[[#This Row],[FECHA DE FACTURACIÓN]])</f>
        <v>2023</v>
      </c>
      <c r="W2061" s="105">
        <f>+MATCH(PROVEEDORES[[#This Row],[año facturado]],Retenciones!$1:$1,0)</f>
        <v>6</v>
      </c>
      <c r="X2061" s="106">
        <f>+VLOOKUP(PROVEEDORES[[#This Row],[ID RETENCION]],Retenciones!$A$1:$O$25,PROVEEDORES[[#This Row],[indicador de columna]],FALSE)</f>
        <v>1145000</v>
      </c>
      <c r="Y2061" s="107">
        <f>+VLOOKUP(PROVEEDORES[[#This Row],[ID RETENCION]],Retenciones!$A$1:$O$25,2,FALSE)</f>
        <v>2.5000000000000001E-2</v>
      </c>
      <c r="Z2061" s="116" t="b">
        <f>OR(COUNTIF(PROVEEDORES[[#This Row],[PROVEEDOR]],"*"&amp;'Palabra no opera'!$A$2&amp;"*"))</f>
        <v>0</v>
      </c>
    </row>
    <row r="2062" spans="1:26" ht="22.35" customHeight="1" x14ac:dyDescent="0.3">
      <c r="A2062" s="67" t="str">
        <f>+IF(PROVEEDORES[[#This Row],[FECHA DE PAGO]]=PROVEEDORES[[#This Row],[FECHA DE FACTURACIÓN]],"DE CONTADO","CRÉDITO")</f>
        <v>CRÉDITO</v>
      </c>
      <c r="B2062" s="38" t="str">
        <f>+IF((PROVEEDORES[[#This Row],[FECHA DE PAGO]]-PROVEEDORES[[#This Row],[FECHA DE FACTURACIÓN]])&gt;PROVEEDORES[[#This Row],[PLAZO Días]],"PAGO VENCIDO")</f>
        <v>PAGO VENCIDO</v>
      </c>
      <c r="C2062" s="20">
        <f>+VLOOKUP(PROVEEDORES[[#This Row],[PROVEEDOR]],TERCEROS_INFO[#All],2,FALSE)</f>
        <v>30</v>
      </c>
      <c r="D2062" s="25">
        <f>+SUMIFS(PROVEEDORES[Total],PROVEEDORES[PROVEEDOR],PROVEEDORES[[#This Row],[PROVEEDOR]],PROVEEDORES[FECHA DE PAGO],"")</f>
        <v>0</v>
      </c>
      <c r="E2062" s="25"/>
      <c r="F206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062" s="68">
        <v>45232</v>
      </c>
      <c r="H2062" s="26" t="s">
        <v>248</v>
      </c>
      <c r="I2062" s="68">
        <v>45184</v>
      </c>
      <c r="J2062" s="35" t="s">
        <v>1962</v>
      </c>
      <c r="K2062" s="21">
        <v>174783</v>
      </c>
      <c r="L2062" s="21"/>
      <c r="M2062" s="22">
        <f>(PROVEEDORES[[#This Row],[SUBTOTAL]]-PROVEEDORES[[#This Row],[descuento sobre subtotal]])*VLOOKUP(PROVEEDORES[[#This Row],[PROVEEDOR]],TERCEROS_INFO[#All],3,FALSE)</f>
        <v>33208.769999999997</v>
      </c>
      <c r="N2062" s="23"/>
      <c r="O2062" s="22">
        <f>+PROVEEDORES[[#This Row],[Descuento sobre subtotal %]]*(PROVEEDORES[[#This Row],[SUBTOTAL]]-PROVEEDORES[[#This Row],[descuento sobre subtotal]])</f>
        <v>0</v>
      </c>
      <c r="P2062" s="74">
        <f>+IF(PROVEEDORES[[#This Row],[SUBTOTAL]]&lt;PROVEEDORES[[#This Row],[base retencion]],0,PROVEEDORES[[#This Row],[retención aplicada]])</f>
        <v>0</v>
      </c>
      <c r="Q2062" s="22">
        <f>+PROVEEDORES[[#This Row],[Rete Fuente %]]*(PROVEEDORES[[#This Row],[SUBTOTAL]]-PROVEEDORES[[#This Row],[descuento sobre subtotal]])</f>
        <v>0</v>
      </c>
      <c r="R2062" s="21">
        <f>+PROVEEDORES[[#This Row],[SUBTOTAL]]+PROVEEDORES[[#This Row],[IVA 19%]]-PROVEEDORES[[#This Row],[descuento sobre subtotal]]-PROVEEDORES[[#This Row],[Descuento sobre subtotal $2]]-PROVEEDORES[[#This Row],[Rete Fuente $]]</f>
        <v>207991.77</v>
      </c>
      <c r="S20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2" s="63">
        <f ca="1">IF(PROVEEDORES[[#This Row],[FECHA DE PAGO]]=0,TODAY()-PROVEEDORES[[#This Row],[FECHA DE FACTURACIÓN]]-PROVEEDORES[[#This Row],[PLAZO Días]],0)</f>
        <v>0</v>
      </c>
      <c r="U2062" s="104">
        <f>+VLOOKUP(PROVEEDORES[[#This Row],[PROVEEDOR]],Terceros!$A:$D,4,FALSE)</f>
        <v>0</v>
      </c>
      <c r="V2062" s="105">
        <f>+YEAR(PROVEEDORES[[#This Row],[FECHA DE FACTURACIÓN]])</f>
        <v>2023</v>
      </c>
      <c r="W2062" s="105">
        <f>+MATCH(PROVEEDORES[[#This Row],[año facturado]],Retenciones!$1:$1,0)</f>
        <v>6</v>
      </c>
      <c r="X2062" s="106">
        <f>+VLOOKUP(PROVEEDORES[[#This Row],[ID RETENCION]],Retenciones!$A$1:$O$25,PROVEEDORES[[#This Row],[indicador de columna]],FALSE)</f>
        <v>0</v>
      </c>
      <c r="Y2062" s="107">
        <f>+VLOOKUP(PROVEEDORES[[#This Row],[ID RETENCION]],Retenciones!$A$1:$O$25,2,FALSE)</f>
        <v>0</v>
      </c>
      <c r="Z2062" s="116" t="b">
        <f>OR(COUNTIF(PROVEEDORES[[#This Row],[PROVEEDOR]],"*"&amp;'Palabra no opera'!$A$2&amp;"*"))</f>
        <v>0</v>
      </c>
    </row>
    <row r="2063" spans="1:26" ht="22.35" customHeight="1" x14ac:dyDescent="0.3">
      <c r="A2063" s="367" t="str">
        <f>+IF(PROVEEDORES[[#This Row],[FECHA DE PAGO]]=PROVEEDORES[[#This Row],[FECHA DE FACTURACIÓN]],"DE CONTADO","CRÉDITO")</f>
        <v>CRÉDITO</v>
      </c>
      <c r="B2063" s="38" t="str">
        <f>+IF((PROVEEDORES[[#This Row],[FECHA DE PAGO]]-PROVEEDORES[[#This Row],[FECHA DE FACTURACIÓN]])&gt;PROVEEDORES[[#This Row],[PLAZO Días]],"PAGO VENCIDO")</f>
        <v>PAGO VENCIDO</v>
      </c>
      <c r="C2063" s="20">
        <f>+VLOOKUP(PROVEEDORES[[#This Row],[PROVEEDOR]],TERCEROS_INFO[#All],2,FALSE)</f>
        <v>30</v>
      </c>
      <c r="D2063" s="25">
        <f>+SUMIFS(PROVEEDORES[Total],PROVEEDORES[PROVEEDOR],PROVEEDORES[[#This Row],[PROVEEDOR]],PROVEEDORES[FECHA DE PAGO],"")</f>
        <v>0</v>
      </c>
      <c r="E2063" s="25"/>
      <c r="F2063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063" s="68">
        <v>45232</v>
      </c>
      <c r="H2063" s="26" t="s">
        <v>248</v>
      </c>
      <c r="I2063" s="68">
        <v>45196</v>
      </c>
      <c r="J2063" s="35" t="s">
        <v>1994</v>
      </c>
      <c r="K2063" s="21">
        <v>893952</v>
      </c>
      <c r="L2063" s="21"/>
      <c r="M2063" s="22">
        <f>(PROVEEDORES[[#This Row],[SUBTOTAL]]-PROVEEDORES[[#This Row],[descuento sobre subtotal]])*VLOOKUP(PROVEEDORES[[#This Row],[PROVEEDOR]],TERCEROS_INFO[#All],3,FALSE)</f>
        <v>169850.88</v>
      </c>
      <c r="N2063" s="23"/>
      <c r="O2063" s="22">
        <f>+PROVEEDORES[[#This Row],[Descuento sobre subtotal %]]*(PROVEEDORES[[#This Row],[SUBTOTAL]]-PROVEEDORES[[#This Row],[descuento sobre subtotal]])</f>
        <v>0</v>
      </c>
      <c r="P2063" s="74">
        <f>+IF(PROVEEDORES[[#This Row],[SUBTOTAL]]&lt;PROVEEDORES[[#This Row],[base retencion]],0,PROVEEDORES[[#This Row],[retención aplicada]])</f>
        <v>0</v>
      </c>
      <c r="Q2063" s="22">
        <f>+PROVEEDORES[[#This Row],[Rete Fuente %]]*(PROVEEDORES[[#This Row],[SUBTOTAL]]-PROVEEDORES[[#This Row],[descuento sobre subtotal]])</f>
        <v>0</v>
      </c>
      <c r="R2063" s="21">
        <f>+PROVEEDORES[[#This Row],[SUBTOTAL]]+PROVEEDORES[[#This Row],[IVA 19%]]-PROVEEDORES[[#This Row],[descuento sobre subtotal]]-PROVEEDORES[[#This Row],[Descuento sobre subtotal $2]]-PROVEEDORES[[#This Row],[Rete Fuente $]]</f>
        <v>1063802.8799999999</v>
      </c>
      <c r="S2063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3" s="63">
        <f ca="1">IF(PROVEEDORES[[#This Row],[FECHA DE PAGO]]=0,TODAY()-PROVEEDORES[[#This Row],[FECHA DE FACTURACIÓN]]-PROVEEDORES[[#This Row],[PLAZO Días]],0)</f>
        <v>0</v>
      </c>
      <c r="U2063" s="104">
        <f>+VLOOKUP(PROVEEDORES[[#This Row],[PROVEEDOR]],Terceros!$A:$D,4,FALSE)</f>
        <v>0</v>
      </c>
      <c r="V2063" s="105">
        <f>+YEAR(PROVEEDORES[[#This Row],[FECHA DE FACTURACIÓN]])</f>
        <v>2023</v>
      </c>
      <c r="W2063" s="105">
        <f>+MATCH(PROVEEDORES[[#This Row],[año facturado]],Retenciones!$1:$1,0)</f>
        <v>6</v>
      </c>
      <c r="X2063" s="106">
        <f>+VLOOKUP(PROVEEDORES[[#This Row],[ID RETENCION]],Retenciones!$A$1:$O$25,PROVEEDORES[[#This Row],[indicador de columna]],FALSE)</f>
        <v>0</v>
      </c>
      <c r="Y2063" s="107">
        <f>+VLOOKUP(PROVEEDORES[[#This Row],[ID RETENCION]],Retenciones!$A$1:$O$25,2,FALSE)</f>
        <v>0</v>
      </c>
      <c r="Z2063" s="116" t="b">
        <f>OR(COUNTIF(PROVEEDORES[[#This Row],[PROVEEDOR]],"*"&amp;'Palabra no opera'!$A$2&amp;"*"))</f>
        <v>0</v>
      </c>
    </row>
    <row r="2064" spans="1:26" ht="22.35" customHeight="1" x14ac:dyDescent="0.3">
      <c r="A2064" s="374" t="str">
        <f>+IF(PROVEEDORES[[#This Row],[FECHA DE PAGO]]=PROVEEDORES[[#This Row],[FECHA DE FACTURACIÓN]],"DE CONTADO","CRÉDITO")</f>
        <v>CRÉDITO</v>
      </c>
      <c r="B2064" s="38" t="b">
        <f>+IF((PROVEEDORES[[#This Row],[FECHA DE PAGO]]-PROVEEDORES[[#This Row],[FECHA DE FACTURACIÓN]])&gt;PROVEEDORES[[#This Row],[PLAZO Días]],"PAGO VENCIDO")</f>
        <v>0</v>
      </c>
      <c r="C2064" s="20">
        <f>+VLOOKUP(PROVEEDORES[[#This Row],[PROVEEDOR]],TERCEROS_INFO[#All],2,FALSE)</f>
        <v>30</v>
      </c>
      <c r="D2064" s="25">
        <f>+SUMIFS(PROVEEDORES[Total],PROVEEDORES[PROVEEDOR],PROVEEDORES[[#This Row],[PROVEEDOR]],PROVEEDORES[FECHA DE PAGO],"")</f>
        <v>0</v>
      </c>
      <c r="E2064" s="25"/>
      <c r="F2064" s="56" t="str">
        <f>+VLOOKUP(PROVEEDORES[[#This Row],[PROVEEDOR]],
                       Terceros!$A:$F,
                       5,
                       FALSE)</f>
        <v>PSE</v>
      </c>
      <c r="G2064" s="68">
        <v>45232</v>
      </c>
      <c r="H2064" s="26" t="s">
        <v>645</v>
      </c>
      <c r="I2064" s="68">
        <v>45231</v>
      </c>
      <c r="J2064" s="35"/>
      <c r="K2064" s="21">
        <v>620524</v>
      </c>
      <c r="L2064" s="21"/>
      <c r="M2064" s="22">
        <f>(PROVEEDORES[[#This Row],[SUBTOTAL]]-PROVEEDORES[[#This Row],[descuento sobre subtotal]])*VLOOKUP(PROVEEDORES[[#This Row],[PROVEEDOR]],TERCEROS_INFO[#All],3,FALSE)</f>
        <v>0</v>
      </c>
      <c r="N2064" s="23"/>
      <c r="O2064" s="22">
        <f>+PROVEEDORES[[#This Row],[Descuento sobre subtotal %]]*(PROVEEDORES[[#This Row],[SUBTOTAL]]-PROVEEDORES[[#This Row],[descuento sobre subtotal]])</f>
        <v>0</v>
      </c>
      <c r="P2064" s="74">
        <f>+IF(PROVEEDORES[[#This Row],[SUBTOTAL]]&lt;PROVEEDORES[[#This Row],[base retencion]],0,PROVEEDORES[[#This Row],[retención aplicada]])</f>
        <v>0</v>
      </c>
      <c r="Q2064" s="22">
        <f>+PROVEEDORES[[#This Row],[Rete Fuente %]]*(PROVEEDORES[[#This Row],[SUBTOTAL]]-PROVEEDORES[[#This Row],[descuento sobre subtotal]])</f>
        <v>0</v>
      </c>
      <c r="R2064" s="21">
        <f>+PROVEEDORES[[#This Row],[SUBTOTAL]]+PROVEEDORES[[#This Row],[IVA 19%]]-PROVEEDORES[[#This Row],[descuento sobre subtotal]]-PROVEEDORES[[#This Row],[Descuento sobre subtotal $2]]-PROVEEDORES[[#This Row],[Rete Fuente $]]</f>
        <v>620524</v>
      </c>
      <c r="S2064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4" s="63">
        <f ca="1">IF(PROVEEDORES[[#This Row],[FECHA DE PAGO]]=0,TODAY()-PROVEEDORES[[#This Row],[FECHA DE FACTURACIÓN]]-PROVEEDORES[[#This Row],[PLAZO Días]],0)</f>
        <v>0</v>
      </c>
      <c r="U2064" s="104">
        <f>+VLOOKUP(PROVEEDORES[[#This Row],[PROVEEDOR]],Terceros!$A:$D,4,FALSE)</f>
        <v>0</v>
      </c>
      <c r="V2064" s="105">
        <f>+YEAR(PROVEEDORES[[#This Row],[FECHA DE FACTURACIÓN]])</f>
        <v>2023</v>
      </c>
      <c r="W2064" s="105">
        <f>+MATCH(PROVEEDORES[[#This Row],[año facturado]],Retenciones!$1:$1,0)</f>
        <v>6</v>
      </c>
      <c r="X2064" s="106">
        <f>+VLOOKUP(PROVEEDORES[[#This Row],[ID RETENCION]],Retenciones!$A$1:$O$25,PROVEEDORES[[#This Row],[indicador de columna]],FALSE)</f>
        <v>0</v>
      </c>
      <c r="Y2064" s="107">
        <f>+VLOOKUP(PROVEEDORES[[#This Row],[ID RETENCION]],Retenciones!$A$1:$O$25,2,FALSE)</f>
        <v>0</v>
      </c>
      <c r="Z2064" s="116" t="b">
        <f>OR(COUNTIF(PROVEEDORES[[#This Row],[PROVEEDOR]],"*"&amp;'Palabra no opera'!$A$2&amp;"*"))</f>
        <v>1</v>
      </c>
    </row>
    <row r="2065" spans="1:26" ht="22.35" customHeight="1" x14ac:dyDescent="0.3">
      <c r="A2065" s="67" t="str">
        <f>+IF(PROVEEDORES[[#This Row],[FECHA DE PAGO]]=PROVEEDORES[[#This Row],[FECHA DE FACTURACIÓN]],"DE CONTADO","CRÉDITO")</f>
        <v>CRÉDITO</v>
      </c>
      <c r="B2065" s="38" t="b">
        <f>+IF((PROVEEDORES[[#This Row],[FECHA DE PAGO]]-PROVEEDORES[[#This Row],[FECHA DE FACTURACIÓN]])&gt;PROVEEDORES[[#This Row],[PLAZO Días]],"PAGO VENCIDO")</f>
        <v>0</v>
      </c>
      <c r="C2065" s="20">
        <f>+VLOOKUP(PROVEEDORES[[#This Row],[PROVEEDOR]],TERCEROS_INFO[#All],2,FALSE)</f>
        <v>30</v>
      </c>
      <c r="D2065" s="25">
        <f>+SUMIFS(PROVEEDORES[Total],PROVEEDORES[PROVEEDOR],PROVEEDORES[[#This Row],[PROVEEDOR]],PROVEEDORES[FECHA DE PAGO],"")</f>
        <v>0</v>
      </c>
      <c r="E2065" s="25"/>
      <c r="F2065" s="56" t="str">
        <f>+VLOOKUP(PROVEEDORES[[#This Row],[PROVEEDOR]],
                       Terceros!$A:$F,
                       5,
                       FALSE)</f>
        <v/>
      </c>
      <c r="G2065" s="68">
        <v>45233</v>
      </c>
      <c r="H2065" s="26" t="s">
        <v>1194</v>
      </c>
      <c r="I2065" s="68">
        <v>45232</v>
      </c>
      <c r="J2065" s="35" t="s">
        <v>2199</v>
      </c>
      <c r="K2065" s="21">
        <v>2700000</v>
      </c>
      <c r="L2065" s="21"/>
      <c r="M2065" s="22">
        <f>(PROVEEDORES[[#This Row],[SUBTOTAL]]-PROVEEDORES[[#This Row],[descuento sobre subtotal]])*VLOOKUP(PROVEEDORES[[#This Row],[PROVEEDOR]],TERCEROS_INFO[#All],3,FALSE)</f>
        <v>0</v>
      </c>
      <c r="N2065" s="23"/>
      <c r="O2065" s="22">
        <f>+PROVEEDORES[[#This Row],[Descuento sobre subtotal %]]*(PROVEEDORES[[#This Row],[SUBTOTAL]]-PROVEEDORES[[#This Row],[descuento sobre subtotal]])</f>
        <v>0</v>
      </c>
      <c r="P2065" s="74">
        <f>+IF(PROVEEDORES[[#This Row],[SUBTOTAL]]&lt;PROVEEDORES[[#This Row],[base retencion]],0,PROVEEDORES[[#This Row],[retención aplicada]])</f>
        <v>0</v>
      </c>
      <c r="Q2065" s="22">
        <f>+PROVEEDORES[[#This Row],[Rete Fuente %]]*(PROVEEDORES[[#This Row],[SUBTOTAL]]-PROVEEDORES[[#This Row],[descuento sobre subtotal]])</f>
        <v>0</v>
      </c>
      <c r="R2065" s="21">
        <f>+PROVEEDORES[[#This Row],[SUBTOTAL]]+PROVEEDORES[[#This Row],[IVA 19%]]-PROVEEDORES[[#This Row],[descuento sobre subtotal]]-PROVEEDORES[[#This Row],[Descuento sobre subtotal $2]]-PROVEEDORES[[#This Row],[Rete Fuente $]]</f>
        <v>2700000</v>
      </c>
      <c r="S20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5" s="63">
        <f ca="1">IF(PROVEEDORES[[#This Row],[FECHA DE PAGO]]=0,TODAY()-PROVEEDORES[[#This Row],[FECHA DE FACTURACIÓN]]-PROVEEDORES[[#This Row],[PLAZO Días]],0)</f>
        <v>0</v>
      </c>
      <c r="U2065" s="104">
        <f>+VLOOKUP(PROVEEDORES[[#This Row],[PROVEEDOR]],Terceros!$A:$D,4,FALSE)</f>
        <v>0</v>
      </c>
      <c r="V2065" s="105">
        <f>+YEAR(PROVEEDORES[[#This Row],[FECHA DE FACTURACIÓN]])</f>
        <v>2023</v>
      </c>
      <c r="W2065" s="105">
        <f>+MATCH(PROVEEDORES[[#This Row],[año facturado]],Retenciones!$1:$1,0)</f>
        <v>6</v>
      </c>
      <c r="X2065" s="106">
        <f>+VLOOKUP(PROVEEDORES[[#This Row],[ID RETENCION]],Retenciones!$A$1:$O$25,PROVEEDORES[[#This Row],[indicador de columna]],FALSE)</f>
        <v>0</v>
      </c>
      <c r="Y2065" s="107">
        <f>+VLOOKUP(PROVEEDORES[[#This Row],[ID RETENCION]],Retenciones!$A$1:$O$25,2,FALSE)</f>
        <v>0</v>
      </c>
      <c r="Z2065" s="116" t="b">
        <f>OR(COUNTIF(PROVEEDORES[[#This Row],[PROVEEDOR]],"*"&amp;'Palabra no opera'!$A$2&amp;"*"))</f>
        <v>0</v>
      </c>
    </row>
    <row r="2066" spans="1:26" ht="22.35" customHeight="1" x14ac:dyDescent="0.3">
      <c r="A2066" s="67" t="str">
        <f>+IF(PROVEEDORES[[#This Row],[FECHA DE PAGO]]=PROVEEDORES[[#This Row],[FECHA DE FACTURACIÓN]],"DE CONTADO","CRÉDITO")</f>
        <v>DE CONTADO</v>
      </c>
      <c r="B2066" s="38" t="b">
        <f>+IF((PROVEEDORES[[#This Row],[FECHA DE PAGO]]-PROVEEDORES[[#This Row],[FECHA DE FACTURACIÓN]])&gt;PROVEEDORES[[#This Row],[PLAZO Días]],"PAGO VENCIDO")</f>
        <v>0</v>
      </c>
      <c r="C2066" s="20">
        <f>+VLOOKUP(PROVEEDORES[[#This Row],[PROVEEDOR]],TERCEROS_INFO[#All],2,FALSE)</f>
        <v>30</v>
      </c>
      <c r="D2066" s="25">
        <f>+SUMIFS(PROVEEDORES[Total],PROVEEDORES[PROVEEDOR],PROVEEDORES[[#This Row],[PROVEEDOR]],PROVEEDORES[FECHA DE PAGO],"")</f>
        <v>0</v>
      </c>
      <c r="E2066" s="25"/>
      <c r="F2066" s="56">
        <f>+VLOOKUP(PROVEEDORES[[#This Row],[PROVEEDOR]],
                       Terceros!$A:$F,
                       5,
                       FALSE)</f>
        <v>0</v>
      </c>
      <c r="G2066" s="68">
        <v>45233</v>
      </c>
      <c r="H2066" s="26" t="s">
        <v>1736</v>
      </c>
      <c r="I2066" s="68">
        <v>45233</v>
      </c>
      <c r="J2066" s="35"/>
      <c r="K2066" s="21">
        <v>389000</v>
      </c>
      <c r="L2066" s="21"/>
      <c r="M2066" s="22">
        <f>(PROVEEDORES[[#This Row],[SUBTOTAL]]-PROVEEDORES[[#This Row],[descuento sobre subtotal]])*VLOOKUP(PROVEEDORES[[#This Row],[PROVEEDOR]],TERCEROS_INFO[#All],3,FALSE)</f>
        <v>0</v>
      </c>
      <c r="N2066" s="23"/>
      <c r="O2066" s="22">
        <f>+PROVEEDORES[[#This Row],[Descuento sobre subtotal %]]*(PROVEEDORES[[#This Row],[SUBTOTAL]]-PROVEEDORES[[#This Row],[descuento sobre subtotal]])</f>
        <v>0</v>
      </c>
      <c r="P2066" s="74">
        <f>+IF(PROVEEDORES[[#This Row],[SUBTOTAL]]&lt;PROVEEDORES[[#This Row],[base retencion]],0,PROVEEDORES[[#This Row],[retención aplicada]])</f>
        <v>0</v>
      </c>
      <c r="Q2066" s="22">
        <f>+PROVEEDORES[[#This Row],[Rete Fuente %]]*(PROVEEDORES[[#This Row],[SUBTOTAL]]-PROVEEDORES[[#This Row],[descuento sobre subtotal]])</f>
        <v>0</v>
      </c>
      <c r="R2066" s="21">
        <f>+PROVEEDORES[[#This Row],[SUBTOTAL]]+PROVEEDORES[[#This Row],[IVA 19%]]-PROVEEDORES[[#This Row],[descuento sobre subtotal]]-PROVEEDORES[[#This Row],[Descuento sobre subtotal $2]]-PROVEEDORES[[#This Row],[Rete Fuente $]]</f>
        <v>389000</v>
      </c>
      <c r="S20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6" s="63">
        <f ca="1">IF(PROVEEDORES[[#This Row],[FECHA DE PAGO]]=0,TODAY()-PROVEEDORES[[#This Row],[FECHA DE FACTURACIÓN]]-PROVEEDORES[[#This Row],[PLAZO Días]],0)</f>
        <v>0</v>
      </c>
      <c r="U2066" s="104">
        <f>+VLOOKUP(PROVEEDORES[[#This Row],[PROVEEDOR]],Terceros!$A:$D,4,FALSE)</f>
        <v>0</v>
      </c>
      <c r="V2066" s="105">
        <f>+YEAR(PROVEEDORES[[#This Row],[FECHA DE FACTURACIÓN]])</f>
        <v>2023</v>
      </c>
      <c r="W2066" s="105">
        <f>+MATCH(PROVEEDORES[[#This Row],[año facturado]],Retenciones!$1:$1,0)</f>
        <v>6</v>
      </c>
      <c r="X2066" s="106">
        <f>+VLOOKUP(PROVEEDORES[[#This Row],[ID RETENCION]],Retenciones!$A$1:$O$25,PROVEEDORES[[#This Row],[indicador de columna]],FALSE)</f>
        <v>0</v>
      </c>
      <c r="Y2066" s="107">
        <f>+VLOOKUP(PROVEEDORES[[#This Row],[ID RETENCION]],Retenciones!$A$1:$O$25,2,FALSE)</f>
        <v>0</v>
      </c>
      <c r="Z2066" s="116" t="b">
        <f>OR(COUNTIF(PROVEEDORES[[#This Row],[PROVEEDOR]],"*"&amp;'Palabra no opera'!$A$2&amp;"*"))</f>
        <v>0</v>
      </c>
    </row>
    <row r="2067" spans="1:26" ht="22.35" customHeight="1" x14ac:dyDescent="0.3">
      <c r="A2067" s="381" t="str">
        <f>+IF(PROVEEDORES[[#This Row],[FECHA DE PAGO]]=PROVEEDORES[[#This Row],[FECHA DE FACTURACIÓN]],"DE CONTADO","CRÉDITO")</f>
        <v>DE CONTADO</v>
      </c>
      <c r="B2067" s="38" t="b">
        <f>+IF((PROVEEDORES[[#This Row],[FECHA DE PAGO]]-PROVEEDORES[[#This Row],[FECHA DE FACTURACIÓN]])&gt;PROVEEDORES[[#This Row],[PLAZO Días]],"PAGO VENCIDO")</f>
        <v>0</v>
      </c>
      <c r="C2067" s="20">
        <f>+VLOOKUP(PROVEEDORES[[#This Row],[PROVEEDOR]],TERCEROS_INFO[#All],2,FALSE)</f>
        <v>30</v>
      </c>
      <c r="D2067" s="25">
        <f>+SUMIFS(PROVEEDORES[Total],PROVEEDORES[PROVEEDOR],PROVEEDORES[[#This Row],[PROVEEDOR]],PROVEEDORES[FECHA DE PAGO],"")</f>
        <v>0</v>
      </c>
      <c r="E2067" s="25"/>
      <c r="F2067" s="56" t="str">
        <f>+VLOOKUP(PROVEEDORES[[#This Row],[PROVEEDOR]],
                       Terceros!$A:$F,
                       5,
                       FALSE)</f>
        <v/>
      </c>
      <c r="G2067" s="68">
        <v>45234</v>
      </c>
      <c r="H2067" s="26" t="s">
        <v>378</v>
      </c>
      <c r="I2067" s="68">
        <v>45234</v>
      </c>
      <c r="J2067" s="35" t="s">
        <v>2123</v>
      </c>
      <c r="K2067" s="21">
        <v>520000</v>
      </c>
      <c r="L2067" s="21"/>
      <c r="M2067" s="22">
        <f>(PROVEEDORES[[#This Row],[SUBTOTAL]]-PROVEEDORES[[#This Row],[descuento sobre subtotal]])*VLOOKUP(PROVEEDORES[[#This Row],[PROVEEDOR]],TERCEROS_INFO[#All],3,FALSE)</f>
        <v>0</v>
      </c>
      <c r="N2067" s="23"/>
      <c r="O2067" s="22">
        <f>+PROVEEDORES[[#This Row],[Descuento sobre subtotal %]]*(PROVEEDORES[[#This Row],[SUBTOTAL]]-PROVEEDORES[[#This Row],[descuento sobre subtotal]])</f>
        <v>0</v>
      </c>
      <c r="P2067" s="74">
        <f>+IF(PROVEEDORES[[#This Row],[SUBTOTAL]]&lt;PROVEEDORES[[#This Row],[base retencion]],0,PROVEEDORES[[#This Row],[retención aplicada]])</f>
        <v>0</v>
      </c>
      <c r="Q2067" s="22">
        <f>+PROVEEDORES[[#This Row],[Rete Fuente %]]*(PROVEEDORES[[#This Row],[SUBTOTAL]]-PROVEEDORES[[#This Row],[descuento sobre subtotal]])</f>
        <v>0</v>
      </c>
      <c r="R2067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2067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7" s="63">
        <f ca="1">IF(PROVEEDORES[[#This Row],[FECHA DE PAGO]]=0,TODAY()-PROVEEDORES[[#This Row],[FECHA DE FACTURACIÓN]]-PROVEEDORES[[#This Row],[PLAZO Días]],0)</f>
        <v>0</v>
      </c>
      <c r="U2067" s="104">
        <f>+VLOOKUP(PROVEEDORES[[#This Row],[PROVEEDOR]],Terceros!$A:$D,4,FALSE)</f>
        <v>0</v>
      </c>
      <c r="V2067" s="105">
        <f>+YEAR(PROVEEDORES[[#This Row],[FECHA DE FACTURACIÓN]])</f>
        <v>2023</v>
      </c>
      <c r="W2067" s="105">
        <f>+MATCH(PROVEEDORES[[#This Row],[año facturado]],Retenciones!$1:$1,0)</f>
        <v>6</v>
      </c>
      <c r="X2067" s="106">
        <f>+VLOOKUP(PROVEEDORES[[#This Row],[ID RETENCION]],Retenciones!$A$1:$O$25,PROVEEDORES[[#This Row],[indicador de columna]],FALSE)</f>
        <v>0</v>
      </c>
      <c r="Y2067" s="107">
        <f>+VLOOKUP(PROVEEDORES[[#This Row],[ID RETENCION]],Retenciones!$A$1:$O$25,2,FALSE)</f>
        <v>0</v>
      </c>
      <c r="Z2067" s="116" t="b">
        <f>OR(COUNTIF(PROVEEDORES[[#This Row],[PROVEEDOR]],"*"&amp;'Palabra no opera'!$A$2&amp;"*"))</f>
        <v>0</v>
      </c>
    </row>
    <row r="2068" spans="1:26" ht="22.35" customHeight="1" x14ac:dyDescent="0.3">
      <c r="A2068" s="377" t="str">
        <f>+IF(PROVEEDORES[[#This Row],[FECHA DE PAGO]]=PROVEEDORES[[#This Row],[FECHA DE FACTURACIÓN]],"DE CONTADO","CRÉDITO")</f>
        <v>CRÉDITO</v>
      </c>
      <c r="B2068" s="38" t="b">
        <f>+IF((PROVEEDORES[[#This Row],[FECHA DE PAGO]]-PROVEEDORES[[#This Row],[FECHA DE FACTURACIÓN]])&gt;PROVEEDORES[[#This Row],[PLAZO Días]],"PAGO VENCIDO")</f>
        <v>0</v>
      </c>
      <c r="C2068" s="20">
        <f>+VLOOKUP(PROVEEDORES[[#This Row],[PROVEEDOR]],TERCEROS_INFO[#All],2,FALSE)</f>
        <v>30</v>
      </c>
      <c r="D2068" s="25">
        <f>+SUMIFS(PROVEEDORES[Total],PROVEEDORES[PROVEEDOR],PROVEEDORES[[#This Row],[PROVEEDOR]],PROVEEDORES[FECHA DE PAGO],"")</f>
        <v>0</v>
      </c>
      <c r="E2068" s="25"/>
      <c r="F2068" s="56">
        <f>+VLOOKUP(PROVEEDORES[[#This Row],[PROVEEDOR]],
                       Terceros!$A:$F,
                       5,
                       FALSE)</f>
        <v>0</v>
      </c>
      <c r="G2068" s="68">
        <v>45234</v>
      </c>
      <c r="H2068" s="26" t="s">
        <v>642</v>
      </c>
      <c r="I2068" s="68">
        <v>45231</v>
      </c>
      <c r="J2068" s="35" t="s">
        <v>217</v>
      </c>
      <c r="K2068" s="21">
        <v>411454</v>
      </c>
      <c r="L2068" s="21"/>
      <c r="M2068" s="22">
        <f>(PROVEEDORES[[#This Row],[SUBTOTAL]]-PROVEEDORES[[#This Row],[descuento sobre subtotal]])*VLOOKUP(PROVEEDORES[[#This Row],[PROVEEDOR]],TERCEROS_INFO[#All],3,FALSE)</f>
        <v>0</v>
      </c>
      <c r="N2068" s="23"/>
      <c r="O2068" s="22">
        <f>+PROVEEDORES[[#This Row],[Descuento sobre subtotal %]]*(PROVEEDORES[[#This Row],[SUBTOTAL]]-PROVEEDORES[[#This Row],[descuento sobre subtotal]])</f>
        <v>0</v>
      </c>
      <c r="P2068" s="74">
        <f>+IF(PROVEEDORES[[#This Row],[SUBTOTAL]]&lt;PROVEEDORES[[#This Row],[base retencion]],0,PROVEEDORES[[#This Row],[retención aplicada]])</f>
        <v>0</v>
      </c>
      <c r="Q2068" s="22">
        <f>+PROVEEDORES[[#This Row],[Rete Fuente %]]*(PROVEEDORES[[#This Row],[SUBTOTAL]]-PROVEEDORES[[#This Row],[descuento sobre subtotal]])</f>
        <v>0</v>
      </c>
      <c r="R2068" s="21">
        <f>+PROVEEDORES[[#This Row],[SUBTOTAL]]+PROVEEDORES[[#This Row],[IVA 19%]]-PROVEEDORES[[#This Row],[descuento sobre subtotal]]-PROVEEDORES[[#This Row],[Descuento sobre subtotal $2]]-PROVEEDORES[[#This Row],[Rete Fuente $]]</f>
        <v>411454</v>
      </c>
      <c r="S2068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8" s="63">
        <f ca="1">IF(PROVEEDORES[[#This Row],[FECHA DE PAGO]]=0,TODAY()-PROVEEDORES[[#This Row],[FECHA DE FACTURACIÓN]]-PROVEEDORES[[#This Row],[PLAZO Días]],0)</f>
        <v>0</v>
      </c>
      <c r="U2068" s="104">
        <f>+VLOOKUP(PROVEEDORES[[#This Row],[PROVEEDOR]],Terceros!$A:$D,4,FALSE)</f>
        <v>0</v>
      </c>
      <c r="V2068" s="105">
        <f>+YEAR(PROVEEDORES[[#This Row],[FECHA DE FACTURACIÓN]])</f>
        <v>2023</v>
      </c>
      <c r="W2068" s="105">
        <f>+MATCH(PROVEEDORES[[#This Row],[año facturado]],Retenciones!$1:$1,0)</f>
        <v>6</v>
      </c>
      <c r="X2068" s="106">
        <f>+VLOOKUP(PROVEEDORES[[#This Row],[ID RETENCION]],Retenciones!$A$1:$O$25,PROVEEDORES[[#This Row],[indicador de columna]],FALSE)</f>
        <v>0</v>
      </c>
      <c r="Y2068" s="107">
        <f>+VLOOKUP(PROVEEDORES[[#This Row],[ID RETENCION]],Retenciones!$A$1:$O$25,2,FALSE)</f>
        <v>0</v>
      </c>
      <c r="Z2068" s="116" t="b">
        <f>OR(COUNTIF(PROVEEDORES[[#This Row],[PROVEEDOR]],"*"&amp;'Palabra no opera'!$A$2&amp;"*"))</f>
        <v>1</v>
      </c>
    </row>
    <row r="2069" spans="1:26" ht="22.35" customHeight="1" x14ac:dyDescent="0.3">
      <c r="A2069" s="367" t="str">
        <f>+IF(PROVEEDORES[[#This Row],[FECHA DE PAGO]]=PROVEEDORES[[#This Row],[FECHA DE FACTURACIÓN]],"DE CONTADO","CRÉDITO")</f>
        <v>CRÉDITO</v>
      </c>
      <c r="B2069" s="38" t="str">
        <f>+IF((PROVEEDORES[[#This Row],[FECHA DE PAGO]]-PROVEEDORES[[#This Row],[FECHA DE FACTURACIÓN]])&gt;PROVEEDORES[[#This Row],[PLAZO Días]],"PAGO VENCIDO")</f>
        <v>PAGO VENCIDO</v>
      </c>
      <c r="C2069" s="20">
        <f>+VLOOKUP(PROVEEDORES[[#This Row],[PROVEEDOR]],TERCEROS_INFO[#All],2,FALSE)</f>
        <v>30</v>
      </c>
      <c r="D2069" s="25">
        <f>+SUMIFS(PROVEEDORES[Total],PROVEEDORES[PROVEEDOR],PROVEEDORES[[#This Row],[PROVEEDOR]],PROVEEDORES[FECHA DE PAGO],"")</f>
        <v>2100000</v>
      </c>
      <c r="E2069" s="25"/>
      <c r="F2069" s="56" t="str">
        <f>+VLOOKUP(PROVEEDORES[[#This Row],[PROVEEDOR]],
                       Terceros!$A:$F,
                       5,
                       FALSE)</f>
        <v/>
      </c>
      <c r="G2069" s="68">
        <v>45237</v>
      </c>
      <c r="H2069" s="26" t="s">
        <v>349</v>
      </c>
      <c r="I2069" s="68">
        <v>45187</v>
      </c>
      <c r="J2069" s="35" t="s">
        <v>2005</v>
      </c>
      <c r="K2069" s="21">
        <v>1242500</v>
      </c>
      <c r="L2069" s="21"/>
      <c r="M2069" s="22">
        <f>(PROVEEDORES[[#This Row],[SUBTOTAL]]-PROVEEDORES[[#This Row],[descuento sobre subtotal]])*VLOOKUP(PROVEEDORES[[#This Row],[PROVEEDOR]],TERCEROS_INFO[#All],3,FALSE)</f>
        <v>0</v>
      </c>
      <c r="N2069" s="23"/>
      <c r="O2069" s="22">
        <f>+PROVEEDORES[[#This Row],[Descuento sobre subtotal %]]*(PROVEEDORES[[#This Row],[SUBTOTAL]]-PROVEEDORES[[#This Row],[descuento sobre subtotal]])</f>
        <v>0</v>
      </c>
      <c r="P2069" s="74">
        <f>+IF(PROVEEDORES[[#This Row],[SUBTOTAL]]&lt;PROVEEDORES[[#This Row],[base retencion]],0,PROVEEDORES[[#This Row],[retención aplicada]])</f>
        <v>0</v>
      </c>
      <c r="Q2069" s="22">
        <f>+PROVEEDORES[[#This Row],[Rete Fuente %]]*(PROVEEDORES[[#This Row],[SUBTOTAL]]-PROVEEDORES[[#This Row],[descuento sobre subtotal]])</f>
        <v>0</v>
      </c>
      <c r="R2069" s="21">
        <f>+PROVEEDORES[[#This Row],[SUBTOTAL]]+PROVEEDORES[[#This Row],[IVA 19%]]-PROVEEDORES[[#This Row],[descuento sobre subtotal]]-PROVEEDORES[[#This Row],[Descuento sobre subtotal $2]]-PROVEEDORES[[#This Row],[Rete Fuente $]]</f>
        <v>1242500</v>
      </c>
      <c r="S2069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9" s="63">
        <f ca="1">IF(PROVEEDORES[[#This Row],[FECHA DE PAGO]]=0,TODAY()-PROVEEDORES[[#This Row],[FECHA DE FACTURACIÓN]]-PROVEEDORES[[#This Row],[PLAZO Días]],0)</f>
        <v>0</v>
      </c>
      <c r="U2069" s="104">
        <f>+VLOOKUP(PROVEEDORES[[#This Row],[PROVEEDOR]],Terceros!$A:$D,4,FALSE)</f>
        <v>0</v>
      </c>
      <c r="V2069" s="105">
        <f>+YEAR(PROVEEDORES[[#This Row],[FECHA DE FACTURACIÓN]])</f>
        <v>2023</v>
      </c>
      <c r="W2069" s="105">
        <f>+MATCH(PROVEEDORES[[#This Row],[año facturado]],Retenciones!$1:$1,0)</f>
        <v>6</v>
      </c>
      <c r="X2069" s="106">
        <f>+VLOOKUP(PROVEEDORES[[#This Row],[ID RETENCION]],Retenciones!$A$1:$O$25,PROVEEDORES[[#This Row],[indicador de columna]],FALSE)</f>
        <v>0</v>
      </c>
      <c r="Y2069" s="107">
        <f>+VLOOKUP(PROVEEDORES[[#This Row],[ID RETENCION]],Retenciones!$A$1:$O$25,2,FALSE)</f>
        <v>0</v>
      </c>
      <c r="Z2069" s="116" t="b">
        <f>OR(COUNTIF(PROVEEDORES[[#This Row],[PROVEEDOR]],"*"&amp;'Palabra no opera'!$A$2&amp;"*"))</f>
        <v>0</v>
      </c>
    </row>
    <row r="2070" spans="1:26" ht="22.35" customHeight="1" x14ac:dyDescent="0.3">
      <c r="A2070" s="377" t="str">
        <f>+IF(PROVEEDORES[[#This Row],[FECHA DE PAGO]]=PROVEEDORES[[#This Row],[FECHA DE FACTURACIÓN]],"DE CONTADO","CRÉDITO")</f>
        <v>DE CONTADO</v>
      </c>
      <c r="B2070" s="38" t="b">
        <f>+IF((PROVEEDORES[[#This Row],[FECHA DE PAGO]]-PROVEEDORES[[#This Row],[FECHA DE FACTURACIÓN]])&gt;PROVEEDORES[[#This Row],[PLAZO Días]],"PAGO VENCIDO")</f>
        <v>0</v>
      </c>
      <c r="C2070" s="20">
        <f>+VLOOKUP(PROVEEDORES[[#This Row],[PROVEEDOR]],TERCEROS_INFO[#All],2,FALSE)</f>
        <v>30</v>
      </c>
      <c r="D2070" s="25">
        <f>+SUMIFS(PROVEEDORES[Total],PROVEEDORES[PROVEEDOR],PROVEEDORES[[#This Row],[PROVEEDOR]],PROVEEDORES[FECHA DE PAGO],"")</f>
        <v>0</v>
      </c>
      <c r="E2070" s="25"/>
      <c r="F2070" s="56" t="str">
        <f>+VLOOKUP(PROVEEDORES[[#This Row],[PROVEEDOR]],
                       Terceros!$A:$F,
                       5,
                       FALSE)</f>
        <v/>
      </c>
      <c r="G2070" s="68">
        <v>45237</v>
      </c>
      <c r="H2070" s="26" t="s">
        <v>390</v>
      </c>
      <c r="I2070" s="68">
        <v>45237</v>
      </c>
      <c r="J2070" s="35"/>
      <c r="K2070" s="21">
        <v>1000000</v>
      </c>
      <c r="L2070" s="21"/>
      <c r="M2070" s="22">
        <f>(PROVEEDORES[[#This Row],[SUBTOTAL]]-PROVEEDORES[[#This Row],[descuento sobre subtotal]])*VLOOKUP(PROVEEDORES[[#This Row],[PROVEEDOR]],TERCEROS_INFO[#All],3,FALSE)</f>
        <v>0</v>
      </c>
      <c r="N2070" s="23"/>
      <c r="O2070" s="22">
        <f>+PROVEEDORES[[#This Row],[Descuento sobre subtotal %]]*(PROVEEDORES[[#This Row],[SUBTOTAL]]-PROVEEDORES[[#This Row],[descuento sobre subtotal]])</f>
        <v>0</v>
      </c>
      <c r="P2070" s="74">
        <f>+IF(PROVEEDORES[[#This Row],[SUBTOTAL]]&lt;PROVEEDORES[[#This Row],[base retencion]],0,PROVEEDORES[[#This Row],[retención aplicada]])</f>
        <v>0</v>
      </c>
      <c r="Q2070" s="22">
        <f>+PROVEEDORES[[#This Row],[Rete Fuente %]]*(PROVEEDORES[[#This Row],[SUBTOTAL]]-PROVEEDORES[[#This Row],[descuento sobre subtotal]])</f>
        <v>0</v>
      </c>
      <c r="R207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070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0" s="63">
        <f ca="1">IF(PROVEEDORES[[#This Row],[FECHA DE PAGO]]=0,TODAY()-PROVEEDORES[[#This Row],[FECHA DE FACTURACIÓN]]-PROVEEDORES[[#This Row],[PLAZO Días]],0)</f>
        <v>0</v>
      </c>
      <c r="U2070" s="104">
        <f>+VLOOKUP(PROVEEDORES[[#This Row],[PROVEEDOR]],Terceros!$A:$D,4,FALSE)</f>
        <v>0</v>
      </c>
      <c r="V2070" s="105">
        <f>+YEAR(PROVEEDORES[[#This Row],[FECHA DE FACTURACIÓN]])</f>
        <v>2023</v>
      </c>
      <c r="W2070" s="105">
        <f>+MATCH(PROVEEDORES[[#This Row],[año facturado]],Retenciones!$1:$1,0)</f>
        <v>6</v>
      </c>
      <c r="X2070" s="106">
        <f>+VLOOKUP(PROVEEDORES[[#This Row],[ID RETENCION]],Retenciones!$A$1:$O$25,PROVEEDORES[[#This Row],[indicador de columna]],FALSE)</f>
        <v>0</v>
      </c>
      <c r="Y2070" s="107">
        <f>+VLOOKUP(PROVEEDORES[[#This Row],[ID RETENCION]],Retenciones!$A$1:$O$25,2,FALSE)</f>
        <v>0</v>
      </c>
      <c r="Z2070" s="116" t="b">
        <f>OR(COUNTIF(PROVEEDORES[[#This Row],[PROVEEDOR]],"*"&amp;'Palabra no opera'!$A$2&amp;"*"))</f>
        <v>0</v>
      </c>
    </row>
    <row r="2071" spans="1:26" ht="22.35" customHeight="1" x14ac:dyDescent="0.3">
      <c r="A2071" s="367" t="str">
        <f>+IF(PROVEEDORES[[#This Row],[FECHA DE PAGO]]=PROVEEDORES[[#This Row],[FECHA DE FACTURACIÓN]],"DE CONTADO","CRÉDITO")</f>
        <v>CRÉDITO</v>
      </c>
      <c r="B2071" s="38" t="str">
        <f>+IF((PROVEEDORES[[#This Row],[FECHA DE PAGO]]-PROVEEDORES[[#This Row],[FECHA DE FACTURACIÓN]])&gt;PROVEEDORES[[#This Row],[PLAZO Días]],"PAGO VENCIDO")</f>
        <v>PAGO VENCIDO</v>
      </c>
      <c r="C2071" s="20">
        <f>+VLOOKUP(PROVEEDORES[[#This Row],[PROVEEDOR]],TERCEROS_INFO[#All],2,FALSE)</f>
        <v>30</v>
      </c>
      <c r="D2071" s="25">
        <f>+SUMIFS(PROVEEDORES[Total],PROVEEDORES[PROVEEDOR],PROVEEDORES[[#This Row],[PROVEEDOR]],PROVEEDORES[FECHA DE PAGO],"")</f>
        <v>0</v>
      </c>
      <c r="E2071" s="25"/>
      <c r="F2071" s="56">
        <f>+VLOOKUP(PROVEEDORES[[#This Row],[PROVEEDOR]],
                       Terceros!$A:$F,
                       5,
                       FALSE)</f>
        <v>0</v>
      </c>
      <c r="G2071" s="68">
        <v>45237</v>
      </c>
      <c r="H2071" s="26" t="s">
        <v>1165</v>
      </c>
      <c r="I2071" s="68">
        <v>45184</v>
      </c>
      <c r="J2071" s="35" t="s">
        <v>2007</v>
      </c>
      <c r="K2071" s="21">
        <v>1958700</v>
      </c>
      <c r="L2071" s="21">
        <v>0</v>
      </c>
      <c r="M2071" s="22">
        <f>(PROVEEDORES[[#This Row],[SUBTOTAL]]-PROVEEDORES[[#This Row],[descuento sobre subtotal]])*VLOOKUP(PROVEEDORES[[#This Row],[PROVEEDOR]],TERCEROS_INFO[#All],3,FALSE)</f>
        <v>0</v>
      </c>
      <c r="N2071" s="23">
        <v>0.1</v>
      </c>
      <c r="O2071" s="22">
        <f>+PROVEEDORES[[#This Row],[Descuento sobre subtotal %]]*(PROVEEDORES[[#This Row],[SUBTOTAL]]-PROVEEDORES[[#This Row],[descuento sobre subtotal]])</f>
        <v>195870</v>
      </c>
      <c r="P2071" s="74">
        <f>+IF(PROVEEDORES[[#This Row],[SUBTOTAL]]&lt;PROVEEDORES[[#This Row],[base retencion]],0,PROVEEDORES[[#This Row],[retención aplicada]])</f>
        <v>0</v>
      </c>
      <c r="Q2071" s="22">
        <f>+PROVEEDORES[[#This Row],[Rete Fuente %]]*(PROVEEDORES[[#This Row],[SUBTOTAL]]-PROVEEDORES[[#This Row],[descuento sobre subtotal]])</f>
        <v>0</v>
      </c>
      <c r="R2071" s="21">
        <f>+PROVEEDORES[[#This Row],[SUBTOTAL]]+PROVEEDORES[[#This Row],[IVA 19%]]-PROVEEDORES[[#This Row],[descuento sobre subtotal]]-PROVEEDORES[[#This Row],[Descuento sobre subtotal $2]]-PROVEEDORES[[#This Row],[Rete Fuente $]]</f>
        <v>1762830</v>
      </c>
      <c r="S2071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1" s="63">
        <f ca="1">IF(PROVEEDORES[[#This Row],[FECHA DE PAGO]]=0,TODAY()-PROVEEDORES[[#This Row],[FECHA DE FACTURACIÓN]]-PROVEEDORES[[#This Row],[PLAZO Días]],0)</f>
        <v>0</v>
      </c>
      <c r="U2071" s="104">
        <f>+VLOOKUP(PROVEEDORES[[#This Row],[PROVEEDOR]],Terceros!$A:$D,4,FALSE)</f>
        <v>0</v>
      </c>
      <c r="V2071" s="105">
        <f>+YEAR(PROVEEDORES[[#This Row],[FECHA DE FACTURACIÓN]])</f>
        <v>2023</v>
      </c>
      <c r="W2071" s="105">
        <f>+MATCH(PROVEEDORES[[#This Row],[año facturado]],Retenciones!$1:$1,0)</f>
        <v>6</v>
      </c>
      <c r="X2071" s="106">
        <f>+VLOOKUP(PROVEEDORES[[#This Row],[ID RETENCION]],Retenciones!$A$1:$O$25,PROVEEDORES[[#This Row],[indicador de columna]],FALSE)</f>
        <v>0</v>
      </c>
      <c r="Y2071" s="107">
        <f>+VLOOKUP(PROVEEDORES[[#This Row],[ID RETENCION]],Retenciones!$A$1:$O$25,2,FALSE)</f>
        <v>0</v>
      </c>
      <c r="Z2071" s="116" t="b">
        <f>OR(COUNTIF(PROVEEDORES[[#This Row],[PROVEEDOR]],"*"&amp;'Palabra no opera'!$A$2&amp;"*"))</f>
        <v>0</v>
      </c>
    </row>
    <row r="2072" spans="1:26" ht="22.35" customHeight="1" x14ac:dyDescent="0.3">
      <c r="A2072" s="351" t="str">
        <f>+IF(PROVEEDORES[[#This Row],[FECHA DE PAGO]]=PROVEEDORES[[#This Row],[FECHA DE FACTURACIÓN]],"DE CONTADO","CRÉDITO")</f>
        <v>CRÉDITO</v>
      </c>
      <c r="B2072" s="38" t="str">
        <f>+IF((PROVEEDORES[[#This Row],[FECHA DE PAGO]]-PROVEEDORES[[#This Row],[FECHA DE FACTURACIÓN]])&gt;PROVEEDORES[[#This Row],[PLAZO Días]],"PAGO VENCIDO")</f>
        <v>PAGO VENCIDO</v>
      </c>
      <c r="C2072" s="20">
        <f>+VLOOKUP(PROVEEDORES[[#This Row],[PROVEEDOR]],TERCEROS_INFO[#All],2,FALSE)</f>
        <v>30</v>
      </c>
      <c r="D2072" s="25">
        <f>+SUMIFS(PROVEEDORES[Total],PROVEEDORES[PROVEEDOR],PROVEEDORES[[#This Row],[PROVEEDOR]],PROVEEDORES[FECHA DE PAGO],"")</f>
        <v>2950000</v>
      </c>
      <c r="E2072" s="25"/>
      <c r="F2072" s="56">
        <f>+VLOOKUP(PROVEEDORES[[#This Row],[PROVEEDOR]],
                       Terceros!$A:$F,
                       5,
                       FALSE)</f>
        <v>0</v>
      </c>
      <c r="G2072" s="68">
        <v>45237</v>
      </c>
      <c r="H2072" s="26" t="s">
        <v>1152</v>
      </c>
      <c r="I2072" s="68">
        <v>45170</v>
      </c>
      <c r="J2072" s="35">
        <v>4847</v>
      </c>
      <c r="K2072" s="21">
        <v>450000</v>
      </c>
      <c r="L2072" s="21"/>
      <c r="M2072" s="22">
        <f>(PROVEEDORES[[#This Row],[SUBTOTAL]]-PROVEEDORES[[#This Row],[descuento sobre subtotal]])*VLOOKUP(PROVEEDORES[[#This Row],[PROVEEDOR]],TERCEROS_INFO[#All],3,FALSE)</f>
        <v>0</v>
      </c>
      <c r="N2072" s="23"/>
      <c r="O2072" s="22">
        <f>+PROVEEDORES[[#This Row],[Descuento sobre subtotal %]]*(PROVEEDORES[[#This Row],[SUBTOTAL]]-PROVEEDORES[[#This Row],[descuento sobre subtotal]])</f>
        <v>0</v>
      </c>
      <c r="P2072" s="74">
        <f>+IF(PROVEEDORES[[#This Row],[SUBTOTAL]]&lt;PROVEEDORES[[#This Row],[base retencion]],0,PROVEEDORES[[#This Row],[retención aplicada]])</f>
        <v>0</v>
      </c>
      <c r="Q2072" s="22">
        <f>+PROVEEDORES[[#This Row],[Rete Fuente %]]*(PROVEEDORES[[#This Row],[SUBTOTAL]]-PROVEEDORES[[#This Row],[descuento sobre subtotal]])</f>
        <v>0</v>
      </c>
      <c r="R2072" s="21">
        <f>+PROVEEDORES[[#This Row],[SUBTOTAL]]+PROVEEDORES[[#This Row],[IVA 19%]]-PROVEEDORES[[#This Row],[descuento sobre subtotal]]-PROVEEDORES[[#This Row],[Descuento sobre subtotal $2]]-PROVEEDORES[[#This Row],[Rete Fuente $]]</f>
        <v>450000</v>
      </c>
      <c r="S2072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2" s="63">
        <f ca="1">IF(PROVEEDORES[[#This Row],[FECHA DE PAGO]]=0,TODAY()-PROVEEDORES[[#This Row],[FECHA DE FACTURACIÓN]]-PROVEEDORES[[#This Row],[PLAZO Días]],0)</f>
        <v>0</v>
      </c>
      <c r="U2072" s="104">
        <f>+VLOOKUP(PROVEEDORES[[#This Row],[PROVEEDOR]],Terceros!$A:$D,4,FALSE)</f>
        <v>0</v>
      </c>
      <c r="V2072" s="105">
        <f>+YEAR(PROVEEDORES[[#This Row],[FECHA DE FACTURACIÓN]])</f>
        <v>2023</v>
      </c>
      <c r="W2072" s="105">
        <f>+MATCH(PROVEEDORES[[#This Row],[año facturado]],Retenciones!$1:$1,0)</f>
        <v>6</v>
      </c>
      <c r="X2072" s="106">
        <f>+VLOOKUP(PROVEEDORES[[#This Row],[ID RETENCION]],Retenciones!$A$1:$O$25,PROVEEDORES[[#This Row],[indicador de columna]],FALSE)</f>
        <v>0</v>
      </c>
      <c r="Y2072" s="107">
        <f>+VLOOKUP(PROVEEDORES[[#This Row],[ID RETENCION]],Retenciones!$A$1:$O$25,2,FALSE)</f>
        <v>0</v>
      </c>
      <c r="Z2072" s="116" t="b">
        <f>OR(COUNTIF(PROVEEDORES[[#This Row],[PROVEEDOR]],"*"&amp;'Palabra no opera'!$A$2&amp;"*"))</f>
        <v>0</v>
      </c>
    </row>
    <row r="2073" spans="1:26" ht="22.35" customHeight="1" x14ac:dyDescent="0.3">
      <c r="A2073" s="367" t="str">
        <f>+IF(PROVEEDORES[[#This Row],[FECHA DE PAGO]]=PROVEEDORES[[#This Row],[FECHA DE FACTURACIÓN]],"DE CONTADO","CRÉDITO")</f>
        <v>CRÉDITO</v>
      </c>
      <c r="B2073" s="38" t="str">
        <f>+IF((PROVEEDORES[[#This Row],[FECHA DE PAGO]]-PROVEEDORES[[#This Row],[FECHA DE FACTURACIÓN]])&gt;PROVEEDORES[[#This Row],[PLAZO Días]],"PAGO VENCIDO")</f>
        <v>PAGO VENCIDO</v>
      </c>
      <c r="C2073" s="20">
        <f>+VLOOKUP(PROVEEDORES[[#This Row],[PROVEEDOR]],TERCEROS_INFO[#All],2,FALSE)</f>
        <v>30</v>
      </c>
      <c r="D2073" s="25">
        <f>+SUMIFS(PROVEEDORES[Total],PROVEEDORES[PROVEEDOR],PROVEEDORES[[#This Row],[PROVEEDOR]],PROVEEDORES[FECHA DE PAGO],"")</f>
        <v>2950000</v>
      </c>
      <c r="E2073" s="25"/>
      <c r="F2073" s="56">
        <f>+VLOOKUP(PROVEEDORES[[#This Row],[PROVEEDOR]],
                       Terceros!$A:$F,
                       5,
                       FALSE)</f>
        <v>0</v>
      </c>
      <c r="G2073" s="68">
        <v>45237</v>
      </c>
      <c r="H2073" s="26" t="s">
        <v>1152</v>
      </c>
      <c r="I2073" s="68">
        <v>45190</v>
      </c>
      <c r="J2073" s="35">
        <v>5470</v>
      </c>
      <c r="K2073" s="21">
        <v>375000</v>
      </c>
      <c r="L2073" s="21"/>
      <c r="M2073" s="22">
        <f>(PROVEEDORES[[#This Row],[SUBTOTAL]]-PROVEEDORES[[#This Row],[descuento sobre subtotal]])*VLOOKUP(PROVEEDORES[[#This Row],[PROVEEDOR]],TERCEROS_INFO[#All],3,FALSE)</f>
        <v>0</v>
      </c>
      <c r="N2073" s="23"/>
      <c r="O2073" s="22">
        <f>+PROVEEDORES[[#This Row],[Descuento sobre subtotal %]]*(PROVEEDORES[[#This Row],[SUBTOTAL]]-PROVEEDORES[[#This Row],[descuento sobre subtotal]])</f>
        <v>0</v>
      </c>
      <c r="P2073" s="74">
        <f>+IF(PROVEEDORES[[#This Row],[SUBTOTAL]]&lt;PROVEEDORES[[#This Row],[base retencion]],0,PROVEEDORES[[#This Row],[retención aplicada]])</f>
        <v>0</v>
      </c>
      <c r="Q2073" s="22">
        <f>+PROVEEDORES[[#This Row],[Rete Fuente %]]*(PROVEEDORES[[#This Row],[SUBTOTAL]]-PROVEEDORES[[#This Row],[descuento sobre subtotal]])</f>
        <v>0</v>
      </c>
      <c r="R2073" s="21">
        <f>+PROVEEDORES[[#This Row],[SUBTOTAL]]+PROVEEDORES[[#This Row],[IVA 19%]]-PROVEEDORES[[#This Row],[descuento sobre subtotal]]-PROVEEDORES[[#This Row],[Descuento sobre subtotal $2]]-PROVEEDORES[[#This Row],[Rete Fuente $]]</f>
        <v>375000</v>
      </c>
      <c r="S2073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3" s="63">
        <f ca="1">IF(PROVEEDORES[[#This Row],[FECHA DE PAGO]]=0,TODAY()-PROVEEDORES[[#This Row],[FECHA DE FACTURACIÓN]]-PROVEEDORES[[#This Row],[PLAZO Días]],0)</f>
        <v>0</v>
      </c>
      <c r="U2073" s="104">
        <f>+VLOOKUP(PROVEEDORES[[#This Row],[PROVEEDOR]],Terceros!$A:$D,4,FALSE)</f>
        <v>0</v>
      </c>
      <c r="V2073" s="105">
        <f>+YEAR(PROVEEDORES[[#This Row],[FECHA DE FACTURACIÓN]])</f>
        <v>2023</v>
      </c>
      <c r="W2073" s="105">
        <f>+MATCH(PROVEEDORES[[#This Row],[año facturado]],Retenciones!$1:$1,0)</f>
        <v>6</v>
      </c>
      <c r="X2073" s="106">
        <f>+VLOOKUP(PROVEEDORES[[#This Row],[ID RETENCION]],Retenciones!$A$1:$O$25,PROVEEDORES[[#This Row],[indicador de columna]],FALSE)</f>
        <v>0</v>
      </c>
      <c r="Y2073" s="107">
        <f>+VLOOKUP(PROVEEDORES[[#This Row],[ID RETENCION]],Retenciones!$A$1:$O$25,2,FALSE)</f>
        <v>0</v>
      </c>
      <c r="Z2073" s="116" t="b">
        <f>OR(COUNTIF(PROVEEDORES[[#This Row],[PROVEEDOR]],"*"&amp;'Palabra no opera'!$A$2&amp;"*"))</f>
        <v>0</v>
      </c>
    </row>
    <row r="2074" spans="1:26" ht="22.35" customHeight="1" x14ac:dyDescent="0.3">
      <c r="A2074" s="367" t="str">
        <f>+IF(PROVEEDORES[[#This Row],[FECHA DE PAGO]]=PROVEEDORES[[#This Row],[FECHA DE FACTURACIÓN]],"DE CONTADO","CRÉDITO")</f>
        <v>CRÉDITO</v>
      </c>
      <c r="B2074" s="38" t="str">
        <f>+IF((PROVEEDORES[[#This Row],[FECHA DE PAGO]]-PROVEEDORES[[#This Row],[FECHA DE FACTURACIÓN]])&gt;PROVEEDORES[[#This Row],[PLAZO Días]],"PAGO VENCIDO")</f>
        <v>PAGO VENCIDO</v>
      </c>
      <c r="C2074" s="20">
        <f>+VLOOKUP(PROVEEDORES[[#This Row],[PROVEEDOR]],TERCEROS_INFO[#All],2,FALSE)</f>
        <v>30</v>
      </c>
      <c r="D2074" s="25">
        <f>+SUMIFS(PROVEEDORES[Total],PROVEEDORES[PROVEEDOR],PROVEEDORES[[#This Row],[PROVEEDOR]],PROVEEDORES[FECHA DE PAGO],"")</f>
        <v>2950000</v>
      </c>
      <c r="E2074" s="25"/>
      <c r="F2074" s="56">
        <f>+VLOOKUP(PROVEEDORES[[#This Row],[PROVEEDOR]],
                       Terceros!$A:$F,
                       5,
                       FALSE)</f>
        <v>0</v>
      </c>
      <c r="G2074" s="68">
        <v>45237</v>
      </c>
      <c r="H2074" s="26" t="s">
        <v>1152</v>
      </c>
      <c r="I2074" s="68">
        <v>45198</v>
      </c>
      <c r="J2074" s="35">
        <v>5729</v>
      </c>
      <c r="K2074" s="21">
        <v>1740000</v>
      </c>
      <c r="L2074" s="21"/>
      <c r="M2074" s="22">
        <f>(PROVEEDORES[[#This Row],[SUBTOTAL]]-PROVEEDORES[[#This Row],[descuento sobre subtotal]])*VLOOKUP(PROVEEDORES[[#This Row],[PROVEEDOR]],TERCEROS_INFO[#All],3,FALSE)</f>
        <v>0</v>
      </c>
      <c r="N2074" s="23"/>
      <c r="O2074" s="22">
        <f>+PROVEEDORES[[#This Row],[Descuento sobre subtotal %]]*(PROVEEDORES[[#This Row],[SUBTOTAL]]-PROVEEDORES[[#This Row],[descuento sobre subtotal]])</f>
        <v>0</v>
      </c>
      <c r="P2074" s="74">
        <f>+IF(PROVEEDORES[[#This Row],[SUBTOTAL]]&lt;PROVEEDORES[[#This Row],[base retencion]],0,PROVEEDORES[[#This Row],[retención aplicada]])</f>
        <v>0</v>
      </c>
      <c r="Q2074" s="22">
        <f>+PROVEEDORES[[#This Row],[Rete Fuente %]]*(PROVEEDORES[[#This Row],[SUBTOTAL]]-PROVEEDORES[[#This Row],[descuento sobre subtotal]])</f>
        <v>0</v>
      </c>
      <c r="R2074" s="21">
        <f>+PROVEEDORES[[#This Row],[SUBTOTAL]]+PROVEEDORES[[#This Row],[IVA 19%]]-PROVEEDORES[[#This Row],[descuento sobre subtotal]]-PROVEEDORES[[#This Row],[Descuento sobre subtotal $2]]-PROVEEDORES[[#This Row],[Rete Fuente $]]</f>
        <v>1740000</v>
      </c>
      <c r="S2074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4" s="63">
        <f ca="1">IF(PROVEEDORES[[#This Row],[FECHA DE PAGO]]=0,TODAY()-PROVEEDORES[[#This Row],[FECHA DE FACTURACIÓN]]-PROVEEDORES[[#This Row],[PLAZO Días]],0)</f>
        <v>0</v>
      </c>
      <c r="U2074" s="104">
        <f>+VLOOKUP(PROVEEDORES[[#This Row],[PROVEEDOR]],Terceros!$A:$D,4,FALSE)</f>
        <v>0</v>
      </c>
      <c r="V2074" s="105">
        <f>+YEAR(PROVEEDORES[[#This Row],[FECHA DE FACTURACIÓN]])</f>
        <v>2023</v>
      </c>
      <c r="W2074" s="105">
        <f>+MATCH(PROVEEDORES[[#This Row],[año facturado]],Retenciones!$1:$1,0)</f>
        <v>6</v>
      </c>
      <c r="X2074" s="106">
        <f>+VLOOKUP(PROVEEDORES[[#This Row],[ID RETENCION]],Retenciones!$A$1:$O$25,PROVEEDORES[[#This Row],[indicador de columna]],FALSE)</f>
        <v>0</v>
      </c>
      <c r="Y2074" s="107">
        <f>+VLOOKUP(PROVEEDORES[[#This Row],[ID RETENCION]],Retenciones!$A$1:$O$25,2,FALSE)</f>
        <v>0</v>
      </c>
      <c r="Z2074" s="116" t="b">
        <f>OR(COUNTIF(PROVEEDORES[[#This Row],[PROVEEDOR]],"*"&amp;'Palabra no opera'!$A$2&amp;"*"))</f>
        <v>0</v>
      </c>
    </row>
    <row r="2075" spans="1:26" ht="22.35" customHeight="1" x14ac:dyDescent="0.3">
      <c r="A2075" s="67" t="str">
        <f>+IF(PROVEEDORES[[#This Row],[FECHA DE PAGO]]=PROVEEDORES[[#This Row],[FECHA DE FACTURACIÓN]],"DE CONTADO","CRÉDITO")</f>
        <v>DE CONTADO</v>
      </c>
      <c r="B2075" s="38" t="b">
        <f>+IF((PROVEEDORES[[#This Row],[FECHA DE PAGO]]-PROVEEDORES[[#This Row],[FECHA DE FACTURACIÓN]])&gt;PROVEEDORES[[#This Row],[PLAZO Días]],"PAGO VENCIDO")</f>
        <v>0</v>
      </c>
      <c r="C2075" s="20">
        <f>+VLOOKUP(PROVEEDORES[[#This Row],[PROVEEDOR]],TERCEROS_INFO[#All],2,FALSE)</f>
        <v>30</v>
      </c>
      <c r="D2075" s="25">
        <f>+SUMIFS(PROVEEDORES[Total],PROVEEDORES[PROVEEDOR],PROVEEDORES[[#This Row],[PROVEEDOR]],PROVEEDORES[FECHA DE PAGO],"")</f>
        <v>2950000</v>
      </c>
      <c r="E2075" s="25"/>
      <c r="F2075" s="56">
        <f>+VLOOKUP(PROVEEDORES[[#This Row],[PROVEEDOR]],
                       Terceros!$A:$F,
                       5,
                       FALSE)</f>
        <v>0</v>
      </c>
      <c r="G2075" s="68">
        <v>45237</v>
      </c>
      <c r="H2075" s="26" t="s">
        <v>1152</v>
      </c>
      <c r="I2075" s="68">
        <v>45237</v>
      </c>
      <c r="J2075" s="35" t="s">
        <v>2154</v>
      </c>
      <c r="K2075" s="21">
        <v>400000</v>
      </c>
      <c r="L2075" s="21"/>
      <c r="M2075" s="22">
        <f>(PROVEEDORES[[#This Row],[SUBTOTAL]]-PROVEEDORES[[#This Row],[descuento sobre subtotal]])*VLOOKUP(PROVEEDORES[[#This Row],[PROVEEDOR]],TERCEROS_INFO[#All],3,FALSE)</f>
        <v>0</v>
      </c>
      <c r="N2075" s="23"/>
      <c r="O2075" s="22">
        <f>+PROVEEDORES[[#This Row],[Descuento sobre subtotal %]]*(PROVEEDORES[[#This Row],[SUBTOTAL]]-PROVEEDORES[[#This Row],[descuento sobre subtotal]])</f>
        <v>0</v>
      </c>
      <c r="P2075" s="74">
        <f>+IF(PROVEEDORES[[#This Row],[SUBTOTAL]]&lt;PROVEEDORES[[#This Row],[base retencion]],0,PROVEEDORES[[#This Row],[retención aplicada]])</f>
        <v>0</v>
      </c>
      <c r="Q2075" s="22">
        <f>+PROVEEDORES[[#This Row],[Rete Fuente %]]*(PROVEEDORES[[#This Row],[SUBTOTAL]]-PROVEEDORES[[#This Row],[descuento sobre subtotal]])</f>
        <v>0</v>
      </c>
      <c r="R2075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0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5" s="63">
        <f ca="1">IF(PROVEEDORES[[#This Row],[FECHA DE PAGO]]=0,TODAY()-PROVEEDORES[[#This Row],[FECHA DE FACTURACIÓN]]-PROVEEDORES[[#This Row],[PLAZO Días]],0)</f>
        <v>0</v>
      </c>
      <c r="U2075" s="104">
        <f>+VLOOKUP(PROVEEDORES[[#This Row],[PROVEEDOR]],Terceros!$A:$D,4,FALSE)</f>
        <v>0</v>
      </c>
      <c r="V2075" s="105">
        <f>+YEAR(PROVEEDORES[[#This Row],[FECHA DE FACTURACIÓN]])</f>
        <v>2023</v>
      </c>
      <c r="W2075" s="105">
        <f>+MATCH(PROVEEDORES[[#This Row],[año facturado]],Retenciones!$1:$1,0)</f>
        <v>6</v>
      </c>
      <c r="X2075" s="106">
        <f>+VLOOKUP(PROVEEDORES[[#This Row],[ID RETENCION]],Retenciones!$A$1:$O$25,PROVEEDORES[[#This Row],[indicador de columna]],FALSE)</f>
        <v>0</v>
      </c>
      <c r="Y2075" s="107">
        <f>+VLOOKUP(PROVEEDORES[[#This Row],[ID RETENCION]],Retenciones!$A$1:$O$25,2,FALSE)</f>
        <v>0</v>
      </c>
      <c r="Z2075" s="116" t="b">
        <f>OR(COUNTIF(PROVEEDORES[[#This Row],[PROVEEDOR]],"*"&amp;'Palabra no opera'!$A$2&amp;"*"))</f>
        <v>0</v>
      </c>
    </row>
    <row r="2076" spans="1:26" ht="22.35" customHeight="1" x14ac:dyDescent="0.3">
      <c r="A2076" s="67" t="str">
        <f>+IF(PROVEEDORES[[#This Row],[FECHA DE PAGO]]=PROVEEDORES[[#This Row],[FECHA DE FACTURACIÓN]],"DE CONTADO","CRÉDITO")</f>
        <v>CRÉDITO</v>
      </c>
      <c r="B2076" s="38" t="str">
        <f>+IF((PROVEEDORES[[#This Row],[FECHA DE PAGO]]-PROVEEDORES[[#This Row],[FECHA DE FACTURACIÓN]])&gt;PROVEEDORES[[#This Row],[PLAZO Días]],"PAGO VENCIDO")</f>
        <v>PAGO VENCIDO</v>
      </c>
      <c r="C2076" s="20">
        <f>+VLOOKUP(PROVEEDORES[[#This Row],[PROVEEDOR]],TERCEROS_INFO[#All],2,FALSE)</f>
        <v>30</v>
      </c>
      <c r="D2076" s="25">
        <f>+SUMIFS(PROVEEDORES[Total],PROVEEDORES[PROVEEDOR],PROVEEDORES[[#This Row],[PROVEEDOR]],PROVEEDORES[FECHA DE PAGO],"")</f>
        <v>0</v>
      </c>
      <c r="E2076" s="25"/>
      <c r="F2076" s="56" t="str">
        <f>+VLOOKUP(PROVEEDORES[[#This Row],[PROVEEDOR]],
                       Terceros!$A:$F,
                       5,
                       FALSE)</f>
        <v>oag15@hotmail.com;girlesa.ruiz@servipilas.com;joriescobar64@gmail.com</v>
      </c>
      <c r="G2076" s="68">
        <v>45237</v>
      </c>
      <c r="H2076" s="26" t="s">
        <v>2071</v>
      </c>
      <c r="I2076" s="68">
        <v>45205</v>
      </c>
      <c r="J2076" s="35" t="s">
        <v>2073</v>
      </c>
      <c r="K2076" s="21">
        <v>757984</v>
      </c>
      <c r="L2076" s="21"/>
      <c r="M2076" s="22">
        <f>(PROVEEDORES[[#This Row],[SUBTOTAL]]-PROVEEDORES[[#This Row],[descuento sobre subtotal]])*VLOOKUP(PROVEEDORES[[#This Row],[PROVEEDOR]],TERCEROS_INFO[#All],3,FALSE)</f>
        <v>144016.95999999999</v>
      </c>
      <c r="N2076" s="23"/>
      <c r="O2076" s="22">
        <f>+PROVEEDORES[[#This Row],[Descuento sobre subtotal %]]*(PROVEEDORES[[#This Row],[SUBTOTAL]]-PROVEEDORES[[#This Row],[descuento sobre subtotal]])</f>
        <v>0</v>
      </c>
      <c r="P2076" s="74">
        <f>+IF(PROVEEDORES[[#This Row],[SUBTOTAL]]&lt;PROVEEDORES[[#This Row],[base retencion]],0,PROVEEDORES[[#This Row],[retención aplicada]])</f>
        <v>0</v>
      </c>
      <c r="Q2076" s="22">
        <f>+PROVEEDORES[[#This Row],[Rete Fuente %]]*(PROVEEDORES[[#This Row],[SUBTOTAL]]-PROVEEDORES[[#This Row],[descuento sobre subtotal]])</f>
        <v>0</v>
      </c>
      <c r="R2076" s="21">
        <f>+PROVEEDORES[[#This Row],[SUBTOTAL]]+PROVEEDORES[[#This Row],[IVA 19%]]-PROVEEDORES[[#This Row],[descuento sobre subtotal]]-PROVEEDORES[[#This Row],[Descuento sobre subtotal $2]]-PROVEEDORES[[#This Row],[Rete Fuente $]]</f>
        <v>902000.96</v>
      </c>
      <c r="S20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6" s="63">
        <f ca="1">IF(PROVEEDORES[[#This Row],[FECHA DE PAGO]]=0,TODAY()-PROVEEDORES[[#This Row],[FECHA DE FACTURACIÓN]]-PROVEEDORES[[#This Row],[PLAZO Días]],0)</f>
        <v>0</v>
      </c>
      <c r="U2076" s="104" t="str">
        <f>+VLOOKUP(PROVEEDORES[[#This Row],[PROVEEDOR]],Terceros!$A:$D,4,FALSE)</f>
        <v>2,5% con base</v>
      </c>
      <c r="V2076" s="105">
        <f>+YEAR(PROVEEDORES[[#This Row],[FECHA DE FACTURACIÓN]])</f>
        <v>2023</v>
      </c>
      <c r="W2076" s="105">
        <f>+MATCH(PROVEEDORES[[#This Row],[año facturado]],Retenciones!$1:$1,0)</f>
        <v>6</v>
      </c>
      <c r="X2076" s="106">
        <f>+VLOOKUP(PROVEEDORES[[#This Row],[ID RETENCION]],Retenciones!$A$1:$O$25,PROVEEDORES[[#This Row],[indicador de columna]],FALSE)</f>
        <v>1145000</v>
      </c>
      <c r="Y2076" s="107">
        <f>+VLOOKUP(PROVEEDORES[[#This Row],[ID RETENCION]],Retenciones!$A$1:$O$25,2,FALSE)</f>
        <v>2.5000000000000001E-2</v>
      </c>
      <c r="Z2076" s="116" t="b">
        <f>OR(COUNTIF(PROVEEDORES[[#This Row],[PROVEEDOR]],"*"&amp;'Palabra no opera'!$A$2&amp;"*"))</f>
        <v>0</v>
      </c>
    </row>
    <row r="2077" spans="1:26" ht="22.35" customHeight="1" x14ac:dyDescent="0.3">
      <c r="A2077" s="67" t="str">
        <f>+IF(PROVEEDORES[[#This Row],[FECHA DE PAGO]]=PROVEEDORES[[#This Row],[FECHA DE FACTURACIÓN]],"DE CONTADO","CRÉDITO")</f>
        <v>CRÉDITO</v>
      </c>
      <c r="B2077" s="38" t="str">
        <f>+IF((PROVEEDORES[[#This Row],[FECHA DE PAGO]]-PROVEEDORES[[#This Row],[FECHA DE FACTURACIÓN]])&gt;PROVEEDORES[[#This Row],[PLAZO Días]],"PAGO VENCIDO")</f>
        <v>PAGO VENCIDO</v>
      </c>
      <c r="C2077" s="20">
        <f>+VLOOKUP(PROVEEDORES[[#This Row],[PROVEEDOR]],TERCEROS_INFO[#All],2,FALSE)</f>
        <v>45</v>
      </c>
      <c r="D2077" s="25">
        <f>+SUMIFS(PROVEEDORES[Total],PROVEEDORES[PROVEEDOR],PROVEEDORES[[#This Row],[PROVEEDOR]],PROVEEDORES[FECHA DE PAGO],"")</f>
        <v>15770594</v>
      </c>
      <c r="E2077" s="25"/>
      <c r="F207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77" s="68">
        <v>45237</v>
      </c>
      <c r="H2077" s="26" t="s">
        <v>19</v>
      </c>
      <c r="I2077" s="68">
        <v>45177</v>
      </c>
      <c r="J2077" s="35" t="s">
        <v>1961</v>
      </c>
      <c r="K2077" s="21">
        <v>723695</v>
      </c>
      <c r="L2077" s="21"/>
      <c r="M2077" s="22">
        <f>(PROVEEDORES[[#This Row],[SUBTOTAL]]-PROVEEDORES[[#This Row],[descuento sobre subtotal]])*VLOOKUP(PROVEEDORES[[#This Row],[PROVEEDOR]],TERCEROS_INFO[#All],3,FALSE)</f>
        <v>137502.04999999999</v>
      </c>
      <c r="N2077" s="23"/>
      <c r="O2077" s="22">
        <f>+PROVEEDORES[[#This Row],[Descuento sobre subtotal %]]*(PROVEEDORES[[#This Row],[SUBTOTAL]]-PROVEEDORES[[#This Row],[descuento sobre subtotal]])</f>
        <v>0</v>
      </c>
      <c r="P2077" s="74">
        <f>+IF(PROVEEDORES[[#This Row],[SUBTOTAL]]&lt;PROVEEDORES[[#This Row],[base retencion]],0,PROVEEDORES[[#This Row],[retención aplicada]])</f>
        <v>0</v>
      </c>
      <c r="Q2077" s="22">
        <f>+PROVEEDORES[[#This Row],[Rete Fuente %]]*(PROVEEDORES[[#This Row],[SUBTOTAL]]-PROVEEDORES[[#This Row],[descuento sobre subtotal]])</f>
        <v>0</v>
      </c>
      <c r="R2077" s="21">
        <f>+PROVEEDORES[[#This Row],[SUBTOTAL]]+PROVEEDORES[[#This Row],[IVA 19%]]-PROVEEDORES[[#This Row],[descuento sobre subtotal]]-PROVEEDORES[[#This Row],[Descuento sobre subtotal $2]]-PROVEEDORES[[#This Row],[Rete Fuente $]]</f>
        <v>861197.05</v>
      </c>
      <c r="S20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7" s="63">
        <f ca="1">IF(PROVEEDORES[[#This Row],[FECHA DE PAGO]]=0,TODAY()-PROVEEDORES[[#This Row],[FECHA DE FACTURACIÓN]]-PROVEEDORES[[#This Row],[PLAZO Días]],0)</f>
        <v>0</v>
      </c>
      <c r="U2077" s="104">
        <f>+VLOOKUP(PROVEEDORES[[#This Row],[PROVEEDOR]],Terceros!$A:$D,4,FALSE)</f>
        <v>0</v>
      </c>
      <c r="V2077" s="105">
        <f>+YEAR(PROVEEDORES[[#This Row],[FECHA DE FACTURACIÓN]])</f>
        <v>2023</v>
      </c>
      <c r="W2077" s="105">
        <f>+MATCH(PROVEEDORES[[#This Row],[año facturado]],Retenciones!$1:$1,0)</f>
        <v>6</v>
      </c>
      <c r="X2077" s="106">
        <f>+VLOOKUP(PROVEEDORES[[#This Row],[ID RETENCION]],Retenciones!$A$1:$O$25,PROVEEDORES[[#This Row],[indicador de columna]],FALSE)</f>
        <v>0</v>
      </c>
      <c r="Y2077" s="107">
        <f>+VLOOKUP(PROVEEDORES[[#This Row],[ID RETENCION]],Retenciones!$A$1:$O$25,2,FALSE)</f>
        <v>0</v>
      </c>
      <c r="Z2077" s="116" t="b">
        <f>OR(COUNTIF(PROVEEDORES[[#This Row],[PROVEEDOR]],"*"&amp;'Palabra no opera'!$A$2&amp;"*"))</f>
        <v>0</v>
      </c>
    </row>
    <row r="2078" spans="1:26" ht="22.35" customHeight="1" x14ac:dyDescent="0.3">
      <c r="A2078" s="67" t="str">
        <f>+IF(PROVEEDORES[[#This Row],[FECHA DE PAGO]]=PROVEEDORES[[#This Row],[FECHA DE FACTURACIÓN]],"DE CONTADO","CRÉDITO")</f>
        <v>CRÉDITO</v>
      </c>
      <c r="B2078" s="38" t="b">
        <f>+IF((PROVEEDORES[[#This Row],[FECHA DE PAGO]]-PROVEEDORES[[#This Row],[FECHA DE FACTURACIÓN]])&gt;PROVEEDORES[[#This Row],[PLAZO Días]],"PAGO VENCIDO")</f>
        <v>0</v>
      </c>
      <c r="C2078" s="20">
        <f>+VLOOKUP(PROVEEDORES[[#This Row],[PROVEEDOR]],TERCEROS_INFO[#All],2,FALSE)</f>
        <v>45</v>
      </c>
      <c r="D2078" s="25">
        <f>+SUMIFS(PROVEEDORES[Total],PROVEEDORES[PROVEEDOR],PROVEEDORES[[#This Row],[PROVEEDOR]],PROVEEDORES[FECHA DE PAGO],"")</f>
        <v>15770594</v>
      </c>
      <c r="E2078" s="25"/>
      <c r="F207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78" s="68">
        <v>45237</v>
      </c>
      <c r="H2078" s="26" t="s">
        <v>19</v>
      </c>
      <c r="I2078" s="68">
        <v>45197</v>
      </c>
      <c r="J2078" s="35" t="s">
        <v>1979</v>
      </c>
      <c r="K2078" s="21">
        <v>6110400</v>
      </c>
      <c r="L2078" s="21"/>
      <c r="M2078" s="22">
        <f>(PROVEEDORES[[#This Row],[SUBTOTAL]]-PROVEEDORES[[#This Row],[descuento sobre subtotal]])*VLOOKUP(PROVEEDORES[[#This Row],[PROVEEDOR]],TERCEROS_INFO[#All],3,FALSE)</f>
        <v>1160976</v>
      </c>
      <c r="N2078" s="23"/>
      <c r="O2078" s="22">
        <f>+PROVEEDORES[[#This Row],[Descuento sobre subtotal %]]*(PROVEEDORES[[#This Row],[SUBTOTAL]]-PROVEEDORES[[#This Row],[descuento sobre subtotal]])</f>
        <v>0</v>
      </c>
      <c r="P2078" s="74">
        <f>+IF(PROVEEDORES[[#This Row],[SUBTOTAL]]&lt;PROVEEDORES[[#This Row],[base retencion]],0,PROVEEDORES[[#This Row],[retención aplicada]])</f>
        <v>0</v>
      </c>
      <c r="Q2078" s="22">
        <f>+PROVEEDORES[[#This Row],[Rete Fuente %]]*(PROVEEDORES[[#This Row],[SUBTOTAL]]-PROVEEDORES[[#This Row],[descuento sobre subtotal]])</f>
        <v>0</v>
      </c>
      <c r="R2078" s="21">
        <f>+PROVEEDORES[[#This Row],[SUBTOTAL]]+PROVEEDORES[[#This Row],[IVA 19%]]-PROVEEDORES[[#This Row],[descuento sobre subtotal]]-PROVEEDORES[[#This Row],[Descuento sobre subtotal $2]]-PROVEEDORES[[#This Row],[Rete Fuente $]]</f>
        <v>7271376</v>
      </c>
      <c r="S20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8" s="63">
        <f ca="1">IF(PROVEEDORES[[#This Row],[FECHA DE PAGO]]=0,TODAY()-PROVEEDORES[[#This Row],[FECHA DE FACTURACIÓN]]-PROVEEDORES[[#This Row],[PLAZO Días]],0)</f>
        <v>0</v>
      </c>
      <c r="U2078" s="104">
        <f>+VLOOKUP(PROVEEDORES[[#This Row],[PROVEEDOR]],Terceros!$A:$D,4,FALSE)</f>
        <v>0</v>
      </c>
      <c r="V2078" s="105">
        <f>+YEAR(PROVEEDORES[[#This Row],[FECHA DE FACTURACIÓN]])</f>
        <v>2023</v>
      </c>
      <c r="W2078" s="105">
        <f>+MATCH(PROVEEDORES[[#This Row],[año facturado]],Retenciones!$1:$1,0)</f>
        <v>6</v>
      </c>
      <c r="X2078" s="106">
        <f>+VLOOKUP(PROVEEDORES[[#This Row],[ID RETENCION]],Retenciones!$A$1:$O$25,PROVEEDORES[[#This Row],[indicador de columna]],FALSE)</f>
        <v>0</v>
      </c>
      <c r="Y2078" s="107">
        <f>+VLOOKUP(PROVEEDORES[[#This Row],[ID RETENCION]],Retenciones!$A$1:$O$25,2,FALSE)</f>
        <v>0</v>
      </c>
      <c r="Z2078" s="116" t="b">
        <f>OR(COUNTIF(PROVEEDORES[[#This Row],[PROVEEDOR]],"*"&amp;'Palabra no opera'!$A$2&amp;"*"))</f>
        <v>0</v>
      </c>
    </row>
    <row r="2079" spans="1:26" ht="22.35" customHeight="1" x14ac:dyDescent="0.3">
      <c r="A2079" s="67" t="str">
        <f>+IF(PROVEEDORES[[#This Row],[FECHA DE PAGO]]=PROVEEDORES[[#This Row],[FECHA DE FACTURACIÓN]],"DE CONTADO","CRÉDITO")</f>
        <v>CRÉDITO</v>
      </c>
      <c r="B2079" s="38" t="str">
        <f>+IF((PROVEEDORES[[#This Row],[FECHA DE PAGO]]-PROVEEDORES[[#This Row],[FECHA DE FACTURACIÓN]])&gt;PROVEEDORES[[#This Row],[PLAZO Días]],"PAGO VENCIDO")</f>
        <v>PAGO VENCIDO</v>
      </c>
      <c r="C2079" s="20">
        <f>+VLOOKUP(PROVEEDORES[[#This Row],[PROVEEDOR]],TERCEROS_INFO[#All],2,FALSE)</f>
        <v>30</v>
      </c>
      <c r="D2079" s="25">
        <f>+SUMIFS(PROVEEDORES[Total],PROVEEDORES[PROVEEDOR],PROVEEDORES[[#This Row],[PROVEEDOR]],PROVEEDORES[FECHA DE PAGO],"")</f>
        <v>18444236.894999996</v>
      </c>
      <c r="E2079" s="25"/>
      <c r="F2079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079" s="68">
        <v>45237</v>
      </c>
      <c r="H2079" s="26" t="s">
        <v>11</v>
      </c>
      <c r="I2079" s="68">
        <v>45188</v>
      </c>
      <c r="J2079" s="35" t="s">
        <v>1970</v>
      </c>
      <c r="K2079" s="21">
        <v>2631937</v>
      </c>
      <c r="L2079" s="21"/>
      <c r="M2079" s="22">
        <f>(PROVEEDORES[[#This Row],[SUBTOTAL]]-PROVEEDORES[[#This Row],[descuento sobre subtotal]])*VLOOKUP(PROVEEDORES[[#This Row],[PROVEEDOR]],TERCEROS_INFO[#All],3,FALSE)</f>
        <v>500068.03</v>
      </c>
      <c r="N2079" s="23"/>
      <c r="O2079" s="22">
        <f>+PROVEEDORES[[#This Row],[Descuento sobre subtotal %]]*(PROVEEDORES[[#This Row],[SUBTOTAL]]-PROVEEDORES[[#This Row],[descuento sobre subtotal]])</f>
        <v>0</v>
      </c>
      <c r="P2079" s="74">
        <f>+IF(PROVEEDORES[[#This Row],[SUBTOTAL]]&lt;PROVEEDORES[[#This Row],[base retencion]],0,PROVEEDORES[[#This Row],[retención aplicada]])</f>
        <v>2.5000000000000001E-2</v>
      </c>
      <c r="Q2079" s="22">
        <f>+PROVEEDORES[[#This Row],[Rete Fuente %]]*(PROVEEDORES[[#This Row],[SUBTOTAL]]-PROVEEDORES[[#This Row],[descuento sobre subtotal]])</f>
        <v>65798.425000000003</v>
      </c>
      <c r="R2079" s="21">
        <f>+PROVEEDORES[[#This Row],[SUBTOTAL]]+PROVEEDORES[[#This Row],[IVA 19%]]-PROVEEDORES[[#This Row],[descuento sobre subtotal]]-PROVEEDORES[[#This Row],[Descuento sobre subtotal $2]]-PROVEEDORES[[#This Row],[Rete Fuente $]]</f>
        <v>3066206.6050000004</v>
      </c>
      <c r="S20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9" s="63">
        <f ca="1">IF(PROVEEDORES[[#This Row],[FECHA DE PAGO]]=0,TODAY()-PROVEEDORES[[#This Row],[FECHA DE FACTURACIÓN]]-PROVEEDORES[[#This Row],[PLAZO Días]],0)</f>
        <v>0</v>
      </c>
      <c r="U2079" s="104" t="str">
        <f>+VLOOKUP(PROVEEDORES[[#This Row],[PROVEEDOR]],Terceros!$A:$D,4,FALSE)</f>
        <v>2,5% con base</v>
      </c>
      <c r="V2079" s="105">
        <f>+YEAR(PROVEEDORES[[#This Row],[FECHA DE FACTURACIÓN]])</f>
        <v>2023</v>
      </c>
      <c r="W2079" s="105">
        <f>+MATCH(PROVEEDORES[[#This Row],[año facturado]],Retenciones!$1:$1,0)</f>
        <v>6</v>
      </c>
      <c r="X2079" s="106">
        <f>+VLOOKUP(PROVEEDORES[[#This Row],[ID RETENCION]],Retenciones!$A$1:$O$25,PROVEEDORES[[#This Row],[indicador de columna]],FALSE)</f>
        <v>1145000</v>
      </c>
      <c r="Y2079" s="107">
        <f>+VLOOKUP(PROVEEDORES[[#This Row],[ID RETENCION]],Retenciones!$A$1:$O$25,2,FALSE)</f>
        <v>2.5000000000000001E-2</v>
      </c>
      <c r="Z2079" s="116" t="b">
        <f>OR(COUNTIF(PROVEEDORES[[#This Row],[PROVEEDOR]],"*"&amp;'Palabra no opera'!$A$2&amp;"*"))</f>
        <v>0</v>
      </c>
    </row>
    <row r="2080" spans="1:26" ht="22.35" customHeight="1" x14ac:dyDescent="0.3">
      <c r="A2080" s="367" t="str">
        <f>+IF(PROVEEDORES[[#This Row],[FECHA DE PAGO]]=PROVEEDORES[[#This Row],[FECHA DE FACTURACIÓN]],"DE CONTADO","CRÉDITO")</f>
        <v>CRÉDITO</v>
      </c>
      <c r="B2080" s="38" t="str">
        <f>+IF((PROVEEDORES[[#This Row],[FECHA DE PAGO]]-PROVEEDORES[[#This Row],[FECHA DE FACTURACIÓN]])&gt;PROVEEDORES[[#This Row],[PLAZO Días]],"PAGO VENCIDO")</f>
        <v>PAGO VENCIDO</v>
      </c>
      <c r="C2080" s="20">
        <f>+VLOOKUP(PROVEEDORES[[#This Row],[PROVEEDOR]],TERCEROS_INFO[#All],2,FALSE)</f>
        <v>30</v>
      </c>
      <c r="D2080" s="25">
        <f>+SUMIFS(PROVEEDORES[Total],PROVEEDORES[PROVEEDOR],PROVEEDORES[[#This Row],[PROVEEDOR]],PROVEEDORES[FECHA DE PAGO],"")</f>
        <v>18444236.894999996</v>
      </c>
      <c r="E2080" s="25"/>
      <c r="F2080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080" s="68">
        <v>45237</v>
      </c>
      <c r="H2080" s="26" t="s">
        <v>11</v>
      </c>
      <c r="I2080" s="68">
        <v>45197</v>
      </c>
      <c r="J2080" s="35" t="s">
        <v>1993</v>
      </c>
      <c r="K2080" s="21">
        <v>2329416</v>
      </c>
      <c r="L2080" s="21"/>
      <c r="M2080" s="22">
        <f>(PROVEEDORES[[#This Row],[SUBTOTAL]]-PROVEEDORES[[#This Row],[descuento sobre subtotal]])*VLOOKUP(PROVEEDORES[[#This Row],[PROVEEDOR]],TERCEROS_INFO[#All],3,FALSE)</f>
        <v>442589.04</v>
      </c>
      <c r="N2080" s="23"/>
      <c r="O2080" s="22">
        <f>+PROVEEDORES[[#This Row],[Descuento sobre subtotal %]]*(PROVEEDORES[[#This Row],[SUBTOTAL]]-PROVEEDORES[[#This Row],[descuento sobre subtotal]])</f>
        <v>0</v>
      </c>
      <c r="P2080" s="74">
        <f>+IF(PROVEEDORES[[#This Row],[SUBTOTAL]]&lt;PROVEEDORES[[#This Row],[base retencion]],0,PROVEEDORES[[#This Row],[retención aplicada]])</f>
        <v>2.5000000000000001E-2</v>
      </c>
      <c r="Q2080" s="22">
        <f>+PROVEEDORES[[#This Row],[Rete Fuente %]]*(PROVEEDORES[[#This Row],[SUBTOTAL]]-PROVEEDORES[[#This Row],[descuento sobre subtotal]])</f>
        <v>58235.4</v>
      </c>
      <c r="R2080" s="21">
        <f>+PROVEEDORES[[#This Row],[SUBTOTAL]]+PROVEEDORES[[#This Row],[IVA 19%]]-PROVEEDORES[[#This Row],[descuento sobre subtotal]]-PROVEEDORES[[#This Row],[Descuento sobre subtotal $2]]-PROVEEDORES[[#This Row],[Rete Fuente $]]</f>
        <v>2713769.64</v>
      </c>
      <c r="S2080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0" s="63">
        <f ca="1">IF(PROVEEDORES[[#This Row],[FECHA DE PAGO]]=0,TODAY()-PROVEEDORES[[#This Row],[FECHA DE FACTURACIÓN]]-PROVEEDORES[[#This Row],[PLAZO Días]],0)</f>
        <v>0</v>
      </c>
      <c r="U2080" s="104" t="str">
        <f>+VLOOKUP(PROVEEDORES[[#This Row],[PROVEEDOR]],Terceros!$A:$D,4,FALSE)</f>
        <v>2,5% con base</v>
      </c>
      <c r="V2080" s="105">
        <f>+YEAR(PROVEEDORES[[#This Row],[FECHA DE FACTURACIÓN]])</f>
        <v>2023</v>
      </c>
      <c r="W2080" s="105">
        <f>+MATCH(PROVEEDORES[[#This Row],[año facturado]],Retenciones!$1:$1,0)</f>
        <v>6</v>
      </c>
      <c r="X2080" s="106">
        <f>+VLOOKUP(PROVEEDORES[[#This Row],[ID RETENCION]],Retenciones!$A$1:$O$25,PROVEEDORES[[#This Row],[indicador de columna]],FALSE)</f>
        <v>1145000</v>
      </c>
      <c r="Y2080" s="107">
        <f>+VLOOKUP(PROVEEDORES[[#This Row],[ID RETENCION]],Retenciones!$A$1:$O$25,2,FALSE)</f>
        <v>2.5000000000000001E-2</v>
      </c>
      <c r="Z2080" s="116" t="b">
        <f>OR(COUNTIF(PROVEEDORES[[#This Row],[PROVEEDOR]],"*"&amp;'Palabra no opera'!$A$2&amp;"*"))</f>
        <v>0</v>
      </c>
    </row>
    <row r="2081" spans="1:26" ht="22.35" customHeight="1" x14ac:dyDescent="0.3">
      <c r="A2081" s="67" t="str">
        <f>+IF(PROVEEDORES[[#This Row],[FECHA DE PAGO]]=PROVEEDORES[[#This Row],[FECHA DE FACTURACIÓN]],"DE CONTADO","CRÉDITO")</f>
        <v>CRÉDITO</v>
      </c>
      <c r="B2081" s="38" t="b">
        <f>+IF((PROVEEDORES[[#This Row],[FECHA DE PAGO]]-PROVEEDORES[[#This Row],[FECHA DE FACTURACIÓN]])&gt;PROVEEDORES[[#This Row],[PLAZO Días]],"PAGO VENCIDO")</f>
        <v>0</v>
      </c>
      <c r="C2081" s="20">
        <f>+VLOOKUP(PROVEEDORES[[#This Row],[PROVEEDOR]],TERCEROS_INFO[#All],2,FALSE)</f>
        <v>30</v>
      </c>
      <c r="D2081" s="25">
        <f>+SUMIFS(PROVEEDORES[Total],PROVEEDORES[PROVEEDOR],PROVEEDORES[[#This Row],[PROVEEDOR]],PROVEEDORES[FECHA DE PAGO],"")</f>
        <v>0</v>
      </c>
      <c r="E2081" s="25"/>
      <c r="F2081" s="56" t="str">
        <f>+VLOOKUP(PROVEEDORES[[#This Row],[PROVEEDOR]],
                       Terceros!$A:$F,
                       5,
                       FALSE)</f>
        <v/>
      </c>
      <c r="G2081" s="68">
        <v>45239</v>
      </c>
      <c r="H2081" s="26" t="s">
        <v>1194</v>
      </c>
      <c r="I2081" s="68">
        <v>45238</v>
      </c>
      <c r="J2081" s="35" t="s">
        <v>2200</v>
      </c>
      <c r="K2081" s="21">
        <v>2128000</v>
      </c>
      <c r="L2081" s="21"/>
      <c r="M2081" s="22">
        <f>(PROVEEDORES[[#This Row],[SUBTOTAL]]-PROVEEDORES[[#This Row],[descuento sobre subtotal]])*VLOOKUP(PROVEEDORES[[#This Row],[PROVEEDOR]],TERCEROS_INFO[#All],3,FALSE)</f>
        <v>0</v>
      </c>
      <c r="N2081" s="23"/>
      <c r="O2081" s="22">
        <f>+PROVEEDORES[[#This Row],[Descuento sobre subtotal %]]*(PROVEEDORES[[#This Row],[SUBTOTAL]]-PROVEEDORES[[#This Row],[descuento sobre subtotal]])</f>
        <v>0</v>
      </c>
      <c r="P2081" s="74">
        <f>+IF(PROVEEDORES[[#This Row],[SUBTOTAL]]&lt;PROVEEDORES[[#This Row],[base retencion]],0,PROVEEDORES[[#This Row],[retención aplicada]])</f>
        <v>0</v>
      </c>
      <c r="Q2081" s="22">
        <f>+PROVEEDORES[[#This Row],[Rete Fuente %]]*(PROVEEDORES[[#This Row],[SUBTOTAL]]-PROVEEDORES[[#This Row],[descuento sobre subtotal]])</f>
        <v>0</v>
      </c>
      <c r="R2081" s="21">
        <f>+PROVEEDORES[[#This Row],[SUBTOTAL]]+PROVEEDORES[[#This Row],[IVA 19%]]-PROVEEDORES[[#This Row],[descuento sobre subtotal]]-PROVEEDORES[[#This Row],[Descuento sobre subtotal $2]]-PROVEEDORES[[#This Row],[Rete Fuente $]]</f>
        <v>2128000</v>
      </c>
      <c r="S20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1" s="63">
        <f ca="1">IF(PROVEEDORES[[#This Row],[FECHA DE PAGO]]=0,TODAY()-PROVEEDORES[[#This Row],[FECHA DE FACTURACIÓN]]-PROVEEDORES[[#This Row],[PLAZO Días]],0)</f>
        <v>0</v>
      </c>
      <c r="U2081" s="104">
        <f>+VLOOKUP(PROVEEDORES[[#This Row],[PROVEEDOR]],Terceros!$A:$D,4,FALSE)</f>
        <v>0</v>
      </c>
      <c r="V2081" s="105">
        <f>+YEAR(PROVEEDORES[[#This Row],[FECHA DE FACTURACIÓN]])</f>
        <v>2023</v>
      </c>
      <c r="W2081" s="105">
        <f>+MATCH(PROVEEDORES[[#This Row],[año facturado]],Retenciones!$1:$1,0)</f>
        <v>6</v>
      </c>
      <c r="X2081" s="106">
        <f>+VLOOKUP(PROVEEDORES[[#This Row],[ID RETENCION]],Retenciones!$A$1:$O$25,PROVEEDORES[[#This Row],[indicador de columna]],FALSE)</f>
        <v>0</v>
      </c>
      <c r="Y2081" s="107">
        <f>+VLOOKUP(PROVEEDORES[[#This Row],[ID RETENCION]],Retenciones!$A$1:$O$25,2,FALSE)</f>
        <v>0</v>
      </c>
      <c r="Z2081" s="116" t="b">
        <f>OR(COUNTIF(PROVEEDORES[[#This Row],[PROVEEDOR]],"*"&amp;'Palabra no opera'!$A$2&amp;"*"))</f>
        <v>0</v>
      </c>
    </row>
    <row r="2082" spans="1:26" ht="22.35" customHeight="1" x14ac:dyDescent="0.3">
      <c r="A2082" s="339" t="str">
        <f>+IF(PROVEEDORES[[#This Row],[FECHA DE PAGO]]=PROVEEDORES[[#This Row],[FECHA DE FACTURACIÓN]],"DE CONTADO","CRÉDITO")</f>
        <v>CRÉDITO</v>
      </c>
      <c r="B2082" s="38" t="str">
        <f>+IF((PROVEEDORES[[#This Row],[FECHA DE PAGO]]-PROVEEDORES[[#This Row],[FECHA DE FACTURACIÓN]])&gt;PROVEEDORES[[#This Row],[PLAZO Días]],"PAGO VENCIDO")</f>
        <v>PAGO VENCIDO</v>
      </c>
      <c r="C2082" s="20">
        <f>+VLOOKUP(PROVEEDORES[[#This Row],[PROVEEDOR]],TERCEROS_INFO[#All],2,FALSE)</f>
        <v>30</v>
      </c>
      <c r="D2082" s="25">
        <f>+SUMIFS(PROVEEDORES[Total],PROVEEDORES[PROVEEDOR],PROVEEDORES[[#This Row],[PROVEEDOR]],PROVEEDORES[FECHA DE PAGO],"")</f>
        <v>680000</v>
      </c>
      <c r="E2082" s="25"/>
      <c r="F208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82" s="68">
        <v>45239</v>
      </c>
      <c r="H2082" s="95" t="s">
        <v>412</v>
      </c>
      <c r="I2082" s="68">
        <v>45140</v>
      </c>
      <c r="J2082" s="35">
        <v>328151</v>
      </c>
      <c r="K2082" s="21">
        <v>780000</v>
      </c>
      <c r="L2082" s="21"/>
      <c r="M2082" s="22">
        <f>(PROVEEDORES[[#This Row],[SUBTOTAL]]-PROVEEDORES[[#This Row],[descuento sobre subtotal]])*VLOOKUP(PROVEEDORES[[#This Row],[PROVEEDOR]],TERCEROS_INFO[#All],3,FALSE)</f>
        <v>0</v>
      </c>
      <c r="N2082" s="23"/>
      <c r="O2082" s="22">
        <f>+PROVEEDORES[[#This Row],[Descuento sobre subtotal %]]*(PROVEEDORES[[#This Row],[SUBTOTAL]]-PROVEEDORES[[#This Row],[descuento sobre subtotal]])</f>
        <v>0</v>
      </c>
      <c r="P2082" s="74">
        <f>+IF(PROVEEDORES[[#This Row],[SUBTOTAL]]&lt;PROVEEDORES[[#This Row],[base retencion]],0,PROVEEDORES[[#This Row],[retención aplicada]])</f>
        <v>0</v>
      </c>
      <c r="Q2082" s="22">
        <f>+PROVEEDORES[[#This Row],[Rete Fuente %]]*(PROVEEDORES[[#This Row],[SUBTOTAL]]-PROVEEDORES[[#This Row],[descuento sobre subtotal]])</f>
        <v>0</v>
      </c>
      <c r="R2082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2082" s="3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2" s="63">
        <f ca="1">IF(PROVEEDORES[[#This Row],[FECHA DE PAGO]]=0,TODAY()-PROVEEDORES[[#This Row],[FECHA DE FACTURACIÓN]]-PROVEEDORES[[#This Row],[PLAZO Días]],0)</f>
        <v>0</v>
      </c>
      <c r="U2082" s="104">
        <f>+VLOOKUP(PROVEEDORES[[#This Row],[PROVEEDOR]],Terceros!$A:$D,4,FALSE)</f>
        <v>0</v>
      </c>
      <c r="V2082" s="105">
        <f>+YEAR(PROVEEDORES[[#This Row],[FECHA DE FACTURACIÓN]])</f>
        <v>2023</v>
      </c>
      <c r="W2082" s="105">
        <f>+MATCH(PROVEEDORES[[#This Row],[año facturado]],Retenciones!$1:$1,0)</f>
        <v>6</v>
      </c>
      <c r="X2082" s="106">
        <f>+VLOOKUP(PROVEEDORES[[#This Row],[ID RETENCION]],Retenciones!$A$1:$O$25,PROVEEDORES[[#This Row],[indicador de columna]],FALSE)</f>
        <v>0</v>
      </c>
      <c r="Y2082" s="107">
        <f>+VLOOKUP(PROVEEDORES[[#This Row],[ID RETENCION]],Retenciones!$A$1:$O$25,2,FALSE)</f>
        <v>0</v>
      </c>
      <c r="Z2082" s="116" t="b">
        <f>OR(COUNTIF(PROVEEDORES[[#This Row],[PROVEEDOR]],"*"&amp;'Palabra no opera'!$A$2&amp;"*"))</f>
        <v>0</v>
      </c>
    </row>
    <row r="2083" spans="1:26" ht="22.35" customHeight="1" x14ac:dyDescent="0.3">
      <c r="A2083" s="367" t="str">
        <f>+IF(PROVEEDORES[[#This Row],[FECHA DE PAGO]]=PROVEEDORES[[#This Row],[FECHA DE FACTURACIÓN]],"DE CONTADO","CRÉDITO")</f>
        <v>CRÉDITO</v>
      </c>
      <c r="B2083" s="38" t="str">
        <f>+IF((PROVEEDORES[[#This Row],[FECHA DE PAGO]]-PROVEEDORES[[#This Row],[FECHA DE FACTURACIÓN]])&gt;PROVEEDORES[[#This Row],[PLAZO Días]],"PAGO VENCIDO")</f>
        <v>PAGO VENCIDO</v>
      </c>
      <c r="C2083" s="20">
        <f>+VLOOKUP(PROVEEDORES[[#This Row],[PROVEEDOR]],TERCEROS_INFO[#All],2,FALSE)</f>
        <v>30</v>
      </c>
      <c r="D2083" s="25">
        <f>+SUMIFS(PROVEEDORES[Total],PROVEEDORES[PROVEEDOR],PROVEEDORES[[#This Row],[PROVEEDOR]],PROVEEDORES[FECHA DE PAGO],"")</f>
        <v>680000</v>
      </c>
      <c r="E2083" s="25"/>
      <c r="F208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083" s="68">
        <v>45239</v>
      </c>
      <c r="H2083" s="26" t="s">
        <v>412</v>
      </c>
      <c r="I2083" s="68">
        <v>45177</v>
      </c>
      <c r="J2083" s="35">
        <v>550829</v>
      </c>
      <c r="K2083" s="21">
        <v>130000</v>
      </c>
      <c r="L2083" s="21"/>
      <c r="M2083" s="22">
        <f>(PROVEEDORES[[#This Row],[SUBTOTAL]]-PROVEEDORES[[#This Row],[descuento sobre subtotal]])*VLOOKUP(PROVEEDORES[[#This Row],[PROVEEDOR]],TERCEROS_INFO[#All],3,FALSE)</f>
        <v>0</v>
      </c>
      <c r="N2083" s="23"/>
      <c r="O2083" s="22">
        <f>+PROVEEDORES[[#This Row],[Descuento sobre subtotal %]]*(PROVEEDORES[[#This Row],[SUBTOTAL]]-PROVEEDORES[[#This Row],[descuento sobre subtotal]])</f>
        <v>0</v>
      </c>
      <c r="P2083" s="74">
        <f>+IF(PROVEEDORES[[#This Row],[SUBTOTAL]]&lt;PROVEEDORES[[#This Row],[base retencion]],0,PROVEEDORES[[#This Row],[retención aplicada]])</f>
        <v>0</v>
      </c>
      <c r="Q2083" s="22">
        <f>+PROVEEDORES[[#This Row],[Rete Fuente %]]*(PROVEEDORES[[#This Row],[SUBTOTAL]]-PROVEEDORES[[#This Row],[descuento sobre subtotal]])</f>
        <v>0</v>
      </c>
      <c r="R2083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2083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3" s="63">
        <f ca="1">IF(PROVEEDORES[[#This Row],[FECHA DE PAGO]]=0,TODAY()-PROVEEDORES[[#This Row],[FECHA DE FACTURACIÓN]]-PROVEEDORES[[#This Row],[PLAZO Días]],0)</f>
        <v>0</v>
      </c>
      <c r="U2083" s="104">
        <f>+VLOOKUP(PROVEEDORES[[#This Row],[PROVEEDOR]],Terceros!$A:$D,4,FALSE)</f>
        <v>0</v>
      </c>
      <c r="V2083" s="105">
        <f>+YEAR(PROVEEDORES[[#This Row],[FECHA DE FACTURACIÓN]])</f>
        <v>2023</v>
      </c>
      <c r="W2083" s="105">
        <f>+MATCH(PROVEEDORES[[#This Row],[año facturado]],Retenciones!$1:$1,0)</f>
        <v>6</v>
      </c>
      <c r="X2083" s="106">
        <f>+VLOOKUP(PROVEEDORES[[#This Row],[ID RETENCION]],Retenciones!$A$1:$O$25,PROVEEDORES[[#This Row],[indicador de columna]],FALSE)</f>
        <v>0</v>
      </c>
      <c r="Y2083" s="107">
        <f>+VLOOKUP(PROVEEDORES[[#This Row],[ID RETENCION]],Retenciones!$A$1:$O$25,2,FALSE)</f>
        <v>0</v>
      </c>
      <c r="Z2083" s="116" t="b">
        <f>OR(COUNTIF(PROVEEDORES[[#This Row],[PROVEEDOR]],"*"&amp;'Palabra no opera'!$A$2&amp;"*"))</f>
        <v>0</v>
      </c>
    </row>
    <row r="2084" spans="1:26" ht="22.35" customHeight="1" x14ac:dyDescent="0.3">
      <c r="A2084" s="67" t="str">
        <f>+IF(PROVEEDORES[[#This Row],[FECHA DE PAGO]]=PROVEEDORES[[#This Row],[FECHA DE FACTURACIÓN]],"DE CONTADO","CRÉDITO")</f>
        <v>CRÉDITO</v>
      </c>
      <c r="B2084" s="38" t="str">
        <f>+IF((PROVEEDORES[[#This Row],[FECHA DE PAGO]]-PROVEEDORES[[#This Row],[FECHA DE FACTURACIÓN]])&gt;PROVEEDORES[[#This Row],[PLAZO Días]],"PAGO VENCIDO")</f>
        <v>PAGO VENCIDO</v>
      </c>
      <c r="C2084" s="20">
        <f>+VLOOKUP(PROVEEDORES[[#This Row],[PROVEEDOR]],TERCEROS_INFO[#All],2,FALSE)</f>
        <v>30</v>
      </c>
      <c r="D2084" s="25">
        <f>+SUMIFS(PROVEEDORES[Total],PROVEEDORES[PROVEEDOR],PROVEEDORES[[#This Row],[PROVEEDOR]],PROVEEDORES[FECHA DE PAGO],"")</f>
        <v>17870934.149999999</v>
      </c>
      <c r="E2084" s="25"/>
      <c r="F208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84" s="68">
        <v>45239</v>
      </c>
      <c r="H2084" s="26" t="s">
        <v>18</v>
      </c>
      <c r="I2084" s="68">
        <v>45190</v>
      </c>
      <c r="J2084" s="35" t="s">
        <v>1975</v>
      </c>
      <c r="K2084" s="21">
        <v>804018</v>
      </c>
      <c r="L2084" s="21"/>
      <c r="M2084" s="22">
        <f>(PROVEEDORES[[#This Row],[SUBTOTAL]]-PROVEEDORES[[#This Row],[descuento sobre subtotal]])*VLOOKUP(PROVEEDORES[[#This Row],[PROVEEDOR]],TERCEROS_INFO[#All],3,FALSE)</f>
        <v>152763.42000000001</v>
      </c>
      <c r="N2084" s="23"/>
      <c r="O2084" s="22">
        <f>+PROVEEDORES[[#This Row],[Descuento sobre subtotal %]]*(PROVEEDORES[[#This Row],[SUBTOTAL]]-PROVEEDORES[[#This Row],[descuento sobre subtotal]])</f>
        <v>0</v>
      </c>
      <c r="P2084" s="74">
        <f>+IF(PROVEEDORES[[#This Row],[SUBTOTAL]]&lt;PROVEEDORES[[#This Row],[base retencion]],0,PROVEEDORES[[#This Row],[retención aplicada]])</f>
        <v>0</v>
      </c>
      <c r="Q2084" s="22">
        <f>+PROVEEDORES[[#This Row],[Rete Fuente %]]*(PROVEEDORES[[#This Row],[SUBTOTAL]]-PROVEEDORES[[#This Row],[descuento sobre subtotal]])</f>
        <v>0</v>
      </c>
      <c r="R2084" s="21">
        <f>+PROVEEDORES[[#This Row],[SUBTOTAL]]+PROVEEDORES[[#This Row],[IVA 19%]]-PROVEEDORES[[#This Row],[descuento sobre subtotal]]-PROVEEDORES[[#This Row],[Descuento sobre subtotal $2]]-PROVEEDORES[[#This Row],[Rete Fuente $]]</f>
        <v>956781.42</v>
      </c>
      <c r="S20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4" s="63">
        <f ca="1">IF(PROVEEDORES[[#This Row],[FECHA DE PAGO]]=0,TODAY()-PROVEEDORES[[#This Row],[FECHA DE FACTURACIÓN]]-PROVEEDORES[[#This Row],[PLAZO Días]],0)</f>
        <v>0</v>
      </c>
      <c r="U2084" s="104" t="str">
        <f>+VLOOKUP(PROVEEDORES[[#This Row],[PROVEEDOR]],Terceros!$A:$D,4,FALSE)</f>
        <v>2,5% con base</v>
      </c>
      <c r="V2084" s="105">
        <f>+YEAR(PROVEEDORES[[#This Row],[FECHA DE FACTURACIÓN]])</f>
        <v>2023</v>
      </c>
      <c r="W2084" s="105">
        <f>+MATCH(PROVEEDORES[[#This Row],[año facturado]],Retenciones!$1:$1,0)</f>
        <v>6</v>
      </c>
      <c r="X2084" s="106">
        <f>+VLOOKUP(PROVEEDORES[[#This Row],[ID RETENCION]],Retenciones!$A$1:$O$25,PROVEEDORES[[#This Row],[indicador de columna]],FALSE)</f>
        <v>1145000</v>
      </c>
      <c r="Y2084" s="107">
        <f>+VLOOKUP(PROVEEDORES[[#This Row],[ID RETENCION]],Retenciones!$A$1:$O$25,2,FALSE)</f>
        <v>2.5000000000000001E-2</v>
      </c>
      <c r="Z2084" s="116" t="b">
        <f>OR(COUNTIF(PROVEEDORES[[#This Row],[PROVEEDOR]],"*"&amp;'Palabra no opera'!$A$2&amp;"*"))</f>
        <v>0</v>
      </c>
    </row>
    <row r="2085" spans="1:26" ht="22.35" customHeight="1" x14ac:dyDescent="0.3">
      <c r="A2085" s="367" t="str">
        <f>+IF(PROVEEDORES[[#This Row],[FECHA DE PAGO]]=PROVEEDORES[[#This Row],[FECHA DE FACTURACIÓN]],"DE CONTADO","CRÉDITO")</f>
        <v>CRÉDITO</v>
      </c>
      <c r="B2085" s="38" t="str">
        <f>+IF((PROVEEDORES[[#This Row],[FECHA DE PAGO]]-PROVEEDORES[[#This Row],[FECHA DE FACTURACIÓN]])&gt;PROVEEDORES[[#This Row],[PLAZO Días]],"PAGO VENCIDO")</f>
        <v>PAGO VENCIDO</v>
      </c>
      <c r="C2085" s="20">
        <f>+VLOOKUP(PROVEEDORES[[#This Row],[PROVEEDOR]],TERCEROS_INFO[#All],2,FALSE)</f>
        <v>30</v>
      </c>
      <c r="D2085" s="25">
        <f>+SUMIFS(PROVEEDORES[Total],PROVEEDORES[PROVEEDOR],PROVEEDORES[[#This Row],[PROVEEDOR]],PROVEEDORES[FECHA DE PAGO],"")</f>
        <v>17870934.149999999</v>
      </c>
      <c r="E2085" s="25"/>
      <c r="F208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85" s="68">
        <v>45239</v>
      </c>
      <c r="H2085" s="26" t="s">
        <v>18</v>
      </c>
      <c r="I2085" s="68">
        <v>45198</v>
      </c>
      <c r="J2085" s="35" t="s">
        <v>2000</v>
      </c>
      <c r="K2085" s="21">
        <v>2031499</v>
      </c>
      <c r="L2085" s="21"/>
      <c r="M2085" s="22">
        <f>(PROVEEDORES[[#This Row],[SUBTOTAL]]-PROVEEDORES[[#This Row],[descuento sobre subtotal]])*VLOOKUP(PROVEEDORES[[#This Row],[PROVEEDOR]],TERCEROS_INFO[#All],3,FALSE)</f>
        <v>385984.81</v>
      </c>
      <c r="N2085" s="23"/>
      <c r="O2085" s="22">
        <f>+PROVEEDORES[[#This Row],[Descuento sobre subtotal %]]*(PROVEEDORES[[#This Row],[SUBTOTAL]]-PROVEEDORES[[#This Row],[descuento sobre subtotal]])</f>
        <v>0</v>
      </c>
      <c r="P2085" s="74">
        <f>+IF(PROVEEDORES[[#This Row],[SUBTOTAL]]&lt;PROVEEDORES[[#This Row],[base retencion]],0,PROVEEDORES[[#This Row],[retención aplicada]])</f>
        <v>2.5000000000000001E-2</v>
      </c>
      <c r="Q2085" s="22">
        <f>+PROVEEDORES[[#This Row],[Rete Fuente %]]*(PROVEEDORES[[#This Row],[SUBTOTAL]]-PROVEEDORES[[#This Row],[descuento sobre subtotal]])</f>
        <v>50787.475000000006</v>
      </c>
      <c r="R2085" s="21">
        <f>+PROVEEDORES[[#This Row],[SUBTOTAL]]+PROVEEDORES[[#This Row],[IVA 19%]]-PROVEEDORES[[#This Row],[descuento sobre subtotal]]-PROVEEDORES[[#This Row],[Descuento sobre subtotal $2]]-PROVEEDORES[[#This Row],[Rete Fuente $]]</f>
        <v>2366696.335</v>
      </c>
      <c r="S2085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5" s="63">
        <f ca="1">IF(PROVEEDORES[[#This Row],[FECHA DE PAGO]]=0,TODAY()-PROVEEDORES[[#This Row],[FECHA DE FACTURACIÓN]]-PROVEEDORES[[#This Row],[PLAZO Días]],0)</f>
        <v>0</v>
      </c>
      <c r="U2085" s="104" t="str">
        <f>+VLOOKUP(PROVEEDORES[[#This Row],[PROVEEDOR]],Terceros!$A:$D,4,FALSE)</f>
        <v>2,5% con base</v>
      </c>
      <c r="V2085" s="105">
        <f>+YEAR(PROVEEDORES[[#This Row],[FECHA DE FACTURACIÓN]])</f>
        <v>2023</v>
      </c>
      <c r="W2085" s="105">
        <f>+MATCH(PROVEEDORES[[#This Row],[año facturado]],Retenciones!$1:$1,0)</f>
        <v>6</v>
      </c>
      <c r="X2085" s="106">
        <f>+VLOOKUP(PROVEEDORES[[#This Row],[ID RETENCION]],Retenciones!$A$1:$O$25,PROVEEDORES[[#This Row],[indicador de columna]],FALSE)</f>
        <v>1145000</v>
      </c>
      <c r="Y2085" s="107">
        <f>+VLOOKUP(PROVEEDORES[[#This Row],[ID RETENCION]],Retenciones!$A$1:$O$25,2,FALSE)</f>
        <v>2.5000000000000001E-2</v>
      </c>
      <c r="Z2085" s="116" t="b">
        <f>OR(COUNTIF(PROVEEDORES[[#This Row],[PROVEEDOR]],"*"&amp;'Palabra no opera'!$A$2&amp;"*"))</f>
        <v>0</v>
      </c>
    </row>
    <row r="2086" spans="1:26" ht="22.35" customHeight="1" x14ac:dyDescent="0.3">
      <c r="A2086" s="367" t="str">
        <f>+IF(PROVEEDORES[[#This Row],[FECHA DE PAGO]]=PROVEEDORES[[#This Row],[FECHA DE FACTURACIÓN]],"DE CONTADO","CRÉDITO")</f>
        <v>CRÉDITO</v>
      </c>
      <c r="B2086" s="38" t="str">
        <f>+IF((PROVEEDORES[[#This Row],[FECHA DE PAGO]]-PROVEEDORES[[#This Row],[FECHA DE FACTURACIÓN]])&gt;PROVEEDORES[[#This Row],[PLAZO Días]],"PAGO VENCIDO")</f>
        <v>PAGO VENCIDO</v>
      </c>
      <c r="C2086" s="20">
        <f>+VLOOKUP(PROVEEDORES[[#This Row],[PROVEEDOR]],TERCEROS_INFO[#All],2,FALSE)</f>
        <v>30</v>
      </c>
      <c r="D2086" s="25">
        <f>+SUMIFS(PROVEEDORES[Total],PROVEEDORES[PROVEEDOR],PROVEEDORES[[#This Row],[PROVEEDOR]],PROVEEDORES[FECHA DE PAGO],"")</f>
        <v>17870934.149999999</v>
      </c>
      <c r="E2086" s="25"/>
      <c r="F208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86" s="68">
        <v>45239</v>
      </c>
      <c r="H2086" s="26" t="s">
        <v>18</v>
      </c>
      <c r="I2086" s="68">
        <v>45203</v>
      </c>
      <c r="J2086" s="35" t="s">
        <v>1999</v>
      </c>
      <c r="K2086" s="21">
        <v>3099280</v>
      </c>
      <c r="L2086" s="21"/>
      <c r="M2086" s="22">
        <f>(PROVEEDORES[[#This Row],[SUBTOTAL]]-PROVEEDORES[[#This Row],[descuento sobre subtotal]])*VLOOKUP(PROVEEDORES[[#This Row],[PROVEEDOR]],TERCEROS_INFO[#All],3,FALSE)</f>
        <v>588863.19999999995</v>
      </c>
      <c r="N2086" s="23"/>
      <c r="O2086" s="22">
        <f>+PROVEEDORES[[#This Row],[Descuento sobre subtotal %]]*(PROVEEDORES[[#This Row],[SUBTOTAL]]-PROVEEDORES[[#This Row],[descuento sobre subtotal]])</f>
        <v>0</v>
      </c>
      <c r="P2086" s="74">
        <f>+IF(PROVEEDORES[[#This Row],[SUBTOTAL]]&lt;PROVEEDORES[[#This Row],[base retencion]],0,PROVEEDORES[[#This Row],[retención aplicada]])</f>
        <v>2.5000000000000001E-2</v>
      </c>
      <c r="Q2086" s="22">
        <f>+PROVEEDORES[[#This Row],[Rete Fuente %]]*(PROVEEDORES[[#This Row],[SUBTOTAL]]-PROVEEDORES[[#This Row],[descuento sobre subtotal]])</f>
        <v>77482</v>
      </c>
      <c r="R2086" s="21">
        <f>+PROVEEDORES[[#This Row],[SUBTOTAL]]+PROVEEDORES[[#This Row],[IVA 19%]]-PROVEEDORES[[#This Row],[descuento sobre subtotal]]-PROVEEDORES[[#This Row],[Descuento sobre subtotal $2]]-PROVEEDORES[[#This Row],[Rete Fuente $]]</f>
        <v>3610661.2</v>
      </c>
      <c r="S2086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6" s="63">
        <f ca="1">IF(PROVEEDORES[[#This Row],[FECHA DE PAGO]]=0,TODAY()-PROVEEDORES[[#This Row],[FECHA DE FACTURACIÓN]]-PROVEEDORES[[#This Row],[PLAZO Días]],0)</f>
        <v>0</v>
      </c>
      <c r="U2086" s="104" t="str">
        <f>+VLOOKUP(PROVEEDORES[[#This Row],[PROVEEDOR]],Terceros!$A:$D,4,FALSE)</f>
        <v>2,5% con base</v>
      </c>
      <c r="V2086" s="105">
        <f>+YEAR(PROVEEDORES[[#This Row],[FECHA DE FACTURACIÓN]])</f>
        <v>2023</v>
      </c>
      <c r="W2086" s="105">
        <f>+MATCH(PROVEEDORES[[#This Row],[año facturado]],Retenciones!$1:$1,0)</f>
        <v>6</v>
      </c>
      <c r="X2086" s="106">
        <f>+VLOOKUP(PROVEEDORES[[#This Row],[ID RETENCION]],Retenciones!$A$1:$O$25,PROVEEDORES[[#This Row],[indicador de columna]],FALSE)</f>
        <v>1145000</v>
      </c>
      <c r="Y2086" s="107">
        <f>+VLOOKUP(PROVEEDORES[[#This Row],[ID RETENCION]],Retenciones!$A$1:$O$25,2,FALSE)</f>
        <v>2.5000000000000001E-2</v>
      </c>
      <c r="Z2086" s="116" t="b">
        <f>OR(COUNTIF(PROVEEDORES[[#This Row],[PROVEEDOR]],"*"&amp;'Palabra no opera'!$A$2&amp;"*"))</f>
        <v>0</v>
      </c>
    </row>
    <row r="2087" spans="1:26" ht="22.35" customHeight="1" x14ac:dyDescent="0.3">
      <c r="A2087" s="377" t="str">
        <f>+IF(PROVEEDORES[[#This Row],[FECHA DE PAGO]]=PROVEEDORES[[#This Row],[FECHA DE FACTURACIÓN]],"DE CONTADO","CRÉDITO")</f>
        <v>CRÉDITO</v>
      </c>
      <c r="B2087" s="38" t="b">
        <f>+IF((PROVEEDORES[[#This Row],[FECHA DE PAGO]]-PROVEEDORES[[#This Row],[FECHA DE FACTURACIÓN]])&gt;PROVEEDORES[[#This Row],[PLAZO Días]],"PAGO VENCIDO")</f>
        <v>0</v>
      </c>
      <c r="C2087" s="20">
        <f>+VLOOKUP(PROVEEDORES[[#This Row],[PROVEEDOR]],TERCEROS_INFO[#All],2,FALSE)</f>
        <v>30</v>
      </c>
      <c r="D2087" s="25">
        <f>+SUMIFS(PROVEEDORES[Total],PROVEEDORES[PROVEEDOR],PROVEEDORES[[#This Row],[PROVEEDOR]],PROVEEDORES[FECHA DE PAGO],"")</f>
        <v>0</v>
      </c>
      <c r="E2087" s="25"/>
      <c r="F2087" s="56">
        <f>+VLOOKUP(PROVEEDORES[[#This Row],[PROVEEDOR]],
                       Terceros!$A:$F,
                       5,
                       FALSE)</f>
        <v>0</v>
      </c>
      <c r="G2087" s="68">
        <v>45239</v>
      </c>
      <c r="H2087" s="26" t="s">
        <v>642</v>
      </c>
      <c r="I2087" s="68">
        <v>45231</v>
      </c>
      <c r="J2087" s="35" t="s">
        <v>919</v>
      </c>
      <c r="K2087" s="21">
        <v>129083</v>
      </c>
      <c r="L2087" s="21"/>
      <c r="M2087" s="22">
        <f>(PROVEEDORES[[#This Row],[SUBTOTAL]]-PROVEEDORES[[#This Row],[descuento sobre subtotal]])*VLOOKUP(PROVEEDORES[[#This Row],[PROVEEDOR]],TERCEROS_INFO[#All],3,FALSE)</f>
        <v>0</v>
      </c>
      <c r="N2087" s="23"/>
      <c r="O2087" s="22">
        <f>+PROVEEDORES[[#This Row],[Descuento sobre subtotal %]]*(PROVEEDORES[[#This Row],[SUBTOTAL]]-PROVEEDORES[[#This Row],[descuento sobre subtotal]])</f>
        <v>0</v>
      </c>
      <c r="P2087" s="74">
        <f>+IF(PROVEEDORES[[#This Row],[SUBTOTAL]]&lt;PROVEEDORES[[#This Row],[base retencion]],0,PROVEEDORES[[#This Row],[retención aplicada]])</f>
        <v>0</v>
      </c>
      <c r="Q2087" s="22">
        <f>+PROVEEDORES[[#This Row],[Rete Fuente %]]*(PROVEEDORES[[#This Row],[SUBTOTAL]]-PROVEEDORES[[#This Row],[descuento sobre subtotal]])</f>
        <v>0</v>
      </c>
      <c r="R2087" s="21">
        <f>+PROVEEDORES[[#This Row],[SUBTOTAL]]+PROVEEDORES[[#This Row],[IVA 19%]]-PROVEEDORES[[#This Row],[descuento sobre subtotal]]-PROVEEDORES[[#This Row],[Descuento sobre subtotal $2]]-PROVEEDORES[[#This Row],[Rete Fuente $]]</f>
        <v>129083</v>
      </c>
      <c r="S2087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7" s="63">
        <f ca="1">IF(PROVEEDORES[[#This Row],[FECHA DE PAGO]]=0,TODAY()-PROVEEDORES[[#This Row],[FECHA DE FACTURACIÓN]]-PROVEEDORES[[#This Row],[PLAZO Días]],0)</f>
        <v>0</v>
      </c>
      <c r="U2087" s="104">
        <f>+VLOOKUP(PROVEEDORES[[#This Row],[PROVEEDOR]],Terceros!$A:$D,4,FALSE)</f>
        <v>0</v>
      </c>
      <c r="V2087" s="105">
        <f>+YEAR(PROVEEDORES[[#This Row],[FECHA DE FACTURACIÓN]])</f>
        <v>2023</v>
      </c>
      <c r="W2087" s="105">
        <f>+MATCH(PROVEEDORES[[#This Row],[año facturado]],Retenciones!$1:$1,0)</f>
        <v>6</v>
      </c>
      <c r="X2087" s="106">
        <f>+VLOOKUP(PROVEEDORES[[#This Row],[ID RETENCION]],Retenciones!$A$1:$O$25,PROVEEDORES[[#This Row],[indicador de columna]],FALSE)</f>
        <v>0</v>
      </c>
      <c r="Y2087" s="107">
        <f>+VLOOKUP(PROVEEDORES[[#This Row],[ID RETENCION]],Retenciones!$A$1:$O$25,2,FALSE)</f>
        <v>0</v>
      </c>
      <c r="Z2087" s="116" t="b">
        <f>OR(COUNTIF(PROVEEDORES[[#This Row],[PROVEEDOR]],"*"&amp;'Palabra no opera'!$A$2&amp;"*"))</f>
        <v>1</v>
      </c>
    </row>
    <row r="2088" spans="1:26" ht="22.35" customHeight="1" x14ac:dyDescent="0.3">
      <c r="A2088" s="377" t="str">
        <f>+IF(PROVEEDORES[[#This Row],[FECHA DE PAGO]]=PROVEEDORES[[#This Row],[FECHA DE FACTURACIÓN]],"DE CONTADO","CRÉDITO")</f>
        <v>DE CONTADO</v>
      </c>
      <c r="B2088" s="38" t="b">
        <f>+IF((PROVEEDORES[[#This Row],[FECHA DE PAGO]]-PROVEEDORES[[#This Row],[FECHA DE FACTURACIÓN]])&gt;PROVEEDORES[[#This Row],[PLAZO Días]],"PAGO VENCIDO")</f>
        <v>0</v>
      </c>
      <c r="C2088" s="20">
        <f>+VLOOKUP(PROVEEDORES[[#This Row],[PROVEEDOR]],TERCEROS_INFO[#All],2,FALSE)</f>
        <v>30</v>
      </c>
      <c r="D2088" s="25">
        <f>+SUMIFS(PROVEEDORES[Total],PROVEEDORES[PROVEEDOR],PROVEEDORES[[#This Row],[PROVEEDOR]],PROVEEDORES[FECHA DE PAGO],"")</f>
        <v>0</v>
      </c>
      <c r="E2088" s="25"/>
      <c r="F2088" s="56">
        <f>+VLOOKUP(PROVEEDORES[[#This Row],[PROVEEDOR]],
                       Terceros!$A:$F,
                       5,
                       FALSE)</f>
        <v>0</v>
      </c>
      <c r="G2088" s="68">
        <v>45239</v>
      </c>
      <c r="H2088" s="26" t="s">
        <v>642</v>
      </c>
      <c r="I2088" s="68">
        <v>45239</v>
      </c>
      <c r="J2088" s="35" t="s">
        <v>2102</v>
      </c>
      <c r="K2088" s="21">
        <v>1482303</v>
      </c>
      <c r="L2088" s="21"/>
      <c r="M2088" s="22">
        <f>(PROVEEDORES[[#This Row],[SUBTOTAL]]-PROVEEDORES[[#This Row],[descuento sobre subtotal]])*VLOOKUP(PROVEEDORES[[#This Row],[PROVEEDOR]],TERCEROS_INFO[#All],3,FALSE)</f>
        <v>0</v>
      </c>
      <c r="N2088" s="23"/>
      <c r="O2088" s="22">
        <f>+PROVEEDORES[[#This Row],[Descuento sobre subtotal %]]*(PROVEEDORES[[#This Row],[SUBTOTAL]]-PROVEEDORES[[#This Row],[descuento sobre subtotal]])</f>
        <v>0</v>
      </c>
      <c r="P2088" s="74">
        <f>+IF(PROVEEDORES[[#This Row],[SUBTOTAL]]&lt;PROVEEDORES[[#This Row],[base retencion]],0,PROVEEDORES[[#This Row],[retención aplicada]])</f>
        <v>0</v>
      </c>
      <c r="Q2088" s="22">
        <f>+PROVEEDORES[[#This Row],[Rete Fuente %]]*(PROVEEDORES[[#This Row],[SUBTOTAL]]-PROVEEDORES[[#This Row],[descuento sobre subtotal]])</f>
        <v>0</v>
      </c>
      <c r="R2088" s="21">
        <f>+PROVEEDORES[[#This Row],[SUBTOTAL]]+PROVEEDORES[[#This Row],[IVA 19%]]-PROVEEDORES[[#This Row],[descuento sobre subtotal]]-PROVEEDORES[[#This Row],[Descuento sobre subtotal $2]]-PROVEEDORES[[#This Row],[Rete Fuente $]]</f>
        <v>1482303</v>
      </c>
      <c r="S2088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8" s="63">
        <f ca="1">IF(PROVEEDORES[[#This Row],[FECHA DE PAGO]]=0,TODAY()-PROVEEDORES[[#This Row],[FECHA DE FACTURACIÓN]]-PROVEEDORES[[#This Row],[PLAZO Días]],0)</f>
        <v>0</v>
      </c>
      <c r="U2088" s="104">
        <f>+VLOOKUP(PROVEEDORES[[#This Row],[PROVEEDOR]],Terceros!$A:$D,4,FALSE)</f>
        <v>0</v>
      </c>
      <c r="V2088" s="105">
        <f>+YEAR(PROVEEDORES[[#This Row],[FECHA DE FACTURACIÓN]])</f>
        <v>2023</v>
      </c>
      <c r="W2088" s="105">
        <f>+MATCH(PROVEEDORES[[#This Row],[año facturado]],Retenciones!$1:$1,0)</f>
        <v>6</v>
      </c>
      <c r="X2088" s="106">
        <f>+VLOOKUP(PROVEEDORES[[#This Row],[ID RETENCION]],Retenciones!$A$1:$O$25,PROVEEDORES[[#This Row],[indicador de columna]],FALSE)</f>
        <v>0</v>
      </c>
      <c r="Y2088" s="107">
        <f>+VLOOKUP(PROVEEDORES[[#This Row],[ID RETENCION]],Retenciones!$A$1:$O$25,2,FALSE)</f>
        <v>0</v>
      </c>
      <c r="Z2088" s="116" t="b">
        <f>OR(COUNTIF(PROVEEDORES[[#This Row],[PROVEEDOR]],"*"&amp;'Palabra no opera'!$A$2&amp;"*"))</f>
        <v>1</v>
      </c>
    </row>
    <row r="2089" spans="1:26" ht="22.35" customHeight="1" x14ac:dyDescent="0.3">
      <c r="A2089" s="67" t="str">
        <f>+IF(PROVEEDORES[[#This Row],[FECHA DE PAGO]]=PROVEEDORES[[#This Row],[FECHA DE FACTURACIÓN]],"DE CONTADO","CRÉDITO")</f>
        <v>CRÉDITO</v>
      </c>
      <c r="B2089" s="38" t="str">
        <f>+IF((PROVEEDORES[[#This Row],[FECHA DE PAGO]]-PROVEEDORES[[#This Row],[FECHA DE FACTURACIÓN]])&gt;PROVEEDORES[[#This Row],[PLAZO Días]],"PAGO VENCIDO")</f>
        <v>PAGO VENCIDO</v>
      </c>
      <c r="C2089" s="20">
        <f>+VLOOKUP(PROVEEDORES[[#This Row],[PROVEEDOR]],TERCEROS_INFO[#All],2,FALSE)</f>
        <v>45</v>
      </c>
      <c r="D2089" s="25">
        <f>+SUMIFS(PROVEEDORES[Total],PROVEEDORES[PROVEEDOR],PROVEEDORES[[#This Row],[PROVEEDOR]],PROVEEDORES[FECHA DE PAGO],"")</f>
        <v>8072960</v>
      </c>
      <c r="E2089" s="25"/>
      <c r="F208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89" s="68">
        <v>45239</v>
      </c>
      <c r="H2089" s="26" t="s">
        <v>10</v>
      </c>
      <c r="I2089" s="68">
        <v>45184</v>
      </c>
      <c r="J2089" s="35" t="s">
        <v>1967</v>
      </c>
      <c r="K2089" s="21">
        <v>2520000</v>
      </c>
      <c r="L2089" s="21"/>
      <c r="M2089" s="22">
        <f>(PROVEEDORES[[#This Row],[SUBTOTAL]]-PROVEEDORES[[#This Row],[descuento sobre subtotal]])*VLOOKUP(PROVEEDORES[[#This Row],[PROVEEDOR]],TERCEROS_INFO[#All],3,FALSE)</f>
        <v>478800</v>
      </c>
      <c r="N2089" s="23"/>
      <c r="O2089" s="22">
        <f>+PROVEEDORES[[#This Row],[Descuento sobre subtotal %]]*(PROVEEDORES[[#This Row],[SUBTOTAL]]-PROVEEDORES[[#This Row],[descuento sobre subtotal]])</f>
        <v>0</v>
      </c>
      <c r="P2089" s="74">
        <f>+IF(PROVEEDORES[[#This Row],[SUBTOTAL]]&lt;PROVEEDORES[[#This Row],[base retencion]],0,PROVEEDORES[[#This Row],[retención aplicada]])</f>
        <v>0</v>
      </c>
      <c r="Q2089" s="22">
        <f>+PROVEEDORES[[#This Row],[Rete Fuente %]]*(PROVEEDORES[[#This Row],[SUBTOTAL]]-PROVEEDORES[[#This Row],[descuento sobre subtotal]])</f>
        <v>0</v>
      </c>
      <c r="R2089" s="21">
        <f>+PROVEEDORES[[#This Row],[SUBTOTAL]]+PROVEEDORES[[#This Row],[IVA 19%]]-PROVEEDORES[[#This Row],[descuento sobre subtotal]]-PROVEEDORES[[#This Row],[Descuento sobre subtotal $2]]-PROVEEDORES[[#This Row],[Rete Fuente $]]</f>
        <v>2998800</v>
      </c>
      <c r="S20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9" s="63">
        <f ca="1">IF(PROVEEDORES[[#This Row],[FECHA DE PAGO]]=0,TODAY()-PROVEEDORES[[#This Row],[FECHA DE FACTURACIÓN]]-PROVEEDORES[[#This Row],[PLAZO Días]],0)</f>
        <v>0</v>
      </c>
      <c r="U2089" s="104">
        <f>+VLOOKUP(PROVEEDORES[[#This Row],[PROVEEDOR]],Terceros!$A:$D,4,FALSE)</f>
        <v>0</v>
      </c>
      <c r="V2089" s="105">
        <f>+YEAR(PROVEEDORES[[#This Row],[FECHA DE FACTURACIÓN]])</f>
        <v>2023</v>
      </c>
      <c r="W2089" s="105">
        <f>+MATCH(PROVEEDORES[[#This Row],[año facturado]],Retenciones!$1:$1,0)</f>
        <v>6</v>
      </c>
      <c r="X2089" s="106">
        <f>+VLOOKUP(PROVEEDORES[[#This Row],[ID RETENCION]],Retenciones!$A$1:$O$25,PROVEEDORES[[#This Row],[indicador de columna]],FALSE)</f>
        <v>0</v>
      </c>
      <c r="Y2089" s="107">
        <f>+VLOOKUP(PROVEEDORES[[#This Row],[ID RETENCION]],Retenciones!$A$1:$O$25,2,FALSE)</f>
        <v>0</v>
      </c>
      <c r="Z2089" s="116" t="b">
        <f>OR(COUNTIF(PROVEEDORES[[#This Row],[PROVEEDOR]],"*"&amp;'Palabra no opera'!$A$2&amp;"*"))</f>
        <v>0</v>
      </c>
    </row>
    <row r="2090" spans="1:26" ht="22.35" customHeight="1" x14ac:dyDescent="0.3">
      <c r="A2090" s="67" t="str">
        <f>+IF(PROVEEDORES[[#This Row],[FECHA DE PAGO]]=PROVEEDORES[[#This Row],[FECHA DE FACTURACIÓN]],"DE CONTADO","CRÉDITO")</f>
        <v>CRÉDITO</v>
      </c>
      <c r="B2090" s="38" t="b">
        <f>+IF((PROVEEDORES[[#This Row],[FECHA DE PAGO]]-PROVEEDORES[[#This Row],[FECHA DE FACTURACIÓN]])&gt;PROVEEDORES[[#This Row],[PLAZO Días]],"PAGO VENCIDO")</f>
        <v>0</v>
      </c>
      <c r="C2090" s="20">
        <f>+VLOOKUP(PROVEEDORES[[#This Row],[PROVEEDOR]],TERCEROS_INFO[#All],2,FALSE)</f>
        <v>30</v>
      </c>
      <c r="D2090" s="25">
        <f>+SUMIFS(PROVEEDORES[Total],PROVEEDORES[PROVEEDOR],PROVEEDORES[[#This Row],[PROVEEDOR]],PROVEEDORES[FECHA DE PAGO],"")</f>
        <v>0</v>
      </c>
      <c r="E2090" s="25"/>
      <c r="F2090" s="56">
        <f>+VLOOKUP(PROVEEDORES[[#This Row],[PROVEEDOR]],
                       Terceros!$A:$F,
                       5,
                       FALSE)</f>
        <v>0</v>
      </c>
      <c r="G2090" s="68">
        <v>45240</v>
      </c>
      <c r="H2090" s="26" t="s">
        <v>413</v>
      </c>
      <c r="I2090" s="68">
        <v>45231</v>
      </c>
      <c r="J2090" s="35" t="s">
        <v>2147</v>
      </c>
      <c r="K2090" s="21">
        <v>1128000</v>
      </c>
      <c r="L2090" s="21"/>
      <c r="M2090" s="22">
        <f>(PROVEEDORES[[#This Row],[SUBTOTAL]]-PROVEEDORES[[#This Row],[descuento sobre subtotal]])*VLOOKUP(PROVEEDORES[[#This Row],[PROVEEDOR]],TERCEROS_INFO[#All],3,FALSE)</f>
        <v>0</v>
      </c>
      <c r="N2090" s="23"/>
      <c r="O2090" s="22">
        <f>+PROVEEDORES[[#This Row],[Descuento sobre subtotal %]]*(PROVEEDORES[[#This Row],[SUBTOTAL]]-PROVEEDORES[[#This Row],[descuento sobre subtotal]])</f>
        <v>0</v>
      </c>
      <c r="P2090" s="74">
        <f>+IF(PROVEEDORES[[#This Row],[SUBTOTAL]]&lt;PROVEEDORES[[#This Row],[base retencion]],0,PROVEEDORES[[#This Row],[retención aplicada]])</f>
        <v>0</v>
      </c>
      <c r="Q2090" s="22">
        <f>+PROVEEDORES[[#This Row],[Rete Fuente %]]*(PROVEEDORES[[#This Row],[SUBTOTAL]]-PROVEEDORES[[#This Row],[descuento sobre subtotal]])</f>
        <v>0</v>
      </c>
      <c r="R2090" s="21">
        <f>+PROVEEDORES[[#This Row],[SUBTOTAL]]+PROVEEDORES[[#This Row],[IVA 19%]]-PROVEEDORES[[#This Row],[descuento sobre subtotal]]-PROVEEDORES[[#This Row],[Descuento sobre subtotal $2]]-PROVEEDORES[[#This Row],[Rete Fuente $]]</f>
        <v>1128000</v>
      </c>
      <c r="S20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0" s="63">
        <f ca="1">IF(PROVEEDORES[[#This Row],[FECHA DE PAGO]]=0,TODAY()-PROVEEDORES[[#This Row],[FECHA DE FACTURACIÓN]]-PROVEEDORES[[#This Row],[PLAZO Días]],0)</f>
        <v>0</v>
      </c>
      <c r="U2090" s="104">
        <f>+VLOOKUP(PROVEEDORES[[#This Row],[PROVEEDOR]],Terceros!$A:$D,4,FALSE)</f>
        <v>0</v>
      </c>
      <c r="V2090" s="105">
        <f>+YEAR(PROVEEDORES[[#This Row],[FECHA DE FACTURACIÓN]])</f>
        <v>2023</v>
      </c>
      <c r="W2090" s="105">
        <f>+MATCH(PROVEEDORES[[#This Row],[año facturado]],Retenciones!$1:$1,0)</f>
        <v>6</v>
      </c>
      <c r="X2090" s="106">
        <f>+VLOOKUP(PROVEEDORES[[#This Row],[ID RETENCION]],Retenciones!$A$1:$O$25,PROVEEDORES[[#This Row],[indicador de columna]],FALSE)</f>
        <v>0</v>
      </c>
      <c r="Y2090" s="107">
        <f>+VLOOKUP(PROVEEDORES[[#This Row],[ID RETENCION]],Retenciones!$A$1:$O$25,2,FALSE)</f>
        <v>0</v>
      </c>
      <c r="Z2090" s="116" t="b">
        <f>OR(COUNTIF(PROVEEDORES[[#This Row],[PROVEEDOR]],"*"&amp;'Palabra no opera'!$A$2&amp;"*"))</f>
        <v>0</v>
      </c>
    </row>
    <row r="2091" spans="1:26" ht="22.35" customHeight="1" x14ac:dyDescent="0.3">
      <c r="A2091" s="377" t="str">
        <f>+IF(PROVEEDORES[[#This Row],[FECHA DE PAGO]]=PROVEEDORES[[#This Row],[FECHA DE FACTURACIÓN]],"DE CONTADO","CRÉDITO")</f>
        <v>CRÉDITO</v>
      </c>
      <c r="B2091" s="38" t="b">
        <f>+IF((PROVEEDORES[[#This Row],[FECHA DE PAGO]]-PROVEEDORES[[#This Row],[FECHA DE FACTURACIÓN]])&gt;PROVEEDORES[[#This Row],[PLAZO Días]],"PAGO VENCIDO")</f>
        <v>0</v>
      </c>
      <c r="C2091" s="20">
        <f>+VLOOKUP(PROVEEDORES[[#This Row],[PROVEEDOR]],TERCEROS_INFO[#All],2,FALSE)</f>
        <v>30</v>
      </c>
      <c r="D2091" s="25">
        <f>+SUMIFS(PROVEEDORES[Total],PROVEEDORES[PROVEEDOR],PROVEEDORES[[#This Row],[PROVEEDOR]],PROVEEDORES[FECHA DE PAGO],"")</f>
        <v>0</v>
      </c>
      <c r="E2091" s="25"/>
      <c r="F209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91" s="68">
        <v>45240</v>
      </c>
      <c r="H2091" s="26" t="s">
        <v>623</v>
      </c>
      <c r="I2091" s="68">
        <v>45231</v>
      </c>
      <c r="J2091" s="35" t="s">
        <v>2104</v>
      </c>
      <c r="K2091" s="21">
        <v>908172</v>
      </c>
      <c r="L2091" s="21"/>
      <c r="M2091" s="22">
        <f>(PROVEEDORES[[#This Row],[SUBTOTAL]]-PROVEEDORES[[#This Row],[descuento sobre subtotal]])*VLOOKUP(PROVEEDORES[[#This Row],[PROVEEDOR]],TERCEROS_INFO[#All],3,FALSE)</f>
        <v>172552.68</v>
      </c>
      <c r="N2091" s="23"/>
      <c r="O2091" s="22">
        <f>+PROVEEDORES[[#This Row],[Descuento sobre subtotal %]]*(PROVEEDORES[[#This Row],[SUBTOTAL]]-PROVEEDORES[[#This Row],[descuento sobre subtotal]])</f>
        <v>0</v>
      </c>
      <c r="P2091" s="74">
        <f>+IF(PROVEEDORES[[#This Row],[SUBTOTAL]]&lt;PROVEEDORES[[#This Row],[base retencion]],0,PROVEEDORES[[#This Row],[retención aplicada]])</f>
        <v>0.04</v>
      </c>
      <c r="Q2091" s="22">
        <f>+PROVEEDORES[[#This Row],[Rete Fuente %]]*(PROVEEDORES[[#This Row],[SUBTOTAL]]-PROVEEDORES[[#This Row],[descuento sobre subtotal]])</f>
        <v>36326.879999999997</v>
      </c>
      <c r="R2091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2091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1" s="63">
        <f ca="1">IF(PROVEEDORES[[#This Row],[FECHA DE PAGO]]=0,TODAY()-PROVEEDORES[[#This Row],[FECHA DE FACTURACIÓN]]-PROVEEDORES[[#This Row],[PLAZO Días]],0)</f>
        <v>0</v>
      </c>
      <c r="U2091" s="104" t="str">
        <f>+VLOOKUP(PROVEEDORES[[#This Row],[PROVEEDOR]],Terceros!$A:$D,4,FALSE)</f>
        <v>4% sin base</v>
      </c>
      <c r="V2091" s="105">
        <f>+YEAR(PROVEEDORES[[#This Row],[FECHA DE FACTURACIÓN]])</f>
        <v>2023</v>
      </c>
      <c r="W2091" s="105">
        <f>+MATCH(PROVEEDORES[[#This Row],[año facturado]],Retenciones!$1:$1,0)</f>
        <v>6</v>
      </c>
      <c r="X2091" s="106">
        <f>+VLOOKUP(PROVEEDORES[[#This Row],[ID RETENCION]],Retenciones!$A$1:$O$25,PROVEEDORES[[#This Row],[indicador de columna]],FALSE)</f>
        <v>0</v>
      </c>
      <c r="Y2091" s="107">
        <f>+VLOOKUP(PROVEEDORES[[#This Row],[ID RETENCION]],Retenciones!$A$1:$O$25,2,FALSE)</f>
        <v>0.04</v>
      </c>
      <c r="Z2091" s="116" t="b">
        <f>OR(COUNTIF(PROVEEDORES[[#This Row],[PROVEEDOR]],"*"&amp;'Palabra no opera'!$A$2&amp;"*"))</f>
        <v>1</v>
      </c>
    </row>
    <row r="2092" spans="1:26" ht="22.35" customHeight="1" x14ac:dyDescent="0.3">
      <c r="A2092" s="377" t="str">
        <f>+IF(PROVEEDORES[[#This Row],[FECHA DE PAGO]]=PROVEEDORES[[#This Row],[FECHA DE FACTURACIÓN]],"DE CONTADO","CRÉDITO")</f>
        <v>CRÉDITO</v>
      </c>
      <c r="B2092" s="38" t="b">
        <f>+IF((PROVEEDORES[[#This Row],[FECHA DE PAGO]]-PROVEEDORES[[#This Row],[FECHA DE FACTURACIÓN]])&gt;PROVEEDORES[[#This Row],[PLAZO Días]],"PAGO VENCIDO")</f>
        <v>0</v>
      </c>
      <c r="C2092" s="20">
        <f>+VLOOKUP(PROVEEDORES[[#This Row],[PROVEEDOR]],TERCEROS_INFO[#All],2,FALSE)</f>
        <v>30</v>
      </c>
      <c r="D2092" s="25">
        <f>+SUMIFS(PROVEEDORES[Total],PROVEEDORES[PROVEEDOR],PROVEEDORES[[#This Row],[PROVEEDOR]],PROVEEDORES[FECHA DE PAGO],"")</f>
        <v>0</v>
      </c>
      <c r="E2092" s="25"/>
      <c r="F209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092" s="68">
        <v>45240</v>
      </c>
      <c r="H2092" s="26" t="s">
        <v>623</v>
      </c>
      <c r="I2092" s="68">
        <v>45231</v>
      </c>
      <c r="J2092" s="35" t="s">
        <v>2105</v>
      </c>
      <c r="K2092" s="21">
        <v>3792544</v>
      </c>
      <c r="L2092" s="21"/>
      <c r="M2092" s="22">
        <f>(PROVEEDORES[[#This Row],[SUBTOTAL]]-PROVEEDORES[[#This Row],[descuento sobre subtotal]])*VLOOKUP(PROVEEDORES[[#This Row],[PROVEEDOR]],TERCEROS_INFO[#All],3,FALSE)</f>
        <v>720583.36</v>
      </c>
      <c r="N2092" s="23"/>
      <c r="O2092" s="22">
        <f>+PROVEEDORES[[#This Row],[Descuento sobre subtotal %]]*(PROVEEDORES[[#This Row],[SUBTOTAL]]-PROVEEDORES[[#This Row],[descuento sobre subtotal]])</f>
        <v>0</v>
      </c>
      <c r="P2092" s="74"/>
      <c r="Q2092" s="22">
        <f>+PROVEEDORES[[#This Row],[Rete Fuente %]]*(PROVEEDORES[[#This Row],[SUBTOTAL]]-PROVEEDORES[[#This Row],[descuento sobre subtotal]])</f>
        <v>0</v>
      </c>
      <c r="R2092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2092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2" s="63">
        <f ca="1">IF(PROVEEDORES[[#This Row],[FECHA DE PAGO]]=0,TODAY()-PROVEEDORES[[#This Row],[FECHA DE FACTURACIÓN]]-PROVEEDORES[[#This Row],[PLAZO Días]],0)</f>
        <v>0</v>
      </c>
      <c r="U2092" s="104" t="str">
        <f>+VLOOKUP(PROVEEDORES[[#This Row],[PROVEEDOR]],Terceros!$A:$D,4,FALSE)</f>
        <v>4% sin base</v>
      </c>
      <c r="V2092" s="105">
        <f>+YEAR(PROVEEDORES[[#This Row],[FECHA DE FACTURACIÓN]])</f>
        <v>2023</v>
      </c>
      <c r="W2092" s="105">
        <f>+MATCH(PROVEEDORES[[#This Row],[año facturado]],Retenciones!$1:$1,0)</f>
        <v>6</v>
      </c>
      <c r="X2092" s="106">
        <f>+VLOOKUP(PROVEEDORES[[#This Row],[ID RETENCION]],Retenciones!$A$1:$O$25,PROVEEDORES[[#This Row],[indicador de columna]],FALSE)</f>
        <v>0</v>
      </c>
      <c r="Y2092" s="107">
        <f>+VLOOKUP(PROVEEDORES[[#This Row],[ID RETENCION]],Retenciones!$A$1:$O$25,2,FALSE)</f>
        <v>0.04</v>
      </c>
      <c r="Z2092" s="116" t="b">
        <f>OR(COUNTIF(PROVEEDORES[[#This Row],[PROVEEDOR]],"*"&amp;'Palabra no opera'!$A$2&amp;"*"))</f>
        <v>1</v>
      </c>
    </row>
    <row r="2093" spans="1:26" ht="22.35" customHeight="1" x14ac:dyDescent="0.3">
      <c r="A2093" s="377" t="str">
        <f>+IF(PROVEEDORES[[#This Row],[FECHA DE PAGO]]=PROVEEDORES[[#This Row],[FECHA DE FACTURACIÓN]],"DE CONTADO","CRÉDITO")</f>
        <v>CRÉDITO</v>
      </c>
      <c r="B2093" s="38" t="b">
        <f>+IF((PROVEEDORES[[#This Row],[FECHA DE PAGO]]-PROVEEDORES[[#This Row],[FECHA DE FACTURACIÓN]])&gt;PROVEEDORES[[#This Row],[PLAZO Días]],"PAGO VENCIDO")</f>
        <v>0</v>
      </c>
      <c r="C2093" s="20">
        <f>+VLOOKUP(PROVEEDORES[[#This Row],[PROVEEDOR]],TERCEROS_INFO[#All],2,FALSE)</f>
        <v>10</v>
      </c>
      <c r="D2093" s="25">
        <f>+SUMIFS(PROVEEDORES[Total],PROVEEDORES[PROVEEDOR],PROVEEDORES[[#This Row],[PROVEEDOR]],PROVEEDORES[FECHA DE PAGO],"")</f>
        <v>0</v>
      </c>
      <c r="E2093" s="25"/>
      <c r="F2093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093" s="68">
        <v>45240</v>
      </c>
      <c r="H2093" s="26" t="s">
        <v>1202</v>
      </c>
      <c r="I2093" s="68">
        <v>45231</v>
      </c>
      <c r="J2093" s="35" t="s">
        <v>2103</v>
      </c>
      <c r="K2093" s="21">
        <v>5350576</v>
      </c>
      <c r="L2093" s="21"/>
      <c r="M2093" s="22">
        <v>1016609</v>
      </c>
      <c r="N2093" s="23"/>
      <c r="O2093" s="22">
        <f>+PROVEEDORES[[#This Row],[Descuento sobre subtotal %]]*(PROVEEDORES[[#This Row],[SUBTOTAL]]-PROVEEDORES[[#This Row],[descuento sobre subtotal]])</f>
        <v>0</v>
      </c>
      <c r="P2093" s="74">
        <f>+IF(PROVEEDORES[[#This Row],[SUBTOTAL]]&lt;PROVEEDORES[[#This Row],[base retencion]],0,PROVEEDORES[[#This Row],[retención aplicada]])</f>
        <v>0</v>
      </c>
      <c r="Q2093" s="22">
        <f>+PROVEEDORES[[#This Row],[Rete Fuente %]]*(PROVEEDORES[[#This Row],[SUBTOTAL]]-PROVEEDORES[[#This Row],[descuento sobre subtotal]])</f>
        <v>0</v>
      </c>
      <c r="R2093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2093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3" s="63">
        <f ca="1">IF(PROVEEDORES[[#This Row],[FECHA DE PAGO]]=0,TODAY()-PROVEEDORES[[#This Row],[FECHA DE FACTURACIÓN]]-PROVEEDORES[[#This Row],[PLAZO Días]],0)</f>
        <v>0</v>
      </c>
      <c r="U2093" s="104">
        <f>+VLOOKUP(PROVEEDORES[[#This Row],[PROVEEDOR]],Terceros!$A:$D,4,FALSE)</f>
        <v>0</v>
      </c>
      <c r="V2093" s="105">
        <f>+YEAR(PROVEEDORES[[#This Row],[FECHA DE FACTURACIÓN]])</f>
        <v>2023</v>
      </c>
      <c r="W2093" s="105">
        <f>+MATCH(PROVEEDORES[[#This Row],[año facturado]],Retenciones!$1:$1,0)</f>
        <v>6</v>
      </c>
      <c r="X2093" s="106">
        <f>+VLOOKUP(PROVEEDORES[[#This Row],[ID RETENCION]],Retenciones!$A$1:$O$25,PROVEEDORES[[#This Row],[indicador de columna]],FALSE)</f>
        <v>0</v>
      </c>
      <c r="Y2093" s="107">
        <f>+VLOOKUP(PROVEEDORES[[#This Row],[ID RETENCION]],Retenciones!$A$1:$O$25,2,FALSE)</f>
        <v>0</v>
      </c>
      <c r="Z2093" s="116" t="b">
        <f>OR(COUNTIF(PROVEEDORES[[#This Row],[PROVEEDOR]],"*"&amp;'Palabra no opera'!$A$2&amp;"*"))</f>
        <v>1</v>
      </c>
    </row>
    <row r="2094" spans="1:26" ht="22.35" customHeight="1" x14ac:dyDescent="0.3">
      <c r="A2094" s="67" t="str">
        <f>+IF(PROVEEDORES[[#This Row],[FECHA DE PAGO]]=PROVEEDORES[[#This Row],[FECHA DE FACTURACIÓN]],"DE CONTADO","CRÉDITO")</f>
        <v>CRÉDITO</v>
      </c>
      <c r="B2094" s="38" t="str">
        <f>+IF((PROVEEDORES[[#This Row],[FECHA DE PAGO]]-PROVEEDORES[[#This Row],[FECHA DE FACTURACIÓN]])&gt;PROVEEDORES[[#This Row],[PLAZO Días]],"PAGO VENCIDO")</f>
        <v>PAGO VENCIDO</v>
      </c>
      <c r="C2094" s="20">
        <f>+VLOOKUP(PROVEEDORES[[#This Row],[PROVEEDOR]],TERCEROS_INFO[#All],2,FALSE)</f>
        <v>30</v>
      </c>
      <c r="D2094" s="25">
        <f>+SUMIFS(PROVEEDORES[Total],PROVEEDORES[PROVEEDOR],PROVEEDORES[[#This Row],[PROVEEDOR]],PROVEEDORES[FECHA DE PAGO],"")</f>
        <v>0</v>
      </c>
      <c r="E2094" s="25"/>
      <c r="F2094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094" s="68">
        <v>45244</v>
      </c>
      <c r="H2094" s="26" t="s">
        <v>394</v>
      </c>
      <c r="I2094" s="68">
        <v>45210</v>
      </c>
      <c r="J2094" s="35" t="s">
        <v>2063</v>
      </c>
      <c r="K2094" s="21">
        <v>986500</v>
      </c>
      <c r="L2094" s="21"/>
      <c r="M2094" s="22">
        <f>(PROVEEDORES[[#This Row],[SUBTOTAL]]-PROVEEDORES[[#This Row],[descuento sobre subtotal]])*VLOOKUP(PROVEEDORES[[#This Row],[PROVEEDOR]],TERCEROS_INFO[#All],3,FALSE)</f>
        <v>0</v>
      </c>
      <c r="N2094" s="23"/>
      <c r="O2094" s="22">
        <f>+PROVEEDORES[[#This Row],[Descuento sobre subtotal %]]*(PROVEEDORES[[#This Row],[SUBTOTAL]]-PROVEEDORES[[#This Row],[descuento sobre subtotal]])</f>
        <v>0</v>
      </c>
      <c r="P2094" s="74">
        <f>+IF(PROVEEDORES[[#This Row],[SUBTOTAL]]&lt;PROVEEDORES[[#This Row],[base retencion]],0,PROVEEDORES[[#This Row],[retención aplicada]])</f>
        <v>0</v>
      </c>
      <c r="Q2094" s="22">
        <f>+PROVEEDORES[[#This Row],[Rete Fuente %]]*(PROVEEDORES[[#This Row],[SUBTOTAL]]-PROVEEDORES[[#This Row],[descuento sobre subtotal]])</f>
        <v>0</v>
      </c>
      <c r="R2094" s="21">
        <f>+PROVEEDORES[[#This Row],[SUBTOTAL]]+PROVEEDORES[[#This Row],[IVA 19%]]-PROVEEDORES[[#This Row],[descuento sobre subtotal]]-PROVEEDORES[[#This Row],[Descuento sobre subtotal $2]]-PROVEEDORES[[#This Row],[Rete Fuente $]]</f>
        <v>986500</v>
      </c>
      <c r="S20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4" s="63">
        <f ca="1">IF(PROVEEDORES[[#This Row],[FECHA DE PAGO]]=0,TODAY()-PROVEEDORES[[#This Row],[FECHA DE FACTURACIÓN]]-PROVEEDORES[[#This Row],[PLAZO Días]],0)</f>
        <v>0</v>
      </c>
      <c r="U2094" s="104">
        <f>+VLOOKUP(PROVEEDORES[[#This Row],[PROVEEDOR]],Terceros!$A:$D,4,FALSE)</f>
        <v>0</v>
      </c>
      <c r="V2094" s="105">
        <f>+YEAR(PROVEEDORES[[#This Row],[FECHA DE FACTURACIÓN]])</f>
        <v>2023</v>
      </c>
      <c r="W2094" s="105">
        <f>+MATCH(PROVEEDORES[[#This Row],[año facturado]],Retenciones!$1:$1,0)</f>
        <v>6</v>
      </c>
      <c r="X2094" s="106">
        <f>+VLOOKUP(PROVEEDORES[[#This Row],[ID RETENCION]],Retenciones!$A$1:$O$25,PROVEEDORES[[#This Row],[indicador de columna]],FALSE)</f>
        <v>0</v>
      </c>
      <c r="Y2094" s="107">
        <f>+VLOOKUP(PROVEEDORES[[#This Row],[ID RETENCION]],Retenciones!$A$1:$O$25,2,FALSE)</f>
        <v>0</v>
      </c>
      <c r="Z2094" s="116" t="b">
        <f>OR(COUNTIF(PROVEEDORES[[#This Row],[PROVEEDOR]],"*"&amp;'Palabra no opera'!$A$2&amp;"*"))</f>
        <v>0</v>
      </c>
    </row>
    <row r="2095" spans="1:26" ht="22.35" customHeight="1" x14ac:dyDescent="0.3">
      <c r="A2095" s="367" t="str">
        <f>+IF(PROVEEDORES[[#This Row],[FECHA DE PAGO]]=PROVEEDORES[[#This Row],[FECHA DE FACTURACIÓN]],"DE CONTADO","CRÉDITO")</f>
        <v>CRÉDITO</v>
      </c>
      <c r="B2095" s="38" t="str">
        <f>+IF((PROVEEDORES[[#This Row],[FECHA DE PAGO]]-PROVEEDORES[[#This Row],[FECHA DE FACTURACIÓN]])&gt;PROVEEDORES[[#This Row],[PLAZO Días]],"PAGO VENCIDO")</f>
        <v>PAGO VENCIDO</v>
      </c>
      <c r="C2095" s="20">
        <f>+VLOOKUP(PROVEEDORES[[#This Row],[PROVEEDOR]],TERCEROS_INFO[#All],2,FALSE)</f>
        <v>30</v>
      </c>
      <c r="D2095" s="25">
        <f>+SUMIFS(PROVEEDORES[Total],PROVEEDORES[PROVEEDOR],PROVEEDORES[[#This Row],[PROVEEDOR]],PROVEEDORES[FECHA DE PAGO],"")</f>
        <v>4248480.9550000001</v>
      </c>
      <c r="E2095" s="25"/>
      <c r="F2095" s="56" t="str">
        <f>+VLOOKUP(PROVEEDORES[[#This Row],[PROVEEDOR]],
                       Terceros!$A:$F,
                       5,
                       FALSE)</f>
        <v/>
      </c>
      <c r="G2095" s="68">
        <v>45244</v>
      </c>
      <c r="H2095" s="26" t="s">
        <v>78</v>
      </c>
      <c r="I2095" s="68">
        <v>45196</v>
      </c>
      <c r="J2095" s="35" t="s">
        <v>2001</v>
      </c>
      <c r="K2095" s="21">
        <v>2740335</v>
      </c>
      <c r="L2095" s="21"/>
      <c r="M2095" s="22">
        <f>(PROVEEDORES[[#This Row],[SUBTOTAL]]-PROVEEDORES[[#This Row],[descuento sobre subtotal]])*VLOOKUP(PROVEEDORES[[#This Row],[PROVEEDOR]],TERCEROS_INFO[#All],3,FALSE)</f>
        <v>520663.65</v>
      </c>
      <c r="N2095" s="23"/>
      <c r="O2095" s="22">
        <f>+PROVEEDORES[[#This Row],[Descuento sobre subtotal %]]*(PROVEEDORES[[#This Row],[SUBTOTAL]]-PROVEEDORES[[#This Row],[descuento sobre subtotal]])</f>
        <v>0</v>
      </c>
      <c r="P2095" s="74">
        <f>+IF(PROVEEDORES[[#This Row],[SUBTOTAL]]&lt;PROVEEDORES[[#This Row],[base retencion]],0,PROVEEDORES[[#This Row],[retención aplicada]])</f>
        <v>2.5000000000000001E-2</v>
      </c>
      <c r="Q2095" s="22">
        <f>+PROVEEDORES[[#This Row],[Rete Fuente %]]*(PROVEEDORES[[#This Row],[SUBTOTAL]]-PROVEEDORES[[#This Row],[descuento sobre subtotal]])</f>
        <v>68508.375</v>
      </c>
      <c r="R2095" s="21">
        <f>+PROVEEDORES[[#This Row],[SUBTOTAL]]+PROVEEDORES[[#This Row],[IVA 19%]]-PROVEEDORES[[#This Row],[descuento sobre subtotal]]-PROVEEDORES[[#This Row],[Descuento sobre subtotal $2]]-PROVEEDORES[[#This Row],[Rete Fuente $]]</f>
        <v>3192490.2749999999</v>
      </c>
      <c r="S2095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5" s="63">
        <f ca="1">IF(PROVEEDORES[[#This Row],[FECHA DE PAGO]]=0,TODAY()-PROVEEDORES[[#This Row],[FECHA DE FACTURACIÓN]]-PROVEEDORES[[#This Row],[PLAZO Días]],0)</f>
        <v>0</v>
      </c>
      <c r="U2095" s="104" t="str">
        <f>+VLOOKUP(PROVEEDORES[[#This Row],[PROVEEDOR]],Terceros!$A:$D,4,FALSE)</f>
        <v>2,5% con base</v>
      </c>
      <c r="V2095" s="105">
        <f>+YEAR(PROVEEDORES[[#This Row],[FECHA DE FACTURACIÓN]])</f>
        <v>2023</v>
      </c>
      <c r="W2095" s="105">
        <f>+MATCH(PROVEEDORES[[#This Row],[año facturado]],Retenciones!$1:$1,0)</f>
        <v>6</v>
      </c>
      <c r="X2095" s="106">
        <f>+VLOOKUP(PROVEEDORES[[#This Row],[ID RETENCION]],Retenciones!$A$1:$O$25,PROVEEDORES[[#This Row],[indicador de columna]],FALSE)</f>
        <v>1145000</v>
      </c>
      <c r="Y2095" s="107">
        <f>+VLOOKUP(PROVEEDORES[[#This Row],[ID RETENCION]],Retenciones!$A$1:$O$25,2,FALSE)</f>
        <v>2.5000000000000001E-2</v>
      </c>
      <c r="Z2095" s="116" t="b">
        <f>OR(COUNTIF(PROVEEDORES[[#This Row],[PROVEEDOR]],"*"&amp;'Palabra no opera'!$A$2&amp;"*"))</f>
        <v>0</v>
      </c>
    </row>
    <row r="2096" spans="1:26" ht="22.35" customHeight="1" x14ac:dyDescent="0.3">
      <c r="A2096" s="67" t="str">
        <f>+IF(PROVEEDORES[[#This Row],[FECHA DE PAGO]]=PROVEEDORES[[#This Row],[FECHA DE FACTURACIÓN]],"DE CONTADO","CRÉDITO")</f>
        <v>CRÉDITO</v>
      </c>
      <c r="B2096" s="38" t="str">
        <f>+IF((PROVEEDORES[[#This Row],[FECHA DE PAGO]]-PROVEEDORES[[#This Row],[FECHA DE FACTURACIÓN]])&gt;PROVEEDORES[[#This Row],[PLAZO Días]],"PAGO VENCIDO")</f>
        <v>PAGO VENCIDO</v>
      </c>
      <c r="C2096" s="20">
        <f>+VLOOKUP(PROVEEDORES[[#This Row],[PROVEEDOR]],TERCEROS_INFO[#All],2,FALSE)</f>
        <v>30</v>
      </c>
      <c r="D2096" s="25">
        <f>+SUMIFS(PROVEEDORES[Total],PROVEEDORES[PROVEEDOR],PROVEEDORES[[#This Row],[PROVEEDOR]],PROVEEDORES[FECHA DE PAGO],"")</f>
        <v>4248480.9550000001</v>
      </c>
      <c r="E2096" s="25"/>
      <c r="F2096" s="56" t="str">
        <f>+VLOOKUP(PROVEEDORES[[#This Row],[PROVEEDOR]],
                       Terceros!$A:$F,
                       5,
                       FALSE)</f>
        <v/>
      </c>
      <c r="G2096" s="68">
        <v>45244</v>
      </c>
      <c r="H2096" s="26" t="s">
        <v>78</v>
      </c>
      <c r="I2096" s="68">
        <v>45203</v>
      </c>
      <c r="J2096" s="35" t="s">
        <v>2066</v>
      </c>
      <c r="K2096" s="21">
        <v>168068</v>
      </c>
      <c r="L2096" s="21"/>
      <c r="M2096" s="22">
        <f>(PROVEEDORES[[#This Row],[SUBTOTAL]]-PROVEEDORES[[#This Row],[descuento sobre subtotal]])*VLOOKUP(PROVEEDORES[[#This Row],[PROVEEDOR]],TERCEROS_INFO[#All],3,FALSE)</f>
        <v>31932.920000000002</v>
      </c>
      <c r="N2096" s="23"/>
      <c r="O2096" s="22">
        <f>+PROVEEDORES[[#This Row],[Descuento sobre subtotal %]]*(PROVEEDORES[[#This Row],[SUBTOTAL]]-PROVEEDORES[[#This Row],[descuento sobre subtotal]])</f>
        <v>0</v>
      </c>
      <c r="P2096" s="74">
        <f>+IF(PROVEEDORES[[#This Row],[SUBTOTAL]]&lt;PROVEEDORES[[#This Row],[base retencion]],0,PROVEEDORES[[#This Row],[retención aplicada]])</f>
        <v>0</v>
      </c>
      <c r="Q2096" s="22">
        <f>+PROVEEDORES[[#This Row],[Rete Fuente %]]*(PROVEEDORES[[#This Row],[SUBTOTAL]]-PROVEEDORES[[#This Row],[descuento sobre subtotal]])</f>
        <v>0</v>
      </c>
      <c r="R2096" s="21">
        <f>+PROVEEDORES[[#This Row],[SUBTOTAL]]+PROVEEDORES[[#This Row],[IVA 19%]]-PROVEEDORES[[#This Row],[descuento sobre subtotal]]-PROVEEDORES[[#This Row],[Descuento sobre subtotal $2]]-PROVEEDORES[[#This Row],[Rete Fuente $]]</f>
        <v>200000.92</v>
      </c>
      <c r="S20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6" s="63">
        <f ca="1">IF(PROVEEDORES[[#This Row],[FECHA DE PAGO]]=0,TODAY()-PROVEEDORES[[#This Row],[FECHA DE FACTURACIÓN]]-PROVEEDORES[[#This Row],[PLAZO Días]],0)</f>
        <v>0</v>
      </c>
      <c r="U2096" s="104" t="str">
        <f>+VLOOKUP(PROVEEDORES[[#This Row],[PROVEEDOR]],Terceros!$A:$D,4,FALSE)</f>
        <v>2,5% con base</v>
      </c>
      <c r="V2096" s="105">
        <f>+YEAR(PROVEEDORES[[#This Row],[FECHA DE FACTURACIÓN]])</f>
        <v>2023</v>
      </c>
      <c r="W2096" s="105">
        <f>+MATCH(PROVEEDORES[[#This Row],[año facturado]],Retenciones!$1:$1,0)</f>
        <v>6</v>
      </c>
      <c r="X2096" s="106">
        <f>+VLOOKUP(PROVEEDORES[[#This Row],[ID RETENCION]],Retenciones!$A$1:$O$25,PROVEEDORES[[#This Row],[indicador de columna]],FALSE)</f>
        <v>1145000</v>
      </c>
      <c r="Y2096" s="107">
        <f>+VLOOKUP(PROVEEDORES[[#This Row],[ID RETENCION]],Retenciones!$A$1:$O$25,2,FALSE)</f>
        <v>2.5000000000000001E-2</v>
      </c>
      <c r="Z2096" s="116" t="b">
        <f>OR(COUNTIF(PROVEEDORES[[#This Row],[PROVEEDOR]],"*"&amp;'Palabra no opera'!$A$2&amp;"*"))</f>
        <v>0</v>
      </c>
    </row>
    <row r="2097" spans="1:26" ht="22.35" customHeight="1" x14ac:dyDescent="0.3">
      <c r="A2097" s="67" t="str">
        <f>+IF(PROVEEDORES[[#This Row],[FECHA DE PAGO]]=PROVEEDORES[[#This Row],[FECHA DE FACTURACIÓN]],"DE CONTADO","CRÉDITO")</f>
        <v>DE CONTADO</v>
      </c>
      <c r="B2097" s="38" t="b">
        <f>+IF((PROVEEDORES[[#This Row],[FECHA DE PAGO]]-PROVEEDORES[[#This Row],[FECHA DE FACTURACIÓN]])&gt;PROVEEDORES[[#This Row],[PLAZO Días]],"PAGO VENCIDO")</f>
        <v>0</v>
      </c>
      <c r="C2097" s="20">
        <f>+VLOOKUP(PROVEEDORES[[#This Row],[PROVEEDOR]],TERCEROS_INFO[#All],2,FALSE)</f>
        <v>30</v>
      </c>
      <c r="D2097" s="25">
        <f>+SUMIFS(PROVEEDORES[Total],PROVEEDORES[PROVEEDOR],PROVEEDORES[[#This Row],[PROVEEDOR]],PROVEEDORES[FECHA DE PAGO],"")</f>
        <v>0</v>
      </c>
      <c r="E2097" s="25"/>
      <c r="F2097" s="56" t="str">
        <f>+VLOOKUP(PROVEEDORES[[#This Row],[PROVEEDOR]],
                       Terceros!$A:$F,
                       5,
                       FALSE)</f>
        <v/>
      </c>
      <c r="G2097" s="68">
        <v>45244</v>
      </c>
      <c r="H2097" s="26" t="s">
        <v>53</v>
      </c>
      <c r="I2097" s="68">
        <v>45244</v>
      </c>
      <c r="J2097" s="35">
        <v>310278</v>
      </c>
      <c r="K2097" s="21">
        <v>2296000</v>
      </c>
      <c r="L2097" s="21"/>
      <c r="M2097" s="22">
        <f>(PROVEEDORES[[#This Row],[SUBTOTAL]]-PROVEEDORES[[#This Row],[descuento sobre subtotal]])*VLOOKUP(PROVEEDORES[[#This Row],[PROVEEDOR]],TERCEROS_INFO[#All],3,FALSE)</f>
        <v>0</v>
      </c>
      <c r="N2097" s="23"/>
      <c r="O2097" s="22">
        <f>+PROVEEDORES[[#This Row],[Descuento sobre subtotal %]]*(PROVEEDORES[[#This Row],[SUBTOTAL]]-PROVEEDORES[[#This Row],[descuento sobre subtotal]])</f>
        <v>0</v>
      </c>
      <c r="P2097" s="74">
        <f>+IF(PROVEEDORES[[#This Row],[SUBTOTAL]]&lt;PROVEEDORES[[#This Row],[base retencion]],0,PROVEEDORES[[#This Row],[retención aplicada]])</f>
        <v>0</v>
      </c>
      <c r="Q2097" s="22">
        <f>+PROVEEDORES[[#This Row],[Rete Fuente %]]*(PROVEEDORES[[#This Row],[SUBTOTAL]]-PROVEEDORES[[#This Row],[descuento sobre subtotal]])</f>
        <v>0</v>
      </c>
      <c r="R2097" s="21">
        <f>+PROVEEDORES[[#This Row],[SUBTOTAL]]+PROVEEDORES[[#This Row],[IVA 19%]]-PROVEEDORES[[#This Row],[descuento sobre subtotal]]-PROVEEDORES[[#This Row],[Descuento sobre subtotal $2]]-PROVEEDORES[[#This Row],[Rete Fuente $]]</f>
        <v>2296000</v>
      </c>
      <c r="S209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7" s="63">
        <f ca="1">IF(PROVEEDORES[[#This Row],[FECHA DE PAGO]]=0,TODAY()-PROVEEDORES[[#This Row],[FECHA DE FACTURACIÓN]]-PROVEEDORES[[#This Row],[PLAZO Días]],0)</f>
        <v>0</v>
      </c>
      <c r="U2097" s="104">
        <f>+VLOOKUP(PROVEEDORES[[#This Row],[PROVEEDOR]],Terceros!$A:$D,4,FALSE)</f>
        <v>0</v>
      </c>
      <c r="V2097" s="105">
        <f>+YEAR(PROVEEDORES[[#This Row],[FECHA DE FACTURACIÓN]])</f>
        <v>2023</v>
      </c>
      <c r="W2097" s="105">
        <f>+MATCH(PROVEEDORES[[#This Row],[año facturado]],Retenciones!$1:$1,0)</f>
        <v>6</v>
      </c>
      <c r="X2097" s="106">
        <f>+VLOOKUP(PROVEEDORES[[#This Row],[ID RETENCION]],Retenciones!$A$1:$O$25,PROVEEDORES[[#This Row],[indicador de columna]],FALSE)</f>
        <v>0</v>
      </c>
      <c r="Y2097" s="107">
        <f>+VLOOKUP(PROVEEDORES[[#This Row],[ID RETENCION]],Retenciones!$A$1:$O$25,2,FALSE)</f>
        <v>0</v>
      </c>
      <c r="Z2097" s="116" t="b">
        <f>OR(COUNTIF(PROVEEDORES[[#This Row],[PROVEEDOR]],"*"&amp;'Palabra no opera'!$A$2&amp;"*"))</f>
        <v>0</v>
      </c>
    </row>
    <row r="2098" spans="1:26" ht="22.35" customHeight="1" x14ac:dyDescent="0.3">
      <c r="A2098" s="67" t="str">
        <f>+IF(PROVEEDORES[[#This Row],[FECHA DE PAGO]]=PROVEEDORES[[#This Row],[FECHA DE FACTURACIÓN]],"DE CONTADO","CRÉDITO")</f>
        <v>DE CONTADO</v>
      </c>
      <c r="B2098" s="38" t="b">
        <f>+IF((PROVEEDORES[[#This Row],[FECHA DE PAGO]]-PROVEEDORES[[#This Row],[FECHA DE FACTURACIÓN]])&gt;PROVEEDORES[[#This Row],[PLAZO Días]],"PAGO VENCIDO")</f>
        <v>0</v>
      </c>
      <c r="C2098" s="20">
        <f>+VLOOKUP(PROVEEDORES[[#This Row],[PROVEEDOR]],TERCEROS_INFO[#All],2,FALSE)</f>
        <v>30</v>
      </c>
      <c r="D2098" s="25">
        <f>+SUMIFS(PROVEEDORES[Total],PROVEEDORES[PROVEEDOR],PROVEEDORES[[#This Row],[PROVEEDOR]],PROVEEDORES[FECHA DE PAGO],"")</f>
        <v>0</v>
      </c>
      <c r="E2098" s="25"/>
      <c r="F2098" s="56" t="str">
        <f>+VLOOKUP(PROVEEDORES[[#This Row],[PROVEEDOR]],
                       Terceros!$A:$F,
                       5,
                       FALSE)</f>
        <v/>
      </c>
      <c r="G2098" s="68">
        <v>45244</v>
      </c>
      <c r="H2098" s="26" t="s">
        <v>53</v>
      </c>
      <c r="I2098" s="68">
        <v>45244</v>
      </c>
      <c r="J2098" s="35">
        <v>310278</v>
      </c>
      <c r="K2098" s="21">
        <v>1036000</v>
      </c>
      <c r="L2098" s="21"/>
      <c r="M2098" s="22">
        <f>(PROVEEDORES[[#This Row],[SUBTOTAL]]-PROVEEDORES[[#This Row],[descuento sobre subtotal]])*VLOOKUP(PROVEEDORES[[#This Row],[PROVEEDOR]],TERCEROS_INFO[#All],3,FALSE)</f>
        <v>0</v>
      </c>
      <c r="N2098" s="23"/>
      <c r="O2098" s="22">
        <f>+PROVEEDORES[[#This Row],[Descuento sobre subtotal %]]*(PROVEEDORES[[#This Row],[SUBTOTAL]]-PROVEEDORES[[#This Row],[descuento sobre subtotal]])</f>
        <v>0</v>
      </c>
      <c r="P2098" s="74">
        <f>+IF(PROVEEDORES[[#This Row],[SUBTOTAL]]&lt;PROVEEDORES[[#This Row],[base retencion]],0,PROVEEDORES[[#This Row],[retención aplicada]])</f>
        <v>0</v>
      </c>
      <c r="Q2098" s="22">
        <f>+PROVEEDORES[[#This Row],[Rete Fuente %]]*(PROVEEDORES[[#This Row],[SUBTOTAL]]-PROVEEDORES[[#This Row],[descuento sobre subtotal]])</f>
        <v>0</v>
      </c>
      <c r="R2098" s="21">
        <f>+PROVEEDORES[[#This Row],[SUBTOTAL]]+PROVEEDORES[[#This Row],[IVA 19%]]-PROVEEDORES[[#This Row],[descuento sobre subtotal]]-PROVEEDORES[[#This Row],[Descuento sobre subtotal $2]]-PROVEEDORES[[#This Row],[Rete Fuente $]]</f>
        <v>1036000</v>
      </c>
      <c r="S20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8" s="63">
        <f ca="1">IF(PROVEEDORES[[#This Row],[FECHA DE PAGO]]=0,TODAY()-PROVEEDORES[[#This Row],[FECHA DE FACTURACIÓN]]-PROVEEDORES[[#This Row],[PLAZO Días]],0)</f>
        <v>0</v>
      </c>
      <c r="U2098" s="104">
        <f>+VLOOKUP(PROVEEDORES[[#This Row],[PROVEEDOR]],Terceros!$A:$D,4,FALSE)</f>
        <v>0</v>
      </c>
      <c r="V2098" s="105">
        <f>+YEAR(PROVEEDORES[[#This Row],[FECHA DE FACTURACIÓN]])</f>
        <v>2023</v>
      </c>
      <c r="W2098" s="105">
        <f>+MATCH(PROVEEDORES[[#This Row],[año facturado]],Retenciones!$1:$1,0)</f>
        <v>6</v>
      </c>
      <c r="X2098" s="106">
        <f>+VLOOKUP(PROVEEDORES[[#This Row],[ID RETENCION]],Retenciones!$A$1:$O$25,PROVEEDORES[[#This Row],[indicador de columna]],FALSE)</f>
        <v>0</v>
      </c>
      <c r="Y2098" s="107">
        <f>+VLOOKUP(PROVEEDORES[[#This Row],[ID RETENCION]],Retenciones!$A$1:$O$25,2,FALSE)</f>
        <v>0</v>
      </c>
      <c r="Z2098" s="116" t="b">
        <f>OR(COUNTIF(PROVEEDORES[[#This Row],[PROVEEDOR]],"*"&amp;'Palabra no opera'!$A$2&amp;"*"))</f>
        <v>0</v>
      </c>
    </row>
    <row r="2099" spans="1:26" ht="22.35" customHeight="1" x14ac:dyDescent="0.3">
      <c r="A2099" s="67" t="str">
        <f>+IF(PROVEEDORES[[#This Row],[FECHA DE PAGO]]=PROVEEDORES[[#This Row],[FECHA DE FACTURACIÓN]],"DE CONTADO","CRÉDITO")</f>
        <v>DE CONTADO</v>
      </c>
      <c r="B2099" s="38" t="b">
        <f>+IF((PROVEEDORES[[#This Row],[FECHA DE PAGO]]-PROVEEDORES[[#This Row],[FECHA DE FACTURACIÓN]])&gt;PROVEEDORES[[#This Row],[PLAZO Días]],"PAGO VENCIDO")</f>
        <v>0</v>
      </c>
      <c r="C2099" s="20">
        <f>+VLOOKUP(PROVEEDORES[[#This Row],[PROVEEDOR]],TERCEROS_INFO[#All],2,FALSE)</f>
        <v>30</v>
      </c>
      <c r="D2099" s="25">
        <f>+SUMIFS(PROVEEDORES[Total],PROVEEDORES[PROVEEDOR],PROVEEDORES[[#This Row],[PROVEEDOR]],PROVEEDORES[FECHA DE PAGO],"")</f>
        <v>0</v>
      </c>
      <c r="E2099" s="25"/>
      <c r="F209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099" s="68">
        <v>45244</v>
      </c>
      <c r="H2099" s="26" t="s">
        <v>227</v>
      </c>
      <c r="I2099" s="68">
        <v>45244</v>
      </c>
      <c r="J2099" s="35" t="s">
        <v>2137</v>
      </c>
      <c r="K2099" s="21">
        <v>2313921</v>
      </c>
      <c r="L2099" s="21"/>
      <c r="M2099" s="22">
        <f>(PROVEEDORES[[#This Row],[SUBTOTAL]]-PROVEEDORES[[#This Row],[descuento sobre subtotal]])*VLOOKUP(PROVEEDORES[[#This Row],[PROVEEDOR]],TERCEROS_INFO[#All],3,FALSE)</f>
        <v>0</v>
      </c>
      <c r="N2099" s="23"/>
      <c r="O2099" s="22">
        <f>+PROVEEDORES[[#This Row],[Descuento sobre subtotal %]]*(PROVEEDORES[[#This Row],[SUBTOTAL]]-PROVEEDORES[[#This Row],[descuento sobre subtotal]])</f>
        <v>0</v>
      </c>
      <c r="P2099" s="74">
        <f>+IF(PROVEEDORES[[#This Row],[SUBTOTAL]]&lt;PROVEEDORES[[#This Row],[base retencion]],0,PROVEEDORES[[#This Row],[retención aplicada]])</f>
        <v>0</v>
      </c>
      <c r="Q2099" s="22">
        <f>+PROVEEDORES[[#This Row],[Rete Fuente %]]*(PROVEEDORES[[#This Row],[SUBTOTAL]]-PROVEEDORES[[#This Row],[descuento sobre subtotal]])</f>
        <v>0</v>
      </c>
      <c r="R2099" s="21">
        <f>+PROVEEDORES[[#This Row],[SUBTOTAL]]+PROVEEDORES[[#This Row],[IVA 19%]]-PROVEEDORES[[#This Row],[descuento sobre subtotal]]-PROVEEDORES[[#This Row],[Descuento sobre subtotal $2]]-PROVEEDORES[[#This Row],[Rete Fuente $]]</f>
        <v>2313921</v>
      </c>
      <c r="S20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9" s="63">
        <f ca="1">IF(PROVEEDORES[[#This Row],[FECHA DE PAGO]]=0,TODAY()-PROVEEDORES[[#This Row],[FECHA DE FACTURACIÓN]]-PROVEEDORES[[#This Row],[PLAZO Días]],0)</f>
        <v>0</v>
      </c>
      <c r="U2099" s="104">
        <f>+VLOOKUP(PROVEEDORES[[#This Row],[PROVEEDOR]],Terceros!$A:$D,4,FALSE)</f>
        <v>0</v>
      </c>
      <c r="V2099" s="105">
        <f>+YEAR(PROVEEDORES[[#This Row],[FECHA DE FACTURACIÓN]])</f>
        <v>2023</v>
      </c>
      <c r="W2099" s="105">
        <f>+MATCH(PROVEEDORES[[#This Row],[año facturado]],Retenciones!$1:$1,0)</f>
        <v>6</v>
      </c>
      <c r="X2099" s="106">
        <f>+VLOOKUP(PROVEEDORES[[#This Row],[ID RETENCION]],Retenciones!$A$1:$O$25,PROVEEDORES[[#This Row],[indicador de columna]],FALSE)</f>
        <v>0</v>
      </c>
      <c r="Y2099" s="107">
        <f>+VLOOKUP(PROVEEDORES[[#This Row],[ID RETENCION]],Retenciones!$A$1:$O$25,2,FALSE)</f>
        <v>0</v>
      </c>
      <c r="Z2099" s="116" t="b">
        <f>OR(COUNTIF(PROVEEDORES[[#This Row],[PROVEEDOR]],"*"&amp;'Palabra no opera'!$A$2&amp;"*"))</f>
        <v>0</v>
      </c>
    </row>
    <row r="2100" spans="1:26" ht="22.35" customHeight="1" x14ac:dyDescent="0.3">
      <c r="A2100" s="387" t="str">
        <f>+IF(PROVEEDORES[[#This Row],[FECHA DE PAGO]]=PROVEEDORES[[#This Row],[FECHA DE FACTURACIÓN]],"DE CONTADO","CRÉDITO")</f>
        <v>DE CONTADO</v>
      </c>
      <c r="B2100" s="38" t="b">
        <f>+IF((PROVEEDORES[[#This Row],[FECHA DE PAGO]]-PROVEEDORES[[#This Row],[FECHA DE FACTURACIÓN]])&gt;PROVEEDORES[[#This Row],[PLAZO Días]],"PAGO VENCIDO")</f>
        <v>0</v>
      </c>
      <c r="C2100" s="20">
        <f>+VLOOKUP(PROVEEDORES[[#This Row],[PROVEEDOR]],TERCEROS_INFO[#All],2,FALSE)</f>
        <v>30</v>
      </c>
      <c r="D2100" s="25">
        <f>+SUMIFS(PROVEEDORES[Total],PROVEEDORES[PROVEEDOR],PROVEEDORES[[#This Row],[PROVEEDOR]],PROVEEDORES[FECHA DE PAGO],"")</f>
        <v>0</v>
      </c>
      <c r="E2100" s="25"/>
      <c r="F2100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2100" s="68">
        <v>45244</v>
      </c>
      <c r="H2100" s="26" t="s">
        <v>2094</v>
      </c>
      <c r="I2100" s="68">
        <v>45244</v>
      </c>
      <c r="J2100" s="35" t="s">
        <v>2161</v>
      </c>
      <c r="K2100" s="21">
        <v>502938</v>
      </c>
      <c r="L2100" s="21"/>
      <c r="M2100" s="22">
        <f>(PROVEEDORES[[#This Row],[SUBTOTAL]]-PROVEEDORES[[#This Row],[descuento sobre subtotal]])*VLOOKUP(PROVEEDORES[[#This Row],[PROVEEDOR]],TERCEROS_INFO[#All],3,FALSE)</f>
        <v>95558.22</v>
      </c>
      <c r="N2100" s="23"/>
      <c r="O2100" s="22">
        <f>+PROVEEDORES[[#This Row],[Descuento sobre subtotal %]]*(PROVEEDORES[[#This Row],[SUBTOTAL]]-PROVEEDORES[[#This Row],[descuento sobre subtotal]])</f>
        <v>0</v>
      </c>
      <c r="P2100" s="74">
        <f>+IF(PROVEEDORES[[#This Row],[SUBTOTAL]]&lt;PROVEEDORES[[#This Row],[base retencion]],0,PROVEEDORES[[#This Row],[retención aplicada]])</f>
        <v>0</v>
      </c>
      <c r="Q2100" s="22">
        <f>+PROVEEDORES[[#This Row],[Rete Fuente %]]*(PROVEEDORES[[#This Row],[SUBTOTAL]]-PROVEEDORES[[#This Row],[descuento sobre subtotal]])</f>
        <v>0</v>
      </c>
      <c r="R2100" s="21">
        <f>+PROVEEDORES[[#This Row],[SUBTOTAL]]+PROVEEDORES[[#This Row],[IVA 19%]]-PROVEEDORES[[#This Row],[descuento sobre subtotal]]-PROVEEDORES[[#This Row],[Descuento sobre subtotal $2]]-PROVEEDORES[[#This Row],[Rete Fuente $]]</f>
        <v>598496.22</v>
      </c>
      <c r="S2100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0" s="63">
        <f ca="1">IF(PROVEEDORES[[#This Row],[FECHA DE PAGO]]=0,TODAY()-PROVEEDORES[[#This Row],[FECHA DE FACTURACIÓN]]-PROVEEDORES[[#This Row],[PLAZO Días]],0)</f>
        <v>0</v>
      </c>
      <c r="U2100" s="104" t="str">
        <f>+VLOOKUP(PROVEEDORES[[#This Row],[PROVEEDOR]],Terceros!$A:$D,4,FALSE)</f>
        <v>2,5% con base</v>
      </c>
      <c r="V2100" s="105">
        <f>+YEAR(PROVEEDORES[[#This Row],[FECHA DE FACTURACIÓN]])</f>
        <v>2023</v>
      </c>
      <c r="W2100" s="105">
        <f>+MATCH(PROVEEDORES[[#This Row],[año facturado]],Retenciones!$1:$1,0)</f>
        <v>6</v>
      </c>
      <c r="X2100" s="106">
        <f>+VLOOKUP(PROVEEDORES[[#This Row],[ID RETENCION]],Retenciones!$A$1:$O$25,PROVEEDORES[[#This Row],[indicador de columna]],FALSE)</f>
        <v>1145000</v>
      </c>
      <c r="Y2100" s="107">
        <f>+VLOOKUP(PROVEEDORES[[#This Row],[ID RETENCION]],Retenciones!$A$1:$O$25,2,FALSE)</f>
        <v>2.5000000000000001E-2</v>
      </c>
      <c r="Z2100" s="116" t="b">
        <f>OR(COUNTIF(PROVEEDORES[[#This Row],[PROVEEDOR]],"*"&amp;'Palabra no opera'!$A$2&amp;"*"))</f>
        <v>0</v>
      </c>
    </row>
    <row r="2101" spans="1:26" ht="22.35" customHeight="1" x14ac:dyDescent="0.3">
      <c r="A2101" s="67" t="str">
        <f>+IF(PROVEEDORES[[#This Row],[FECHA DE PAGO]]=PROVEEDORES[[#This Row],[FECHA DE FACTURACIÓN]],"DE CONTADO","CRÉDITO")</f>
        <v>DE CONTADO</v>
      </c>
      <c r="B2101" s="38" t="b">
        <f>+IF((PROVEEDORES[[#This Row],[FECHA DE PAGO]]-PROVEEDORES[[#This Row],[FECHA DE FACTURACIÓN]])&gt;PROVEEDORES[[#This Row],[PLAZO Días]],"PAGO VENCIDO")</f>
        <v>0</v>
      </c>
      <c r="C2101" s="20">
        <f>+VLOOKUP(PROVEEDORES[[#This Row],[PROVEEDOR]],TERCEROS_INFO[#All],2,FALSE)</f>
        <v>30</v>
      </c>
      <c r="D2101" s="25">
        <f>+SUMIFS(PROVEEDORES[Total],PROVEEDORES[PROVEEDOR],PROVEEDORES[[#This Row],[PROVEEDOR]],PROVEEDORES[FECHA DE PAGO],"")</f>
        <v>0</v>
      </c>
      <c r="E2101" s="25"/>
      <c r="F2101" s="56" t="str">
        <f>+VLOOKUP(PROVEEDORES[[#This Row],[PROVEEDOR]],
                       Terceros!$A:$F,
                       5,
                       FALSE)</f>
        <v/>
      </c>
      <c r="G2101" s="68">
        <v>45245</v>
      </c>
      <c r="H2101" s="26" t="s">
        <v>362</v>
      </c>
      <c r="I2101" s="68">
        <v>45245</v>
      </c>
      <c r="J2101" s="35" t="s">
        <v>2197</v>
      </c>
      <c r="K2101" s="21">
        <v>600000</v>
      </c>
      <c r="L2101" s="21"/>
      <c r="M2101" s="22">
        <f>(PROVEEDORES[[#This Row],[SUBTOTAL]]-PROVEEDORES[[#This Row],[descuento sobre subtotal]])*VLOOKUP(PROVEEDORES[[#This Row],[PROVEEDOR]],TERCEROS_INFO[#All],3,FALSE)</f>
        <v>0</v>
      </c>
      <c r="N2101" s="23"/>
      <c r="O2101" s="22">
        <f>+PROVEEDORES[[#This Row],[Descuento sobre subtotal %]]*(PROVEEDORES[[#This Row],[SUBTOTAL]]-PROVEEDORES[[#This Row],[descuento sobre subtotal]])</f>
        <v>0</v>
      </c>
      <c r="P2101" s="74">
        <f>+IF(PROVEEDORES[[#This Row],[SUBTOTAL]]&lt;PROVEEDORES[[#This Row],[base retencion]],0,PROVEEDORES[[#This Row],[retención aplicada]])</f>
        <v>0</v>
      </c>
      <c r="Q2101" s="22">
        <f>+PROVEEDORES[[#This Row],[Rete Fuente %]]*(PROVEEDORES[[#This Row],[SUBTOTAL]]-PROVEEDORES[[#This Row],[descuento sobre subtotal]])</f>
        <v>0</v>
      </c>
      <c r="R2101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21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1" s="63">
        <f ca="1">IF(PROVEEDORES[[#This Row],[FECHA DE PAGO]]=0,TODAY()-PROVEEDORES[[#This Row],[FECHA DE FACTURACIÓN]]-PROVEEDORES[[#This Row],[PLAZO Días]],0)</f>
        <v>0</v>
      </c>
      <c r="U2101" s="104">
        <f>+VLOOKUP(PROVEEDORES[[#This Row],[PROVEEDOR]],Terceros!$A:$D,4,FALSE)</f>
        <v>0</v>
      </c>
      <c r="V2101" s="105">
        <f>+YEAR(PROVEEDORES[[#This Row],[FECHA DE FACTURACIÓN]])</f>
        <v>2023</v>
      </c>
      <c r="W2101" s="105">
        <f>+MATCH(PROVEEDORES[[#This Row],[año facturado]],Retenciones!$1:$1,0)</f>
        <v>6</v>
      </c>
      <c r="X2101" s="106">
        <f>+VLOOKUP(PROVEEDORES[[#This Row],[ID RETENCION]],Retenciones!$A$1:$O$25,PROVEEDORES[[#This Row],[indicador de columna]],FALSE)</f>
        <v>0</v>
      </c>
      <c r="Y2101" s="107">
        <f>+VLOOKUP(PROVEEDORES[[#This Row],[ID RETENCION]],Retenciones!$A$1:$O$25,2,FALSE)</f>
        <v>0</v>
      </c>
      <c r="Z2101" s="116" t="b">
        <f>OR(COUNTIF(PROVEEDORES[[#This Row],[PROVEEDOR]],"*"&amp;'Palabra no opera'!$A$2&amp;"*"))</f>
        <v>0</v>
      </c>
    </row>
    <row r="2102" spans="1:26" ht="22.35" customHeight="1" x14ac:dyDescent="0.3">
      <c r="A2102" s="67" t="str">
        <f>+IF(PROVEEDORES[[#This Row],[FECHA DE PAGO]]=PROVEEDORES[[#This Row],[FECHA DE FACTURACIÓN]],"DE CONTADO","CRÉDITO")</f>
        <v>DE CONTADO</v>
      </c>
      <c r="B2102" s="38" t="b">
        <f>+IF((PROVEEDORES[[#This Row],[FECHA DE PAGO]]-PROVEEDORES[[#This Row],[FECHA DE FACTURACIÓN]])&gt;PROVEEDORES[[#This Row],[PLAZO Días]],"PAGO VENCIDO")</f>
        <v>0</v>
      </c>
      <c r="C2102" s="20">
        <f>+VLOOKUP(PROVEEDORES[[#This Row],[PROVEEDOR]],TERCEROS_INFO[#All],2,FALSE)</f>
        <v>30</v>
      </c>
      <c r="D2102" s="25">
        <f>+SUMIFS(PROVEEDORES[Total],PROVEEDORES[PROVEEDOR],PROVEEDORES[[#This Row],[PROVEEDOR]],PROVEEDORES[FECHA DE PAGO],"")</f>
        <v>0</v>
      </c>
      <c r="E2102" s="25"/>
      <c r="F2102" s="56" t="str">
        <f>+VLOOKUP(PROVEEDORES[[#This Row],[PROVEEDOR]],
                       Terceros!$A:$F,
                       5,
                       FALSE)</f>
        <v/>
      </c>
      <c r="G2102" s="68">
        <v>45245</v>
      </c>
      <c r="H2102" s="26" t="s">
        <v>378</v>
      </c>
      <c r="I2102" s="68">
        <v>45245</v>
      </c>
      <c r="J2102" s="35" t="s">
        <v>2194</v>
      </c>
      <c r="K2102" s="21">
        <v>460000</v>
      </c>
      <c r="L2102" s="21"/>
      <c r="M2102" s="22">
        <f>(PROVEEDORES[[#This Row],[SUBTOTAL]]-PROVEEDORES[[#This Row],[descuento sobre subtotal]])*VLOOKUP(PROVEEDORES[[#This Row],[PROVEEDOR]],TERCEROS_INFO[#All],3,FALSE)</f>
        <v>0</v>
      </c>
      <c r="N2102" s="23"/>
      <c r="O2102" s="22">
        <f>+PROVEEDORES[[#This Row],[Descuento sobre subtotal %]]*(PROVEEDORES[[#This Row],[SUBTOTAL]]-PROVEEDORES[[#This Row],[descuento sobre subtotal]])</f>
        <v>0</v>
      </c>
      <c r="P2102" s="74">
        <f>+IF(PROVEEDORES[[#This Row],[SUBTOTAL]]&lt;PROVEEDORES[[#This Row],[base retencion]],0,PROVEEDORES[[#This Row],[retención aplicada]])</f>
        <v>0</v>
      </c>
      <c r="Q2102" s="22">
        <f>+PROVEEDORES[[#This Row],[Rete Fuente %]]*(PROVEEDORES[[#This Row],[SUBTOTAL]]-PROVEEDORES[[#This Row],[descuento sobre subtotal]])</f>
        <v>0</v>
      </c>
      <c r="R2102" s="21">
        <f>+PROVEEDORES[[#This Row],[SUBTOTAL]]+PROVEEDORES[[#This Row],[IVA 19%]]-PROVEEDORES[[#This Row],[descuento sobre subtotal]]-PROVEEDORES[[#This Row],[Descuento sobre subtotal $2]]-PROVEEDORES[[#This Row],[Rete Fuente $]]</f>
        <v>460000</v>
      </c>
      <c r="S210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2" s="63">
        <f ca="1">IF(PROVEEDORES[[#This Row],[FECHA DE PAGO]]=0,TODAY()-PROVEEDORES[[#This Row],[FECHA DE FACTURACIÓN]]-PROVEEDORES[[#This Row],[PLAZO Días]],0)</f>
        <v>0</v>
      </c>
      <c r="U2102" s="104">
        <f>+VLOOKUP(PROVEEDORES[[#This Row],[PROVEEDOR]],Terceros!$A:$D,4,FALSE)</f>
        <v>0</v>
      </c>
      <c r="V2102" s="105">
        <f>+YEAR(PROVEEDORES[[#This Row],[FECHA DE FACTURACIÓN]])</f>
        <v>2023</v>
      </c>
      <c r="W2102" s="105">
        <f>+MATCH(PROVEEDORES[[#This Row],[año facturado]],Retenciones!$1:$1,0)</f>
        <v>6</v>
      </c>
      <c r="X2102" s="106">
        <f>+VLOOKUP(PROVEEDORES[[#This Row],[ID RETENCION]],Retenciones!$A$1:$O$25,PROVEEDORES[[#This Row],[indicador de columna]],FALSE)</f>
        <v>0</v>
      </c>
      <c r="Y2102" s="107">
        <f>+VLOOKUP(PROVEEDORES[[#This Row],[ID RETENCION]],Retenciones!$A$1:$O$25,2,FALSE)</f>
        <v>0</v>
      </c>
      <c r="Z2102" s="116" t="b">
        <f>OR(COUNTIF(PROVEEDORES[[#This Row],[PROVEEDOR]],"*"&amp;'Palabra no opera'!$A$2&amp;"*"))</f>
        <v>0</v>
      </c>
    </row>
    <row r="2103" spans="1:26" ht="22.35" customHeight="1" x14ac:dyDescent="0.3">
      <c r="A2103" s="67" t="str">
        <f>+IF(PROVEEDORES[[#This Row],[FECHA DE PAGO]]=PROVEEDORES[[#This Row],[FECHA DE FACTURACIÓN]],"DE CONTADO","CRÉDITO")</f>
        <v>CRÉDITO</v>
      </c>
      <c r="B2103" s="38" t="str">
        <f>+IF((PROVEEDORES[[#This Row],[FECHA DE PAGO]]-PROVEEDORES[[#This Row],[FECHA DE FACTURACIÓN]])&gt;PROVEEDORES[[#This Row],[PLAZO Días]],"PAGO VENCIDO")</f>
        <v>PAGO VENCIDO</v>
      </c>
      <c r="C2103" s="20">
        <f>+VLOOKUP(PROVEEDORES[[#This Row],[PROVEEDOR]],TERCEROS_INFO[#All],2,FALSE)</f>
        <v>13</v>
      </c>
      <c r="D2103" s="25">
        <f>+SUMIFS(PROVEEDORES[Total],PROVEEDORES[PROVEEDOR],PROVEEDORES[[#This Row],[PROVEEDOR]],PROVEEDORES[FECHA DE PAGO],"")</f>
        <v>0</v>
      </c>
      <c r="E2103" s="25"/>
      <c r="F2103" s="56">
        <f>+VLOOKUP(PROVEEDORES[[#This Row],[PROVEEDOR]],
                       Terceros!$A:$F,
                       5,
                       FALSE)</f>
        <v>0</v>
      </c>
      <c r="G2103" s="68">
        <v>45245</v>
      </c>
      <c r="H2103" s="26" t="s">
        <v>644</v>
      </c>
      <c r="I2103" s="68">
        <v>45231</v>
      </c>
      <c r="J2103" s="35"/>
      <c r="K2103" s="21">
        <v>959182</v>
      </c>
      <c r="L2103" s="21"/>
      <c r="M2103" s="22">
        <f>(PROVEEDORES[[#This Row],[SUBTOTAL]]-PROVEEDORES[[#This Row],[descuento sobre subtotal]])*VLOOKUP(PROVEEDORES[[#This Row],[PROVEEDOR]],TERCEROS_INFO[#All],3,FALSE)</f>
        <v>0</v>
      </c>
      <c r="N2103" s="23"/>
      <c r="O2103" s="22">
        <f>+PROVEEDORES[[#This Row],[Descuento sobre subtotal %]]*(PROVEEDORES[[#This Row],[SUBTOTAL]]-PROVEEDORES[[#This Row],[descuento sobre subtotal]])</f>
        <v>0</v>
      </c>
      <c r="P2103" s="74">
        <f>+IF(PROVEEDORES[[#This Row],[SUBTOTAL]]&lt;PROVEEDORES[[#This Row],[base retencion]],0,PROVEEDORES[[#This Row],[retención aplicada]])</f>
        <v>0</v>
      </c>
      <c r="Q2103" s="22">
        <f>+PROVEEDORES[[#This Row],[Rete Fuente %]]*(PROVEEDORES[[#This Row],[SUBTOTAL]]-PROVEEDORES[[#This Row],[descuento sobre subtotal]])</f>
        <v>0</v>
      </c>
      <c r="R2103" s="21">
        <f>+PROVEEDORES[[#This Row],[SUBTOTAL]]+PROVEEDORES[[#This Row],[IVA 19%]]-PROVEEDORES[[#This Row],[descuento sobre subtotal]]-PROVEEDORES[[#This Row],[Descuento sobre subtotal $2]]-PROVEEDORES[[#This Row],[Rete Fuente $]]</f>
        <v>959182</v>
      </c>
      <c r="S21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3" s="63">
        <f ca="1">IF(PROVEEDORES[[#This Row],[FECHA DE PAGO]]=0,TODAY()-PROVEEDORES[[#This Row],[FECHA DE FACTURACIÓN]]-PROVEEDORES[[#This Row],[PLAZO Días]],0)</f>
        <v>0</v>
      </c>
      <c r="U2103" s="104">
        <f>+VLOOKUP(PROVEEDORES[[#This Row],[PROVEEDOR]],Terceros!$A:$D,4,FALSE)</f>
        <v>0</v>
      </c>
      <c r="V2103" s="105">
        <f>+YEAR(PROVEEDORES[[#This Row],[FECHA DE FACTURACIÓN]])</f>
        <v>2023</v>
      </c>
      <c r="W2103" s="105">
        <f>+MATCH(PROVEEDORES[[#This Row],[año facturado]],Retenciones!$1:$1,0)</f>
        <v>6</v>
      </c>
      <c r="X2103" s="106">
        <f>+VLOOKUP(PROVEEDORES[[#This Row],[ID RETENCION]],Retenciones!$A$1:$O$25,PROVEEDORES[[#This Row],[indicador de columna]],FALSE)</f>
        <v>0</v>
      </c>
      <c r="Y2103" s="107">
        <f>+VLOOKUP(PROVEEDORES[[#This Row],[ID RETENCION]],Retenciones!$A$1:$O$25,2,FALSE)</f>
        <v>0</v>
      </c>
      <c r="Z2103" s="116" t="b">
        <f>OR(COUNTIF(PROVEEDORES[[#This Row],[PROVEEDOR]],"*"&amp;'Palabra no opera'!$A$2&amp;"*"))</f>
        <v>1</v>
      </c>
    </row>
    <row r="2104" spans="1:26" ht="22.35" customHeight="1" x14ac:dyDescent="0.3">
      <c r="A2104" s="67" t="str">
        <f>+IF(PROVEEDORES[[#This Row],[FECHA DE PAGO]]=PROVEEDORES[[#This Row],[FECHA DE FACTURACIÓN]],"DE CONTADO","CRÉDITO")</f>
        <v>CRÉDITO</v>
      </c>
      <c r="B2104" s="38" t="b">
        <f>+IF((PROVEEDORES[[#This Row],[FECHA DE PAGO]]-PROVEEDORES[[#This Row],[FECHA DE FACTURACIÓN]])&gt;PROVEEDORES[[#This Row],[PLAZO Días]],"PAGO VENCIDO")</f>
        <v>0</v>
      </c>
      <c r="C2104" s="20">
        <f>+VLOOKUP(PROVEEDORES[[#This Row],[PROVEEDOR]],TERCEROS_INFO[#All],2,FALSE)</f>
        <v>30</v>
      </c>
      <c r="D2104" s="25">
        <f>+SUMIFS(PROVEEDORES[Total],PROVEEDORES[PROVEEDOR],PROVEEDORES[[#This Row],[PROVEEDOR]],PROVEEDORES[FECHA DE PAGO],"")</f>
        <v>0</v>
      </c>
      <c r="E2104" s="25"/>
      <c r="F2104" s="56" t="str">
        <f>+VLOOKUP(PROVEEDORES[[#This Row],[PROVEEDOR]],
                       Terceros!$A:$F,
                       5,
                       FALSE)</f>
        <v/>
      </c>
      <c r="G2104" s="68">
        <v>45246</v>
      </c>
      <c r="H2104" s="26" t="s">
        <v>1194</v>
      </c>
      <c r="I2104" s="68">
        <v>45245</v>
      </c>
      <c r="J2104" s="35" t="s">
        <v>2201</v>
      </c>
      <c r="K2104" s="21">
        <v>4811000</v>
      </c>
      <c r="L2104" s="21"/>
      <c r="M2104" s="22">
        <f>(PROVEEDORES[[#This Row],[SUBTOTAL]]-PROVEEDORES[[#This Row],[descuento sobre subtotal]])*VLOOKUP(PROVEEDORES[[#This Row],[PROVEEDOR]],TERCEROS_INFO[#All],3,FALSE)</f>
        <v>0</v>
      </c>
      <c r="N2104" s="23"/>
      <c r="O2104" s="22">
        <f>+PROVEEDORES[[#This Row],[Descuento sobre subtotal %]]*(PROVEEDORES[[#This Row],[SUBTOTAL]]-PROVEEDORES[[#This Row],[descuento sobre subtotal]])</f>
        <v>0</v>
      </c>
      <c r="P2104" s="74">
        <f>+IF(PROVEEDORES[[#This Row],[SUBTOTAL]]&lt;PROVEEDORES[[#This Row],[base retencion]],0,PROVEEDORES[[#This Row],[retención aplicada]])</f>
        <v>0</v>
      </c>
      <c r="Q2104" s="22">
        <f>+PROVEEDORES[[#This Row],[Rete Fuente %]]*(PROVEEDORES[[#This Row],[SUBTOTAL]]-PROVEEDORES[[#This Row],[descuento sobre subtotal]])</f>
        <v>0</v>
      </c>
      <c r="R2104" s="21">
        <f>+PROVEEDORES[[#This Row],[SUBTOTAL]]+PROVEEDORES[[#This Row],[IVA 19%]]-PROVEEDORES[[#This Row],[descuento sobre subtotal]]-PROVEEDORES[[#This Row],[Descuento sobre subtotal $2]]-PROVEEDORES[[#This Row],[Rete Fuente $]]</f>
        <v>4811000</v>
      </c>
      <c r="S21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4" s="63">
        <f ca="1">IF(PROVEEDORES[[#This Row],[FECHA DE PAGO]]=0,TODAY()-PROVEEDORES[[#This Row],[FECHA DE FACTURACIÓN]]-PROVEEDORES[[#This Row],[PLAZO Días]],0)</f>
        <v>0</v>
      </c>
      <c r="U2104" s="104">
        <f>+VLOOKUP(PROVEEDORES[[#This Row],[PROVEEDOR]],Terceros!$A:$D,4,FALSE)</f>
        <v>0</v>
      </c>
      <c r="V2104" s="105">
        <f>+YEAR(PROVEEDORES[[#This Row],[FECHA DE FACTURACIÓN]])</f>
        <v>2023</v>
      </c>
      <c r="W2104" s="105">
        <f>+MATCH(PROVEEDORES[[#This Row],[año facturado]],Retenciones!$1:$1,0)</f>
        <v>6</v>
      </c>
      <c r="X2104" s="106">
        <f>+VLOOKUP(PROVEEDORES[[#This Row],[ID RETENCION]],Retenciones!$A$1:$O$25,PROVEEDORES[[#This Row],[indicador de columna]],FALSE)</f>
        <v>0</v>
      </c>
      <c r="Y2104" s="107">
        <f>+VLOOKUP(PROVEEDORES[[#This Row],[ID RETENCION]],Retenciones!$A$1:$O$25,2,FALSE)</f>
        <v>0</v>
      </c>
      <c r="Z2104" s="116" t="b">
        <f>OR(COUNTIF(PROVEEDORES[[#This Row],[PROVEEDOR]],"*"&amp;'Palabra no opera'!$A$2&amp;"*"))</f>
        <v>0</v>
      </c>
    </row>
    <row r="2105" spans="1:26" ht="22.35" customHeight="1" x14ac:dyDescent="0.3">
      <c r="A2105" s="67" t="str">
        <f>+IF(PROVEEDORES[[#This Row],[FECHA DE PAGO]]=PROVEEDORES[[#This Row],[FECHA DE FACTURACIÓN]],"DE CONTADO","CRÉDITO")</f>
        <v>DE CONTADO</v>
      </c>
      <c r="B2105" s="38" t="b">
        <f>+IF((PROVEEDORES[[#This Row],[FECHA DE PAGO]]-PROVEEDORES[[#This Row],[FECHA DE FACTURACIÓN]])&gt;PROVEEDORES[[#This Row],[PLAZO Días]],"PAGO VENCIDO")</f>
        <v>0</v>
      </c>
      <c r="C2105" s="20">
        <f>+VLOOKUP(PROVEEDORES[[#This Row],[PROVEEDOR]],TERCEROS_INFO[#All],2,FALSE)</f>
        <v>30</v>
      </c>
      <c r="D2105" s="25">
        <f>+SUMIFS(PROVEEDORES[Total],PROVEEDORES[PROVEEDOR],PROVEEDORES[[#This Row],[PROVEEDOR]],PROVEEDORES[FECHA DE PAGO],"")</f>
        <v>0</v>
      </c>
      <c r="E2105" s="25"/>
      <c r="F2105" s="56">
        <f>+VLOOKUP(PROVEEDORES[[#This Row],[PROVEEDOR]],
                       Terceros!$A:$F,
                       5,
                       FALSE)</f>
        <v>0</v>
      </c>
      <c r="G2105" s="68">
        <v>45246</v>
      </c>
      <c r="H2105" s="26" t="s">
        <v>2030</v>
      </c>
      <c r="I2105" s="68">
        <v>45246</v>
      </c>
      <c r="J2105" s="35" t="s">
        <v>2143</v>
      </c>
      <c r="K2105" s="21">
        <v>258800</v>
      </c>
      <c r="L2105" s="21"/>
      <c r="M2105" s="22">
        <f>(PROVEEDORES[[#This Row],[SUBTOTAL]]-PROVEEDORES[[#This Row],[descuento sobre subtotal]])*VLOOKUP(PROVEEDORES[[#This Row],[PROVEEDOR]],TERCEROS_INFO[#All],3,FALSE)</f>
        <v>0</v>
      </c>
      <c r="N2105" s="23"/>
      <c r="O2105" s="22">
        <f>+PROVEEDORES[[#This Row],[Descuento sobre subtotal %]]*(PROVEEDORES[[#This Row],[SUBTOTAL]]-PROVEEDORES[[#This Row],[descuento sobre subtotal]])</f>
        <v>0</v>
      </c>
      <c r="P2105" s="74">
        <f>+IF(PROVEEDORES[[#This Row],[SUBTOTAL]]&lt;PROVEEDORES[[#This Row],[base retencion]],0,PROVEEDORES[[#This Row],[retención aplicada]])</f>
        <v>0</v>
      </c>
      <c r="Q2105" s="22">
        <f>+PROVEEDORES[[#This Row],[Rete Fuente %]]*(PROVEEDORES[[#This Row],[SUBTOTAL]]-PROVEEDORES[[#This Row],[descuento sobre subtotal]])</f>
        <v>0</v>
      </c>
      <c r="R2105" s="21">
        <f>+PROVEEDORES[[#This Row],[SUBTOTAL]]+PROVEEDORES[[#This Row],[IVA 19%]]-PROVEEDORES[[#This Row],[descuento sobre subtotal]]-PROVEEDORES[[#This Row],[Descuento sobre subtotal $2]]-PROVEEDORES[[#This Row],[Rete Fuente $]]</f>
        <v>258800</v>
      </c>
      <c r="S21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5" s="63">
        <f ca="1">IF(PROVEEDORES[[#This Row],[FECHA DE PAGO]]=0,TODAY()-PROVEEDORES[[#This Row],[FECHA DE FACTURACIÓN]]-PROVEEDORES[[#This Row],[PLAZO Días]],0)</f>
        <v>0</v>
      </c>
      <c r="U2105" s="104">
        <f>+VLOOKUP(PROVEEDORES[[#This Row],[PROVEEDOR]],Terceros!$A:$D,4,FALSE)</f>
        <v>0</v>
      </c>
      <c r="V2105" s="105">
        <f>+YEAR(PROVEEDORES[[#This Row],[FECHA DE FACTURACIÓN]])</f>
        <v>2023</v>
      </c>
      <c r="W2105" s="105">
        <f>+MATCH(PROVEEDORES[[#This Row],[año facturado]],Retenciones!$1:$1,0)</f>
        <v>6</v>
      </c>
      <c r="X2105" s="106">
        <f>+VLOOKUP(PROVEEDORES[[#This Row],[ID RETENCION]],Retenciones!$A$1:$O$25,PROVEEDORES[[#This Row],[indicador de columna]],FALSE)</f>
        <v>0</v>
      </c>
      <c r="Y2105" s="107">
        <f>+VLOOKUP(PROVEEDORES[[#This Row],[ID RETENCION]],Retenciones!$A$1:$O$25,2,FALSE)</f>
        <v>0</v>
      </c>
      <c r="Z2105" s="116" t="b">
        <f>OR(COUNTIF(PROVEEDORES[[#This Row],[PROVEEDOR]],"*"&amp;'Palabra no opera'!$A$2&amp;"*"))</f>
        <v>0</v>
      </c>
    </row>
    <row r="2106" spans="1:26" ht="22.35" customHeight="1" x14ac:dyDescent="0.3">
      <c r="A2106" s="67" t="str">
        <f>+IF(PROVEEDORES[[#This Row],[FECHA DE PAGO]]=PROVEEDORES[[#This Row],[FECHA DE FACTURACIÓN]],"DE CONTADO","CRÉDITO")</f>
        <v>CRÉDITO</v>
      </c>
      <c r="B2106" s="38" t="b">
        <f>+IF((PROVEEDORES[[#This Row],[FECHA DE PAGO]]-PROVEEDORES[[#This Row],[FECHA DE FACTURACIÓN]])&gt;PROVEEDORES[[#This Row],[PLAZO Días]],"PAGO VENCIDO")</f>
        <v>0</v>
      </c>
      <c r="C2106" s="20">
        <f>+VLOOKUP(PROVEEDORES[[#This Row],[PROVEEDOR]],TERCEROS_INFO[#All],2,FALSE)</f>
        <v>30</v>
      </c>
      <c r="D2106" s="25">
        <f>+SUMIFS(PROVEEDORES[Total],PROVEEDORES[PROVEEDOR],PROVEEDORES[[#This Row],[PROVEEDOR]],PROVEEDORES[FECHA DE PAGO],"")</f>
        <v>27189617.395</v>
      </c>
      <c r="E2106" s="25"/>
      <c r="F2106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106" s="68">
        <v>45246</v>
      </c>
      <c r="H2106" s="26" t="s">
        <v>77</v>
      </c>
      <c r="I2106" s="68">
        <v>45218</v>
      </c>
      <c r="J2106" s="35" t="s">
        <v>2075</v>
      </c>
      <c r="K2106" s="21">
        <v>1478700</v>
      </c>
      <c r="L2106" s="21"/>
      <c r="M2106" s="22">
        <f>(PROVEEDORES[[#This Row],[SUBTOTAL]]-PROVEEDORES[[#This Row],[descuento sobre subtotal]])*VLOOKUP(PROVEEDORES[[#This Row],[PROVEEDOR]],TERCEROS_INFO[#All],3,FALSE)</f>
        <v>280953</v>
      </c>
      <c r="N2106" s="23"/>
      <c r="O2106" s="22">
        <f>+PROVEEDORES[[#This Row],[Descuento sobre subtotal %]]*(PROVEEDORES[[#This Row],[SUBTOTAL]]-PROVEEDORES[[#This Row],[descuento sobre subtotal]])</f>
        <v>0</v>
      </c>
      <c r="P2106" s="74">
        <f>+IF(PROVEEDORES[[#This Row],[SUBTOTAL]]&lt;PROVEEDORES[[#This Row],[base retencion]],0,PROVEEDORES[[#This Row],[retención aplicada]])</f>
        <v>2.5000000000000001E-2</v>
      </c>
      <c r="Q2106" s="22">
        <f>+PROVEEDORES[[#This Row],[Rete Fuente %]]*(PROVEEDORES[[#This Row],[SUBTOTAL]]-PROVEEDORES[[#This Row],[descuento sobre subtotal]])</f>
        <v>36967.5</v>
      </c>
      <c r="R2106" s="21">
        <f>+PROVEEDORES[[#This Row],[SUBTOTAL]]+PROVEEDORES[[#This Row],[IVA 19%]]-PROVEEDORES[[#This Row],[descuento sobre subtotal]]-PROVEEDORES[[#This Row],[Descuento sobre subtotal $2]]-PROVEEDORES[[#This Row],[Rete Fuente $]]</f>
        <v>1722685.5</v>
      </c>
      <c r="S21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6" s="63">
        <f ca="1">IF(PROVEEDORES[[#This Row],[FECHA DE PAGO]]=0,TODAY()-PROVEEDORES[[#This Row],[FECHA DE FACTURACIÓN]]-PROVEEDORES[[#This Row],[PLAZO Días]],0)</f>
        <v>0</v>
      </c>
      <c r="U2106" s="104" t="str">
        <f>+VLOOKUP(PROVEEDORES[[#This Row],[PROVEEDOR]],Terceros!$A:$D,4,FALSE)</f>
        <v>2,5% con base</v>
      </c>
      <c r="V2106" s="105">
        <f>+YEAR(PROVEEDORES[[#This Row],[FECHA DE FACTURACIÓN]])</f>
        <v>2023</v>
      </c>
      <c r="W2106" s="105">
        <f>+MATCH(PROVEEDORES[[#This Row],[año facturado]],Retenciones!$1:$1,0)</f>
        <v>6</v>
      </c>
      <c r="X2106" s="106">
        <f>+VLOOKUP(PROVEEDORES[[#This Row],[ID RETENCION]],Retenciones!$A$1:$O$25,PROVEEDORES[[#This Row],[indicador de columna]],FALSE)</f>
        <v>1145000</v>
      </c>
      <c r="Y2106" s="107">
        <f>+VLOOKUP(PROVEEDORES[[#This Row],[ID RETENCION]],Retenciones!$A$1:$O$25,2,FALSE)</f>
        <v>2.5000000000000001E-2</v>
      </c>
      <c r="Z2106" s="116" t="b">
        <f>OR(COUNTIF(PROVEEDORES[[#This Row],[PROVEEDOR]],"*"&amp;'Palabra no opera'!$A$2&amp;"*"))</f>
        <v>0</v>
      </c>
    </row>
    <row r="2107" spans="1:26" ht="22.35" customHeight="1" x14ac:dyDescent="0.3">
      <c r="A2107" s="385" t="str">
        <f>+IF(PROVEEDORES[[#This Row],[FECHA DE PAGO]]=PROVEEDORES[[#This Row],[FECHA DE FACTURACIÓN]],"DE CONTADO","CRÉDITO")</f>
        <v>DE CONTADO</v>
      </c>
      <c r="B2107" s="38" t="b">
        <f>+IF((PROVEEDORES[[#This Row],[FECHA DE PAGO]]-PROVEEDORES[[#This Row],[FECHA DE FACTURACIÓN]])&gt;PROVEEDORES[[#This Row],[PLAZO Días]],"PAGO VENCIDO")</f>
        <v>0</v>
      </c>
      <c r="C2107" s="20">
        <f>+VLOOKUP(PROVEEDORES[[#This Row],[PROVEEDOR]],TERCEROS_INFO[#All],2,FALSE)</f>
        <v>30</v>
      </c>
      <c r="D2107" s="25">
        <f>+SUMIFS(PROVEEDORES[Total],PROVEEDORES[PROVEEDOR],PROVEEDORES[[#This Row],[PROVEEDOR]],PROVEEDORES[FECHA DE PAGO],"")</f>
        <v>27189617.395</v>
      </c>
      <c r="E2107" s="25"/>
      <c r="F2107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107" s="68">
        <v>45252</v>
      </c>
      <c r="H2107" s="26" t="s">
        <v>77</v>
      </c>
      <c r="I2107" s="68">
        <v>45252</v>
      </c>
      <c r="J2107" s="35" t="s">
        <v>2146</v>
      </c>
      <c r="K2107" s="21">
        <v>-504202</v>
      </c>
      <c r="L2107" s="21"/>
      <c r="M2107" s="22">
        <f>(PROVEEDORES[[#This Row],[SUBTOTAL]]-PROVEEDORES[[#This Row],[descuento sobre subtotal]])*VLOOKUP(PROVEEDORES[[#This Row],[PROVEEDOR]],TERCEROS_INFO[#All],3,FALSE)</f>
        <v>-95798.38</v>
      </c>
      <c r="N2107" s="23"/>
      <c r="O2107" s="22">
        <f>+PROVEEDORES[[#This Row],[Descuento sobre subtotal %]]*(PROVEEDORES[[#This Row],[SUBTOTAL]]-PROVEEDORES[[#This Row],[descuento sobre subtotal]])</f>
        <v>0</v>
      </c>
      <c r="P2107" s="74">
        <f>+IF(PROVEEDORES[[#This Row],[SUBTOTAL]]&lt;PROVEEDORES[[#This Row],[base retencion]],0,PROVEEDORES[[#This Row],[retención aplicada]])</f>
        <v>0</v>
      </c>
      <c r="Q2107" s="22">
        <f>+PROVEEDORES[[#This Row],[Rete Fuente %]]*(PROVEEDORES[[#This Row],[SUBTOTAL]]-PROVEEDORES[[#This Row],[descuento sobre subtotal]])</f>
        <v>0</v>
      </c>
      <c r="R2107" s="21">
        <f>+PROVEEDORES[[#This Row],[SUBTOTAL]]+PROVEEDORES[[#This Row],[IVA 19%]]-PROVEEDORES[[#This Row],[descuento sobre subtotal]]-PROVEEDORES[[#This Row],[Descuento sobre subtotal $2]]-PROVEEDORES[[#This Row],[Rete Fuente $]]</f>
        <v>-600000.38</v>
      </c>
      <c r="S2107" s="3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7" s="63">
        <f ca="1">IF(PROVEEDORES[[#This Row],[FECHA DE PAGO]]=0,TODAY()-PROVEEDORES[[#This Row],[FECHA DE FACTURACIÓN]]-PROVEEDORES[[#This Row],[PLAZO Días]],0)</f>
        <v>0</v>
      </c>
      <c r="U2107" s="104" t="str">
        <f>+VLOOKUP(PROVEEDORES[[#This Row],[PROVEEDOR]],Terceros!$A:$D,4,FALSE)</f>
        <v>2,5% con base</v>
      </c>
      <c r="V2107" s="105">
        <f>+YEAR(PROVEEDORES[[#This Row],[FECHA DE FACTURACIÓN]])</f>
        <v>2023</v>
      </c>
      <c r="W2107" s="105">
        <f>+MATCH(PROVEEDORES[[#This Row],[año facturado]],Retenciones!$1:$1,0)</f>
        <v>6</v>
      </c>
      <c r="X2107" s="106">
        <f>+VLOOKUP(PROVEEDORES[[#This Row],[ID RETENCION]],Retenciones!$A$1:$O$25,PROVEEDORES[[#This Row],[indicador de columna]],FALSE)</f>
        <v>1145000</v>
      </c>
      <c r="Y2107" s="107">
        <f>+VLOOKUP(PROVEEDORES[[#This Row],[ID RETENCION]],Retenciones!$A$1:$O$25,2,FALSE)</f>
        <v>2.5000000000000001E-2</v>
      </c>
      <c r="Z2107" s="116" t="b">
        <f>OR(COUNTIF(PROVEEDORES[[#This Row],[PROVEEDOR]],"*"&amp;'Palabra no opera'!$A$2&amp;"*"))</f>
        <v>0</v>
      </c>
    </row>
    <row r="2108" spans="1:26" ht="22.35" customHeight="1" x14ac:dyDescent="0.3">
      <c r="A2108" s="67" t="str">
        <f>+IF(PROVEEDORES[[#This Row],[FECHA DE PAGO]]=PROVEEDORES[[#This Row],[FECHA DE FACTURACIÓN]],"DE CONTADO","CRÉDITO")</f>
        <v>CRÉDITO</v>
      </c>
      <c r="B2108" s="38" t="str">
        <f>+IF((PROVEEDORES[[#This Row],[FECHA DE PAGO]]-PROVEEDORES[[#This Row],[FECHA DE FACTURACIÓN]])&gt;PROVEEDORES[[#This Row],[PLAZO Días]],"PAGO VENCIDO")</f>
        <v>PAGO VENCIDO</v>
      </c>
      <c r="C2108" s="20">
        <f>+VLOOKUP(PROVEEDORES[[#This Row],[PROVEEDOR]],TERCEROS_INFO[#All],2,FALSE)</f>
        <v>30</v>
      </c>
      <c r="D2108" s="25">
        <f>+SUMIFS(PROVEEDORES[Total],PROVEEDORES[PROVEEDOR],PROVEEDORES[[#This Row],[PROVEEDOR]],PROVEEDORES[FECHA DE PAGO],"")</f>
        <v>0</v>
      </c>
      <c r="E2108" s="25"/>
      <c r="F2108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08" s="68">
        <v>45246</v>
      </c>
      <c r="H2108" s="26" t="s">
        <v>1850</v>
      </c>
      <c r="I2108" s="68">
        <v>45178</v>
      </c>
      <c r="J2108" s="35" t="s">
        <v>1973</v>
      </c>
      <c r="K2108" s="21">
        <v>1157983</v>
      </c>
      <c r="L2108" s="21"/>
      <c r="M2108" s="22">
        <f>(PROVEEDORES[[#This Row],[SUBTOTAL]]-PROVEEDORES[[#This Row],[descuento sobre subtotal]])*VLOOKUP(PROVEEDORES[[#This Row],[PROVEEDOR]],TERCEROS_INFO[#All],3,FALSE)</f>
        <v>220016.77</v>
      </c>
      <c r="N2108" s="23"/>
      <c r="O2108" s="22">
        <f>+PROVEEDORES[[#This Row],[Descuento sobre subtotal %]]*(PROVEEDORES[[#This Row],[SUBTOTAL]]-PROVEEDORES[[#This Row],[descuento sobre subtotal]])</f>
        <v>0</v>
      </c>
      <c r="P2108" s="74">
        <f>+IF(PROVEEDORES[[#This Row],[SUBTOTAL]]&lt;PROVEEDORES[[#This Row],[base retencion]],0,PROVEEDORES[[#This Row],[retención aplicada]])</f>
        <v>2.5000000000000001E-2</v>
      </c>
      <c r="Q2108" s="22">
        <f>+PROVEEDORES[[#This Row],[Rete Fuente %]]*(PROVEEDORES[[#This Row],[SUBTOTAL]]-PROVEEDORES[[#This Row],[descuento sobre subtotal]])</f>
        <v>28949.575000000001</v>
      </c>
      <c r="R2108" s="21">
        <f>+PROVEEDORES[[#This Row],[SUBTOTAL]]+PROVEEDORES[[#This Row],[IVA 19%]]-PROVEEDORES[[#This Row],[descuento sobre subtotal]]-PROVEEDORES[[#This Row],[Descuento sobre subtotal $2]]-PROVEEDORES[[#This Row],[Rete Fuente $]]</f>
        <v>1349050.1950000001</v>
      </c>
      <c r="S21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8" s="63">
        <f ca="1">IF(PROVEEDORES[[#This Row],[FECHA DE PAGO]]=0,TODAY()-PROVEEDORES[[#This Row],[FECHA DE FACTURACIÓN]]-PROVEEDORES[[#This Row],[PLAZO Días]],0)</f>
        <v>0</v>
      </c>
      <c r="U2108" s="104" t="str">
        <f>+VLOOKUP(PROVEEDORES[[#This Row],[PROVEEDOR]],Terceros!$A:$D,4,FALSE)</f>
        <v>2,5% con base</v>
      </c>
      <c r="V2108" s="105">
        <f>+YEAR(PROVEEDORES[[#This Row],[FECHA DE FACTURACIÓN]])</f>
        <v>2023</v>
      </c>
      <c r="W2108" s="105">
        <f>+MATCH(PROVEEDORES[[#This Row],[año facturado]],Retenciones!$1:$1,0)</f>
        <v>6</v>
      </c>
      <c r="X2108" s="106">
        <f>+VLOOKUP(PROVEEDORES[[#This Row],[ID RETENCION]],Retenciones!$A$1:$O$25,PROVEEDORES[[#This Row],[indicador de columna]],FALSE)</f>
        <v>1145000</v>
      </c>
      <c r="Y2108" s="107">
        <f>+VLOOKUP(PROVEEDORES[[#This Row],[ID RETENCION]],Retenciones!$A$1:$O$25,2,FALSE)</f>
        <v>2.5000000000000001E-2</v>
      </c>
      <c r="Z2108" s="116" t="b">
        <f>OR(COUNTIF(PROVEEDORES[[#This Row],[PROVEEDOR]],"*"&amp;'Palabra no opera'!$A$2&amp;"*"))</f>
        <v>0</v>
      </c>
    </row>
    <row r="2109" spans="1:26" ht="22.35" customHeight="1" x14ac:dyDescent="0.3">
      <c r="A2109" s="67" t="str">
        <f>+IF(PROVEEDORES[[#This Row],[FECHA DE PAGO]]=PROVEEDORES[[#This Row],[FECHA DE FACTURACIÓN]],"DE CONTADO","CRÉDITO")</f>
        <v>CRÉDITO</v>
      </c>
      <c r="B2109" s="38" t="b">
        <f>+IF((PROVEEDORES[[#This Row],[FECHA DE PAGO]]-PROVEEDORES[[#This Row],[FECHA DE FACTURACIÓN]])&gt;PROVEEDORES[[#This Row],[PLAZO Días]],"PAGO VENCIDO")</f>
        <v>0</v>
      </c>
      <c r="C2109" s="20">
        <f>+VLOOKUP(PROVEEDORES[[#This Row],[PROVEEDOR]],TERCEROS_INFO[#All],2,FALSE)</f>
        <v>30</v>
      </c>
      <c r="D2109" s="25">
        <f>+SUMIFS(PROVEEDORES[Total],PROVEEDORES[PROVEEDOR],PROVEEDORES[[#This Row],[PROVEEDOR]],PROVEEDORES[FECHA DE PAGO],"")</f>
        <v>0</v>
      </c>
      <c r="E2109" s="25"/>
      <c r="F2109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109" s="68">
        <v>45246</v>
      </c>
      <c r="H2109" s="26" t="s">
        <v>628</v>
      </c>
      <c r="I2109" s="68">
        <v>45232</v>
      </c>
      <c r="J2109" s="35" t="s">
        <v>2111</v>
      </c>
      <c r="K2109" s="21">
        <v>1840056</v>
      </c>
      <c r="L2109" s="21"/>
      <c r="M2109" s="22">
        <f>(PROVEEDORES[[#This Row],[SUBTOTAL]]-PROVEEDORES[[#This Row],[descuento sobre subtotal]])*VLOOKUP(PROVEEDORES[[#This Row],[PROVEEDOR]],TERCEROS_INFO[#All],3,FALSE)</f>
        <v>0</v>
      </c>
      <c r="N2109" s="23"/>
      <c r="O2109" s="22">
        <v>105097</v>
      </c>
      <c r="P2109" s="74">
        <f>+IF(PROVEEDORES[[#This Row],[SUBTOTAL]]&lt;PROVEEDORES[[#This Row],[base retencion]],0,PROVEEDORES[[#This Row],[retención aplicada]])</f>
        <v>0</v>
      </c>
      <c r="Q2109" s="22">
        <f>+PROVEEDORES[[#This Row],[Rete Fuente %]]*(PROVEEDORES[[#This Row],[SUBTOTAL]]-PROVEEDORES[[#This Row],[descuento sobre subtotal]])</f>
        <v>0</v>
      </c>
      <c r="R2109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21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9" s="63">
        <f ca="1">IF(PROVEEDORES[[#This Row],[FECHA DE PAGO]]=0,TODAY()-PROVEEDORES[[#This Row],[FECHA DE FACTURACIÓN]]-PROVEEDORES[[#This Row],[PLAZO Días]],0)</f>
        <v>0</v>
      </c>
      <c r="U2109" s="104">
        <f>+VLOOKUP(PROVEEDORES[[#This Row],[PROVEEDOR]],Terceros!$A:$D,4,FALSE)</f>
        <v>0</v>
      </c>
      <c r="V2109" s="105">
        <f>+YEAR(PROVEEDORES[[#This Row],[FECHA DE FACTURACIÓN]])</f>
        <v>2023</v>
      </c>
      <c r="W2109" s="105">
        <f>+MATCH(PROVEEDORES[[#This Row],[año facturado]],Retenciones!$1:$1,0)</f>
        <v>6</v>
      </c>
      <c r="X2109" s="106">
        <f>+VLOOKUP(PROVEEDORES[[#This Row],[ID RETENCION]],Retenciones!$A$1:$O$25,PROVEEDORES[[#This Row],[indicador de columna]],FALSE)</f>
        <v>0</v>
      </c>
      <c r="Y2109" s="107">
        <f>+VLOOKUP(PROVEEDORES[[#This Row],[ID RETENCION]],Retenciones!$A$1:$O$25,2,FALSE)</f>
        <v>0</v>
      </c>
      <c r="Z2109" s="116" t="b">
        <f>OR(COUNTIF(PROVEEDORES[[#This Row],[PROVEEDOR]],"*"&amp;'Palabra no opera'!$A$2&amp;"*"))</f>
        <v>1</v>
      </c>
    </row>
    <row r="2110" spans="1:26" ht="22.35" customHeight="1" x14ac:dyDescent="0.3">
      <c r="A2110" s="67" t="str">
        <f>+IF(PROVEEDORES[[#This Row],[FECHA DE PAGO]]=PROVEEDORES[[#This Row],[FECHA DE FACTURACIÓN]],"DE CONTADO","CRÉDITO")</f>
        <v>CRÉDITO</v>
      </c>
      <c r="B2110" s="38" t="b">
        <f>+IF((PROVEEDORES[[#This Row],[FECHA DE PAGO]]-PROVEEDORES[[#This Row],[FECHA DE FACTURACIÓN]])&gt;PROVEEDORES[[#This Row],[PLAZO Días]],"PAGO VENCIDO")</f>
        <v>0</v>
      </c>
      <c r="C2110" s="20">
        <f>+VLOOKUP(PROVEEDORES[[#This Row],[PROVEEDOR]],TERCEROS_INFO[#All],2,FALSE)</f>
        <v>30</v>
      </c>
      <c r="D2110" s="25">
        <f>+SUMIFS(PROVEEDORES[Total],PROVEEDORES[PROVEEDOR],PROVEEDORES[[#This Row],[PROVEEDOR]],PROVEEDORES[FECHA DE PAGO],"")</f>
        <v>352505.48</v>
      </c>
      <c r="E2110" s="25"/>
      <c r="F2110" s="56" t="str">
        <f>+VLOOKUP(PROVEEDORES[[#This Row],[PROVEEDOR]],
                       Terceros!$A:$F,
                       5,
                       FALSE)</f>
        <v>facturacion@losmolinos.com.co</v>
      </c>
      <c r="G2110" s="68">
        <v>45246</v>
      </c>
      <c r="H2110" s="26" t="s">
        <v>631</v>
      </c>
      <c r="I2110" s="68">
        <v>45231</v>
      </c>
      <c r="J2110" s="35" t="s">
        <v>2110</v>
      </c>
      <c r="K2110" s="21">
        <v>318603</v>
      </c>
      <c r="L2110" s="21">
        <v>9545</v>
      </c>
      <c r="M2110" s="22">
        <f>(PROVEEDORES[[#This Row],[SUBTOTAL]]-PROVEEDORES[[#This Row],[descuento sobre subtotal]])*VLOOKUP(PROVEEDORES[[#This Row],[PROVEEDOR]],TERCEROS_INFO[#All],3,FALSE)</f>
        <v>0</v>
      </c>
      <c r="N2110" s="23"/>
      <c r="O2110" s="22">
        <f>+PROVEEDORES[[#This Row],[Descuento sobre subtotal %]]*(PROVEEDORES[[#This Row],[SUBTOTAL]]-PROVEEDORES[[#This Row],[descuento sobre subtotal]])</f>
        <v>0</v>
      </c>
      <c r="P2110" s="74">
        <f>+IF(PROVEEDORES[[#This Row],[SUBTOTAL]]&lt;PROVEEDORES[[#This Row],[base retencion]],0,PROVEEDORES[[#This Row],[retención aplicada]])</f>
        <v>0</v>
      </c>
      <c r="Q2110" s="22">
        <f>+PROVEEDORES[[#This Row],[Rete Fuente %]]*(PROVEEDORES[[#This Row],[SUBTOTAL]]-PROVEEDORES[[#This Row],[descuento sobre subtotal]])</f>
        <v>0</v>
      </c>
      <c r="R2110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211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0" s="63">
        <f ca="1">IF(PROVEEDORES[[#This Row],[FECHA DE PAGO]]=0,TODAY()-PROVEEDORES[[#This Row],[FECHA DE FACTURACIÓN]]-PROVEEDORES[[#This Row],[PLAZO Días]],0)</f>
        <v>0</v>
      </c>
      <c r="U2110" s="104">
        <f>+VLOOKUP(PROVEEDORES[[#This Row],[PROVEEDOR]],Terceros!$A:$D,4,FALSE)</f>
        <v>0</v>
      </c>
      <c r="V2110" s="105">
        <f>+YEAR(PROVEEDORES[[#This Row],[FECHA DE FACTURACIÓN]])</f>
        <v>2023</v>
      </c>
      <c r="W2110" s="105">
        <f>+MATCH(PROVEEDORES[[#This Row],[año facturado]],Retenciones!$1:$1,0)</f>
        <v>6</v>
      </c>
      <c r="X2110" s="106">
        <f>+VLOOKUP(PROVEEDORES[[#This Row],[ID RETENCION]],Retenciones!$A$1:$O$25,PROVEEDORES[[#This Row],[indicador de columna]],FALSE)</f>
        <v>0</v>
      </c>
      <c r="Y2110" s="107">
        <f>+VLOOKUP(PROVEEDORES[[#This Row],[ID RETENCION]],Retenciones!$A$1:$O$25,2,FALSE)</f>
        <v>0</v>
      </c>
      <c r="Z2110" s="116" t="b">
        <f>OR(COUNTIF(PROVEEDORES[[#This Row],[PROVEEDOR]],"*"&amp;'Palabra no opera'!$A$2&amp;"*"))</f>
        <v>1</v>
      </c>
    </row>
    <row r="2111" spans="1:26" ht="22.35" customHeight="1" x14ac:dyDescent="0.3">
      <c r="A2111" s="67" t="str">
        <f>+IF(PROVEEDORES[[#This Row],[FECHA DE PAGO]]=PROVEEDORES[[#This Row],[FECHA DE FACTURACIÓN]],"DE CONTADO","CRÉDITO")</f>
        <v>CRÉDITO</v>
      </c>
      <c r="B2111" s="38" t="str">
        <f>+IF((PROVEEDORES[[#This Row],[FECHA DE PAGO]]-PROVEEDORES[[#This Row],[FECHA DE FACTURACIÓN]])&gt;PROVEEDORES[[#This Row],[PLAZO Días]],"PAGO VENCIDO")</f>
        <v>PAGO VENCIDO</v>
      </c>
      <c r="C2111" s="20">
        <f>+VLOOKUP(PROVEEDORES[[#This Row],[PROVEEDOR]],TERCEROS_INFO[#All],2,FALSE)</f>
        <v>45</v>
      </c>
      <c r="D2111" s="25">
        <f>+SUMIFS(PROVEEDORES[Total],PROVEEDORES[PROVEEDOR],PROVEEDORES[[#This Row],[PROVEEDOR]],PROVEEDORES[FECHA DE PAGO],"")</f>
        <v>15770594</v>
      </c>
      <c r="E2111" s="25"/>
      <c r="F211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111" s="68">
        <v>45246</v>
      </c>
      <c r="H2111" s="26" t="s">
        <v>19</v>
      </c>
      <c r="I2111" s="68">
        <v>45197</v>
      </c>
      <c r="J2111" s="35" t="s">
        <v>1981</v>
      </c>
      <c r="K2111" s="21">
        <v>13085520</v>
      </c>
      <c r="L2111" s="21"/>
      <c r="M2111" s="22">
        <f>(PROVEEDORES[[#This Row],[SUBTOTAL]]-PROVEEDORES[[#This Row],[descuento sobre subtotal]])*VLOOKUP(PROVEEDORES[[#This Row],[PROVEEDOR]],TERCEROS_INFO[#All],3,FALSE)</f>
        <v>2486248.7999999998</v>
      </c>
      <c r="N2111" s="23"/>
      <c r="O2111" s="22">
        <f>+PROVEEDORES[[#This Row],[Descuento sobre subtotal %]]*(PROVEEDORES[[#This Row],[SUBTOTAL]]-PROVEEDORES[[#This Row],[descuento sobre subtotal]])</f>
        <v>0</v>
      </c>
      <c r="P2111" s="74">
        <f>+IF(PROVEEDORES[[#This Row],[SUBTOTAL]]&lt;PROVEEDORES[[#This Row],[base retencion]],0,PROVEEDORES[[#This Row],[retención aplicada]])</f>
        <v>0</v>
      </c>
      <c r="Q2111" s="22">
        <f>+PROVEEDORES[[#This Row],[Rete Fuente %]]*(PROVEEDORES[[#This Row],[SUBTOTAL]]-PROVEEDORES[[#This Row],[descuento sobre subtotal]])</f>
        <v>0</v>
      </c>
      <c r="R2111" s="21">
        <f>+PROVEEDORES[[#This Row],[SUBTOTAL]]+PROVEEDORES[[#This Row],[IVA 19%]]-PROVEEDORES[[#This Row],[descuento sobre subtotal]]-PROVEEDORES[[#This Row],[Descuento sobre subtotal $2]]-PROVEEDORES[[#This Row],[Rete Fuente $]]</f>
        <v>15571768.800000001</v>
      </c>
      <c r="S211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1" s="63">
        <f ca="1">IF(PROVEEDORES[[#This Row],[FECHA DE PAGO]]=0,TODAY()-PROVEEDORES[[#This Row],[FECHA DE FACTURACIÓN]]-PROVEEDORES[[#This Row],[PLAZO Días]],0)</f>
        <v>0</v>
      </c>
      <c r="U2111" s="104">
        <f>+VLOOKUP(PROVEEDORES[[#This Row],[PROVEEDOR]],Terceros!$A:$D,4,FALSE)</f>
        <v>0</v>
      </c>
      <c r="V2111" s="105">
        <f>+YEAR(PROVEEDORES[[#This Row],[FECHA DE FACTURACIÓN]])</f>
        <v>2023</v>
      </c>
      <c r="W2111" s="105">
        <f>+MATCH(PROVEEDORES[[#This Row],[año facturado]],Retenciones!$1:$1,0)</f>
        <v>6</v>
      </c>
      <c r="X2111" s="106">
        <f>+VLOOKUP(PROVEEDORES[[#This Row],[ID RETENCION]],Retenciones!$A$1:$O$25,PROVEEDORES[[#This Row],[indicador de columna]],FALSE)</f>
        <v>0</v>
      </c>
      <c r="Y2111" s="107">
        <f>+VLOOKUP(PROVEEDORES[[#This Row],[ID RETENCION]],Retenciones!$A$1:$O$25,2,FALSE)</f>
        <v>0</v>
      </c>
      <c r="Z2111" s="116" t="b">
        <f>OR(COUNTIF(PROVEEDORES[[#This Row],[PROVEEDOR]],"*"&amp;'Palabra no opera'!$A$2&amp;"*"))</f>
        <v>0</v>
      </c>
    </row>
    <row r="2112" spans="1:26" ht="22.35" customHeight="1" x14ac:dyDescent="0.3">
      <c r="A2112" s="67" t="str">
        <f>+IF(PROVEEDORES[[#This Row],[FECHA DE PAGO]]=PROVEEDORES[[#This Row],[FECHA DE FACTURACIÓN]],"DE CONTADO","CRÉDITO")</f>
        <v>CRÉDITO</v>
      </c>
      <c r="B2112" s="38" t="b">
        <f>+IF((PROVEEDORES[[#This Row],[FECHA DE PAGO]]-PROVEEDORES[[#This Row],[FECHA DE FACTURACIÓN]])&gt;PROVEEDORES[[#This Row],[PLAZO Días]],"PAGO VENCIDO")</f>
        <v>0</v>
      </c>
      <c r="C2112" s="20">
        <f>+VLOOKUP(PROVEEDORES[[#This Row],[PROVEEDOR]],TERCEROS_INFO[#All],2,FALSE)</f>
        <v>30</v>
      </c>
      <c r="D2112" s="25">
        <f>+SUMIFS(PROVEEDORES[Total],PROVEEDORES[PROVEEDOR],PROVEEDORES[[#This Row],[PROVEEDOR]],PROVEEDORES[FECHA DE PAGO],"")</f>
        <v>0</v>
      </c>
      <c r="E2112" s="25"/>
      <c r="F2112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112" s="68">
        <v>45246</v>
      </c>
      <c r="H2112" s="26" t="s">
        <v>651</v>
      </c>
      <c r="I2112" s="68">
        <v>45231</v>
      </c>
      <c r="J2112" s="35" t="s">
        <v>2109</v>
      </c>
      <c r="K2112" s="21">
        <v>243611</v>
      </c>
      <c r="L2112" s="21"/>
      <c r="M2112" s="22">
        <f>(PROVEEDORES[[#This Row],[SUBTOTAL]]-PROVEEDORES[[#This Row],[descuento sobre subtotal]])*VLOOKUP(PROVEEDORES[[#This Row],[PROVEEDOR]],TERCEROS_INFO[#All],3,FALSE)</f>
        <v>46286.090000000004</v>
      </c>
      <c r="N2112" s="23"/>
      <c r="O2112" s="22">
        <f>+PROVEEDORES[[#This Row],[Descuento sobre subtotal %]]*(PROVEEDORES[[#This Row],[SUBTOTAL]]-PROVEEDORES[[#This Row],[descuento sobre subtotal]])</f>
        <v>0</v>
      </c>
      <c r="P2112" s="74">
        <f>+IF(PROVEEDORES[[#This Row],[SUBTOTAL]]&lt;PROVEEDORES[[#This Row],[base retencion]],0,PROVEEDORES[[#This Row],[retención aplicada]])</f>
        <v>3.5000000000000003E-2</v>
      </c>
      <c r="Q2112" s="22">
        <f>+PROVEEDORES[[#This Row],[Rete Fuente %]]*(PROVEEDORES[[#This Row],[SUBTOTAL]]-PROVEEDORES[[#This Row],[descuento sobre subtotal]])</f>
        <v>8526.3850000000002</v>
      </c>
      <c r="R2112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211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2" s="63">
        <f ca="1">IF(PROVEEDORES[[#This Row],[FECHA DE PAGO]]=0,TODAY()-PROVEEDORES[[#This Row],[FECHA DE FACTURACIÓN]]-PROVEEDORES[[#This Row],[PLAZO Días]],0)</f>
        <v>0</v>
      </c>
      <c r="U2112" s="104" t="str">
        <f>+VLOOKUP(PROVEEDORES[[#This Row],[PROVEEDOR]],Terceros!$A:$D,4,FALSE)</f>
        <v>3,5% sin base</v>
      </c>
      <c r="V2112" s="105">
        <f>+YEAR(PROVEEDORES[[#This Row],[FECHA DE FACTURACIÓN]])</f>
        <v>2023</v>
      </c>
      <c r="W2112" s="105">
        <f>+MATCH(PROVEEDORES[[#This Row],[año facturado]],Retenciones!$1:$1,0)</f>
        <v>6</v>
      </c>
      <c r="X2112" s="106">
        <f>+VLOOKUP(PROVEEDORES[[#This Row],[ID RETENCION]],Retenciones!$A$1:$O$25,PROVEEDORES[[#This Row],[indicador de columna]],FALSE)</f>
        <v>0</v>
      </c>
      <c r="Y2112" s="107">
        <f>+VLOOKUP(PROVEEDORES[[#This Row],[ID RETENCION]],Retenciones!$A$1:$O$25,2,FALSE)</f>
        <v>3.5000000000000003E-2</v>
      </c>
      <c r="Z2112" s="116" t="b">
        <f>OR(COUNTIF(PROVEEDORES[[#This Row],[PROVEEDOR]],"*"&amp;'Palabra no opera'!$A$2&amp;"*"))</f>
        <v>1</v>
      </c>
    </row>
    <row r="2113" spans="1:26" ht="22.35" customHeight="1" x14ac:dyDescent="0.3">
      <c r="A2113" s="349" t="str">
        <f>+IF(PROVEEDORES[[#This Row],[FECHA DE PAGO]]=PROVEEDORES[[#This Row],[FECHA DE FACTURACIÓN]],"DE CONTADO","CRÉDITO")</f>
        <v>CRÉDITO</v>
      </c>
      <c r="B2113" s="38" t="str">
        <f>+IF((PROVEEDORES[[#This Row],[FECHA DE PAGO]]-PROVEEDORES[[#This Row],[FECHA DE FACTURACIÓN]])&gt;PROVEEDORES[[#This Row],[PLAZO Días]],"PAGO VENCIDO")</f>
        <v>PAGO VENCIDO</v>
      </c>
      <c r="C2113" s="20">
        <f>+VLOOKUP(PROVEEDORES[[#This Row],[PROVEEDOR]],TERCEROS_INFO[#All],2,FALSE)</f>
        <v>30</v>
      </c>
      <c r="D2113" s="25">
        <f>+SUMIFS(PROVEEDORES[Total],PROVEEDORES[PROVEEDOR],PROVEEDORES[[#This Row],[PROVEEDOR]],PROVEEDORES[FECHA DE PAGO],"")</f>
        <v>1034000.52</v>
      </c>
      <c r="E2113" s="25"/>
      <c r="F211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13" s="68">
        <v>45246</v>
      </c>
      <c r="H2113" s="26" t="s">
        <v>168</v>
      </c>
      <c r="I2113" s="68">
        <v>45156</v>
      </c>
      <c r="J2113" s="35" t="s">
        <v>1374</v>
      </c>
      <c r="K2113" s="21">
        <v>-537815</v>
      </c>
      <c r="L2113" s="21"/>
      <c r="M2113" s="22">
        <f>(PROVEEDORES[[#This Row],[SUBTOTAL]]-PROVEEDORES[[#This Row],[descuento sobre subtotal]])*VLOOKUP(PROVEEDORES[[#This Row],[PROVEEDOR]],TERCEROS_INFO[#All],3,FALSE)</f>
        <v>-102184.85</v>
      </c>
      <c r="N2113" s="23"/>
      <c r="O2113" s="22">
        <f>+PROVEEDORES[[#This Row],[Descuento sobre subtotal %]]*(PROVEEDORES[[#This Row],[SUBTOTAL]]-PROVEEDORES[[#This Row],[descuento sobre subtotal]])</f>
        <v>0</v>
      </c>
      <c r="P2113" s="74">
        <f>+IF(PROVEEDORES[[#This Row],[SUBTOTAL]]&lt;PROVEEDORES[[#This Row],[base retencion]],0,PROVEEDORES[[#This Row],[retención aplicada]])</f>
        <v>0</v>
      </c>
      <c r="Q2113" s="22">
        <f>+PROVEEDORES[[#This Row],[Rete Fuente %]]*(PROVEEDORES[[#This Row],[SUBTOTAL]]-PROVEEDORES[[#This Row],[descuento sobre subtotal]])</f>
        <v>0</v>
      </c>
      <c r="R2113" s="21">
        <f>+PROVEEDORES[[#This Row],[SUBTOTAL]]+PROVEEDORES[[#This Row],[IVA 19%]]-PROVEEDORES[[#This Row],[descuento sobre subtotal]]-PROVEEDORES[[#This Row],[Descuento sobre subtotal $2]]-PROVEEDORES[[#This Row],[Rete Fuente $]]</f>
        <v>-639999.85</v>
      </c>
      <c r="S2113" s="3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3" s="63">
        <f ca="1">IF(PROVEEDORES[[#This Row],[FECHA DE PAGO]]=0,TODAY()-PROVEEDORES[[#This Row],[FECHA DE FACTURACIÓN]]-PROVEEDORES[[#This Row],[PLAZO Días]],0)</f>
        <v>0</v>
      </c>
      <c r="U2113" s="104" t="str">
        <f>+VLOOKUP(PROVEEDORES[[#This Row],[PROVEEDOR]],Terceros!$A:$D,4,FALSE)</f>
        <v>2,5% con base</v>
      </c>
      <c r="V2113" s="105">
        <f>+YEAR(PROVEEDORES[[#This Row],[FECHA DE FACTURACIÓN]])</f>
        <v>2023</v>
      </c>
      <c r="W2113" s="105">
        <f>+MATCH(PROVEEDORES[[#This Row],[año facturado]],Retenciones!$1:$1,0)</f>
        <v>6</v>
      </c>
      <c r="X2113" s="106">
        <f>+VLOOKUP(PROVEEDORES[[#This Row],[ID RETENCION]],Retenciones!$A$1:$O$25,PROVEEDORES[[#This Row],[indicador de columna]],FALSE)</f>
        <v>1145000</v>
      </c>
      <c r="Y2113" s="107">
        <f>+VLOOKUP(PROVEEDORES[[#This Row],[ID RETENCION]],Retenciones!$A$1:$O$25,2,FALSE)</f>
        <v>2.5000000000000001E-2</v>
      </c>
      <c r="Z2113" s="116" t="b">
        <f>OR(COUNTIF(PROVEEDORES[[#This Row],[PROVEEDOR]],"*"&amp;'Palabra no opera'!$A$2&amp;"*"))</f>
        <v>0</v>
      </c>
    </row>
    <row r="2114" spans="1:26" ht="22.35" customHeight="1" x14ac:dyDescent="0.3">
      <c r="A2114" s="67" t="str">
        <f>+IF(PROVEEDORES[[#This Row],[FECHA DE PAGO]]=PROVEEDORES[[#This Row],[FECHA DE FACTURACIÓN]],"DE CONTADO","CRÉDITO")</f>
        <v>CRÉDITO</v>
      </c>
      <c r="B2114" s="38" t="str">
        <f>+IF((PROVEEDORES[[#This Row],[FECHA DE PAGO]]-PROVEEDORES[[#This Row],[FECHA DE FACTURACIÓN]])&gt;PROVEEDORES[[#This Row],[PLAZO Días]],"PAGO VENCIDO")</f>
        <v>PAGO VENCIDO</v>
      </c>
      <c r="C2114" s="20">
        <f>+VLOOKUP(PROVEEDORES[[#This Row],[PROVEEDOR]],TERCEROS_INFO[#All],2,FALSE)</f>
        <v>30</v>
      </c>
      <c r="D2114" s="25">
        <f>+SUMIFS(PROVEEDORES[Total],PROVEEDORES[PROVEEDOR],PROVEEDORES[[#This Row],[PROVEEDOR]],PROVEEDORES[FECHA DE PAGO],"")</f>
        <v>1034000.52</v>
      </c>
      <c r="E2114" s="25"/>
      <c r="F211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14" s="68">
        <v>45246</v>
      </c>
      <c r="H2114" s="26" t="s">
        <v>168</v>
      </c>
      <c r="I2114" s="68">
        <v>45177</v>
      </c>
      <c r="J2114" s="35" t="s">
        <v>1964</v>
      </c>
      <c r="K2114" s="21">
        <v>3048739</v>
      </c>
      <c r="L2114" s="21"/>
      <c r="M2114" s="22">
        <f>(PROVEEDORES[[#This Row],[SUBTOTAL]]-PROVEEDORES[[#This Row],[descuento sobre subtotal]])*VLOOKUP(PROVEEDORES[[#This Row],[PROVEEDOR]],TERCEROS_INFO[#All],3,FALSE)</f>
        <v>579260.41</v>
      </c>
      <c r="N2114" s="23"/>
      <c r="O2114" s="22">
        <f>+PROVEEDORES[[#This Row],[Descuento sobre subtotal %]]*(PROVEEDORES[[#This Row],[SUBTOTAL]]-PROVEEDORES[[#This Row],[descuento sobre subtotal]])</f>
        <v>0</v>
      </c>
      <c r="P2114" s="74">
        <f>+IF(PROVEEDORES[[#This Row],[SUBTOTAL]]&lt;PROVEEDORES[[#This Row],[base retencion]],0,PROVEEDORES[[#This Row],[retención aplicada]])</f>
        <v>2.5000000000000001E-2</v>
      </c>
      <c r="Q2114" s="22">
        <f>+PROVEEDORES[[#This Row],[Rete Fuente %]]*(PROVEEDORES[[#This Row],[SUBTOTAL]]-PROVEEDORES[[#This Row],[descuento sobre subtotal]])</f>
        <v>76218.475000000006</v>
      </c>
      <c r="R2114" s="21">
        <f>+PROVEEDORES[[#This Row],[SUBTOTAL]]+PROVEEDORES[[#This Row],[IVA 19%]]-PROVEEDORES[[#This Row],[descuento sobre subtotal]]-PROVEEDORES[[#This Row],[Descuento sobre subtotal $2]]-PROVEEDORES[[#This Row],[Rete Fuente $]]</f>
        <v>3551780.9350000001</v>
      </c>
      <c r="S21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4" s="63">
        <f ca="1">IF(PROVEEDORES[[#This Row],[FECHA DE PAGO]]=0,TODAY()-PROVEEDORES[[#This Row],[FECHA DE FACTURACIÓN]]-PROVEEDORES[[#This Row],[PLAZO Días]],0)</f>
        <v>0</v>
      </c>
      <c r="U2114" s="104" t="str">
        <f>+VLOOKUP(PROVEEDORES[[#This Row],[PROVEEDOR]],Terceros!$A:$D,4,FALSE)</f>
        <v>2,5% con base</v>
      </c>
      <c r="V2114" s="105">
        <f>+YEAR(PROVEEDORES[[#This Row],[FECHA DE FACTURACIÓN]])</f>
        <v>2023</v>
      </c>
      <c r="W2114" s="105">
        <f>+MATCH(PROVEEDORES[[#This Row],[año facturado]],Retenciones!$1:$1,0)</f>
        <v>6</v>
      </c>
      <c r="X2114" s="106">
        <f>+VLOOKUP(PROVEEDORES[[#This Row],[ID RETENCION]],Retenciones!$A$1:$O$25,PROVEEDORES[[#This Row],[indicador de columna]],FALSE)</f>
        <v>1145000</v>
      </c>
      <c r="Y2114" s="107">
        <f>+VLOOKUP(PROVEEDORES[[#This Row],[ID RETENCION]],Retenciones!$A$1:$O$25,2,FALSE)</f>
        <v>2.5000000000000001E-2</v>
      </c>
      <c r="Z2114" s="116" t="b">
        <f>OR(COUNTIF(PROVEEDORES[[#This Row],[PROVEEDOR]],"*"&amp;'Palabra no opera'!$A$2&amp;"*"))</f>
        <v>0</v>
      </c>
    </row>
    <row r="2115" spans="1:26" ht="22.35" customHeight="1" x14ac:dyDescent="0.3">
      <c r="A2115" s="67" t="str">
        <f>+IF(PROVEEDORES[[#This Row],[FECHA DE PAGO]]=PROVEEDORES[[#This Row],[FECHA DE FACTURACIÓN]],"DE CONTADO","CRÉDITO")</f>
        <v>CRÉDITO</v>
      </c>
      <c r="B2115" s="38" t="str">
        <f>+IF((PROVEEDORES[[#This Row],[FECHA DE PAGO]]-PROVEEDORES[[#This Row],[FECHA DE FACTURACIÓN]])&gt;PROVEEDORES[[#This Row],[PLAZO Días]],"PAGO VENCIDO")</f>
        <v>PAGO VENCIDO</v>
      </c>
      <c r="C2115" s="20">
        <f>+VLOOKUP(PROVEEDORES[[#This Row],[PROVEEDOR]],TERCEROS_INFO[#All],2,FALSE)</f>
        <v>30</v>
      </c>
      <c r="D2115" s="25">
        <f>+SUMIFS(PROVEEDORES[Total],PROVEEDORES[PROVEEDOR],PROVEEDORES[[#This Row],[PROVEEDOR]],PROVEEDORES[FECHA DE PAGO],"")</f>
        <v>1034000.52</v>
      </c>
      <c r="E2115" s="25"/>
      <c r="F211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15" s="68">
        <v>45246</v>
      </c>
      <c r="H2115" s="26" t="s">
        <v>168</v>
      </c>
      <c r="I2115" s="68">
        <v>45184</v>
      </c>
      <c r="J2115" s="35" t="s">
        <v>1965</v>
      </c>
      <c r="K2115" s="21">
        <v>483193</v>
      </c>
      <c r="L2115" s="21"/>
      <c r="M2115" s="22">
        <f>(PROVEEDORES[[#This Row],[SUBTOTAL]]-PROVEEDORES[[#This Row],[descuento sobre subtotal]])*VLOOKUP(PROVEEDORES[[#This Row],[PROVEEDOR]],TERCEROS_INFO[#All],3,FALSE)</f>
        <v>91806.67</v>
      </c>
      <c r="N2115" s="23"/>
      <c r="O2115" s="22">
        <f>+PROVEEDORES[[#This Row],[Descuento sobre subtotal %]]*(PROVEEDORES[[#This Row],[SUBTOTAL]]-PROVEEDORES[[#This Row],[descuento sobre subtotal]])</f>
        <v>0</v>
      </c>
      <c r="P2115" s="74">
        <f>+IF(PROVEEDORES[[#This Row],[SUBTOTAL]]&lt;PROVEEDORES[[#This Row],[base retencion]],0,PROVEEDORES[[#This Row],[retención aplicada]])</f>
        <v>0</v>
      </c>
      <c r="Q2115" s="22">
        <f>+PROVEEDORES[[#This Row],[Rete Fuente %]]*(PROVEEDORES[[#This Row],[SUBTOTAL]]-PROVEEDORES[[#This Row],[descuento sobre subtotal]])</f>
        <v>0</v>
      </c>
      <c r="R2115" s="21">
        <f>+PROVEEDORES[[#This Row],[SUBTOTAL]]+PROVEEDORES[[#This Row],[IVA 19%]]-PROVEEDORES[[#This Row],[descuento sobre subtotal]]-PROVEEDORES[[#This Row],[Descuento sobre subtotal $2]]-PROVEEDORES[[#This Row],[Rete Fuente $]]</f>
        <v>574999.67000000004</v>
      </c>
      <c r="S21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5" s="63">
        <f ca="1">IF(PROVEEDORES[[#This Row],[FECHA DE PAGO]]=0,TODAY()-PROVEEDORES[[#This Row],[FECHA DE FACTURACIÓN]]-PROVEEDORES[[#This Row],[PLAZO Días]],0)</f>
        <v>0</v>
      </c>
      <c r="U2115" s="104" t="str">
        <f>+VLOOKUP(PROVEEDORES[[#This Row],[PROVEEDOR]],Terceros!$A:$D,4,FALSE)</f>
        <v>2,5% con base</v>
      </c>
      <c r="V2115" s="105">
        <f>+YEAR(PROVEEDORES[[#This Row],[FECHA DE FACTURACIÓN]])</f>
        <v>2023</v>
      </c>
      <c r="W2115" s="105">
        <f>+MATCH(PROVEEDORES[[#This Row],[año facturado]],Retenciones!$1:$1,0)</f>
        <v>6</v>
      </c>
      <c r="X2115" s="106">
        <f>+VLOOKUP(PROVEEDORES[[#This Row],[ID RETENCION]],Retenciones!$A$1:$O$25,PROVEEDORES[[#This Row],[indicador de columna]],FALSE)</f>
        <v>1145000</v>
      </c>
      <c r="Y2115" s="107">
        <f>+VLOOKUP(PROVEEDORES[[#This Row],[ID RETENCION]],Retenciones!$A$1:$O$25,2,FALSE)</f>
        <v>2.5000000000000001E-2</v>
      </c>
      <c r="Z2115" s="116" t="b">
        <f>OR(COUNTIF(PROVEEDORES[[#This Row],[PROVEEDOR]],"*"&amp;'Palabra no opera'!$A$2&amp;"*"))</f>
        <v>0</v>
      </c>
    </row>
    <row r="2116" spans="1:26" ht="22.35" customHeight="1" x14ac:dyDescent="0.3">
      <c r="A2116" s="67" t="str">
        <f>+IF(PROVEEDORES[[#This Row],[FECHA DE PAGO]]=PROVEEDORES[[#This Row],[FECHA DE FACTURACIÓN]],"DE CONTADO","CRÉDITO")</f>
        <v>CRÉDITO</v>
      </c>
      <c r="B2116" s="38" t="str">
        <f>+IF((PROVEEDORES[[#This Row],[FECHA DE PAGO]]-PROVEEDORES[[#This Row],[FECHA DE FACTURACIÓN]])&gt;PROVEEDORES[[#This Row],[PLAZO Días]],"PAGO VENCIDO")</f>
        <v>PAGO VENCIDO</v>
      </c>
      <c r="C2116" s="20">
        <f>+VLOOKUP(PROVEEDORES[[#This Row],[PROVEEDOR]],TERCEROS_INFO[#All],2,FALSE)</f>
        <v>30</v>
      </c>
      <c r="D2116" s="25">
        <f>+SUMIFS(PROVEEDORES[Total],PROVEEDORES[PROVEEDOR],PROVEEDORES[[#This Row],[PROVEEDOR]],PROVEEDORES[FECHA DE PAGO],"")</f>
        <v>1034000.52</v>
      </c>
      <c r="E2116" s="25"/>
      <c r="F2116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16" s="68">
        <v>45246</v>
      </c>
      <c r="H2116" s="26" t="s">
        <v>168</v>
      </c>
      <c r="I2116" s="68">
        <v>45184</v>
      </c>
      <c r="J2116" s="35" t="s">
        <v>1966</v>
      </c>
      <c r="K2116" s="21">
        <v>-210084</v>
      </c>
      <c r="L2116" s="21"/>
      <c r="M2116" s="22">
        <f>(PROVEEDORES[[#This Row],[SUBTOTAL]]-PROVEEDORES[[#This Row],[descuento sobre subtotal]])*VLOOKUP(PROVEEDORES[[#This Row],[PROVEEDOR]],TERCEROS_INFO[#All],3,FALSE)</f>
        <v>-39915.96</v>
      </c>
      <c r="N2116" s="23"/>
      <c r="O2116" s="22">
        <f>+PROVEEDORES[[#This Row],[Descuento sobre subtotal %]]*(PROVEEDORES[[#This Row],[SUBTOTAL]]-PROVEEDORES[[#This Row],[descuento sobre subtotal]])</f>
        <v>0</v>
      </c>
      <c r="P2116" s="74">
        <f>+IF(PROVEEDORES[[#This Row],[SUBTOTAL]]&lt;PROVEEDORES[[#This Row],[base retencion]],0,PROVEEDORES[[#This Row],[retención aplicada]])</f>
        <v>0</v>
      </c>
      <c r="Q2116" s="22">
        <f>+PROVEEDORES[[#This Row],[Rete Fuente %]]*(PROVEEDORES[[#This Row],[SUBTOTAL]]-PROVEEDORES[[#This Row],[descuento sobre subtotal]])</f>
        <v>0</v>
      </c>
      <c r="R2116" s="21">
        <f>+PROVEEDORES[[#This Row],[SUBTOTAL]]+PROVEEDORES[[#This Row],[IVA 19%]]-PROVEEDORES[[#This Row],[descuento sobre subtotal]]-PROVEEDORES[[#This Row],[Descuento sobre subtotal $2]]-PROVEEDORES[[#This Row],[Rete Fuente $]]</f>
        <v>-249999.96</v>
      </c>
      <c r="S21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6" s="63">
        <f ca="1">IF(PROVEEDORES[[#This Row],[FECHA DE PAGO]]=0,TODAY()-PROVEEDORES[[#This Row],[FECHA DE FACTURACIÓN]]-PROVEEDORES[[#This Row],[PLAZO Días]],0)</f>
        <v>0</v>
      </c>
      <c r="U2116" s="104" t="str">
        <f>+VLOOKUP(PROVEEDORES[[#This Row],[PROVEEDOR]],Terceros!$A:$D,4,FALSE)</f>
        <v>2,5% con base</v>
      </c>
      <c r="V2116" s="105">
        <f>+YEAR(PROVEEDORES[[#This Row],[FECHA DE FACTURACIÓN]])</f>
        <v>2023</v>
      </c>
      <c r="W2116" s="105">
        <f>+MATCH(PROVEEDORES[[#This Row],[año facturado]],Retenciones!$1:$1,0)</f>
        <v>6</v>
      </c>
      <c r="X2116" s="106">
        <f>+VLOOKUP(PROVEEDORES[[#This Row],[ID RETENCION]],Retenciones!$A$1:$O$25,PROVEEDORES[[#This Row],[indicador de columna]],FALSE)</f>
        <v>1145000</v>
      </c>
      <c r="Y2116" s="107">
        <f>+VLOOKUP(PROVEEDORES[[#This Row],[ID RETENCION]],Retenciones!$A$1:$O$25,2,FALSE)</f>
        <v>2.5000000000000001E-2</v>
      </c>
      <c r="Z2116" s="116" t="b">
        <f>OR(COUNTIF(PROVEEDORES[[#This Row],[PROVEEDOR]],"*"&amp;'Palabra no opera'!$A$2&amp;"*"))</f>
        <v>0</v>
      </c>
    </row>
    <row r="2117" spans="1:26" ht="22.35" customHeight="1" x14ac:dyDescent="0.3">
      <c r="A2117" s="367" t="str">
        <f>+IF(PROVEEDORES[[#This Row],[FECHA DE PAGO]]=PROVEEDORES[[#This Row],[FECHA DE FACTURACIÓN]],"DE CONTADO","CRÉDITO")</f>
        <v>CRÉDITO</v>
      </c>
      <c r="B2117" s="38" t="str">
        <f>+IF((PROVEEDORES[[#This Row],[FECHA DE PAGO]]-PROVEEDORES[[#This Row],[FECHA DE FACTURACIÓN]])&gt;PROVEEDORES[[#This Row],[PLAZO Días]],"PAGO VENCIDO")</f>
        <v>PAGO VENCIDO</v>
      </c>
      <c r="C2117" s="20">
        <f>+VLOOKUP(PROVEEDORES[[#This Row],[PROVEEDOR]],TERCEROS_INFO[#All],2,FALSE)</f>
        <v>30</v>
      </c>
      <c r="D2117" s="25">
        <f>+SUMIFS(PROVEEDORES[Total],PROVEEDORES[PROVEEDOR],PROVEEDORES[[#This Row],[PROVEEDOR]],PROVEEDORES[FECHA DE PAGO],"")</f>
        <v>2100000</v>
      </c>
      <c r="E2117" s="25"/>
      <c r="F2117" s="56" t="str">
        <f>+VLOOKUP(PROVEEDORES[[#This Row],[PROVEEDOR]],
                       Terceros!$A:$F,
                       5,
                       FALSE)</f>
        <v/>
      </c>
      <c r="G2117" s="68">
        <v>45247</v>
      </c>
      <c r="H2117" s="26" t="s">
        <v>349</v>
      </c>
      <c r="I2117" s="68">
        <v>45180</v>
      </c>
      <c r="J2117" s="35" t="s">
        <v>2006</v>
      </c>
      <c r="K2117" s="21">
        <v>2720000</v>
      </c>
      <c r="L2117" s="21"/>
      <c r="M2117" s="22">
        <f>(PROVEEDORES[[#This Row],[SUBTOTAL]]-PROVEEDORES[[#This Row],[descuento sobre subtotal]])*VLOOKUP(PROVEEDORES[[#This Row],[PROVEEDOR]],TERCEROS_INFO[#All],3,FALSE)</f>
        <v>0</v>
      </c>
      <c r="N2117" s="23"/>
      <c r="O2117" s="22">
        <f>+PROVEEDORES[[#This Row],[Descuento sobre subtotal %]]*(PROVEEDORES[[#This Row],[SUBTOTAL]]-PROVEEDORES[[#This Row],[descuento sobre subtotal]])</f>
        <v>0</v>
      </c>
      <c r="P2117" s="74">
        <f>+IF(PROVEEDORES[[#This Row],[SUBTOTAL]]&lt;PROVEEDORES[[#This Row],[base retencion]],0,PROVEEDORES[[#This Row],[retención aplicada]])</f>
        <v>0</v>
      </c>
      <c r="Q2117" s="22">
        <f>+PROVEEDORES[[#This Row],[Rete Fuente %]]*(PROVEEDORES[[#This Row],[SUBTOTAL]]-PROVEEDORES[[#This Row],[descuento sobre subtotal]])</f>
        <v>0</v>
      </c>
      <c r="R2117" s="21">
        <f>+PROVEEDORES[[#This Row],[SUBTOTAL]]+PROVEEDORES[[#This Row],[IVA 19%]]-PROVEEDORES[[#This Row],[descuento sobre subtotal]]-PROVEEDORES[[#This Row],[Descuento sobre subtotal $2]]-PROVEEDORES[[#This Row],[Rete Fuente $]]</f>
        <v>2720000</v>
      </c>
      <c r="S2117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7" s="63">
        <f ca="1">IF(PROVEEDORES[[#This Row],[FECHA DE PAGO]]=0,TODAY()-PROVEEDORES[[#This Row],[FECHA DE FACTURACIÓN]]-PROVEEDORES[[#This Row],[PLAZO Días]],0)</f>
        <v>0</v>
      </c>
      <c r="U2117" s="104">
        <f>+VLOOKUP(PROVEEDORES[[#This Row],[PROVEEDOR]],Terceros!$A:$D,4,FALSE)</f>
        <v>0</v>
      </c>
      <c r="V2117" s="105">
        <f>+YEAR(PROVEEDORES[[#This Row],[FECHA DE FACTURACIÓN]])</f>
        <v>2023</v>
      </c>
      <c r="W2117" s="105">
        <f>+MATCH(PROVEEDORES[[#This Row],[año facturado]],Retenciones!$1:$1,0)</f>
        <v>6</v>
      </c>
      <c r="X2117" s="106">
        <f>+VLOOKUP(PROVEEDORES[[#This Row],[ID RETENCION]],Retenciones!$A$1:$O$25,PROVEEDORES[[#This Row],[indicador de columna]],FALSE)</f>
        <v>0</v>
      </c>
      <c r="Y2117" s="107">
        <f>+VLOOKUP(PROVEEDORES[[#This Row],[ID RETENCION]],Retenciones!$A$1:$O$25,2,FALSE)</f>
        <v>0</v>
      </c>
      <c r="Z2117" s="116" t="b">
        <f>OR(COUNTIF(PROVEEDORES[[#This Row],[PROVEEDOR]],"*"&amp;'Palabra no opera'!$A$2&amp;"*"))</f>
        <v>0</v>
      </c>
    </row>
    <row r="2118" spans="1:26" ht="22.35" customHeight="1" x14ac:dyDescent="0.3">
      <c r="A2118" s="383" t="str">
        <f>+IF(PROVEEDORES[[#This Row],[FECHA DE PAGO]]=PROVEEDORES[[#This Row],[FECHA DE FACTURACIÓN]],"DE CONTADO","CRÉDITO")</f>
        <v>DE CONTADO</v>
      </c>
      <c r="B2118" s="38" t="b">
        <f>+IF((PROVEEDORES[[#This Row],[FECHA DE PAGO]]-PROVEEDORES[[#This Row],[FECHA DE FACTURACIÓN]])&gt;PROVEEDORES[[#This Row],[PLAZO Días]],"PAGO VENCIDO")</f>
        <v>0</v>
      </c>
      <c r="C2118" s="20">
        <f>+VLOOKUP(PROVEEDORES[[#This Row],[PROVEEDOR]],TERCEROS_INFO[#All],2,FALSE)</f>
        <v>30</v>
      </c>
      <c r="D2118" s="25">
        <f>+SUMIFS(PROVEEDORES[Total],PROVEEDORES[PROVEEDOR],PROVEEDORES[[#This Row],[PROVEEDOR]],PROVEEDORES[FECHA DE PAGO],"")</f>
        <v>0</v>
      </c>
      <c r="E2118" s="25"/>
      <c r="F2118" s="56" t="str">
        <f>+VLOOKUP(PROVEEDORES[[#This Row],[PROVEEDOR]],
                       Terceros!$A:$F,
                       5,
                       FALSE)</f>
        <v/>
      </c>
      <c r="G2118" s="68">
        <v>45247</v>
      </c>
      <c r="H2118" s="26" t="s">
        <v>362</v>
      </c>
      <c r="I2118" s="68">
        <v>45247</v>
      </c>
      <c r="J2118" s="35" t="s">
        <v>2144</v>
      </c>
      <c r="K2118" s="21">
        <v>200000</v>
      </c>
      <c r="L2118" s="21"/>
      <c r="M2118" s="22">
        <f>(PROVEEDORES[[#This Row],[SUBTOTAL]]-PROVEEDORES[[#This Row],[descuento sobre subtotal]])*VLOOKUP(PROVEEDORES[[#This Row],[PROVEEDOR]],TERCEROS_INFO[#All],3,FALSE)</f>
        <v>0</v>
      </c>
      <c r="N2118" s="23"/>
      <c r="O2118" s="22">
        <f>+PROVEEDORES[[#This Row],[Descuento sobre subtotal %]]*(PROVEEDORES[[#This Row],[SUBTOTAL]]-PROVEEDORES[[#This Row],[descuento sobre subtotal]])</f>
        <v>0</v>
      </c>
      <c r="P2118" s="74">
        <f>+IF(PROVEEDORES[[#This Row],[SUBTOTAL]]&lt;PROVEEDORES[[#This Row],[base retencion]],0,PROVEEDORES[[#This Row],[retención aplicada]])</f>
        <v>0</v>
      </c>
      <c r="Q2118" s="22">
        <f>+PROVEEDORES[[#This Row],[Rete Fuente %]]*(PROVEEDORES[[#This Row],[SUBTOTAL]]-PROVEEDORES[[#This Row],[descuento sobre subtotal]])</f>
        <v>0</v>
      </c>
      <c r="R2118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2118" s="3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8" s="63">
        <f ca="1">IF(PROVEEDORES[[#This Row],[FECHA DE PAGO]]=0,TODAY()-PROVEEDORES[[#This Row],[FECHA DE FACTURACIÓN]]-PROVEEDORES[[#This Row],[PLAZO Días]],0)</f>
        <v>0</v>
      </c>
      <c r="U2118" s="104">
        <f>+VLOOKUP(PROVEEDORES[[#This Row],[PROVEEDOR]],Terceros!$A:$D,4,FALSE)</f>
        <v>0</v>
      </c>
      <c r="V2118" s="105">
        <f>+YEAR(PROVEEDORES[[#This Row],[FECHA DE FACTURACIÓN]])</f>
        <v>2023</v>
      </c>
      <c r="W2118" s="105">
        <f>+MATCH(PROVEEDORES[[#This Row],[año facturado]],Retenciones!$1:$1,0)</f>
        <v>6</v>
      </c>
      <c r="X2118" s="106">
        <f>+VLOOKUP(PROVEEDORES[[#This Row],[ID RETENCION]],Retenciones!$A$1:$O$25,PROVEEDORES[[#This Row],[indicador de columna]],FALSE)</f>
        <v>0</v>
      </c>
      <c r="Y2118" s="107">
        <f>+VLOOKUP(PROVEEDORES[[#This Row],[ID RETENCION]],Retenciones!$A$1:$O$25,2,FALSE)</f>
        <v>0</v>
      </c>
      <c r="Z2118" s="116" t="b">
        <f>OR(COUNTIF(PROVEEDORES[[#This Row],[PROVEEDOR]],"*"&amp;'Palabra no opera'!$A$2&amp;"*"))</f>
        <v>0</v>
      </c>
    </row>
    <row r="2119" spans="1:26" ht="22.35" customHeight="1" x14ac:dyDescent="0.3">
      <c r="A2119" s="67" t="str">
        <f>+IF(PROVEEDORES[[#This Row],[FECHA DE PAGO]]=PROVEEDORES[[#This Row],[FECHA DE FACTURACIÓN]],"DE CONTADO","CRÉDITO")</f>
        <v>DE CONTADO</v>
      </c>
      <c r="B2119" s="38" t="b">
        <f>+IF((PROVEEDORES[[#This Row],[FECHA DE PAGO]]-PROVEEDORES[[#This Row],[FECHA DE FACTURACIÓN]])&gt;PROVEEDORES[[#This Row],[PLAZO Días]],"PAGO VENCIDO")</f>
        <v>0</v>
      </c>
      <c r="C2119" s="20">
        <f>+VLOOKUP(PROVEEDORES[[#This Row],[PROVEEDOR]],TERCEROS_INFO[#All],2,FALSE)</f>
        <v>30</v>
      </c>
      <c r="D2119" s="25">
        <f>+SUMIFS(PROVEEDORES[Total],PROVEEDORES[PROVEEDOR],PROVEEDORES[[#This Row],[PROVEEDOR]],PROVEEDORES[FECHA DE PAGO],"")</f>
        <v>0</v>
      </c>
      <c r="E2119" s="25"/>
      <c r="F2119" s="56">
        <f>+VLOOKUP(PROVEEDORES[[#This Row],[PROVEEDOR]],
                       Terceros!$A:$F,
                       5,
                       FALSE)</f>
        <v>0</v>
      </c>
      <c r="G2119" s="68">
        <v>45247</v>
      </c>
      <c r="H2119" s="26" t="s">
        <v>1762</v>
      </c>
      <c r="I2119" s="68">
        <v>45247</v>
      </c>
      <c r="J2119" s="35" t="s">
        <v>2195</v>
      </c>
      <c r="K2119" s="21">
        <v>438000</v>
      </c>
      <c r="L2119" s="21"/>
      <c r="M2119" s="22">
        <f>(PROVEEDORES[[#This Row],[SUBTOTAL]]-PROVEEDORES[[#This Row],[descuento sobre subtotal]])*VLOOKUP(PROVEEDORES[[#This Row],[PROVEEDOR]],TERCEROS_INFO[#All],3,FALSE)</f>
        <v>0</v>
      </c>
      <c r="N2119" s="23"/>
      <c r="O2119" s="22">
        <f>+PROVEEDORES[[#This Row],[Descuento sobre subtotal %]]*(PROVEEDORES[[#This Row],[SUBTOTAL]]-PROVEEDORES[[#This Row],[descuento sobre subtotal]])</f>
        <v>0</v>
      </c>
      <c r="P2119" s="74">
        <f>+IF(PROVEEDORES[[#This Row],[SUBTOTAL]]&lt;PROVEEDORES[[#This Row],[base retencion]],0,PROVEEDORES[[#This Row],[retención aplicada]])</f>
        <v>0</v>
      </c>
      <c r="Q2119" s="22">
        <f>+PROVEEDORES[[#This Row],[Rete Fuente %]]*(PROVEEDORES[[#This Row],[SUBTOTAL]]-PROVEEDORES[[#This Row],[descuento sobre subtotal]])</f>
        <v>0</v>
      </c>
      <c r="R2119" s="21">
        <f>+PROVEEDORES[[#This Row],[SUBTOTAL]]+PROVEEDORES[[#This Row],[IVA 19%]]-PROVEEDORES[[#This Row],[descuento sobre subtotal]]-PROVEEDORES[[#This Row],[Descuento sobre subtotal $2]]-PROVEEDORES[[#This Row],[Rete Fuente $]]</f>
        <v>438000</v>
      </c>
      <c r="S211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9" s="63">
        <f ca="1">IF(PROVEEDORES[[#This Row],[FECHA DE PAGO]]=0,TODAY()-PROVEEDORES[[#This Row],[FECHA DE FACTURACIÓN]]-PROVEEDORES[[#This Row],[PLAZO Días]],0)</f>
        <v>0</v>
      </c>
      <c r="U2119" s="104">
        <f>+VLOOKUP(PROVEEDORES[[#This Row],[PROVEEDOR]],Terceros!$A:$D,4,FALSE)</f>
        <v>0</v>
      </c>
      <c r="V2119" s="105">
        <f>+YEAR(PROVEEDORES[[#This Row],[FECHA DE FACTURACIÓN]])</f>
        <v>2023</v>
      </c>
      <c r="W2119" s="105">
        <f>+MATCH(PROVEEDORES[[#This Row],[año facturado]],Retenciones!$1:$1,0)</f>
        <v>6</v>
      </c>
      <c r="X2119" s="106">
        <f>+VLOOKUP(PROVEEDORES[[#This Row],[ID RETENCION]],Retenciones!$A$1:$O$25,PROVEEDORES[[#This Row],[indicador de columna]],FALSE)</f>
        <v>0</v>
      </c>
      <c r="Y2119" s="107">
        <f>+VLOOKUP(PROVEEDORES[[#This Row],[ID RETENCION]],Retenciones!$A$1:$O$25,2,FALSE)</f>
        <v>0</v>
      </c>
      <c r="Z2119" s="116" t="b">
        <f>OR(COUNTIF(PROVEEDORES[[#This Row],[PROVEEDOR]],"*"&amp;'Palabra no opera'!$A$2&amp;"*"))</f>
        <v>0</v>
      </c>
    </row>
    <row r="2120" spans="1:26" ht="22.35" customHeight="1" x14ac:dyDescent="0.3">
      <c r="A2120" s="383" t="str">
        <f>+IF(PROVEEDORES[[#This Row],[FECHA DE PAGO]]=PROVEEDORES[[#This Row],[FECHA DE FACTURACIÓN]],"DE CONTADO","CRÉDITO")</f>
        <v>DE CONTADO</v>
      </c>
      <c r="B2120" s="38" t="b">
        <f>+IF((PROVEEDORES[[#This Row],[FECHA DE PAGO]]-PROVEEDORES[[#This Row],[FECHA DE FACTURACIÓN]])&gt;PROVEEDORES[[#This Row],[PLAZO Días]],"PAGO VENCIDO")</f>
        <v>0</v>
      </c>
      <c r="C2120" s="20">
        <f>+VLOOKUP(PROVEEDORES[[#This Row],[PROVEEDOR]],TERCEROS_INFO[#All],2,FALSE)</f>
        <v>30</v>
      </c>
      <c r="D2120" s="25">
        <f>+SUMIFS(PROVEEDORES[Total],PROVEEDORES[PROVEEDOR],PROVEEDORES[[#This Row],[PROVEEDOR]],PROVEEDORES[FECHA DE PAGO],"")</f>
        <v>0</v>
      </c>
      <c r="E2120" s="25"/>
      <c r="F2120" s="56" t="str">
        <f>+VLOOKUP(PROVEEDORES[[#This Row],[PROVEEDOR]],
                       Terceros!$A:$F,
                       5,
                       FALSE)</f>
        <v/>
      </c>
      <c r="G2120" s="68">
        <v>45247</v>
      </c>
      <c r="H2120" s="26" t="s">
        <v>390</v>
      </c>
      <c r="I2120" s="68">
        <v>45247</v>
      </c>
      <c r="J2120" s="35"/>
      <c r="K2120" s="21">
        <v>1000000</v>
      </c>
      <c r="L2120" s="21"/>
      <c r="M2120" s="22">
        <f>(PROVEEDORES[[#This Row],[SUBTOTAL]]-PROVEEDORES[[#This Row],[descuento sobre subtotal]])*VLOOKUP(PROVEEDORES[[#This Row],[PROVEEDOR]],TERCEROS_INFO[#All],3,FALSE)</f>
        <v>0</v>
      </c>
      <c r="N2120" s="23"/>
      <c r="O2120" s="22">
        <f>+PROVEEDORES[[#This Row],[Descuento sobre subtotal %]]*(PROVEEDORES[[#This Row],[SUBTOTAL]]-PROVEEDORES[[#This Row],[descuento sobre subtotal]])</f>
        <v>0</v>
      </c>
      <c r="P2120" s="74">
        <f>+IF(PROVEEDORES[[#This Row],[SUBTOTAL]]&lt;PROVEEDORES[[#This Row],[base retencion]],0,PROVEEDORES[[#This Row],[retención aplicada]])</f>
        <v>0</v>
      </c>
      <c r="Q2120" s="22">
        <f>+PROVEEDORES[[#This Row],[Rete Fuente %]]*(PROVEEDORES[[#This Row],[SUBTOTAL]]-PROVEEDORES[[#This Row],[descuento sobre subtotal]])</f>
        <v>0</v>
      </c>
      <c r="R212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120" s="3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0" s="63">
        <f ca="1">IF(PROVEEDORES[[#This Row],[FECHA DE PAGO]]=0,TODAY()-PROVEEDORES[[#This Row],[FECHA DE FACTURACIÓN]]-PROVEEDORES[[#This Row],[PLAZO Días]],0)</f>
        <v>0</v>
      </c>
      <c r="U2120" s="104">
        <f>+VLOOKUP(PROVEEDORES[[#This Row],[PROVEEDOR]],Terceros!$A:$D,4,FALSE)</f>
        <v>0</v>
      </c>
      <c r="V2120" s="105">
        <f>+YEAR(PROVEEDORES[[#This Row],[FECHA DE FACTURACIÓN]])</f>
        <v>2023</v>
      </c>
      <c r="W2120" s="105">
        <f>+MATCH(PROVEEDORES[[#This Row],[año facturado]],Retenciones!$1:$1,0)</f>
        <v>6</v>
      </c>
      <c r="X2120" s="106">
        <f>+VLOOKUP(PROVEEDORES[[#This Row],[ID RETENCION]],Retenciones!$A$1:$O$25,PROVEEDORES[[#This Row],[indicador de columna]],FALSE)</f>
        <v>0</v>
      </c>
      <c r="Y2120" s="107">
        <f>+VLOOKUP(PROVEEDORES[[#This Row],[ID RETENCION]],Retenciones!$A$1:$O$25,2,FALSE)</f>
        <v>0</v>
      </c>
      <c r="Z2120" s="116" t="b">
        <f>OR(COUNTIF(PROVEEDORES[[#This Row],[PROVEEDOR]],"*"&amp;'Palabra no opera'!$A$2&amp;"*"))</f>
        <v>0</v>
      </c>
    </row>
    <row r="2121" spans="1:26" ht="22.35" customHeight="1" x14ac:dyDescent="0.3">
      <c r="A2121" s="67" t="str">
        <f>+IF(PROVEEDORES[[#This Row],[FECHA DE PAGO]]=PROVEEDORES[[#This Row],[FECHA DE FACTURACIÓN]],"DE CONTADO","CRÉDITO")</f>
        <v>CRÉDITO</v>
      </c>
      <c r="B2121" s="38" t="str">
        <f>+IF((PROVEEDORES[[#This Row],[FECHA DE PAGO]]-PROVEEDORES[[#This Row],[FECHA DE FACTURACIÓN]])&gt;PROVEEDORES[[#This Row],[PLAZO Días]],"PAGO VENCIDO")</f>
        <v>PAGO VENCIDO</v>
      </c>
      <c r="C2121" s="20">
        <f>+VLOOKUP(PROVEEDORES[[#This Row],[PROVEEDOR]],TERCEROS_INFO[#All],2,FALSE)</f>
        <v>30</v>
      </c>
      <c r="D2121" s="25">
        <f>+SUMIFS(PROVEEDORES[Total],PROVEEDORES[PROVEEDOR],PROVEEDORES[[#This Row],[PROVEEDOR]],PROVEEDORES[FECHA DE PAGO],"")</f>
        <v>0</v>
      </c>
      <c r="E2121" s="25"/>
      <c r="F2121" s="56" t="str">
        <f>+VLOOKUP(PROVEEDORES[[#This Row],[PROVEEDOR]],
                       Terceros!$A:$F,
                       5,
                       FALSE)</f>
        <v/>
      </c>
      <c r="G2121" s="68">
        <v>45247</v>
      </c>
      <c r="H2121" s="26" t="s">
        <v>401</v>
      </c>
      <c r="I2121" s="68">
        <v>45211</v>
      </c>
      <c r="J2121" s="35" t="s">
        <v>2064</v>
      </c>
      <c r="K2121" s="21">
        <v>534000</v>
      </c>
      <c r="L2121" s="21"/>
      <c r="M2121" s="22">
        <f>(PROVEEDORES[[#This Row],[SUBTOTAL]]-PROVEEDORES[[#This Row],[descuento sobre subtotal]])*VLOOKUP(PROVEEDORES[[#This Row],[PROVEEDOR]],TERCEROS_INFO[#All],3,FALSE)</f>
        <v>0</v>
      </c>
      <c r="N2121" s="23"/>
      <c r="O2121" s="22">
        <f>+PROVEEDORES[[#This Row],[Descuento sobre subtotal %]]*(PROVEEDORES[[#This Row],[SUBTOTAL]]-PROVEEDORES[[#This Row],[descuento sobre subtotal]])</f>
        <v>0</v>
      </c>
      <c r="P2121" s="74">
        <f>+IF(PROVEEDORES[[#This Row],[SUBTOTAL]]&lt;PROVEEDORES[[#This Row],[base retencion]],0,PROVEEDORES[[#This Row],[retención aplicada]])</f>
        <v>0</v>
      </c>
      <c r="Q2121" s="22">
        <f>+PROVEEDORES[[#This Row],[Rete Fuente %]]*(PROVEEDORES[[#This Row],[SUBTOTAL]]-PROVEEDORES[[#This Row],[descuento sobre subtotal]])</f>
        <v>0</v>
      </c>
      <c r="R2121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21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1" s="63">
        <f ca="1">IF(PROVEEDORES[[#This Row],[FECHA DE PAGO]]=0,TODAY()-PROVEEDORES[[#This Row],[FECHA DE FACTURACIÓN]]-PROVEEDORES[[#This Row],[PLAZO Días]],0)</f>
        <v>0</v>
      </c>
      <c r="U2121" s="104">
        <f>+VLOOKUP(PROVEEDORES[[#This Row],[PROVEEDOR]],Terceros!$A:$D,4,FALSE)</f>
        <v>0</v>
      </c>
      <c r="V2121" s="105">
        <f>+YEAR(PROVEEDORES[[#This Row],[FECHA DE FACTURACIÓN]])</f>
        <v>2023</v>
      </c>
      <c r="W2121" s="105">
        <f>+MATCH(PROVEEDORES[[#This Row],[año facturado]],Retenciones!$1:$1,0)</f>
        <v>6</v>
      </c>
      <c r="X2121" s="106">
        <f>+VLOOKUP(PROVEEDORES[[#This Row],[ID RETENCION]],Retenciones!$A$1:$O$25,PROVEEDORES[[#This Row],[indicador de columna]],FALSE)</f>
        <v>0</v>
      </c>
      <c r="Y2121" s="107">
        <f>+VLOOKUP(PROVEEDORES[[#This Row],[ID RETENCION]],Retenciones!$A$1:$O$25,2,FALSE)</f>
        <v>0</v>
      </c>
      <c r="Z2121" s="116" t="b">
        <f>OR(COUNTIF(PROVEEDORES[[#This Row],[PROVEEDOR]],"*"&amp;'Palabra no opera'!$A$2&amp;"*"))</f>
        <v>0</v>
      </c>
    </row>
    <row r="2122" spans="1:26" ht="22.35" customHeight="1" x14ac:dyDescent="0.3">
      <c r="A2122" s="67" t="str">
        <f>+IF(PROVEEDORES[[#This Row],[FECHA DE PAGO]]=PROVEEDORES[[#This Row],[FECHA DE FACTURACIÓN]],"DE CONTADO","CRÉDITO")</f>
        <v>DE CONTADO</v>
      </c>
      <c r="B2122" s="38" t="b">
        <f>+IF((PROVEEDORES[[#This Row],[FECHA DE PAGO]]-PROVEEDORES[[#This Row],[FECHA DE FACTURACIÓN]])&gt;PROVEEDORES[[#This Row],[PLAZO Días]],"PAGO VENCIDO")</f>
        <v>0</v>
      </c>
      <c r="C2122" s="20">
        <f>+VLOOKUP(PROVEEDORES[[#This Row],[PROVEEDOR]],TERCEROS_INFO[#All],2,FALSE)</f>
        <v>30</v>
      </c>
      <c r="D2122" s="25">
        <f>+SUMIFS(PROVEEDORES[Total],PROVEEDORES[PROVEEDOR],PROVEEDORES[[#This Row],[PROVEEDOR]],PROVEEDORES[FECHA DE PAGO],"")</f>
        <v>0</v>
      </c>
      <c r="E2122" s="25"/>
      <c r="F2122" s="56">
        <f>+VLOOKUP(PROVEEDORES[[#This Row],[PROVEEDOR]],
                       Terceros!$A:$F,
                       5,
                       FALSE)</f>
        <v>0</v>
      </c>
      <c r="G2122" s="68">
        <v>45247</v>
      </c>
      <c r="H2122" s="26" t="s">
        <v>1736</v>
      </c>
      <c r="I2122" s="68">
        <v>45247</v>
      </c>
      <c r="J2122" s="35"/>
      <c r="K2122" s="21">
        <v>417000</v>
      </c>
      <c r="L2122" s="21"/>
      <c r="M2122" s="22">
        <f>(PROVEEDORES[[#This Row],[SUBTOTAL]]-PROVEEDORES[[#This Row],[descuento sobre subtotal]])*VLOOKUP(PROVEEDORES[[#This Row],[PROVEEDOR]],TERCEROS_INFO[#All],3,FALSE)</f>
        <v>0</v>
      </c>
      <c r="N2122" s="23"/>
      <c r="O2122" s="22">
        <f>+PROVEEDORES[[#This Row],[Descuento sobre subtotal %]]*(PROVEEDORES[[#This Row],[SUBTOTAL]]-PROVEEDORES[[#This Row],[descuento sobre subtotal]])</f>
        <v>0</v>
      </c>
      <c r="P2122" s="74">
        <f>+IF(PROVEEDORES[[#This Row],[SUBTOTAL]]&lt;PROVEEDORES[[#This Row],[base retencion]],0,PROVEEDORES[[#This Row],[retención aplicada]])</f>
        <v>0</v>
      </c>
      <c r="Q2122" s="22">
        <f>+PROVEEDORES[[#This Row],[Rete Fuente %]]*(PROVEEDORES[[#This Row],[SUBTOTAL]]-PROVEEDORES[[#This Row],[descuento sobre subtotal]])</f>
        <v>0</v>
      </c>
      <c r="R2122" s="21">
        <f>+PROVEEDORES[[#This Row],[SUBTOTAL]]+PROVEEDORES[[#This Row],[IVA 19%]]-PROVEEDORES[[#This Row],[descuento sobre subtotal]]-PROVEEDORES[[#This Row],[Descuento sobre subtotal $2]]-PROVEEDORES[[#This Row],[Rete Fuente $]]</f>
        <v>417000</v>
      </c>
      <c r="S21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2" s="63">
        <f ca="1">IF(PROVEEDORES[[#This Row],[FECHA DE PAGO]]=0,TODAY()-PROVEEDORES[[#This Row],[FECHA DE FACTURACIÓN]]-PROVEEDORES[[#This Row],[PLAZO Días]],0)</f>
        <v>0</v>
      </c>
      <c r="U2122" s="104">
        <f>+VLOOKUP(PROVEEDORES[[#This Row],[PROVEEDOR]],Terceros!$A:$D,4,FALSE)</f>
        <v>0</v>
      </c>
      <c r="V2122" s="105">
        <f>+YEAR(PROVEEDORES[[#This Row],[FECHA DE FACTURACIÓN]])</f>
        <v>2023</v>
      </c>
      <c r="W2122" s="105">
        <f>+MATCH(PROVEEDORES[[#This Row],[año facturado]],Retenciones!$1:$1,0)</f>
        <v>6</v>
      </c>
      <c r="X2122" s="106">
        <f>+VLOOKUP(PROVEEDORES[[#This Row],[ID RETENCION]],Retenciones!$A$1:$O$25,PROVEEDORES[[#This Row],[indicador de columna]],FALSE)</f>
        <v>0</v>
      </c>
      <c r="Y2122" s="107">
        <f>+VLOOKUP(PROVEEDORES[[#This Row],[ID RETENCION]],Retenciones!$A$1:$O$25,2,FALSE)</f>
        <v>0</v>
      </c>
      <c r="Z2122" s="116" t="b">
        <f>OR(COUNTIF(PROVEEDORES[[#This Row],[PROVEEDOR]],"*"&amp;'Palabra no opera'!$A$2&amp;"*"))</f>
        <v>0</v>
      </c>
    </row>
    <row r="2123" spans="1:26" ht="22.35" customHeight="1" x14ac:dyDescent="0.3">
      <c r="A2123" s="351" t="str">
        <f>+IF(PROVEEDORES[[#This Row],[FECHA DE PAGO]]=PROVEEDORES[[#This Row],[FECHA DE FACTURACIÓN]],"DE CONTADO","CRÉDITO")</f>
        <v>CRÉDITO</v>
      </c>
      <c r="B2123" s="38" t="str">
        <f>+IF((PROVEEDORES[[#This Row],[FECHA DE PAGO]]-PROVEEDORES[[#This Row],[FECHA DE FACTURACIÓN]])&gt;PROVEEDORES[[#This Row],[PLAZO Días]],"PAGO VENCIDO")</f>
        <v>PAGO VENCIDO</v>
      </c>
      <c r="C2123" s="20">
        <f>+VLOOKUP(PROVEEDORES[[#This Row],[PROVEEDOR]],TERCEROS_INFO[#All],2,FALSE)</f>
        <v>60</v>
      </c>
      <c r="D2123" s="25">
        <f>+SUMIFS(PROVEEDORES[Total],PROVEEDORES[PROVEEDOR],PROVEEDORES[[#This Row],[PROVEEDOR]],PROVEEDORES[FECHA DE PAGO],"")</f>
        <v>0</v>
      </c>
      <c r="E2123" s="25"/>
      <c r="F2123" s="56">
        <f>+VLOOKUP(PROVEEDORES[[#This Row],[PROVEEDOR]],
                       Terceros!$A:$F,
                       5,
                       FALSE)</f>
        <v>0</v>
      </c>
      <c r="G2123" s="68">
        <v>45247</v>
      </c>
      <c r="H2123" s="26" t="s">
        <v>951</v>
      </c>
      <c r="I2123" s="68">
        <v>45169</v>
      </c>
      <c r="J2123" s="35" t="s">
        <v>1924</v>
      </c>
      <c r="K2123" s="21">
        <v>4550503</v>
      </c>
      <c r="L2123" s="21"/>
      <c r="M2123" s="22">
        <f>(PROVEEDORES[[#This Row],[SUBTOTAL]]-PROVEEDORES[[#This Row],[descuento sobre subtotal]])*VLOOKUP(PROVEEDORES[[#This Row],[PROVEEDOR]],TERCEROS_INFO[#All],3,FALSE)</f>
        <v>864595.57000000007</v>
      </c>
      <c r="N2123" s="23"/>
      <c r="O2123" s="22">
        <f>+PROVEEDORES[[#This Row],[Descuento sobre subtotal %]]*(PROVEEDORES[[#This Row],[SUBTOTAL]]-PROVEEDORES[[#This Row],[descuento sobre subtotal]])</f>
        <v>0</v>
      </c>
      <c r="P2123" s="74">
        <f>+IF(PROVEEDORES[[#This Row],[SUBTOTAL]]&lt;PROVEEDORES[[#This Row],[base retencion]],0,PROVEEDORES[[#This Row],[retención aplicada]])</f>
        <v>0</v>
      </c>
      <c r="Q2123" s="22">
        <f>+PROVEEDORES[[#This Row],[Rete Fuente %]]*(PROVEEDORES[[#This Row],[SUBTOTAL]]-PROVEEDORES[[#This Row],[descuento sobre subtotal]])</f>
        <v>0</v>
      </c>
      <c r="R2123" s="21">
        <f>+PROVEEDORES[[#This Row],[SUBTOTAL]]+PROVEEDORES[[#This Row],[IVA 19%]]-PROVEEDORES[[#This Row],[descuento sobre subtotal]]-PROVEEDORES[[#This Row],[Descuento sobre subtotal $2]]-PROVEEDORES[[#This Row],[Rete Fuente $]]</f>
        <v>5415098.5700000003</v>
      </c>
      <c r="S2123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3" s="63">
        <f ca="1">IF(PROVEEDORES[[#This Row],[FECHA DE PAGO]]=0,TODAY()-PROVEEDORES[[#This Row],[FECHA DE FACTURACIÓN]]-PROVEEDORES[[#This Row],[PLAZO Días]],0)</f>
        <v>0</v>
      </c>
      <c r="U2123" s="104">
        <f>+VLOOKUP(PROVEEDORES[[#This Row],[PROVEEDOR]],Terceros!$A:$D,4,FALSE)</f>
        <v>0</v>
      </c>
      <c r="V2123" s="105">
        <f>+YEAR(PROVEEDORES[[#This Row],[FECHA DE FACTURACIÓN]])</f>
        <v>2023</v>
      </c>
      <c r="W2123" s="105">
        <f>+MATCH(PROVEEDORES[[#This Row],[año facturado]],Retenciones!$1:$1,0)</f>
        <v>6</v>
      </c>
      <c r="X2123" s="106">
        <f>+VLOOKUP(PROVEEDORES[[#This Row],[ID RETENCION]],Retenciones!$A$1:$O$25,PROVEEDORES[[#This Row],[indicador de columna]],FALSE)</f>
        <v>0</v>
      </c>
      <c r="Y2123" s="107">
        <f>+VLOOKUP(PROVEEDORES[[#This Row],[ID RETENCION]],Retenciones!$A$1:$O$25,2,FALSE)</f>
        <v>0</v>
      </c>
      <c r="Z2123" s="116" t="b">
        <f>OR(COUNTIF(PROVEEDORES[[#This Row],[PROVEEDOR]],"*"&amp;'Palabra no opera'!$A$2&amp;"*"))</f>
        <v>1</v>
      </c>
    </row>
    <row r="2124" spans="1:26" ht="22.35" customHeight="1" x14ac:dyDescent="0.3">
      <c r="A2124" s="67" t="str">
        <f>+IF(PROVEEDORES[[#This Row],[FECHA DE PAGO]]=PROVEEDORES[[#This Row],[FECHA DE FACTURACIÓN]],"DE CONTADO","CRÉDITO")</f>
        <v>CRÉDITO</v>
      </c>
      <c r="B2124" s="38" t="str">
        <f>+IF((PROVEEDORES[[#This Row],[FECHA DE PAGO]]-PROVEEDORES[[#This Row],[FECHA DE FACTURACIÓN]])&gt;PROVEEDORES[[#This Row],[PLAZO Días]],"PAGO VENCIDO")</f>
        <v>PAGO VENCIDO</v>
      </c>
      <c r="C2124" s="20">
        <f>+VLOOKUP(PROVEEDORES[[#This Row],[PROVEEDOR]],TERCEROS_INFO[#All],2,FALSE)</f>
        <v>30</v>
      </c>
      <c r="D2124" s="25">
        <f>+SUMIFS(PROVEEDORES[Total],PROVEEDORES[PROVEEDOR],PROVEEDORES[[#This Row],[PROVEEDOR]],PROVEEDORES[FECHA DE PAGO],"")</f>
        <v>-139600.09</v>
      </c>
      <c r="E2124" s="25"/>
      <c r="F2124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2124" s="68">
        <v>45247</v>
      </c>
      <c r="H2124" s="26" t="s">
        <v>32</v>
      </c>
      <c r="I2124" s="68">
        <v>45210</v>
      </c>
      <c r="J2124" s="35" t="s">
        <v>2083</v>
      </c>
      <c r="K2124" s="21">
        <v>3224873</v>
      </c>
      <c r="L2124" s="21"/>
      <c r="M2124" s="22">
        <f>(PROVEEDORES[[#This Row],[SUBTOTAL]]-PROVEEDORES[[#This Row],[descuento sobre subtotal]])*VLOOKUP(PROVEEDORES[[#This Row],[PROVEEDOR]],TERCEROS_INFO[#All],3,FALSE)</f>
        <v>612725.87</v>
      </c>
      <c r="N2124" s="23"/>
      <c r="O2124" s="22">
        <f>+PROVEEDORES[[#This Row],[Descuento sobre subtotal %]]*(PROVEEDORES[[#This Row],[SUBTOTAL]]-PROVEEDORES[[#This Row],[descuento sobre subtotal]])</f>
        <v>0</v>
      </c>
      <c r="P2124" s="74">
        <f>+IF(PROVEEDORES[[#This Row],[SUBTOTAL]]&lt;PROVEEDORES[[#This Row],[base retencion]],0,PROVEEDORES[[#This Row],[retención aplicada]])</f>
        <v>2.5000000000000001E-2</v>
      </c>
      <c r="Q2124" s="22">
        <f>+PROVEEDORES[[#This Row],[Rete Fuente %]]*(PROVEEDORES[[#This Row],[SUBTOTAL]]-PROVEEDORES[[#This Row],[descuento sobre subtotal]])</f>
        <v>80621.825000000012</v>
      </c>
      <c r="R2124" s="21">
        <f>+PROVEEDORES[[#This Row],[SUBTOTAL]]+PROVEEDORES[[#This Row],[IVA 19%]]-PROVEEDORES[[#This Row],[descuento sobre subtotal]]-PROVEEDORES[[#This Row],[Descuento sobre subtotal $2]]-PROVEEDORES[[#This Row],[Rete Fuente $]]</f>
        <v>3756977.0449999999</v>
      </c>
      <c r="S21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4" s="63">
        <f ca="1">IF(PROVEEDORES[[#This Row],[FECHA DE PAGO]]=0,TODAY()-PROVEEDORES[[#This Row],[FECHA DE FACTURACIÓN]]-PROVEEDORES[[#This Row],[PLAZO Días]],0)</f>
        <v>0</v>
      </c>
      <c r="U2124" s="104" t="str">
        <f>+VLOOKUP(PROVEEDORES[[#This Row],[PROVEEDOR]],Terceros!$A:$D,4,FALSE)</f>
        <v>2,5% con base</v>
      </c>
      <c r="V2124" s="105">
        <f>+YEAR(PROVEEDORES[[#This Row],[FECHA DE FACTURACIÓN]])</f>
        <v>2023</v>
      </c>
      <c r="W2124" s="105">
        <f>+MATCH(PROVEEDORES[[#This Row],[año facturado]],Retenciones!$1:$1,0)</f>
        <v>6</v>
      </c>
      <c r="X2124" s="106">
        <f>+VLOOKUP(PROVEEDORES[[#This Row],[ID RETENCION]],Retenciones!$A$1:$O$25,PROVEEDORES[[#This Row],[indicador de columna]],FALSE)</f>
        <v>1145000</v>
      </c>
      <c r="Y2124" s="107">
        <f>+VLOOKUP(PROVEEDORES[[#This Row],[ID RETENCION]],Retenciones!$A$1:$O$25,2,FALSE)</f>
        <v>2.5000000000000001E-2</v>
      </c>
      <c r="Z2124" s="116" t="b">
        <f>OR(COUNTIF(PROVEEDORES[[#This Row],[PROVEEDOR]],"*"&amp;'Palabra no opera'!$A$2&amp;"*"))</f>
        <v>0</v>
      </c>
    </row>
    <row r="2125" spans="1:26" ht="22.35" customHeight="1" x14ac:dyDescent="0.3">
      <c r="A2125" s="67" t="str">
        <f>+IF(PROVEEDORES[[#This Row],[FECHA DE PAGO]]=PROVEEDORES[[#This Row],[FECHA DE FACTURACIÓN]],"DE CONTADO","CRÉDITO")</f>
        <v>CRÉDITO</v>
      </c>
      <c r="B2125" s="38" t="str">
        <f>+IF((PROVEEDORES[[#This Row],[FECHA DE PAGO]]-PROVEEDORES[[#This Row],[FECHA DE FACTURACIÓN]])&gt;PROVEEDORES[[#This Row],[PLAZO Días]],"PAGO VENCIDO")</f>
        <v>PAGO VENCIDO</v>
      </c>
      <c r="C2125" s="20">
        <f>+VLOOKUP(PROVEEDORES[[#This Row],[PROVEEDOR]],TERCEROS_INFO[#All],2,FALSE)</f>
        <v>30</v>
      </c>
      <c r="D2125" s="25">
        <f>+SUMIFS(PROVEEDORES[Total],PROVEEDORES[PROVEEDOR],PROVEEDORES[[#This Row],[PROVEEDOR]],PROVEEDORES[FECHA DE PAGO],"")</f>
        <v>1316890.8900000001</v>
      </c>
      <c r="E2125" s="25"/>
      <c r="F212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125" s="68">
        <v>45247</v>
      </c>
      <c r="H2125" s="26" t="s">
        <v>17</v>
      </c>
      <c r="I2125" s="68">
        <v>45212</v>
      </c>
      <c r="J2125" s="35" t="s">
        <v>2092</v>
      </c>
      <c r="K2125" s="21">
        <v>267442</v>
      </c>
      <c r="L2125" s="21"/>
      <c r="M2125" s="22">
        <f>(PROVEEDORES[[#This Row],[SUBTOTAL]]-PROVEEDORES[[#This Row],[descuento sobre subtotal]])*VLOOKUP(PROVEEDORES[[#This Row],[PROVEEDOR]],TERCEROS_INFO[#All],3,FALSE)</f>
        <v>50813.98</v>
      </c>
      <c r="N2125" s="23"/>
      <c r="O2125" s="22">
        <f>+PROVEEDORES[[#This Row],[Descuento sobre subtotal %]]*(PROVEEDORES[[#This Row],[SUBTOTAL]]-PROVEEDORES[[#This Row],[descuento sobre subtotal]])</f>
        <v>0</v>
      </c>
      <c r="P2125" s="74">
        <f>+IF(PROVEEDORES[[#This Row],[SUBTOTAL]]&lt;PROVEEDORES[[#This Row],[base retencion]],0,PROVEEDORES[[#This Row],[retención aplicada]])</f>
        <v>0</v>
      </c>
      <c r="Q2125" s="22">
        <f>+PROVEEDORES[[#This Row],[Rete Fuente %]]*(PROVEEDORES[[#This Row],[SUBTOTAL]]-PROVEEDORES[[#This Row],[descuento sobre subtotal]])</f>
        <v>0</v>
      </c>
      <c r="R2125" s="21">
        <f>+PROVEEDORES[[#This Row],[SUBTOTAL]]+PROVEEDORES[[#This Row],[IVA 19%]]-PROVEEDORES[[#This Row],[descuento sobre subtotal]]-PROVEEDORES[[#This Row],[Descuento sobre subtotal $2]]-PROVEEDORES[[#This Row],[Rete Fuente $]]</f>
        <v>318255.98</v>
      </c>
      <c r="S212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5" s="63">
        <f ca="1">IF(PROVEEDORES[[#This Row],[FECHA DE PAGO]]=0,TODAY()-PROVEEDORES[[#This Row],[FECHA DE FACTURACIÓN]]-PROVEEDORES[[#This Row],[PLAZO Días]],0)</f>
        <v>0</v>
      </c>
      <c r="U2125" s="104">
        <f>+VLOOKUP(PROVEEDORES[[#This Row],[PROVEEDOR]],Terceros!$A:$D,4,FALSE)</f>
        <v>0</v>
      </c>
      <c r="V2125" s="105">
        <f>+YEAR(PROVEEDORES[[#This Row],[FECHA DE FACTURACIÓN]])</f>
        <v>2023</v>
      </c>
      <c r="W2125" s="105">
        <f>+MATCH(PROVEEDORES[[#This Row],[año facturado]],Retenciones!$1:$1,0)</f>
        <v>6</v>
      </c>
      <c r="X2125" s="106">
        <f>+VLOOKUP(PROVEEDORES[[#This Row],[ID RETENCION]],Retenciones!$A$1:$O$25,PROVEEDORES[[#This Row],[indicador de columna]],FALSE)</f>
        <v>0</v>
      </c>
      <c r="Y2125" s="107">
        <f>+VLOOKUP(PROVEEDORES[[#This Row],[ID RETENCION]],Retenciones!$A$1:$O$25,2,FALSE)</f>
        <v>0</v>
      </c>
      <c r="Z2125" s="116" t="b">
        <f>OR(COUNTIF(PROVEEDORES[[#This Row],[PROVEEDOR]],"*"&amp;'Palabra no opera'!$A$2&amp;"*"))</f>
        <v>0</v>
      </c>
    </row>
    <row r="2126" spans="1:26" ht="22.35" customHeight="1" x14ac:dyDescent="0.3">
      <c r="A2126" s="67" t="str">
        <f>+IF(PROVEEDORES[[#This Row],[FECHA DE PAGO]]=PROVEEDORES[[#This Row],[FECHA DE FACTURACIÓN]],"DE CONTADO","CRÉDITO")</f>
        <v>CRÉDITO</v>
      </c>
      <c r="B2126" s="38" t="str">
        <f>+IF((PROVEEDORES[[#This Row],[FECHA DE PAGO]]-PROVEEDORES[[#This Row],[FECHA DE FACTURACIÓN]])&gt;PROVEEDORES[[#This Row],[PLAZO Días]],"PAGO VENCIDO")</f>
        <v>PAGO VENCIDO</v>
      </c>
      <c r="C2126" s="20">
        <f>+VLOOKUP(PROVEEDORES[[#This Row],[PROVEEDOR]],TERCEROS_INFO[#All],2,FALSE)</f>
        <v>0</v>
      </c>
      <c r="D2126" s="25">
        <f>+SUMIFS(PROVEEDORES[Total],PROVEEDORES[PROVEEDOR],PROVEEDORES[[#This Row],[PROVEEDOR]],PROVEEDORES[FECHA DE PAGO],"")</f>
        <v>0</v>
      </c>
      <c r="E2126" s="25"/>
      <c r="F2126" s="56">
        <f>+VLOOKUP(PROVEEDORES[[#This Row],[PROVEEDOR]],
                       Terceros!$A:$F,
                       5,
                       FALSE)</f>
        <v>0</v>
      </c>
      <c r="G2126" s="68">
        <v>45250</v>
      </c>
      <c r="H2126" s="26" t="s">
        <v>346</v>
      </c>
      <c r="I2126" s="68">
        <v>45218</v>
      </c>
      <c r="J2126" s="35" t="s">
        <v>1791</v>
      </c>
      <c r="K2126" s="21">
        <v>445473</v>
      </c>
      <c r="L2126" s="21"/>
      <c r="M2126" s="22">
        <f>(PROVEEDORES[[#This Row],[SUBTOTAL]]-PROVEEDORES[[#This Row],[descuento sobre subtotal]])*VLOOKUP(PROVEEDORES[[#This Row],[PROVEEDOR]],TERCEROS_INFO[#All],3,FALSE)</f>
        <v>0</v>
      </c>
      <c r="N2126" s="23"/>
      <c r="O2126" s="22">
        <f>+PROVEEDORES[[#This Row],[Descuento sobre subtotal %]]*(PROVEEDORES[[#This Row],[SUBTOTAL]]-PROVEEDORES[[#This Row],[descuento sobre subtotal]])</f>
        <v>0</v>
      </c>
      <c r="P2126" s="74">
        <f>+IF(PROVEEDORES[[#This Row],[SUBTOTAL]]&lt;PROVEEDORES[[#This Row],[base retencion]],0,PROVEEDORES[[#This Row],[retención aplicada]])</f>
        <v>0</v>
      </c>
      <c r="Q2126" s="22">
        <f>+PROVEEDORES[[#This Row],[Rete Fuente %]]*(PROVEEDORES[[#This Row],[SUBTOTAL]]-PROVEEDORES[[#This Row],[descuento sobre subtotal]])</f>
        <v>0</v>
      </c>
      <c r="R2126" s="21">
        <f>+PROVEEDORES[[#This Row],[SUBTOTAL]]+PROVEEDORES[[#This Row],[IVA 19%]]-PROVEEDORES[[#This Row],[descuento sobre subtotal]]-PROVEEDORES[[#This Row],[Descuento sobre subtotal $2]]-PROVEEDORES[[#This Row],[Rete Fuente $]]</f>
        <v>445473</v>
      </c>
      <c r="S212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6" s="63">
        <f ca="1">IF(PROVEEDORES[[#This Row],[FECHA DE PAGO]]=0,TODAY()-PROVEEDORES[[#This Row],[FECHA DE FACTURACIÓN]]-PROVEEDORES[[#This Row],[PLAZO Días]],0)</f>
        <v>0</v>
      </c>
      <c r="U2126" s="104">
        <f>+VLOOKUP(PROVEEDORES[[#This Row],[PROVEEDOR]],Terceros!$A:$D,4,FALSE)</f>
        <v>0</v>
      </c>
      <c r="V2126" s="105">
        <f>+YEAR(PROVEEDORES[[#This Row],[FECHA DE FACTURACIÓN]])</f>
        <v>2023</v>
      </c>
      <c r="W2126" s="105">
        <f>+MATCH(PROVEEDORES[[#This Row],[año facturado]],Retenciones!$1:$1,0)</f>
        <v>6</v>
      </c>
      <c r="X2126" s="106">
        <f>+VLOOKUP(PROVEEDORES[[#This Row],[ID RETENCION]],Retenciones!$A$1:$O$25,PROVEEDORES[[#This Row],[indicador de columna]],FALSE)</f>
        <v>0</v>
      </c>
      <c r="Y2126" s="107">
        <f>+VLOOKUP(PROVEEDORES[[#This Row],[ID RETENCION]],Retenciones!$A$1:$O$25,2,FALSE)</f>
        <v>0</v>
      </c>
      <c r="Z2126" s="116" t="b">
        <f>OR(COUNTIF(PROVEEDORES[[#This Row],[PROVEEDOR]],"*"&amp;'Palabra no opera'!$A$2&amp;"*"))</f>
        <v>0</v>
      </c>
    </row>
    <row r="2127" spans="1:26" ht="22.35" customHeight="1" x14ac:dyDescent="0.3">
      <c r="A2127" s="67" t="str">
        <f>+IF(PROVEEDORES[[#This Row],[FECHA DE PAGO]]=PROVEEDORES[[#This Row],[FECHA DE FACTURACIÓN]],"DE CONTADO","CRÉDITO")</f>
        <v>DE CONTADO</v>
      </c>
      <c r="B2127" s="38" t="b">
        <f>+IF((PROVEEDORES[[#This Row],[FECHA DE PAGO]]-PROVEEDORES[[#This Row],[FECHA DE FACTURACIÓN]])&gt;PROVEEDORES[[#This Row],[PLAZO Días]],"PAGO VENCIDO")</f>
        <v>0</v>
      </c>
      <c r="C2127" s="20">
        <f>+VLOOKUP(PROVEEDORES[[#This Row],[PROVEEDOR]],TERCEROS_INFO[#All],2,FALSE)</f>
        <v>30</v>
      </c>
      <c r="D2127" s="25">
        <f>+SUMIFS(PROVEEDORES[Total],PROVEEDORES[PROVEEDOR],PROVEEDORES[[#This Row],[PROVEEDOR]],PROVEEDORES[FECHA DE PAGO],"")</f>
        <v>0</v>
      </c>
      <c r="E2127" s="25"/>
      <c r="F2127" s="56" t="str">
        <f>+VLOOKUP(PROVEEDORES[[#This Row],[PROVEEDOR]],
                       Terceros!$A:$F,
                       5,
                       FALSE)</f>
        <v/>
      </c>
      <c r="G2127" s="68">
        <v>45250</v>
      </c>
      <c r="H2127" s="26" t="s">
        <v>362</v>
      </c>
      <c r="I2127" s="68">
        <v>45250</v>
      </c>
      <c r="J2127" s="35" t="s">
        <v>2196</v>
      </c>
      <c r="K2127" s="21">
        <v>190000</v>
      </c>
      <c r="L2127" s="21"/>
      <c r="M2127" s="22">
        <f>(PROVEEDORES[[#This Row],[SUBTOTAL]]-PROVEEDORES[[#This Row],[descuento sobre subtotal]])*VLOOKUP(PROVEEDORES[[#This Row],[PROVEEDOR]],TERCEROS_INFO[#All],3,FALSE)</f>
        <v>0</v>
      </c>
      <c r="N2127" s="23"/>
      <c r="O2127" s="22">
        <f>+PROVEEDORES[[#This Row],[Descuento sobre subtotal %]]*(PROVEEDORES[[#This Row],[SUBTOTAL]]-PROVEEDORES[[#This Row],[descuento sobre subtotal]])</f>
        <v>0</v>
      </c>
      <c r="P2127" s="74">
        <f>+IF(PROVEEDORES[[#This Row],[SUBTOTAL]]&lt;PROVEEDORES[[#This Row],[base retencion]],0,PROVEEDORES[[#This Row],[retención aplicada]])</f>
        <v>0</v>
      </c>
      <c r="Q2127" s="22">
        <f>+PROVEEDORES[[#This Row],[Rete Fuente %]]*(PROVEEDORES[[#This Row],[SUBTOTAL]]-PROVEEDORES[[#This Row],[descuento sobre subtotal]])</f>
        <v>0</v>
      </c>
      <c r="R2127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212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7" s="63">
        <f ca="1">IF(PROVEEDORES[[#This Row],[FECHA DE PAGO]]=0,TODAY()-PROVEEDORES[[#This Row],[FECHA DE FACTURACIÓN]]-PROVEEDORES[[#This Row],[PLAZO Días]],0)</f>
        <v>0</v>
      </c>
      <c r="U2127" s="104">
        <f>+VLOOKUP(PROVEEDORES[[#This Row],[PROVEEDOR]],Terceros!$A:$D,4,FALSE)</f>
        <v>0</v>
      </c>
      <c r="V2127" s="105">
        <f>+YEAR(PROVEEDORES[[#This Row],[FECHA DE FACTURACIÓN]])</f>
        <v>2023</v>
      </c>
      <c r="W2127" s="105">
        <f>+MATCH(PROVEEDORES[[#This Row],[año facturado]],Retenciones!$1:$1,0)</f>
        <v>6</v>
      </c>
      <c r="X2127" s="106">
        <f>+VLOOKUP(PROVEEDORES[[#This Row],[ID RETENCION]],Retenciones!$A$1:$O$25,PROVEEDORES[[#This Row],[indicador de columna]],FALSE)</f>
        <v>0</v>
      </c>
      <c r="Y2127" s="107">
        <f>+VLOOKUP(PROVEEDORES[[#This Row],[ID RETENCION]],Retenciones!$A$1:$O$25,2,FALSE)</f>
        <v>0</v>
      </c>
      <c r="Z2127" s="116" t="b">
        <f>OR(COUNTIF(PROVEEDORES[[#This Row],[PROVEEDOR]],"*"&amp;'Palabra no opera'!$A$2&amp;"*"))</f>
        <v>0</v>
      </c>
    </row>
    <row r="2128" spans="1:26" ht="22.35" customHeight="1" x14ac:dyDescent="0.3">
      <c r="A2128" s="381" t="str">
        <f>+IF(PROVEEDORES[[#This Row],[FECHA DE PAGO]]=PROVEEDORES[[#This Row],[FECHA DE FACTURACIÓN]],"DE CONTADO","CRÉDITO")</f>
        <v>CRÉDITO</v>
      </c>
      <c r="B2128" s="38" t="b">
        <f>+IF((PROVEEDORES[[#This Row],[FECHA DE PAGO]]-PROVEEDORES[[#This Row],[FECHA DE FACTURACIÓN]])&gt;PROVEEDORES[[#This Row],[PLAZO Días]],"PAGO VENCIDO")</f>
        <v>0</v>
      </c>
      <c r="C2128" s="20">
        <f>+VLOOKUP(PROVEEDORES[[#This Row],[PROVEEDOR]],TERCEROS_INFO[#All],2,FALSE)</f>
        <v>180</v>
      </c>
      <c r="D2128" s="25">
        <f>+SUMIFS(PROVEEDORES[Total],PROVEEDORES[PROVEEDOR],PROVEEDORES[[#This Row],[PROVEEDOR]],PROVEEDORES[FECHA DE PAGO],"")</f>
        <v>0</v>
      </c>
      <c r="E2128" s="25"/>
      <c r="F2128" s="56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2128" s="68">
        <v>45250</v>
      </c>
      <c r="H2128" s="26" t="s">
        <v>625</v>
      </c>
      <c r="I2128" s="68">
        <v>45231</v>
      </c>
      <c r="J2128" s="35" t="s">
        <v>2148</v>
      </c>
      <c r="K2128" s="21">
        <v>442906</v>
      </c>
      <c r="L2128" s="21"/>
      <c r="M2128" s="22">
        <f>(PROVEEDORES[[#This Row],[SUBTOTAL]]-PROVEEDORES[[#This Row],[descuento sobre subtotal]])*VLOOKUP(PROVEEDORES[[#This Row],[PROVEEDOR]],TERCEROS_INFO[#All],3,FALSE)</f>
        <v>84152.14</v>
      </c>
      <c r="N2128" s="23"/>
      <c r="O2128" s="22">
        <f>+PROVEEDORES[[#This Row],[Descuento sobre subtotal %]]*(PROVEEDORES[[#This Row],[SUBTOTAL]]-PROVEEDORES[[#This Row],[descuento sobre subtotal]])</f>
        <v>0</v>
      </c>
      <c r="P2128" s="74">
        <f>+IF(PROVEEDORES[[#This Row],[SUBTOTAL]]&lt;PROVEEDORES[[#This Row],[base retencion]],0,PROVEEDORES[[#This Row],[retención aplicada]])</f>
        <v>0</v>
      </c>
      <c r="Q2128" s="22">
        <f>+PROVEEDORES[[#This Row],[Rete Fuente %]]*(PROVEEDORES[[#This Row],[SUBTOTAL]]-PROVEEDORES[[#This Row],[descuento sobre subtotal]])</f>
        <v>0</v>
      </c>
      <c r="R2128" s="21">
        <f>+PROVEEDORES[[#This Row],[SUBTOTAL]]+PROVEEDORES[[#This Row],[IVA 19%]]-PROVEEDORES[[#This Row],[descuento sobre subtotal]]-PROVEEDORES[[#This Row],[Descuento sobre subtotal $2]]-PROVEEDORES[[#This Row],[Rete Fuente $]]</f>
        <v>527058.14</v>
      </c>
      <c r="S2128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8" s="63">
        <f ca="1">IF(PROVEEDORES[[#This Row],[FECHA DE PAGO]]=0,TODAY()-PROVEEDORES[[#This Row],[FECHA DE FACTURACIÓN]]-PROVEEDORES[[#This Row],[PLAZO Días]],0)</f>
        <v>0</v>
      </c>
      <c r="U2128" s="104" t="str">
        <f>+VLOOKUP(PROVEEDORES[[#This Row],[PROVEEDOR]],Terceros!$A:$D,4,FALSE)</f>
        <v>2,5% con base</v>
      </c>
      <c r="V2128" s="105">
        <f>+YEAR(PROVEEDORES[[#This Row],[FECHA DE FACTURACIÓN]])</f>
        <v>2023</v>
      </c>
      <c r="W2128" s="105">
        <f>+MATCH(PROVEEDORES[[#This Row],[año facturado]],Retenciones!$1:$1,0)</f>
        <v>6</v>
      </c>
      <c r="X2128" s="106">
        <f>+VLOOKUP(PROVEEDORES[[#This Row],[ID RETENCION]],Retenciones!$A$1:$O$25,PROVEEDORES[[#This Row],[indicador de columna]],FALSE)</f>
        <v>1145000</v>
      </c>
      <c r="Y2128" s="107">
        <f>+VLOOKUP(PROVEEDORES[[#This Row],[ID RETENCION]],Retenciones!$A$1:$O$25,2,FALSE)</f>
        <v>2.5000000000000001E-2</v>
      </c>
      <c r="Z2128" s="116" t="b">
        <f>OR(COUNTIF(PROVEEDORES[[#This Row],[PROVEEDOR]],"*"&amp;'Palabra no opera'!$A$2&amp;"*"))</f>
        <v>1</v>
      </c>
    </row>
    <row r="2129" spans="1:26" ht="22.35" customHeight="1" x14ac:dyDescent="0.3">
      <c r="A2129" s="67" t="str">
        <f>+IF(PROVEEDORES[[#This Row],[FECHA DE PAGO]]=PROVEEDORES[[#This Row],[FECHA DE FACTURACIÓN]],"DE CONTADO","CRÉDITO")</f>
        <v>CRÉDITO</v>
      </c>
      <c r="B2129" s="38" t="str">
        <f>+IF((PROVEEDORES[[#This Row],[FECHA DE PAGO]]-PROVEEDORES[[#This Row],[FECHA DE FACTURACIÓN]])&gt;PROVEEDORES[[#This Row],[PLAZO Días]],"PAGO VENCIDO")</f>
        <v>PAGO VENCIDO</v>
      </c>
      <c r="C2129" s="20">
        <f>+VLOOKUP(PROVEEDORES[[#This Row],[PROVEEDOR]],TERCEROS_INFO[#All],2,FALSE)</f>
        <v>0</v>
      </c>
      <c r="D2129" s="25">
        <f>+SUMIFS(PROVEEDORES[Total],PROVEEDORES[PROVEEDOR],PROVEEDORES[[#This Row],[PROVEEDOR]],PROVEEDORES[FECHA DE PAGO],"")</f>
        <v>0</v>
      </c>
      <c r="E2129" s="25"/>
      <c r="F2129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2129" s="68">
        <v>45250</v>
      </c>
      <c r="H2129" s="26" t="s">
        <v>2032</v>
      </c>
      <c r="I2129" s="68">
        <v>45210</v>
      </c>
      <c r="J2129" s="35" t="s">
        <v>2113</v>
      </c>
      <c r="K2129" s="21">
        <v>-1168669</v>
      </c>
      <c r="L2129" s="21"/>
      <c r="M2129" s="22">
        <v>0</v>
      </c>
      <c r="N2129" s="23"/>
      <c r="O2129" s="22">
        <f>+PROVEEDORES[[#This Row],[Descuento sobre subtotal %]]*(PROVEEDORES[[#This Row],[SUBTOTAL]]-PROVEEDORES[[#This Row],[descuento sobre subtotal]])</f>
        <v>0</v>
      </c>
      <c r="P2129" s="74">
        <v>0</v>
      </c>
      <c r="Q2129" s="22">
        <f>+PROVEEDORES[[#This Row],[Rete Fuente %]]*(PROVEEDORES[[#This Row],[SUBTOTAL]]-PROVEEDORES[[#This Row],[descuento sobre subtotal]])</f>
        <v>0</v>
      </c>
      <c r="R2129" s="21">
        <f>+PROVEEDORES[[#This Row],[SUBTOTAL]]+PROVEEDORES[[#This Row],[IVA 19%]]-PROVEEDORES[[#This Row],[descuento sobre subtotal]]-PROVEEDORES[[#This Row],[Descuento sobre subtotal $2]]-PROVEEDORES[[#This Row],[Rete Fuente $]]</f>
        <v>-1168669</v>
      </c>
      <c r="S21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9" s="63">
        <f ca="1">IF(PROVEEDORES[[#This Row],[FECHA DE PAGO]]=0,TODAY()-PROVEEDORES[[#This Row],[FECHA DE FACTURACIÓN]]-PROVEEDORES[[#This Row],[PLAZO Días]],0)</f>
        <v>0</v>
      </c>
      <c r="U2129" s="104" t="str">
        <f>+VLOOKUP(PROVEEDORES[[#This Row],[PROVEEDOR]],Terceros!$A:$D,4,FALSE)</f>
        <v>4% con base</v>
      </c>
      <c r="V2129" s="105">
        <f>+YEAR(PROVEEDORES[[#This Row],[FECHA DE FACTURACIÓN]])</f>
        <v>2023</v>
      </c>
      <c r="W2129" s="105">
        <f>+MATCH(PROVEEDORES[[#This Row],[año facturado]],Retenciones!$1:$1,0)</f>
        <v>6</v>
      </c>
      <c r="X2129" s="106">
        <f>+VLOOKUP(PROVEEDORES[[#This Row],[ID RETENCION]],Retenciones!$A$1:$O$25,PROVEEDORES[[#This Row],[indicador de columna]],FALSE)</f>
        <v>170000</v>
      </c>
      <c r="Y2129" s="107">
        <f>+VLOOKUP(PROVEEDORES[[#This Row],[ID RETENCION]],Retenciones!$A$1:$O$25,2,FALSE)</f>
        <v>0.04</v>
      </c>
      <c r="Z2129" s="116" t="b">
        <f>OR(COUNTIF(PROVEEDORES[[#This Row],[PROVEEDOR]],"*"&amp;'Palabra no opera'!$A$2&amp;"*"))</f>
        <v>0</v>
      </c>
    </row>
    <row r="2130" spans="1:26" ht="22.35" customHeight="1" x14ac:dyDescent="0.3">
      <c r="A2130" s="67" t="str">
        <f>+IF(PROVEEDORES[[#This Row],[FECHA DE PAGO]]=PROVEEDORES[[#This Row],[FECHA DE FACTURACIÓN]],"DE CONTADO","CRÉDITO")</f>
        <v>CRÉDITO</v>
      </c>
      <c r="B2130" s="38" t="str">
        <f>+IF((PROVEEDORES[[#This Row],[FECHA DE PAGO]]-PROVEEDORES[[#This Row],[FECHA DE FACTURACIÓN]])&gt;PROVEEDORES[[#This Row],[PLAZO Días]],"PAGO VENCIDO")</f>
        <v>PAGO VENCIDO</v>
      </c>
      <c r="C2130" s="20">
        <f>+VLOOKUP(PROVEEDORES[[#This Row],[PROVEEDOR]],TERCEROS_INFO[#All],2,FALSE)</f>
        <v>0</v>
      </c>
      <c r="D2130" s="25">
        <f>+SUMIFS(PROVEEDORES[Total],PROVEEDORES[PROVEEDOR],PROVEEDORES[[#This Row],[PROVEEDOR]],PROVEEDORES[FECHA DE PAGO],"")</f>
        <v>0</v>
      </c>
      <c r="E2130" s="25"/>
      <c r="F2130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2130" s="68">
        <v>45250</v>
      </c>
      <c r="H2130" s="26" t="s">
        <v>2032</v>
      </c>
      <c r="I2130" s="68">
        <v>45210</v>
      </c>
      <c r="J2130" s="35" t="s">
        <v>2112</v>
      </c>
      <c r="K2130" s="21">
        <v>-759339</v>
      </c>
      <c r="L2130" s="21"/>
      <c r="M2130" s="22">
        <v>0</v>
      </c>
      <c r="N2130" s="23"/>
      <c r="O2130" s="22">
        <f>+PROVEEDORES[[#This Row],[Descuento sobre subtotal %]]*(PROVEEDORES[[#This Row],[SUBTOTAL]]-PROVEEDORES[[#This Row],[descuento sobre subtotal]])</f>
        <v>0</v>
      </c>
      <c r="P2130" s="74">
        <v>0</v>
      </c>
      <c r="Q2130" s="22">
        <f>+PROVEEDORES[[#This Row],[Rete Fuente %]]*(PROVEEDORES[[#This Row],[SUBTOTAL]]-PROVEEDORES[[#This Row],[descuento sobre subtotal]])</f>
        <v>0</v>
      </c>
      <c r="R2130" s="21">
        <f>+PROVEEDORES[[#This Row],[SUBTOTAL]]+PROVEEDORES[[#This Row],[IVA 19%]]-PROVEEDORES[[#This Row],[descuento sobre subtotal]]-PROVEEDORES[[#This Row],[Descuento sobre subtotal $2]]-PROVEEDORES[[#This Row],[Rete Fuente $]]</f>
        <v>-759339</v>
      </c>
      <c r="S213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0" s="63">
        <f ca="1">IF(PROVEEDORES[[#This Row],[FECHA DE PAGO]]=0,TODAY()-PROVEEDORES[[#This Row],[FECHA DE FACTURACIÓN]]-PROVEEDORES[[#This Row],[PLAZO Días]],0)</f>
        <v>0</v>
      </c>
      <c r="U2130" s="104" t="str">
        <f>+VLOOKUP(PROVEEDORES[[#This Row],[PROVEEDOR]],Terceros!$A:$D,4,FALSE)</f>
        <v>4% con base</v>
      </c>
      <c r="V2130" s="105">
        <f>+YEAR(PROVEEDORES[[#This Row],[FECHA DE FACTURACIÓN]])</f>
        <v>2023</v>
      </c>
      <c r="W2130" s="105">
        <f>+MATCH(PROVEEDORES[[#This Row],[año facturado]],Retenciones!$1:$1,0)</f>
        <v>6</v>
      </c>
      <c r="X2130" s="106">
        <f>+VLOOKUP(PROVEEDORES[[#This Row],[ID RETENCION]],Retenciones!$A$1:$O$25,PROVEEDORES[[#This Row],[indicador de columna]],FALSE)</f>
        <v>170000</v>
      </c>
      <c r="Y2130" s="107">
        <f>+VLOOKUP(PROVEEDORES[[#This Row],[ID RETENCION]],Retenciones!$A$1:$O$25,2,FALSE)</f>
        <v>0.04</v>
      </c>
      <c r="Z2130" s="116" t="b">
        <f>OR(COUNTIF(PROVEEDORES[[#This Row],[PROVEEDOR]],"*"&amp;'Palabra no opera'!$A$2&amp;"*"))</f>
        <v>0</v>
      </c>
    </row>
    <row r="2131" spans="1:26" ht="22.35" customHeight="1" x14ac:dyDescent="0.3">
      <c r="A2131" s="67" t="str">
        <f>+IF(PROVEEDORES[[#This Row],[FECHA DE PAGO]]=PROVEEDORES[[#This Row],[FECHA DE FACTURACIÓN]],"DE CONTADO","CRÉDITO")</f>
        <v>DE CONTADO</v>
      </c>
      <c r="B2131" s="38" t="b">
        <f>+IF((PROVEEDORES[[#This Row],[FECHA DE PAGO]]-PROVEEDORES[[#This Row],[FECHA DE FACTURACIÓN]])&gt;PROVEEDORES[[#This Row],[PLAZO Días]],"PAGO VENCIDO")</f>
        <v>0</v>
      </c>
      <c r="C2131" s="20">
        <f>+VLOOKUP(PROVEEDORES[[#This Row],[PROVEEDOR]],TERCEROS_INFO[#All],2,FALSE)</f>
        <v>0</v>
      </c>
      <c r="D2131" s="25">
        <f>+SUMIFS(PROVEEDORES[Total],PROVEEDORES[PROVEEDOR],PROVEEDORES[[#This Row],[PROVEEDOR]],PROVEEDORES[FECHA DE PAGO],"")</f>
        <v>0</v>
      </c>
      <c r="E2131" s="25"/>
      <c r="F2131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2131" s="68">
        <v>45250</v>
      </c>
      <c r="H2131" s="26" t="s">
        <v>2032</v>
      </c>
      <c r="I2131" s="68">
        <v>45250</v>
      </c>
      <c r="J2131" s="35" t="s">
        <v>2114</v>
      </c>
      <c r="K2131" s="21">
        <v>1964150</v>
      </c>
      <c r="L2131" s="21"/>
      <c r="M2131" s="22">
        <f>(PROVEEDORES[[#This Row],[SUBTOTAL]]-PROVEEDORES[[#This Row],[descuento sobre subtotal]])*VLOOKUP(PROVEEDORES[[#This Row],[PROVEEDOR]],TERCEROS_INFO[#All],3,FALSE)</f>
        <v>373188.5</v>
      </c>
      <c r="N2131" s="23"/>
      <c r="O2131" s="22">
        <f>+PROVEEDORES[[#This Row],[Descuento sobre subtotal %]]*(PROVEEDORES[[#This Row],[SUBTOTAL]]-PROVEEDORES[[#This Row],[descuento sobre subtotal]])</f>
        <v>0</v>
      </c>
      <c r="P2131" s="74">
        <f>+IF(PROVEEDORES[[#This Row],[SUBTOTAL]]&lt;PROVEEDORES[[#This Row],[base retencion]],0,PROVEEDORES[[#This Row],[retención aplicada]])</f>
        <v>0.04</v>
      </c>
      <c r="Q2131" s="22">
        <f>+PROVEEDORES[[#This Row],[Rete Fuente %]]*(PROVEEDORES[[#This Row],[SUBTOTAL]]-PROVEEDORES[[#This Row],[descuento sobre subtotal]])</f>
        <v>78566</v>
      </c>
      <c r="R2131" s="21">
        <f>+PROVEEDORES[[#This Row],[SUBTOTAL]]+PROVEEDORES[[#This Row],[IVA 19%]]-PROVEEDORES[[#This Row],[descuento sobre subtotal]]-PROVEEDORES[[#This Row],[Descuento sobre subtotal $2]]-PROVEEDORES[[#This Row],[Rete Fuente $]]</f>
        <v>2258772.5</v>
      </c>
      <c r="S21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1" s="63">
        <f ca="1">IF(PROVEEDORES[[#This Row],[FECHA DE PAGO]]=0,TODAY()-PROVEEDORES[[#This Row],[FECHA DE FACTURACIÓN]]-PROVEEDORES[[#This Row],[PLAZO Días]],0)</f>
        <v>0</v>
      </c>
      <c r="U2131" s="104" t="str">
        <f>+VLOOKUP(PROVEEDORES[[#This Row],[PROVEEDOR]],Terceros!$A:$D,4,FALSE)</f>
        <v>4% con base</v>
      </c>
      <c r="V2131" s="105">
        <f>+YEAR(PROVEEDORES[[#This Row],[FECHA DE FACTURACIÓN]])</f>
        <v>2023</v>
      </c>
      <c r="W2131" s="105">
        <f>+MATCH(PROVEEDORES[[#This Row],[año facturado]],Retenciones!$1:$1,0)</f>
        <v>6</v>
      </c>
      <c r="X2131" s="106">
        <f>+VLOOKUP(PROVEEDORES[[#This Row],[ID RETENCION]],Retenciones!$A$1:$O$25,PROVEEDORES[[#This Row],[indicador de columna]],FALSE)</f>
        <v>170000</v>
      </c>
      <c r="Y2131" s="107">
        <f>+VLOOKUP(PROVEEDORES[[#This Row],[ID RETENCION]],Retenciones!$A$1:$O$25,2,FALSE)</f>
        <v>0.04</v>
      </c>
      <c r="Z2131" s="116" t="b">
        <f>OR(COUNTIF(PROVEEDORES[[#This Row],[PROVEEDOR]],"*"&amp;'Palabra no opera'!$A$2&amp;"*"))</f>
        <v>0</v>
      </c>
    </row>
    <row r="2132" spans="1:26" ht="22.35" customHeight="1" x14ac:dyDescent="0.3">
      <c r="A2132" s="67" t="str">
        <f>+IF(PROVEEDORES[[#This Row],[FECHA DE PAGO]]=PROVEEDORES[[#This Row],[FECHA DE FACTURACIÓN]],"DE CONTADO","CRÉDITO")</f>
        <v>DE CONTADO</v>
      </c>
      <c r="B2132" s="38" t="b">
        <f>+IF((PROVEEDORES[[#This Row],[FECHA DE PAGO]]-PROVEEDORES[[#This Row],[FECHA DE FACTURACIÓN]])&gt;PROVEEDORES[[#This Row],[PLAZO Días]],"PAGO VENCIDO")</f>
        <v>0</v>
      </c>
      <c r="C2132" s="20">
        <f>+VLOOKUP(PROVEEDORES[[#This Row],[PROVEEDOR]],TERCEROS_INFO[#All],2,FALSE)</f>
        <v>0</v>
      </c>
      <c r="D2132" s="25">
        <f>+SUMIFS(PROVEEDORES[Total],PROVEEDORES[PROVEEDOR],PROVEEDORES[[#This Row],[PROVEEDOR]],PROVEEDORES[FECHA DE PAGO],"")</f>
        <v>0</v>
      </c>
      <c r="E2132" s="25"/>
      <c r="F2132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2132" s="68">
        <v>45250</v>
      </c>
      <c r="H2132" s="26" t="s">
        <v>2032</v>
      </c>
      <c r="I2132" s="68">
        <v>45250</v>
      </c>
      <c r="J2132" s="35" t="s">
        <v>2115</v>
      </c>
      <c r="K2132" s="21">
        <v>1276200</v>
      </c>
      <c r="L2132" s="21"/>
      <c r="M2132" s="22">
        <f>(PROVEEDORES[[#This Row],[SUBTOTAL]]-PROVEEDORES[[#This Row],[descuento sobre subtotal]])*VLOOKUP(PROVEEDORES[[#This Row],[PROVEEDOR]],TERCEROS_INFO[#All],3,FALSE)</f>
        <v>242478</v>
      </c>
      <c r="N2132" s="23"/>
      <c r="O2132" s="22">
        <f>+PROVEEDORES[[#This Row],[Descuento sobre subtotal %]]*(PROVEEDORES[[#This Row],[SUBTOTAL]]-PROVEEDORES[[#This Row],[descuento sobre subtotal]])</f>
        <v>0</v>
      </c>
      <c r="P2132" s="74">
        <f>+IF(PROVEEDORES[[#This Row],[SUBTOTAL]]&lt;PROVEEDORES[[#This Row],[base retencion]],0,PROVEEDORES[[#This Row],[retención aplicada]])</f>
        <v>0.04</v>
      </c>
      <c r="Q2132" s="22">
        <f>+PROVEEDORES[[#This Row],[Rete Fuente %]]*(PROVEEDORES[[#This Row],[SUBTOTAL]]-PROVEEDORES[[#This Row],[descuento sobre subtotal]])</f>
        <v>51048</v>
      </c>
      <c r="R2132" s="21">
        <f>+PROVEEDORES[[#This Row],[SUBTOTAL]]+PROVEEDORES[[#This Row],[IVA 19%]]-PROVEEDORES[[#This Row],[descuento sobre subtotal]]-PROVEEDORES[[#This Row],[Descuento sobre subtotal $2]]-PROVEEDORES[[#This Row],[Rete Fuente $]]</f>
        <v>1467630</v>
      </c>
      <c r="S21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2" s="63">
        <f ca="1">IF(PROVEEDORES[[#This Row],[FECHA DE PAGO]]=0,TODAY()-PROVEEDORES[[#This Row],[FECHA DE FACTURACIÓN]]-PROVEEDORES[[#This Row],[PLAZO Días]],0)</f>
        <v>0</v>
      </c>
      <c r="U2132" s="104" t="str">
        <f>+VLOOKUP(PROVEEDORES[[#This Row],[PROVEEDOR]],Terceros!$A:$D,4,FALSE)</f>
        <v>4% con base</v>
      </c>
      <c r="V2132" s="105">
        <f>+YEAR(PROVEEDORES[[#This Row],[FECHA DE FACTURACIÓN]])</f>
        <v>2023</v>
      </c>
      <c r="W2132" s="105">
        <f>+MATCH(PROVEEDORES[[#This Row],[año facturado]],Retenciones!$1:$1,0)</f>
        <v>6</v>
      </c>
      <c r="X2132" s="106">
        <f>+VLOOKUP(PROVEEDORES[[#This Row],[ID RETENCION]],Retenciones!$A$1:$O$25,PROVEEDORES[[#This Row],[indicador de columna]],FALSE)</f>
        <v>170000</v>
      </c>
      <c r="Y2132" s="107">
        <f>+VLOOKUP(PROVEEDORES[[#This Row],[ID RETENCION]],Retenciones!$A$1:$O$25,2,FALSE)</f>
        <v>0.04</v>
      </c>
      <c r="Z2132" s="116" t="b">
        <f>OR(COUNTIF(PROVEEDORES[[#This Row],[PROVEEDOR]],"*"&amp;'Palabra no opera'!$A$2&amp;"*"))</f>
        <v>0</v>
      </c>
    </row>
    <row r="2133" spans="1:26" ht="22.35" customHeight="1" x14ac:dyDescent="0.3">
      <c r="A2133" s="67" t="str">
        <f>+IF(PROVEEDORES[[#This Row],[FECHA DE PAGO]]=PROVEEDORES[[#This Row],[FECHA DE FACTURACIÓN]],"DE CONTADO","CRÉDITO")</f>
        <v>DE CONTADO</v>
      </c>
      <c r="B2133" s="38" t="b">
        <f>+IF((PROVEEDORES[[#This Row],[FECHA DE PAGO]]-PROVEEDORES[[#This Row],[FECHA DE FACTURACIÓN]])&gt;PROVEEDORES[[#This Row],[PLAZO Días]],"PAGO VENCIDO")</f>
        <v>0</v>
      </c>
      <c r="C2133" s="20">
        <f>+VLOOKUP(PROVEEDORES[[#This Row],[PROVEEDOR]],TERCEROS_INFO[#All],2,FALSE)</f>
        <v>30</v>
      </c>
      <c r="D2133" s="25">
        <f>+SUMIFS(PROVEEDORES[Total],PROVEEDORES[PROVEEDOR],PROVEEDORES[[#This Row],[PROVEEDOR]],PROVEEDORES[FECHA DE PAGO],"")</f>
        <v>0</v>
      </c>
      <c r="E2133" s="25"/>
      <c r="F2133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133" s="68">
        <v>45250</v>
      </c>
      <c r="H2133" s="26" t="s">
        <v>635</v>
      </c>
      <c r="I2133" s="68">
        <v>45250</v>
      </c>
      <c r="J2133" s="35" t="s">
        <v>2142</v>
      </c>
      <c r="K2133" s="21">
        <v>3456200</v>
      </c>
      <c r="L2133" s="21"/>
      <c r="M2133" s="22">
        <f>(PROVEEDORES[[#This Row],[SUBTOTAL]]-PROVEEDORES[[#This Row],[descuento sobre subtotal]])*VLOOKUP(PROVEEDORES[[#This Row],[PROVEEDOR]],TERCEROS_INFO[#All],3,FALSE)</f>
        <v>0</v>
      </c>
      <c r="N2133" s="23"/>
      <c r="O2133" s="22">
        <f>+PROVEEDORES[[#This Row],[Descuento sobre subtotal %]]*(PROVEEDORES[[#This Row],[SUBTOTAL]]-PROVEEDORES[[#This Row],[descuento sobre subtotal]])</f>
        <v>0</v>
      </c>
      <c r="P2133" s="74">
        <f>+IF(PROVEEDORES[[#This Row],[SUBTOTAL]]&lt;PROVEEDORES[[#This Row],[base retencion]],0,PROVEEDORES[[#This Row],[retención aplicada]])</f>
        <v>3.5000000000000003E-2</v>
      </c>
      <c r="Q2133" s="22">
        <f>+PROVEEDORES[[#This Row],[Rete Fuente %]]*(PROVEEDORES[[#This Row],[SUBTOTAL]]-PROVEEDORES[[#This Row],[descuento sobre subtotal]])</f>
        <v>120967.00000000001</v>
      </c>
      <c r="R2133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21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3" s="63">
        <f ca="1">IF(PROVEEDORES[[#This Row],[FECHA DE PAGO]]=0,TODAY()-PROVEEDORES[[#This Row],[FECHA DE FACTURACIÓN]]-PROVEEDORES[[#This Row],[PLAZO Días]],0)</f>
        <v>0</v>
      </c>
      <c r="U2133" s="104" t="str">
        <f>+VLOOKUP(PROVEEDORES[[#This Row],[PROVEEDOR]],Terceros!$A:$D,4,FALSE)</f>
        <v>3,5% sin base</v>
      </c>
      <c r="V2133" s="105">
        <f>+YEAR(PROVEEDORES[[#This Row],[FECHA DE FACTURACIÓN]])</f>
        <v>2023</v>
      </c>
      <c r="W2133" s="105">
        <f>+MATCH(PROVEEDORES[[#This Row],[año facturado]],Retenciones!$1:$1,0)</f>
        <v>6</v>
      </c>
      <c r="X2133" s="106">
        <f>+VLOOKUP(PROVEEDORES[[#This Row],[ID RETENCION]],Retenciones!$A$1:$O$25,PROVEEDORES[[#This Row],[indicador de columna]],FALSE)</f>
        <v>0</v>
      </c>
      <c r="Y2133" s="107">
        <f>+VLOOKUP(PROVEEDORES[[#This Row],[ID RETENCION]],Retenciones!$A$1:$O$25,2,FALSE)</f>
        <v>3.5000000000000003E-2</v>
      </c>
      <c r="Z2133" s="116" t="b">
        <f>OR(COUNTIF(PROVEEDORES[[#This Row],[PROVEEDOR]],"*"&amp;'Palabra no opera'!$A$2&amp;"*"))</f>
        <v>1</v>
      </c>
    </row>
    <row r="2134" spans="1:26" ht="22.35" customHeight="1" x14ac:dyDescent="0.3">
      <c r="A2134" s="67" t="str">
        <f>+IF(PROVEEDORES[[#This Row],[FECHA DE PAGO]]=PROVEEDORES[[#This Row],[FECHA DE FACTURACIÓN]],"DE CONTADO","CRÉDITO")</f>
        <v>CRÉDITO</v>
      </c>
      <c r="B2134" s="38" t="b">
        <f>+IF((PROVEEDORES[[#This Row],[FECHA DE PAGO]]-PROVEEDORES[[#This Row],[FECHA DE FACTURACIÓN]])&gt;PROVEEDORES[[#This Row],[PLAZO Días]],"PAGO VENCIDO")</f>
        <v>0</v>
      </c>
      <c r="C2134" s="20">
        <f>+VLOOKUP(PROVEEDORES[[#This Row],[PROVEEDOR]],TERCEROS_INFO[#All],2,FALSE)</f>
        <v>30</v>
      </c>
      <c r="D2134" s="25">
        <f>+SUMIFS(PROVEEDORES[Total],PROVEEDORES[PROVEEDOR],PROVEEDORES[[#This Row],[PROVEEDOR]],PROVEEDORES[FECHA DE PAGO],"")</f>
        <v>0</v>
      </c>
      <c r="E2134" s="25"/>
      <c r="F213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34" s="68">
        <v>45250</v>
      </c>
      <c r="H2134" s="26" t="s">
        <v>637</v>
      </c>
      <c r="I2134" s="68">
        <v>45231</v>
      </c>
      <c r="J2134" s="35" t="s">
        <v>2116</v>
      </c>
      <c r="K2134" s="21">
        <v>934363</v>
      </c>
      <c r="L2134" s="21"/>
      <c r="M2134" s="22">
        <f>(PROVEEDORES[[#This Row],[SUBTOTAL]]-PROVEEDORES[[#This Row],[descuento sobre subtotal]])*VLOOKUP(PROVEEDORES[[#This Row],[PROVEEDOR]],TERCEROS_INFO[#All],3,FALSE)</f>
        <v>0</v>
      </c>
      <c r="N2134" s="23"/>
      <c r="O2134" s="22">
        <f>+PROVEEDORES[[#This Row],[Descuento sobre subtotal %]]*(PROVEEDORES[[#This Row],[SUBTOTAL]]-PROVEEDORES[[#This Row],[descuento sobre subtotal]])</f>
        <v>0</v>
      </c>
      <c r="P2134" s="74">
        <f>+IF(PROVEEDORES[[#This Row],[SUBTOTAL]]&lt;PROVEEDORES[[#This Row],[base retencion]],0,PROVEEDORES[[#This Row],[retención aplicada]])</f>
        <v>0</v>
      </c>
      <c r="Q2134" s="22">
        <f>+PROVEEDORES[[#This Row],[Rete Fuente %]]*(PROVEEDORES[[#This Row],[SUBTOTAL]]-PROVEEDORES[[#This Row],[descuento sobre subtotal]])</f>
        <v>0</v>
      </c>
      <c r="R2134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213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4" s="63">
        <f ca="1">IF(PROVEEDORES[[#This Row],[FECHA DE PAGO]]=0,TODAY()-PROVEEDORES[[#This Row],[FECHA DE FACTURACIÓN]]-PROVEEDORES[[#This Row],[PLAZO Días]],0)</f>
        <v>0</v>
      </c>
      <c r="U2134" s="104">
        <f>+VLOOKUP(PROVEEDORES[[#This Row],[PROVEEDOR]],Terceros!$A:$D,4,FALSE)</f>
        <v>0</v>
      </c>
      <c r="V2134" s="105">
        <f>+YEAR(PROVEEDORES[[#This Row],[FECHA DE FACTURACIÓN]])</f>
        <v>2023</v>
      </c>
      <c r="W2134" s="105">
        <f>+MATCH(PROVEEDORES[[#This Row],[año facturado]],Retenciones!$1:$1,0)</f>
        <v>6</v>
      </c>
      <c r="X2134" s="106">
        <f>+VLOOKUP(PROVEEDORES[[#This Row],[ID RETENCION]],Retenciones!$A$1:$O$25,PROVEEDORES[[#This Row],[indicador de columna]],FALSE)</f>
        <v>0</v>
      </c>
      <c r="Y2134" s="107">
        <f>+VLOOKUP(PROVEEDORES[[#This Row],[ID RETENCION]],Retenciones!$A$1:$O$25,2,FALSE)</f>
        <v>0</v>
      </c>
      <c r="Z2134" s="116" t="b">
        <f>OR(COUNTIF(PROVEEDORES[[#This Row],[PROVEEDOR]],"*"&amp;'Palabra no opera'!$A$2&amp;"*"))</f>
        <v>1</v>
      </c>
    </row>
    <row r="2135" spans="1:26" ht="22.35" customHeight="1" x14ac:dyDescent="0.3">
      <c r="A2135" s="67" t="str">
        <f>+IF(PROVEEDORES[[#This Row],[FECHA DE PAGO]]=PROVEEDORES[[#This Row],[FECHA DE FACTURACIÓN]],"DE CONTADO","CRÉDITO")</f>
        <v>CRÉDITO</v>
      </c>
      <c r="B2135" s="38" t="b">
        <f>+IF((PROVEEDORES[[#This Row],[FECHA DE PAGO]]-PROVEEDORES[[#This Row],[FECHA DE FACTURACIÓN]])&gt;PROVEEDORES[[#This Row],[PLAZO Días]],"PAGO VENCIDO")</f>
        <v>0</v>
      </c>
      <c r="C2135" s="20">
        <f>+VLOOKUP(PROVEEDORES[[#This Row],[PROVEEDOR]],TERCEROS_INFO[#All],2,FALSE)</f>
        <v>30</v>
      </c>
      <c r="D2135" s="25">
        <f>+SUMIFS(PROVEEDORES[Total],PROVEEDORES[PROVEEDOR],PROVEEDORES[[#This Row],[PROVEEDOR]],PROVEEDORES[FECHA DE PAGO],"")</f>
        <v>0</v>
      </c>
      <c r="E2135" s="25"/>
      <c r="F213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135" s="68">
        <v>45250</v>
      </c>
      <c r="H2135" s="26" t="s">
        <v>637</v>
      </c>
      <c r="I2135" s="68">
        <v>45231</v>
      </c>
      <c r="J2135" s="35" t="s">
        <v>2117</v>
      </c>
      <c r="K2135" s="21">
        <v>914023</v>
      </c>
      <c r="L2135" s="21"/>
      <c r="M2135" s="22">
        <f>(PROVEEDORES[[#This Row],[SUBTOTAL]]-PROVEEDORES[[#This Row],[descuento sobre subtotal]])*VLOOKUP(PROVEEDORES[[#This Row],[PROVEEDOR]],TERCEROS_INFO[#All],3,FALSE)</f>
        <v>0</v>
      </c>
      <c r="N2135" s="23"/>
      <c r="O2135" s="22">
        <f>+PROVEEDORES[[#This Row],[Descuento sobre subtotal %]]*(PROVEEDORES[[#This Row],[SUBTOTAL]]-PROVEEDORES[[#This Row],[descuento sobre subtotal]])</f>
        <v>0</v>
      </c>
      <c r="P2135" s="74">
        <f>+IF(PROVEEDORES[[#This Row],[SUBTOTAL]]&lt;PROVEEDORES[[#This Row],[base retencion]],0,PROVEEDORES[[#This Row],[retención aplicada]])</f>
        <v>0</v>
      </c>
      <c r="Q2135" s="22">
        <f>+PROVEEDORES[[#This Row],[Rete Fuente %]]*(PROVEEDORES[[#This Row],[SUBTOTAL]]-PROVEEDORES[[#This Row],[descuento sobre subtotal]])</f>
        <v>0</v>
      </c>
      <c r="R2135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213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5" s="63">
        <f ca="1">IF(PROVEEDORES[[#This Row],[FECHA DE PAGO]]=0,TODAY()-PROVEEDORES[[#This Row],[FECHA DE FACTURACIÓN]]-PROVEEDORES[[#This Row],[PLAZO Días]],0)</f>
        <v>0</v>
      </c>
      <c r="U2135" s="104">
        <f>+VLOOKUP(PROVEEDORES[[#This Row],[PROVEEDOR]],Terceros!$A:$D,4,FALSE)</f>
        <v>0</v>
      </c>
      <c r="V2135" s="105">
        <f>+YEAR(PROVEEDORES[[#This Row],[FECHA DE FACTURACIÓN]])</f>
        <v>2023</v>
      </c>
      <c r="W2135" s="105">
        <f>+MATCH(PROVEEDORES[[#This Row],[año facturado]],Retenciones!$1:$1,0)</f>
        <v>6</v>
      </c>
      <c r="X2135" s="106">
        <f>+VLOOKUP(PROVEEDORES[[#This Row],[ID RETENCION]],Retenciones!$A$1:$O$25,PROVEEDORES[[#This Row],[indicador de columna]],FALSE)</f>
        <v>0</v>
      </c>
      <c r="Y2135" s="107">
        <f>+VLOOKUP(PROVEEDORES[[#This Row],[ID RETENCION]],Retenciones!$A$1:$O$25,2,FALSE)</f>
        <v>0</v>
      </c>
      <c r="Z2135" s="116" t="b">
        <f>OR(COUNTIF(PROVEEDORES[[#This Row],[PROVEEDOR]],"*"&amp;'Palabra no opera'!$A$2&amp;"*"))</f>
        <v>1</v>
      </c>
    </row>
    <row r="2136" spans="1:26" ht="22.35" customHeight="1" x14ac:dyDescent="0.3">
      <c r="A2136" s="67" t="str">
        <f>+IF(PROVEEDORES[[#This Row],[FECHA DE PAGO]]=PROVEEDORES[[#This Row],[FECHA DE FACTURACIÓN]],"DE CONTADO","CRÉDITO")</f>
        <v>CRÉDITO</v>
      </c>
      <c r="B2136" s="38" t="b">
        <f>+IF((PROVEEDORES[[#This Row],[FECHA DE PAGO]]-PROVEEDORES[[#This Row],[FECHA DE FACTURACIÓN]])&gt;PROVEEDORES[[#This Row],[PLAZO Días]],"PAGO VENCIDO")</f>
        <v>0</v>
      </c>
      <c r="C2136" s="20">
        <f>+VLOOKUP(PROVEEDORES[[#This Row],[PROVEEDOR]],TERCEROS_INFO[#All],2,FALSE)</f>
        <v>30</v>
      </c>
      <c r="D2136" s="25">
        <f>+SUMIFS(PROVEEDORES[Total],PROVEEDORES[PROVEEDOR],PROVEEDORES[[#This Row],[PROVEEDOR]],PROVEEDORES[FECHA DE PAGO],"")</f>
        <v>0</v>
      </c>
      <c r="E2136" s="25"/>
      <c r="F2136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136" s="68">
        <v>45250</v>
      </c>
      <c r="H2136" s="26" t="s">
        <v>638</v>
      </c>
      <c r="I2136" s="68">
        <v>45231</v>
      </c>
      <c r="J2136" s="35" t="s">
        <v>2145</v>
      </c>
      <c r="K2136" s="21">
        <v>3935776</v>
      </c>
      <c r="L2136" s="21"/>
      <c r="M2136" s="22">
        <v>665000</v>
      </c>
      <c r="N2136" s="23"/>
      <c r="O2136" s="22">
        <f>+PROVEEDORES[[#This Row],[Descuento sobre subtotal %]]*(PROVEEDORES[[#This Row],[SUBTOTAL]]-PROVEEDORES[[#This Row],[descuento sobre subtotal]])</f>
        <v>0</v>
      </c>
      <c r="P2136" s="74">
        <f>+IF(PROVEEDORES[[#This Row],[SUBTOTAL]]&lt;PROVEEDORES[[#This Row],[base retencion]],0,PROVEEDORES[[#This Row],[retención aplicada]])</f>
        <v>3.5000000000000003E-2</v>
      </c>
      <c r="Q2136" s="22"/>
      <c r="R2136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213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6" s="63">
        <f ca="1">IF(PROVEEDORES[[#This Row],[FECHA DE PAGO]]=0,TODAY()-PROVEEDORES[[#This Row],[FECHA DE FACTURACIÓN]]-PROVEEDORES[[#This Row],[PLAZO Días]],0)</f>
        <v>0</v>
      </c>
      <c r="U2136" s="104" t="str">
        <f>+VLOOKUP(PROVEEDORES[[#This Row],[PROVEEDOR]],Terceros!$A:$D,4,FALSE)</f>
        <v>3,5% sin base</v>
      </c>
      <c r="V2136" s="105">
        <f>+YEAR(PROVEEDORES[[#This Row],[FECHA DE FACTURACIÓN]])</f>
        <v>2023</v>
      </c>
      <c r="W2136" s="105">
        <f>+MATCH(PROVEEDORES[[#This Row],[año facturado]],Retenciones!$1:$1,0)</f>
        <v>6</v>
      </c>
      <c r="X2136" s="106">
        <f>+VLOOKUP(PROVEEDORES[[#This Row],[ID RETENCION]],Retenciones!$A$1:$O$25,PROVEEDORES[[#This Row],[indicador de columna]],FALSE)</f>
        <v>0</v>
      </c>
      <c r="Y2136" s="107">
        <f>+VLOOKUP(PROVEEDORES[[#This Row],[ID RETENCION]],Retenciones!$A$1:$O$25,2,FALSE)</f>
        <v>3.5000000000000003E-2</v>
      </c>
      <c r="Z2136" s="116" t="b">
        <f>OR(COUNTIF(PROVEEDORES[[#This Row],[PROVEEDOR]],"*"&amp;'Palabra no opera'!$A$2&amp;"*"))</f>
        <v>1</v>
      </c>
    </row>
    <row r="2137" spans="1:26" ht="22.35" customHeight="1" x14ac:dyDescent="0.3">
      <c r="A2137" s="367" t="str">
        <f>+IF(PROVEEDORES[[#This Row],[FECHA DE PAGO]]=PROVEEDORES[[#This Row],[FECHA DE FACTURACIÓN]],"DE CONTADO","CRÉDITO")</f>
        <v>CRÉDITO</v>
      </c>
      <c r="B2137" s="38" t="str">
        <f>+IF((PROVEEDORES[[#This Row],[FECHA DE PAGO]]-PROVEEDORES[[#This Row],[FECHA DE FACTURACIÓN]])&gt;PROVEEDORES[[#This Row],[PLAZO Días]],"PAGO VENCIDO")</f>
        <v>PAGO VENCIDO</v>
      </c>
      <c r="C2137" s="20">
        <f>+VLOOKUP(PROVEEDORES[[#This Row],[PROVEEDOR]],TERCEROS_INFO[#All],2,FALSE)</f>
        <v>30</v>
      </c>
      <c r="D2137" s="25">
        <f>+SUMIFS(PROVEEDORES[Total],PROVEEDORES[PROVEEDOR],PROVEEDORES[[#This Row],[PROVEEDOR]],PROVEEDORES[FECHA DE PAGO],"")</f>
        <v>0</v>
      </c>
      <c r="E2137" s="25"/>
      <c r="F2137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137" s="68">
        <v>45251</v>
      </c>
      <c r="H2137" s="26" t="s">
        <v>387</v>
      </c>
      <c r="I2137" s="68">
        <v>45195</v>
      </c>
      <c r="J2137" s="35" t="s">
        <v>2012</v>
      </c>
      <c r="K2137" s="21">
        <v>4316750</v>
      </c>
      <c r="L2137" s="21">
        <v>319000</v>
      </c>
      <c r="M2137" s="22">
        <f>(PROVEEDORES[[#This Row],[SUBTOTAL]]-PROVEEDORES[[#This Row],[descuento sobre subtotal]])*VLOOKUP(PROVEEDORES[[#This Row],[PROVEEDOR]],TERCEROS_INFO[#All],3,FALSE)</f>
        <v>0</v>
      </c>
      <c r="N2137" s="23"/>
      <c r="O2137" s="22">
        <f>+PROVEEDORES[[#This Row],[Descuento sobre subtotal %]]*(PROVEEDORES[[#This Row],[SUBTOTAL]]-PROVEEDORES[[#This Row],[descuento sobre subtotal]])</f>
        <v>0</v>
      </c>
      <c r="P2137" s="74">
        <f>+IF(PROVEEDORES[[#This Row],[SUBTOTAL]]&lt;PROVEEDORES[[#This Row],[base retencion]],0,PROVEEDORES[[#This Row],[retención aplicada]])</f>
        <v>0</v>
      </c>
      <c r="Q2137" s="22">
        <f>+PROVEEDORES[[#This Row],[Rete Fuente %]]*(PROVEEDORES[[#This Row],[SUBTOTAL]]-PROVEEDORES[[#This Row],[descuento sobre subtotal]])</f>
        <v>0</v>
      </c>
      <c r="R2137" s="21">
        <f>+PROVEEDORES[[#This Row],[SUBTOTAL]]+PROVEEDORES[[#This Row],[IVA 19%]]-PROVEEDORES[[#This Row],[descuento sobre subtotal]]-PROVEEDORES[[#This Row],[Descuento sobre subtotal $2]]-PROVEEDORES[[#This Row],[Rete Fuente $]]</f>
        <v>3997750</v>
      </c>
      <c r="S2137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7" s="63">
        <f ca="1">IF(PROVEEDORES[[#This Row],[FECHA DE PAGO]]=0,TODAY()-PROVEEDORES[[#This Row],[FECHA DE FACTURACIÓN]]-PROVEEDORES[[#This Row],[PLAZO Días]],0)</f>
        <v>0</v>
      </c>
      <c r="U2137" s="104">
        <f>+VLOOKUP(PROVEEDORES[[#This Row],[PROVEEDOR]],Terceros!$A:$D,4,FALSE)</f>
        <v>0</v>
      </c>
      <c r="V2137" s="105">
        <f>+YEAR(PROVEEDORES[[#This Row],[FECHA DE FACTURACIÓN]])</f>
        <v>2023</v>
      </c>
      <c r="W2137" s="105">
        <f>+MATCH(PROVEEDORES[[#This Row],[año facturado]],Retenciones!$1:$1,0)</f>
        <v>6</v>
      </c>
      <c r="X2137" s="106">
        <f>+VLOOKUP(PROVEEDORES[[#This Row],[ID RETENCION]],Retenciones!$A$1:$O$25,PROVEEDORES[[#This Row],[indicador de columna]],FALSE)</f>
        <v>0</v>
      </c>
      <c r="Y2137" s="107">
        <f>+VLOOKUP(PROVEEDORES[[#This Row],[ID RETENCION]],Retenciones!$A$1:$O$25,2,FALSE)</f>
        <v>0</v>
      </c>
      <c r="Z2137" s="116" t="b">
        <f>OR(COUNTIF(PROVEEDORES[[#This Row],[PROVEEDOR]],"*"&amp;'Palabra no opera'!$A$2&amp;"*"))</f>
        <v>0</v>
      </c>
    </row>
    <row r="2138" spans="1:26" ht="22.35" customHeight="1" x14ac:dyDescent="0.3">
      <c r="A2138" s="67" t="str">
        <f>+IF(PROVEEDORES[[#This Row],[FECHA DE PAGO]]=PROVEEDORES[[#This Row],[FECHA DE FACTURACIÓN]],"DE CONTADO","CRÉDITO")</f>
        <v>CRÉDITO</v>
      </c>
      <c r="B2138" s="38" t="b">
        <f>+IF((PROVEEDORES[[#This Row],[FECHA DE PAGO]]-PROVEEDORES[[#This Row],[FECHA DE FACTURACIÓN]])&gt;PROVEEDORES[[#This Row],[PLAZO Días]],"PAGO VENCIDO")</f>
        <v>0</v>
      </c>
      <c r="C2138" s="20">
        <f>+VLOOKUP(PROVEEDORES[[#This Row],[PROVEEDOR]],TERCEROS_INFO[#All],2,FALSE)</f>
        <v>60</v>
      </c>
      <c r="D2138" s="25">
        <f>+SUMIFS(PROVEEDORES[Total],PROVEEDORES[PROVEEDOR],PROVEEDORES[[#This Row],[PROVEEDOR]],PROVEEDORES[FECHA DE PAGO],"")</f>
        <v>395600</v>
      </c>
      <c r="E2138" s="25"/>
      <c r="F213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38" s="68">
        <v>45251</v>
      </c>
      <c r="H2138" s="26" t="s">
        <v>287</v>
      </c>
      <c r="I2138" s="68">
        <v>45215</v>
      </c>
      <c r="J2138" s="35">
        <v>1805</v>
      </c>
      <c r="K2138" s="21">
        <v>619200</v>
      </c>
      <c r="L2138" s="21"/>
      <c r="M2138" s="22">
        <f>(PROVEEDORES[[#This Row],[SUBTOTAL]]-PROVEEDORES[[#This Row],[descuento sobre subtotal]])*VLOOKUP(PROVEEDORES[[#This Row],[PROVEEDOR]],TERCEROS_INFO[#All],3,FALSE)</f>
        <v>0</v>
      </c>
      <c r="N2138" s="23"/>
      <c r="O2138" s="22">
        <f>+PROVEEDORES[[#This Row],[Descuento sobre subtotal %]]*(PROVEEDORES[[#This Row],[SUBTOTAL]]-PROVEEDORES[[#This Row],[descuento sobre subtotal]])</f>
        <v>0</v>
      </c>
      <c r="P2138" s="74">
        <f>+IF(PROVEEDORES[[#This Row],[SUBTOTAL]]&lt;PROVEEDORES[[#This Row],[base retencion]],0,PROVEEDORES[[#This Row],[retención aplicada]])</f>
        <v>0</v>
      </c>
      <c r="Q2138" s="22">
        <f>+PROVEEDORES[[#This Row],[Rete Fuente %]]*(PROVEEDORES[[#This Row],[SUBTOTAL]]-PROVEEDORES[[#This Row],[descuento sobre subtotal]])</f>
        <v>0</v>
      </c>
      <c r="R2138" s="21">
        <f>+PROVEEDORES[[#This Row],[SUBTOTAL]]+PROVEEDORES[[#This Row],[IVA 19%]]-PROVEEDORES[[#This Row],[descuento sobre subtotal]]-PROVEEDORES[[#This Row],[Descuento sobre subtotal $2]]-PROVEEDORES[[#This Row],[Rete Fuente $]]</f>
        <v>619200</v>
      </c>
      <c r="S213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8" s="63">
        <f ca="1">IF(PROVEEDORES[[#This Row],[FECHA DE PAGO]]=0,TODAY()-PROVEEDORES[[#This Row],[FECHA DE FACTURACIÓN]]-PROVEEDORES[[#This Row],[PLAZO Días]],0)</f>
        <v>0</v>
      </c>
      <c r="U2138" s="104">
        <f>+VLOOKUP(PROVEEDORES[[#This Row],[PROVEEDOR]],Terceros!$A:$D,4,FALSE)</f>
        <v>0</v>
      </c>
      <c r="V2138" s="105">
        <f>+YEAR(PROVEEDORES[[#This Row],[FECHA DE FACTURACIÓN]])</f>
        <v>2023</v>
      </c>
      <c r="W2138" s="105">
        <f>+MATCH(PROVEEDORES[[#This Row],[año facturado]],Retenciones!$1:$1,0)</f>
        <v>6</v>
      </c>
      <c r="X2138" s="106">
        <f>+VLOOKUP(PROVEEDORES[[#This Row],[ID RETENCION]],Retenciones!$A$1:$O$25,PROVEEDORES[[#This Row],[indicador de columna]],FALSE)</f>
        <v>0</v>
      </c>
      <c r="Y2138" s="107">
        <f>+VLOOKUP(PROVEEDORES[[#This Row],[ID RETENCION]],Retenciones!$A$1:$O$25,2,FALSE)</f>
        <v>0</v>
      </c>
      <c r="Z2138" s="116" t="b">
        <f>OR(COUNTIF(PROVEEDORES[[#This Row],[PROVEEDOR]],"*"&amp;'Palabra no opera'!$A$2&amp;"*"))</f>
        <v>0</v>
      </c>
    </row>
    <row r="2139" spans="1:26" ht="22.35" customHeight="1" x14ac:dyDescent="0.3">
      <c r="A2139" s="67" t="str">
        <f>+IF(PROVEEDORES[[#This Row],[FECHA DE PAGO]]=PROVEEDORES[[#This Row],[FECHA DE FACTURACIÓN]],"DE CONTADO","CRÉDITO")</f>
        <v>CRÉDITO</v>
      </c>
      <c r="B2139" s="38" t="b">
        <f>+IF((PROVEEDORES[[#This Row],[FECHA DE PAGO]]-PROVEEDORES[[#This Row],[FECHA DE FACTURACIÓN]])&gt;PROVEEDORES[[#This Row],[PLAZO Días]],"PAGO VENCIDO")</f>
        <v>0</v>
      </c>
      <c r="C2139" s="20">
        <f>+VLOOKUP(PROVEEDORES[[#This Row],[PROVEEDOR]],TERCEROS_INFO[#All],2,FALSE)</f>
        <v>60</v>
      </c>
      <c r="D2139" s="25">
        <f>+SUMIFS(PROVEEDORES[Total],PROVEEDORES[PROVEEDOR],PROVEEDORES[[#This Row],[PROVEEDOR]],PROVEEDORES[FECHA DE PAGO],"")</f>
        <v>395600</v>
      </c>
      <c r="E2139" s="25"/>
      <c r="F213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39" s="68">
        <v>45251</v>
      </c>
      <c r="H2139" s="26" t="s">
        <v>287</v>
      </c>
      <c r="I2139" s="68">
        <v>45217</v>
      </c>
      <c r="J2139" s="35">
        <v>1812</v>
      </c>
      <c r="K2139" s="21">
        <v>533200</v>
      </c>
      <c r="L2139" s="21"/>
      <c r="M2139" s="22">
        <f>(PROVEEDORES[[#This Row],[SUBTOTAL]]-PROVEEDORES[[#This Row],[descuento sobre subtotal]])*VLOOKUP(PROVEEDORES[[#This Row],[PROVEEDOR]],TERCEROS_INFO[#All],3,FALSE)</f>
        <v>0</v>
      </c>
      <c r="N2139" s="23"/>
      <c r="O2139" s="22">
        <f>+PROVEEDORES[[#This Row],[Descuento sobre subtotal %]]*(PROVEEDORES[[#This Row],[SUBTOTAL]]-PROVEEDORES[[#This Row],[descuento sobre subtotal]])</f>
        <v>0</v>
      </c>
      <c r="P2139" s="74">
        <f>+IF(PROVEEDORES[[#This Row],[SUBTOTAL]]&lt;PROVEEDORES[[#This Row],[base retencion]],0,PROVEEDORES[[#This Row],[retención aplicada]])</f>
        <v>0</v>
      </c>
      <c r="Q2139" s="22">
        <f>+PROVEEDORES[[#This Row],[Rete Fuente %]]*(PROVEEDORES[[#This Row],[SUBTOTAL]]-PROVEEDORES[[#This Row],[descuento sobre subtotal]])</f>
        <v>0</v>
      </c>
      <c r="R2139" s="21">
        <f>+PROVEEDORES[[#This Row],[SUBTOTAL]]+PROVEEDORES[[#This Row],[IVA 19%]]-PROVEEDORES[[#This Row],[descuento sobre subtotal]]-PROVEEDORES[[#This Row],[Descuento sobre subtotal $2]]-PROVEEDORES[[#This Row],[Rete Fuente $]]</f>
        <v>533200</v>
      </c>
      <c r="S213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9" s="63">
        <f ca="1">IF(PROVEEDORES[[#This Row],[FECHA DE PAGO]]=0,TODAY()-PROVEEDORES[[#This Row],[FECHA DE FACTURACIÓN]]-PROVEEDORES[[#This Row],[PLAZO Días]],0)</f>
        <v>0</v>
      </c>
      <c r="U2139" s="104">
        <f>+VLOOKUP(PROVEEDORES[[#This Row],[PROVEEDOR]],Terceros!$A:$D,4,FALSE)</f>
        <v>0</v>
      </c>
      <c r="V2139" s="105">
        <f>+YEAR(PROVEEDORES[[#This Row],[FECHA DE FACTURACIÓN]])</f>
        <v>2023</v>
      </c>
      <c r="W2139" s="105">
        <f>+MATCH(PROVEEDORES[[#This Row],[año facturado]],Retenciones!$1:$1,0)</f>
        <v>6</v>
      </c>
      <c r="X2139" s="106">
        <f>+VLOOKUP(PROVEEDORES[[#This Row],[ID RETENCION]],Retenciones!$A$1:$O$25,PROVEEDORES[[#This Row],[indicador de columna]],FALSE)</f>
        <v>0</v>
      </c>
      <c r="Y2139" s="107">
        <f>+VLOOKUP(PROVEEDORES[[#This Row],[ID RETENCION]],Retenciones!$A$1:$O$25,2,FALSE)</f>
        <v>0</v>
      </c>
      <c r="Z2139" s="116" t="b">
        <f>OR(COUNTIF(PROVEEDORES[[#This Row],[PROVEEDOR]],"*"&amp;'Palabra no opera'!$A$2&amp;"*"))</f>
        <v>0</v>
      </c>
    </row>
    <row r="2140" spans="1:26" ht="22.35" customHeight="1" x14ac:dyDescent="0.3">
      <c r="A2140" s="67" t="str">
        <f>+IF(PROVEEDORES[[#This Row],[FECHA DE PAGO]]=PROVEEDORES[[#This Row],[FECHA DE FACTURACIÓN]],"DE CONTADO","CRÉDITO")</f>
        <v>CRÉDITO</v>
      </c>
      <c r="B2140" s="38" t="b">
        <f>+IF((PROVEEDORES[[#This Row],[FECHA DE PAGO]]-PROVEEDORES[[#This Row],[FECHA DE FACTURACIÓN]])&gt;PROVEEDORES[[#This Row],[PLAZO Días]],"PAGO VENCIDO")</f>
        <v>0</v>
      </c>
      <c r="C2140" s="20">
        <f>+VLOOKUP(PROVEEDORES[[#This Row],[PROVEEDOR]],TERCEROS_INFO[#All],2,FALSE)</f>
        <v>60</v>
      </c>
      <c r="D2140" s="25">
        <f>+SUMIFS(PROVEEDORES[Total],PROVEEDORES[PROVEEDOR],PROVEEDORES[[#This Row],[PROVEEDOR]],PROVEEDORES[FECHA DE PAGO],"")</f>
        <v>395600</v>
      </c>
      <c r="E2140" s="25"/>
      <c r="F214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40" s="68">
        <v>45251</v>
      </c>
      <c r="H2140" s="26" t="s">
        <v>287</v>
      </c>
      <c r="I2140" s="68">
        <v>45226</v>
      </c>
      <c r="J2140" s="35">
        <v>1814</v>
      </c>
      <c r="K2140" s="21">
        <v>430000</v>
      </c>
      <c r="L2140" s="21"/>
      <c r="M2140" s="22">
        <f>(PROVEEDORES[[#This Row],[SUBTOTAL]]-PROVEEDORES[[#This Row],[descuento sobre subtotal]])*VLOOKUP(PROVEEDORES[[#This Row],[PROVEEDOR]],TERCEROS_INFO[#All],3,FALSE)</f>
        <v>0</v>
      </c>
      <c r="N2140" s="23"/>
      <c r="O2140" s="22">
        <f>+PROVEEDORES[[#This Row],[Descuento sobre subtotal %]]*(PROVEEDORES[[#This Row],[SUBTOTAL]]-PROVEEDORES[[#This Row],[descuento sobre subtotal]])</f>
        <v>0</v>
      </c>
      <c r="P2140" s="74">
        <f>+IF(PROVEEDORES[[#This Row],[SUBTOTAL]]&lt;PROVEEDORES[[#This Row],[base retencion]],0,PROVEEDORES[[#This Row],[retención aplicada]])</f>
        <v>0</v>
      </c>
      <c r="Q2140" s="22">
        <f>+PROVEEDORES[[#This Row],[Rete Fuente %]]*(PROVEEDORES[[#This Row],[SUBTOTAL]]-PROVEEDORES[[#This Row],[descuento sobre subtotal]])</f>
        <v>0</v>
      </c>
      <c r="R2140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214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0" s="63">
        <f ca="1">IF(PROVEEDORES[[#This Row],[FECHA DE PAGO]]=0,TODAY()-PROVEEDORES[[#This Row],[FECHA DE FACTURACIÓN]]-PROVEEDORES[[#This Row],[PLAZO Días]],0)</f>
        <v>0</v>
      </c>
      <c r="U2140" s="104">
        <f>+VLOOKUP(PROVEEDORES[[#This Row],[PROVEEDOR]],Terceros!$A:$D,4,FALSE)</f>
        <v>0</v>
      </c>
      <c r="V2140" s="105">
        <f>+YEAR(PROVEEDORES[[#This Row],[FECHA DE FACTURACIÓN]])</f>
        <v>2023</v>
      </c>
      <c r="W2140" s="105">
        <f>+MATCH(PROVEEDORES[[#This Row],[año facturado]],Retenciones!$1:$1,0)</f>
        <v>6</v>
      </c>
      <c r="X2140" s="106">
        <f>+VLOOKUP(PROVEEDORES[[#This Row],[ID RETENCION]],Retenciones!$A$1:$O$25,PROVEEDORES[[#This Row],[indicador de columna]],FALSE)</f>
        <v>0</v>
      </c>
      <c r="Y2140" s="107">
        <f>+VLOOKUP(PROVEEDORES[[#This Row],[ID RETENCION]],Retenciones!$A$1:$O$25,2,FALSE)</f>
        <v>0</v>
      </c>
      <c r="Z2140" s="116" t="b">
        <f>OR(COUNTIF(PROVEEDORES[[#This Row],[PROVEEDOR]],"*"&amp;'Palabra no opera'!$A$2&amp;"*"))</f>
        <v>0</v>
      </c>
    </row>
    <row r="2141" spans="1:26" ht="22.35" customHeight="1" x14ac:dyDescent="0.3">
      <c r="A2141" s="67" t="str">
        <f>+IF(PROVEEDORES[[#This Row],[FECHA DE PAGO]]=PROVEEDORES[[#This Row],[FECHA DE FACTURACIÓN]],"DE CONTADO","CRÉDITO")</f>
        <v>CRÉDITO</v>
      </c>
      <c r="B2141" s="38" t="b">
        <f>+IF((PROVEEDORES[[#This Row],[FECHA DE PAGO]]-PROVEEDORES[[#This Row],[FECHA DE FACTURACIÓN]])&gt;PROVEEDORES[[#This Row],[PLAZO Días]],"PAGO VENCIDO")</f>
        <v>0</v>
      </c>
      <c r="C2141" s="20">
        <f>+VLOOKUP(PROVEEDORES[[#This Row],[PROVEEDOR]],TERCEROS_INFO[#All],2,FALSE)</f>
        <v>60</v>
      </c>
      <c r="D2141" s="25">
        <f>+SUMIFS(PROVEEDORES[Total],PROVEEDORES[PROVEEDOR],PROVEEDORES[[#This Row],[PROVEEDOR]],PROVEEDORES[FECHA DE PAGO],"")</f>
        <v>395600</v>
      </c>
      <c r="E2141" s="25"/>
      <c r="F214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41" s="68">
        <v>45251</v>
      </c>
      <c r="H2141" s="26" t="s">
        <v>287</v>
      </c>
      <c r="I2141" s="68">
        <v>45233</v>
      </c>
      <c r="J2141" s="35">
        <v>1822</v>
      </c>
      <c r="K2141" s="21">
        <v>344000</v>
      </c>
      <c r="L2141" s="21"/>
      <c r="M2141" s="22">
        <f>(PROVEEDORES[[#This Row],[SUBTOTAL]]-PROVEEDORES[[#This Row],[descuento sobre subtotal]])*VLOOKUP(PROVEEDORES[[#This Row],[PROVEEDOR]],TERCEROS_INFO[#All],3,FALSE)</f>
        <v>0</v>
      </c>
      <c r="N2141" s="23"/>
      <c r="O2141" s="22">
        <f>+PROVEEDORES[[#This Row],[Descuento sobre subtotal %]]*(PROVEEDORES[[#This Row],[SUBTOTAL]]-PROVEEDORES[[#This Row],[descuento sobre subtotal]])</f>
        <v>0</v>
      </c>
      <c r="P2141" s="74">
        <f>+IF(PROVEEDORES[[#This Row],[SUBTOTAL]]&lt;PROVEEDORES[[#This Row],[base retencion]],0,PROVEEDORES[[#This Row],[retención aplicada]])</f>
        <v>0</v>
      </c>
      <c r="Q2141" s="22">
        <f>+PROVEEDORES[[#This Row],[Rete Fuente %]]*(PROVEEDORES[[#This Row],[SUBTOTAL]]-PROVEEDORES[[#This Row],[descuento sobre subtotal]])</f>
        <v>0</v>
      </c>
      <c r="R2141" s="21">
        <f>+PROVEEDORES[[#This Row],[SUBTOTAL]]+PROVEEDORES[[#This Row],[IVA 19%]]-PROVEEDORES[[#This Row],[descuento sobre subtotal]]-PROVEEDORES[[#This Row],[Descuento sobre subtotal $2]]-PROVEEDORES[[#This Row],[Rete Fuente $]]</f>
        <v>344000</v>
      </c>
      <c r="S214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1" s="63">
        <f ca="1">IF(PROVEEDORES[[#This Row],[FECHA DE PAGO]]=0,TODAY()-PROVEEDORES[[#This Row],[FECHA DE FACTURACIÓN]]-PROVEEDORES[[#This Row],[PLAZO Días]],0)</f>
        <v>0</v>
      </c>
      <c r="U2141" s="104">
        <f>+VLOOKUP(PROVEEDORES[[#This Row],[PROVEEDOR]],Terceros!$A:$D,4,FALSE)</f>
        <v>0</v>
      </c>
      <c r="V2141" s="105">
        <f>+YEAR(PROVEEDORES[[#This Row],[FECHA DE FACTURACIÓN]])</f>
        <v>2023</v>
      </c>
      <c r="W2141" s="105">
        <f>+MATCH(PROVEEDORES[[#This Row],[año facturado]],Retenciones!$1:$1,0)</f>
        <v>6</v>
      </c>
      <c r="X2141" s="106">
        <f>+VLOOKUP(PROVEEDORES[[#This Row],[ID RETENCION]],Retenciones!$A$1:$O$25,PROVEEDORES[[#This Row],[indicador de columna]],FALSE)</f>
        <v>0</v>
      </c>
      <c r="Y2141" s="107">
        <f>+VLOOKUP(PROVEEDORES[[#This Row],[ID RETENCION]],Retenciones!$A$1:$O$25,2,FALSE)</f>
        <v>0</v>
      </c>
      <c r="Z2141" s="116" t="b">
        <f>OR(COUNTIF(PROVEEDORES[[#This Row],[PROVEEDOR]],"*"&amp;'Palabra no opera'!$A$2&amp;"*"))</f>
        <v>0</v>
      </c>
    </row>
    <row r="2142" spans="1:26" ht="22.35" customHeight="1" x14ac:dyDescent="0.3">
      <c r="A2142" s="381" t="str">
        <f>+IF(PROVEEDORES[[#This Row],[FECHA DE PAGO]]=PROVEEDORES[[#This Row],[FECHA DE FACTURACIÓN]],"DE CONTADO","CRÉDITO")</f>
        <v>CRÉDITO</v>
      </c>
      <c r="B2142" s="38" t="b">
        <f>+IF((PROVEEDORES[[#This Row],[FECHA DE PAGO]]-PROVEEDORES[[#This Row],[FECHA DE FACTURACIÓN]])&gt;PROVEEDORES[[#This Row],[PLAZO Días]],"PAGO VENCIDO")</f>
        <v>0</v>
      </c>
      <c r="C2142" s="20">
        <f>+VLOOKUP(PROVEEDORES[[#This Row],[PROVEEDOR]],TERCEROS_INFO[#All],2,FALSE)</f>
        <v>60</v>
      </c>
      <c r="D2142" s="25">
        <f>+SUMIFS(PROVEEDORES[Total],PROVEEDORES[PROVEEDOR],PROVEEDORES[[#This Row],[PROVEEDOR]],PROVEEDORES[FECHA DE PAGO],"")</f>
        <v>395600</v>
      </c>
      <c r="E2142" s="25"/>
      <c r="F214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42" s="68">
        <v>45251</v>
      </c>
      <c r="H2142" s="26" t="s">
        <v>287</v>
      </c>
      <c r="I2142" s="68">
        <v>45233</v>
      </c>
      <c r="J2142" s="35">
        <v>1826</v>
      </c>
      <c r="K2142" s="21">
        <v>395600</v>
      </c>
      <c r="L2142" s="21"/>
      <c r="M2142" s="22">
        <f>(PROVEEDORES[[#This Row],[SUBTOTAL]]-PROVEEDORES[[#This Row],[descuento sobre subtotal]])*VLOOKUP(PROVEEDORES[[#This Row],[PROVEEDOR]],TERCEROS_INFO[#All],3,FALSE)</f>
        <v>0</v>
      </c>
      <c r="N2142" s="23"/>
      <c r="O2142" s="22">
        <f>+PROVEEDORES[[#This Row],[Descuento sobre subtotal %]]*(PROVEEDORES[[#This Row],[SUBTOTAL]]-PROVEEDORES[[#This Row],[descuento sobre subtotal]])</f>
        <v>0</v>
      </c>
      <c r="P2142" s="74">
        <f>+IF(PROVEEDORES[[#This Row],[SUBTOTAL]]&lt;PROVEEDORES[[#This Row],[base retencion]],0,PROVEEDORES[[#This Row],[retención aplicada]])</f>
        <v>0</v>
      </c>
      <c r="Q2142" s="22">
        <f>+PROVEEDORES[[#This Row],[Rete Fuente %]]*(PROVEEDORES[[#This Row],[SUBTOTAL]]-PROVEEDORES[[#This Row],[descuento sobre subtotal]])</f>
        <v>0</v>
      </c>
      <c r="R2142" s="21">
        <f>+PROVEEDORES[[#This Row],[SUBTOTAL]]+PROVEEDORES[[#This Row],[IVA 19%]]-PROVEEDORES[[#This Row],[descuento sobre subtotal]]-PROVEEDORES[[#This Row],[Descuento sobre subtotal $2]]-PROVEEDORES[[#This Row],[Rete Fuente $]]</f>
        <v>395600</v>
      </c>
      <c r="S2142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2" s="63">
        <f ca="1">IF(PROVEEDORES[[#This Row],[FECHA DE PAGO]]=0,TODAY()-PROVEEDORES[[#This Row],[FECHA DE FACTURACIÓN]]-PROVEEDORES[[#This Row],[PLAZO Días]],0)</f>
        <v>0</v>
      </c>
      <c r="U2142" s="104">
        <f>+VLOOKUP(PROVEEDORES[[#This Row],[PROVEEDOR]],Terceros!$A:$D,4,FALSE)</f>
        <v>0</v>
      </c>
      <c r="V2142" s="105">
        <f>+YEAR(PROVEEDORES[[#This Row],[FECHA DE FACTURACIÓN]])</f>
        <v>2023</v>
      </c>
      <c r="W2142" s="105">
        <f>+MATCH(PROVEEDORES[[#This Row],[año facturado]],Retenciones!$1:$1,0)</f>
        <v>6</v>
      </c>
      <c r="X2142" s="106">
        <f>+VLOOKUP(PROVEEDORES[[#This Row],[ID RETENCION]],Retenciones!$A$1:$O$25,PROVEEDORES[[#This Row],[indicador de columna]],FALSE)</f>
        <v>0</v>
      </c>
      <c r="Y2142" s="107">
        <f>+VLOOKUP(PROVEEDORES[[#This Row],[ID RETENCION]],Retenciones!$A$1:$O$25,2,FALSE)</f>
        <v>0</v>
      </c>
      <c r="Z2142" s="116" t="b">
        <f>OR(COUNTIF(PROVEEDORES[[#This Row],[PROVEEDOR]],"*"&amp;'Palabra no opera'!$A$2&amp;"*"))</f>
        <v>0</v>
      </c>
    </row>
    <row r="2143" spans="1:26" ht="22.35" customHeight="1" x14ac:dyDescent="0.3">
      <c r="A2143" s="67" t="str">
        <f>+IF(PROVEEDORES[[#This Row],[FECHA DE PAGO]]=PROVEEDORES[[#This Row],[FECHA DE FACTURACIÓN]],"DE CONTADO","CRÉDITO")</f>
        <v>CRÉDITO</v>
      </c>
      <c r="B2143" s="38" t="b">
        <f>+IF((PROVEEDORES[[#This Row],[FECHA DE PAGO]]-PROVEEDORES[[#This Row],[FECHA DE FACTURACIÓN]])&gt;PROVEEDORES[[#This Row],[PLAZO Días]],"PAGO VENCIDO")</f>
        <v>0</v>
      </c>
      <c r="C2143" s="20">
        <f>+VLOOKUP(PROVEEDORES[[#This Row],[PROVEEDOR]],TERCEROS_INFO[#All],2,FALSE)</f>
        <v>45</v>
      </c>
      <c r="D2143" s="25">
        <f>+SUMIFS(PROVEEDORES[Total],PROVEEDORES[PROVEEDOR],PROVEEDORES[[#This Row],[PROVEEDOR]],PROVEEDORES[FECHA DE PAGO],"")</f>
        <v>3074500</v>
      </c>
      <c r="E2143" s="25"/>
      <c r="F214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43" s="68">
        <v>45251</v>
      </c>
      <c r="H2143" s="26" t="s">
        <v>289</v>
      </c>
      <c r="I2143" s="68">
        <v>45230</v>
      </c>
      <c r="J2143" s="35">
        <v>1819</v>
      </c>
      <c r="K2143" s="21">
        <v>3074500</v>
      </c>
      <c r="L2143" s="21"/>
      <c r="M2143" s="22">
        <f>(PROVEEDORES[[#This Row],[SUBTOTAL]]-PROVEEDORES[[#This Row],[descuento sobre subtotal]])*VLOOKUP(PROVEEDORES[[#This Row],[PROVEEDOR]],TERCEROS_INFO[#All],3,FALSE)</f>
        <v>0</v>
      </c>
      <c r="N2143" s="23"/>
      <c r="O2143" s="22">
        <f>+PROVEEDORES[[#This Row],[Descuento sobre subtotal %]]*(PROVEEDORES[[#This Row],[SUBTOTAL]]-PROVEEDORES[[#This Row],[descuento sobre subtotal]])</f>
        <v>0</v>
      </c>
      <c r="P2143" s="74">
        <f>+IF(PROVEEDORES[[#This Row],[SUBTOTAL]]&lt;PROVEEDORES[[#This Row],[base retencion]],0,PROVEEDORES[[#This Row],[retención aplicada]])</f>
        <v>0</v>
      </c>
      <c r="Q2143" s="22">
        <f>+PROVEEDORES[[#This Row],[Rete Fuente %]]*(PROVEEDORES[[#This Row],[SUBTOTAL]]-PROVEEDORES[[#This Row],[descuento sobre subtotal]])</f>
        <v>0</v>
      </c>
      <c r="R2143" s="21">
        <f>+PROVEEDORES[[#This Row],[SUBTOTAL]]+PROVEEDORES[[#This Row],[IVA 19%]]-PROVEEDORES[[#This Row],[descuento sobre subtotal]]-PROVEEDORES[[#This Row],[Descuento sobre subtotal $2]]-PROVEEDORES[[#This Row],[Rete Fuente $]]</f>
        <v>3074500</v>
      </c>
      <c r="S214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3" s="63">
        <f ca="1">IF(PROVEEDORES[[#This Row],[FECHA DE PAGO]]=0,TODAY()-PROVEEDORES[[#This Row],[FECHA DE FACTURACIÓN]]-PROVEEDORES[[#This Row],[PLAZO Días]],0)</f>
        <v>0</v>
      </c>
      <c r="U2143" s="104">
        <f>+VLOOKUP(PROVEEDORES[[#This Row],[PROVEEDOR]],Terceros!$A:$D,4,FALSE)</f>
        <v>0</v>
      </c>
      <c r="V2143" s="105">
        <f>+YEAR(PROVEEDORES[[#This Row],[FECHA DE FACTURACIÓN]])</f>
        <v>2023</v>
      </c>
      <c r="W2143" s="105">
        <f>+MATCH(PROVEEDORES[[#This Row],[año facturado]],Retenciones!$1:$1,0)</f>
        <v>6</v>
      </c>
      <c r="X2143" s="106">
        <f>+VLOOKUP(PROVEEDORES[[#This Row],[ID RETENCION]],Retenciones!$A$1:$O$25,PROVEEDORES[[#This Row],[indicador de columna]],FALSE)</f>
        <v>0</v>
      </c>
      <c r="Y2143" s="107">
        <f>+VLOOKUP(PROVEEDORES[[#This Row],[ID RETENCION]],Retenciones!$A$1:$O$25,2,FALSE)</f>
        <v>0</v>
      </c>
      <c r="Z2143" s="116" t="b">
        <f>OR(COUNTIF(PROVEEDORES[[#This Row],[PROVEEDOR]],"*"&amp;'Palabra no opera'!$A$2&amp;"*"))</f>
        <v>0</v>
      </c>
    </row>
    <row r="2144" spans="1:26" ht="22.35" customHeight="1" x14ac:dyDescent="0.3">
      <c r="A2144" s="67" t="str">
        <f>+IF(PROVEEDORES[[#This Row],[FECHA DE PAGO]]=PROVEEDORES[[#This Row],[FECHA DE FACTURACIÓN]],"DE CONTADO","CRÉDITO")</f>
        <v>CRÉDITO</v>
      </c>
      <c r="B2144" s="38" t="b">
        <f>+IF((PROVEEDORES[[#This Row],[FECHA DE PAGO]]-PROVEEDORES[[#This Row],[FECHA DE FACTURACIÓN]])&gt;PROVEEDORES[[#This Row],[PLAZO Días]],"PAGO VENCIDO")</f>
        <v>0</v>
      </c>
      <c r="C2144" s="20">
        <f>+VLOOKUP(PROVEEDORES[[#This Row],[PROVEEDOR]],TERCEROS_INFO[#All],2,FALSE)</f>
        <v>45</v>
      </c>
      <c r="D2144" s="25">
        <f>+SUMIFS(PROVEEDORES[Total],PROVEEDORES[PROVEEDOR],PROVEEDORES[[#This Row],[PROVEEDOR]],PROVEEDORES[FECHA DE PAGO],"")</f>
        <v>3074500</v>
      </c>
      <c r="E2144" s="25"/>
      <c r="F214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44" s="68">
        <v>45251</v>
      </c>
      <c r="H2144" s="26" t="s">
        <v>289</v>
      </c>
      <c r="I2144" s="68">
        <v>45237</v>
      </c>
      <c r="J2144" s="35">
        <v>1827</v>
      </c>
      <c r="K2144" s="21">
        <v>1885550</v>
      </c>
      <c r="L2144" s="21"/>
      <c r="M2144" s="22">
        <f>(PROVEEDORES[[#This Row],[SUBTOTAL]]-PROVEEDORES[[#This Row],[descuento sobre subtotal]])*VLOOKUP(PROVEEDORES[[#This Row],[PROVEEDOR]],TERCEROS_INFO[#All],3,FALSE)</f>
        <v>0</v>
      </c>
      <c r="N2144" s="23"/>
      <c r="O2144" s="22">
        <f>+PROVEEDORES[[#This Row],[Descuento sobre subtotal %]]*(PROVEEDORES[[#This Row],[SUBTOTAL]]-PROVEEDORES[[#This Row],[descuento sobre subtotal]])</f>
        <v>0</v>
      </c>
      <c r="P2144" s="74">
        <f>+IF(PROVEEDORES[[#This Row],[SUBTOTAL]]&lt;PROVEEDORES[[#This Row],[base retencion]],0,PROVEEDORES[[#This Row],[retención aplicada]])</f>
        <v>0</v>
      </c>
      <c r="Q2144" s="22">
        <f>+PROVEEDORES[[#This Row],[Rete Fuente %]]*(PROVEEDORES[[#This Row],[SUBTOTAL]]-PROVEEDORES[[#This Row],[descuento sobre subtotal]])</f>
        <v>0</v>
      </c>
      <c r="R2144" s="21">
        <f>+PROVEEDORES[[#This Row],[SUBTOTAL]]+PROVEEDORES[[#This Row],[IVA 19%]]-PROVEEDORES[[#This Row],[descuento sobre subtotal]]-PROVEEDORES[[#This Row],[Descuento sobre subtotal $2]]-PROVEEDORES[[#This Row],[Rete Fuente $]]</f>
        <v>1885550</v>
      </c>
      <c r="S21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4" s="63">
        <f ca="1">IF(PROVEEDORES[[#This Row],[FECHA DE PAGO]]=0,TODAY()-PROVEEDORES[[#This Row],[FECHA DE FACTURACIÓN]]-PROVEEDORES[[#This Row],[PLAZO Días]],0)</f>
        <v>0</v>
      </c>
      <c r="U2144" s="104">
        <f>+VLOOKUP(PROVEEDORES[[#This Row],[PROVEEDOR]],Terceros!$A:$D,4,FALSE)</f>
        <v>0</v>
      </c>
      <c r="V2144" s="105">
        <f>+YEAR(PROVEEDORES[[#This Row],[FECHA DE FACTURACIÓN]])</f>
        <v>2023</v>
      </c>
      <c r="W2144" s="105">
        <f>+MATCH(PROVEEDORES[[#This Row],[año facturado]],Retenciones!$1:$1,0)</f>
        <v>6</v>
      </c>
      <c r="X2144" s="106">
        <f>+VLOOKUP(PROVEEDORES[[#This Row],[ID RETENCION]],Retenciones!$A$1:$O$25,PROVEEDORES[[#This Row],[indicador de columna]],FALSE)</f>
        <v>0</v>
      </c>
      <c r="Y2144" s="107">
        <f>+VLOOKUP(PROVEEDORES[[#This Row],[ID RETENCION]],Retenciones!$A$1:$O$25,2,FALSE)</f>
        <v>0</v>
      </c>
      <c r="Z2144" s="116" t="b">
        <f>OR(COUNTIF(PROVEEDORES[[#This Row],[PROVEEDOR]],"*"&amp;'Palabra no opera'!$A$2&amp;"*"))</f>
        <v>0</v>
      </c>
    </row>
    <row r="2145" spans="1:26" ht="22.35" customHeight="1" x14ac:dyDescent="0.3">
      <c r="A2145" s="67" t="str">
        <f>+IF(PROVEEDORES[[#This Row],[FECHA DE PAGO]]=PROVEEDORES[[#This Row],[FECHA DE FACTURACIÓN]],"DE CONTADO","CRÉDITO")</f>
        <v>CRÉDITO</v>
      </c>
      <c r="B2145" s="38" t="str">
        <f>+IF((PROVEEDORES[[#This Row],[FECHA DE PAGO]]-PROVEEDORES[[#This Row],[FECHA DE FACTURACIÓN]])&gt;PROVEEDORES[[#This Row],[PLAZO Días]],"PAGO VENCIDO")</f>
        <v>PAGO VENCIDO</v>
      </c>
      <c r="C2145" s="20">
        <f>+VLOOKUP(PROVEEDORES[[#This Row],[PROVEEDOR]],TERCEROS_INFO[#All],2,FALSE)</f>
        <v>0</v>
      </c>
      <c r="D2145" s="25">
        <f>+SUMIFS(PROVEEDORES[Total],PROVEEDORES[PROVEEDOR],PROVEEDORES[[#This Row],[PROVEEDOR]],PROVEEDORES[FECHA DE PAGO],"")</f>
        <v>0</v>
      </c>
      <c r="E2145" s="25"/>
      <c r="F2145" s="56" t="str">
        <f>+VLOOKUP(PROVEEDORES[[#This Row],[PROVEEDOR]],
                       Terceros!$A:$F,
                       5,
                       FALSE)</f>
        <v>contabilidad@comercialweb.com.co;info@servipilas.com</v>
      </c>
      <c r="G2145" s="68">
        <v>45251</v>
      </c>
      <c r="H2145" s="26" t="s">
        <v>1438</v>
      </c>
      <c r="I2145" s="68">
        <v>45250</v>
      </c>
      <c r="J2145" s="35">
        <v>2077</v>
      </c>
      <c r="K2145" s="21">
        <v>600000</v>
      </c>
      <c r="L2145" s="21"/>
      <c r="M2145" s="22">
        <v>0</v>
      </c>
      <c r="N2145" s="23"/>
      <c r="O2145" s="22">
        <f>+PROVEEDORES[[#This Row],[Descuento sobre subtotal %]]*(PROVEEDORES[[#This Row],[SUBTOTAL]]-PROVEEDORES[[#This Row],[descuento sobre subtotal]])</f>
        <v>0</v>
      </c>
      <c r="P2145" s="74">
        <f>+IF(PROVEEDORES[[#This Row],[SUBTOTAL]]&lt;PROVEEDORES[[#This Row],[base retencion]],0,PROVEEDORES[[#This Row],[retención aplicada]])</f>
        <v>0</v>
      </c>
      <c r="Q2145" s="22">
        <f>+PROVEEDORES[[#This Row],[Rete Fuente %]]*(PROVEEDORES[[#This Row],[SUBTOTAL]]-PROVEEDORES[[#This Row],[descuento sobre subtotal]])</f>
        <v>0</v>
      </c>
      <c r="R2145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214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5" s="63">
        <f ca="1">IF(PROVEEDORES[[#This Row],[FECHA DE PAGO]]=0,TODAY()-PROVEEDORES[[#This Row],[FECHA DE FACTURACIÓN]]-PROVEEDORES[[#This Row],[PLAZO Días]],0)</f>
        <v>0</v>
      </c>
      <c r="U2145" s="104">
        <f>+VLOOKUP(PROVEEDORES[[#This Row],[PROVEEDOR]],Terceros!$A:$D,4,FALSE)</f>
        <v>0</v>
      </c>
      <c r="V2145" s="105">
        <f>+YEAR(PROVEEDORES[[#This Row],[FECHA DE FACTURACIÓN]])</f>
        <v>2023</v>
      </c>
      <c r="W2145" s="105">
        <f>+MATCH(PROVEEDORES[[#This Row],[año facturado]],Retenciones!$1:$1,0)</f>
        <v>6</v>
      </c>
      <c r="X2145" s="106">
        <f>+VLOOKUP(PROVEEDORES[[#This Row],[ID RETENCION]],Retenciones!$A$1:$O$25,PROVEEDORES[[#This Row],[indicador de columna]],FALSE)</f>
        <v>0</v>
      </c>
      <c r="Y2145" s="107">
        <f>+VLOOKUP(PROVEEDORES[[#This Row],[ID RETENCION]],Retenciones!$A$1:$O$25,2,FALSE)</f>
        <v>0</v>
      </c>
      <c r="Z2145" s="116" t="b">
        <f>OR(COUNTIF(PROVEEDORES[[#This Row],[PROVEEDOR]],"*"&amp;'Palabra no opera'!$A$2&amp;"*"))</f>
        <v>1</v>
      </c>
    </row>
    <row r="2146" spans="1:26" ht="22.35" customHeight="1" x14ac:dyDescent="0.3">
      <c r="A2146" s="351" t="str">
        <f>+IF(PROVEEDORES[[#This Row],[FECHA DE PAGO]]=PROVEEDORES[[#This Row],[FECHA DE FACTURACIÓN]],"DE CONTADO","CRÉDITO")</f>
        <v>CRÉDITO</v>
      </c>
      <c r="B2146" s="38" t="str">
        <f>+IF((PROVEEDORES[[#This Row],[FECHA DE PAGO]]-PROVEEDORES[[#This Row],[FECHA DE FACTURACIÓN]])&gt;PROVEEDORES[[#This Row],[PLAZO Días]],"PAGO VENCIDO")</f>
        <v>PAGO VENCIDO</v>
      </c>
      <c r="C2146" s="20">
        <f>+VLOOKUP(PROVEEDORES[[#This Row],[PROVEEDOR]],TERCEROS_INFO[#All],2,FALSE)</f>
        <v>60</v>
      </c>
      <c r="D2146" s="25">
        <f>+SUMIFS(PROVEEDORES[Total],PROVEEDORES[PROVEEDOR],PROVEEDORES[[#This Row],[PROVEEDOR]],PROVEEDORES[FECHA DE PAGO],"")</f>
        <v>0</v>
      </c>
      <c r="E2146" s="25"/>
      <c r="F2146" s="56">
        <f>+VLOOKUP(PROVEEDORES[[#This Row],[PROVEEDOR]],
                       Terceros!$A:$F,
                       5,
                       FALSE)</f>
        <v>0</v>
      </c>
      <c r="G2146" s="68">
        <v>45251</v>
      </c>
      <c r="H2146" s="26" t="s">
        <v>951</v>
      </c>
      <c r="I2146" s="68">
        <v>45169</v>
      </c>
      <c r="J2146" s="35" t="s">
        <v>1925</v>
      </c>
      <c r="K2146" s="21">
        <v>2318282</v>
      </c>
      <c r="L2146" s="21"/>
      <c r="M2146" s="22">
        <f>(PROVEEDORES[[#This Row],[SUBTOTAL]]-PROVEEDORES[[#This Row],[descuento sobre subtotal]])*VLOOKUP(PROVEEDORES[[#This Row],[PROVEEDOR]],TERCEROS_INFO[#All],3,FALSE)</f>
        <v>440473.58</v>
      </c>
      <c r="N2146" s="23"/>
      <c r="O2146" s="22">
        <f>+PROVEEDORES[[#This Row],[Descuento sobre subtotal %]]*(PROVEEDORES[[#This Row],[SUBTOTAL]]-PROVEEDORES[[#This Row],[descuento sobre subtotal]])</f>
        <v>0</v>
      </c>
      <c r="P2146" s="74">
        <f>+IF(PROVEEDORES[[#This Row],[SUBTOTAL]]&lt;PROVEEDORES[[#This Row],[base retencion]],0,PROVEEDORES[[#This Row],[retención aplicada]])</f>
        <v>0</v>
      </c>
      <c r="Q2146" s="22">
        <f>+PROVEEDORES[[#This Row],[Rete Fuente %]]*(PROVEEDORES[[#This Row],[SUBTOTAL]]-PROVEEDORES[[#This Row],[descuento sobre subtotal]])</f>
        <v>0</v>
      </c>
      <c r="R2146" s="21">
        <f>+PROVEEDORES[[#This Row],[SUBTOTAL]]+PROVEEDORES[[#This Row],[IVA 19%]]-PROVEEDORES[[#This Row],[descuento sobre subtotal]]-PROVEEDORES[[#This Row],[Descuento sobre subtotal $2]]-PROVEEDORES[[#This Row],[Rete Fuente $]]</f>
        <v>2758755.58</v>
      </c>
      <c r="S2146" s="3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6" s="63">
        <f ca="1">IF(PROVEEDORES[[#This Row],[FECHA DE PAGO]]=0,TODAY()-PROVEEDORES[[#This Row],[FECHA DE FACTURACIÓN]]-PROVEEDORES[[#This Row],[PLAZO Días]],0)</f>
        <v>0</v>
      </c>
      <c r="U2146" s="104">
        <f>+VLOOKUP(PROVEEDORES[[#This Row],[PROVEEDOR]],Terceros!$A:$D,4,FALSE)</f>
        <v>0</v>
      </c>
      <c r="V2146" s="105">
        <f>+YEAR(PROVEEDORES[[#This Row],[FECHA DE FACTURACIÓN]])</f>
        <v>2023</v>
      </c>
      <c r="W2146" s="105">
        <f>+MATCH(PROVEEDORES[[#This Row],[año facturado]],Retenciones!$1:$1,0)</f>
        <v>6</v>
      </c>
      <c r="X2146" s="106">
        <f>+VLOOKUP(PROVEEDORES[[#This Row],[ID RETENCION]],Retenciones!$A$1:$O$25,PROVEEDORES[[#This Row],[indicador de columna]],FALSE)</f>
        <v>0</v>
      </c>
      <c r="Y2146" s="107">
        <f>+VLOOKUP(PROVEEDORES[[#This Row],[ID RETENCION]],Retenciones!$A$1:$O$25,2,FALSE)</f>
        <v>0</v>
      </c>
      <c r="Z2146" s="116" t="b">
        <f>OR(COUNTIF(PROVEEDORES[[#This Row],[PROVEEDOR]],"*"&amp;'Palabra no opera'!$A$2&amp;"*"))</f>
        <v>1</v>
      </c>
    </row>
    <row r="2147" spans="1:26" ht="22.35" customHeight="1" x14ac:dyDescent="0.3">
      <c r="A2147" s="367" t="str">
        <f>+IF(PROVEEDORES[[#This Row],[FECHA DE PAGO]]=PROVEEDORES[[#This Row],[FECHA DE FACTURACIÓN]],"DE CONTADO","CRÉDITO")</f>
        <v>CRÉDITO</v>
      </c>
      <c r="B2147" s="38" t="str">
        <f>+IF((PROVEEDORES[[#This Row],[FECHA DE PAGO]]-PROVEEDORES[[#This Row],[FECHA DE FACTURACIÓN]])&gt;PROVEEDORES[[#This Row],[PLAZO Días]],"PAGO VENCIDO")</f>
        <v>PAGO VENCIDO</v>
      </c>
      <c r="C2147" s="20">
        <f>+VLOOKUP(PROVEEDORES[[#This Row],[PROVEEDOR]],TERCEROS_INFO[#All],2,FALSE)</f>
        <v>30</v>
      </c>
      <c r="D2147" s="25">
        <f>+SUMIFS(PROVEEDORES[Total],PROVEEDORES[PROVEEDOR],PROVEEDORES[[#This Row],[PROVEEDOR]],PROVEEDORES[FECHA DE PAGO],"")</f>
        <v>0</v>
      </c>
      <c r="E2147" s="25"/>
      <c r="F2147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147" s="68">
        <v>45251</v>
      </c>
      <c r="H2147" s="26" t="s">
        <v>47</v>
      </c>
      <c r="I2147" s="68">
        <v>45196</v>
      </c>
      <c r="J2147" s="35" t="s">
        <v>1997</v>
      </c>
      <c r="K2147" s="21">
        <v>3669700</v>
      </c>
      <c r="L2147" s="21"/>
      <c r="M2147" s="22">
        <f>(PROVEEDORES[[#This Row],[SUBTOTAL]]-PROVEEDORES[[#This Row],[descuento sobre subtotal]])*VLOOKUP(PROVEEDORES[[#This Row],[PROVEEDOR]],TERCEROS_INFO[#All],3,FALSE)</f>
        <v>697243</v>
      </c>
      <c r="N2147" s="23"/>
      <c r="O2147" s="22">
        <f>+PROVEEDORES[[#This Row],[Descuento sobre subtotal %]]*(PROVEEDORES[[#This Row],[SUBTOTAL]]-PROVEEDORES[[#This Row],[descuento sobre subtotal]])</f>
        <v>0</v>
      </c>
      <c r="P2147" s="74">
        <f>+IF(PROVEEDORES[[#This Row],[SUBTOTAL]]&lt;PROVEEDORES[[#This Row],[base retencion]],0,PROVEEDORES[[#This Row],[retención aplicada]])</f>
        <v>2.5000000000000001E-2</v>
      </c>
      <c r="Q2147" s="22">
        <f>+PROVEEDORES[[#This Row],[Rete Fuente %]]*(PROVEEDORES[[#This Row],[SUBTOTAL]]-PROVEEDORES[[#This Row],[descuento sobre subtotal]])</f>
        <v>91742.5</v>
      </c>
      <c r="R2147" s="21">
        <f>+PROVEEDORES[[#This Row],[SUBTOTAL]]+PROVEEDORES[[#This Row],[IVA 19%]]-PROVEEDORES[[#This Row],[descuento sobre subtotal]]-PROVEEDORES[[#This Row],[Descuento sobre subtotal $2]]-PROVEEDORES[[#This Row],[Rete Fuente $]]</f>
        <v>4275200.5</v>
      </c>
      <c r="S2147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7" s="63">
        <f ca="1">IF(PROVEEDORES[[#This Row],[FECHA DE PAGO]]=0,TODAY()-PROVEEDORES[[#This Row],[FECHA DE FACTURACIÓN]]-PROVEEDORES[[#This Row],[PLAZO Días]],0)</f>
        <v>0</v>
      </c>
      <c r="U2147" s="104" t="str">
        <f>+VLOOKUP(PROVEEDORES[[#This Row],[PROVEEDOR]],Terceros!$A:$D,4,FALSE)</f>
        <v>2,5% con base</v>
      </c>
      <c r="V2147" s="105">
        <f>+YEAR(PROVEEDORES[[#This Row],[FECHA DE FACTURACIÓN]])</f>
        <v>2023</v>
      </c>
      <c r="W2147" s="105">
        <f>+MATCH(PROVEEDORES[[#This Row],[año facturado]],Retenciones!$1:$1,0)</f>
        <v>6</v>
      </c>
      <c r="X2147" s="106">
        <f>+VLOOKUP(PROVEEDORES[[#This Row],[ID RETENCION]],Retenciones!$A$1:$O$25,PROVEEDORES[[#This Row],[indicador de columna]],FALSE)</f>
        <v>1145000</v>
      </c>
      <c r="Y2147" s="107">
        <f>+VLOOKUP(PROVEEDORES[[#This Row],[ID RETENCION]],Retenciones!$A$1:$O$25,2,FALSE)</f>
        <v>2.5000000000000001E-2</v>
      </c>
      <c r="Z2147" s="116" t="b">
        <f>OR(COUNTIF(PROVEEDORES[[#This Row],[PROVEEDOR]],"*"&amp;'Palabra no opera'!$A$2&amp;"*"))</f>
        <v>0</v>
      </c>
    </row>
    <row r="2148" spans="1:26" ht="22.35" customHeight="1" x14ac:dyDescent="0.3">
      <c r="A2148" s="367" t="str">
        <f>+IF(PROVEEDORES[[#This Row],[FECHA DE PAGO]]=PROVEEDORES[[#This Row],[FECHA DE FACTURACIÓN]],"DE CONTADO","CRÉDITO")</f>
        <v>CRÉDITO</v>
      </c>
      <c r="B2148" s="38" t="str">
        <f>+IF((PROVEEDORES[[#This Row],[FECHA DE PAGO]]-PROVEEDORES[[#This Row],[FECHA DE FACTURACIÓN]])&gt;PROVEEDORES[[#This Row],[PLAZO Días]],"PAGO VENCIDO")</f>
        <v>PAGO VENCIDO</v>
      </c>
      <c r="C2148" s="20">
        <f>+VLOOKUP(PROVEEDORES[[#This Row],[PROVEEDOR]],TERCEROS_INFO[#All],2,FALSE)</f>
        <v>30</v>
      </c>
      <c r="D2148" s="25">
        <f>+SUMIFS(PROVEEDORES[Total],PROVEEDORES[PROVEEDOR],PROVEEDORES[[#This Row],[PROVEEDOR]],PROVEEDORES[FECHA DE PAGO],"")</f>
        <v>0</v>
      </c>
      <c r="E2148" s="25"/>
      <c r="F2148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2148" s="68">
        <v>45251</v>
      </c>
      <c r="H2148" s="26" t="s">
        <v>47</v>
      </c>
      <c r="I2148" s="68">
        <v>45201</v>
      </c>
      <c r="J2148" s="35" t="s">
        <v>1998</v>
      </c>
      <c r="K2148" s="21">
        <v>1664650</v>
      </c>
      <c r="L2148" s="21"/>
      <c r="M2148" s="22">
        <f>(PROVEEDORES[[#This Row],[SUBTOTAL]]-PROVEEDORES[[#This Row],[descuento sobre subtotal]])*VLOOKUP(PROVEEDORES[[#This Row],[PROVEEDOR]],TERCEROS_INFO[#All],3,FALSE)</f>
        <v>316283.5</v>
      </c>
      <c r="N2148" s="23"/>
      <c r="O2148" s="22">
        <f>+PROVEEDORES[[#This Row],[Descuento sobre subtotal %]]*(PROVEEDORES[[#This Row],[SUBTOTAL]]-PROVEEDORES[[#This Row],[descuento sobre subtotal]])</f>
        <v>0</v>
      </c>
      <c r="P2148" s="74">
        <f>+IF(PROVEEDORES[[#This Row],[SUBTOTAL]]&lt;PROVEEDORES[[#This Row],[base retencion]],0,PROVEEDORES[[#This Row],[retención aplicada]])</f>
        <v>2.5000000000000001E-2</v>
      </c>
      <c r="Q2148" s="22">
        <f>+PROVEEDORES[[#This Row],[Rete Fuente %]]*(PROVEEDORES[[#This Row],[SUBTOTAL]]-PROVEEDORES[[#This Row],[descuento sobre subtotal]])</f>
        <v>41616.25</v>
      </c>
      <c r="R2148" s="21">
        <f>+PROVEEDORES[[#This Row],[SUBTOTAL]]+PROVEEDORES[[#This Row],[IVA 19%]]-PROVEEDORES[[#This Row],[descuento sobre subtotal]]-PROVEEDORES[[#This Row],[Descuento sobre subtotal $2]]-PROVEEDORES[[#This Row],[Rete Fuente $]]</f>
        <v>1939317.25</v>
      </c>
      <c r="S2148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8" s="63">
        <f ca="1">IF(PROVEEDORES[[#This Row],[FECHA DE PAGO]]=0,TODAY()-PROVEEDORES[[#This Row],[FECHA DE FACTURACIÓN]]-PROVEEDORES[[#This Row],[PLAZO Días]],0)</f>
        <v>0</v>
      </c>
      <c r="U2148" s="104" t="str">
        <f>+VLOOKUP(PROVEEDORES[[#This Row],[PROVEEDOR]],Terceros!$A:$D,4,FALSE)</f>
        <v>2,5% con base</v>
      </c>
      <c r="V2148" s="105">
        <f>+YEAR(PROVEEDORES[[#This Row],[FECHA DE FACTURACIÓN]])</f>
        <v>2023</v>
      </c>
      <c r="W2148" s="105">
        <f>+MATCH(PROVEEDORES[[#This Row],[año facturado]],Retenciones!$1:$1,0)</f>
        <v>6</v>
      </c>
      <c r="X2148" s="106">
        <f>+VLOOKUP(PROVEEDORES[[#This Row],[ID RETENCION]],Retenciones!$A$1:$O$25,PROVEEDORES[[#This Row],[indicador de columna]],FALSE)</f>
        <v>1145000</v>
      </c>
      <c r="Y2148" s="107">
        <f>+VLOOKUP(PROVEEDORES[[#This Row],[ID RETENCION]],Retenciones!$A$1:$O$25,2,FALSE)</f>
        <v>2.5000000000000001E-2</v>
      </c>
      <c r="Z2148" s="116" t="b">
        <f>OR(COUNTIF(PROVEEDORES[[#This Row],[PROVEEDOR]],"*"&amp;'Palabra no opera'!$A$2&amp;"*"))</f>
        <v>0</v>
      </c>
    </row>
    <row r="2149" spans="1:26" ht="22.35" customHeight="1" x14ac:dyDescent="0.3">
      <c r="A2149" s="367" t="str">
        <f>+IF(PROVEEDORES[[#This Row],[FECHA DE PAGO]]=PROVEEDORES[[#This Row],[FECHA DE FACTURACIÓN]],"DE CONTADO","CRÉDITO")</f>
        <v>CRÉDITO</v>
      </c>
      <c r="B2149" s="38" t="str">
        <f>+IF((PROVEEDORES[[#This Row],[FECHA DE PAGO]]-PROVEEDORES[[#This Row],[FECHA DE FACTURACIÓN]])&gt;PROVEEDORES[[#This Row],[PLAZO Días]],"PAGO VENCIDO")</f>
        <v>PAGO VENCIDO</v>
      </c>
      <c r="C2149" s="20">
        <f>+VLOOKUP(PROVEEDORES[[#This Row],[PROVEEDOR]],TERCEROS_INFO[#All],2,FALSE)</f>
        <v>30</v>
      </c>
      <c r="D2149" s="25">
        <f>+SUMIFS(PROVEEDORES[Total],PROVEEDORES[PROVEEDOR],PROVEEDORES[[#This Row],[PROVEEDOR]],PROVEEDORES[FECHA DE PAGO],"")</f>
        <v>0</v>
      </c>
      <c r="E2149" s="25"/>
      <c r="F2149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149" s="68">
        <v>45251</v>
      </c>
      <c r="H2149" s="26" t="s">
        <v>247</v>
      </c>
      <c r="I2149" s="68">
        <v>45197</v>
      </c>
      <c r="J2149" s="35" t="s">
        <v>1996</v>
      </c>
      <c r="K2149" s="21">
        <v>2637500</v>
      </c>
      <c r="L2149" s="21"/>
      <c r="M2149" s="22">
        <f>(PROVEEDORES[[#This Row],[SUBTOTAL]]-PROVEEDORES[[#This Row],[descuento sobre subtotal]])*VLOOKUP(PROVEEDORES[[#This Row],[PROVEEDOR]],TERCEROS_INFO[#All],3,FALSE)</f>
        <v>501125</v>
      </c>
      <c r="N2149" s="23"/>
      <c r="O2149" s="22">
        <f>+PROVEEDORES[[#This Row],[Descuento sobre subtotal %]]*(PROVEEDORES[[#This Row],[SUBTOTAL]]-PROVEEDORES[[#This Row],[descuento sobre subtotal]])</f>
        <v>0</v>
      </c>
      <c r="P2149" s="74">
        <f>+IF(PROVEEDORES[[#This Row],[SUBTOTAL]]&lt;PROVEEDORES[[#This Row],[base retencion]],0,PROVEEDORES[[#This Row],[retención aplicada]])</f>
        <v>2.5000000000000001E-2</v>
      </c>
      <c r="Q2149" s="22">
        <f>+PROVEEDORES[[#This Row],[Rete Fuente %]]*(PROVEEDORES[[#This Row],[SUBTOTAL]]-PROVEEDORES[[#This Row],[descuento sobre subtotal]])</f>
        <v>65937.5</v>
      </c>
      <c r="R2149" s="21">
        <f>+PROVEEDORES[[#This Row],[SUBTOTAL]]+PROVEEDORES[[#This Row],[IVA 19%]]-PROVEEDORES[[#This Row],[descuento sobre subtotal]]-PROVEEDORES[[#This Row],[Descuento sobre subtotal $2]]-PROVEEDORES[[#This Row],[Rete Fuente $]]</f>
        <v>3072687.5</v>
      </c>
      <c r="S2149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9" s="63">
        <f ca="1">IF(PROVEEDORES[[#This Row],[FECHA DE PAGO]]=0,TODAY()-PROVEEDORES[[#This Row],[FECHA DE FACTURACIÓN]]-PROVEEDORES[[#This Row],[PLAZO Días]],0)</f>
        <v>0</v>
      </c>
      <c r="U2149" s="104" t="str">
        <f>+VLOOKUP(PROVEEDORES[[#This Row],[PROVEEDOR]],Terceros!$A:$D,4,FALSE)</f>
        <v>2,5% con base</v>
      </c>
      <c r="V2149" s="105">
        <f>+YEAR(PROVEEDORES[[#This Row],[FECHA DE FACTURACIÓN]])</f>
        <v>2023</v>
      </c>
      <c r="W2149" s="105">
        <f>+MATCH(PROVEEDORES[[#This Row],[año facturado]],Retenciones!$1:$1,0)</f>
        <v>6</v>
      </c>
      <c r="X2149" s="106">
        <f>+VLOOKUP(PROVEEDORES[[#This Row],[ID RETENCION]],Retenciones!$A$1:$O$25,PROVEEDORES[[#This Row],[indicador de columna]],FALSE)</f>
        <v>1145000</v>
      </c>
      <c r="Y2149" s="107">
        <f>+VLOOKUP(PROVEEDORES[[#This Row],[ID RETENCION]],Retenciones!$A$1:$O$25,2,FALSE)</f>
        <v>2.5000000000000001E-2</v>
      </c>
      <c r="Z2149" s="116" t="b">
        <f>OR(COUNTIF(PROVEEDORES[[#This Row],[PROVEEDOR]],"*"&amp;'Palabra no opera'!$A$2&amp;"*"))</f>
        <v>0</v>
      </c>
    </row>
    <row r="2150" spans="1:26" ht="22.35" customHeight="1" x14ac:dyDescent="0.3">
      <c r="A2150" s="355" t="str">
        <f>+IF(PROVEEDORES[[#This Row],[FECHA DE PAGO]]=PROVEEDORES[[#This Row],[FECHA DE FACTURACIÓN]],"DE CONTADO","CRÉDITO")</f>
        <v>CRÉDITO</v>
      </c>
      <c r="B2150" s="38" t="str">
        <f>+IF((PROVEEDORES[[#This Row],[FECHA DE PAGO]]-PROVEEDORES[[#This Row],[FECHA DE FACTURACIÓN]])&gt;PROVEEDORES[[#This Row],[PLAZO Días]],"PAGO VENCIDO")</f>
        <v>PAGO VENCIDO</v>
      </c>
      <c r="C2150" s="20">
        <f>+VLOOKUP(PROVEEDORES[[#This Row],[PROVEEDOR]],TERCEROS_INFO[#All],2,FALSE)</f>
        <v>30</v>
      </c>
      <c r="D2150" s="25">
        <f>+SUMIFS(PROVEEDORES[Total],PROVEEDORES[PROVEEDOR],PROVEEDORES[[#This Row],[PROVEEDOR]],PROVEEDORES[FECHA DE PAGO],"")</f>
        <v>0</v>
      </c>
      <c r="E2150" s="25"/>
      <c r="F2150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0" s="68">
        <v>45251</v>
      </c>
      <c r="H2150" s="26" t="s">
        <v>227</v>
      </c>
      <c r="I2150" s="68">
        <v>45190</v>
      </c>
      <c r="J2150" s="35">
        <v>677</v>
      </c>
      <c r="K2150" s="21">
        <v>329080</v>
      </c>
      <c r="L2150" s="21"/>
      <c r="M2150" s="22">
        <f>(PROVEEDORES[[#This Row],[SUBTOTAL]]-PROVEEDORES[[#This Row],[descuento sobre subtotal]])*VLOOKUP(PROVEEDORES[[#This Row],[PROVEEDOR]],TERCEROS_INFO[#All],3,FALSE)</f>
        <v>0</v>
      </c>
      <c r="N2150" s="23"/>
      <c r="O2150" s="22">
        <f>+PROVEEDORES[[#This Row],[Descuento sobre subtotal %]]*(PROVEEDORES[[#This Row],[SUBTOTAL]]-PROVEEDORES[[#This Row],[descuento sobre subtotal]])</f>
        <v>0</v>
      </c>
      <c r="P2150" s="74">
        <f>+IF(PROVEEDORES[[#This Row],[SUBTOTAL]]&lt;PROVEEDORES[[#This Row],[base retencion]],0,PROVEEDORES[[#This Row],[retención aplicada]])</f>
        <v>0</v>
      </c>
      <c r="Q2150" s="22">
        <f>+PROVEEDORES[[#This Row],[Rete Fuente %]]*(PROVEEDORES[[#This Row],[SUBTOTAL]]-PROVEEDORES[[#This Row],[descuento sobre subtotal]])</f>
        <v>0</v>
      </c>
      <c r="R2150" s="21">
        <f>+PROVEEDORES[[#This Row],[SUBTOTAL]]+PROVEEDORES[[#This Row],[IVA 19%]]-PROVEEDORES[[#This Row],[descuento sobre subtotal]]-PROVEEDORES[[#This Row],[Descuento sobre subtotal $2]]-PROVEEDORES[[#This Row],[Rete Fuente $]]</f>
        <v>329080</v>
      </c>
      <c r="S2150" s="3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0" s="63">
        <f ca="1">IF(PROVEEDORES[[#This Row],[FECHA DE PAGO]]=0,TODAY()-PROVEEDORES[[#This Row],[FECHA DE FACTURACIÓN]]-PROVEEDORES[[#This Row],[PLAZO Días]],0)</f>
        <v>0</v>
      </c>
      <c r="U2150" s="104">
        <f>+VLOOKUP(PROVEEDORES[[#This Row],[PROVEEDOR]],Terceros!$A:$D,4,FALSE)</f>
        <v>0</v>
      </c>
      <c r="V2150" s="105">
        <f>+YEAR(PROVEEDORES[[#This Row],[FECHA DE FACTURACIÓN]])</f>
        <v>2023</v>
      </c>
      <c r="W2150" s="105">
        <f>+MATCH(PROVEEDORES[[#This Row],[año facturado]],Retenciones!$1:$1,0)</f>
        <v>6</v>
      </c>
      <c r="X2150" s="106">
        <f>+VLOOKUP(PROVEEDORES[[#This Row],[ID RETENCION]],Retenciones!$A$1:$O$25,PROVEEDORES[[#This Row],[indicador de columna]],FALSE)</f>
        <v>0</v>
      </c>
      <c r="Y2150" s="107">
        <f>+VLOOKUP(PROVEEDORES[[#This Row],[ID RETENCION]],Retenciones!$A$1:$O$25,2,FALSE)</f>
        <v>0</v>
      </c>
      <c r="Z2150" s="116" t="b">
        <f>OR(COUNTIF(PROVEEDORES[[#This Row],[PROVEEDOR]],"*"&amp;'Palabra no opera'!$A$2&amp;"*"))</f>
        <v>0</v>
      </c>
    </row>
    <row r="2151" spans="1:26" ht="22.35" customHeight="1" x14ac:dyDescent="0.3">
      <c r="A2151" s="67" t="str">
        <f>+IF(PROVEEDORES[[#This Row],[FECHA DE PAGO]]=PROVEEDORES[[#This Row],[FECHA DE FACTURACIÓN]],"DE CONTADO","CRÉDITO")</f>
        <v>CRÉDITO</v>
      </c>
      <c r="B2151" s="38" t="str">
        <f>+IF((PROVEEDORES[[#This Row],[FECHA DE PAGO]]-PROVEEDORES[[#This Row],[FECHA DE FACTURACIÓN]])&gt;PROVEEDORES[[#This Row],[PLAZO Días]],"PAGO VENCIDO")</f>
        <v>PAGO VENCIDO</v>
      </c>
      <c r="C2151" s="20">
        <f>+VLOOKUP(PROVEEDORES[[#This Row],[PROVEEDOR]],TERCEROS_INFO[#All],2,FALSE)</f>
        <v>30</v>
      </c>
      <c r="D2151" s="25">
        <f>+SUMIFS(PROVEEDORES[Total],PROVEEDORES[PROVEEDOR],PROVEEDORES[[#This Row],[PROVEEDOR]],PROVEEDORES[FECHA DE PAGO],"")</f>
        <v>0</v>
      </c>
      <c r="E2151" s="25"/>
      <c r="F2151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1" s="68">
        <v>45251</v>
      </c>
      <c r="H2151" s="26" t="s">
        <v>227</v>
      </c>
      <c r="I2151" s="68">
        <v>45190</v>
      </c>
      <c r="J2151" s="35">
        <v>673</v>
      </c>
      <c r="K2151" s="21">
        <v>64581</v>
      </c>
      <c r="L2151" s="21"/>
      <c r="M2151" s="22">
        <f>(PROVEEDORES[[#This Row],[SUBTOTAL]]-PROVEEDORES[[#This Row],[descuento sobre subtotal]])*VLOOKUP(PROVEEDORES[[#This Row],[PROVEEDOR]],TERCEROS_INFO[#All],3,FALSE)</f>
        <v>0</v>
      </c>
      <c r="N2151" s="23"/>
      <c r="O2151" s="22">
        <f>+PROVEEDORES[[#This Row],[Descuento sobre subtotal %]]*(PROVEEDORES[[#This Row],[SUBTOTAL]]-PROVEEDORES[[#This Row],[descuento sobre subtotal]])</f>
        <v>0</v>
      </c>
      <c r="P2151" s="74">
        <f>+IF(PROVEEDORES[[#This Row],[SUBTOTAL]]&lt;PROVEEDORES[[#This Row],[base retencion]],0,PROVEEDORES[[#This Row],[retención aplicada]])</f>
        <v>0</v>
      </c>
      <c r="Q2151" s="22">
        <f>+PROVEEDORES[[#This Row],[Rete Fuente %]]*(PROVEEDORES[[#This Row],[SUBTOTAL]]-PROVEEDORES[[#This Row],[descuento sobre subtotal]])</f>
        <v>0</v>
      </c>
      <c r="R2151" s="21">
        <f>+PROVEEDORES[[#This Row],[SUBTOTAL]]+PROVEEDORES[[#This Row],[IVA 19%]]-PROVEEDORES[[#This Row],[descuento sobre subtotal]]-PROVEEDORES[[#This Row],[Descuento sobre subtotal $2]]-PROVEEDORES[[#This Row],[Rete Fuente $]]</f>
        <v>64581</v>
      </c>
      <c r="S21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1" s="63">
        <f ca="1">IF(PROVEEDORES[[#This Row],[FECHA DE PAGO]]=0,TODAY()-PROVEEDORES[[#This Row],[FECHA DE FACTURACIÓN]]-PROVEEDORES[[#This Row],[PLAZO Días]],0)</f>
        <v>0</v>
      </c>
      <c r="U2151" s="104">
        <f>+VLOOKUP(PROVEEDORES[[#This Row],[PROVEEDOR]],Terceros!$A:$D,4,FALSE)</f>
        <v>0</v>
      </c>
      <c r="V2151" s="105">
        <f>+YEAR(PROVEEDORES[[#This Row],[FECHA DE FACTURACIÓN]])</f>
        <v>2023</v>
      </c>
      <c r="W2151" s="105">
        <f>+MATCH(PROVEEDORES[[#This Row],[año facturado]],Retenciones!$1:$1,0)</f>
        <v>6</v>
      </c>
      <c r="X2151" s="106">
        <f>+VLOOKUP(PROVEEDORES[[#This Row],[ID RETENCION]],Retenciones!$A$1:$O$25,PROVEEDORES[[#This Row],[indicador de columna]],FALSE)</f>
        <v>0</v>
      </c>
      <c r="Y2151" s="107">
        <f>+VLOOKUP(PROVEEDORES[[#This Row],[ID RETENCION]],Retenciones!$A$1:$O$25,2,FALSE)</f>
        <v>0</v>
      </c>
      <c r="Z2151" s="116" t="b">
        <f>OR(COUNTIF(PROVEEDORES[[#This Row],[PROVEEDOR]],"*"&amp;'Palabra no opera'!$A$2&amp;"*"))</f>
        <v>0</v>
      </c>
    </row>
    <row r="2152" spans="1:26" ht="22.35" customHeight="1" x14ac:dyDescent="0.3">
      <c r="A2152" s="67" t="str">
        <f>+IF(PROVEEDORES[[#This Row],[FECHA DE PAGO]]=PROVEEDORES[[#This Row],[FECHA DE FACTURACIÓN]],"DE CONTADO","CRÉDITO")</f>
        <v>CRÉDITO</v>
      </c>
      <c r="B2152" s="38" t="str">
        <f>+IF((PROVEEDORES[[#This Row],[FECHA DE PAGO]]-PROVEEDORES[[#This Row],[FECHA DE FACTURACIÓN]])&gt;PROVEEDORES[[#This Row],[PLAZO Días]],"PAGO VENCIDO")</f>
        <v>PAGO VENCIDO</v>
      </c>
      <c r="C2152" s="20">
        <f>+VLOOKUP(PROVEEDORES[[#This Row],[PROVEEDOR]],TERCEROS_INFO[#All],2,FALSE)</f>
        <v>30</v>
      </c>
      <c r="D2152" s="25">
        <f>+SUMIFS(PROVEEDORES[Total],PROVEEDORES[PROVEEDOR],PROVEEDORES[[#This Row],[PROVEEDOR]],PROVEEDORES[FECHA DE PAGO],"")</f>
        <v>0</v>
      </c>
      <c r="E2152" s="25"/>
      <c r="F2152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2" s="68">
        <v>45251</v>
      </c>
      <c r="H2152" s="26" t="s">
        <v>227</v>
      </c>
      <c r="I2152" s="68">
        <v>45190</v>
      </c>
      <c r="J2152" s="35">
        <v>674</v>
      </c>
      <c r="K2152" s="21">
        <v>169907</v>
      </c>
      <c r="L2152" s="21"/>
      <c r="M2152" s="22">
        <f>(PROVEEDORES[[#This Row],[SUBTOTAL]]-PROVEEDORES[[#This Row],[descuento sobre subtotal]])*VLOOKUP(PROVEEDORES[[#This Row],[PROVEEDOR]],TERCEROS_INFO[#All],3,FALSE)</f>
        <v>0</v>
      </c>
      <c r="N2152" s="23"/>
      <c r="O2152" s="22">
        <f>+PROVEEDORES[[#This Row],[Descuento sobre subtotal %]]*(PROVEEDORES[[#This Row],[SUBTOTAL]]-PROVEEDORES[[#This Row],[descuento sobre subtotal]])</f>
        <v>0</v>
      </c>
      <c r="P2152" s="74">
        <f>+IF(PROVEEDORES[[#This Row],[SUBTOTAL]]&lt;PROVEEDORES[[#This Row],[base retencion]],0,PROVEEDORES[[#This Row],[retención aplicada]])</f>
        <v>0</v>
      </c>
      <c r="Q2152" s="22">
        <f>+PROVEEDORES[[#This Row],[Rete Fuente %]]*(PROVEEDORES[[#This Row],[SUBTOTAL]]-PROVEEDORES[[#This Row],[descuento sobre subtotal]])</f>
        <v>0</v>
      </c>
      <c r="R2152" s="21">
        <f>+PROVEEDORES[[#This Row],[SUBTOTAL]]+PROVEEDORES[[#This Row],[IVA 19%]]-PROVEEDORES[[#This Row],[descuento sobre subtotal]]-PROVEEDORES[[#This Row],[Descuento sobre subtotal $2]]-PROVEEDORES[[#This Row],[Rete Fuente $]]</f>
        <v>169907</v>
      </c>
      <c r="S215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2" s="63">
        <f ca="1">IF(PROVEEDORES[[#This Row],[FECHA DE PAGO]]=0,TODAY()-PROVEEDORES[[#This Row],[FECHA DE FACTURACIÓN]]-PROVEEDORES[[#This Row],[PLAZO Días]],0)</f>
        <v>0</v>
      </c>
      <c r="U2152" s="104">
        <f>+VLOOKUP(PROVEEDORES[[#This Row],[PROVEEDOR]],Terceros!$A:$D,4,FALSE)</f>
        <v>0</v>
      </c>
      <c r="V2152" s="105">
        <f>+YEAR(PROVEEDORES[[#This Row],[FECHA DE FACTURACIÓN]])</f>
        <v>2023</v>
      </c>
      <c r="W2152" s="105">
        <f>+MATCH(PROVEEDORES[[#This Row],[año facturado]],Retenciones!$1:$1,0)</f>
        <v>6</v>
      </c>
      <c r="X2152" s="106">
        <f>+VLOOKUP(PROVEEDORES[[#This Row],[ID RETENCION]],Retenciones!$A$1:$O$25,PROVEEDORES[[#This Row],[indicador de columna]],FALSE)</f>
        <v>0</v>
      </c>
      <c r="Y2152" s="107">
        <f>+VLOOKUP(PROVEEDORES[[#This Row],[ID RETENCION]],Retenciones!$A$1:$O$25,2,FALSE)</f>
        <v>0</v>
      </c>
      <c r="Z2152" s="116" t="b">
        <f>OR(COUNTIF(PROVEEDORES[[#This Row],[PROVEEDOR]],"*"&amp;'Palabra no opera'!$A$2&amp;"*"))</f>
        <v>0</v>
      </c>
    </row>
    <row r="2153" spans="1:26" ht="22.35" customHeight="1" x14ac:dyDescent="0.3">
      <c r="A2153" s="67" t="str">
        <f>+IF(PROVEEDORES[[#This Row],[FECHA DE PAGO]]=PROVEEDORES[[#This Row],[FECHA DE FACTURACIÓN]],"DE CONTADO","CRÉDITO")</f>
        <v>CRÉDITO</v>
      </c>
      <c r="B2153" s="38" t="str">
        <f>+IF((PROVEEDORES[[#This Row],[FECHA DE PAGO]]-PROVEEDORES[[#This Row],[FECHA DE FACTURACIÓN]])&gt;PROVEEDORES[[#This Row],[PLAZO Días]],"PAGO VENCIDO")</f>
        <v>PAGO VENCIDO</v>
      </c>
      <c r="C2153" s="20">
        <f>+VLOOKUP(PROVEEDORES[[#This Row],[PROVEEDOR]],TERCEROS_INFO[#All],2,FALSE)</f>
        <v>30</v>
      </c>
      <c r="D2153" s="25">
        <f>+SUMIFS(PROVEEDORES[Total],PROVEEDORES[PROVEEDOR],PROVEEDORES[[#This Row],[PROVEEDOR]],PROVEEDORES[FECHA DE PAGO],"")</f>
        <v>0</v>
      </c>
      <c r="E2153" s="25"/>
      <c r="F2153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3" s="68">
        <v>45251</v>
      </c>
      <c r="H2153" s="26" t="s">
        <v>227</v>
      </c>
      <c r="I2153" s="68">
        <v>45198</v>
      </c>
      <c r="J2153" s="35" t="s">
        <v>1984</v>
      </c>
      <c r="K2153" s="21">
        <v>287350</v>
      </c>
      <c r="L2153" s="21"/>
      <c r="M2153" s="22">
        <f>(PROVEEDORES[[#This Row],[SUBTOTAL]]-PROVEEDORES[[#This Row],[descuento sobre subtotal]])*VLOOKUP(PROVEEDORES[[#This Row],[PROVEEDOR]],TERCEROS_INFO[#All],3,FALSE)</f>
        <v>0</v>
      </c>
      <c r="N2153" s="23"/>
      <c r="O2153" s="22">
        <f>+PROVEEDORES[[#This Row],[Descuento sobre subtotal %]]*(PROVEEDORES[[#This Row],[SUBTOTAL]]-PROVEEDORES[[#This Row],[descuento sobre subtotal]])</f>
        <v>0</v>
      </c>
      <c r="P2153" s="74">
        <f>+IF(PROVEEDORES[[#This Row],[SUBTOTAL]]&lt;PROVEEDORES[[#This Row],[base retencion]],0,PROVEEDORES[[#This Row],[retención aplicada]])</f>
        <v>0</v>
      </c>
      <c r="Q2153" s="22">
        <f>+PROVEEDORES[[#This Row],[Rete Fuente %]]*(PROVEEDORES[[#This Row],[SUBTOTAL]]-PROVEEDORES[[#This Row],[descuento sobre subtotal]])</f>
        <v>0</v>
      </c>
      <c r="R2153" s="21">
        <f>+PROVEEDORES[[#This Row],[SUBTOTAL]]+PROVEEDORES[[#This Row],[IVA 19%]]-PROVEEDORES[[#This Row],[descuento sobre subtotal]]-PROVEEDORES[[#This Row],[Descuento sobre subtotal $2]]-PROVEEDORES[[#This Row],[Rete Fuente $]]</f>
        <v>287350</v>
      </c>
      <c r="S21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3" s="63">
        <f ca="1">IF(PROVEEDORES[[#This Row],[FECHA DE PAGO]]=0,TODAY()-PROVEEDORES[[#This Row],[FECHA DE FACTURACIÓN]]-PROVEEDORES[[#This Row],[PLAZO Días]],0)</f>
        <v>0</v>
      </c>
      <c r="U2153" s="104">
        <f>+VLOOKUP(PROVEEDORES[[#This Row],[PROVEEDOR]],Terceros!$A:$D,4,FALSE)</f>
        <v>0</v>
      </c>
      <c r="V2153" s="105">
        <f>+YEAR(PROVEEDORES[[#This Row],[FECHA DE FACTURACIÓN]])</f>
        <v>2023</v>
      </c>
      <c r="W2153" s="105">
        <f>+MATCH(PROVEEDORES[[#This Row],[año facturado]],Retenciones!$1:$1,0)</f>
        <v>6</v>
      </c>
      <c r="X2153" s="106">
        <f>+VLOOKUP(PROVEEDORES[[#This Row],[ID RETENCION]],Retenciones!$A$1:$O$25,PROVEEDORES[[#This Row],[indicador de columna]],FALSE)</f>
        <v>0</v>
      </c>
      <c r="Y2153" s="107">
        <f>+VLOOKUP(PROVEEDORES[[#This Row],[ID RETENCION]],Retenciones!$A$1:$O$25,2,FALSE)</f>
        <v>0</v>
      </c>
      <c r="Z2153" s="116" t="b">
        <f>OR(COUNTIF(PROVEEDORES[[#This Row],[PROVEEDOR]],"*"&amp;'Palabra no opera'!$A$2&amp;"*"))</f>
        <v>0</v>
      </c>
    </row>
    <row r="2154" spans="1:26" ht="22.35" customHeight="1" x14ac:dyDescent="0.3">
      <c r="A2154" s="67" t="str">
        <f>+IF(PROVEEDORES[[#This Row],[FECHA DE PAGO]]=PROVEEDORES[[#This Row],[FECHA DE FACTURACIÓN]],"DE CONTADO","CRÉDITO")</f>
        <v>CRÉDITO</v>
      </c>
      <c r="B2154" s="38" t="str">
        <f>+IF((PROVEEDORES[[#This Row],[FECHA DE PAGO]]-PROVEEDORES[[#This Row],[FECHA DE FACTURACIÓN]])&gt;PROVEEDORES[[#This Row],[PLAZO Días]],"PAGO VENCIDO")</f>
        <v>PAGO VENCIDO</v>
      </c>
      <c r="C2154" s="20">
        <f>+VLOOKUP(PROVEEDORES[[#This Row],[PROVEEDOR]],TERCEROS_INFO[#All],2,FALSE)</f>
        <v>30</v>
      </c>
      <c r="D2154" s="25">
        <f>+SUMIFS(PROVEEDORES[Total],PROVEEDORES[PROVEEDOR],PROVEEDORES[[#This Row],[PROVEEDOR]],PROVEEDORES[FECHA DE PAGO],"")</f>
        <v>0</v>
      </c>
      <c r="E2154" s="25"/>
      <c r="F2154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4" s="68">
        <v>45251</v>
      </c>
      <c r="H2154" s="26" t="s">
        <v>227</v>
      </c>
      <c r="I2154" s="68">
        <v>45198</v>
      </c>
      <c r="J2154" s="35" t="s">
        <v>1986</v>
      </c>
      <c r="K2154" s="21">
        <v>7823</v>
      </c>
      <c r="L2154" s="21"/>
      <c r="M2154" s="22">
        <f>(PROVEEDORES[[#This Row],[SUBTOTAL]]-PROVEEDORES[[#This Row],[descuento sobre subtotal]])*VLOOKUP(PROVEEDORES[[#This Row],[PROVEEDOR]],TERCEROS_INFO[#All],3,FALSE)</f>
        <v>0</v>
      </c>
      <c r="N2154" s="23"/>
      <c r="O2154" s="22">
        <f>+PROVEEDORES[[#This Row],[Descuento sobre subtotal %]]*(PROVEEDORES[[#This Row],[SUBTOTAL]]-PROVEEDORES[[#This Row],[descuento sobre subtotal]])</f>
        <v>0</v>
      </c>
      <c r="P2154" s="74">
        <f>+IF(PROVEEDORES[[#This Row],[SUBTOTAL]]&lt;PROVEEDORES[[#This Row],[base retencion]],0,PROVEEDORES[[#This Row],[retención aplicada]])</f>
        <v>0</v>
      </c>
      <c r="Q2154" s="22">
        <f>+PROVEEDORES[[#This Row],[Rete Fuente %]]*(PROVEEDORES[[#This Row],[SUBTOTAL]]-PROVEEDORES[[#This Row],[descuento sobre subtotal]])</f>
        <v>0</v>
      </c>
      <c r="R2154" s="21">
        <f>+PROVEEDORES[[#This Row],[SUBTOTAL]]+PROVEEDORES[[#This Row],[IVA 19%]]-PROVEEDORES[[#This Row],[descuento sobre subtotal]]-PROVEEDORES[[#This Row],[Descuento sobre subtotal $2]]-PROVEEDORES[[#This Row],[Rete Fuente $]]</f>
        <v>7823</v>
      </c>
      <c r="S21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4" s="63">
        <f ca="1">IF(PROVEEDORES[[#This Row],[FECHA DE PAGO]]=0,TODAY()-PROVEEDORES[[#This Row],[FECHA DE FACTURACIÓN]]-PROVEEDORES[[#This Row],[PLAZO Días]],0)</f>
        <v>0</v>
      </c>
      <c r="U2154" s="104">
        <f>+VLOOKUP(PROVEEDORES[[#This Row],[PROVEEDOR]],Terceros!$A:$D,4,FALSE)</f>
        <v>0</v>
      </c>
      <c r="V2154" s="105">
        <f>+YEAR(PROVEEDORES[[#This Row],[FECHA DE FACTURACIÓN]])</f>
        <v>2023</v>
      </c>
      <c r="W2154" s="105">
        <f>+MATCH(PROVEEDORES[[#This Row],[año facturado]],Retenciones!$1:$1,0)</f>
        <v>6</v>
      </c>
      <c r="X2154" s="106">
        <f>+VLOOKUP(PROVEEDORES[[#This Row],[ID RETENCION]],Retenciones!$A$1:$O$25,PROVEEDORES[[#This Row],[indicador de columna]],FALSE)</f>
        <v>0</v>
      </c>
      <c r="Y2154" s="107">
        <f>+VLOOKUP(PROVEEDORES[[#This Row],[ID RETENCION]],Retenciones!$A$1:$O$25,2,FALSE)</f>
        <v>0</v>
      </c>
      <c r="Z2154" s="116" t="b">
        <f>OR(COUNTIF(PROVEEDORES[[#This Row],[PROVEEDOR]],"*"&amp;'Palabra no opera'!$A$2&amp;"*"))</f>
        <v>0</v>
      </c>
    </row>
    <row r="2155" spans="1:26" ht="22.35" customHeight="1" x14ac:dyDescent="0.3">
      <c r="A2155" s="377" t="str">
        <f>+IF(PROVEEDORES[[#This Row],[FECHA DE PAGO]]=PROVEEDORES[[#This Row],[FECHA DE FACTURACIÓN]],"DE CONTADO","CRÉDITO")</f>
        <v>CRÉDITO</v>
      </c>
      <c r="B2155" s="38" t="b">
        <f>+IF((PROVEEDORES[[#This Row],[FECHA DE PAGO]]-PROVEEDORES[[#This Row],[FECHA DE FACTURACIÓN]])&gt;PROVEEDORES[[#This Row],[PLAZO Días]],"PAGO VENCIDO")</f>
        <v>0</v>
      </c>
      <c r="C2155" s="20">
        <f>+VLOOKUP(PROVEEDORES[[#This Row],[PROVEEDOR]],TERCEROS_INFO[#All],2,FALSE)</f>
        <v>30</v>
      </c>
      <c r="D2155" s="25">
        <f>+SUMIFS(PROVEEDORES[Total],PROVEEDORES[PROVEEDOR],PROVEEDORES[[#This Row],[PROVEEDOR]],PROVEEDORES[FECHA DE PAGO],"")</f>
        <v>0</v>
      </c>
      <c r="E2155" s="25"/>
      <c r="F2155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5" s="68">
        <v>45251</v>
      </c>
      <c r="H2155" s="26" t="s">
        <v>227</v>
      </c>
      <c r="I2155" s="68">
        <v>45238</v>
      </c>
      <c r="J2155" s="35" t="s">
        <v>2101</v>
      </c>
      <c r="K2155" s="21">
        <v>129550</v>
      </c>
      <c r="L2155" s="21"/>
      <c r="M2155" s="22">
        <f>(PROVEEDORES[[#This Row],[SUBTOTAL]]-PROVEEDORES[[#This Row],[descuento sobre subtotal]])*VLOOKUP(PROVEEDORES[[#This Row],[PROVEEDOR]],TERCEROS_INFO[#All],3,FALSE)</f>
        <v>0</v>
      </c>
      <c r="N2155" s="23"/>
      <c r="O2155" s="22">
        <f>+PROVEEDORES[[#This Row],[Descuento sobre subtotal %]]*(PROVEEDORES[[#This Row],[SUBTOTAL]]-PROVEEDORES[[#This Row],[descuento sobre subtotal]])</f>
        <v>0</v>
      </c>
      <c r="P2155" s="74">
        <f>+IF(PROVEEDORES[[#This Row],[SUBTOTAL]]&lt;PROVEEDORES[[#This Row],[base retencion]],0,PROVEEDORES[[#This Row],[retención aplicada]])</f>
        <v>0</v>
      </c>
      <c r="Q2155" s="22">
        <f>+PROVEEDORES[[#This Row],[Rete Fuente %]]*(PROVEEDORES[[#This Row],[SUBTOTAL]]-PROVEEDORES[[#This Row],[descuento sobre subtotal]])</f>
        <v>0</v>
      </c>
      <c r="R2155" s="21">
        <f>+PROVEEDORES[[#This Row],[SUBTOTAL]]+PROVEEDORES[[#This Row],[IVA 19%]]-PROVEEDORES[[#This Row],[descuento sobre subtotal]]-PROVEEDORES[[#This Row],[Descuento sobre subtotal $2]]-PROVEEDORES[[#This Row],[Rete Fuente $]]</f>
        <v>129550</v>
      </c>
      <c r="S2155" s="37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5" s="63">
        <f ca="1">IF(PROVEEDORES[[#This Row],[FECHA DE PAGO]]=0,TODAY()-PROVEEDORES[[#This Row],[FECHA DE FACTURACIÓN]]-PROVEEDORES[[#This Row],[PLAZO Días]],0)</f>
        <v>0</v>
      </c>
      <c r="U2155" s="104">
        <f>+VLOOKUP(PROVEEDORES[[#This Row],[PROVEEDOR]],Terceros!$A:$D,4,FALSE)</f>
        <v>0</v>
      </c>
      <c r="V2155" s="105">
        <f>+YEAR(PROVEEDORES[[#This Row],[FECHA DE FACTURACIÓN]])</f>
        <v>2023</v>
      </c>
      <c r="W2155" s="105">
        <f>+MATCH(PROVEEDORES[[#This Row],[año facturado]],Retenciones!$1:$1,0)</f>
        <v>6</v>
      </c>
      <c r="X2155" s="106">
        <f>+VLOOKUP(PROVEEDORES[[#This Row],[ID RETENCION]],Retenciones!$A$1:$O$25,PROVEEDORES[[#This Row],[indicador de columna]],FALSE)</f>
        <v>0</v>
      </c>
      <c r="Y2155" s="107">
        <f>+VLOOKUP(PROVEEDORES[[#This Row],[ID RETENCION]],Retenciones!$A$1:$O$25,2,FALSE)</f>
        <v>0</v>
      </c>
      <c r="Z2155" s="116" t="b">
        <f>OR(COUNTIF(PROVEEDORES[[#This Row],[PROVEEDOR]],"*"&amp;'Palabra no opera'!$A$2&amp;"*"))</f>
        <v>0</v>
      </c>
    </row>
    <row r="2156" spans="1:26" ht="22.35" customHeight="1" x14ac:dyDescent="0.3">
      <c r="A2156" s="67" t="str">
        <f>+IF(PROVEEDORES[[#This Row],[FECHA DE PAGO]]=PROVEEDORES[[#This Row],[FECHA DE FACTURACIÓN]],"DE CONTADO","CRÉDITO")</f>
        <v>CRÉDITO</v>
      </c>
      <c r="B2156" s="38" t="b">
        <f>+IF((PROVEEDORES[[#This Row],[FECHA DE PAGO]]-PROVEEDORES[[#This Row],[FECHA DE FACTURACIÓN]])&gt;PROVEEDORES[[#This Row],[PLAZO Días]],"PAGO VENCIDO")</f>
        <v>0</v>
      </c>
      <c r="C2156" s="20">
        <f>+VLOOKUP(PROVEEDORES[[#This Row],[PROVEEDOR]],TERCEROS_INFO[#All],2,FALSE)</f>
        <v>30</v>
      </c>
      <c r="D2156" s="25">
        <f>+SUMIFS(PROVEEDORES[Total],PROVEEDORES[PROVEEDOR],PROVEEDORES[[#This Row],[PROVEEDOR]],PROVEEDORES[FECHA DE PAGO],"")</f>
        <v>0</v>
      </c>
      <c r="E2156" s="25"/>
      <c r="F2156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56" s="68">
        <v>45251</v>
      </c>
      <c r="H2156" s="26" t="s">
        <v>227</v>
      </c>
      <c r="I2156" s="68">
        <v>45247</v>
      </c>
      <c r="J2156" s="35" t="s">
        <v>2136</v>
      </c>
      <c r="K2156" s="21">
        <v>7880</v>
      </c>
      <c r="L2156" s="21"/>
      <c r="M2156" s="22">
        <f>(PROVEEDORES[[#This Row],[SUBTOTAL]]-PROVEEDORES[[#This Row],[descuento sobre subtotal]])*VLOOKUP(PROVEEDORES[[#This Row],[PROVEEDOR]],TERCEROS_INFO[#All],3,FALSE)</f>
        <v>0</v>
      </c>
      <c r="N2156" s="23"/>
      <c r="O2156" s="22">
        <f>+PROVEEDORES[[#This Row],[Descuento sobre subtotal %]]*(PROVEEDORES[[#This Row],[SUBTOTAL]]-PROVEEDORES[[#This Row],[descuento sobre subtotal]])</f>
        <v>0</v>
      </c>
      <c r="P2156" s="74">
        <f>+IF(PROVEEDORES[[#This Row],[SUBTOTAL]]&lt;PROVEEDORES[[#This Row],[base retencion]],0,PROVEEDORES[[#This Row],[retención aplicada]])</f>
        <v>0</v>
      </c>
      <c r="Q2156" s="22">
        <f>+PROVEEDORES[[#This Row],[Rete Fuente %]]*(PROVEEDORES[[#This Row],[SUBTOTAL]]-PROVEEDORES[[#This Row],[descuento sobre subtotal]])</f>
        <v>0</v>
      </c>
      <c r="R2156" s="21">
        <f>+PROVEEDORES[[#This Row],[SUBTOTAL]]+PROVEEDORES[[#This Row],[IVA 19%]]-PROVEEDORES[[#This Row],[descuento sobre subtotal]]-PROVEEDORES[[#This Row],[Descuento sobre subtotal $2]]-PROVEEDORES[[#This Row],[Rete Fuente $]]</f>
        <v>7880</v>
      </c>
      <c r="S21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6" s="63">
        <f ca="1">IF(PROVEEDORES[[#This Row],[FECHA DE PAGO]]=0,TODAY()-PROVEEDORES[[#This Row],[FECHA DE FACTURACIÓN]]-PROVEEDORES[[#This Row],[PLAZO Días]],0)</f>
        <v>0</v>
      </c>
      <c r="U2156" s="104">
        <f>+VLOOKUP(PROVEEDORES[[#This Row],[PROVEEDOR]],Terceros!$A:$D,4,FALSE)</f>
        <v>0</v>
      </c>
      <c r="V2156" s="105">
        <f>+YEAR(PROVEEDORES[[#This Row],[FECHA DE FACTURACIÓN]])</f>
        <v>2023</v>
      </c>
      <c r="W2156" s="105">
        <f>+MATCH(PROVEEDORES[[#This Row],[año facturado]],Retenciones!$1:$1,0)</f>
        <v>6</v>
      </c>
      <c r="X2156" s="106">
        <f>+VLOOKUP(PROVEEDORES[[#This Row],[ID RETENCION]],Retenciones!$A$1:$O$25,PROVEEDORES[[#This Row],[indicador de columna]],FALSE)</f>
        <v>0</v>
      </c>
      <c r="Y2156" s="107">
        <f>+VLOOKUP(PROVEEDORES[[#This Row],[ID RETENCION]],Retenciones!$A$1:$O$25,2,FALSE)</f>
        <v>0</v>
      </c>
      <c r="Z2156" s="116" t="b">
        <f>OR(COUNTIF(PROVEEDORES[[#This Row],[PROVEEDOR]],"*"&amp;'Palabra no opera'!$A$2&amp;"*"))</f>
        <v>0</v>
      </c>
    </row>
    <row r="2157" spans="1:26" ht="22.35" customHeight="1" x14ac:dyDescent="0.3">
      <c r="A2157" s="67" t="str">
        <f>+IF(PROVEEDORES[[#This Row],[FECHA DE PAGO]]=PROVEEDORES[[#This Row],[FECHA DE FACTURACIÓN]],"DE CONTADO","CRÉDITO")</f>
        <v>CRÉDITO</v>
      </c>
      <c r="B2157" s="38" t="str">
        <f>+IF((PROVEEDORES[[#This Row],[FECHA DE PAGO]]-PROVEEDORES[[#This Row],[FECHA DE FACTURACIÓN]])&gt;PROVEEDORES[[#This Row],[PLAZO Días]],"PAGO VENCIDO")</f>
        <v>PAGO VENCIDO</v>
      </c>
      <c r="C2157" s="20">
        <f>+VLOOKUP(PROVEEDORES[[#This Row],[PROVEEDOR]],TERCEROS_INFO[#All],2,FALSE)</f>
        <v>45</v>
      </c>
      <c r="D2157" s="25">
        <f>+SUMIFS(PROVEEDORES[Total],PROVEEDORES[PROVEEDOR],PROVEEDORES[[#This Row],[PROVEEDOR]],PROVEEDORES[FECHA DE PAGO],"")</f>
        <v>15770594</v>
      </c>
      <c r="E2157" s="25"/>
      <c r="F215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157" s="68">
        <v>45251</v>
      </c>
      <c r="H2157" s="26" t="s">
        <v>19</v>
      </c>
      <c r="I2157" s="68">
        <v>45197</v>
      </c>
      <c r="J2157" s="35" t="s">
        <v>1980</v>
      </c>
      <c r="K2157" s="21">
        <v>12678160</v>
      </c>
      <c r="L2157" s="21"/>
      <c r="M2157" s="22">
        <f>(PROVEEDORES[[#This Row],[SUBTOTAL]]-PROVEEDORES[[#This Row],[descuento sobre subtotal]])*VLOOKUP(PROVEEDORES[[#This Row],[PROVEEDOR]],TERCEROS_INFO[#All],3,FALSE)</f>
        <v>2408850.4</v>
      </c>
      <c r="N2157" s="23"/>
      <c r="O2157" s="22">
        <f>+PROVEEDORES[[#This Row],[Descuento sobre subtotal %]]*(PROVEEDORES[[#This Row],[SUBTOTAL]]-PROVEEDORES[[#This Row],[descuento sobre subtotal]])</f>
        <v>0</v>
      </c>
      <c r="P2157" s="74">
        <f>+IF(PROVEEDORES[[#This Row],[SUBTOTAL]]&lt;PROVEEDORES[[#This Row],[base retencion]],0,PROVEEDORES[[#This Row],[retención aplicada]])</f>
        <v>0</v>
      </c>
      <c r="Q2157" s="22">
        <f>+PROVEEDORES[[#This Row],[Rete Fuente %]]*(PROVEEDORES[[#This Row],[SUBTOTAL]]-PROVEEDORES[[#This Row],[descuento sobre subtotal]])</f>
        <v>0</v>
      </c>
      <c r="R2157" s="21">
        <f>+PROVEEDORES[[#This Row],[SUBTOTAL]]+PROVEEDORES[[#This Row],[IVA 19%]]-PROVEEDORES[[#This Row],[descuento sobre subtotal]]-PROVEEDORES[[#This Row],[Descuento sobre subtotal $2]]-PROVEEDORES[[#This Row],[Rete Fuente $]]</f>
        <v>15087010.4</v>
      </c>
      <c r="S21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7" s="63">
        <f ca="1">IF(PROVEEDORES[[#This Row],[FECHA DE PAGO]]=0,TODAY()-PROVEEDORES[[#This Row],[FECHA DE FACTURACIÓN]]-PROVEEDORES[[#This Row],[PLAZO Días]],0)</f>
        <v>0</v>
      </c>
      <c r="U2157" s="104">
        <f>+VLOOKUP(PROVEEDORES[[#This Row],[PROVEEDOR]],Terceros!$A:$D,4,FALSE)</f>
        <v>0</v>
      </c>
      <c r="V2157" s="105">
        <f>+YEAR(PROVEEDORES[[#This Row],[FECHA DE FACTURACIÓN]])</f>
        <v>2023</v>
      </c>
      <c r="W2157" s="105">
        <f>+MATCH(PROVEEDORES[[#This Row],[año facturado]],Retenciones!$1:$1,0)</f>
        <v>6</v>
      </c>
      <c r="X2157" s="106">
        <f>+VLOOKUP(PROVEEDORES[[#This Row],[ID RETENCION]],Retenciones!$A$1:$O$25,PROVEEDORES[[#This Row],[indicador de columna]],FALSE)</f>
        <v>0</v>
      </c>
      <c r="Y2157" s="107">
        <f>+VLOOKUP(PROVEEDORES[[#This Row],[ID RETENCION]],Retenciones!$A$1:$O$25,2,FALSE)</f>
        <v>0</v>
      </c>
      <c r="Z2157" s="116" t="b">
        <f>OR(COUNTIF(PROVEEDORES[[#This Row],[PROVEEDOR]],"*"&amp;'Palabra no opera'!$A$2&amp;"*"))</f>
        <v>0</v>
      </c>
    </row>
    <row r="2158" spans="1:26" ht="22.35" customHeight="1" x14ac:dyDescent="0.3">
      <c r="A2158" s="67" t="str">
        <f>+IF(PROVEEDORES[[#This Row],[FECHA DE PAGO]]=PROVEEDORES[[#This Row],[FECHA DE FACTURACIÓN]],"DE CONTADO","CRÉDITO")</f>
        <v>CRÉDITO</v>
      </c>
      <c r="B2158" s="38" t="str">
        <f>+IF((PROVEEDORES[[#This Row],[FECHA DE PAGO]]-PROVEEDORES[[#This Row],[FECHA DE FACTURACIÓN]])&gt;PROVEEDORES[[#This Row],[PLAZO Días]],"PAGO VENCIDO")</f>
        <v>PAGO VENCIDO</v>
      </c>
      <c r="C2158" s="20">
        <f>+VLOOKUP(PROVEEDORES[[#This Row],[PROVEEDOR]],TERCEROS_INFO[#All],2,FALSE)</f>
        <v>45</v>
      </c>
      <c r="D2158" s="25">
        <f>+SUMIFS(PROVEEDORES[Total],PROVEEDORES[PROVEEDOR],PROVEEDORES[[#This Row],[PROVEEDOR]],PROVEEDORES[FECHA DE PAGO],"")</f>
        <v>15770594</v>
      </c>
      <c r="E2158" s="25"/>
      <c r="F215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158" s="68">
        <v>45251</v>
      </c>
      <c r="H2158" s="26" t="s">
        <v>19</v>
      </c>
      <c r="I2158" s="68">
        <v>45198</v>
      </c>
      <c r="J2158" s="35" t="s">
        <v>1978</v>
      </c>
      <c r="K2158" s="21">
        <v>814720</v>
      </c>
      <c r="L2158" s="21"/>
      <c r="M2158" s="22">
        <f>(PROVEEDORES[[#This Row],[SUBTOTAL]]-PROVEEDORES[[#This Row],[descuento sobre subtotal]])*VLOOKUP(PROVEEDORES[[#This Row],[PROVEEDOR]],TERCEROS_INFO[#All],3,FALSE)</f>
        <v>154796.79999999999</v>
      </c>
      <c r="N2158" s="23"/>
      <c r="O2158" s="22">
        <f>+PROVEEDORES[[#This Row],[Descuento sobre subtotal %]]*(PROVEEDORES[[#This Row],[SUBTOTAL]]-PROVEEDORES[[#This Row],[descuento sobre subtotal]])</f>
        <v>0</v>
      </c>
      <c r="P2158" s="74">
        <f>+IF(PROVEEDORES[[#This Row],[SUBTOTAL]]&lt;PROVEEDORES[[#This Row],[base retencion]],0,PROVEEDORES[[#This Row],[retención aplicada]])</f>
        <v>0</v>
      </c>
      <c r="Q2158" s="22">
        <f>+PROVEEDORES[[#This Row],[Rete Fuente %]]*(PROVEEDORES[[#This Row],[SUBTOTAL]]-PROVEEDORES[[#This Row],[descuento sobre subtotal]])</f>
        <v>0</v>
      </c>
      <c r="R2158" s="21">
        <f>+PROVEEDORES[[#This Row],[SUBTOTAL]]+PROVEEDORES[[#This Row],[IVA 19%]]-PROVEEDORES[[#This Row],[descuento sobre subtotal]]-PROVEEDORES[[#This Row],[Descuento sobre subtotal $2]]-PROVEEDORES[[#This Row],[Rete Fuente $]]</f>
        <v>969516.8</v>
      </c>
      <c r="S21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8" s="63">
        <f ca="1">IF(PROVEEDORES[[#This Row],[FECHA DE PAGO]]=0,TODAY()-PROVEEDORES[[#This Row],[FECHA DE FACTURACIÓN]]-PROVEEDORES[[#This Row],[PLAZO Días]],0)</f>
        <v>0</v>
      </c>
      <c r="U2158" s="104">
        <f>+VLOOKUP(PROVEEDORES[[#This Row],[PROVEEDOR]],Terceros!$A:$D,4,FALSE)</f>
        <v>0</v>
      </c>
      <c r="V2158" s="105">
        <f>+YEAR(PROVEEDORES[[#This Row],[FECHA DE FACTURACIÓN]])</f>
        <v>2023</v>
      </c>
      <c r="W2158" s="105">
        <f>+MATCH(PROVEEDORES[[#This Row],[año facturado]],Retenciones!$1:$1,0)</f>
        <v>6</v>
      </c>
      <c r="X2158" s="106">
        <f>+VLOOKUP(PROVEEDORES[[#This Row],[ID RETENCION]],Retenciones!$A$1:$O$25,PROVEEDORES[[#This Row],[indicador de columna]],FALSE)</f>
        <v>0</v>
      </c>
      <c r="Y2158" s="107">
        <f>+VLOOKUP(PROVEEDORES[[#This Row],[ID RETENCION]],Retenciones!$A$1:$O$25,2,FALSE)</f>
        <v>0</v>
      </c>
      <c r="Z2158" s="116" t="b">
        <f>OR(COUNTIF(PROVEEDORES[[#This Row],[PROVEEDOR]],"*"&amp;'Palabra no opera'!$A$2&amp;"*"))</f>
        <v>0</v>
      </c>
    </row>
    <row r="2159" spans="1:26" ht="22.35" customHeight="1" x14ac:dyDescent="0.3">
      <c r="A2159" s="67" t="str">
        <f>+IF(PROVEEDORES[[#This Row],[FECHA DE PAGO]]=PROVEEDORES[[#This Row],[FECHA DE FACTURACIÓN]],"DE CONTADO","CRÉDITO")</f>
        <v>CRÉDITO</v>
      </c>
      <c r="B2159" s="38" t="str">
        <f>+IF((PROVEEDORES[[#This Row],[FECHA DE PAGO]]-PROVEEDORES[[#This Row],[FECHA DE FACTURACIÓN]])&gt;PROVEEDORES[[#This Row],[PLAZO Días]],"PAGO VENCIDO")</f>
        <v>PAGO VENCIDO</v>
      </c>
      <c r="C2159" s="20">
        <f>+VLOOKUP(PROVEEDORES[[#This Row],[PROVEEDOR]],TERCEROS_INFO[#All],2,FALSE)</f>
        <v>30</v>
      </c>
      <c r="D2159" s="25">
        <f>+SUMIFS(PROVEEDORES[Total],PROVEEDORES[PROVEEDOR],PROVEEDORES[[#This Row],[PROVEEDOR]],PROVEEDORES[FECHA DE PAGO],"")</f>
        <v>0</v>
      </c>
      <c r="E2159" s="25"/>
      <c r="F2159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59" s="68">
        <v>45251</v>
      </c>
      <c r="H2159" s="26" t="s">
        <v>1069</v>
      </c>
      <c r="I2159" s="68">
        <v>45216</v>
      </c>
      <c r="J2159" s="35" t="s">
        <v>2089</v>
      </c>
      <c r="K2159" s="21">
        <v>884121</v>
      </c>
      <c r="L2159" s="21"/>
      <c r="M2159" s="22">
        <f>(PROVEEDORES[[#This Row],[SUBTOTAL]]-PROVEEDORES[[#This Row],[descuento sobre subtotal]])*VLOOKUP(PROVEEDORES[[#This Row],[PROVEEDOR]],TERCEROS_INFO[#All],3,FALSE)</f>
        <v>167982.99</v>
      </c>
      <c r="N2159" s="23"/>
      <c r="O2159" s="22">
        <f>+PROVEEDORES[[#This Row],[Descuento sobre subtotal %]]*(PROVEEDORES[[#This Row],[SUBTOTAL]]-PROVEEDORES[[#This Row],[descuento sobre subtotal]])</f>
        <v>0</v>
      </c>
      <c r="P2159" s="74">
        <f>+IF(PROVEEDORES[[#This Row],[SUBTOTAL]]&lt;PROVEEDORES[[#This Row],[base retencion]],0,PROVEEDORES[[#This Row],[retención aplicada]])</f>
        <v>0</v>
      </c>
      <c r="Q2159" s="22">
        <f>+PROVEEDORES[[#This Row],[Rete Fuente %]]*(PROVEEDORES[[#This Row],[SUBTOTAL]]-PROVEEDORES[[#This Row],[descuento sobre subtotal]])</f>
        <v>0</v>
      </c>
      <c r="R2159" s="21">
        <f>+PROVEEDORES[[#This Row],[SUBTOTAL]]+PROVEEDORES[[#This Row],[IVA 19%]]-PROVEEDORES[[#This Row],[descuento sobre subtotal]]-PROVEEDORES[[#This Row],[Descuento sobre subtotal $2]]-PROVEEDORES[[#This Row],[Rete Fuente $]]</f>
        <v>1052103.99</v>
      </c>
      <c r="S21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9" s="63">
        <f ca="1">IF(PROVEEDORES[[#This Row],[FECHA DE PAGO]]=0,TODAY()-PROVEEDORES[[#This Row],[FECHA DE FACTURACIÓN]]-PROVEEDORES[[#This Row],[PLAZO Días]],0)</f>
        <v>0</v>
      </c>
      <c r="U2159" s="104" t="str">
        <f>+VLOOKUP(PROVEEDORES[[#This Row],[PROVEEDOR]],Terceros!$A:$D,4,FALSE)</f>
        <v>2,5% con base</v>
      </c>
      <c r="V2159" s="105">
        <f>+YEAR(PROVEEDORES[[#This Row],[FECHA DE FACTURACIÓN]])</f>
        <v>2023</v>
      </c>
      <c r="W2159" s="105">
        <f>+MATCH(PROVEEDORES[[#This Row],[año facturado]],Retenciones!$1:$1,0)</f>
        <v>6</v>
      </c>
      <c r="X2159" s="106">
        <f>+VLOOKUP(PROVEEDORES[[#This Row],[ID RETENCION]],Retenciones!$A$1:$O$25,PROVEEDORES[[#This Row],[indicador de columna]],FALSE)</f>
        <v>1145000</v>
      </c>
      <c r="Y2159" s="107">
        <f>+VLOOKUP(PROVEEDORES[[#This Row],[ID RETENCION]],Retenciones!$A$1:$O$25,2,FALSE)</f>
        <v>2.5000000000000001E-2</v>
      </c>
      <c r="Z2159" s="116" t="b">
        <f>OR(COUNTIF(PROVEEDORES[[#This Row],[PROVEEDOR]],"*"&amp;'Palabra no opera'!$A$2&amp;"*"))</f>
        <v>0</v>
      </c>
    </row>
    <row r="2160" spans="1:26" ht="22.35" customHeight="1" x14ac:dyDescent="0.3">
      <c r="A2160" s="383" t="str">
        <f>+IF(PROVEEDORES[[#This Row],[FECHA DE PAGO]]=PROVEEDORES[[#This Row],[FECHA DE FACTURACIÓN]],"DE CONTADO","CRÉDITO")</f>
        <v>DE CONTADO</v>
      </c>
      <c r="B2160" s="38" t="b">
        <f>+IF((PROVEEDORES[[#This Row],[FECHA DE PAGO]]-PROVEEDORES[[#This Row],[FECHA DE FACTURACIÓN]])&gt;PROVEEDORES[[#This Row],[PLAZO Días]],"PAGO VENCIDO")</f>
        <v>0</v>
      </c>
      <c r="C2160" s="20">
        <f>+VLOOKUP(PROVEEDORES[[#This Row],[PROVEEDOR]],TERCEROS_INFO[#All],2,FALSE)</f>
        <v>30</v>
      </c>
      <c r="D2160" s="25">
        <f>+SUMIFS(PROVEEDORES[Total],PROVEEDORES[PROVEEDOR],PROVEEDORES[[#This Row],[PROVEEDOR]],PROVEEDORES[FECHA DE PAGO],"")</f>
        <v>27189617.395</v>
      </c>
      <c r="E2160" s="25"/>
      <c r="F2160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160" s="68">
        <v>45252</v>
      </c>
      <c r="H2160" s="26" t="s">
        <v>77</v>
      </c>
      <c r="I2160" s="68">
        <v>45252</v>
      </c>
      <c r="J2160" s="35" t="s">
        <v>2146</v>
      </c>
      <c r="K2160" s="21">
        <v>-2100840</v>
      </c>
      <c r="L2160" s="21"/>
      <c r="M2160" s="22">
        <f>(PROVEEDORES[[#This Row],[SUBTOTAL]]-PROVEEDORES[[#This Row],[descuento sobre subtotal]])*VLOOKUP(PROVEEDORES[[#This Row],[PROVEEDOR]],TERCEROS_INFO[#All],3,FALSE)</f>
        <v>-399159.6</v>
      </c>
      <c r="N2160" s="23"/>
      <c r="O2160" s="22">
        <f>+PROVEEDORES[[#This Row],[Descuento sobre subtotal %]]*(PROVEEDORES[[#This Row],[SUBTOTAL]]-PROVEEDORES[[#This Row],[descuento sobre subtotal]])</f>
        <v>0</v>
      </c>
      <c r="P2160" s="74">
        <f>+IF(PROVEEDORES[[#This Row],[SUBTOTAL]]&lt;PROVEEDORES[[#This Row],[base retencion]],0,PROVEEDORES[[#This Row],[retención aplicada]])</f>
        <v>0</v>
      </c>
      <c r="Q2160" s="22">
        <f>+PROVEEDORES[[#This Row],[Rete Fuente %]]*(PROVEEDORES[[#This Row],[SUBTOTAL]]-PROVEEDORES[[#This Row],[descuento sobre subtotal]])</f>
        <v>0</v>
      </c>
      <c r="R2160" s="21">
        <f>+PROVEEDORES[[#This Row],[SUBTOTAL]]+PROVEEDORES[[#This Row],[IVA 19%]]-PROVEEDORES[[#This Row],[descuento sobre subtotal]]-PROVEEDORES[[#This Row],[Descuento sobre subtotal $2]]-PROVEEDORES[[#This Row],[Rete Fuente $]]</f>
        <v>-2499999.6</v>
      </c>
      <c r="S2160" s="38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0" s="63">
        <f ca="1">IF(PROVEEDORES[[#This Row],[FECHA DE PAGO]]=0,TODAY()-PROVEEDORES[[#This Row],[FECHA DE FACTURACIÓN]]-PROVEEDORES[[#This Row],[PLAZO Días]],0)</f>
        <v>0</v>
      </c>
      <c r="U2160" s="104" t="str">
        <f>+VLOOKUP(PROVEEDORES[[#This Row],[PROVEEDOR]],Terceros!$A:$D,4,FALSE)</f>
        <v>2,5% con base</v>
      </c>
      <c r="V2160" s="105">
        <f>+YEAR(PROVEEDORES[[#This Row],[FECHA DE FACTURACIÓN]])</f>
        <v>2023</v>
      </c>
      <c r="W2160" s="105">
        <f>+MATCH(PROVEEDORES[[#This Row],[año facturado]],Retenciones!$1:$1,0)</f>
        <v>6</v>
      </c>
      <c r="X2160" s="106">
        <f>+VLOOKUP(PROVEEDORES[[#This Row],[ID RETENCION]],Retenciones!$A$1:$O$25,PROVEEDORES[[#This Row],[indicador de columna]],FALSE)</f>
        <v>1145000</v>
      </c>
      <c r="Y2160" s="107">
        <f>+VLOOKUP(PROVEEDORES[[#This Row],[ID RETENCION]],Retenciones!$A$1:$O$25,2,FALSE)</f>
        <v>2.5000000000000001E-2</v>
      </c>
      <c r="Z2160" s="116" t="b">
        <f>OR(COUNTIF(PROVEEDORES[[#This Row],[PROVEEDOR]],"*"&amp;'Palabra no opera'!$A$2&amp;"*"))</f>
        <v>0</v>
      </c>
    </row>
    <row r="2161" spans="1:26" ht="22.35" customHeight="1" x14ac:dyDescent="0.3">
      <c r="A2161" s="67" t="str">
        <f>+IF(PROVEEDORES[[#This Row],[FECHA DE PAGO]]=PROVEEDORES[[#This Row],[FECHA DE FACTURACIÓN]],"DE CONTADO","CRÉDITO")</f>
        <v>DE CONTADO</v>
      </c>
      <c r="B2161" s="38" t="b">
        <f>+IF((PROVEEDORES[[#This Row],[FECHA DE PAGO]]-PROVEEDORES[[#This Row],[FECHA DE FACTURACIÓN]])&gt;PROVEEDORES[[#This Row],[PLAZO Días]],"PAGO VENCIDO")</f>
        <v>0</v>
      </c>
      <c r="C2161" s="20">
        <f>+VLOOKUP(PROVEEDORES[[#This Row],[PROVEEDOR]],TERCEROS_INFO[#All],2,FALSE)</f>
        <v>30</v>
      </c>
      <c r="D2161" s="25">
        <f>+SUMIFS(PROVEEDORES[Total],PROVEEDORES[PROVEEDOR],PROVEEDORES[[#This Row],[PROVEEDOR]],PROVEEDORES[FECHA DE PAGO],"")</f>
        <v>0</v>
      </c>
      <c r="E2161" s="25"/>
      <c r="F2161" s="56" t="str">
        <f>+VLOOKUP(PROVEEDORES[[#This Row],[PROVEEDOR]],
                       Terceros!$A:$F,
                       5,
                       FALSE)</f>
        <v/>
      </c>
      <c r="G2161" s="68">
        <v>45253</v>
      </c>
      <c r="H2161" s="26" t="s">
        <v>1194</v>
      </c>
      <c r="I2161" s="68">
        <v>45253</v>
      </c>
      <c r="J2161" s="35" t="s">
        <v>2202</v>
      </c>
      <c r="K2161" s="21">
        <v>730000</v>
      </c>
      <c r="L2161" s="21"/>
      <c r="M2161" s="22">
        <f>(PROVEEDORES[[#This Row],[SUBTOTAL]]-PROVEEDORES[[#This Row],[descuento sobre subtotal]])*VLOOKUP(PROVEEDORES[[#This Row],[PROVEEDOR]],TERCEROS_INFO[#All],3,FALSE)</f>
        <v>0</v>
      </c>
      <c r="N2161" s="23"/>
      <c r="O2161" s="22">
        <f>+PROVEEDORES[[#This Row],[Descuento sobre subtotal %]]*(PROVEEDORES[[#This Row],[SUBTOTAL]]-PROVEEDORES[[#This Row],[descuento sobre subtotal]])</f>
        <v>0</v>
      </c>
      <c r="P2161" s="74">
        <f>+IF(PROVEEDORES[[#This Row],[SUBTOTAL]]&lt;PROVEEDORES[[#This Row],[base retencion]],0,PROVEEDORES[[#This Row],[retención aplicada]])</f>
        <v>0</v>
      </c>
      <c r="Q2161" s="22">
        <f>+PROVEEDORES[[#This Row],[Rete Fuente %]]*(PROVEEDORES[[#This Row],[SUBTOTAL]]-PROVEEDORES[[#This Row],[descuento sobre subtotal]])</f>
        <v>0</v>
      </c>
      <c r="R2161" s="21">
        <f>+PROVEEDORES[[#This Row],[SUBTOTAL]]+PROVEEDORES[[#This Row],[IVA 19%]]-PROVEEDORES[[#This Row],[descuento sobre subtotal]]-PROVEEDORES[[#This Row],[Descuento sobre subtotal $2]]-PROVEEDORES[[#This Row],[Rete Fuente $]]</f>
        <v>730000</v>
      </c>
      <c r="S216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1" s="63">
        <f ca="1">IF(PROVEEDORES[[#This Row],[FECHA DE PAGO]]=0,TODAY()-PROVEEDORES[[#This Row],[FECHA DE FACTURACIÓN]]-PROVEEDORES[[#This Row],[PLAZO Días]],0)</f>
        <v>0</v>
      </c>
      <c r="U2161" s="104">
        <f>+VLOOKUP(PROVEEDORES[[#This Row],[PROVEEDOR]],Terceros!$A:$D,4,FALSE)</f>
        <v>0</v>
      </c>
      <c r="V2161" s="105">
        <f>+YEAR(PROVEEDORES[[#This Row],[FECHA DE FACTURACIÓN]])</f>
        <v>2023</v>
      </c>
      <c r="W2161" s="105">
        <f>+MATCH(PROVEEDORES[[#This Row],[año facturado]],Retenciones!$1:$1,0)</f>
        <v>6</v>
      </c>
      <c r="X2161" s="106">
        <f>+VLOOKUP(PROVEEDORES[[#This Row],[ID RETENCION]],Retenciones!$A$1:$O$25,PROVEEDORES[[#This Row],[indicador de columna]],FALSE)</f>
        <v>0</v>
      </c>
      <c r="Y2161" s="107">
        <f>+VLOOKUP(PROVEEDORES[[#This Row],[ID RETENCION]],Retenciones!$A$1:$O$25,2,FALSE)</f>
        <v>0</v>
      </c>
      <c r="Z2161" s="116" t="b">
        <f>OR(COUNTIF(PROVEEDORES[[#This Row],[PROVEEDOR]],"*"&amp;'Palabra no opera'!$A$2&amp;"*"))</f>
        <v>0</v>
      </c>
    </row>
    <row r="2162" spans="1:26" ht="22.35" customHeight="1" x14ac:dyDescent="0.3">
      <c r="A2162" s="67" t="str">
        <f>+IF(PROVEEDORES[[#This Row],[FECHA DE PAGO]]=PROVEEDORES[[#This Row],[FECHA DE FACTURACIÓN]],"DE CONTADO","CRÉDITO")</f>
        <v>CRÉDITO</v>
      </c>
      <c r="B2162" s="38" t="b">
        <f>+IF((PROVEEDORES[[#This Row],[FECHA DE PAGO]]-PROVEEDORES[[#This Row],[FECHA DE FACTURACIÓN]])&gt;PROVEEDORES[[#This Row],[PLAZO Días]],"PAGO VENCIDO")</f>
        <v>0</v>
      </c>
      <c r="C2162" s="20">
        <f>+VLOOKUP(PROVEEDORES[[#This Row],[PROVEEDOR]],TERCEROS_INFO[#All],2,FALSE)</f>
        <v>30</v>
      </c>
      <c r="D2162" s="25">
        <f>+SUMIFS(PROVEEDORES[Total],PROVEEDORES[PROVEEDOR],PROVEEDORES[[#This Row],[PROVEEDOR]],PROVEEDORES[FECHA DE PAGO],"")</f>
        <v>0</v>
      </c>
      <c r="E2162" s="25"/>
      <c r="F2162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2162" s="68">
        <v>45253</v>
      </c>
      <c r="H2162" s="26" t="s">
        <v>2038</v>
      </c>
      <c r="I2162" s="68">
        <v>45252</v>
      </c>
      <c r="J2162" s="35" t="s">
        <v>2149</v>
      </c>
      <c r="K2162" s="21">
        <v>897647</v>
      </c>
      <c r="L2162" s="21"/>
      <c r="M2162" s="22">
        <f>(PROVEEDORES[[#This Row],[SUBTOTAL]]-PROVEEDORES[[#This Row],[descuento sobre subtotal]])*VLOOKUP(PROVEEDORES[[#This Row],[PROVEEDOR]],TERCEROS_INFO[#All],3,FALSE)</f>
        <v>170552.93</v>
      </c>
      <c r="N2162" s="23"/>
      <c r="O2162" s="22">
        <f>+PROVEEDORES[[#This Row],[Descuento sobre subtotal %]]*(PROVEEDORES[[#This Row],[SUBTOTAL]]-PROVEEDORES[[#This Row],[descuento sobre subtotal]])</f>
        <v>0</v>
      </c>
      <c r="P2162" s="74">
        <f>+IF(PROVEEDORES[[#This Row],[SUBTOTAL]]&lt;PROVEEDORES[[#This Row],[base retencion]],0,PROVEEDORES[[#This Row],[retención aplicada]])</f>
        <v>0</v>
      </c>
      <c r="Q2162" s="22">
        <f>+PROVEEDORES[[#This Row],[Rete Fuente %]]*(PROVEEDORES[[#This Row],[SUBTOTAL]]-PROVEEDORES[[#This Row],[descuento sobre subtotal]])</f>
        <v>0</v>
      </c>
      <c r="R2162" s="21">
        <f>+PROVEEDORES[[#This Row],[SUBTOTAL]]+PROVEEDORES[[#This Row],[IVA 19%]]-PROVEEDORES[[#This Row],[descuento sobre subtotal]]-PROVEEDORES[[#This Row],[Descuento sobre subtotal $2]]-PROVEEDORES[[#This Row],[Rete Fuente $]]</f>
        <v>1068199.93</v>
      </c>
      <c r="S216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2" s="63">
        <f ca="1">IF(PROVEEDORES[[#This Row],[FECHA DE PAGO]]=0,TODAY()-PROVEEDORES[[#This Row],[FECHA DE FACTURACIÓN]]-PROVEEDORES[[#This Row],[PLAZO Días]],0)</f>
        <v>0</v>
      </c>
      <c r="U2162" s="104" t="str">
        <f>+VLOOKUP(PROVEEDORES[[#This Row],[PROVEEDOR]],Terceros!$A:$D,4,FALSE)</f>
        <v>2,5% con base</v>
      </c>
      <c r="V2162" s="105">
        <f>+YEAR(PROVEEDORES[[#This Row],[FECHA DE FACTURACIÓN]])</f>
        <v>2023</v>
      </c>
      <c r="W2162" s="105">
        <f>+MATCH(PROVEEDORES[[#This Row],[año facturado]],Retenciones!$1:$1,0)</f>
        <v>6</v>
      </c>
      <c r="X2162" s="106">
        <f>+VLOOKUP(PROVEEDORES[[#This Row],[ID RETENCION]],Retenciones!$A$1:$O$25,PROVEEDORES[[#This Row],[indicador de columna]],FALSE)</f>
        <v>1145000</v>
      </c>
      <c r="Y2162" s="107">
        <f>+VLOOKUP(PROVEEDORES[[#This Row],[ID RETENCION]],Retenciones!$A$1:$O$25,2,FALSE)</f>
        <v>2.5000000000000001E-2</v>
      </c>
      <c r="Z2162" s="116" t="b">
        <f>OR(COUNTIF(PROVEEDORES[[#This Row],[PROVEEDOR]],"*"&amp;'Palabra no opera'!$A$2&amp;"*"))</f>
        <v>0</v>
      </c>
    </row>
    <row r="2163" spans="1:26" ht="22.35" customHeight="1" x14ac:dyDescent="0.3">
      <c r="A2163" s="67" t="str">
        <f>+IF(PROVEEDORES[[#This Row],[FECHA DE PAGO]]=PROVEEDORES[[#This Row],[FECHA DE FACTURACIÓN]],"DE CONTADO","CRÉDITO")</f>
        <v>CRÉDITO</v>
      </c>
      <c r="B2163" s="38" t="b">
        <f>+IF((PROVEEDORES[[#This Row],[FECHA DE PAGO]]-PROVEEDORES[[#This Row],[FECHA DE FACTURACIÓN]])&gt;PROVEEDORES[[#This Row],[PLAZO Días]],"PAGO VENCIDO")</f>
        <v>0</v>
      </c>
      <c r="C2163" s="20">
        <f>+VLOOKUP(PROVEEDORES[[#This Row],[PROVEEDOR]],TERCEROS_INFO[#All],2,FALSE)</f>
        <v>30</v>
      </c>
      <c r="D2163" s="25">
        <f>+SUMIFS(PROVEEDORES[Total],PROVEEDORES[PROVEEDOR],PROVEEDORES[[#This Row],[PROVEEDOR]],PROVEEDORES[FECHA DE PAGO],"")</f>
        <v>0</v>
      </c>
      <c r="E2163" s="25"/>
      <c r="F2163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2163" s="68">
        <v>45253</v>
      </c>
      <c r="H2163" s="26" t="s">
        <v>2038</v>
      </c>
      <c r="I2163" s="68">
        <v>45252</v>
      </c>
      <c r="J2163" s="35" t="s">
        <v>2150</v>
      </c>
      <c r="K2163" s="21">
        <v>41008</v>
      </c>
      <c r="L2163" s="21"/>
      <c r="M2163" s="22">
        <f>(PROVEEDORES[[#This Row],[SUBTOTAL]]-PROVEEDORES[[#This Row],[descuento sobre subtotal]])*VLOOKUP(PROVEEDORES[[#This Row],[PROVEEDOR]],TERCEROS_INFO[#All],3,FALSE)</f>
        <v>7791.52</v>
      </c>
      <c r="N2163" s="23"/>
      <c r="O2163" s="22">
        <f>+PROVEEDORES[[#This Row],[Descuento sobre subtotal %]]*(PROVEEDORES[[#This Row],[SUBTOTAL]]-PROVEEDORES[[#This Row],[descuento sobre subtotal]])</f>
        <v>0</v>
      </c>
      <c r="P2163" s="74">
        <f>+IF(PROVEEDORES[[#This Row],[SUBTOTAL]]&lt;PROVEEDORES[[#This Row],[base retencion]],0,PROVEEDORES[[#This Row],[retención aplicada]])</f>
        <v>0</v>
      </c>
      <c r="Q2163" s="22">
        <f>+PROVEEDORES[[#This Row],[Rete Fuente %]]*(PROVEEDORES[[#This Row],[SUBTOTAL]]-PROVEEDORES[[#This Row],[descuento sobre subtotal]])</f>
        <v>0</v>
      </c>
      <c r="R2163" s="21">
        <f>+PROVEEDORES[[#This Row],[SUBTOTAL]]+PROVEEDORES[[#This Row],[IVA 19%]]-PROVEEDORES[[#This Row],[descuento sobre subtotal]]-PROVEEDORES[[#This Row],[Descuento sobre subtotal $2]]-PROVEEDORES[[#This Row],[Rete Fuente $]]</f>
        <v>48799.520000000004</v>
      </c>
      <c r="S216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3" s="63">
        <f ca="1">IF(PROVEEDORES[[#This Row],[FECHA DE PAGO]]=0,TODAY()-PROVEEDORES[[#This Row],[FECHA DE FACTURACIÓN]]-PROVEEDORES[[#This Row],[PLAZO Días]],0)</f>
        <v>0</v>
      </c>
      <c r="U2163" s="104" t="str">
        <f>+VLOOKUP(PROVEEDORES[[#This Row],[PROVEEDOR]],Terceros!$A:$D,4,FALSE)</f>
        <v>2,5% con base</v>
      </c>
      <c r="V2163" s="105">
        <f>+YEAR(PROVEEDORES[[#This Row],[FECHA DE FACTURACIÓN]])</f>
        <v>2023</v>
      </c>
      <c r="W2163" s="105">
        <f>+MATCH(PROVEEDORES[[#This Row],[año facturado]],Retenciones!$1:$1,0)</f>
        <v>6</v>
      </c>
      <c r="X2163" s="106">
        <f>+VLOOKUP(PROVEEDORES[[#This Row],[ID RETENCION]],Retenciones!$A$1:$O$25,PROVEEDORES[[#This Row],[indicador de columna]],FALSE)</f>
        <v>1145000</v>
      </c>
      <c r="Y2163" s="107">
        <f>+VLOOKUP(PROVEEDORES[[#This Row],[ID RETENCION]],Retenciones!$A$1:$O$25,2,FALSE)</f>
        <v>2.5000000000000001E-2</v>
      </c>
      <c r="Z2163" s="116" t="b">
        <f>OR(COUNTIF(PROVEEDORES[[#This Row],[PROVEEDOR]],"*"&amp;'Palabra no opera'!$A$2&amp;"*"))</f>
        <v>0</v>
      </c>
    </row>
    <row r="2164" spans="1:26" ht="22.35" customHeight="1" x14ac:dyDescent="0.3">
      <c r="A2164" s="67" t="str">
        <f>+IF(PROVEEDORES[[#This Row],[FECHA DE PAGO]]=PROVEEDORES[[#This Row],[FECHA DE FACTURACIÓN]],"DE CONTADO","CRÉDITO")</f>
        <v>CRÉDITO</v>
      </c>
      <c r="B2164" s="38" t="str">
        <f>+IF((PROVEEDORES[[#This Row],[FECHA DE PAGO]]-PROVEEDORES[[#This Row],[FECHA DE FACTURACIÓN]])&gt;PROVEEDORES[[#This Row],[PLAZO Días]],"PAGO VENCIDO")</f>
        <v>PAGO VENCIDO</v>
      </c>
      <c r="C2164" s="20">
        <f>+VLOOKUP(PROVEEDORES[[#This Row],[PROVEEDOR]],TERCEROS_INFO[#All],2,FALSE)</f>
        <v>30</v>
      </c>
      <c r="D2164" s="25">
        <f>+SUMIFS(PROVEEDORES[Total],PROVEEDORES[PROVEEDOR],PROVEEDORES[[#This Row],[PROVEEDOR]],PROVEEDORES[FECHA DE PAGO],"")</f>
        <v>0</v>
      </c>
      <c r="E2164" s="25"/>
      <c r="F2164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164" s="68">
        <v>45253</v>
      </c>
      <c r="H2164" s="26" t="s">
        <v>248</v>
      </c>
      <c r="I2164" s="68">
        <v>45213</v>
      </c>
      <c r="J2164" s="35" t="s">
        <v>2085</v>
      </c>
      <c r="K2164" s="21">
        <v>3001258</v>
      </c>
      <c r="L2164" s="21"/>
      <c r="M2164" s="22">
        <f>(PROVEEDORES[[#This Row],[SUBTOTAL]]-PROVEEDORES[[#This Row],[descuento sobre subtotal]])*VLOOKUP(PROVEEDORES[[#This Row],[PROVEEDOR]],TERCEROS_INFO[#All],3,FALSE)</f>
        <v>570239.02</v>
      </c>
      <c r="N2164" s="23"/>
      <c r="O2164" s="22">
        <f>+PROVEEDORES[[#This Row],[Descuento sobre subtotal %]]*(PROVEEDORES[[#This Row],[SUBTOTAL]]-PROVEEDORES[[#This Row],[descuento sobre subtotal]])</f>
        <v>0</v>
      </c>
      <c r="P2164" s="74">
        <f>+IF(PROVEEDORES[[#This Row],[SUBTOTAL]]&lt;PROVEEDORES[[#This Row],[base retencion]],0,PROVEEDORES[[#This Row],[retención aplicada]])</f>
        <v>0</v>
      </c>
      <c r="Q2164" s="22">
        <f>+PROVEEDORES[[#This Row],[Rete Fuente %]]*(PROVEEDORES[[#This Row],[SUBTOTAL]]-PROVEEDORES[[#This Row],[descuento sobre subtotal]])</f>
        <v>0</v>
      </c>
      <c r="R2164" s="21">
        <f>+PROVEEDORES[[#This Row],[SUBTOTAL]]+PROVEEDORES[[#This Row],[IVA 19%]]-PROVEEDORES[[#This Row],[descuento sobre subtotal]]-PROVEEDORES[[#This Row],[Descuento sobre subtotal $2]]-PROVEEDORES[[#This Row],[Rete Fuente $]]</f>
        <v>3571497.02</v>
      </c>
      <c r="S216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4" s="63">
        <f ca="1">IF(PROVEEDORES[[#This Row],[FECHA DE PAGO]]=0,TODAY()-PROVEEDORES[[#This Row],[FECHA DE FACTURACIÓN]]-PROVEEDORES[[#This Row],[PLAZO Días]],0)</f>
        <v>0</v>
      </c>
      <c r="U2164" s="104">
        <f>+VLOOKUP(PROVEEDORES[[#This Row],[PROVEEDOR]],Terceros!$A:$D,4,FALSE)</f>
        <v>0</v>
      </c>
      <c r="V2164" s="105">
        <f>+YEAR(PROVEEDORES[[#This Row],[FECHA DE FACTURACIÓN]])</f>
        <v>2023</v>
      </c>
      <c r="W2164" s="105">
        <f>+MATCH(PROVEEDORES[[#This Row],[año facturado]],Retenciones!$1:$1,0)</f>
        <v>6</v>
      </c>
      <c r="X2164" s="106">
        <f>+VLOOKUP(PROVEEDORES[[#This Row],[ID RETENCION]],Retenciones!$A$1:$O$25,PROVEEDORES[[#This Row],[indicador de columna]],FALSE)</f>
        <v>0</v>
      </c>
      <c r="Y2164" s="107">
        <f>+VLOOKUP(PROVEEDORES[[#This Row],[ID RETENCION]],Retenciones!$A$1:$O$25,2,FALSE)</f>
        <v>0</v>
      </c>
      <c r="Z2164" s="116" t="b">
        <f>OR(COUNTIF(PROVEEDORES[[#This Row],[PROVEEDOR]],"*"&amp;'Palabra no opera'!$A$2&amp;"*"))</f>
        <v>0</v>
      </c>
    </row>
    <row r="2165" spans="1:26" ht="22.35" customHeight="1" x14ac:dyDescent="0.3">
      <c r="A2165" s="67" t="str">
        <f>+IF(PROVEEDORES[[#This Row],[FECHA DE PAGO]]=PROVEEDORES[[#This Row],[FECHA DE FACTURACIÓN]],"DE CONTADO","CRÉDITO")</f>
        <v>CRÉDITO</v>
      </c>
      <c r="B2165" s="38" t="str">
        <f>+IF((PROVEEDORES[[#This Row],[FECHA DE PAGO]]-PROVEEDORES[[#This Row],[FECHA DE FACTURACIÓN]])&gt;PROVEEDORES[[#This Row],[PLAZO Días]],"PAGO VENCIDO")</f>
        <v>PAGO VENCIDO</v>
      </c>
      <c r="C2165" s="20">
        <f>+VLOOKUP(PROVEEDORES[[#This Row],[PROVEEDOR]],TERCEROS_INFO[#All],2,FALSE)</f>
        <v>30</v>
      </c>
      <c r="D2165" s="25">
        <f>+SUMIFS(PROVEEDORES[Total],PROVEEDORES[PROVEEDOR],PROVEEDORES[[#This Row],[PROVEEDOR]],PROVEEDORES[FECHA DE PAGO],"")</f>
        <v>2100000</v>
      </c>
      <c r="E2165" s="25"/>
      <c r="F2165" s="56" t="str">
        <f>+VLOOKUP(PROVEEDORES[[#This Row],[PROVEEDOR]],
                       Terceros!$A:$F,
                       5,
                       FALSE)</f>
        <v/>
      </c>
      <c r="G2165" s="68">
        <v>45257</v>
      </c>
      <c r="H2165" s="26" t="s">
        <v>349</v>
      </c>
      <c r="I2165" s="68">
        <v>45218</v>
      </c>
      <c r="J2165" s="35" t="s">
        <v>2055</v>
      </c>
      <c r="K2165" s="21">
        <v>425000</v>
      </c>
      <c r="L2165" s="21"/>
      <c r="M2165" s="22">
        <f>(PROVEEDORES[[#This Row],[SUBTOTAL]]-PROVEEDORES[[#This Row],[descuento sobre subtotal]])*VLOOKUP(PROVEEDORES[[#This Row],[PROVEEDOR]],TERCEROS_INFO[#All],3,FALSE)</f>
        <v>0</v>
      </c>
      <c r="N2165" s="23"/>
      <c r="O2165" s="22">
        <f>+PROVEEDORES[[#This Row],[Descuento sobre subtotal %]]*(PROVEEDORES[[#This Row],[SUBTOTAL]]-PROVEEDORES[[#This Row],[descuento sobre subtotal]])</f>
        <v>0</v>
      </c>
      <c r="P2165" s="74">
        <f>+IF(PROVEEDORES[[#This Row],[SUBTOTAL]]&lt;PROVEEDORES[[#This Row],[base retencion]],0,PROVEEDORES[[#This Row],[retención aplicada]])</f>
        <v>0</v>
      </c>
      <c r="Q2165" s="22">
        <f>+PROVEEDORES[[#This Row],[Rete Fuente %]]*(PROVEEDORES[[#This Row],[SUBTOTAL]]-PROVEEDORES[[#This Row],[descuento sobre subtotal]])</f>
        <v>0</v>
      </c>
      <c r="R2165" s="21">
        <f>+PROVEEDORES[[#This Row],[SUBTOTAL]]+PROVEEDORES[[#This Row],[IVA 19%]]-PROVEEDORES[[#This Row],[descuento sobre subtotal]]-PROVEEDORES[[#This Row],[Descuento sobre subtotal $2]]-PROVEEDORES[[#This Row],[Rete Fuente $]]</f>
        <v>425000</v>
      </c>
      <c r="S21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5" s="63">
        <f ca="1">IF(PROVEEDORES[[#This Row],[FECHA DE PAGO]]=0,TODAY()-PROVEEDORES[[#This Row],[FECHA DE FACTURACIÓN]]-PROVEEDORES[[#This Row],[PLAZO Días]],0)</f>
        <v>0</v>
      </c>
      <c r="U2165" s="104">
        <f>+VLOOKUP(PROVEEDORES[[#This Row],[PROVEEDOR]],Terceros!$A:$D,4,FALSE)</f>
        <v>0</v>
      </c>
      <c r="V2165" s="105">
        <f>+YEAR(PROVEEDORES[[#This Row],[FECHA DE FACTURACIÓN]])</f>
        <v>2023</v>
      </c>
      <c r="W2165" s="105">
        <f>+MATCH(PROVEEDORES[[#This Row],[año facturado]],Retenciones!$1:$1,0)</f>
        <v>6</v>
      </c>
      <c r="X2165" s="106">
        <f>+VLOOKUP(PROVEEDORES[[#This Row],[ID RETENCION]],Retenciones!$A$1:$O$25,PROVEEDORES[[#This Row],[indicador de columna]],FALSE)</f>
        <v>0</v>
      </c>
      <c r="Y2165" s="107">
        <f>+VLOOKUP(PROVEEDORES[[#This Row],[ID RETENCION]],Retenciones!$A$1:$O$25,2,FALSE)</f>
        <v>0</v>
      </c>
      <c r="Z2165" s="116" t="b">
        <f>OR(COUNTIF(PROVEEDORES[[#This Row],[PROVEEDOR]],"*"&amp;'Palabra no opera'!$A$2&amp;"*"))</f>
        <v>0</v>
      </c>
    </row>
    <row r="2166" spans="1:26" ht="22.35" customHeight="1" x14ac:dyDescent="0.3">
      <c r="A2166" s="67" t="str">
        <f>+IF(PROVEEDORES[[#This Row],[FECHA DE PAGO]]=PROVEEDORES[[#This Row],[FECHA DE FACTURACIÓN]],"DE CONTADO","CRÉDITO")</f>
        <v>CRÉDITO</v>
      </c>
      <c r="B2166" s="38" t="str">
        <f>+IF((PROVEEDORES[[#This Row],[FECHA DE PAGO]]-PROVEEDORES[[#This Row],[FECHA DE FACTURACIÓN]])&gt;PROVEEDORES[[#This Row],[PLAZO Días]],"PAGO VENCIDO")</f>
        <v>PAGO VENCIDO</v>
      </c>
      <c r="C2166" s="20">
        <f>+VLOOKUP(PROVEEDORES[[#This Row],[PROVEEDOR]],TERCEROS_INFO[#All],2,FALSE)</f>
        <v>30</v>
      </c>
      <c r="D2166" s="25">
        <f>+SUMIFS(PROVEEDORES[Total],PROVEEDORES[PROVEEDOR],PROVEEDORES[[#This Row],[PROVEEDOR]],PROVEEDORES[FECHA DE PAGO],"")</f>
        <v>0</v>
      </c>
      <c r="E2166" s="25"/>
      <c r="F2166" s="56" t="str">
        <f>+VLOOKUP(PROVEEDORES[[#This Row],[PROVEEDOR]],
                       Terceros!$A:$F,
                       5,
                       FALSE)</f>
        <v/>
      </c>
      <c r="G2166" s="68">
        <v>45257</v>
      </c>
      <c r="H2166" s="26" t="s">
        <v>362</v>
      </c>
      <c r="I2166" s="68">
        <v>45210</v>
      </c>
      <c r="J2166" s="35" t="s">
        <v>2059</v>
      </c>
      <c r="K2166" s="21">
        <v>3841000</v>
      </c>
      <c r="L2166" s="21"/>
      <c r="M2166" s="22">
        <f>(PROVEEDORES[[#This Row],[SUBTOTAL]]-PROVEEDORES[[#This Row],[descuento sobre subtotal]])*VLOOKUP(PROVEEDORES[[#This Row],[PROVEEDOR]],TERCEROS_INFO[#All],3,FALSE)</f>
        <v>0</v>
      </c>
      <c r="N2166" s="23"/>
      <c r="O2166" s="22">
        <f>+PROVEEDORES[[#This Row],[Descuento sobre subtotal %]]*(PROVEEDORES[[#This Row],[SUBTOTAL]]-PROVEEDORES[[#This Row],[descuento sobre subtotal]])</f>
        <v>0</v>
      </c>
      <c r="P2166" s="74">
        <f>+IF(PROVEEDORES[[#This Row],[SUBTOTAL]]&lt;PROVEEDORES[[#This Row],[base retencion]],0,PROVEEDORES[[#This Row],[retención aplicada]])</f>
        <v>0</v>
      </c>
      <c r="Q2166" s="22">
        <f>+PROVEEDORES[[#This Row],[Rete Fuente %]]*(PROVEEDORES[[#This Row],[SUBTOTAL]]-PROVEEDORES[[#This Row],[descuento sobre subtotal]])</f>
        <v>0</v>
      </c>
      <c r="R2166" s="21">
        <f>+PROVEEDORES[[#This Row],[SUBTOTAL]]+PROVEEDORES[[#This Row],[IVA 19%]]-PROVEEDORES[[#This Row],[descuento sobre subtotal]]-PROVEEDORES[[#This Row],[Descuento sobre subtotal $2]]-PROVEEDORES[[#This Row],[Rete Fuente $]]</f>
        <v>3841000</v>
      </c>
      <c r="S21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6" s="63">
        <f ca="1">IF(PROVEEDORES[[#This Row],[FECHA DE PAGO]]=0,TODAY()-PROVEEDORES[[#This Row],[FECHA DE FACTURACIÓN]]-PROVEEDORES[[#This Row],[PLAZO Días]],0)</f>
        <v>0</v>
      </c>
      <c r="U2166" s="104">
        <f>+VLOOKUP(PROVEEDORES[[#This Row],[PROVEEDOR]],Terceros!$A:$D,4,FALSE)</f>
        <v>0</v>
      </c>
      <c r="V2166" s="105">
        <f>+YEAR(PROVEEDORES[[#This Row],[FECHA DE FACTURACIÓN]])</f>
        <v>2023</v>
      </c>
      <c r="W2166" s="105">
        <f>+MATCH(PROVEEDORES[[#This Row],[año facturado]],Retenciones!$1:$1,0)</f>
        <v>6</v>
      </c>
      <c r="X2166" s="106">
        <f>+VLOOKUP(PROVEEDORES[[#This Row],[ID RETENCION]],Retenciones!$A$1:$O$25,PROVEEDORES[[#This Row],[indicador de columna]],FALSE)</f>
        <v>0</v>
      </c>
      <c r="Y2166" s="107">
        <f>+VLOOKUP(PROVEEDORES[[#This Row],[ID RETENCION]],Retenciones!$A$1:$O$25,2,FALSE)</f>
        <v>0</v>
      </c>
      <c r="Z2166" s="116" t="b">
        <f>OR(COUNTIF(PROVEEDORES[[#This Row],[PROVEEDOR]],"*"&amp;'Palabra no opera'!$A$2&amp;"*"))</f>
        <v>0</v>
      </c>
    </row>
    <row r="2167" spans="1:26" ht="22.35" customHeight="1" x14ac:dyDescent="0.3">
      <c r="A2167" s="67" t="str">
        <f>+IF(PROVEEDORES[[#This Row],[FECHA DE PAGO]]=PROVEEDORES[[#This Row],[FECHA DE FACTURACIÓN]],"DE CONTADO","CRÉDITO")</f>
        <v>CRÉDITO</v>
      </c>
      <c r="B2167" s="38" t="str">
        <f>+IF((PROVEEDORES[[#This Row],[FECHA DE PAGO]]-PROVEEDORES[[#This Row],[FECHA DE FACTURACIÓN]])&gt;PROVEEDORES[[#This Row],[PLAZO Días]],"PAGO VENCIDO")</f>
        <v>PAGO VENCIDO</v>
      </c>
      <c r="C2167" s="20">
        <f>+VLOOKUP(PROVEEDORES[[#This Row],[PROVEEDOR]],TERCEROS_INFO[#All],2,FALSE)</f>
        <v>30</v>
      </c>
      <c r="D2167" s="25">
        <f>+SUMIFS(PROVEEDORES[Total],PROVEEDORES[PROVEEDOR],PROVEEDORES[[#This Row],[PROVEEDOR]],PROVEEDORES[FECHA DE PAGO],"")</f>
        <v>1705000</v>
      </c>
      <c r="E2167" s="25"/>
      <c r="F2167" s="56">
        <f>+VLOOKUP(PROVEEDORES[[#This Row],[PROVEEDOR]],
                       Terceros!$A:$F,
                       5,
                       FALSE)</f>
        <v>0</v>
      </c>
      <c r="G2167" s="68">
        <v>45257</v>
      </c>
      <c r="H2167" s="95" t="s">
        <v>2078</v>
      </c>
      <c r="I2167" s="68">
        <v>45209</v>
      </c>
      <c r="J2167" s="35" t="s">
        <v>2062</v>
      </c>
      <c r="K2167" s="21">
        <v>2224000</v>
      </c>
      <c r="L2167" s="21"/>
      <c r="M2167" s="22">
        <f>(PROVEEDORES[[#This Row],[SUBTOTAL]]-PROVEEDORES[[#This Row],[descuento sobre subtotal]])*VLOOKUP(PROVEEDORES[[#This Row],[PROVEEDOR]],TERCEROS_INFO[#All],3,FALSE)</f>
        <v>0</v>
      </c>
      <c r="N2167" s="23"/>
      <c r="O2167" s="22">
        <f>+PROVEEDORES[[#This Row],[Descuento sobre subtotal %]]*(PROVEEDORES[[#This Row],[SUBTOTAL]]-PROVEEDORES[[#This Row],[descuento sobre subtotal]])</f>
        <v>0</v>
      </c>
      <c r="P2167" s="74">
        <f>+IF(PROVEEDORES[[#This Row],[SUBTOTAL]]&lt;PROVEEDORES[[#This Row],[base retencion]],0,PROVEEDORES[[#This Row],[retención aplicada]])</f>
        <v>0</v>
      </c>
      <c r="Q2167" s="22">
        <f>+PROVEEDORES[[#This Row],[Rete Fuente %]]*(PROVEEDORES[[#This Row],[SUBTOTAL]]-PROVEEDORES[[#This Row],[descuento sobre subtotal]])</f>
        <v>0</v>
      </c>
      <c r="R2167" s="21">
        <f>+PROVEEDORES[[#This Row],[SUBTOTAL]]+PROVEEDORES[[#This Row],[IVA 19%]]-PROVEEDORES[[#This Row],[descuento sobre subtotal]]-PROVEEDORES[[#This Row],[Descuento sobre subtotal $2]]-PROVEEDORES[[#This Row],[Rete Fuente $]]</f>
        <v>2224000</v>
      </c>
      <c r="S21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7" s="63">
        <f ca="1">IF(PROVEEDORES[[#This Row],[FECHA DE PAGO]]=0,TODAY()-PROVEEDORES[[#This Row],[FECHA DE FACTURACIÓN]]-PROVEEDORES[[#This Row],[PLAZO Días]],0)</f>
        <v>0</v>
      </c>
      <c r="U2167" s="104">
        <f>+VLOOKUP(PROVEEDORES[[#This Row],[PROVEEDOR]],Terceros!$A:$D,4,FALSE)</f>
        <v>0</v>
      </c>
      <c r="V2167" s="105">
        <f>+YEAR(PROVEEDORES[[#This Row],[FECHA DE FACTURACIÓN]])</f>
        <v>2023</v>
      </c>
      <c r="W2167" s="105">
        <f>+MATCH(PROVEEDORES[[#This Row],[año facturado]],Retenciones!$1:$1,0)</f>
        <v>6</v>
      </c>
      <c r="X2167" s="106">
        <f>+VLOOKUP(PROVEEDORES[[#This Row],[ID RETENCION]],Retenciones!$A$1:$O$25,PROVEEDORES[[#This Row],[indicador de columna]],FALSE)</f>
        <v>0</v>
      </c>
      <c r="Y2167" s="107">
        <f>+VLOOKUP(PROVEEDORES[[#This Row],[ID RETENCION]],Retenciones!$A$1:$O$25,2,FALSE)</f>
        <v>0</v>
      </c>
      <c r="Z2167" s="116" t="b">
        <f>OR(COUNTIF(PROVEEDORES[[#This Row],[PROVEEDOR]],"*"&amp;'Palabra no opera'!$A$2&amp;"*"))</f>
        <v>0</v>
      </c>
    </row>
    <row r="2168" spans="1:26" ht="22.35" customHeight="1" x14ac:dyDescent="0.3">
      <c r="A2168" s="381" t="str">
        <f>+IF(PROVEEDORES[[#This Row],[FECHA DE PAGO]]=PROVEEDORES[[#This Row],[FECHA DE FACTURACIÓN]],"DE CONTADO","CRÉDITO")</f>
        <v>CRÉDITO</v>
      </c>
      <c r="B2168" s="38" t="b">
        <f>+IF((PROVEEDORES[[#This Row],[FECHA DE PAGO]]-PROVEEDORES[[#This Row],[FECHA DE FACTURACIÓN]])&gt;PROVEEDORES[[#This Row],[PLAZO Días]],"PAGO VENCIDO")</f>
        <v>0</v>
      </c>
      <c r="C2168" s="20">
        <f>+VLOOKUP(PROVEEDORES[[#This Row],[PROVEEDOR]],TERCEROS_INFO[#All],2,FALSE)</f>
        <v>30</v>
      </c>
      <c r="D2168" s="25">
        <f>+SUMIFS(PROVEEDORES[Total],PROVEEDORES[PROVEEDOR],PROVEEDORES[[#This Row],[PROVEEDOR]],PROVEEDORES[FECHA DE PAGO],"")</f>
        <v>0</v>
      </c>
      <c r="E2168" s="25"/>
      <c r="F2168" s="56" t="str">
        <f>+VLOOKUP(PROVEEDORES[[#This Row],[PROVEEDOR]],
                       Terceros!$A:$F,
                       5,
                       FALSE)</f>
        <v/>
      </c>
      <c r="G2168" s="68">
        <v>45257</v>
      </c>
      <c r="H2168" s="26" t="s">
        <v>396</v>
      </c>
      <c r="I2168" s="68">
        <v>45231</v>
      </c>
      <c r="J2168" s="35" t="s">
        <v>2119</v>
      </c>
      <c r="K2168" s="21">
        <v>440000</v>
      </c>
      <c r="L2168" s="21"/>
      <c r="M2168" s="22">
        <f>(PROVEEDORES[[#This Row],[SUBTOTAL]]-PROVEEDORES[[#This Row],[descuento sobre subtotal]])*VLOOKUP(PROVEEDORES[[#This Row],[PROVEEDOR]],TERCEROS_INFO[#All],3,FALSE)</f>
        <v>0</v>
      </c>
      <c r="N2168" s="23"/>
      <c r="O2168" s="22">
        <f>+PROVEEDORES[[#This Row],[Descuento sobre subtotal %]]*(PROVEEDORES[[#This Row],[SUBTOTAL]]-PROVEEDORES[[#This Row],[descuento sobre subtotal]])</f>
        <v>0</v>
      </c>
      <c r="P2168" s="74">
        <f>+IF(PROVEEDORES[[#This Row],[SUBTOTAL]]&lt;PROVEEDORES[[#This Row],[base retencion]],0,PROVEEDORES[[#This Row],[retención aplicada]])</f>
        <v>0</v>
      </c>
      <c r="Q2168" s="22">
        <f>+PROVEEDORES[[#This Row],[Rete Fuente %]]*(PROVEEDORES[[#This Row],[SUBTOTAL]]-PROVEEDORES[[#This Row],[descuento sobre subtotal]])</f>
        <v>0</v>
      </c>
      <c r="R2168" s="21">
        <f>+PROVEEDORES[[#This Row],[SUBTOTAL]]+PROVEEDORES[[#This Row],[IVA 19%]]-PROVEEDORES[[#This Row],[descuento sobre subtotal]]-PROVEEDORES[[#This Row],[Descuento sobre subtotal $2]]-PROVEEDORES[[#This Row],[Rete Fuente $]]</f>
        <v>440000</v>
      </c>
      <c r="S2168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8" s="63">
        <f ca="1">IF(PROVEEDORES[[#This Row],[FECHA DE PAGO]]=0,TODAY()-PROVEEDORES[[#This Row],[FECHA DE FACTURACIÓN]]-PROVEEDORES[[#This Row],[PLAZO Días]],0)</f>
        <v>0</v>
      </c>
      <c r="U2168" s="104">
        <f>+VLOOKUP(PROVEEDORES[[#This Row],[PROVEEDOR]],Terceros!$A:$D,4,FALSE)</f>
        <v>0</v>
      </c>
      <c r="V2168" s="105">
        <f>+YEAR(PROVEEDORES[[#This Row],[FECHA DE FACTURACIÓN]])</f>
        <v>2023</v>
      </c>
      <c r="W2168" s="105">
        <f>+MATCH(PROVEEDORES[[#This Row],[año facturado]],Retenciones!$1:$1,0)</f>
        <v>6</v>
      </c>
      <c r="X2168" s="106">
        <f>+VLOOKUP(PROVEEDORES[[#This Row],[ID RETENCION]],Retenciones!$A$1:$O$25,PROVEEDORES[[#This Row],[indicador de columna]],FALSE)</f>
        <v>0</v>
      </c>
      <c r="Y2168" s="107">
        <f>+VLOOKUP(PROVEEDORES[[#This Row],[ID RETENCION]],Retenciones!$A$1:$O$25,2,FALSE)</f>
        <v>0</v>
      </c>
      <c r="Z2168" s="116" t="b">
        <f>OR(COUNTIF(PROVEEDORES[[#This Row],[PROVEEDOR]],"*"&amp;'Palabra no opera'!$A$2&amp;"*"))</f>
        <v>0</v>
      </c>
    </row>
    <row r="2169" spans="1:26" ht="22.35" customHeight="1" x14ac:dyDescent="0.3">
      <c r="A2169" s="67" t="str">
        <f>+IF(PROVEEDORES[[#This Row],[FECHA DE PAGO]]=PROVEEDORES[[#This Row],[FECHA DE FACTURACIÓN]],"DE CONTADO","CRÉDITO")</f>
        <v>CRÉDITO</v>
      </c>
      <c r="B2169" s="38" t="str">
        <f>+IF((PROVEEDORES[[#This Row],[FECHA DE PAGO]]-PROVEEDORES[[#This Row],[FECHA DE FACTURACIÓN]])&gt;PROVEEDORES[[#This Row],[PLAZO Días]],"PAGO VENCIDO")</f>
        <v>PAGO VENCIDO</v>
      </c>
      <c r="C2169" s="20">
        <f>+VLOOKUP(PROVEEDORES[[#This Row],[PROVEEDOR]],TERCEROS_INFO[#All],2,FALSE)</f>
        <v>30</v>
      </c>
      <c r="D2169" s="25">
        <f>+SUMIFS(PROVEEDORES[Total],PROVEEDORES[PROVEEDOR],PROVEEDORES[[#This Row],[PROVEEDOR]],PROVEEDORES[FECHA DE PAGO],"")</f>
        <v>2773899.95</v>
      </c>
      <c r="E2169" s="25"/>
      <c r="F2169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169" s="68">
        <v>45257</v>
      </c>
      <c r="H2169" s="26" t="s">
        <v>20</v>
      </c>
      <c r="I2169" s="68">
        <v>45208</v>
      </c>
      <c r="J2169" s="35" t="s">
        <v>2079</v>
      </c>
      <c r="K2169" s="21">
        <v>647990</v>
      </c>
      <c r="L2169" s="21"/>
      <c r="M2169" s="22">
        <f>(PROVEEDORES[[#This Row],[SUBTOTAL]]-PROVEEDORES[[#This Row],[descuento sobre subtotal]])*VLOOKUP(PROVEEDORES[[#This Row],[PROVEEDOR]],TERCEROS_INFO[#All],3,FALSE)</f>
        <v>123118.1</v>
      </c>
      <c r="N2169" s="23"/>
      <c r="O2169" s="22">
        <f>+PROVEEDORES[[#This Row],[Descuento sobre subtotal %]]*(PROVEEDORES[[#This Row],[SUBTOTAL]]-PROVEEDORES[[#This Row],[descuento sobre subtotal]])</f>
        <v>0</v>
      </c>
      <c r="P2169" s="74">
        <f>+IF(PROVEEDORES[[#This Row],[SUBTOTAL]]&lt;PROVEEDORES[[#This Row],[base retencion]],0,PROVEEDORES[[#This Row],[retención aplicada]])</f>
        <v>0</v>
      </c>
      <c r="Q2169" s="22">
        <f>+PROVEEDORES[[#This Row],[Rete Fuente %]]*(PROVEEDORES[[#This Row],[SUBTOTAL]]-PROVEEDORES[[#This Row],[descuento sobre subtotal]])</f>
        <v>0</v>
      </c>
      <c r="R2169" s="21">
        <f>+PROVEEDORES[[#This Row],[SUBTOTAL]]+PROVEEDORES[[#This Row],[IVA 19%]]-PROVEEDORES[[#This Row],[descuento sobre subtotal]]-PROVEEDORES[[#This Row],[Descuento sobre subtotal $2]]-PROVEEDORES[[#This Row],[Rete Fuente $]]</f>
        <v>771108.1</v>
      </c>
      <c r="S21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9" s="63">
        <f ca="1">IF(PROVEEDORES[[#This Row],[FECHA DE PAGO]]=0,TODAY()-PROVEEDORES[[#This Row],[FECHA DE FACTURACIÓN]]-PROVEEDORES[[#This Row],[PLAZO Días]],0)</f>
        <v>0</v>
      </c>
      <c r="U2169" s="104" t="str">
        <f>+VLOOKUP(PROVEEDORES[[#This Row],[PROVEEDOR]],Terceros!$A:$D,4,FALSE)</f>
        <v>2,5% con base</v>
      </c>
      <c r="V2169" s="105">
        <f>+YEAR(PROVEEDORES[[#This Row],[FECHA DE FACTURACIÓN]])</f>
        <v>2023</v>
      </c>
      <c r="W2169" s="105">
        <f>+MATCH(PROVEEDORES[[#This Row],[año facturado]],Retenciones!$1:$1,0)</f>
        <v>6</v>
      </c>
      <c r="X2169" s="106">
        <f>+VLOOKUP(PROVEEDORES[[#This Row],[ID RETENCION]],Retenciones!$A$1:$O$25,PROVEEDORES[[#This Row],[indicador de columna]],FALSE)</f>
        <v>1145000</v>
      </c>
      <c r="Y2169" s="107">
        <f>+VLOOKUP(PROVEEDORES[[#This Row],[ID RETENCION]],Retenciones!$A$1:$O$25,2,FALSE)</f>
        <v>2.5000000000000001E-2</v>
      </c>
      <c r="Z2169" s="116" t="b">
        <f>OR(COUNTIF(PROVEEDORES[[#This Row],[PROVEEDOR]],"*"&amp;'Palabra no opera'!$A$2&amp;"*"))</f>
        <v>0</v>
      </c>
    </row>
    <row r="2170" spans="1:26" ht="22.35" customHeight="1" x14ac:dyDescent="0.3">
      <c r="A2170" s="67" t="str">
        <f>+IF(PROVEEDORES[[#This Row],[FECHA DE PAGO]]=PROVEEDORES[[#This Row],[FECHA DE FACTURACIÓN]],"DE CONTADO","CRÉDITO")</f>
        <v>CRÉDITO</v>
      </c>
      <c r="B2170" s="38" t="str">
        <f>+IF((PROVEEDORES[[#This Row],[FECHA DE PAGO]]-PROVEEDORES[[#This Row],[FECHA DE FACTURACIÓN]])&gt;PROVEEDORES[[#This Row],[PLAZO Días]],"PAGO VENCIDO")</f>
        <v>PAGO VENCIDO</v>
      </c>
      <c r="C2170" s="20">
        <f>+VLOOKUP(PROVEEDORES[[#This Row],[PROVEEDOR]],TERCEROS_INFO[#All],2,FALSE)</f>
        <v>30</v>
      </c>
      <c r="D2170" s="25">
        <f>+SUMIFS(PROVEEDORES[Total],PROVEEDORES[PROVEEDOR],PROVEEDORES[[#This Row],[PROVEEDOR]],PROVEEDORES[FECHA DE PAGO],"")</f>
        <v>2773899.95</v>
      </c>
      <c r="E2170" s="25"/>
      <c r="F2170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170" s="68">
        <v>45257</v>
      </c>
      <c r="H2170" s="26" t="s">
        <v>20</v>
      </c>
      <c r="I2170" s="68">
        <v>45208</v>
      </c>
      <c r="J2170" s="35" t="s">
        <v>2080</v>
      </c>
      <c r="K2170" s="21">
        <v>944000</v>
      </c>
      <c r="L2170" s="21"/>
      <c r="M2170" s="22">
        <f>(PROVEEDORES[[#This Row],[SUBTOTAL]]-PROVEEDORES[[#This Row],[descuento sobre subtotal]])*VLOOKUP(PROVEEDORES[[#This Row],[PROVEEDOR]],TERCEROS_INFO[#All],3,FALSE)</f>
        <v>179360</v>
      </c>
      <c r="N2170" s="23"/>
      <c r="O2170" s="22">
        <f>+PROVEEDORES[[#This Row],[Descuento sobre subtotal %]]*(PROVEEDORES[[#This Row],[SUBTOTAL]]-PROVEEDORES[[#This Row],[descuento sobre subtotal]])</f>
        <v>0</v>
      </c>
      <c r="P2170" s="74">
        <f>+IF(PROVEEDORES[[#This Row],[SUBTOTAL]]&lt;PROVEEDORES[[#This Row],[base retencion]],0,PROVEEDORES[[#This Row],[retención aplicada]])</f>
        <v>0</v>
      </c>
      <c r="Q2170" s="22">
        <f>+PROVEEDORES[[#This Row],[Rete Fuente %]]*(PROVEEDORES[[#This Row],[SUBTOTAL]]-PROVEEDORES[[#This Row],[descuento sobre subtotal]])</f>
        <v>0</v>
      </c>
      <c r="R2170" s="21">
        <f>+PROVEEDORES[[#This Row],[SUBTOTAL]]+PROVEEDORES[[#This Row],[IVA 19%]]-PROVEEDORES[[#This Row],[descuento sobre subtotal]]-PROVEEDORES[[#This Row],[Descuento sobre subtotal $2]]-PROVEEDORES[[#This Row],[Rete Fuente $]]</f>
        <v>1123360</v>
      </c>
      <c r="S217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0" s="63">
        <f ca="1">IF(PROVEEDORES[[#This Row],[FECHA DE PAGO]]=0,TODAY()-PROVEEDORES[[#This Row],[FECHA DE FACTURACIÓN]]-PROVEEDORES[[#This Row],[PLAZO Días]],0)</f>
        <v>0</v>
      </c>
      <c r="U2170" s="104" t="str">
        <f>+VLOOKUP(PROVEEDORES[[#This Row],[PROVEEDOR]],Terceros!$A:$D,4,FALSE)</f>
        <v>2,5% con base</v>
      </c>
      <c r="V2170" s="105">
        <f>+YEAR(PROVEEDORES[[#This Row],[FECHA DE FACTURACIÓN]])</f>
        <v>2023</v>
      </c>
      <c r="W2170" s="105">
        <f>+MATCH(PROVEEDORES[[#This Row],[año facturado]],Retenciones!$1:$1,0)</f>
        <v>6</v>
      </c>
      <c r="X2170" s="106">
        <f>+VLOOKUP(PROVEEDORES[[#This Row],[ID RETENCION]],Retenciones!$A$1:$O$25,PROVEEDORES[[#This Row],[indicador de columna]],FALSE)</f>
        <v>1145000</v>
      </c>
      <c r="Y2170" s="107">
        <f>+VLOOKUP(PROVEEDORES[[#This Row],[ID RETENCION]],Retenciones!$A$1:$O$25,2,FALSE)</f>
        <v>2.5000000000000001E-2</v>
      </c>
      <c r="Z2170" s="116" t="b">
        <f>OR(COUNTIF(PROVEEDORES[[#This Row],[PROVEEDOR]],"*"&amp;'Palabra no opera'!$A$2&amp;"*"))</f>
        <v>0</v>
      </c>
    </row>
    <row r="2171" spans="1:26" ht="22.35" customHeight="1" x14ac:dyDescent="0.3">
      <c r="A2171" s="67" t="str">
        <f>+IF(PROVEEDORES[[#This Row],[FECHA DE PAGO]]=PROVEEDORES[[#This Row],[FECHA DE FACTURACIÓN]],"DE CONTADO","CRÉDITO")</f>
        <v>CRÉDITO</v>
      </c>
      <c r="B2171" s="38" t="str">
        <f>+IF((PROVEEDORES[[#This Row],[FECHA DE PAGO]]-PROVEEDORES[[#This Row],[FECHA DE FACTURACIÓN]])&gt;PROVEEDORES[[#This Row],[PLAZO Días]],"PAGO VENCIDO")</f>
        <v>PAGO VENCIDO</v>
      </c>
      <c r="C2171" s="20">
        <f>+VLOOKUP(PROVEEDORES[[#This Row],[PROVEEDOR]],TERCEROS_INFO[#All],2,FALSE)</f>
        <v>30</v>
      </c>
      <c r="D2171" s="25">
        <f>+SUMIFS(PROVEEDORES[Total],PROVEEDORES[PROVEEDOR],PROVEEDORES[[#This Row],[PROVEEDOR]],PROVEEDORES[FECHA DE PAGO],"")</f>
        <v>2773899.95</v>
      </c>
      <c r="E2171" s="25"/>
      <c r="F2171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171" s="68">
        <v>45257</v>
      </c>
      <c r="H2171" s="26" t="s">
        <v>20</v>
      </c>
      <c r="I2171" s="68">
        <v>45219</v>
      </c>
      <c r="J2171" s="35" t="s">
        <v>2081</v>
      </c>
      <c r="K2171" s="21">
        <v>1442750</v>
      </c>
      <c r="L2171" s="21"/>
      <c r="M2171" s="22">
        <f>(PROVEEDORES[[#This Row],[SUBTOTAL]]-PROVEEDORES[[#This Row],[descuento sobre subtotal]])*VLOOKUP(PROVEEDORES[[#This Row],[PROVEEDOR]],TERCEROS_INFO[#All],3,FALSE)</f>
        <v>274122.5</v>
      </c>
      <c r="N2171" s="23"/>
      <c r="O2171" s="22">
        <f>+PROVEEDORES[[#This Row],[Descuento sobre subtotal %]]*(PROVEEDORES[[#This Row],[SUBTOTAL]]-PROVEEDORES[[#This Row],[descuento sobre subtotal]])</f>
        <v>0</v>
      </c>
      <c r="P2171" s="74">
        <f>+IF(PROVEEDORES[[#This Row],[SUBTOTAL]]&lt;PROVEEDORES[[#This Row],[base retencion]],0,PROVEEDORES[[#This Row],[retención aplicada]])</f>
        <v>2.5000000000000001E-2</v>
      </c>
      <c r="Q2171" s="22">
        <f>+PROVEEDORES[[#This Row],[Rete Fuente %]]*(PROVEEDORES[[#This Row],[SUBTOTAL]]-PROVEEDORES[[#This Row],[descuento sobre subtotal]])</f>
        <v>36068.75</v>
      </c>
      <c r="R2171" s="21">
        <f>+PROVEEDORES[[#This Row],[SUBTOTAL]]+PROVEEDORES[[#This Row],[IVA 19%]]-PROVEEDORES[[#This Row],[descuento sobre subtotal]]-PROVEEDORES[[#This Row],[Descuento sobre subtotal $2]]-PROVEEDORES[[#This Row],[Rete Fuente $]]</f>
        <v>1680803.75</v>
      </c>
      <c r="S21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1" s="63">
        <f ca="1">IF(PROVEEDORES[[#This Row],[FECHA DE PAGO]]=0,TODAY()-PROVEEDORES[[#This Row],[FECHA DE FACTURACIÓN]]-PROVEEDORES[[#This Row],[PLAZO Días]],0)</f>
        <v>0</v>
      </c>
      <c r="U2171" s="104" t="str">
        <f>+VLOOKUP(PROVEEDORES[[#This Row],[PROVEEDOR]],Terceros!$A:$D,4,FALSE)</f>
        <v>2,5% con base</v>
      </c>
      <c r="V2171" s="105">
        <f>+YEAR(PROVEEDORES[[#This Row],[FECHA DE FACTURACIÓN]])</f>
        <v>2023</v>
      </c>
      <c r="W2171" s="105">
        <f>+MATCH(PROVEEDORES[[#This Row],[año facturado]],Retenciones!$1:$1,0)</f>
        <v>6</v>
      </c>
      <c r="X2171" s="106">
        <f>+VLOOKUP(PROVEEDORES[[#This Row],[ID RETENCION]],Retenciones!$A$1:$O$25,PROVEEDORES[[#This Row],[indicador de columna]],FALSE)</f>
        <v>1145000</v>
      </c>
      <c r="Y2171" s="107">
        <f>+VLOOKUP(PROVEEDORES[[#This Row],[ID RETENCION]],Retenciones!$A$1:$O$25,2,FALSE)</f>
        <v>2.5000000000000001E-2</v>
      </c>
      <c r="Z2171" s="116" t="b">
        <f>OR(COUNTIF(PROVEEDORES[[#This Row],[PROVEEDOR]],"*"&amp;'Palabra no opera'!$A$2&amp;"*"))</f>
        <v>0</v>
      </c>
    </row>
    <row r="2172" spans="1:26" ht="22.35" customHeight="1" x14ac:dyDescent="0.3">
      <c r="A2172" s="67" t="str">
        <f>+IF(PROVEEDORES[[#This Row],[FECHA DE PAGO]]=PROVEEDORES[[#This Row],[FECHA DE FACTURACIÓN]],"DE CONTADO","CRÉDITO")</f>
        <v>CRÉDITO</v>
      </c>
      <c r="B2172" s="38" t="str">
        <f>+IF((PROVEEDORES[[#This Row],[FECHA DE PAGO]]-PROVEEDORES[[#This Row],[FECHA DE FACTURACIÓN]])&gt;PROVEEDORES[[#This Row],[PLAZO Días]],"PAGO VENCIDO")</f>
        <v>PAGO VENCIDO</v>
      </c>
      <c r="C2172" s="20">
        <f>+VLOOKUP(PROVEEDORES[[#This Row],[PROVEEDOR]],TERCEROS_INFO[#All],2,FALSE)</f>
        <v>30</v>
      </c>
      <c r="D2172" s="25">
        <f>+SUMIFS(PROVEEDORES[Total],PROVEEDORES[PROVEEDOR],PROVEEDORES[[#This Row],[PROVEEDOR]],PROVEEDORES[FECHA DE PAGO],"")</f>
        <v>10321993.199999999</v>
      </c>
      <c r="E2172" s="25"/>
      <c r="F2172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172" s="68">
        <v>45257</v>
      </c>
      <c r="H2172" s="26" t="s">
        <v>1068</v>
      </c>
      <c r="I2172" s="68">
        <v>45200</v>
      </c>
      <c r="J2172" s="35" t="s">
        <v>1282</v>
      </c>
      <c r="K2172" s="21">
        <v>-310017</v>
      </c>
      <c r="L2172" s="21"/>
      <c r="M2172" s="22">
        <f>(PROVEEDORES[[#This Row],[SUBTOTAL]]-PROVEEDORES[[#This Row],[descuento sobre subtotal]])*VLOOKUP(PROVEEDORES[[#This Row],[PROVEEDOR]],TERCEROS_INFO[#All],3,FALSE)</f>
        <v>-58903.23</v>
      </c>
      <c r="N2172" s="23"/>
      <c r="O2172" s="22">
        <f>+PROVEEDORES[[#This Row],[Descuento sobre subtotal %]]*(PROVEEDORES[[#This Row],[SUBTOTAL]]-PROVEEDORES[[#This Row],[descuento sobre subtotal]])</f>
        <v>0</v>
      </c>
      <c r="P2172" s="74">
        <f>+IF(PROVEEDORES[[#This Row],[SUBTOTAL]]&lt;PROVEEDORES[[#This Row],[base retencion]],0,PROVEEDORES[[#This Row],[retención aplicada]])</f>
        <v>0</v>
      </c>
      <c r="Q2172" s="22">
        <f>+PROVEEDORES[[#This Row],[Rete Fuente %]]*(PROVEEDORES[[#This Row],[SUBTOTAL]]-PROVEEDORES[[#This Row],[descuento sobre subtotal]])</f>
        <v>0</v>
      </c>
      <c r="R2172" s="21">
        <f>+PROVEEDORES[[#This Row],[SUBTOTAL]]+PROVEEDORES[[#This Row],[IVA 19%]]-PROVEEDORES[[#This Row],[descuento sobre subtotal]]-PROVEEDORES[[#This Row],[Descuento sobre subtotal $2]]-PROVEEDORES[[#This Row],[Rete Fuente $]]</f>
        <v>-368920.23</v>
      </c>
      <c r="S217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2" s="63">
        <f ca="1">IF(PROVEEDORES[[#This Row],[FECHA DE PAGO]]=0,TODAY()-PROVEEDORES[[#This Row],[FECHA DE FACTURACIÓN]]-PROVEEDORES[[#This Row],[PLAZO Días]],0)</f>
        <v>0</v>
      </c>
      <c r="U2172" s="104" t="str">
        <f>+VLOOKUP(PROVEEDORES[[#This Row],[PROVEEDOR]],Terceros!$A:$D,4,FALSE)</f>
        <v>2,5% con base</v>
      </c>
      <c r="V2172" s="105">
        <f>+YEAR(PROVEEDORES[[#This Row],[FECHA DE FACTURACIÓN]])</f>
        <v>2023</v>
      </c>
      <c r="W2172" s="105">
        <f>+MATCH(PROVEEDORES[[#This Row],[año facturado]],Retenciones!$1:$1,0)</f>
        <v>6</v>
      </c>
      <c r="X2172" s="106">
        <f>+VLOOKUP(PROVEEDORES[[#This Row],[ID RETENCION]],Retenciones!$A$1:$O$25,PROVEEDORES[[#This Row],[indicador de columna]],FALSE)</f>
        <v>1145000</v>
      </c>
      <c r="Y2172" s="107">
        <f>+VLOOKUP(PROVEEDORES[[#This Row],[ID RETENCION]],Retenciones!$A$1:$O$25,2,FALSE)</f>
        <v>2.5000000000000001E-2</v>
      </c>
      <c r="Z2172" s="116" t="b">
        <f>OR(COUNTIF(PROVEEDORES[[#This Row],[PROVEEDOR]],"*"&amp;'Palabra no opera'!$A$2&amp;"*"))</f>
        <v>0</v>
      </c>
    </row>
    <row r="2173" spans="1:26" ht="22.35" customHeight="1" x14ac:dyDescent="0.3">
      <c r="A2173" s="367" t="str">
        <f>+IF(PROVEEDORES[[#This Row],[FECHA DE PAGO]]=PROVEEDORES[[#This Row],[FECHA DE FACTURACIÓN]],"DE CONTADO","CRÉDITO")</f>
        <v>CRÉDITO</v>
      </c>
      <c r="B2173" s="38" t="str">
        <f>+IF((PROVEEDORES[[#This Row],[FECHA DE PAGO]]-PROVEEDORES[[#This Row],[FECHA DE FACTURACIÓN]])&gt;PROVEEDORES[[#This Row],[PLAZO Días]],"PAGO VENCIDO")</f>
        <v>PAGO VENCIDO</v>
      </c>
      <c r="C2173" s="20">
        <f>+VLOOKUP(PROVEEDORES[[#This Row],[PROVEEDOR]],TERCEROS_INFO[#All],2,FALSE)</f>
        <v>30</v>
      </c>
      <c r="D2173" s="25">
        <f>+SUMIFS(PROVEEDORES[Total],PROVEEDORES[PROVEEDOR],PROVEEDORES[[#This Row],[PROVEEDOR]],PROVEEDORES[FECHA DE PAGO],"")</f>
        <v>10321993.199999999</v>
      </c>
      <c r="E2173" s="25"/>
      <c r="F2173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173" s="68">
        <v>45257</v>
      </c>
      <c r="H2173" s="26" t="s">
        <v>1068</v>
      </c>
      <c r="I2173" s="68">
        <v>45203</v>
      </c>
      <c r="J2173" s="35" t="s">
        <v>1995</v>
      </c>
      <c r="K2173" s="21">
        <v>4116710</v>
      </c>
      <c r="L2173" s="21">
        <v>316670</v>
      </c>
      <c r="M2173" s="22">
        <f>(PROVEEDORES[[#This Row],[SUBTOTAL]]-PROVEEDORES[[#This Row],[descuento sobre subtotal]])*VLOOKUP(PROVEEDORES[[#This Row],[PROVEEDOR]],TERCEROS_INFO[#All],3,FALSE)</f>
        <v>722007.6</v>
      </c>
      <c r="N2173" s="23"/>
      <c r="O2173" s="22">
        <f>+PROVEEDORES[[#This Row],[Descuento sobre subtotal %]]*(PROVEEDORES[[#This Row],[SUBTOTAL]]-PROVEEDORES[[#This Row],[descuento sobre subtotal]])</f>
        <v>0</v>
      </c>
      <c r="P2173" s="74">
        <f>+IF(PROVEEDORES[[#This Row],[SUBTOTAL]]&lt;PROVEEDORES[[#This Row],[base retencion]],0,PROVEEDORES[[#This Row],[retención aplicada]])</f>
        <v>2.5000000000000001E-2</v>
      </c>
      <c r="Q2173" s="22">
        <f>+PROVEEDORES[[#This Row],[Rete Fuente %]]*(PROVEEDORES[[#This Row],[SUBTOTAL]]-PROVEEDORES[[#This Row],[descuento sobre subtotal]])</f>
        <v>95001</v>
      </c>
      <c r="R2173" s="21">
        <f>+PROVEEDORES[[#This Row],[SUBTOTAL]]+PROVEEDORES[[#This Row],[IVA 19%]]-PROVEEDORES[[#This Row],[descuento sobre subtotal]]-PROVEEDORES[[#This Row],[Descuento sobre subtotal $2]]-PROVEEDORES[[#This Row],[Rete Fuente $]]</f>
        <v>4427046.5999999996</v>
      </c>
      <c r="S2173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3" s="63">
        <f ca="1">IF(PROVEEDORES[[#This Row],[FECHA DE PAGO]]=0,TODAY()-PROVEEDORES[[#This Row],[FECHA DE FACTURACIÓN]]-PROVEEDORES[[#This Row],[PLAZO Días]],0)</f>
        <v>0</v>
      </c>
      <c r="U2173" s="104" t="str">
        <f>+VLOOKUP(PROVEEDORES[[#This Row],[PROVEEDOR]],Terceros!$A:$D,4,FALSE)</f>
        <v>2,5% con base</v>
      </c>
      <c r="V2173" s="105">
        <f>+YEAR(PROVEEDORES[[#This Row],[FECHA DE FACTURACIÓN]])</f>
        <v>2023</v>
      </c>
      <c r="W2173" s="105">
        <f>+MATCH(PROVEEDORES[[#This Row],[año facturado]],Retenciones!$1:$1,0)</f>
        <v>6</v>
      </c>
      <c r="X2173" s="106">
        <f>+VLOOKUP(PROVEEDORES[[#This Row],[ID RETENCION]],Retenciones!$A$1:$O$25,PROVEEDORES[[#This Row],[indicador de columna]],FALSE)</f>
        <v>1145000</v>
      </c>
      <c r="Y2173" s="107">
        <f>+VLOOKUP(PROVEEDORES[[#This Row],[ID RETENCION]],Retenciones!$A$1:$O$25,2,FALSE)</f>
        <v>2.5000000000000001E-2</v>
      </c>
      <c r="Z2173" s="116" t="b">
        <f>OR(COUNTIF(PROVEEDORES[[#This Row],[PROVEEDOR]],"*"&amp;'Palabra no opera'!$A$2&amp;"*"))</f>
        <v>0</v>
      </c>
    </row>
    <row r="2174" spans="1:26" ht="22.35" customHeight="1" x14ac:dyDescent="0.3">
      <c r="A2174" s="67" t="str">
        <f>+IF(PROVEEDORES[[#This Row],[FECHA DE PAGO]]=PROVEEDORES[[#This Row],[FECHA DE FACTURACIÓN]],"DE CONTADO","CRÉDITO")</f>
        <v>DE CONTADO</v>
      </c>
      <c r="B2174" s="38" t="b">
        <f>+IF((PROVEEDORES[[#This Row],[FECHA DE PAGO]]-PROVEEDORES[[#This Row],[FECHA DE FACTURACIÓN]])&gt;PROVEEDORES[[#This Row],[PLAZO Días]],"PAGO VENCIDO")</f>
        <v>0</v>
      </c>
      <c r="C2174" s="20">
        <f>+VLOOKUP(PROVEEDORES[[#This Row],[PROVEEDOR]],TERCEROS_INFO[#All],2,FALSE)</f>
        <v>30</v>
      </c>
      <c r="D2174" s="25">
        <f>+SUMIFS(PROVEEDORES[Total],PROVEEDORES[PROVEEDOR],PROVEEDORES[[#This Row],[PROVEEDOR]],PROVEEDORES[FECHA DE PAGO],"")</f>
        <v>0</v>
      </c>
      <c r="E2174" s="25"/>
      <c r="F2174" s="56" t="str">
        <f>+VLOOKUP(PROVEEDORES[[#This Row],[PROVEEDOR]],
                       Terceros!$A:$F,
                       5,
                       FALSE)</f>
        <v/>
      </c>
      <c r="G2174" s="68">
        <v>45259</v>
      </c>
      <c r="H2174" s="26" t="s">
        <v>55</v>
      </c>
      <c r="I2174" s="68">
        <v>45259</v>
      </c>
      <c r="J2174" s="35" t="s">
        <v>2205</v>
      </c>
      <c r="K2174" s="21">
        <v>247000</v>
      </c>
      <c r="L2174" s="21"/>
      <c r="M2174" s="22">
        <f>(PROVEEDORES[[#This Row],[SUBTOTAL]]-PROVEEDORES[[#This Row],[descuento sobre subtotal]])*VLOOKUP(PROVEEDORES[[#This Row],[PROVEEDOR]],TERCEROS_INFO[#All],3,FALSE)</f>
        <v>0</v>
      </c>
      <c r="N2174" s="23"/>
      <c r="O2174" s="22">
        <f>+PROVEEDORES[[#This Row],[Descuento sobre subtotal %]]*(PROVEEDORES[[#This Row],[SUBTOTAL]]-PROVEEDORES[[#This Row],[descuento sobre subtotal]])</f>
        <v>0</v>
      </c>
      <c r="P2174" s="74">
        <f>+IF(PROVEEDORES[[#This Row],[SUBTOTAL]]&lt;PROVEEDORES[[#This Row],[base retencion]],0,PROVEEDORES[[#This Row],[retención aplicada]])</f>
        <v>0</v>
      </c>
      <c r="Q2174" s="22">
        <f>+PROVEEDORES[[#This Row],[Rete Fuente %]]*(PROVEEDORES[[#This Row],[SUBTOTAL]]-PROVEEDORES[[#This Row],[descuento sobre subtotal]])</f>
        <v>0</v>
      </c>
      <c r="R2174" s="21">
        <f>+PROVEEDORES[[#This Row],[SUBTOTAL]]+PROVEEDORES[[#This Row],[IVA 19%]]-PROVEEDORES[[#This Row],[descuento sobre subtotal]]-PROVEEDORES[[#This Row],[Descuento sobre subtotal $2]]-PROVEEDORES[[#This Row],[Rete Fuente $]]</f>
        <v>247000</v>
      </c>
      <c r="S21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4" s="63">
        <f ca="1">IF(PROVEEDORES[[#This Row],[FECHA DE PAGO]]=0,TODAY()-PROVEEDORES[[#This Row],[FECHA DE FACTURACIÓN]]-PROVEEDORES[[#This Row],[PLAZO Días]],0)</f>
        <v>0</v>
      </c>
      <c r="U2174" s="104">
        <f>+VLOOKUP(PROVEEDORES[[#This Row],[PROVEEDOR]],Terceros!$A:$D,4,FALSE)</f>
        <v>0</v>
      </c>
      <c r="V2174" s="105">
        <f>+YEAR(PROVEEDORES[[#This Row],[FECHA DE FACTURACIÓN]])</f>
        <v>2023</v>
      </c>
      <c r="W2174" s="105">
        <f>+MATCH(PROVEEDORES[[#This Row],[año facturado]],Retenciones!$1:$1,0)</f>
        <v>6</v>
      </c>
      <c r="X2174" s="106">
        <f>+VLOOKUP(PROVEEDORES[[#This Row],[ID RETENCION]],Retenciones!$A$1:$O$25,PROVEEDORES[[#This Row],[indicador de columna]],FALSE)</f>
        <v>0</v>
      </c>
      <c r="Y2174" s="107">
        <f>+VLOOKUP(PROVEEDORES[[#This Row],[ID RETENCION]],Retenciones!$A$1:$O$25,2,FALSE)</f>
        <v>0</v>
      </c>
      <c r="Z2174" s="116" t="b">
        <f>OR(COUNTIF(PROVEEDORES[[#This Row],[PROVEEDOR]],"*"&amp;'Palabra no opera'!$A$2&amp;"*"))</f>
        <v>0</v>
      </c>
    </row>
    <row r="2175" spans="1:26" ht="22.35" customHeight="1" x14ac:dyDescent="0.3">
      <c r="A2175" s="67" t="str">
        <f>+IF(PROVEEDORES[[#This Row],[FECHA DE PAGO]]=PROVEEDORES[[#This Row],[FECHA DE FACTURACIÓN]],"DE CONTADO","CRÉDITO")</f>
        <v>DE CONTADO</v>
      </c>
      <c r="B2175" s="38" t="b">
        <f>+IF((PROVEEDORES[[#This Row],[FECHA DE PAGO]]-PROVEEDORES[[#This Row],[FECHA DE FACTURACIÓN]])&gt;PROVEEDORES[[#This Row],[PLAZO Días]],"PAGO VENCIDO")</f>
        <v>0</v>
      </c>
      <c r="C2175" s="20">
        <f>+VLOOKUP(PROVEEDORES[[#This Row],[PROVEEDOR]],TERCEROS_INFO[#All],2,FALSE)</f>
        <v>30</v>
      </c>
      <c r="D2175" s="25">
        <f>+SUMIFS(PROVEEDORES[Total],PROVEEDORES[PROVEEDOR],PROVEEDORES[[#This Row],[PROVEEDOR]],PROVEEDORES[FECHA DE PAGO],"")</f>
        <v>0</v>
      </c>
      <c r="E2175" s="25"/>
      <c r="F2175" s="56" t="str">
        <f>+VLOOKUP(PROVEEDORES[[#This Row],[PROVEEDOR]],
                       Terceros!$A:$F,
                       5,
                       FALSE)</f>
        <v/>
      </c>
      <c r="G2175" s="68">
        <v>45259</v>
      </c>
      <c r="H2175" s="26" t="s">
        <v>55</v>
      </c>
      <c r="I2175" s="68">
        <v>45259</v>
      </c>
      <c r="J2175" s="35" t="s">
        <v>2205</v>
      </c>
      <c r="K2175" s="21">
        <v>25180000</v>
      </c>
      <c r="L2175" s="21"/>
      <c r="M2175" s="22">
        <f>(PROVEEDORES[[#This Row],[SUBTOTAL]]-PROVEEDORES[[#This Row],[descuento sobre subtotal]])*VLOOKUP(PROVEEDORES[[#This Row],[PROVEEDOR]],TERCEROS_INFO[#All],3,FALSE)</f>
        <v>0</v>
      </c>
      <c r="N2175" s="23"/>
      <c r="O2175" s="22">
        <f>+PROVEEDORES[[#This Row],[Descuento sobre subtotal %]]*(PROVEEDORES[[#This Row],[SUBTOTAL]]-PROVEEDORES[[#This Row],[descuento sobre subtotal]])</f>
        <v>0</v>
      </c>
      <c r="P2175" s="74">
        <f>+IF(PROVEEDORES[[#This Row],[SUBTOTAL]]&lt;PROVEEDORES[[#This Row],[base retencion]],0,PROVEEDORES[[#This Row],[retención aplicada]])</f>
        <v>0</v>
      </c>
      <c r="Q2175" s="22">
        <f>+PROVEEDORES[[#This Row],[Rete Fuente %]]*(PROVEEDORES[[#This Row],[SUBTOTAL]]-PROVEEDORES[[#This Row],[descuento sobre subtotal]])</f>
        <v>0</v>
      </c>
      <c r="R2175" s="21">
        <f>+PROVEEDORES[[#This Row],[SUBTOTAL]]+PROVEEDORES[[#This Row],[IVA 19%]]-PROVEEDORES[[#This Row],[descuento sobre subtotal]]-PROVEEDORES[[#This Row],[Descuento sobre subtotal $2]]-PROVEEDORES[[#This Row],[Rete Fuente $]]</f>
        <v>25180000</v>
      </c>
      <c r="S21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5" s="63">
        <f ca="1">IF(PROVEEDORES[[#This Row],[FECHA DE PAGO]]=0,TODAY()-PROVEEDORES[[#This Row],[FECHA DE FACTURACIÓN]]-PROVEEDORES[[#This Row],[PLAZO Días]],0)</f>
        <v>0</v>
      </c>
      <c r="U2175" s="104">
        <f>+VLOOKUP(PROVEEDORES[[#This Row],[PROVEEDOR]],Terceros!$A:$D,4,FALSE)</f>
        <v>0</v>
      </c>
      <c r="V2175" s="105">
        <f>+YEAR(PROVEEDORES[[#This Row],[FECHA DE FACTURACIÓN]])</f>
        <v>2023</v>
      </c>
      <c r="W2175" s="105">
        <f>+MATCH(PROVEEDORES[[#This Row],[año facturado]],Retenciones!$1:$1,0)</f>
        <v>6</v>
      </c>
      <c r="X2175" s="106">
        <f>+VLOOKUP(PROVEEDORES[[#This Row],[ID RETENCION]],Retenciones!$A$1:$O$25,PROVEEDORES[[#This Row],[indicador de columna]],FALSE)</f>
        <v>0</v>
      </c>
      <c r="Y2175" s="107">
        <f>+VLOOKUP(PROVEEDORES[[#This Row],[ID RETENCION]],Retenciones!$A$1:$O$25,2,FALSE)</f>
        <v>0</v>
      </c>
      <c r="Z2175" s="116" t="b">
        <f>OR(COUNTIF(PROVEEDORES[[#This Row],[PROVEEDOR]],"*"&amp;'Palabra no opera'!$A$2&amp;"*"))</f>
        <v>0</v>
      </c>
    </row>
    <row r="2176" spans="1:26" ht="22.35" customHeight="1" x14ac:dyDescent="0.3">
      <c r="A2176" s="67" t="str">
        <f>+IF(PROVEEDORES[[#This Row],[FECHA DE PAGO]]=PROVEEDORES[[#This Row],[FECHA DE FACTURACIÓN]],"DE CONTADO","CRÉDITO")</f>
        <v>DE CONTADO</v>
      </c>
      <c r="B2176" s="38" t="b">
        <f>+IF((PROVEEDORES[[#This Row],[FECHA DE PAGO]]-PROVEEDORES[[#This Row],[FECHA DE FACTURACIÓN]])&gt;PROVEEDORES[[#This Row],[PLAZO Días]],"PAGO VENCIDO")</f>
        <v>0</v>
      </c>
      <c r="C2176" s="20">
        <f>+VLOOKUP(PROVEEDORES[[#This Row],[PROVEEDOR]],TERCEROS_INFO[#All],2,FALSE)</f>
        <v>30</v>
      </c>
      <c r="D2176" s="25">
        <f>+SUMIFS(PROVEEDORES[Total],PROVEEDORES[PROVEEDOR],PROVEEDORES[[#This Row],[PROVEEDOR]],PROVEEDORES[FECHA DE PAGO],"")</f>
        <v>0</v>
      </c>
      <c r="E2176" s="25"/>
      <c r="F2176" s="56" t="str">
        <f>+VLOOKUP(PROVEEDORES[[#This Row],[PROVEEDOR]],
                       Terceros!$A:$F,
                       5,
                       FALSE)</f>
        <v/>
      </c>
      <c r="G2176" s="68">
        <v>45259</v>
      </c>
      <c r="H2176" s="26" t="s">
        <v>55</v>
      </c>
      <c r="I2176" s="68">
        <v>45259</v>
      </c>
      <c r="J2176" s="35" t="s">
        <v>2205</v>
      </c>
      <c r="K2176" s="21">
        <v>437000</v>
      </c>
      <c r="L2176" s="21"/>
      <c r="M2176" s="22">
        <f>(PROVEEDORES[[#This Row],[SUBTOTAL]]-PROVEEDORES[[#This Row],[descuento sobre subtotal]])*VLOOKUP(PROVEEDORES[[#This Row],[PROVEEDOR]],TERCEROS_INFO[#All],3,FALSE)</f>
        <v>0</v>
      </c>
      <c r="N2176" s="23"/>
      <c r="O2176" s="22">
        <f>+PROVEEDORES[[#This Row],[Descuento sobre subtotal %]]*(PROVEEDORES[[#This Row],[SUBTOTAL]]-PROVEEDORES[[#This Row],[descuento sobre subtotal]])</f>
        <v>0</v>
      </c>
      <c r="P2176" s="74">
        <f>+IF(PROVEEDORES[[#This Row],[SUBTOTAL]]&lt;PROVEEDORES[[#This Row],[base retencion]],0,PROVEEDORES[[#This Row],[retención aplicada]])</f>
        <v>0</v>
      </c>
      <c r="Q2176" s="22">
        <f>+PROVEEDORES[[#This Row],[Rete Fuente %]]*(PROVEEDORES[[#This Row],[SUBTOTAL]]-PROVEEDORES[[#This Row],[descuento sobre subtotal]])</f>
        <v>0</v>
      </c>
      <c r="R2176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217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6" s="63">
        <f ca="1">IF(PROVEEDORES[[#This Row],[FECHA DE PAGO]]=0,TODAY()-PROVEEDORES[[#This Row],[FECHA DE FACTURACIÓN]]-PROVEEDORES[[#This Row],[PLAZO Días]],0)</f>
        <v>0</v>
      </c>
      <c r="U2176" s="104">
        <f>+VLOOKUP(PROVEEDORES[[#This Row],[PROVEEDOR]],Terceros!$A:$D,4,FALSE)</f>
        <v>0</v>
      </c>
      <c r="V2176" s="105">
        <f>+YEAR(PROVEEDORES[[#This Row],[FECHA DE FACTURACIÓN]])</f>
        <v>2023</v>
      </c>
      <c r="W2176" s="105">
        <f>+MATCH(PROVEEDORES[[#This Row],[año facturado]],Retenciones!$1:$1,0)</f>
        <v>6</v>
      </c>
      <c r="X2176" s="106">
        <f>+VLOOKUP(PROVEEDORES[[#This Row],[ID RETENCION]],Retenciones!$A$1:$O$25,PROVEEDORES[[#This Row],[indicador de columna]],FALSE)</f>
        <v>0</v>
      </c>
      <c r="Y2176" s="107">
        <f>+VLOOKUP(PROVEEDORES[[#This Row],[ID RETENCION]],Retenciones!$A$1:$O$25,2,FALSE)</f>
        <v>0</v>
      </c>
      <c r="Z2176" s="116" t="b">
        <f>OR(COUNTIF(PROVEEDORES[[#This Row],[PROVEEDOR]],"*"&amp;'Palabra no opera'!$A$2&amp;"*"))</f>
        <v>0</v>
      </c>
    </row>
    <row r="2177" spans="1:26" ht="22.35" customHeight="1" x14ac:dyDescent="0.3">
      <c r="A2177" s="67" t="str">
        <f>+IF(PROVEEDORES[[#This Row],[FECHA DE PAGO]]=PROVEEDORES[[#This Row],[FECHA DE FACTURACIÓN]],"DE CONTADO","CRÉDITO")</f>
        <v>DE CONTADO</v>
      </c>
      <c r="B2177" s="38" t="b">
        <f>+IF((PROVEEDORES[[#This Row],[FECHA DE PAGO]]-PROVEEDORES[[#This Row],[FECHA DE FACTURACIÓN]])&gt;PROVEEDORES[[#This Row],[PLAZO Días]],"PAGO VENCIDO")</f>
        <v>0</v>
      </c>
      <c r="C2177" s="20">
        <f>+VLOOKUP(PROVEEDORES[[#This Row],[PROVEEDOR]],TERCEROS_INFO[#All],2,FALSE)</f>
        <v>30</v>
      </c>
      <c r="D2177" s="25">
        <f>+SUMIFS(PROVEEDORES[Total],PROVEEDORES[PROVEEDOR],PROVEEDORES[[#This Row],[PROVEEDOR]],PROVEEDORES[FECHA DE PAGO],"")</f>
        <v>0</v>
      </c>
      <c r="E2177" s="25"/>
      <c r="F2177" s="56" t="str">
        <f>+VLOOKUP(PROVEEDORES[[#This Row],[PROVEEDOR]],
                       Terceros!$A:$F,
                       5,
                       FALSE)</f>
        <v/>
      </c>
      <c r="G2177" s="68">
        <v>45259</v>
      </c>
      <c r="H2177" s="26" t="s">
        <v>55</v>
      </c>
      <c r="I2177" s="68">
        <v>45259</v>
      </c>
      <c r="J2177" s="35" t="s">
        <v>2205</v>
      </c>
      <c r="K2177" s="21">
        <v>2974000</v>
      </c>
      <c r="L2177" s="21"/>
      <c r="M2177" s="22">
        <f>(PROVEEDORES[[#This Row],[SUBTOTAL]]-PROVEEDORES[[#This Row],[descuento sobre subtotal]])*VLOOKUP(PROVEEDORES[[#This Row],[PROVEEDOR]],TERCEROS_INFO[#All],3,FALSE)</f>
        <v>0</v>
      </c>
      <c r="N2177" s="23"/>
      <c r="O2177" s="22">
        <f>+PROVEEDORES[[#This Row],[Descuento sobre subtotal %]]*(PROVEEDORES[[#This Row],[SUBTOTAL]]-PROVEEDORES[[#This Row],[descuento sobre subtotal]])</f>
        <v>0</v>
      </c>
      <c r="P2177" s="74">
        <f>+IF(PROVEEDORES[[#This Row],[SUBTOTAL]]&lt;PROVEEDORES[[#This Row],[base retencion]],0,PROVEEDORES[[#This Row],[retención aplicada]])</f>
        <v>0</v>
      </c>
      <c r="Q2177" s="22">
        <f>+PROVEEDORES[[#This Row],[Rete Fuente %]]*(PROVEEDORES[[#This Row],[SUBTOTAL]]-PROVEEDORES[[#This Row],[descuento sobre subtotal]])</f>
        <v>0</v>
      </c>
      <c r="R2177" s="21">
        <f>+PROVEEDORES[[#This Row],[SUBTOTAL]]+PROVEEDORES[[#This Row],[IVA 19%]]-PROVEEDORES[[#This Row],[descuento sobre subtotal]]-PROVEEDORES[[#This Row],[Descuento sobre subtotal $2]]-PROVEEDORES[[#This Row],[Rete Fuente $]]</f>
        <v>2974000</v>
      </c>
      <c r="S217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7" s="63">
        <f ca="1">IF(PROVEEDORES[[#This Row],[FECHA DE PAGO]]=0,TODAY()-PROVEEDORES[[#This Row],[FECHA DE FACTURACIÓN]]-PROVEEDORES[[#This Row],[PLAZO Días]],0)</f>
        <v>0</v>
      </c>
      <c r="U2177" s="104">
        <f>+VLOOKUP(PROVEEDORES[[#This Row],[PROVEEDOR]],Terceros!$A:$D,4,FALSE)</f>
        <v>0</v>
      </c>
      <c r="V2177" s="105">
        <f>+YEAR(PROVEEDORES[[#This Row],[FECHA DE FACTURACIÓN]])</f>
        <v>2023</v>
      </c>
      <c r="W2177" s="105">
        <f>+MATCH(PROVEEDORES[[#This Row],[año facturado]],Retenciones!$1:$1,0)</f>
        <v>6</v>
      </c>
      <c r="X2177" s="106">
        <f>+VLOOKUP(PROVEEDORES[[#This Row],[ID RETENCION]],Retenciones!$A$1:$O$25,PROVEEDORES[[#This Row],[indicador de columna]],FALSE)</f>
        <v>0</v>
      </c>
      <c r="Y2177" s="107">
        <f>+VLOOKUP(PROVEEDORES[[#This Row],[ID RETENCION]],Retenciones!$A$1:$O$25,2,FALSE)</f>
        <v>0</v>
      </c>
      <c r="Z2177" s="116" t="b">
        <f>OR(COUNTIF(PROVEEDORES[[#This Row],[PROVEEDOR]],"*"&amp;'Palabra no opera'!$A$2&amp;"*"))</f>
        <v>0</v>
      </c>
    </row>
    <row r="2178" spans="1:26" ht="22.35" customHeight="1" x14ac:dyDescent="0.3">
      <c r="A2178" s="67" t="str">
        <f>+IF(PROVEEDORES[[#This Row],[FECHA DE PAGO]]=PROVEEDORES[[#This Row],[FECHA DE FACTURACIÓN]],"DE CONTADO","CRÉDITO")</f>
        <v>DE CONTADO</v>
      </c>
      <c r="B2178" s="38" t="b">
        <f>+IF((PROVEEDORES[[#This Row],[FECHA DE PAGO]]-PROVEEDORES[[#This Row],[FECHA DE FACTURACIÓN]])&gt;PROVEEDORES[[#This Row],[PLAZO Días]],"PAGO VENCIDO")</f>
        <v>0</v>
      </c>
      <c r="C2178" s="20">
        <f>+VLOOKUP(PROVEEDORES[[#This Row],[PROVEEDOR]],TERCEROS_INFO[#All],2,FALSE)</f>
        <v>30</v>
      </c>
      <c r="D2178" s="25">
        <f>+SUMIFS(PROVEEDORES[Total],PROVEEDORES[PROVEEDOR],PROVEEDORES[[#This Row],[PROVEEDOR]],PROVEEDORES[FECHA DE PAGO],"")</f>
        <v>229206</v>
      </c>
      <c r="E2178" s="25"/>
      <c r="F2178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178" s="68">
        <v>45259</v>
      </c>
      <c r="H2178" s="26" t="s">
        <v>95</v>
      </c>
      <c r="I2178" s="68">
        <v>45259</v>
      </c>
      <c r="J2178" s="35" t="s">
        <v>2204</v>
      </c>
      <c r="K2178" s="21">
        <v>2992242</v>
      </c>
      <c r="L2178" s="21"/>
      <c r="M2178" s="22">
        <f>(PROVEEDORES[[#This Row],[SUBTOTAL]]-PROVEEDORES[[#This Row],[descuento sobre subtotal]])*VLOOKUP(PROVEEDORES[[#This Row],[PROVEEDOR]],TERCEROS_INFO[#All],3,FALSE)</f>
        <v>0</v>
      </c>
      <c r="N2178" s="23"/>
      <c r="O2178" s="22">
        <f>+PROVEEDORES[[#This Row],[Descuento sobre subtotal %]]*(PROVEEDORES[[#This Row],[SUBTOTAL]]-PROVEEDORES[[#This Row],[descuento sobre subtotal]])</f>
        <v>0</v>
      </c>
      <c r="P2178" s="74">
        <f>+IF(PROVEEDORES[[#This Row],[SUBTOTAL]]&lt;PROVEEDORES[[#This Row],[base retencion]],0,PROVEEDORES[[#This Row],[retención aplicada]])</f>
        <v>0</v>
      </c>
      <c r="Q2178" s="22">
        <f>+PROVEEDORES[[#This Row],[Rete Fuente %]]*(PROVEEDORES[[#This Row],[SUBTOTAL]]-PROVEEDORES[[#This Row],[descuento sobre subtotal]])</f>
        <v>0</v>
      </c>
      <c r="R2178" s="21">
        <f>+PROVEEDORES[[#This Row],[SUBTOTAL]]+PROVEEDORES[[#This Row],[IVA 19%]]-PROVEEDORES[[#This Row],[descuento sobre subtotal]]-PROVEEDORES[[#This Row],[Descuento sobre subtotal $2]]-PROVEEDORES[[#This Row],[Rete Fuente $]]</f>
        <v>2992242</v>
      </c>
      <c r="S21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8" s="63">
        <f ca="1">IF(PROVEEDORES[[#This Row],[FECHA DE PAGO]]=0,TODAY()-PROVEEDORES[[#This Row],[FECHA DE FACTURACIÓN]]-PROVEEDORES[[#This Row],[PLAZO Días]],0)</f>
        <v>0</v>
      </c>
      <c r="U2178" s="104">
        <f>+VLOOKUP(PROVEEDORES[[#This Row],[PROVEEDOR]],Terceros!$A:$D,4,FALSE)</f>
        <v>0</v>
      </c>
      <c r="V2178" s="105">
        <f>+YEAR(PROVEEDORES[[#This Row],[FECHA DE FACTURACIÓN]])</f>
        <v>2023</v>
      </c>
      <c r="W2178" s="105">
        <f>+MATCH(PROVEEDORES[[#This Row],[año facturado]],Retenciones!$1:$1,0)</f>
        <v>6</v>
      </c>
      <c r="X2178" s="106">
        <f>+VLOOKUP(PROVEEDORES[[#This Row],[ID RETENCION]],Retenciones!$A$1:$O$25,PROVEEDORES[[#This Row],[indicador de columna]],FALSE)</f>
        <v>0</v>
      </c>
      <c r="Y2178" s="107">
        <f>+VLOOKUP(PROVEEDORES[[#This Row],[ID RETENCION]],Retenciones!$A$1:$O$25,2,FALSE)</f>
        <v>0</v>
      </c>
      <c r="Z2178" s="116" t="b">
        <f>OR(COUNTIF(PROVEEDORES[[#This Row],[PROVEEDOR]],"*"&amp;'Palabra no opera'!$A$2&amp;"*"))</f>
        <v>0</v>
      </c>
    </row>
    <row r="2179" spans="1:26" ht="22.35" customHeight="1" x14ac:dyDescent="0.3">
      <c r="A2179" s="67" t="str">
        <f>+IF(PROVEEDORES[[#This Row],[FECHA DE PAGO]]=PROVEEDORES[[#This Row],[FECHA DE FACTURACIÓN]],"DE CONTADO","CRÉDITO")</f>
        <v>DE CONTADO</v>
      </c>
      <c r="B2179" s="38" t="b">
        <f>+IF((PROVEEDORES[[#This Row],[FECHA DE PAGO]]-PROVEEDORES[[#This Row],[FECHA DE FACTURACIÓN]])&gt;PROVEEDORES[[#This Row],[PLAZO Días]],"PAGO VENCIDO")</f>
        <v>0</v>
      </c>
      <c r="C2179" s="20">
        <f>+VLOOKUP(PROVEEDORES[[#This Row],[PROVEEDOR]],TERCEROS_INFO[#All],2,FALSE)</f>
        <v>30</v>
      </c>
      <c r="D2179" s="25">
        <f>+SUMIFS(PROVEEDORES[Total],PROVEEDORES[PROVEEDOR],PROVEEDORES[[#This Row],[PROVEEDOR]],PROVEEDORES[FECHA DE PAGO],"")</f>
        <v>0</v>
      </c>
      <c r="E2179" s="25"/>
      <c r="F2179" s="56" t="str">
        <f>+VLOOKUP(PROVEEDORES[[#This Row],[PROVEEDOR]],
                       Terceros!$A:$F,
                       5,
                       FALSE)</f>
        <v/>
      </c>
      <c r="G2179" s="68">
        <v>45260</v>
      </c>
      <c r="H2179" s="26" t="s">
        <v>1401</v>
      </c>
      <c r="I2179" s="68">
        <v>45260</v>
      </c>
      <c r="J2179" s="35" t="s">
        <v>1176</v>
      </c>
      <c r="K2179" s="21">
        <v>556000</v>
      </c>
      <c r="L2179" s="21"/>
      <c r="M2179" s="22">
        <f>(PROVEEDORES[[#This Row],[SUBTOTAL]]-PROVEEDORES[[#This Row],[descuento sobre subtotal]])*VLOOKUP(PROVEEDORES[[#This Row],[PROVEEDOR]],TERCEROS_INFO[#All],3,FALSE)</f>
        <v>0</v>
      </c>
      <c r="N2179" s="23"/>
      <c r="O2179" s="22">
        <f>+PROVEEDORES[[#This Row],[Descuento sobre subtotal %]]*(PROVEEDORES[[#This Row],[SUBTOTAL]]-PROVEEDORES[[#This Row],[descuento sobre subtotal]])</f>
        <v>0</v>
      </c>
      <c r="P2179" s="74">
        <f>+IF(PROVEEDORES[[#This Row],[SUBTOTAL]]&lt;PROVEEDORES[[#This Row],[base retencion]],0,PROVEEDORES[[#This Row],[retención aplicada]])</f>
        <v>0</v>
      </c>
      <c r="Q2179" s="22">
        <f>+PROVEEDORES[[#This Row],[Rete Fuente %]]*(PROVEEDORES[[#This Row],[SUBTOTAL]]-PROVEEDORES[[#This Row],[descuento sobre subtotal]])</f>
        <v>0</v>
      </c>
      <c r="R2179" s="21">
        <f>+PROVEEDORES[[#This Row],[SUBTOTAL]]+PROVEEDORES[[#This Row],[IVA 19%]]-PROVEEDORES[[#This Row],[descuento sobre subtotal]]-PROVEEDORES[[#This Row],[Descuento sobre subtotal $2]]-PROVEEDORES[[#This Row],[Rete Fuente $]]</f>
        <v>556000</v>
      </c>
      <c r="S217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9" s="63">
        <f ca="1">IF(PROVEEDORES[[#This Row],[FECHA DE PAGO]]=0,TODAY()-PROVEEDORES[[#This Row],[FECHA DE FACTURACIÓN]]-PROVEEDORES[[#This Row],[PLAZO Días]],0)</f>
        <v>0</v>
      </c>
      <c r="U2179" s="104">
        <f>+VLOOKUP(PROVEEDORES[[#This Row],[PROVEEDOR]],Terceros!$A:$D,4,FALSE)</f>
        <v>0</v>
      </c>
      <c r="V2179" s="105">
        <f>+YEAR(PROVEEDORES[[#This Row],[FECHA DE FACTURACIÓN]])</f>
        <v>2023</v>
      </c>
      <c r="W2179" s="105">
        <f>+MATCH(PROVEEDORES[[#This Row],[año facturado]],Retenciones!$1:$1,0)</f>
        <v>6</v>
      </c>
      <c r="X2179" s="106">
        <f>+VLOOKUP(PROVEEDORES[[#This Row],[ID RETENCION]],Retenciones!$A$1:$O$25,PROVEEDORES[[#This Row],[indicador de columna]],FALSE)</f>
        <v>0</v>
      </c>
      <c r="Y2179" s="107">
        <f>+VLOOKUP(PROVEEDORES[[#This Row],[ID RETENCION]],Retenciones!$A$1:$O$25,2,FALSE)</f>
        <v>0</v>
      </c>
      <c r="Z2179" s="116" t="b">
        <f>OR(COUNTIF(PROVEEDORES[[#This Row],[PROVEEDOR]],"*"&amp;'Palabra no opera'!$A$2&amp;"*"))</f>
        <v>0</v>
      </c>
    </row>
    <row r="2180" spans="1:26" ht="22.35" customHeight="1" x14ac:dyDescent="0.3">
      <c r="A2180" s="67" t="str">
        <f>+IF(PROVEEDORES[[#This Row],[FECHA DE PAGO]]=PROVEEDORES[[#This Row],[FECHA DE FACTURACIÓN]],"DE CONTADO","CRÉDITO")</f>
        <v>DE CONTADO</v>
      </c>
      <c r="B2180" s="38" t="b">
        <f>+IF((PROVEEDORES[[#This Row],[FECHA DE PAGO]]-PROVEEDORES[[#This Row],[FECHA DE FACTURACIÓN]])&gt;PROVEEDORES[[#This Row],[PLAZO Días]],"PAGO VENCIDO")</f>
        <v>0</v>
      </c>
      <c r="C2180" s="20">
        <f>+VLOOKUP(PROVEEDORES[[#This Row],[PROVEEDOR]],TERCEROS_INFO[#All],2,FALSE)</f>
        <v>30</v>
      </c>
      <c r="D2180" s="25">
        <f>+SUMIFS(PROVEEDORES[Total],PROVEEDORES[PROVEEDOR],PROVEEDORES[[#This Row],[PROVEEDOR]],PROVEEDORES[FECHA DE PAGO],"")</f>
        <v>0</v>
      </c>
      <c r="E2180" s="25"/>
      <c r="F2180" s="56" t="str">
        <f>+VLOOKUP(PROVEEDORES[[#This Row],[PROVEEDOR]],
                       Terceros!$A:$F,
                       5,
                       FALSE)</f>
        <v/>
      </c>
      <c r="G2180" s="68">
        <v>45260</v>
      </c>
      <c r="H2180" s="26" t="s">
        <v>1401</v>
      </c>
      <c r="I2180" s="68">
        <v>45260</v>
      </c>
      <c r="J2180" s="35" t="s">
        <v>1379</v>
      </c>
      <c r="K2180" s="21">
        <v>32000</v>
      </c>
      <c r="L2180" s="21"/>
      <c r="M2180" s="22">
        <f>(PROVEEDORES[[#This Row],[SUBTOTAL]]-PROVEEDORES[[#This Row],[descuento sobre subtotal]])*VLOOKUP(PROVEEDORES[[#This Row],[PROVEEDOR]],TERCEROS_INFO[#All],3,FALSE)</f>
        <v>0</v>
      </c>
      <c r="N2180" s="23"/>
      <c r="O2180" s="22">
        <f>+PROVEEDORES[[#This Row],[Descuento sobre subtotal %]]*(PROVEEDORES[[#This Row],[SUBTOTAL]]-PROVEEDORES[[#This Row],[descuento sobre subtotal]])</f>
        <v>0</v>
      </c>
      <c r="P2180" s="74">
        <f>+IF(PROVEEDORES[[#This Row],[SUBTOTAL]]&lt;PROVEEDORES[[#This Row],[base retencion]],0,PROVEEDORES[[#This Row],[retención aplicada]])</f>
        <v>0</v>
      </c>
      <c r="Q2180" s="22">
        <f>+PROVEEDORES[[#This Row],[Rete Fuente %]]*(PROVEEDORES[[#This Row],[SUBTOTAL]]-PROVEEDORES[[#This Row],[descuento sobre subtotal]])</f>
        <v>0</v>
      </c>
      <c r="R2180" s="21">
        <f>+PROVEEDORES[[#This Row],[SUBTOTAL]]+PROVEEDORES[[#This Row],[IVA 19%]]-PROVEEDORES[[#This Row],[descuento sobre subtotal]]-PROVEEDORES[[#This Row],[Descuento sobre subtotal $2]]-PROVEEDORES[[#This Row],[Rete Fuente $]]</f>
        <v>32000</v>
      </c>
      <c r="S21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0" s="63">
        <f ca="1">IF(PROVEEDORES[[#This Row],[FECHA DE PAGO]]=0,TODAY()-PROVEEDORES[[#This Row],[FECHA DE FACTURACIÓN]]-PROVEEDORES[[#This Row],[PLAZO Días]],0)</f>
        <v>0</v>
      </c>
      <c r="U2180" s="104">
        <f>+VLOOKUP(PROVEEDORES[[#This Row],[PROVEEDOR]],Terceros!$A:$D,4,FALSE)</f>
        <v>0</v>
      </c>
      <c r="V2180" s="105">
        <f>+YEAR(PROVEEDORES[[#This Row],[FECHA DE FACTURACIÓN]])</f>
        <v>2023</v>
      </c>
      <c r="W2180" s="105">
        <f>+MATCH(PROVEEDORES[[#This Row],[año facturado]],Retenciones!$1:$1,0)</f>
        <v>6</v>
      </c>
      <c r="X2180" s="106">
        <f>+VLOOKUP(PROVEEDORES[[#This Row],[ID RETENCION]],Retenciones!$A$1:$O$25,PROVEEDORES[[#This Row],[indicador de columna]],FALSE)</f>
        <v>0</v>
      </c>
      <c r="Y2180" s="107">
        <f>+VLOOKUP(PROVEEDORES[[#This Row],[ID RETENCION]],Retenciones!$A$1:$O$25,2,FALSE)</f>
        <v>0</v>
      </c>
      <c r="Z2180" s="116" t="b">
        <f>OR(COUNTIF(PROVEEDORES[[#This Row],[PROVEEDOR]],"*"&amp;'Palabra no opera'!$A$2&amp;"*"))</f>
        <v>0</v>
      </c>
    </row>
    <row r="2181" spans="1:26" ht="22.35" customHeight="1" x14ac:dyDescent="0.3">
      <c r="A2181" s="67" t="str">
        <f>+IF(PROVEEDORES[[#This Row],[FECHA DE PAGO]]=PROVEEDORES[[#This Row],[FECHA DE FACTURACIÓN]],"DE CONTADO","CRÉDITO")</f>
        <v>DE CONTADO</v>
      </c>
      <c r="B2181" s="38" t="b">
        <f>+IF((PROVEEDORES[[#This Row],[FECHA DE PAGO]]-PROVEEDORES[[#This Row],[FECHA DE FACTURACIÓN]])&gt;PROVEEDORES[[#This Row],[PLAZO Días]],"PAGO VENCIDO")</f>
        <v>0</v>
      </c>
      <c r="C2181" s="20">
        <f>+VLOOKUP(PROVEEDORES[[#This Row],[PROVEEDOR]],TERCEROS_INFO[#All],2,FALSE)</f>
        <v>30</v>
      </c>
      <c r="D2181" s="25">
        <f>+SUMIFS(PROVEEDORES[Total],PROVEEDORES[PROVEEDOR],PROVEEDORES[[#This Row],[PROVEEDOR]],PROVEEDORES[FECHA DE PAGO],"")</f>
        <v>0</v>
      </c>
      <c r="E2181" s="25"/>
      <c r="F2181" s="56" t="str">
        <f>+VLOOKUP(PROVEEDORES[[#This Row],[PROVEEDOR]],
                       Terceros!$A:$F,
                       5,
                       FALSE)</f>
        <v/>
      </c>
      <c r="G2181" s="68">
        <v>45260</v>
      </c>
      <c r="H2181" s="26" t="s">
        <v>1401</v>
      </c>
      <c r="I2181" s="68">
        <v>45260</v>
      </c>
      <c r="J2181" s="35" t="s">
        <v>1177</v>
      </c>
      <c r="K2181" s="21">
        <v>1599800</v>
      </c>
      <c r="L2181" s="21"/>
      <c r="M2181" s="22">
        <f>(PROVEEDORES[[#This Row],[SUBTOTAL]]-PROVEEDORES[[#This Row],[descuento sobre subtotal]])*VLOOKUP(PROVEEDORES[[#This Row],[PROVEEDOR]],TERCEROS_INFO[#All],3,FALSE)</f>
        <v>0</v>
      </c>
      <c r="N2181" s="23"/>
      <c r="O2181" s="22">
        <f>+PROVEEDORES[[#This Row],[Descuento sobre subtotal %]]*(PROVEEDORES[[#This Row],[SUBTOTAL]]-PROVEEDORES[[#This Row],[descuento sobre subtotal]])</f>
        <v>0</v>
      </c>
      <c r="P2181" s="74">
        <f>+IF(PROVEEDORES[[#This Row],[SUBTOTAL]]&lt;PROVEEDORES[[#This Row],[base retencion]],0,PROVEEDORES[[#This Row],[retención aplicada]])</f>
        <v>0</v>
      </c>
      <c r="Q2181" s="22">
        <f>+PROVEEDORES[[#This Row],[Rete Fuente %]]*(PROVEEDORES[[#This Row],[SUBTOTAL]]-PROVEEDORES[[#This Row],[descuento sobre subtotal]])</f>
        <v>0</v>
      </c>
      <c r="R2181" s="21">
        <f>+PROVEEDORES[[#This Row],[SUBTOTAL]]+PROVEEDORES[[#This Row],[IVA 19%]]-PROVEEDORES[[#This Row],[descuento sobre subtotal]]-PROVEEDORES[[#This Row],[Descuento sobre subtotal $2]]-PROVEEDORES[[#This Row],[Rete Fuente $]]</f>
        <v>1599800</v>
      </c>
      <c r="S218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1" s="63">
        <f ca="1">IF(PROVEEDORES[[#This Row],[FECHA DE PAGO]]=0,TODAY()-PROVEEDORES[[#This Row],[FECHA DE FACTURACIÓN]]-PROVEEDORES[[#This Row],[PLAZO Días]],0)</f>
        <v>0</v>
      </c>
      <c r="U2181" s="104">
        <f>+VLOOKUP(PROVEEDORES[[#This Row],[PROVEEDOR]],Terceros!$A:$D,4,FALSE)</f>
        <v>0</v>
      </c>
      <c r="V2181" s="105">
        <f>+YEAR(PROVEEDORES[[#This Row],[FECHA DE FACTURACIÓN]])</f>
        <v>2023</v>
      </c>
      <c r="W2181" s="105">
        <f>+MATCH(PROVEEDORES[[#This Row],[año facturado]],Retenciones!$1:$1,0)</f>
        <v>6</v>
      </c>
      <c r="X2181" s="106">
        <f>+VLOOKUP(PROVEEDORES[[#This Row],[ID RETENCION]],Retenciones!$A$1:$O$25,PROVEEDORES[[#This Row],[indicador de columna]],FALSE)</f>
        <v>0</v>
      </c>
      <c r="Y2181" s="107">
        <f>+VLOOKUP(PROVEEDORES[[#This Row],[ID RETENCION]],Retenciones!$A$1:$O$25,2,FALSE)</f>
        <v>0</v>
      </c>
      <c r="Z2181" s="116" t="b">
        <f>OR(COUNTIF(PROVEEDORES[[#This Row],[PROVEEDOR]],"*"&amp;'Palabra no opera'!$A$2&amp;"*"))</f>
        <v>0</v>
      </c>
    </row>
    <row r="2182" spans="1:26" ht="22.35" customHeight="1" x14ac:dyDescent="0.3">
      <c r="A2182" s="67" t="str">
        <f>+IF(PROVEEDORES[[#This Row],[FECHA DE PAGO]]=PROVEEDORES[[#This Row],[FECHA DE FACTURACIÓN]],"DE CONTADO","CRÉDITO")</f>
        <v>DE CONTADO</v>
      </c>
      <c r="B2182" s="38" t="b">
        <f>+IF((PROVEEDORES[[#This Row],[FECHA DE PAGO]]-PROVEEDORES[[#This Row],[FECHA DE FACTURACIÓN]])&gt;PROVEEDORES[[#This Row],[PLAZO Días]],"PAGO VENCIDO")</f>
        <v>0</v>
      </c>
      <c r="C2182" s="20">
        <f>+VLOOKUP(PROVEEDORES[[#This Row],[PROVEEDOR]],TERCEROS_INFO[#All],2,FALSE)</f>
        <v>30</v>
      </c>
      <c r="D2182" s="25">
        <f>+SUMIFS(PROVEEDORES[Total],PROVEEDORES[PROVEEDOR],PROVEEDORES[[#This Row],[PROVEEDOR]],PROVEEDORES[FECHA DE PAGO],"")</f>
        <v>0</v>
      </c>
      <c r="E2182" s="25"/>
      <c r="F2182" s="56" t="str">
        <f>+VLOOKUP(PROVEEDORES[[#This Row],[PROVEEDOR]],
                       Terceros!$A:$F,
                       5,
                       FALSE)</f>
        <v/>
      </c>
      <c r="G2182" s="68">
        <v>45260</v>
      </c>
      <c r="H2182" s="26" t="s">
        <v>1401</v>
      </c>
      <c r="I2182" s="68">
        <v>45260</v>
      </c>
      <c r="J2182" s="35" t="s">
        <v>1179</v>
      </c>
      <c r="K2182" s="21">
        <v>313000</v>
      </c>
      <c r="L2182" s="21"/>
      <c r="M2182" s="22">
        <f>(PROVEEDORES[[#This Row],[SUBTOTAL]]-PROVEEDORES[[#This Row],[descuento sobre subtotal]])*VLOOKUP(PROVEEDORES[[#This Row],[PROVEEDOR]],TERCEROS_INFO[#All],3,FALSE)</f>
        <v>0</v>
      </c>
      <c r="N2182" s="23"/>
      <c r="O2182" s="22">
        <f>+PROVEEDORES[[#This Row],[Descuento sobre subtotal %]]*(PROVEEDORES[[#This Row],[SUBTOTAL]]-PROVEEDORES[[#This Row],[descuento sobre subtotal]])</f>
        <v>0</v>
      </c>
      <c r="P2182" s="74">
        <f>+IF(PROVEEDORES[[#This Row],[SUBTOTAL]]&lt;PROVEEDORES[[#This Row],[base retencion]],0,PROVEEDORES[[#This Row],[retención aplicada]])</f>
        <v>0</v>
      </c>
      <c r="Q2182" s="22">
        <f>+PROVEEDORES[[#This Row],[Rete Fuente %]]*(PROVEEDORES[[#This Row],[SUBTOTAL]]-PROVEEDORES[[#This Row],[descuento sobre subtotal]])</f>
        <v>0</v>
      </c>
      <c r="R2182" s="21">
        <f>+PROVEEDORES[[#This Row],[SUBTOTAL]]+PROVEEDORES[[#This Row],[IVA 19%]]-PROVEEDORES[[#This Row],[descuento sobre subtotal]]-PROVEEDORES[[#This Row],[Descuento sobre subtotal $2]]-PROVEEDORES[[#This Row],[Rete Fuente $]]</f>
        <v>313000</v>
      </c>
      <c r="S21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2" s="63">
        <f ca="1">IF(PROVEEDORES[[#This Row],[FECHA DE PAGO]]=0,TODAY()-PROVEEDORES[[#This Row],[FECHA DE FACTURACIÓN]]-PROVEEDORES[[#This Row],[PLAZO Días]],0)</f>
        <v>0</v>
      </c>
      <c r="U2182" s="104">
        <f>+VLOOKUP(PROVEEDORES[[#This Row],[PROVEEDOR]],Terceros!$A:$D,4,FALSE)</f>
        <v>0</v>
      </c>
      <c r="V2182" s="105">
        <f>+YEAR(PROVEEDORES[[#This Row],[FECHA DE FACTURACIÓN]])</f>
        <v>2023</v>
      </c>
      <c r="W2182" s="105">
        <f>+MATCH(PROVEEDORES[[#This Row],[año facturado]],Retenciones!$1:$1,0)</f>
        <v>6</v>
      </c>
      <c r="X2182" s="106">
        <f>+VLOOKUP(PROVEEDORES[[#This Row],[ID RETENCION]],Retenciones!$A$1:$O$25,PROVEEDORES[[#This Row],[indicador de columna]],FALSE)</f>
        <v>0</v>
      </c>
      <c r="Y2182" s="107">
        <f>+VLOOKUP(PROVEEDORES[[#This Row],[ID RETENCION]],Retenciones!$A$1:$O$25,2,FALSE)</f>
        <v>0</v>
      </c>
      <c r="Z2182" s="116" t="b">
        <f>OR(COUNTIF(PROVEEDORES[[#This Row],[PROVEEDOR]],"*"&amp;'Palabra no opera'!$A$2&amp;"*"))</f>
        <v>0</v>
      </c>
    </row>
    <row r="2183" spans="1:26" ht="22.35" customHeight="1" x14ac:dyDescent="0.3">
      <c r="A2183" s="67" t="str">
        <f>+IF(PROVEEDORES[[#This Row],[FECHA DE PAGO]]=PROVEEDORES[[#This Row],[FECHA DE FACTURACIÓN]],"DE CONTADO","CRÉDITO")</f>
        <v>DE CONTADO</v>
      </c>
      <c r="B2183" s="38" t="b">
        <f>+IF((PROVEEDORES[[#This Row],[FECHA DE PAGO]]-PROVEEDORES[[#This Row],[FECHA DE FACTURACIÓN]])&gt;PROVEEDORES[[#This Row],[PLAZO Días]],"PAGO VENCIDO")</f>
        <v>0</v>
      </c>
      <c r="C2183" s="20">
        <f>+VLOOKUP(PROVEEDORES[[#This Row],[PROVEEDOR]],TERCEROS_INFO[#All],2,FALSE)</f>
        <v>30</v>
      </c>
      <c r="D2183" s="25">
        <f>+SUMIFS(PROVEEDORES[Total],PROVEEDORES[PROVEEDOR],PROVEEDORES[[#This Row],[PROVEEDOR]],PROVEEDORES[FECHA DE PAGO],"")</f>
        <v>0</v>
      </c>
      <c r="E2183" s="25"/>
      <c r="F2183" s="56" t="str">
        <f>+VLOOKUP(PROVEEDORES[[#This Row],[PROVEEDOR]],
                       Terceros!$A:$F,
                       5,
                       FALSE)</f>
        <v/>
      </c>
      <c r="G2183" s="68">
        <v>45260</v>
      </c>
      <c r="H2183" s="26" t="s">
        <v>1401</v>
      </c>
      <c r="I2183" s="68">
        <v>45260</v>
      </c>
      <c r="J2183" s="35" t="s">
        <v>1178</v>
      </c>
      <c r="K2183" s="21">
        <v>452200</v>
      </c>
      <c r="L2183" s="21"/>
      <c r="M2183" s="22">
        <f>(PROVEEDORES[[#This Row],[SUBTOTAL]]-PROVEEDORES[[#This Row],[descuento sobre subtotal]])*VLOOKUP(PROVEEDORES[[#This Row],[PROVEEDOR]],TERCEROS_INFO[#All],3,FALSE)</f>
        <v>0</v>
      </c>
      <c r="N2183" s="23"/>
      <c r="O2183" s="22">
        <f>+PROVEEDORES[[#This Row],[Descuento sobre subtotal %]]*(PROVEEDORES[[#This Row],[SUBTOTAL]]-PROVEEDORES[[#This Row],[descuento sobre subtotal]])</f>
        <v>0</v>
      </c>
      <c r="P2183" s="74">
        <f>+IF(PROVEEDORES[[#This Row],[SUBTOTAL]]&lt;PROVEEDORES[[#This Row],[base retencion]],0,PROVEEDORES[[#This Row],[retención aplicada]])</f>
        <v>0</v>
      </c>
      <c r="Q2183" s="22">
        <f>+PROVEEDORES[[#This Row],[Rete Fuente %]]*(PROVEEDORES[[#This Row],[SUBTOTAL]]-PROVEEDORES[[#This Row],[descuento sobre subtotal]])</f>
        <v>0</v>
      </c>
      <c r="R2183" s="21">
        <f>+PROVEEDORES[[#This Row],[SUBTOTAL]]+PROVEEDORES[[#This Row],[IVA 19%]]-PROVEEDORES[[#This Row],[descuento sobre subtotal]]-PROVEEDORES[[#This Row],[Descuento sobre subtotal $2]]-PROVEEDORES[[#This Row],[Rete Fuente $]]</f>
        <v>452200</v>
      </c>
      <c r="S21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3" s="63">
        <f ca="1">IF(PROVEEDORES[[#This Row],[FECHA DE PAGO]]=0,TODAY()-PROVEEDORES[[#This Row],[FECHA DE FACTURACIÓN]]-PROVEEDORES[[#This Row],[PLAZO Días]],0)</f>
        <v>0</v>
      </c>
      <c r="U2183" s="104">
        <f>+VLOOKUP(PROVEEDORES[[#This Row],[PROVEEDOR]],Terceros!$A:$D,4,FALSE)</f>
        <v>0</v>
      </c>
      <c r="V2183" s="105">
        <f>+YEAR(PROVEEDORES[[#This Row],[FECHA DE FACTURACIÓN]])</f>
        <v>2023</v>
      </c>
      <c r="W2183" s="105">
        <f>+MATCH(PROVEEDORES[[#This Row],[año facturado]],Retenciones!$1:$1,0)</f>
        <v>6</v>
      </c>
      <c r="X2183" s="106">
        <f>+VLOOKUP(PROVEEDORES[[#This Row],[ID RETENCION]],Retenciones!$A$1:$O$25,PROVEEDORES[[#This Row],[indicador de columna]],FALSE)</f>
        <v>0</v>
      </c>
      <c r="Y2183" s="107">
        <f>+VLOOKUP(PROVEEDORES[[#This Row],[ID RETENCION]],Retenciones!$A$1:$O$25,2,FALSE)</f>
        <v>0</v>
      </c>
      <c r="Z2183" s="116" t="b">
        <f>OR(COUNTIF(PROVEEDORES[[#This Row],[PROVEEDOR]],"*"&amp;'Palabra no opera'!$A$2&amp;"*"))</f>
        <v>0</v>
      </c>
    </row>
    <row r="2184" spans="1:26" ht="22.35" customHeight="1" x14ac:dyDescent="0.3">
      <c r="A2184" s="67" t="str">
        <f>+IF(PROVEEDORES[[#This Row],[FECHA DE PAGO]]=PROVEEDORES[[#This Row],[FECHA DE FACTURACIÓN]],"DE CONTADO","CRÉDITO")</f>
        <v>DE CONTADO</v>
      </c>
      <c r="B2184" s="38" t="b">
        <f>+IF((PROVEEDORES[[#This Row],[FECHA DE PAGO]]-PROVEEDORES[[#This Row],[FECHA DE FACTURACIÓN]])&gt;PROVEEDORES[[#This Row],[PLAZO Días]],"PAGO VENCIDO")</f>
        <v>0</v>
      </c>
      <c r="C2184" s="20">
        <f>+VLOOKUP(PROVEEDORES[[#This Row],[PROVEEDOR]],TERCEROS_INFO[#All],2,FALSE)</f>
        <v>30</v>
      </c>
      <c r="D2184" s="25">
        <f>+SUMIFS(PROVEEDORES[Total],PROVEEDORES[PROVEEDOR],PROVEEDORES[[#This Row],[PROVEEDOR]],PROVEEDORES[FECHA DE PAGO],"")</f>
        <v>0</v>
      </c>
      <c r="E2184" s="25"/>
      <c r="F2184" s="56" t="str">
        <f>+VLOOKUP(PROVEEDORES[[#This Row],[PROVEEDOR]],
                       Terceros!$A:$F,
                       5,
                       FALSE)</f>
        <v/>
      </c>
      <c r="G2184" s="68">
        <v>45260</v>
      </c>
      <c r="H2184" s="26" t="s">
        <v>1401</v>
      </c>
      <c r="I2184" s="68">
        <v>45260</v>
      </c>
      <c r="J2184" s="35" t="s">
        <v>1180</v>
      </c>
      <c r="K2184" s="21">
        <v>269600</v>
      </c>
      <c r="L2184" s="21"/>
      <c r="M2184" s="22">
        <f>(PROVEEDORES[[#This Row],[SUBTOTAL]]-PROVEEDORES[[#This Row],[descuento sobre subtotal]])*VLOOKUP(PROVEEDORES[[#This Row],[PROVEEDOR]],TERCEROS_INFO[#All],3,FALSE)</f>
        <v>0</v>
      </c>
      <c r="N2184" s="23"/>
      <c r="O2184" s="22">
        <f>+PROVEEDORES[[#This Row],[Descuento sobre subtotal %]]*(PROVEEDORES[[#This Row],[SUBTOTAL]]-PROVEEDORES[[#This Row],[descuento sobre subtotal]])</f>
        <v>0</v>
      </c>
      <c r="P2184" s="74">
        <f>+IF(PROVEEDORES[[#This Row],[SUBTOTAL]]&lt;PROVEEDORES[[#This Row],[base retencion]],0,PROVEEDORES[[#This Row],[retención aplicada]])</f>
        <v>0</v>
      </c>
      <c r="Q2184" s="22">
        <f>+PROVEEDORES[[#This Row],[Rete Fuente %]]*(PROVEEDORES[[#This Row],[SUBTOTAL]]-PROVEEDORES[[#This Row],[descuento sobre subtotal]])</f>
        <v>0</v>
      </c>
      <c r="R2184" s="21">
        <f>+PROVEEDORES[[#This Row],[SUBTOTAL]]+PROVEEDORES[[#This Row],[IVA 19%]]-PROVEEDORES[[#This Row],[descuento sobre subtotal]]-PROVEEDORES[[#This Row],[Descuento sobre subtotal $2]]-PROVEEDORES[[#This Row],[Rete Fuente $]]</f>
        <v>269600</v>
      </c>
      <c r="S218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4" s="63">
        <f ca="1">IF(PROVEEDORES[[#This Row],[FECHA DE PAGO]]=0,TODAY()-PROVEEDORES[[#This Row],[FECHA DE FACTURACIÓN]]-PROVEEDORES[[#This Row],[PLAZO Días]],0)</f>
        <v>0</v>
      </c>
      <c r="U2184" s="104">
        <f>+VLOOKUP(PROVEEDORES[[#This Row],[PROVEEDOR]],Terceros!$A:$D,4,FALSE)</f>
        <v>0</v>
      </c>
      <c r="V2184" s="105">
        <f>+YEAR(PROVEEDORES[[#This Row],[FECHA DE FACTURACIÓN]])</f>
        <v>2023</v>
      </c>
      <c r="W2184" s="105">
        <f>+MATCH(PROVEEDORES[[#This Row],[año facturado]],Retenciones!$1:$1,0)</f>
        <v>6</v>
      </c>
      <c r="X2184" s="106">
        <f>+VLOOKUP(PROVEEDORES[[#This Row],[ID RETENCION]],Retenciones!$A$1:$O$25,PROVEEDORES[[#This Row],[indicador de columna]],FALSE)</f>
        <v>0</v>
      </c>
      <c r="Y2184" s="107">
        <f>+VLOOKUP(PROVEEDORES[[#This Row],[ID RETENCION]],Retenciones!$A$1:$O$25,2,FALSE)</f>
        <v>0</v>
      </c>
      <c r="Z2184" s="116" t="b">
        <f>OR(COUNTIF(PROVEEDORES[[#This Row],[PROVEEDOR]],"*"&amp;'Palabra no opera'!$A$2&amp;"*"))</f>
        <v>0</v>
      </c>
    </row>
    <row r="2185" spans="1:26" ht="22.35" customHeight="1" x14ac:dyDescent="0.3">
      <c r="A2185" s="390" t="str">
        <f>+IF(PROVEEDORES[[#This Row],[FECHA DE PAGO]]=PROVEEDORES[[#This Row],[FECHA DE FACTURACIÓN]],"DE CONTADO","CRÉDITO")</f>
        <v>DE CONTADO</v>
      </c>
      <c r="B2185" s="38" t="b">
        <f>+IF((PROVEEDORES[[#This Row],[FECHA DE PAGO]]-PROVEEDORES[[#This Row],[FECHA DE FACTURACIÓN]])&gt;PROVEEDORES[[#This Row],[PLAZO Días]],"PAGO VENCIDO")</f>
        <v>0</v>
      </c>
      <c r="C2185" s="20">
        <f>+VLOOKUP(PROVEEDORES[[#This Row],[PROVEEDOR]],TERCEROS_INFO[#All],2,FALSE)</f>
        <v>30</v>
      </c>
      <c r="D2185" s="25">
        <f>+SUMIFS(PROVEEDORES[Total],PROVEEDORES[PROVEEDOR],PROVEEDORES[[#This Row],[PROVEEDOR]],PROVEEDORES[FECHA DE PAGO],"")</f>
        <v>0</v>
      </c>
      <c r="E2185" s="25"/>
      <c r="F2185" s="56" t="str">
        <f>+VLOOKUP(PROVEEDORES[[#This Row],[PROVEEDOR]],
                       Terceros!$A:$F,
                       5,
                       FALSE)</f>
        <v/>
      </c>
      <c r="G2185" s="68">
        <v>45261</v>
      </c>
      <c r="H2185" s="26" t="s">
        <v>1401</v>
      </c>
      <c r="I2185" s="68">
        <v>45261</v>
      </c>
      <c r="J2185" s="35" t="s">
        <v>2144</v>
      </c>
      <c r="K2185" s="21">
        <v>200000</v>
      </c>
      <c r="L2185" s="21"/>
      <c r="M2185" s="22">
        <f>(PROVEEDORES[[#This Row],[SUBTOTAL]]-PROVEEDORES[[#This Row],[descuento sobre subtotal]])*VLOOKUP(PROVEEDORES[[#This Row],[PROVEEDOR]],TERCEROS_INFO[#All],3,FALSE)</f>
        <v>0</v>
      </c>
      <c r="N2185" s="23"/>
      <c r="O2185" s="22">
        <f>+PROVEEDORES[[#This Row],[Descuento sobre subtotal %]]*(PROVEEDORES[[#This Row],[SUBTOTAL]]-PROVEEDORES[[#This Row],[descuento sobre subtotal]])</f>
        <v>0</v>
      </c>
      <c r="P2185" s="74">
        <f>+IF(PROVEEDORES[[#This Row],[SUBTOTAL]]&lt;PROVEEDORES[[#This Row],[base retencion]],0,PROVEEDORES[[#This Row],[retención aplicada]])</f>
        <v>0</v>
      </c>
      <c r="Q2185" s="22">
        <f>+PROVEEDORES[[#This Row],[Rete Fuente %]]*(PROVEEDORES[[#This Row],[SUBTOTAL]]-PROVEEDORES[[#This Row],[descuento sobre subtotal]])</f>
        <v>0</v>
      </c>
      <c r="R2185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2185" s="3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5" s="63">
        <f ca="1">IF(PROVEEDORES[[#This Row],[FECHA DE PAGO]]=0,TODAY()-PROVEEDORES[[#This Row],[FECHA DE FACTURACIÓN]]-PROVEEDORES[[#This Row],[PLAZO Días]],0)</f>
        <v>0</v>
      </c>
      <c r="U2185" s="104">
        <f>+VLOOKUP(PROVEEDORES[[#This Row],[PROVEEDOR]],Terceros!$A:$D,4,FALSE)</f>
        <v>0</v>
      </c>
      <c r="V2185" s="105">
        <f>+YEAR(PROVEEDORES[[#This Row],[FECHA DE FACTURACIÓN]])</f>
        <v>2023</v>
      </c>
      <c r="W2185" s="105">
        <f>+MATCH(PROVEEDORES[[#This Row],[año facturado]],Retenciones!$1:$1,0)</f>
        <v>6</v>
      </c>
      <c r="X2185" s="106">
        <f>+VLOOKUP(PROVEEDORES[[#This Row],[ID RETENCION]],Retenciones!$A$1:$O$25,PROVEEDORES[[#This Row],[indicador de columna]],FALSE)</f>
        <v>0</v>
      </c>
      <c r="Y2185" s="107">
        <f>+VLOOKUP(PROVEEDORES[[#This Row],[ID RETENCION]],Retenciones!$A$1:$O$25,2,FALSE)</f>
        <v>0</v>
      </c>
      <c r="Z2185" s="116" t="b">
        <f>OR(COUNTIF(PROVEEDORES[[#This Row],[PROVEEDOR]],"*"&amp;'Palabra no opera'!$A$2&amp;"*"))</f>
        <v>0</v>
      </c>
    </row>
    <row r="2186" spans="1:26" ht="22.35" customHeight="1" x14ac:dyDescent="0.3">
      <c r="A2186" s="390" t="str">
        <f>+IF(PROVEEDORES[[#This Row],[FECHA DE PAGO]]=PROVEEDORES[[#This Row],[FECHA DE FACTURACIÓN]],"DE CONTADO","CRÉDITO")</f>
        <v>DE CONTADO</v>
      </c>
      <c r="B2186" s="38" t="b">
        <f>+IF((PROVEEDORES[[#This Row],[FECHA DE PAGO]]-PROVEEDORES[[#This Row],[FECHA DE FACTURACIÓN]])&gt;PROVEEDORES[[#This Row],[PLAZO Días]],"PAGO VENCIDO")</f>
        <v>0</v>
      </c>
      <c r="C2186" s="20">
        <f>+VLOOKUP(PROVEEDORES[[#This Row],[PROVEEDOR]],TERCEROS_INFO[#All],2,FALSE)</f>
        <v>30</v>
      </c>
      <c r="D2186" s="25">
        <f>+SUMIFS(PROVEEDORES[Total],PROVEEDORES[PROVEEDOR],PROVEEDORES[[#This Row],[PROVEEDOR]],PROVEEDORES[FECHA DE PAGO],"")</f>
        <v>0</v>
      </c>
      <c r="E2186" s="25"/>
      <c r="F2186" s="56" t="str">
        <f>+VLOOKUP(PROVEEDORES[[#This Row],[PROVEEDOR]],
                       Terceros!$A:$F,
                       5,
                       FALSE)</f>
        <v/>
      </c>
      <c r="G2186" s="68">
        <v>45261</v>
      </c>
      <c r="H2186" s="26" t="s">
        <v>390</v>
      </c>
      <c r="I2186" s="68">
        <v>45261</v>
      </c>
      <c r="J2186" s="35"/>
      <c r="K2186" s="21">
        <v>1000000</v>
      </c>
      <c r="L2186" s="21"/>
      <c r="M2186" s="22">
        <f>(PROVEEDORES[[#This Row],[SUBTOTAL]]-PROVEEDORES[[#This Row],[descuento sobre subtotal]])*VLOOKUP(PROVEEDORES[[#This Row],[PROVEEDOR]],TERCEROS_INFO[#All],3,FALSE)</f>
        <v>0</v>
      </c>
      <c r="N2186" s="23"/>
      <c r="O2186" s="22">
        <f>+PROVEEDORES[[#This Row],[Descuento sobre subtotal %]]*(PROVEEDORES[[#This Row],[SUBTOTAL]]-PROVEEDORES[[#This Row],[descuento sobre subtotal]])</f>
        <v>0</v>
      </c>
      <c r="P2186" s="74">
        <f>+IF(PROVEEDORES[[#This Row],[SUBTOTAL]]&lt;PROVEEDORES[[#This Row],[base retencion]],0,PROVEEDORES[[#This Row],[retención aplicada]])</f>
        <v>0</v>
      </c>
      <c r="Q2186" s="22">
        <f>+PROVEEDORES[[#This Row],[Rete Fuente %]]*(PROVEEDORES[[#This Row],[SUBTOTAL]]-PROVEEDORES[[#This Row],[descuento sobre subtotal]])</f>
        <v>0</v>
      </c>
      <c r="R218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186" s="3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6" s="63">
        <f ca="1">IF(PROVEEDORES[[#This Row],[FECHA DE PAGO]]=0,TODAY()-PROVEEDORES[[#This Row],[FECHA DE FACTURACIÓN]]-PROVEEDORES[[#This Row],[PLAZO Días]],0)</f>
        <v>0</v>
      </c>
      <c r="U2186" s="104">
        <f>+VLOOKUP(PROVEEDORES[[#This Row],[PROVEEDOR]],Terceros!$A:$D,4,FALSE)</f>
        <v>0</v>
      </c>
      <c r="V2186" s="105">
        <f>+YEAR(PROVEEDORES[[#This Row],[FECHA DE FACTURACIÓN]])</f>
        <v>2023</v>
      </c>
      <c r="W2186" s="105">
        <f>+MATCH(PROVEEDORES[[#This Row],[año facturado]],Retenciones!$1:$1,0)</f>
        <v>6</v>
      </c>
      <c r="X2186" s="106">
        <f>+VLOOKUP(PROVEEDORES[[#This Row],[ID RETENCION]],Retenciones!$A$1:$O$25,PROVEEDORES[[#This Row],[indicador de columna]],FALSE)</f>
        <v>0</v>
      </c>
      <c r="Y2186" s="107">
        <f>+VLOOKUP(PROVEEDORES[[#This Row],[ID RETENCION]],Retenciones!$A$1:$O$25,2,FALSE)</f>
        <v>0</v>
      </c>
      <c r="Z2186" s="116" t="b">
        <f>OR(COUNTIF(PROVEEDORES[[#This Row],[PROVEEDOR]],"*"&amp;'Palabra no opera'!$A$2&amp;"*"))</f>
        <v>0</v>
      </c>
    </row>
    <row r="2187" spans="1:26" ht="22.35" customHeight="1" x14ac:dyDescent="0.3">
      <c r="A2187" s="390" t="str">
        <f>+IF(PROVEEDORES[[#This Row],[FECHA DE PAGO]]=PROVEEDORES[[#This Row],[FECHA DE FACTURACIÓN]],"DE CONTADO","CRÉDITO")</f>
        <v>DE CONTADO</v>
      </c>
      <c r="B2187" s="38" t="b">
        <f>+IF((PROVEEDORES[[#This Row],[FECHA DE PAGO]]-PROVEEDORES[[#This Row],[FECHA DE FACTURACIÓN]])&gt;PROVEEDORES[[#This Row],[PLAZO Días]],"PAGO VENCIDO")</f>
        <v>0</v>
      </c>
      <c r="C2187" s="20">
        <f>+VLOOKUP(PROVEEDORES[[#This Row],[PROVEEDOR]],TERCEROS_INFO[#All],2,FALSE)</f>
        <v>0</v>
      </c>
      <c r="D2187" s="25">
        <f>+SUMIFS(PROVEEDORES[Total],PROVEEDORES[PROVEEDOR],PROVEEDORES[[#This Row],[PROVEEDOR]],PROVEEDORES[FECHA DE PAGO],"")</f>
        <v>0</v>
      </c>
      <c r="E2187" s="25"/>
      <c r="F2187" s="56">
        <f>+VLOOKUP(PROVEEDORES[[#This Row],[PROVEEDOR]],
                       Terceros!$A:$F,
                       5,
                       FALSE)</f>
        <v>0</v>
      </c>
      <c r="G2187" s="68">
        <v>45261</v>
      </c>
      <c r="H2187" s="26" t="s">
        <v>1083</v>
      </c>
      <c r="I2187" s="68">
        <v>45261</v>
      </c>
      <c r="J2187" s="35" t="s">
        <v>2210</v>
      </c>
      <c r="K2187" s="21">
        <v>300000</v>
      </c>
      <c r="L2187" s="21"/>
      <c r="M2187" s="22">
        <f>(PROVEEDORES[[#This Row],[SUBTOTAL]]-PROVEEDORES[[#This Row],[descuento sobre subtotal]])*VLOOKUP(PROVEEDORES[[#This Row],[PROVEEDOR]],TERCEROS_INFO[#All],3,FALSE)</f>
        <v>0</v>
      </c>
      <c r="N2187" s="23"/>
      <c r="O2187" s="22">
        <f>+PROVEEDORES[[#This Row],[Descuento sobre subtotal %]]*(PROVEEDORES[[#This Row],[SUBTOTAL]]-PROVEEDORES[[#This Row],[descuento sobre subtotal]])</f>
        <v>0</v>
      </c>
      <c r="P2187" s="74">
        <f>+IF(PROVEEDORES[[#This Row],[SUBTOTAL]]&lt;PROVEEDORES[[#This Row],[base retencion]],0,PROVEEDORES[[#This Row],[retención aplicada]])</f>
        <v>0</v>
      </c>
      <c r="Q2187" s="22">
        <f>+PROVEEDORES[[#This Row],[Rete Fuente %]]*(PROVEEDORES[[#This Row],[SUBTOTAL]]-PROVEEDORES[[#This Row],[descuento sobre subtotal]])</f>
        <v>0</v>
      </c>
      <c r="R2187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2187" s="3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7" s="63">
        <f ca="1">IF(PROVEEDORES[[#This Row],[FECHA DE PAGO]]=0,TODAY()-PROVEEDORES[[#This Row],[FECHA DE FACTURACIÓN]]-PROVEEDORES[[#This Row],[PLAZO Días]],0)</f>
        <v>0</v>
      </c>
      <c r="U2187" s="104">
        <f>+VLOOKUP(PROVEEDORES[[#This Row],[PROVEEDOR]],Terceros!$A:$D,4,FALSE)</f>
        <v>0</v>
      </c>
      <c r="V2187" s="105">
        <f>+YEAR(PROVEEDORES[[#This Row],[FECHA DE FACTURACIÓN]])</f>
        <v>2023</v>
      </c>
      <c r="W2187" s="105">
        <f>+MATCH(PROVEEDORES[[#This Row],[año facturado]],Retenciones!$1:$1,0)</f>
        <v>6</v>
      </c>
      <c r="X2187" s="106">
        <f>+VLOOKUP(PROVEEDORES[[#This Row],[ID RETENCION]],Retenciones!$A$1:$O$25,PROVEEDORES[[#This Row],[indicador de columna]],FALSE)</f>
        <v>0</v>
      </c>
      <c r="Y2187" s="107">
        <f>+VLOOKUP(PROVEEDORES[[#This Row],[ID RETENCION]],Retenciones!$A$1:$O$25,2,FALSE)</f>
        <v>0</v>
      </c>
      <c r="Z2187" s="116" t="b">
        <f>OR(COUNTIF(PROVEEDORES[[#This Row],[PROVEEDOR]],"*"&amp;'Palabra no opera'!$A$2&amp;"*"))</f>
        <v>1</v>
      </c>
    </row>
    <row r="2188" spans="1:26" ht="22.35" customHeight="1" x14ac:dyDescent="0.3">
      <c r="A2188" s="67" t="str">
        <f>+IF(PROVEEDORES[[#This Row],[FECHA DE PAGO]]=PROVEEDORES[[#This Row],[FECHA DE FACTURACIÓN]],"DE CONTADO","CRÉDITO")</f>
        <v>CRÉDITO</v>
      </c>
      <c r="B2188" s="38" t="b">
        <f>+IF((PROVEEDORES[[#This Row],[FECHA DE PAGO]]-PROVEEDORES[[#This Row],[FECHA DE FACTURACIÓN]])&gt;PROVEEDORES[[#This Row],[PLAZO Días]],"PAGO VENCIDO")</f>
        <v>0</v>
      </c>
      <c r="C2188" s="20">
        <f>+VLOOKUP(PROVEEDORES[[#This Row],[PROVEEDOR]],TERCEROS_INFO[#All],2,FALSE)</f>
        <v>30</v>
      </c>
      <c r="D2188" s="25">
        <f>+SUMIFS(PROVEEDORES[Total],PROVEEDORES[PROVEEDOR],PROVEEDORES[[#This Row],[PROVEEDOR]],PROVEEDORES[FECHA DE PAGO],"")</f>
        <v>0</v>
      </c>
      <c r="E2188" s="25"/>
      <c r="F2188" s="56" t="str">
        <f>+VLOOKUP(PROVEEDORES[[#This Row],[PROVEEDOR]],
                       Terceros!$A:$F,
                       5,
                       FALSE)</f>
        <v/>
      </c>
      <c r="G2188" s="68">
        <v>45261</v>
      </c>
      <c r="H2188" s="26" t="s">
        <v>404</v>
      </c>
      <c r="I2188" s="68">
        <v>45257</v>
      </c>
      <c r="J2188" s="35" t="s">
        <v>2241</v>
      </c>
      <c r="K2188" s="21">
        <v>1865344</v>
      </c>
      <c r="L2188" s="21"/>
      <c r="M2188" s="22">
        <f>(PROVEEDORES[[#This Row],[SUBTOTAL]]-PROVEEDORES[[#This Row],[descuento sobre subtotal]])*VLOOKUP(PROVEEDORES[[#This Row],[PROVEEDOR]],TERCEROS_INFO[#All],3,FALSE)</f>
        <v>0</v>
      </c>
      <c r="N2188" s="23"/>
      <c r="O2188" s="22">
        <f>+PROVEEDORES[[#This Row],[Descuento sobre subtotal %]]*(PROVEEDORES[[#This Row],[SUBTOTAL]]-PROVEEDORES[[#This Row],[descuento sobre subtotal]])</f>
        <v>0</v>
      </c>
      <c r="P2188" s="74">
        <f>+IF(PROVEEDORES[[#This Row],[SUBTOTAL]]&lt;PROVEEDORES[[#This Row],[base retencion]],0,PROVEEDORES[[#This Row],[retención aplicada]])</f>
        <v>0</v>
      </c>
      <c r="Q2188" s="22">
        <f>+PROVEEDORES[[#This Row],[Rete Fuente %]]*(PROVEEDORES[[#This Row],[SUBTOTAL]]-PROVEEDORES[[#This Row],[descuento sobre subtotal]])</f>
        <v>0</v>
      </c>
      <c r="R2188" s="21">
        <f>+PROVEEDORES[[#This Row],[SUBTOTAL]]+PROVEEDORES[[#This Row],[IVA 19%]]-PROVEEDORES[[#This Row],[descuento sobre subtotal]]-PROVEEDORES[[#This Row],[Descuento sobre subtotal $2]]-PROVEEDORES[[#This Row],[Rete Fuente $]]</f>
        <v>1865344</v>
      </c>
      <c r="S218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8" s="63">
        <f ca="1">IF(PROVEEDORES[[#This Row],[FECHA DE PAGO]]=0,TODAY()-PROVEEDORES[[#This Row],[FECHA DE FACTURACIÓN]]-PROVEEDORES[[#This Row],[PLAZO Días]],0)</f>
        <v>0</v>
      </c>
      <c r="U2188" s="104">
        <f>+VLOOKUP(PROVEEDORES[[#This Row],[PROVEEDOR]],Terceros!$A:$D,4,FALSE)</f>
        <v>0</v>
      </c>
      <c r="V2188" s="105">
        <f>+YEAR(PROVEEDORES[[#This Row],[FECHA DE FACTURACIÓN]])</f>
        <v>2023</v>
      </c>
      <c r="W2188" s="105">
        <f>+MATCH(PROVEEDORES[[#This Row],[año facturado]],Retenciones!$1:$1,0)</f>
        <v>6</v>
      </c>
      <c r="X2188" s="106">
        <f>+VLOOKUP(PROVEEDORES[[#This Row],[ID RETENCION]],Retenciones!$A$1:$O$25,PROVEEDORES[[#This Row],[indicador de columna]],FALSE)</f>
        <v>0</v>
      </c>
      <c r="Y2188" s="107">
        <f>+VLOOKUP(PROVEEDORES[[#This Row],[ID RETENCION]],Retenciones!$A$1:$O$25,2,FALSE)</f>
        <v>0</v>
      </c>
      <c r="Z2188" s="116" t="b">
        <f>OR(COUNTIF(PROVEEDORES[[#This Row],[PROVEEDOR]],"*"&amp;'Palabra no opera'!$A$2&amp;"*"))</f>
        <v>0</v>
      </c>
    </row>
    <row r="2189" spans="1:26" ht="22.35" customHeight="1" x14ac:dyDescent="0.3">
      <c r="A2189" s="390" t="str">
        <f>+IF(PROVEEDORES[[#This Row],[FECHA DE PAGO]]=PROVEEDORES[[#This Row],[FECHA DE FACTURACIÓN]],"DE CONTADO","CRÉDITO")</f>
        <v>CRÉDITO</v>
      </c>
      <c r="B2189" s="38" t="b">
        <f>+IF((PROVEEDORES[[#This Row],[FECHA DE PAGO]]-PROVEEDORES[[#This Row],[FECHA DE FACTURACIÓN]])&gt;PROVEEDORES[[#This Row],[PLAZO Días]],"PAGO VENCIDO")</f>
        <v>0</v>
      </c>
      <c r="C2189" s="20">
        <f>+VLOOKUP(PROVEEDORES[[#This Row],[PROVEEDOR]],TERCEROS_INFO[#All],2,FALSE)</f>
        <v>30</v>
      </c>
      <c r="D2189" s="25">
        <f>+SUMIFS(PROVEEDORES[Total],PROVEEDORES[PROVEEDOR],PROVEEDORES[[#This Row],[PROVEEDOR]],PROVEEDORES[FECHA DE PAGO],"")</f>
        <v>0</v>
      </c>
      <c r="E2189" s="25"/>
      <c r="F2189" s="56" t="str">
        <f>+VLOOKUP(PROVEEDORES[[#This Row],[PROVEEDOR]],
                       Terceros!$A:$F,
                       5,
                       FALSE)</f>
        <v>PSE</v>
      </c>
      <c r="G2189" s="68">
        <v>45262</v>
      </c>
      <c r="H2189" s="26" t="s">
        <v>645</v>
      </c>
      <c r="I2189" s="68">
        <v>45261</v>
      </c>
      <c r="J2189" s="35"/>
      <c r="K2189" s="21">
        <v>707697</v>
      </c>
      <c r="L2189" s="21"/>
      <c r="M2189" s="22">
        <f>(PROVEEDORES[[#This Row],[SUBTOTAL]]-PROVEEDORES[[#This Row],[descuento sobre subtotal]])*VLOOKUP(PROVEEDORES[[#This Row],[PROVEEDOR]],TERCEROS_INFO[#All],3,FALSE)</f>
        <v>0</v>
      </c>
      <c r="N2189" s="23"/>
      <c r="O2189" s="22">
        <f>+PROVEEDORES[[#This Row],[Descuento sobre subtotal %]]*(PROVEEDORES[[#This Row],[SUBTOTAL]]-PROVEEDORES[[#This Row],[descuento sobre subtotal]])</f>
        <v>0</v>
      </c>
      <c r="P2189" s="74">
        <f>+IF(PROVEEDORES[[#This Row],[SUBTOTAL]]&lt;PROVEEDORES[[#This Row],[base retencion]],0,PROVEEDORES[[#This Row],[retención aplicada]])</f>
        <v>0</v>
      </c>
      <c r="Q2189" s="22">
        <f>+PROVEEDORES[[#This Row],[Rete Fuente %]]*(PROVEEDORES[[#This Row],[SUBTOTAL]]-PROVEEDORES[[#This Row],[descuento sobre subtotal]])</f>
        <v>0</v>
      </c>
      <c r="R2189" s="21">
        <f>+PROVEEDORES[[#This Row],[SUBTOTAL]]+PROVEEDORES[[#This Row],[IVA 19%]]-PROVEEDORES[[#This Row],[descuento sobre subtotal]]-PROVEEDORES[[#This Row],[Descuento sobre subtotal $2]]-PROVEEDORES[[#This Row],[Rete Fuente $]]</f>
        <v>707697</v>
      </c>
      <c r="S2189" s="3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9" s="63">
        <f ca="1">IF(PROVEEDORES[[#This Row],[FECHA DE PAGO]]=0,TODAY()-PROVEEDORES[[#This Row],[FECHA DE FACTURACIÓN]]-PROVEEDORES[[#This Row],[PLAZO Días]],0)</f>
        <v>0</v>
      </c>
      <c r="U2189" s="104">
        <f>+VLOOKUP(PROVEEDORES[[#This Row],[PROVEEDOR]],Terceros!$A:$D,4,FALSE)</f>
        <v>0</v>
      </c>
      <c r="V2189" s="105">
        <f>+YEAR(PROVEEDORES[[#This Row],[FECHA DE FACTURACIÓN]])</f>
        <v>2023</v>
      </c>
      <c r="W2189" s="105">
        <f>+MATCH(PROVEEDORES[[#This Row],[año facturado]],Retenciones!$1:$1,0)</f>
        <v>6</v>
      </c>
      <c r="X2189" s="106">
        <f>+VLOOKUP(PROVEEDORES[[#This Row],[ID RETENCION]],Retenciones!$A$1:$O$25,PROVEEDORES[[#This Row],[indicador de columna]],FALSE)</f>
        <v>0</v>
      </c>
      <c r="Y2189" s="107">
        <f>+VLOOKUP(PROVEEDORES[[#This Row],[ID RETENCION]],Retenciones!$A$1:$O$25,2,FALSE)</f>
        <v>0</v>
      </c>
      <c r="Z2189" s="116" t="b">
        <f>OR(COUNTIF(PROVEEDORES[[#This Row],[PROVEEDOR]],"*"&amp;'Palabra no opera'!$A$2&amp;"*"))</f>
        <v>1</v>
      </c>
    </row>
    <row r="2190" spans="1:26" ht="22.35" customHeight="1" x14ac:dyDescent="0.3">
      <c r="A2190" s="67" t="str">
        <f>+IF(PROVEEDORES[[#This Row],[FECHA DE PAGO]]=PROVEEDORES[[#This Row],[FECHA DE FACTURACIÓN]],"DE CONTADO","CRÉDITO")</f>
        <v>CRÉDITO</v>
      </c>
      <c r="B2190" s="38" t="b">
        <f>+IF((PROVEEDORES[[#This Row],[FECHA DE PAGO]]-PROVEEDORES[[#This Row],[FECHA DE FACTURACIÓN]])&gt;PROVEEDORES[[#This Row],[PLAZO Días]],"PAGO VENCIDO")</f>
        <v>0</v>
      </c>
      <c r="C2190" s="20">
        <f>+VLOOKUP(PROVEEDORES[[#This Row],[PROVEEDOR]],TERCEROS_INFO[#All],2,FALSE)</f>
        <v>30</v>
      </c>
      <c r="D2190" s="25">
        <f>+SUMIFS(PROVEEDORES[Total],PROVEEDORES[PROVEEDOR],PROVEEDORES[[#This Row],[PROVEEDOR]],PROVEEDORES[FECHA DE PAGO],"")</f>
        <v>0</v>
      </c>
      <c r="E2190" s="25"/>
      <c r="F2190" s="56">
        <f>+VLOOKUP(PROVEEDORES[[#This Row],[PROVEEDOR]],
                       Terceros!$A:$F,
                       5,
                       FALSE)</f>
        <v>0</v>
      </c>
      <c r="G2190" s="68">
        <v>45262</v>
      </c>
      <c r="H2190" s="26" t="s">
        <v>642</v>
      </c>
      <c r="I2190" s="68">
        <v>45261</v>
      </c>
      <c r="J2190" s="35" t="s">
        <v>217</v>
      </c>
      <c r="K2190" s="21">
        <v>411454</v>
      </c>
      <c r="L2190" s="21"/>
      <c r="M2190" s="22">
        <f>(PROVEEDORES[[#This Row],[SUBTOTAL]]-PROVEEDORES[[#This Row],[descuento sobre subtotal]])*VLOOKUP(PROVEEDORES[[#This Row],[PROVEEDOR]],TERCEROS_INFO[#All],3,FALSE)</f>
        <v>0</v>
      </c>
      <c r="N2190" s="23"/>
      <c r="O2190" s="22">
        <f>+PROVEEDORES[[#This Row],[Descuento sobre subtotal %]]*(PROVEEDORES[[#This Row],[SUBTOTAL]]-PROVEEDORES[[#This Row],[descuento sobre subtotal]])</f>
        <v>0</v>
      </c>
      <c r="P2190" s="74">
        <f>+IF(PROVEEDORES[[#This Row],[SUBTOTAL]]&lt;PROVEEDORES[[#This Row],[base retencion]],0,PROVEEDORES[[#This Row],[retención aplicada]])</f>
        <v>0</v>
      </c>
      <c r="Q2190" s="22">
        <f>+PROVEEDORES[[#This Row],[Rete Fuente %]]*(PROVEEDORES[[#This Row],[SUBTOTAL]]-PROVEEDORES[[#This Row],[descuento sobre subtotal]])</f>
        <v>0</v>
      </c>
      <c r="R2190" s="21">
        <f>+PROVEEDORES[[#This Row],[SUBTOTAL]]+PROVEEDORES[[#This Row],[IVA 19%]]-PROVEEDORES[[#This Row],[descuento sobre subtotal]]-PROVEEDORES[[#This Row],[Descuento sobre subtotal $2]]-PROVEEDORES[[#This Row],[Rete Fuente $]]</f>
        <v>411454</v>
      </c>
      <c r="S21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0" s="63">
        <f ca="1">IF(PROVEEDORES[[#This Row],[FECHA DE PAGO]]=0,TODAY()-PROVEEDORES[[#This Row],[FECHA DE FACTURACIÓN]]-PROVEEDORES[[#This Row],[PLAZO Días]],0)</f>
        <v>0</v>
      </c>
      <c r="U2190" s="104">
        <f>+VLOOKUP(PROVEEDORES[[#This Row],[PROVEEDOR]],Terceros!$A:$D,4,FALSE)</f>
        <v>0</v>
      </c>
      <c r="V2190" s="105">
        <f>+YEAR(PROVEEDORES[[#This Row],[FECHA DE FACTURACIÓN]])</f>
        <v>2023</v>
      </c>
      <c r="W2190" s="105">
        <f>+MATCH(PROVEEDORES[[#This Row],[año facturado]],Retenciones!$1:$1,0)</f>
        <v>6</v>
      </c>
      <c r="X2190" s="106">
        <f>+VLOOKUP(PROVEEDORES[[#This Row],[ID RETENCION]],Retenciones!$A$1:$O$25,PROVEEDORES[[#This Row],[indicador de columna]],FALSE)</f>
        <v>0</v>
      </c>
      <c r="Y2190" s="107">
        <f>+VLOOKUP(PROVEEDORES[[#This Row],[ID RETENCION]],Retenciones!$A$1:$O$25,2,FALSE)</f>
        <v>0</v>
      </c>
      <c r="Z2190" s="116" t="b">
        <f>OR(COUNTIF(PROVEEDORES[[#This Row],[PROVEEDOR]],"*"&amp;'Palabra no opera'!$A$2&amp;"*"))</f>
        <v>1</v>
      </c>
    </row>
    <row r="2191" spans="1:26" ht="22.35" customHeight="1" x14ac:dyDescent="0.3">
      <c r="A2191" s="67" t="str">
        <f>+IF(PROVEEDORES[[#This Row],[FECHA DE PAGO]]=PROVEEDORES[[#This Row],[FECHA DE FACTURACIÓN]],"DE CONTADO","CRÉDITO")</f>
        <v>CRÉDITO</v>
      </c>
      <c r="B2191" s="38" t="str">
        <f>+IF((PROVEEDORES[[#This Row],[FECHA DE PAGO]]-PROVEEDORES[[#This Row],[FECHA DE FACTURACIÓN]])&gt;PROVEEDORES[[#This Row],[PLAZO Días]],"PAGO VENCIDO")</f>
        <v>PAGO VENCIDO</v>
      </c>
      <c r="C2191" s="20">
        <f>+VLOOKUP(PROVEEDORES[[#This Row],[PROVEEDOR]],TERCEROS_INFO[#All],2,FALSE)</f>
        <v>30</v>
      </c>
      <c r="D2191" s="25">
        <f>+SUMIFS(PROVEEDORES[Total],PROVEEDORES[PROVEEDOR],PROVEEDORES[[#This Row],[PROVEEDOR]],PROVEEDORES[FECHA DE PAGO],"")</f>
        <v>5480000</v>
      </c>
      <c r="E2191" s="25"/>
      <c r="F2191" s="56" t="str">
        <f>+VLOOKUP(PROVEEDORES[[#This Row],[PROVEEDOR]],
                       Terceros!$A:$F,
                       5,
                       FALSE)</f>
        <v/>
      </c>
      <c r="G2191" s="68">
        <v>45264</v>
      </c>
      <c r="H2191" s="26" t="s">
        <v>2057</v>
      </c>
      <c r="I2191" s="68">
        <v>45209</v>
      </c>
      <c r="J2191" s="35" t="s">
        <v>2058</v>
      </c>
      <c r="K2191" s="21">
        <v>4438500</v>
      </c>
      <c r="L2191" s="21"/>
      <c r="M2191" s="22">
        <f>(PROVEEDORES[[#This Row],[SUBTOTAL]]-PROVEEDORES[[#This Row],[descuento sobre subtotal]])*VLOOKUP(PROVEEDORES[[#This Row],[PROVEEDOR]],TERCEROS_INFO[#All],3,FALSE)</f>
        <v>0</v>
      </c>
      <c r="N2191" s="23"/>
      <c r="O2191" s="22">
        <f>+PROVEEDORES[[#This Row],[Descuento sobre subtotal %]]*(PROVEEDORES[[#This Row],[SUBTOTAL]]-PROVEEDORES[[#This Row],[descuento sobre subtotal]])</f>
        <v>0</v>
      </c>
      <c r="P2191" s="74">
        <f>+IF(PROVEEDORES[[#This Row],[SUBTOTAL]]&lt;PROVEEDORES[[#This Row],[base retencion]],0,PROVEEDORES[[#This Row],[retención aplicada]])</f>
        <v>0</v>
      </c>
      <c r="Q2191" s="22">
        <f>+PROVEEDORES[[#This Row],[Rete Fuente %]]*(PROVEEDORES[[#This Row],[SUBTOTAL]]-PROVEEDORES[[#This Row],[descuento sobre subtotal]])</f>
        <v>0</v>
      </c>
      <c r="R2191" s="21">
        <f>+PROVEEDORES[[#This Row],[SUBTOTAL]]+PROVEEDORES[[#This Row],[IVA 19%]]-PROVEEDORES[[#This Row],[descuento sobre subtotal]]-PROVEEDORES[[#This Row],[Descuento sobre subtotal $2]]-PROVEEDORES[[#This Row],[Rete Fuente $]]</f>
        <v>4438500</v>
      </c>
      <c r="S21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1" s="63">
        <f ca="1">IF(PROVEEDORES[[#This Row],[FECHA DE PAGO]]=0,TODAY()-PROVEEDORES[[#This Row],[FECHA DE FACTURACIÓN]]-PROVEEDORES[[#This Row],[PLAZO Días]],0)</f>
        <v>0</v>
      </c>
      <c r="U2191" s="104">
        <f>+VLOOKUP(PROVEEDORES[[#This Row],[PROVEEDOR]],Terceros!$A:$D,4,FALSE)</f>
        <v>0</v>
      </c>
      <c r="V2191" s="105">
        <f>+YEAR(PROVEEDORES[[#This Row],[FECHA DE FACTURACIÓN]])</f>
        <v>2023</v>
      </c>
      <c r="W2191" s="105">
        <f>+MATCH(PROVEEDORES[[#This Row],[año facturado]],Retenciones!$1:$1,0)</f>
        <v>6</v>
      </c>
      <c r="X2191" s="106">
        <f>+VLOOKUP(PROVEEDORES[[#This Row],[ID RETENCION]],Retenciones!$A$1:$O$25,PROVEEDORES[[#This Row],[indicador de columna]],FALSE)</f>
        <v>0</v>
      </c>
      <c r="Y2191" s="107">
        <f>+VLOOKUP(PROVEEDORES[[#This Row],[ID RETENCION]],Retenciones!$A$1:$O$25,2,FALSE)</f>
        <v>0</v>
      </c>
      <c r="Z2191" s="116" t="b">
        <f>OR(COUNTIF(PROVEEDORES[[#This Row],[PROVEEDOR]],"*"&amp;'Palabra no opera'!$A$2&amp;"*"))</f>
        <v>0</v>
      </c>
    </row>
    <row r="2192" spans="1:26" ht="22.35" customHeight="1" x14ac:dyDescent="0.3">
      <c r="A2192" s="390" t="str">
        <f>+IF(PROVEEDORES[[#This Row],[FECHA DE PAGO]]=PROVEEDORES[[#This Row],[FECHA DE FACTURACIÓN]],"DE CONTADO","CRÉDITO")</f>
        <v>CRÉDITO</v>
      </c>
      <c r="B2192" s="38" t="b">
        <f>+IF((PROVEEDORES[[#This Row],[FECHA DE PAGO]]-PROVEEDORES[[#This Row],[FECHA DE FACTURACIÓN]])&gt;PROVEEDORES[[#This Row],[PLAZO Días]],"PAGO VENCIDO")</f>
        <v>0</v>
      </c>
      <c r="C2192" s="20">
        <f>+VLOOKUP(PROVEEDORES[[#This Row],[PROVEEDOR]],TERCEROS_INFO[#All],2,FALSE)</f>
        <v>30</v>
      </c>
      <c r="D2192" s="25">
        <f>+SUMIFS(PROVEEDORES[Total],PROVEEDORES[PROVEEDOR],PROVEEDORES[[#This Row],[PROVEEDOR]],PROVEEDORES[FECHA DE PAGO],"")</f>
        <v>0</v>
      </c>
      <c r="E2192" s="25"/>
      <c r="F2192" s="56">
        <f>+VLOOKUP(PROVEEDORES[[#This Row],[PROVEEDOR]],
                       Terceros!$A:$F,
                       5,
                       FALSE)</f>
        <v>0</v>
      </c>
      <c r="G2192" s="68">
        <v>45264</v>
      </c>
      <c r="H2192" s="26" t="s">
        <v>1736</v>
      </c>
      <c r="I2192" s="68">
        <v>45261</v>
      </c>
      <c r="J2192" s="35" t="s">
        <v>2211</v>
      </c>
      <c r="K2192" s="21">
        <v>534000</v>
      </c>
      <c r="L2192" s="21"/>
      <c r="M2192" s="22">
        <f>(PROVEEDORES[[#This Row],[SUBTOTAL]]-PROVEEDORES[[#This Row],[descuento sobre subtotal]])*VLOOKUP(PROVEEDORES[[#This Row],[PROVEEDOR]],TERCEROS_INFO[#All],3,FALSE)</f>
        <v>0</v>
      </c>
      <c r="N2192" s="23"/>
      <c r="O2192" s="22">
        <f>+PROVEEDORES[[#This Row],[Descuento sobre subtotal %]]*(PROVEEDORES[[#This Row],[SUBTOTAL]]-PROVEEDORES[[#This Row],[descuento sobre subtotal]])</f>
        <v>0</v>
      </c>
      <c r="P2192" s="74">
        <f>+IF(PROVEEDORES[[#This Row],[SUBTOTAL]]&lt;PROVEEDORES[[#This Row],[base retencion]],0,PROVEEDORES[[#This Row],[retención aplicada]])</f>
        <v>0</v>
      </c>
      <c r="Q2192" s="22">
        <f>+PROVEEDORES[[#This Row],[Rete Fuente %]]*(PROVEEDORES[[#This Row],[SUBTOTAL]]-PROVEEDORES[[#This Row],[descuento sobre subtotal]])</f>
        <v>0</v>
      </c>
      <c r="R2192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2192" s="3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2" s="63">
        <f ca="1">IF(PROVEEDORES[[#This Row],[FECHA DE PAGO]]=0,TODAY()-PROVEEDORES[[#This Row],[FECHA DE FACTURACIÓN]]-PROVEEDORES[[#This Row],[PLAZO Días]],0)</f>
        <v>0</v>
      </c>
      <c r="U2192" s="104">
        <f>+VLOOKUP(PROVEEDORES[[#This Row],[PROVEEDOR]],Terceros!$A:$D,4,FALSE)</f>
        <v>0</v>
      </c>
      <c r="V2192" s="105">
        <f>+YEAR(PROVEEDORES[[#This Row],[FECHA DE FACTURACIÓN]])</f>
        <v>2023</v>
      </c>
      <c r="W2192" s="105">
        <f>+MATCH(PROVEEDORES[[#This Row],[año facturado]],Retenciones!$1:$1,0)</f>
        <v>6</v>
      </c>
      <c r="X2192" s="106">
        <f>+VLOOKUP(PROVEEDORES[[#This Row],[ID RETENCION]],Retenciones!$A$1:$O$25,PROVEEDORES[[#This Row],[indicador de columna]],FALSE)</f>
        <v>0</v>
      </c>
      <c r="Y2192" s="107">
        <f>+VLOOKUP(PROVEEDORES[[#This Row],[ID RETENCION]],Retenciones!$A$1:$O$25,2,FALSE)</f>
        <v>0</v>
      </c>
      <c r="Z2192" s="116" t="b">
        <f>OR(COUNTIF(PROVEEDORES[[#This Row],[PROVEEDOR]],"*"&amp;'Palabra no opera'!$A$2&amp;"*"))</f>
        <v>0</v>
      </c>
    </row>
    <row r="2193" spans="1:26" ht="22.35" customHeight="1" x14ac:dyDescent="0.3">
      <c r="A2193" s="67" t="str">
        <f>+IF(PROVEEDORES[[#This Row],[FECHA DE PAGO]]=PROVEEDORES[[#This Row],[FECHA DE FACTURACIÓN]],"DE CONTADO","CRÉDITO")</f>
        <v>CRÉDITO</v>
      </c>
      <c r="B2193" s="38" t="str">
        <f>+IF((PROVEEDORES[[#This Row],[FECHA DE PAGO]]-PROVEEDORES[[#This Row],[FECHA DE FACTURACIÓN]])&gt;PROVEEDORES[[#This Row],[PLAZO Días]],"PAGO VENCIDO")</f>
        <v>PAGO VENCIDO</v>
      </c>
      <c r="C2193" s="20">
        <f>+VLOOKUP(PROVEEDORES[[#This Row],[PROVEEDOR]],TERCEROS_INFO[#All],2,FALSE)</f>
        <v>30</v>
      </c>
      <c r="D2193" s="25">
        <f>+SUMIFS(PROVEEDORES[Total],PROVEEDORES[PROVEEDOR],PROVEEDORES[[#This Row],[PROVEEDOR]],PROVEEDORES[FECHA DE PAGO],"")</f>
        <v>0</v>
      </c>
      <c r="E2193" s="25"/>
      <c r="F2193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193" s="68">
        <v>45264</v>
      </c>
      <c r="H2193" s="26" t="s">
        <v>281</v>
      </c>
      <c r="I2193" s="68">
        <v>45211</v>
      </c>
      <c r="J2193" s="35" t="s">
        <v>2067</v>
      </c>
      <c r="K2193" s="21">
        <v>4607250</v>
      </c>
      <c r="L2193" s="21">
        <v>2503486</v>
      </c>
      <c r="M2193" s="22">
        <f>(PROVEEDORES[[#This Row],[SUBTOTAL]]-PROVEEDORES[[#This Row],[descuento sobre subtotal]])*VLOOKUP(PROVEEDORES[[#This Row],[PROVEEDOR]],TERCEROS_INFO[#All],3,FALSE)</f>
        <v>399715.16000000003</v>
      </c>
      <c r="N2193" s="23"/>
      <c r="O2193" s="22">
        <f>+PROVEEDORES[[#This Row],[Descuento sobre subtotal %]]*(PROVEEDORES[[#This Row],[SUBTOTAL]]-PROVEEDORES[[#This Row],[descuento sobre subtotal]])</f>
        <v>0</v>
      </c>
      <c r="P2193" s="74">
        <f>+IF(PROVEEDORES[[#This Row],[SUBTOTAL]]&lt;PROVEEDORES[[#This Row],[base retencion]],0,PROVEEDORES[[#This Row],[retención aplicada]])</f>
        <v>0</v>
      </c>
      <c r="Q2193" s="22">
        <f>+PROVEEDORES[[#This Row],[Rete Fuente %]]*(PROVEEDORES[[#This Row],[SUBTOTAL]]-PROVEEDORES[[#This Row],[descuento sobre subtotal]])</f>
        <v>0</v>
      </c>
      <c r="R2193" s="21">
        <f>+PROVEEDORES[[#This Row],[SUBTOTAL]]+PROVEEDORES[[#This Row],[IVA 19%]]-PROVEEDORES[[#This Row],[descuento sobre subtotal]]-PROVEEDORES[[#This Row],[Descuento sobre subtotal $2]]-PROVEEDORES[[#This Row],[Rete Fuente $]]</f>
        <v>2503479.16</v>
      </c>
      <c r="S219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3" s="63">
        <f ca="1">IF(PROVEEDORES[[#This Row],[FECHA DE PAGO]]=0,TODAY()-PROVEEDORES[[#This Row],[FECHA DE FACTURACIÓN]]-PROVEEDORES[[#This Row],[PLAZO Días]],0)</f>
        <v>0</v>
      </c>
      <c r="U2193" s="104">
        <f>+VLOOKUP(PROVEEDORES[[#This Row],[PROVEEDOR]],Terceros!$A:$D,4,FALSE)</f>
        <v>0</v>
      </c>
      <c r="V2193" s="105">
        <f>+YEAR(PROVEEDORES[[#This Row],[FECHA DE FACTURACIÓN]])</f>
        <v>2023</v>
      </c>
      <c r="W2193" s="105">
        <f>+MATCH(PROVEEDORES[[#This Row],[año facturado]],Retenciones!$1:$1,0)</f>
        <v>6</v>
      </c>
      <c r="X2193" s="106">
        <f>+VLOOKUP(PROVEEDORES[[#This Row],[ID RETENCION]],Retenciones!$A$1:$O$25,PROVEEDORES[[#This Row],[indicador de columna]],FALSE)</f>
        <v>0</v>
      </c>
      <c r="Y2193" s="107">
        <f>+VLOOKUP(PROVEEDORES[[#This Row],[ID RETENCION]],Retenciones!$A$1:$O$25,2,FALSE)</f>
        <v>0</v>
      </c>
      <c r="Z2193" s="116" t="b">
        <f>OR(COUNTIF(PROVEEDORES[[#This Row],[PROVEEDOR]],"*"&amp;'Palabra no opera'!$A$2&amp;"*"))</f>
        <v>0</v>
      </c>
    </row>
    <row r="2194" spans="1:26" ht="22.35" customHeight="1" x14ac:dyDescent="0.3">
      <c r="A2194" s="67" t="str">
        <f>+IF(PROVEEDORES[[#This Row],[FECHA DE PAGO]]=PROVEEDORES[[#This Row],[FECHA DE FACTURACIÓN]],"DE CONTADO","CRÉDITO")</f>
        <v>CRÉDITO</v>
      </c>
      <c r="B2194" s="38" t="str">
        <f>+IF((PROVEEDORES[[#This Row],[FECHA DE PAGO]]-PROVEEDORES[[#This Row],[FECHA DE FACTURACIÓN]])&gt;PROVEEDORES[[#This Row],[PLAZO Días]],"PAGO VENCIDO")</f>
        <v>PAGO VENCIDO</v>
      </c>
      <c r="C2194" s="20">
        <f>+VLOOKUP(PROVEEDORES[[#This Row],[PROVEEDOR]],TERCEROS_INFO[#All],2,FALSE)</f>
        <v>30</v>
      </c>
      <c r="D2194" s="25">
        <f>+SUMIFS(PROVEEDORES[Total],PROVEEDORES[PROVEEDOR],PROVEEDORES[[#This Row],[PROVEEDOR]],PROVEEDORES[FECHA DE PAGO],"")</f>
        <v>0</v>
      </c>
      <c r="E2194" s="25"/>
      <c r="F2194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194" s="68">
        <v>45264</v>
      </c>
      <c r="H2194" s="26" t="s">
        <v>281</v>
      </c>
      <c r="I2194" s="68">
        <v>45217</v>
      </c>
      <c r="J2194" s="35" t="s">
        <v>2068</v>
      </c>
      <c r="K2194" s="21">
        <v>1976704</v>
      </c>
      <c r="L2194" s="21">
        <v>1164940</v>
      </c>
      <c r="M2194" s="22">
        <f>(PROVEEDORES[[#This Row],[SUBTOTAL]]-PROVEEDORES[[#This Row],[descuento sobre subtotal]])*VLOOKUP(PROVEEDORES[[#This Row],[PROVEEDOR]],TERCEROS_INFO[#All],3,FALSE)</f>
        <v>154235.16</v>
      </c>
      <c r="N2194" s="23"/>
      <c r="O2194" s="22">
        <f>+PROVEEDORES[[#This Row],[Descuento sobre subtotal %]]*(PROVEEDORES[[#This Row],[SUBTOTAL]]-PROVEEDORES[[#This Row],[descuento sobre subtotal]])</f>
        <v>0</v>
      </c>
      <c r="P2194" s="74">
        <f>+IF(PROVEEDORES[[#This Row],[SUBTOTAL]]&lt;PROVEEDORES[[#This Row],[base retencion]],0,PROVEEDORES[[#This Row],[retención aplicada]])</f>
        <v>0</v>
      </c>
      <c r="Q2194" s="22">
        <f>+PROVEEDORES[[#This Row],[Rete Fuente %]]*(PROVEEDORES[[#This Row],[SUBTOTAL]]-PROVEEDORES[[#This Row],[descuento sobre subtotal]])</f>
        <v>0</v>
      </c>
      <c r="R2194" s="21">
        <f>+PROVEEDORES[[#This Row],[SUBTOTAL]]+PROVEEDORES[[#This Row],[IVA 19%]]-PROVEEDORES[[#This Row],[descuento sobre subtotal]]-PROVEEDORES[[#This Row],[Descuento sobre subtotal $2]]-PROVEEDORES[[#This Row],[Rete Fuente $]]</f>
        <v>965999.16000000015</v>
      </c>
      <c r="S21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4" s="63">
        <f ca="1">IF(PROVEEDORES[[#This Row],[FECHA DE PAGO]]=0,TODAY()-PROVEEDORES[[#This Row],[FECHA DE FACTURACIÓN]]-PROVEEDORES[[#This Row],[PLAZO Días]],0)</f>
        <v>0</v>
      </c>
      <c r="U2194" s="104">
        <f>+VLOOKUP(PROVEEDORES[[#This Row],[PROVEEDOR]],Terceros!$A:$D,4,FALSE)</f>
        <v>0</v>
      </c>
      <c r="V2194" s="105">
        <f>+YEAR(PROVEEDORES[[#This Row],[FECHA DE FACTURACIÓN]])</f>
        <v>2023</v>
      </c>
      <c r="W2194" s="105">
        <f>+MATCH(PROVEEDORES[[#This Row],[año facturado]],Retenciones!$1:$1,0)</f>
        <v>6</v>
      </c>
      <c r="X2194" s="106">
        <f>+VLOOKUP(PROVEEDORES[[#This Row],[ID RETENCION]],Retenciones!$A$1:$O$25,PROVEEDORES[[#This Row],[indicador de columna]],FALSE)</f>
        <v>0</v>
      </c>
      <c r="Y2194" s="107">
        <f>+VLOOKUP(PROVEEDORES[[#This Row],[ID RETENCION]],Retenciones!$A$1:$O$25,2,FALSE)</f>
        <v>0</v>
      </c>
      <c r="Z2194" s="116" t="b">
        <f>OR(COUNTIF(PROVEEDORES[[#This Row],[PROVEEDOR]],"*"&amp;'Palabra no opera'!$A$2&amp;"*"))</f>
        <v>0</v>
      </c>
    </row>
    <row r="2195" spans="1:26" ht="22.35" customHeight="1" x14ac:dyDescent="0.3">
      <c r="A2195" s="67" t="str">
        <f>+IF(PROVEEDORES[[#This Row],[FECHA DE PAGO]]=PROVEEDORES[[#This Row],[FECHA DE FACTURACIÓN]],"DE CONTADO","CRÉDITO")</f>
        <v>CRÉDITO</v>
      </c>
      <c r="B2195" s="38" t="str">
        <f>+IF((PROVEEDORES[[#This Row],[FECHA DE PAGO]]-PROVEEDORES[[#This Row],[FECHA DE FACTURACIÓN]])&gt;PROVEEDORES[[#This Row],[PLAZO Días]],"PAGO VENCIDO")</f>
        <v>PAGO VENCIDO</v>
      </c>
      <c r="C2195" s="20">
        <f>+VLOOKUP(PROVEEDORES[[#This Row],[PROVEEDOR]],TERCEROS_INFO[#All],2,FALSE)</f>
        <v>30</v>
      </c>
      <c r="D2195" s="25">
        <f>+SUMIFS(PROVEEDORES[Total],PROVEEDORES[PROVEEDOR],PROVEEDORES[[#This Row],[PROVEEDOR]],PROVEEDORES[FECHA DE PAGO],"")</f>
        <v>0</v>
      </c>
      <c r="E2195" s="25"/>
      <c r="F2195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195" s="68">
        <v>45264</v>
      </c>
      <c r="H2195" s="26" t="s">
        <v>281</v>
      </c>
      <c r="I2195" s="68">
        <v>45219</v>
      </c>
      <c r="J2195" s="35" t="s">
        <v>2069</v>
      </c>
      <c r="K2195" s="21">
        <v>464214</v>
      </c>
      <c r="L2195" s="21">
        <v>236214</v>
      </c>
      <c r="M2195" s="22">
        <f>(PROVEEDORES[[#This Row],[SUBTOTAL]]-PROVEEDORES[[#This Row],[descuento sobre subtotal]])*VLOOKUP(PROVEEDORES[[#This Row],[PROVEEDOR]],TERCEROS_INFO[#All],3,FALSE)</f>
        <v>43320</v>
      </c>
      <c r="N2195" s="23"/>
      <c r="O2195" s="22">
        <f>+PROVEEDORES[[#This Row],[Descuento sobre subtotal %]]*(PROVEEDORES[[#This Row],[SUBTOTAL]]-PROVEEDORES[[#This Row],[descuento sobre subtotal]])</f>
        <v>0</v>
      </c>
      <c r="P2195" s="74">
        <f>+IF(PROVEEDORES[[#This Row],[SUBTOTAL]]&lt;PROVEEDORES[[#This Row],[base retencion]],0,PROVEEDORES[[#This Row],[retención aplicada]])</f>
        <v>0</v>
      </c>
      <c r="Q2195" s="22">
        <f>+PROVEEDORES[[#This Row],[Rete Fuente %]]*(PROVEEDORES[[#This Row],[SUBTOTAL]]-PROVEEDORES[[#This Row],[descuento sobre subtotal]])</f>
        <v>0</v>
      </c>
      <c r="R2195" s="21">
        <f>+PROVEEDORES[[#This Row],[SUBTOTAL]]+PROVEEDORES[[#This Row],[IVA 19%]]-PROVEEDORES[[#This Row],[descuento sobre subtotal]]-PROVEEDORES[[#This Row],[Descuento sobre subtotal $2]]-PROVEEDORES[[#This Row],[Rete Fuente $]]</f>
        <v>271320</v>
      </c>
      <c r="S219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5" s="63">
        <f ca="1">IF(PROVEEDORES[[#This Row],[FECHA DE PAGO]]=0,TODAY()-PROVEEDORES[[#This Row],[FECHA DE FACTURACIÓN]]-PROVEEDORES[[#This Row],[PLAZO Días]],0)</f>
        <v>0</v>
      </c>
      <c r="U2195" s="104">
        <f>+VLOOKUP(PROVEEDORES[[#This Row],[PROVEEDOR]],Terceros!$A:$D,4,FALSE)</f>
        <v>0</v>
      </c>
      <c r="V2195" s="105">
        <f>+YEAR(PROVEEDORES[[#This Row],[FECHA DE FACTURACIÓN]])</f>
        <v>2023</v>
      </c>
      <c r="W2195" s="105">
        <f>+MATCH(PROVEEDORES[[#This Row],[año facturado]],Retenciones!$1:$1,0)</f>
        <v>6</v>
      </c>
      <c r="X2195" s="106">
        <f>+VLOOKUP(PROVEEDORES[[#This Row],[ID RETENCION]],Retenciones!$A$1:$O$25,PROVEEDORES[[#This Row],[indicador de columna]],FALSE)</f>
        <v>0</v>
      </c>
      <c r="Y2195" s="107">
        <f>+VLOOKUP(PROVEEDORES[[#This Row],[ID RETENCION]],Retenciones!$A$1:$O$25,2,FALSE)</f>
        <v>0</v>
      </c>
      <c r="Z2195" s="116" t="b">
        <f>OR(COUNTIF(PROVEEDORES[[#This Row],[PROVEEDOR]],"*"&amp;'Palabra no opera'!$A$2&amp;"*"))</f>
        <v>0</v>
      </c>
    </row>
    <row r="2196" spans="1:26" ht="22.35" customHeight="1" x14ac:dyDescent="0.3">
      <c r="A2196" s="67" t="str">
        <f>+IF(PROVEEDORES[[#This Row],[FECHA DE PAGO]]=PROVEEDORES[[#This Row],[FECHA DE FACTURACIÓN]],"DE CONTADO","CRÉDITO")</f>
        <v>CRÉDITO</v>
      </c>
      <c r="B2196" s="38" t="str">
        <f>+IF((PROVEEDORES[[#This Row],[FECHA DE PAGO]]-PROVEEDORES[[#This Row],[FECHA DE FACTURACIÓN]])&gt;PROVEEDORES[[#This Row],[PLAZO Días]],"PAGO VENCIDO")</f>
        <v>PAGO VENCIDO</v>
      </c>
      <c r="C2196" s="20">
        <f>+VLOOKUP(PROVEEDORES[[#This Row],[PROVEEDOR]],TERCEROS_INFO[#All],2,FALSE)</f>
        <v>30</v>
      </c>
      <c r="D2196" s="25">
        <f>+SUMIFS(PROVEEDORES[Total],PROVEEDORES[PROVEEDOR],PROVEEDORES[[#This Row],[PROVEEDOR]],PROVEEDORES[FECHA DE PAGO],"")</f>
        <v>3209330.35</v>
      </c>
      <c r="E2196" s="25"/>
      <c r="F2196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196" s="68">
        <v>45264</v>
      </c>
      <c r="H2196" s="26" t="s">
        <v>282</v>
      </c>
      <c r="I2196" s="68">
        <v>45209</v>
      </c>
      <c r="J2196" s="35" t="s">
        <v>2070</v>
      </c>
      <c r="K2196" s="21">
        <v>1115966</v>
      </c>
      <c r="L2196" s="21"/>
      <c r="M2196" s="22">
        <f>(PROVEEDORES[[#This Row],[SUBTOTAL]]-PROVEEDORES[[#This Row],[descuento sobre subtotal]])*VLOOKUP(PROVEEDORES[[#This Row],[PROVEEDOR]],TERCEROS_INFO[#All],3,FALSE)</f>
        <v>212033.54</v>
      </c>
      <c r="N2196" s="23"/>
      <c r="O2196" s="22">
        <f>+PROVEEDORES[[#This Row],[Descuento sobre subtotal %]]*(PROVEEDORES[[#This Row],[SUBTOTAL]]-PROVEEDORES[[#This Row],[descuento sobre subtotal]])</f>
        <v>0</v>
      </c>
      <c r="P2196" s="74">
        <f>+IF(PROVEEDORES[[#This Row],[SUBTOTAL]]&lt;PROVEEDORES[[#This Row],[base retencion]],0,PROVEEDORES[[#This Row],[retención aplicada]])</f>
        <v>0</v>
      </c>
      <c r="Q2196" s="22">
        <f>+PROVEEDORES[[#This Row],[Rete Fuente %]]*(PROVEEDORES[[#This Row],[SUBTOTAL]]-PROVEEDORES[[#This Row],[descuento sobre subtotal]])</f>
        <v>0</v>
      </c>
      <c r="R2196" s="21">
        <f>+PROVEEDORES[[#This Row],[SUBTOTAL]]+PROVEEDORES[[#This Row],[IVA 19%]]-PROVEEDORES[[#This Row],[descuento sobre subtotal]]-PROVEEDORES[[#This Row],[Descuento sobre subtotal $2]]-PROVEEDORES[[#This Row],[Rete Fuente $]]</f>
        <v>1327999.54</v>
      </c>
      <c r="S219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6" s="63">
        <f ca="1">IF(PROVEEDORES[[#This Row],[FECHA DE PAGO]]=0,TODAY()-PROVEEDORES[[#This Row],[FECHA DE FACTURACIÓN]]-PROVEEDORES[[#This Row],[PLAZO Días]],0)</f>
        <v>0</v>
      </c>
      <c r="U2196" s="104" t="str">
        <f>+VLOOKUP(PROVEEDORES[[#This Row],[PROVEEDOR]],Terceros!$A:$D,4,FALSE)</f>
        <v>2,5% con base</v>
      </c>
      <c r="V2196" s="105">
        <f>+YEAR(PROVEEDORES[[#This Row],[FECHA DE FACTURACIÓN]])</f>
        <v>2023</v>
      </c>
      <c r="W2196" s="105">
        <f>+MATCH(PROVEEDORES[[#This Row],[año facturado]],Retenciones!$1:$1,0)</f>
        <v>6</v>
      </c>
      <c r="X2196" s="106">
        <f>+VLOOKUP(PROVEEDORES[[#This Row],[ID RETENCION]],Retenciones!$A$1:$O$25,PROVEEDORES[[#This Row],[indicador de columna]],FALSE)</f>
        <v>1145000</v>
      </c>
      <c r="Y2196" s="107">
        <f>+VLOOKUP(PROVEEDORES[[#This Row],[ID RETENCION]],Retenciones!$A$1:$O$25,2,FALSE)</f>
        <v>2.5000000000000001E-2</v>
      </c>
      <c r="Z2196" s="116" t="b">
        <f>OR(COUNTIF(PROVEEDORES[[#This Row],[PROVEEDOR]],"*"&amp;'Palabra no opera'!$A$2&amp;"*"))</f>
        <v>0</v>
      </c>
    </row>
    <row r="2197" spans="1:26" ht="22.35" customHeight="1" x14ac:dyDescent="0.3">
      <c r="A2197" s="67" t="str">
        <f>+IF(PROVEEDORES[[#This Row],[FECHA DE PAGO]]=PROVEEDORES[[#This Row],[FECHA DE FACTURACIÓN]],"DE CONTADO","CRÉDITO")</f>
        <v>CRÉDITO</v>
      </c>
      <c r="B2197" s="38" t="str">
        <f>+IF((PROVEEDORES[[#This Row],[FECHA DE PAGO]]-PROVEEDORES[[#This Row],[FECHA DE FACTURACIÓN]])&gt;PROVEEDORES[[#This Row],[PLAZO Días]],"PAGO VENCIDO")</f>
        <v>PAGO VENCIDO</v>
      </c>
      <c r="C2197" s="20">
        <f>+VLOOKUP(PROVEEDORES[[#This Row],[PROVEEDOR]],TERCEROS_INFO[#All],2,FALSE)</f>
        <v>30</v>
      </c>
      <c r="D2197" s="25">
        <f>+SUMIFS(PROVEEDORES[Total],PROVEEDORES[PROVEEDOR],PROVEEDORES[[#This Row],[PROVEEDOR]],PROVEEDORES[FECHA DE PAGO],"")</f>
        <v>5538410</v>
      </c>
      <c r="E2197" s="25"/>
      <c r="F2197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2197" s="68">
        <v>45264</v>
      </c>
      <c r="H2197" s="26" t="s">
        <v>1460</v>
      </c>
      <c r="I2197" s="68">
        <v>45225</v>
      </c>
      <c r="J2197" s="35" t="s">
        <v>2097</v>
      </c>
      <c r="K2197" s="21">
        <v>3110000</v>
      </c>
      <c r="L2197" s="21"/>
      <c r="M2197" s="22">
        <f>(PROVEEDORES[[#This Row],[SUBTOTAL]]-PROVEEDORES[[#This Row],[descuento sobre subtotal]])*VLOOKUP(PROVEEDORES[[#This Row],[PROVEEDOR]],TERCEROS_INFO[#All],3,FALSE)</f>
        <v>590900</v>
      </c>
      <c r="N2197" s="23"/>
      <c r="O2197" s="22">
        <f>+PROVEEDORES[[#This Row],[Descuento sobre subtotal %]]*(PROVEEDORES[[#This Row],[SUBTOTAL]]-PROVEEDORES[[#This Row],[descuento sobre subtotal]])</f>
        <v>0</v>
      </c>
      <c r="P2197" s="74">
        <f>+IF(PROVEEDORES[[#This Row],[SUBTOTAL]]&lt;PROVEEDORES[[#This Row],[base retencion]],0,PROVEEDORES[[#This Row],[retención aplicada]])</f>
        <v>2.5000000000000001E-2</v>
      </c>
      <c r="Q2197" s="22">
        <f>+PROVEEDORES[[#This Row],[Rete Fuente %]]*(PROVEEDORES[[#This Row],[SUBTOTAL]]-PROVEEDORES[[#This Row],[descuento sobre subtotal]])</f>
        <v>77750</v>
      </c>
      <c r="R2197" s="21">
        <f>+PROVEEDORES[[#This Row],[SUBTOTAL]]+PROVEEDORES[[#This Row],[IVA 19%]]-PROVEEDORES[[#This Row],[descuento sobre subtotal]]-PROVEEDORES[[#This Row],[Descuento sobre subtotal $2]]-PROVEEDORES[[#This Row],[Rete Fuente $]]</f>
        <v>3623150</v>
      </c>
      <c r="S219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7" s="63">
        <f ca="1">IF(PROVEEDORES[[#This Row],[FECHA DE PAGO]]=0,TODAY()-PROVEEDORES[[#This Row],[FECHA DE FACTURACIÓN]]-PROVEEDORES[[#This Row],[PLAZO Días]],0)</f>
        <v>0</v>
      </c>
      <c r="U2197" s="104" t="str">
        <f>+VLOOKUP(PROVEEDORES[[#This Row],[PROVEEDOR]],Terceros!$A:$D,4,FALSE)</f>
        <v>2,5% con base</v>
      </c>
      <c r="V2197" s="105">
        <f>+YEAR(PROVEEDORES[[#This Row],[FECHA DE FACTURACIÓN]])</f>
        <v>2023</v>
      </c>
      <c r="W2197" s="105">
        <f>+MATCH(PROVEEDORES[[#This Row],[año facturado]],Retenciones!$1:$1,0)</f>
        <v>6</v>
      </c>
      <c r="X2197" s="106">
        <f>+VLOOKUP(PROVEEDORES[[#This Row],[ID RETENCION]],Retenciones!$A$1:$O$25,PROVEEDORES[[#This Row],[indicador de columna]],FALSE)</f>
        <v>1145000</v>
      </c>
      <c r="Y2197" s="107">
        <f>+VLOOKUP(PROVEEDORES[[#This Row],[ID RETENCION]],Retenciones!$A$1:$O$25,2,FALSE)</f>
        <v>2.5000000000000001E-2</v>
      </c>
      <c r="Z2197" s="116" t="b">
        <f>OR(COUNTIF(PROVEEDORES[[#This Row],[PROVEEDOR]],"*"&amp;'Palabra no opera'!$A$2&amp;"*"))</f>
        <v>0</v>
      </c>
    </row>
    <row r="2198" spans="1:26" ht="22.35" customHeight="1" x14ac:dyDescent="0.3">
      <c r="A2198" s="67" t="str">
        <f>+IF(PROVEEDORES[[#This Row],[FECHA DE PAGO]]=PROVEEDORES[[#This Row],[FECHA DE FACTURACIÓN]],"DE CONTADO","CRÉDITO")</f>
        <v>CRÉDITO</v>
      </c>
      <c r="B2198" s="38" t="str">
        <f>+IF((PROVEEDORES[[#This Row],[FECHA DE PAGO]]-PROVEEDORES[[#This Row],[FECHA DE FACTURACIÓN]])&gt;PROVEEDORES[[#This Row],[PLAZO Días]],"PAGO VENCIDO")</f>
        <v>PAGO VENCIDO</v>
      </c>
      <c r="C2198" s="20">
        <f>+VLOOKUP(PROVEEDORES[[#This Row],[PROVEEDOR]],TERCEROS_INFO[#All],2,FALSE)</f>
        <v>30</v>
      </c>
      <c r="D2198" s="25">
        <f>+SUMIFS(PROVEEDORES[Total],PROVEEDORES[PROVEEDOR],PROVEEDORES[[#This Row],[PROVEEDOR]],PROVEEDORES[FECHA DE PAGO],"")</f>
        <v>17870934.149999999</v>
      </c>
      <c r="E2198" s="25"/>
      <c r="F219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198" s="68">
        <v>45264</v>
      </c>
      <c r="H2198" s="26" t="s">
        <v>18</v>
      </c>
      <c r="I2198" s="68">
        <v>45209</v>
      </c>
      <c r="J2198" s="35" t="s">
        <v>2076</v>
      </c>
      <c r="K2198" s="21">
        <v>631763</v>
      </c>
      <c r="L2198" s="21"/>
      <c r="M2198" s="22">
        <f>(PROVEEDORES[[#This Row],[SUBTOTAL]]-PROVEEDORES[[#This Row],[descuento sobre subtotal]])*VLOOKUP(PROVEEDORES[[#This Row],[PROVEEDOR]],TERCEROS_INFO[#All],3,FALSE)</f>
        <v>120034.97</v>
      </c>
      <c r="N2198" s="23"/>
      <c r="O2198" s="22">
        <f>+PROVEEDORES[[#This Row],[Descuento sobre subtotal %]]*(PROVEEDORES[[#This Row],[SUBTOTAL]]-PROVEEDORES[[#This Row],[descuento sobre subtotal]])</f>
        <v>0</v>
      </c>
      <c r="P2198" s="74">
        <f>+IF(PROVEEDORES[[#This Row],[SUBTOTAL]]&lt;PROVEEDORES[[#This Row],[base retencion]],0,PROVEEDORES[[#This Row],[retención aplicada]])</f>
        <v>0</v>
      </c>
      <c r="Q2198" s="22">
        <f>+PROVEEDORES[[#This Row],[Rete Fuente %]]*(PROVEEDORES[[#This Row],[SUBTOTAL]]-PROVEEDORES[[#This Row],[descuento sobre subtotal]])</f>
        <v>0</v>
      </c>
      <c r="R2198" s="21">
        <f>+PROVEEDORES[[#This Row],[SUBTOTAL]]+PROVEEDORES[[#This Row],[IVA 19%]]-PROVEEDORES[[#This Row],[descuento sobre subtotal]]-PROVEEDORES[[#This Row],[Descuento sobre subtotal $2]]-PROVEEDORES[[#This Row],[Rete Fuente $]]</f>
        <v>751797.97</v>
      </c>
      <c r="S219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8" s="63">
        <f ca="1">IF(PROVEEDORES[[#This Row],[FECHA DE PAGO]]=0,TODAY()-PROVEEDORES[[#This Row],[FECHA DE FACTURACIÓN]]-PROVEEDORES[[#This Row],[PLAZO Días]],0)</f>
        <v>0</v>
      </c>
      <c r="U2198" s="104" t="str">
        <f>+VLOOKUP(PROVEEDORES[[#This Row],[PROVEEDOR]],Terceros!$A:$D,4,FALSE)</f>
        <v>2,5% con base</v>
      </c>
      <c r="V2198" s="105">
        <f>+YEAR(PROVEEDORES[[#This Row],[FECHA DE FACTURACIÓN]])</f>
        <v>2023</v>
      </c>
      <c r="W2198" s="105">
        <f>+MATCH(PROVEEDORES[[#This Row],[año facturado]],Retenciones!$1:$1,0)</f>
        <v>6</v>
      </c>
      <c r="X2198" s="106">
        <f>+VLOOKUP(PROVEEDORES[[#This Row],[ID RETENCION]],Retenciones!$A$1:$O$25,PROVEEDORES[[#This Row],[indicador de columna]],FALSE)</f>
        <v>1145000</v>
      </c>
      <c r="Y2198" s="107">
        <f>+VLOOKUP(PROVEEDORES[[#This Row],[ID RETENCION]],Retenciones!$A$1:$O$25,2,FALSE)</f>
        <v>2.5000000000000001E-2</v>
      </c>
      <c r="Z2198" s="116" t="b">
        <f>OR(COUNTIF(PROVEEDORES[[#This Row],[PROVEEDOR]],"*"&amp;'Palabra no opera'!$A$2&amp;"*"))</f>
        <v>0</v>
      </c>
    </row>
    <row r="2199" spans="1:26" ht="22.35" customHeight="1" x14ac:dyDescent="0.3">
      <c r="A2199" s="67" t="str">
        <f>+IF(PROVEEDORES[[#This Row],[FECHA DE PAGO]]=PROVEEDORES[[#This Row],[FECHA DE FACTURACIÓN]],"DE CONTADO","CRÉDITO")</f>
        <v>CRÉDITO</v>
      </c>
      <c r="B2199" s="38" t="str">
        <f>+IF((PROVEEDORES[[#This Row],[FECHA DE PAGO]]-PROVEEDORES[[#This Row],[FECHA DE FACTURACIÓN]])&gt;PROVEEDORES[[#This Row],[PLAZO Días]],"PAGO VENCIDO")</f>
        <v>PAGO VENCIDO</v>
      </c>
      <c r="C2199" s="20">
        <f>+VLOOKUP(PROVEEDORES[[#This Row],[PROVEEDOR]],TERCEROS_INFO[#All],2,FALSE)</f>
        <v>30</v>
      </c>
      <c r="D2199" s="25">
        <f>+SUMIFS(PROVEEDORES[Total],PROVEEDORES[PROVEEDOR],PROVEEDORES[[#This Row],[PROVEEDOR]],PROVEEDORES[FECHA DE PAGO],"")</f>
        <v>17870934.149999999</v>
      </c>
      <c r="E2199" s="25"/>
      <c r="F219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199" s="68">
        <v>45264</v>
      </c>
      <c r="H2199" s="26" t="s">
        <v>18</v>
      </c>
      <c r="I2199" s="68">
        <v>45219</v>
      </c>
      <c r="J2199" s="35" t="s">
        <v>2077</v>
      </c>
      <c r="K2199" s="21">
        <v>1633588</v>
      </c>
      <c r="L2199" s="21"/>
      <c r="M2199" s="22">
        <f>(PROVEEDORES[[#This Row],[SUBTOTAL]]-PROVEEDORES[[#This Row],[descuento sobre subtotal]])*VLOOKUP(PROVEEDORES[[#This Row],[PROVEEDOR]],TERCEROS_INFO[#All],3,FALSE)</f>
        <v>310381.72000000003</v>
      </c>
      <c r="N2199" s="23"/>
      <c r="O2199" s="22">
        <f>+PROVEEDORES[[#This Row],[Descuento sobre subtotal %]]*(PROVEEDORES[[#This Row],[SUBTOTAL]]-PROVEEDORES[[#This Row],[descuento sobre subtotal]])</f>
        <v>0</v>
      </c>
      <c r="P2199" s="74">
        <f>+IF(PROVEEDORES[[#This Row],[SUBTOTAL]]&lt;PROVEEDORES[[#This Row],[base retencion]],0,PROVEEDORES[[#This Row],[retención aplicada]])</f>
        <v>2.5000000000000001E-2</v>
      </c>
      <c r="Q2199" s="22">
        <f>+PROVEEDORES[[#This Row],[Rete Fuente %]]*(PROVEEDORES[[#This Row],[SUBTOTAL]]-PROVEEDORES[[#This Row],[descuento sobre subtotal]])</f>
        <v>40839.700000000004</v>
      </c>
      <c r="R2199" s="21">
        <f>+PROVEEDORES[[#This Row],[SUBTOTAL]]+PROVEEDORES[[#This Row],[IVA 19%]]-PROVEEDORES[[#This Row],[descuento sobre subtotal]]-PROVEEDORES[[#This Row],[Descuento sobre subtotal $2]]-PROVEEDORES[[#This Row],[Rete Fuente $]]</f>
        <v>1903130.02</v>
      </c>
      <c r="S219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9" s="63">
        <f ca="1">IF(PROVEEDORES[[#This Row],[FECHA DE PAGO]]=0,TODAY()-PROVEEDORES[[#This Row],[FECHA DE FACTURACIÓN]]-PROVEEDORES[[#This Row],[PLAZO Días]],0)</f>
        <v>0</v>
      </c>
      <c r="U2199" s="104" t="str">
        <f>+VLOOKUP(PROVEEDORES[[#This Row],[PROVEEDOR]],Terceros!$A:$D,4,FALSE)</f>
        <v>2,5% con base</v>
      </c>
      <c r="V2199" s="105">
        <f>+YEAR(PROVEEDORES[[#This Row],[FECHA DE FACTURACIÓN]])</f>
        <v>2023</v>
      </c>
      <c r="W2199" s="105">
        <f>+MATCH(PROVEEDORES[[#This Row],[año facturado]],Retenciones!$1:$1,0)</f>
        <v>6</v>
      </c>
      <c r="X2199" s="106">
        <f>+VLOOKUP(PROVEEDORES[[#This Row],[ID RETENCION]],Retenciones!$A$1:$O$25,PROVEEDORES[[#This Row],[indicador de columna]],FALSE)</f>
        <v>1145000</v>
      </c>
      <c r="Y2199" s="107">
        <f>+VLOOKUP(PROVEEDORES[[#This Row],[ID RETENCION]],Retenciones!$A$1:$O$25,2,FALSE)</f>
        <v>2.5000000000000001E-2</v>
      </c>
      <c r="Z2199" s="116" t="b">
        <f>OR(COUNTIF(PROVEEDORES[[#This Row],[PROVEEDOR]],"*"&amp;'Palabra no opera'!$A$2&amp;"*"))</f>
        <v>0</v>
      </c>
    </row>
    <row r="2200" spans="1:26" ht="22.35" customHeight="1" x14ac:dyDescent="0.3">
      <c r="A2200" s="67" t="str">
        <f>+IF(PROVEEDORES[[#This Row],[FECHA DE PAGO]]=PROVEEDORES[[#This Row],[FECHA DE FACTURACIÓN]],"DE CONTADO","CRÉDITO")</f>
        <v>CRÉDITO</v>
      </c>
      <c r="B2200" s="38" t="str">
        <f>+IF((PROVEEDORES[[#This Row],[FECHA DE PAGO]]-PROVEEDORES[[#This Row],[FECHA DE FACTURACIÓN]])&gt;PROVEEDORES[[#This Row],[PLAZO Días]],"PAGO VENCIDO")</f>
        <v>PAGO VENCIDO</v>
      </c>
      <c r="C2200" s="20">
        <f>+VLOOKUP(PROVEEDORES[[#This Row],[PROVEEDOR]],TERCEROS_INFO[#All],2,FALSE)</f>
        <v>30</v>
      </c>
      <c r="D2200" s="25">
        <f>+SUMIFS(PROVEEDORES[Total],PROVEEDORES[PROVEEDOR],PROVEEDORES[[#This Row],[PROVEEDOR]],PROVEEDORES[FECHA DE PAGO],"")</f>
        <v>17870934.149999999</v>
      </c>
      <c r="E2200" s="25"/>
      <c r="F220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00" s="68">
        <v>45264</v>
      </c>
      <c r="H2200" s="26" t="s">
        <v>18</v>
      </c>
      <c r="I2200" s="68">
        <v>45232</v>
      </c>
      <c r="J2200" s="35" t="s">
        <v>2134</v>
      </c>
      <c r="K2200" s="21">
        <v>2284053</v>
      </c>
      <c r="L2200" s="21"/>
      <c r="M2200" s="22">
        <f>(PROVEEDORES[[#This Row],[SUBTOTAL]]-PROVEEDORES[[#This Row],[descuento sobre subtotal]])*VLOOKUP(PROVEEDORES[[#This Row],[PROVEEDOR]],TERCEROS_INFO[#All],3,FALSE)</f>
        <v>433970.07</v>
      </c>
      <c r="N2200" s="23"/>
      <c r="O2200" s="22">
        <f>+PROVEEDORES[[#This Row],[Descuento sobre subtotal %]]*(PROVEEDORES[[#This Row],[SUBTOTAL]]-PROVEEDORES[[#This Row],[descuento sobre subtotal]])</f>
        <v>0</v>
      </c>
      <c r="P2200" s="74">
        <f>+IF(PROVEEDORES[[#This Row],[SUBTOTAL]]&lt;PROVEEDORES[[#This Row],[base retencion]],0,PROVEEDORES[[#This Row],[retención aplicada]])</f>
        <v>2.5000000000000001E-2</v>
      </c>
      <c r="Q2200" s="22">
        <f>+PROVEEDORES[[#This Row],[Rete Fuente %]]*(PROVEEDORES[[#This Row],[SUBTOTAL]]-PROVEEDORES[[#This Row],[descuento sobre subtotal]])</f>
        <v>57101.325000000004</v>
      </c>
      <c r="R2200" s="21">
        <f>+PROVEEDORES[[#This Row],[SUBTOTAL]]+PROVEEDORES[[#This Row],[IVA 19%]]-PROVEEDORES[[#This Row],[descuento sobre subtotal]]-PROVEEDORES[[#This Row],[Descuento sobre subtotal $2]]-PROVEEDORES[[#This Row],[Rete Fuente $]]</f>
        <v>2660921.7449999996</v>
      </c>
      <c r="S22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0" s="63">
        <f ca="1">IF(PROVEEDORES[[#This Row],[FECHA DE PAGO]]=0,TODAY()-PROVEEDORES[[#This Row],[FECHA DE FACTURACIÓN]]-PROVEEDORES[[#This Row],[PLAZO Días]],0)</f>
        <v>0</v>
      </c>
      <c r="U2200" s="104" t="str">
        <f>+VLOOKUP(PROVEEDORES[[#This Row],[PROVEEDOR]],Terceros!$A:$D,4,FALSE)</f>
        <v>2,5% con base</v>
      </c>
      <c r="V2200" s="105">
        <f>+YEAR(PROVEEDORES[[#This Row],[FECHA DE FACTURACIÓN]])</f>
        <v>2023</v>
      </c>
      <c r="W2200" s="105">
        <f>+MATCH(PROVEEDORES[[#This Row],[año facturado]],Retenciones!$1:$1,0)</f>
        <v>6</v>
      </c>
      <c r="X2200" s="106">
        <f>+VLOOKUP(PROVEEDORES[[#This Row],[ID RETENCION]],Retenciones!$A$1:$O$25,PROVEEDORES[[#This Row],[indicador de columna]],FALSE)</f>
        <v>1145000</v>
      </c>
      <c r="Y2200" s="107">
        <f>+VLOOKUP(PROVEEDORES[[#This Row],[ID RETENCION]],Retenciones!$A$1:$O$25,2,FALSE)</f>
        <v>2.5000000000000001E-2</v>
      </c>
      <c r="Z2200" s="116" t="b">
        <f>OR(COUNTIF(PROVEEDORES[[#This Row],[PROVEEDOR]],"*"&amp;'Palabra no opera'!$A$2&amp;"*"))</f>
        <v>0</v>
      </c>
    </row>
    <row r="2201" spans="1:26" ht="22.35" customHeight="1" x14ac:dyDescent="0.3">
      <c r="A2201" s="67" t="str">
        <f>+IF(PROVEEDORES[[#This Row],[FECHA DE PAGO]]=PROVEEDORES[[#This Row],[FECHA DE FACTURACIÓN]],"DE CONTADO","CRÉDITO")</f>
        <v>CRÉDITO</v>
      </c>
      <c r="B2201" s="38" t="str">
        <f>+IF((PROVEEDORES[[#This Row],[FECHA DE PAGO]]-PROVEEDORES[[#This Row],[FECHA DE FACTURACIÓN]])&gt;PROVEEDORES[[#This Row],[PLAZO Días]],"PAGO VENCIDO")</f>
        <v>PAGO VENCIDO</v>
      </c>
      <c r="C2201" s="20">
        <f>+VLOOKUP(PROVEEDORES[[#This Row],[PROVEEDOR]],TERCEROS_INFO[#All],2,FALSE)</f>
        <v>30</v>
      </c>
      <c r="D2201" s="25">
        <f>+SUMIFS(PROVEEDORES[Total],PROVEEDORES[PROVEEDOR],PROVEEDORES[[#This Row],[PROVEEDOR]],PROVEEDORES[FECHA DE PAGO],"")</f>
        <v>0</v>
      </c>
      <c r="E2201" s="25"/>
      <c r="F2201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201" s="68">
        <v>45264</v>
      </c>
      <c r="H2201" s="26" t="s">
        <v>964</v>
      </c>
      <c r="I2201" s="68">
        <v>45225</v>
      </c>
      <c r="J2201" s="35" t="s">
        <v>2096</v>
      </c>
      <c r="K2201" s="21">
        <v>2263000</v>
      </c>
      <c r="L2201" s="21"/>
      <c r="M2201" s="22">
        <f>(PROVEEDORES[[#This Row],[SUBTOTAL]]-PROVEEDORES[[#This Row],[descuento sobre subtotal]])*VLOOKUP(PROVEEDORES[[#This Row],[PROVEEDOR]],TERCEROS_INFO[#All],3,FALSE)</f>
        <v>429970</v>
      </c>
      <c r="N2201" s="23"/>
      <c r="O2201" s="22">
        <f>+PROVEEDORES[[#This Row],[Descuento sobre subtotal %]]*(PROVEEDORES[[#This Row],[SUBTOTAL]]-PROVEEDORES[[#This Row],[descuento sobre subtotal]])</f>
        <v>0</v>
      </c>
      <c r="P2201" s="74">
        <f>+IF(PROVEEDORES[[#This Row],[SUBTOTAL]]&lt;PROVEEDORES[[#This Row],[base retencion]],0,PROVEEDORES[[#This Row],[retención aplicada]])</f>
        <v>0</v>
      </c>
      <c r="Q2201" s="22">
        <f>+PROVEEDORES[[#This Row],[Rete Fuente %]]*(PROVEEDORES[[#This Row],[SUBTOTAL]]-PROVEEDORES[[#This Row],[descuento sobre subtotal]])</f>
        <v>0</v>
      </c>
      <c r="R2201" s="21">
        <f>+PROVEEDORES[[#This Row],[SUBTOTAL]]+PROVEEDORES[[#This Row],[IVA 19%]]-PROVEEDORES[[#This Row],[descuento sobre subtotal]]-PROVEEDORES[[#This Row],[Descuento sobre subtotal $2]]-PROVEEDORES[[#This Row],[Rete Fuente $]]</f>
        <v>2692970</v>
      </c>
      <c r="S220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1" s="63">
        <f ca="1">IF(PROVEEDORES[[#This Row],[FECHA DE PAGO]]=0,TODAY()-PROVEEDORES[[#This Row],[FECHA DE FACTURACIÓN]]-PROVEEDORES[[#This Row],[PLAZO Días]],0)</f>
        <v>0</v>
      </c>
      <c r="U2201" s="104">
        <f>+VLOOKUP(PROVEEDORES[[#This Row],[PROVEEDOR]],Terceros!$A:$D,4,FALSE)</f>
        <v>0</v>
      </c>
      <c r="V2201" s="105">
        <f>+YEAR(PROVEEDORES[[#This Row],[FECHA DE FACTURACIÓN]])</f>
        <v>2023</v>
      </c>
      <c r="W2201" s="105">
        <f>+MATCH(PROVEEDORES[[#This Row],[año facturado]],Retenciones!$1:$1,0)</f>
        <v>6</v>
      </c>
      <c r="X2201" s="106">
        <f>+VLOOKUP(PROVEEDORES[[#This Row],[ID RETENCION]],Retenciones!$A$1:$O$25,PROVEEDORES[[#This Row],[indicador de columna]],FALSE)</f>
        <v>0</v>
      </c>
      <c r="Y2201" s="107">
        <f>+VLOOKUP(PROVEEDORES[[#This Row],[ID RETENCION]],Retenciones!$A$1:$O$25,2,FALSE)</f>
        <v>0</v>
      </c>
      <c r="Z2201" s="116" t="b">
        <f>OR(COUNTIF(PROVEEDORES[[#This Row],[PROVEEDOR]],"*"&amp;'Palabra no opera'!$A$2&amp;"*"))</f>
        <v>0</v>
      </c>
    </row>
    <row r="2202" spans="1:26" ht="22.35" customHeight="1" x14ac:dyDescent="0.3">
      <c r="A2202" s="67" t="str">
        <f>+IF(PROVEEDORES[[#This Row],[FECHA DE PAGO]]=PROVEEDORES[[#This Row],[FECHA DE FACTURACIÓN]],"DE CONTADO","CRÉDITO")</f>
        <v>CRÉDITO</v>
      </c>
      <c r="B2202" s="38" t="str">
        <f>+IF((PROVEEDORES[[#This Row],[FECHA DE PAGO]]-PROVEEDORES[[#This Row],[FECHA DE FACTURACIÓN]])&gt;PROVEEDORES[[#This Row],[PLAZO Días]],"PAGO VENCIDO")</f>
        <v>PAGO VENCIDO</v>
      </c>
      <c r="C2202" s="20">
        <f>+VLOOKUP(PROVEEDORES[[#This Row],[PROVEEDOR]],TERCEROS_INFO[#All],2,FALSE)</f>
        <v>30</v>
      </c>
      <c r="D2202" s="25">
        <f>+SUMIFS(PROVEEDORES[Total],PROVEEDORES[PROVEEDOR],PROVEEDORES[[#This Row],[PROVEEDOR]],PROVEEDORES[FECHA DE PAGO],"")</f>
        <v>-139600.09</v>
      </c>
      <c r="E2202" s="25"/>
      <c r="F2202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2202" s="68">
        <v>45264</v>
      </c>
      <c r="H2202" s="26" t="s">
        <v>32</v>
      </c>
      <c r="I2202" s="68">
        <v>45225</v>
      </c>
      <c r="J2202" s="35" t="s">
        <v>2082</v>
      </c>
      <c r="K2202" s="21">
        <v>2261344</v>
      </c>
      <c r="L2202" s="21"/>
      <c r="M2202" s="22">
        <f>(PROVEEDORES[[#This Row],[SUBTOTAL]]-PROVEEDORES[[#This Row],[descuento sobre subtotal]])*VLOOKUP(PROVEEDORES[[#This Row],[PROVEEDOR]],TERCEROS_INFO[#All],3,FALSE)</f>
        <v>429655.36</v>
      </c>
      <c r="N2202" s="23"/>
      <c r="O2202" s="22">
        <f>+PROVEEDORES[[#This Row],[Descuento sobre subtotal %]]*(PROVEEDORES[[#This Row],[SUBTOTAL]]-PROVEEDORES[[#This Row],[descuento sobre subtotal]])</f>
        <v>0</v>
      </c>
      <c r="P2202" s="74">
        <f>+IF(PROVEEDORES[[#This Row],[SUBTOTAL]]&lt;PROVEEDORES[[#This Row],[base retencion]],0,PROVEEDORES[[#This Row],[retención aplicada]])</f>
        <v>2.5000000000000001E-2</v>
      </c>
      <c r="Q2202" s="22">
        <f>+PROVEEDORES[[#This Row],[Rete Fuente %]]*(PROVEEDORES[[#This Row],[SUBTOTAL]]-PROVEEDORES[[#This Row],[descuento sobre subtotal]])</f>
        <v>56533.600000000006</v>
      </c>
      <c r="R2202" s="21">
        <f>+PROVEEDORES[[#This Row],[SUBTOTAL]]+PROVEEDORES[[#This Row],[IVA 19%]]-PROVEEDORES[[#This Row],[descuento sobre subtotal]]-PROVEEDORES[[#This Row],[Descuento sobre subtotal $2]]-PROVEEDORES[[#This Row],[Rete Fuente $]]</f>
        <v>2634465.7599999998</v>
      </c>
      <c r="S220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2" s="63">
        <f ca="1">IF(PROVEEDORES[[#This Row],[FECHA DE PAGO]]=0,TODAY()-PROVEEDORES[[#This Row],[FECHA DE FACTURACIÓN]]-PROVEEDORES[[#This Row],[PLAZO Días]],0)</f>
        <v>0</v>
      </c>
      <c r="U2202" s="104" t="str">
        <f>+VLOOKUP(PROVEEDORES[[#This Row],[PROVEEDOR]],Terceros!$A:$D,4,FALSE)</f>
        <v>2,5% con base</v>
      </c>
      <c r="V2202" s="105">
        <f>+YEAR(PROVEEDORES[[#This Row],[FECHA DE FACTURACIÓN]])</f>
        <v>2023</v>
      </c>
      <c r="W2202" s="105">
        <f>+MATCH(PROVEEDORES[[#This Row],[año facturado]],Retenciones!$1:$1,0)</f>
        <v>6</v>
      </c>
      <c r="X2202" s="106">
        <f>+VLOOKUP(PROVEEDORES[[#This Row],[ID RETENCION]],Retenciones!$A$1:$O$25,PROVEEDORES[[#This Row],[indicador de columna]],FALSE)</f>
        <v>1145000</v>
      </c>
      <c r="Y2202" s="107">
        <f>+VLOOKUP(PROVEEDORES[[#This Row],[ID RETENCION]],Retenciones!$A$1:$O$25,2,FALSE)</f>
        <v>2.5000000000000001E-2</v>
      </c>
      <c r="Z2202" s="116" t="b">
        <f>OR(COUNTIF(PROVEEDORES[[#This Row],[PROVEEDOR]],"*"&amp;'Palabra no opera'!$A$2&amp;"*"))</f>
        <v>0</v>
      </c>
    </row>
    <row r="2203" spans="1:26" ht="22.35" customHeight="1" x14ac:dyDescent="0.3">
      <c r="A2203" s="67" t="str">
        <f>+IF(PROVEEDORES[[#This Row],[FECHA DE PAGO]]=PROVEEDORES[[#This Row],[FECHA DE FACTURACIÓN]],"DE CONTADO","CRÉDITO")</f>
        <v>CRÉDITO</v>
      </c>
      <c r="B2203" s="38" t="str">
        <f>+IF((PROVEEDORES[[#This Row],[FECHA DE PAGO]]-PROVEEDORES[[#This Row],[FECHA DE FACTURACIÓN]])&gt;PROVEEDORES[[#This Row],[PLAZO Días]],"PAGO VENCIDO")</f>
        <v>PAGO VENCIDO</v>
      </c>
      <c r="C2203" s="20">
        <f>+VLOOKUP(PROVEEDORES[[#This Row],[PROVEEDOR]],TERCEROS_INFO[#All],2,FALSE)</f>
        <v>30</v>
      </c>
      <c r="D2203" s="25">
        <f>+SUMIFS(PROVEEDORES[Total],PROVEEDORES[PROVEEDOR],PROVEEDORES[[#This Row],[PROVEEDOR]],PROVEEDORES[FECHA DE PAGO],"")</f>
        <v>1316890.8900000001</v>
      </c>
      <c r="E2203" s="25"/>
      <c r="F220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203" s="68">
        <v>45264</v>
      </c>
      <c r="H2203" s="26" t="s">
        <v>17</v>
      </c>
      <c r="I2203" s="68">
        <v>45233</v>
      </c>
      <c r="J2203" s="35" t="s">
        <v>2138</v>
      </c>
      <c r="K2203" s="21">
        <v>707408</v>
      </c>
      <c r="L2203" s="21"/>
      <c r="M2203" s="22">
        <f>(PROVEEDORES[[#This Row],[SUBTOTAL]]-PROVEEDORES[[#This Row],[descuento sobre subtotal]])*VLOOKUP(PROVEEDORES[[#This Row],[PROVEEDOR]],TERCEROS_INFO[#All],3,FALSE)</f>
        <v>134407.51999999999</v>
      </c>
      <c r="N2203" s="23"/>
      <c r="O2203" s="22">
        <f>+PROVEEDORES[[#This Row],[Descuento sobre subtotal %]]*(PROVEEDORES[[#This Row],[SUBTOTAL]]-PROVEEDORES[[#This Row],[descuento sobre subtotal]])</f>
        <v>0</v>
      </c>
      <c r="P2203" s="74">
        <f>+IF(PROVEEDORES[[#This Row],[SUBTOTAL]]&lt;PROVEEDORES[[#This Row],[base retencion]],0,PROVEEDORES[[#This Row],[retención aplicada]])</f>
        <v>0</v>
      </c>
      <c r="Q2203" s="22">
        <f>+PROVEEDORES[[#This Row],[Rete Fuente %]]*(PROVEEDORES[[#This Row],[SUBTOTAL]]-PROVEEDORES[[#This Row],[descuento sobre subtotal]])</f>
        <v>0</v>
      </c>
      <c r="R2203" s="21">
        <f>+PROVEEDORES[[#This Row],[SUBTOTAL]]+PROVEEDORES[[#This Row],[IVA 19%]]-PROVEEDORES[[#This Row],[descuento sobre subtotal]]-PROVEEDORES[[#This Row],[Descuento sobre subtotal $2]]-PROVEEDORES[[#This Row],[Rete Fuente $]]</f>
        <v>841815.52</v>
      </c>
      <c r="S22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3" s="63">
        <f ca="1">IF(PROVEEDORES[[#This Row],[FECHA DE PAGO]]=0,TODAY()-PROVEEDORES[[#This Row],[FECHA DE FACTURACIÓN]]-PROVEEDORES[[#This Row],[PLAZO Días]],0)</f>
        <v>0</v>
      </c>
      <c r="U2203" s="104">
        <f>+VLOOKUP(PROVEEDORES[[#This Row],[PROVEEDOR]],Terceros!$A:$D,4,FALSE)</f>
        <v>0</v>
      </c>
      <c r="V2203" s="105">
        <f>+YEAR(PROVEEDORES[[#This Row],[FECHA DE FACTURACIÓN]])</f>
        <v>2023</v>
      </c>
      <c r="W2203" s="105">
        <f>+MATCH(PROVEEDORES[[#This Row],[año facturado]],Retenciones!$1:$1,0)</f>
        <v>6</v>
      </c>
      <c r="X2203" s="106">
        <f>+VLOOKUP(PROVEEDORES[[#This Row],[ID RETENCION]],Retenciones!$A$1:$O$25,PROVEEDORES[[#This Row],[indicador de columna]],FALSE)</f>
        <v>0</v>
      </c>
      <c r="Y2203" s="107">
        <f>+VLOOKUP(PROVEEDORES[[#This Row],[ID RETENCION]],Retenciones!$A$1:$O$25,2,FALSE)</f>
        <v>0</v>
      </c>
      <c r="Z2203" s="116" t="b">
        <f>OR(COUNTIF(PROVEEDORES[[#This Row],[PROVEEDOR]],"*"&amp;'Palabra no opera'!$A$2&amp;"*"))</f>
        <v>0</v>
      </c>
    </row>
    <row r="2204" spans="1:26" ht="22.35" customHeight="1" x14ac:dyDescent="0.3">
      <c r="A2204" s="67" t="str">
        <f>+IF(PROVEEDORES[[#This Row],[FECHA DE PAGO]]=PROVEEDORES[[#This Row],[FECHA DE FACTURACIÓN]],"DE CONTADO","CRÉDITO")</f>
        <v>CRÉDITO</v>
      </c>
      <c r="B2204" s="38" t="str">
        <f>+IF((PROVEEDORES[[#This Row],[FECHA DE PAGO]]-PROVEEDORES[[#This Row],[FECHA DE FACTURACIÓN]])&gt;PROVEEDORES[[#This Row],[PLAZO Días]],"PAGO VENCIDO")</f>
        <v>PAGO VENCIDO</v>
      </c>
      <c r="C2204" s="20">
        <f>+VLOOKUP(PROVEEDORES[[#This Row],[PROVEEDOR]],TERCEROS_INFO[#All],2,FALSE)</f>
        <v>45</v>
      </c>
      <c r="D2204" s="25">
        <f>+SUMIFS(PROVEEDORES[Total],PROVEEDORES[PROVEEDOR],PROVEEDORES[[#This Row],[PROVEEDOR]],PROVEEDORES[FECHA DE PAGO],"")</f>
        <v>15770594</v>
      </c>
      <c r="E2204" s="25"/>
      <c r="F2204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04" s="68">
        <v>45264</v>
      </c>
      <c r="H2204" s="26" t="s">
        <v>19</v>
      </c>
      <c r="I2204" s="68">
        <v>45218</v>
      </c>
      <c r="J2204" s="35" t="s">
        <v>2084</v>
      </c>
      <c r="K2204" s="21">
        <v>1657794</v>
      </c>
      <c r="L2204" s="21"/>
      <c r="M2204" s="22">
        <f>(PROVEEDORES[[#This Row],[SUBTOTAL]]-PROVEEDORES[[#This Row],[descuento sobre subtotal]])*VLOOKUP(PROVEEDORES[[#This Row],[PROVEEDOR]],TERCEROS_INFO[#All],3,FALSE)</f>
        <v>314980.86</v>
      </c>
      <c r="N2204" s="23"/>
      <c r="O2204" s="22">
        <f>+PROVEEDORES[[#This Row],[Descuento sobre subtotal %]]*(PROVEEDORES[[#This Row],[SUBTOTAL]]-PROVEEDORES[[#This Row],[descuento sobre subtotal]])</f>
        <v>0</v>
      </c>
      <c r="P2204" s="74">
        <f>+IF(PROVEEDORES[[#This Row],[SUBTOTAL]]&lt;PROVEEDORES[[#This Row],[base retencion]],0,PROVEEDORES[[#This Row],[retención aplicada]])</f>
        <v>0</v>
      </c>
      <c r="Q2204" s="22">
        <f>+PROVEEDORES[[#This Row],[Rete Fuente %]]*(PROVEEDORES[[#This Row],[SUBTOTAL]]-PROVEEDORES[[#This Row],[descuento sobre subtotal]])</f>
        <v>0</v>
      </c>
      <c r="R2204" s="21">
        <f>+PROVEEDORES[[#This Row],[SUBTOTAL]]+PROVEEDORES[[#This Row],[IVA 19%]]-PROVEEDORES[[#This Row],[descuento sobre subtotal]]-PROVEEDORES[[#This Row],[Descuento sobre subtotal $2]]-PROVEEDORES[[#This Row],[Rete Fuente $]]</f>
        <v>1972774.8599999999</v>
      </c>
      <c r="S220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4" s="63">
        <f ca="1">IF(PROVEEDORES[[#This Row],[FECHA DE PAGO]]=0,TODAY()-PROVEEDORES[[#This Row],[FECHA DE FACTURACIÓN]]-PROVEEDORES[[#This Row],[PLAZO Días]],0)</f>
        <v>0</v>
      </c>
      <c r="U2204" s="104">
        <f>+VLOOKUP(PROVEEDORES[[#This Row],[PROVEEDOR]],Terceros!$A:$D,4,FALSE)</f>
        <v>0</v>
      </c>
      <c r="V2204" s="105">
        <f>+YEAR(PROVEEDORES[[#This Row],[FECHA DE FACTURACIÓN]])</f>
        <v>2023</v>
      </c>
      <c r="W2204" s="105">
        <f>+MATCH(PROVEEDORES[[#This Row],[año facturado]],Retenciones!$1:$1,0)</f>
        <v>6</v>
      </c>
      <c r="X2204" s="106">
        <f>+VLOOKUP(PROVEEDORES[[#This Row],[ID RETENCION]],Retenciones!$A$1:$O$25,PROVEEDORES[[#This Row],[indicador de columna]],FALSE)</f>
        <v>0</v>
      </c>
      <c r="Y2204" s="107">
        <f>+VLOOKUP(PROVEEDORES[[#This Row],[ID RETENCION]],Retenciones!$A$1:$O$25,2,FALSE)</f>
        <v>0</v>
      </c>
      <c r="Z2204" s="116" t="b">
        <f>OR(COUNTIF(PROVEEDORES[[#This Row],[PROVEEDOR]],"*"&amp;'Palabra no opera'!$A$2&amp;"*"))</f>
        <v>0</v>
      </c>
    </row>
    <row r="2205" spans="1:26" ht="22.35" customHeight="1" x14ac:dyDescent="0.3">
      <c r="A2205" s="67" t="str">
        <f>+IF(PROVEEDORES[[#This Row],[FECHA DE PAGO]]=PROVEEDORES[[#This Row],[FECHA DE FACTURACIÓN]],"DE CONTADO","CRÉDITO")</f>
        <v>CRÉDITO</v>
      </c>
      <c r="B2205" s="38" t="str">
        <f>+IF((PROVEEDORES[[#This Row],[FECHA DE PAGO]]-PROVEEDORES[[#This Row],[FECHA DE FACTURACIÓN]])&gt;PROVEEDORES[[#This Row],[PLAZO Días]],"PAGO VENCIDO")</f>
        <v>PAGO VENCIDO</v>
      </c>
      <c r="C2205" s="20">
        <f>+VLOOKUP(PROVEEDORES[[#This Row],[PROVEEDOR]],TERCEROS_INFO[#All],2,FALSE)</f>
        <v>30</v>
      </c>
      <c r="D2205" s="25">
        <f>+SUMIFS(PROVEEDORES[Total],PROVEEDORES[PROVEEDOR],PROVEEDORES[[#This Row],[PROVEEDOR]],PROVEEDORES[FECHA DE PAGO],"")</f>
        <v>5537221.7000000002</v>
      </c>
      <c r="E2205" s="25"/>
      <c r="F2205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205" s="68">
        <v>45264</v>
      </c>
      <c r="H2205" s="26" t="s">
        <v>293</v>
      </c>
      <c r="I2205" s="68">
        <v>45210</v>
      </c>
      <c r="J2205" s="35" t="s">
        <v>2086</v>
      </c>
      <c r="K2205" s="21">
        <v>7197270</v>
      </c>
      <c r="L2205" s="21"/>
      <c r="M2205" s="22">
        <f>(PROVEEDORES[[#This Row],[SUBTOTAL]]-PROVEEDORES[[#This Row],[descuento sobre subtotal]])*VLOOKUP(PROVEEDORES[[#This Row],[PROVEEDOR]],TERCEROS_INFO[#All],3,FALSE)</f>
        <v>1367481.3</v>
      </c>
      <c r="N2205" s="23"/>
      <c r="O2205" s="22">
        <f>+PROVEEDORES[[#This Row],[Descuento sobre subtotal %]]*(PROVEEDORES[[#This Row],[SUBTOTAL]]-PROVEEDORES[[#This Row],[descuento sobre subtotal]])</f>
        <v>0</v>
      </c>
      <c r="P2205" s="74">
        <f>+IF(PROVEEDORES[[#This Row],[SUBTOTAL]]&lt;PROVEEDORES[[#This Row],[base retencion]],0,PROVEEDORES[[#This Row],[retención aplicada]])</f>
        <v>2.5000000000000001E-2</v>
      </c>
      <c r="Q2205" s="22">
        <f>+PROVEEDORES[[#This Row],[Rete Fuente %]]*(PROVEEDORES[[#This Row],[SUBTOTAL]]-PROVEEDORES[[#This Row],[descuento sobre subtotal]])</f>
        <v>179931.75</v>
      </c>
      <c r="R2205" s="21">
        <f>+PROVEEDORES[[#This Row],[SUBTOTAL]]+PROVEEDORES[[#This Row],[IVA 19%]]-PROVEEDORES[[#This Row],[descuento sobre subtotal]]-PROVEEDORES[[#This Row],[Descuento sobre subtotal $2]]-PROVEEDORES[[#This Row],[Rete Fuente $]]</f>
        <v>8384819.5500000007</v>
      </c>
      <c r="S220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5" s="63">
        <f ca="1">IF(PROVEEDORES[[#This Row],[FECHA DE PAGO]]=0,TODAY()-PROVEEDORES[[#This Row],[FECHA DE FACTURACIÓN]]-PROVEEDORES[[#This Row],[PLAZO Días]],0)</f>
        <v>0</v>
      </c>
      <c r="U2205" s="104" t="str">
        <f>+VLOOKUP(PROVEEDORES[[#This Row],[PROVEEDOR]],Terceros!$A:$D,4,FALSE)</f>
        <v>2,5% con base</v>
      </c>
      <c r="V2205" s="105">
        <f>+YEAR(PROVEEDORES[[#This Row],[FECHA DE FACTURACIÓN]])</f>
        <v>2023</v>
      </c>
      <c r="W2205" s="105">
        <f>+MATCH(PROVEEDORES[[#This Row],[año facturado]],Retenciones!$1:$1,0)</f>
        <v>6</v>
      </c>
      <c r="X2205" s="106">
        <f>+VLOOKUP(PROVEEDORES[[#This Row],[ID RETENCION]],Retenciones!$A$1:$O$25,PROVEEDORES[[#This Row],[indicador de columna]],FALSE)</f>
        <v>1145000</v>
      </c>
      <c r="Y2205" s="107">
        <f>+VLOOKUP(PROVEEDORES[[#This Row],[ID RETENCION]],Retenciones!$A$1:$O$25,2,FALSE)</f>
        <v>2.5000000000000001E-2</v>
      </c>
      <c r="Z2205" s="116" t="b">
        <f>OR(COUNTIF(PROVEEDORES[[#This Row],[PROVEEDOR]],"*"&amp;'Palabra no opera'!$A$2&amp;"*"))</f>
        <v>0</v>
      </c>
    </row>
    <row r="2206" spans="1:26" ht="22.35" customHeight="1" x14ac:dyDescent="0.3">
      <c r="A2206" s="67" t="str">
        <f>+IF(PROVEEDORES[[#This Row],[FECHA DE PAGO]]=PROVEEDORES[[#This Row],[FECHA DE FACTURACIÓN]],"DE CONTADO","CRÉDITO")</f>
        <v>CRÉDITO</v>
      </c>
      <c r="B2206" s="38" t="str">
        <f>+IF((PROVEEDORES[[#This Row],[FECHA DE PAGO]]-PROVEEDORES[[#This Row],[FECHA DE FACTURACIÓN]])&gt;PROVEEDORES[[#This Row],[PLAZO Días]],"PAGO VENCIDO")</f>
        <v>PAGO VENCIDO</v>
      </c>
      <c r="C2206" s="20">
        <f>+VLOOKUP(PROVEEDORES[[#This Row],[PROVEEDOR]],TERCEROS_INFO[#All],2,FALSE)</f>
        <v>45</v>
      </c>
      <c r="D2206" s="25">
        <f>+SUMIFS(PROVEEDORES[Total],PROVEEDORES[PROVEEDOR],PROVEEDORES[[#This Row],[PROVEEDOR]],PROVEEDORES[FECHA DE PAGO],"")</f>
        <v>8072960</v>
      </c>
      <c r="E2206" s="25"/>
      <c r="F2206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06" s="68">
        <v>45264</v>
      </c>
      <c r="H2206" s="26" t="s">
        <v>10</v>
      </c>
      <c r="I2206" s="68">
        <v>45210</v>
      </c>
      <c r="J2206" s="35" t="s">
        <v>2087</v>
      </c>
      <c r="K2206" s="21">
        <v>2000000</v>
      </c>
      <c r="L2206" s="21"/>
      <c r="M2206" s="22">
        <f>(PROVEEDORES[[#This Row],[SUBTOTAL]]-PROVEEDORES[[#This Row],[descuento sobre subtotal]])*VLOOKUP(PROVEEDORES[[#This Row],[PROVEEDOR]],TERCEROS_INFO[#All],3,FALSE)</f>
        <v>380000</v>
      </c>
      <c r="N2206" s="23"/>
      <c r="O2206" s="22">
        <f>+PROVEEDORES[[#This Row],[Descuento sobre subtotal %]]*(PROVEEDORES[[#This Row],[SUBTOTAL]]-PROVEEDORES[[#This Row],[descuento sobre subtotal]])</f>
        <v>0</v>
      </c>
      <c r="P2206" s="74">
        <f>+IF(PROVEEDORES[[#This Row],[SUBTOTAL]]&lt;PROVEEDORES[[#This Row],[base retencion]],0,PROVEEDORES[[#This Row],[retención aplicada]])</f>
        <v>0</v>
      </c>
      <c r="Q2206" s="22">
        <f>+PROVEEDORES[[#This Row],[Rete Fuente %]]*(PROVEEDORES[[#This Row],[SUBTOTAL]]-PROVEEDORES[[#This Row],[descuento sobre subtotal]])</f>
        <v>0</v>
      </c>
      <c r="R2206" s="21">
        <f>+PROVEEDORES[[#This Row],[SUBTOTAL]]+PROVEEDORES[[#This Row],[IVA 19%]]-PROVEEDORES[[#This Row],[descuento sobre subtotal]]-PROVEEDORES[[#This Row],[Descuento sobre subtotal $2]]-PROVEEDORES[[#This Row],[Rete Fuente $]]</f>
        <v>2380000</v>
      </c>
      <c r="S220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6" s="63">
        <f ca="1">IF(PROVEEDORES[[#This Row],[FECHA DE PAGO]]=0,TODAY()-PROVEEDORES[[#This Row],[FECHA DE FACTURACIÓN]]-PROVEEDORES[[#This Row],[PLAZO Días]],0)</f>
        <v>0</v>
      </c>
      <c r="U2206" s="104">
        <f>+VLOOKUP(PROVEEDORES[[#This Row],[PROVEEDOR]],Terceros!$A:$D,4,FALSE)</f>
        <v>0</v>
      </c>
      <c r="V2206" s="105">
        <f>+YEAR(PROVEEDORES[[#This Row],[FECHA DE FACTURACIÓN]])</f>
        <v>2023</v>
      </c>
      <c r="W2206" s="105">
        <f>+MATCH(PROVEEDORES[[#This Row],[año facturado]],Retenciones!$1:$1,0)</f>
        <v>6</v>
      </c>
      <c r="X2206" s="106">
        <f>+VLOOKUP(PROVEEDORES[[#This Row],[ID RETENCION]],Retenciones!$A$1:$O$25,PROVEEDORES[[#This Row],[indicador de columna]],FALSE)</f>
        <v>0</v>
      </c>
      <c r="Y2206" s="107">
        <f>+VLOOKUP(PROVEEDORES[[#This Row],[ID RETENCION]],Retenciones!$A$1:$O$25,2,FALSE)</f>
        <v>0</v>
      </c>
      <c r="Z2206" s="116" t="b">
        <f>OR(COUNTIF(PROVEEDORES[[#This Row],[PROVEEDOR]],"*"&amp;'Palabra no opera'!$A$2&amp;"*"))</f>
        <v>0</v>
      </c>
    </row>
    <row r="2207" spans="1:26" ht="22.35" customHeight="1" x14ac:dyDescent="0.3">
      <c r="A2207" s="67" t="str">
        <f>+IF(PROVEEDORES[[#This Row],[FECHA DE PAGO]]=PROVEEDORES[[#This Row],[FECHA DE FACTURACIÓN]],"DE CONTADO","CRÉDITO")</f>
        <v>CRÉDITO</v>
      </c>
      <c r="B2207" s="38" t="str">
        <f>+IF((PROVEEDORES[[#This Row],[FECHA DE PAGO]]-PROVEEDORES[[#This Row],[FECHA DE FACTURACIÓN]])&gt;PROVEEDORES[[#This Row],[PLAZO Días]],"PAGO VENCIDO")</f>
        <v>PAGO VENCIDO</v>
      </c>
      <c r="C2207" s="20">
        <f>+VLOOKUP(PROVEEDORES[[#This Row],[PROVEEDOR]],TERCEROS_INFO[#All],2,FALSE)</f>
        <v>30</v>
      </c>
      <c r="D2207" s="25">
        <f>+SUMIFS(PROVEEDORES[Total],PROVEEDORES[PROVEEDOR],PROVEEDORES[[#This Row],[PROVEEDOR]],PROVEEDORES[FECHA DE PAGO],"")</f>
        <v>18444236.894999996</v>
      </c>
      <c r="E2207" s="25"/>
      <c r="F220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07" s="68">
        <v>45264</v>
      </c>
      <c r="H2207" s="26" t="s">
        <v>11</v>
      </c>
      <c r="I2207" s="68">
        <v>45222</v>
      </c>
      <c r="J2207" s="35" t="s">
        <v>2090</v>
      </c>
      <c r="K2207" s="21">
        <v>3105888</v>
      </c>
      <c r="L2207" s="21"/>
      <c r="M2207" s="22">
        <f>(PROVEEDORES[[#This Row],[SUBTOTAL]]-PROVEEDORES[[#This Row],[descuento sobre subtotal]])*VLOOKUP(PROVEEDORES[[#This Row],[PROVEEDOR]],TERCEROS_INFO[#All],3,FALSE)</f>
        <v>590118.72</v>
      </c>
      <c r="N2207" s="23"/>
      <c r="O2207" s="22">
        <f>+PROVEEDORES[[#This Row],[Descuento sobre subtotal %]]*(PROVEEDORES[[#This Row],[SUBTOTAL]]-PROVEEDORES[[#This Row],[descuento sobre subtotal]])</f>
        <v>0</v>
      </c>
      <c r="P2207" s="74">
        <f>+IF(PROVEEDORES[[#This Row],[SUBTOTAL]]&lt;PROVEEDORES[[#This Row],[base retencion]],0,PROVEEDORES[[#This Row],[retención aplicada]])</f>
        <v>2.5000000000000001E-2</v>
      </c>
      <c r="Q2207" s="22">
        <f>+PROVEEDORES[[#This Row],[Rete Fuente %]]*(PROVEEDORES[[#This Row],[SUBTOTAL]]-PROVEEDORES[[#This Row],[descuento sobre subtotal]])</f>
        <v>77647.199999999997</v>
      </c>
      <c r="R2207" s="21">
        <f>+PROVEEDORES[[#This Row],[SUBTOTAL]]+PROVEEDORES[[#This Row],[IVA 19%]]-PROVEEDORES[[#This Row],[descuento sobre subtotal]]-PROVEEDORES[[#This Row],[Descuento sobre subtotal $2]]-PROVEEDORES[[#This Row],[Rete Fuente $]]</f>
        <v>3618359.5199999996</v>
      </c>
      <c r="S220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7" s="63">
        <f ca="1">IF(PROVEEDORES[[#This Row],[FECHA DE PAGO]]=0,TODAY()-PROVEEDORES[[#This Row],[FECHA DE FACTURACIÓN]]-PROVEEDORES[[#This Row],[PLAZO Días]],0)</f>
        <v>0</v>
      </c>
      <c r="U2207" s="104" t="str">
        <f>+VLOOKUP(PROVEEDORES[[#This Row],[PROVEEDOR]],Terceros!$A:$D,4,FALSE)</f>
        <v>2,5% con base</v>
      </c>
      <c r="V2207" s="105">
        <f>+YEAR(PROVEEDORES[[#This Row],[FECHA DE FACTURACIÓN]])</f>
        <v>2023</v>
      </c>
      <c r="W2207" s="105">
        <f>+MATCH(PROVEEDORES[[#This Row],[año facturado]],Retenciones!$1:$1,0)</f>
        <v>6</v>
      </c>
      <c r="X2207" s="106">
        <f>+VLOOKUP(PROVEEDORES[[#This Row],[ID RETENCION]],Retenciones!$A$1:$O$25,PROVEEDORES[[#This Row],[indicador de columna]],FALSE)</f>
        <v>1145000</v>
      </c>
      <c r="Y2207" s="107">
        <f>+VLOOKUP(PROVEEDORES[[#This Row],[ID RETENCION]],Retenciones!$A$1:$O$25,2,FALSE)</f>
        <v>2.5000000000000001E-2</v>
      </c>
      <c r="Z2207" s="116" t="b">
        <f>OR(COUNTIF(PROVEEDORES[[#This Row],[PROVEEDOR]],"*"&amp;'Palabra no opera'!$A$2&amp;"*"))</f>
        <v>0</v>
      </c>
    </row>
    <row r="2208" spans="1:26" ht="22.35" customHeight="1" x14ac:dyDescent="0.3">
      <c r="A2208" s="67" t="str">
        <f>+IF(PROVEEDORES[[#This Row],[FECHA DE PAGO]]=PROVEEDORES[[#This Row],[FECHA DE FACTURACIÓN]],"DE CONTADO","CRÉDITO")</f>
        <v>DE CONTADO</v>
      </c>
      <c r="B2208" s="38" t="b">
        <f>+IF((PROVEEDORES[[#This Row],[FECHA DE PAGO]]-PROVEEDORES[[#This Row],[FECHA DE FACTURACIÓN]])&gt;PROVEEDORES[[#This Row],[PLAZO Días]],"PAGO VENCIDO")</f>
        <v>0</v>
      </c>
      <c r="C2208" s="20">
        <f>+VLOOKUP(PROVEEDORES[[#This Row],[PROVEEDOR]],TERCEROS_INFO[#All],2,FALSE)</f>
        <v>30</v>
      </c>
      <c r="D2208" s="25">
        <f>+SUMIFS(PROVEEDORES[Total],PROVEEDORES[PROVEEDOR],PROVEEDORES[[#This Row],[PROVEEDOR]],PROVEEDORES[FECHA DE PAGO],"")</f>
        <v>0</v>
      </c>
      <c r="E2208" s="25"/>
      <c r="F2208" s="56" t="str">
        <f>+VLOOKUP(PROVEEDORES[[#This Row],[PROVEEDOR]],
                       Terceros!$A:$F,
                       5,
                       FALSE)</f>
        <v/>
      </c>
      <c r="G2208" s="68">
        <v>45266</v>
      </c>
      <c r="H2208" s="26" t="s">
        <v>362</v>
      </c>
      <c r="I2208" s="68">
        <v>45266</v>
      </c>
      <c r="J2208" s="35" t="s">
        <v>2240</v>
      </c>
      <c r="K2208" s="21">
        <v>412900</v>
      </c>
      <c r="L2208" s="21"/>
      <c r="M2208" s="22">
        <f>(PROVEEDORES[[#This Row],[SUBTOTAL]]-PROVEEDORES[[#This Row],[descuento sobre subtotal]])*VLOOKUP(PROVEEDORES[[#This Row],[PROVEEDOR]],TERCEROS_INFO[#All],3,FALSE)</f>
        <v>0</v>
      </c>
      <c r="N2208" s="23"/>
      <c r="O2208" s="22">
        <f>+PROVEEDORES[[#This Row],[Descuento sobre subtotal %]]*(PROVEEDORES[[#This Row],[SUBTOTAL]]-PROVEEDORES[[#This Row],[descuento sobre subtotal]])</f>
        <v>0</v>
      </c>
      <c r="P2208" s="74">
        <f>+IF(PROVEEDORES[[#This Row],[SUBTOTAL]]&lt;PROVEEDORES[[#This Row],[base retencion]],0,PROVEEDORES[[#This Row],[retención aplicada]])</f>
        <v>0</v>
      </c>
      <c r="Q2208" s="22">
        <f>+PROVEEDORES[[#This Row],[Rete Fuente %]]*(PROVEEDORES[[#This Row],[SUBTOTAL]]-PROVEEDORES[[#This Row],[descuento sobre subtotal]])</f>
        <v>0</v>
      </c>
      <c r="R2208" s="21">
        <f>+PROVEEDORES[[#This Row],[SUBTOTAL]]+PROVEEDORES[[#This Row],[IVA 19%]]-PROVEEDORES[[#This Row],[descuento sobre subtotal]]-PROVEEDORES[[#This Row],[Descuento sobre subtotal $2]]-PROVEEDORES[[#This Row],[Rete Fuente $]]</f>
        <v>412900</v>
      </c>
      <c r="S220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8" s="63">
        <f ca="1">IF(PROVEEDORES[[#This Row],[FECHA DE PAGO]]=0,TODAY()-PROVEEDORES[[#This Row],[FECHA DE FACTURACIÓN]]-PROVEEDORES[[#This Row],[PLAZO Días]],0)</f>
        <v>0</v>
      </c>
      <c r="U2208" s="104">
        <f>+VLOOKUP(PROVEEDORES[[#This Row],[PROVEEDOR]],Terceros!$A:$D,4,FALSE)</f>
        <v>0</v>
      </c>
      <c r="V2208" s="105">
        <f>+YEAR(PROVEEDORES[[#This Row],[FECHA DE FACTURACIÓN]])</f>
        <v>2023</v>
      </c>
      <c r="W2208" s="105">
        <f>+MATCH(PROVEEDORES[[#This Row],[año facturado]],Retenciones!$1:$1,0)</f>
        <v>6</v>
      </c>
      <c r="X2208" s="106">
        <f>+VLOOKUP(PROVEEDORES[[#This Row],[ID RETENCION]],Retenciones!$A$1:$O$25,PROVEEDORES[[#This Row],[indicador de columna]],FALSE)</f>
        <v>0</v>
      </c>
      <c r="Y2208" s="107">
        <f>+VLOOKUP(PROVEEDORES[[#This Row],[ID RETENCION]],Retenciones!$A$1:$O$25,2,FALSE)</f>
        <v>0</v>
      </c>
      <c r="Z2208" s="116" t="b">
        <f>OR(COUNTIF(PROVEEDORES[[#This Row],[PROVEEDOR]],"*"&amp;'Palabra no opera'!$A$2&amp;"*"))</f>
        <v>0</v>
      </c>
    </row>
    <row r="2209" spans="1:26" ht="22.35" customHeight="1" x14ac:dyDescent="0.3">
      <c r="A2209" s="67" t="str">
        <f>+IF(PROVEEDORES[[#This Row],[FECHA DE PAGO]]=PROVEEDORES[[#This Row],[FECHA DE FACTURACIÓN]],"DE CONTADO","CRÉDITO")</f>
        <v>DE CONTADO</v>
      </c>
      <c r="B2209" s="38" t="b">
        <f>+IF((PROVEEDORES[[#This Row],[FECHA DE PAGO]]-PROVEEDORES[[#This Row],[FECHA DE FACTURACIÓN]])&gt;PROVEEDORES[[#This Row],[PLAZO Días]],"PAGO VENCIDO")</f>
        <v>0</v>
      </c>
      <c r="C2209" s="20">
        <f>+VLOOKUP(PROVEEDORES[[#This Row],[PROVEEDOR]],TERCEROS_INFO[#All],2,FALSE)</f>
        <v>30</v>
      </c>
      <c r="D2209" s="25">
        <f>+SUMIFS(PROVEEDORES[Total],PROVEEDORES[PROVEEDOR],PROVEEDORES[[#This Row],[PROVEEDOR]],PROVEEDORES[FECHA DE PAGO],"")</f>
        <v>0</v>
      </c>
      <c r="E2209" s="25"/>
      <c r="F2209" s="56" t="str">
        <f>+VLOOKUP(PROVEEDORES[[#This Row],[PROVEEDOR]],
                       Terceros!$A:$F,
                       5,
                       FALSE)</f>
        <v/>
      </c>
      <c r="G2209" s="68">
        <v>45267</v>
      </c>
      <c r="H2209" s="26" t="s">
        <v>390</v>
      </c>
      <c r="I2209" s="68">
        <v>45267</v>
      </c>
      <c r="J2209" s="35"/>
      <c r="K2209" s="21">
        <v>1315000</v>
      </c>
      <c r="L2209" s="21"/>
      <c r="M2209" s="22">
        <f>(PROVEEDORES[[#This Row],[SUBTOTAL]]-PROVEEDORES[[#This Row],[descuento sobre subtotal]])*VLOOKUP(PROVEEDORES[[#This Row],[PROVEEDOR]],TERCEROS_INFO[#All],3,FALSE)</f>
        <v>0</v>
      </c>
      <c r="N2209" s="23"/>
      <c r="O2209" s="22">
        <f>+PROVEEDORES[[#This Row],[Descuento sobre subtotal %]]*(PROVEEDORES[[#This Row],[SUBTOTAL]]-PROVEEDORES[[#This Row],[descuento sobre subtotal]])</f>
        <v>0</v>
      </c>
      <c r="P2209" s="74">
        <f>+IF(PROVEEDORES[[#This Row],[SUBTOTAL]]&lt;PROVEEDORES[[#This Row],[base retencion]],0,PROVEEDORES[[#This Row],[retención aplicada]])</f>
        <v>0</v>
      </c>
      <c r="Q2209" s="22">
        <f>+PROVEEDORES[[#This Row],[Rete Fuente %]]*(PROVEEDORES[[#This Row],[SUBTOTAL]]-PROVEEDORES[[#This Row],[descuento sobre subtotal]])</f>
        <v>0</v>
      </c>
      <c r="R2209" s="21">
        <f>+PROVEEDORES[[#This Row],[SUBTOTAL]]+PROVEEDORES[[#This Row],[IVA 19%]]-PROVEEDORES[[#This Row],[descuento sobre subtotal]]-PROVEEDORES[[#This Row],[Descuento sobre subtotal $2]]-PROVEEDORES[[#This Row],[Rete Fuente $]]</f>
        <v>1315000</v>
      </c>
      <c r="S220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9" s="63">
        <f ca="1">IF(PROVEEDORES[[#This Row],[FECHA DE PAGO]]=0,TODAY()-PROVEEDORES[[#This Row],[FECHA DE FACTURACIÓN]]-PROVEEDORES[[#This Row],[PLAZO Días]],0)</f>
        <v>0</v>
      </c>
      <c r="U2209" s="104">
        <f>+VLOOKUP(PROVEEDORES[[#This Row],[PROVEEDOR]],Terceros!$A:$D,4,FALSE)</f>
        <v>0</v>
      </c>
      <c r="V2209" s="105">
        <f>+YEAR(PROVEEDORES[[#This Row],[FECHA DE FACTURACIÓN]])</f>
        <v>2023</v>
      </c>
      <c r="W2209" s="105">
        <f>+MATCH(PROVEEDORES[[#This Row],[año facturado]],Retenciones!$1:$1,0)</f>
        <v>6</v>
      </c>
      <c r="X2209" s="106">
        <f>+VLOOKUP(PROVEEDORES[[#This Row],[ID RETENCION]],Retenciones!$A$1:$O$25,PROVEEDORES[[#This Row],[indicador de columna]],FALSE)</f>
        <v>0</v>
      </c>
      <c r="Y2209" s="107">
        <f>+VLOOKUP(PROVEEDORES[[#This Row],[ID RETENCION]],Retenciones!$A$1:$O$25,2,FALSE)</f>
        <v>0</v>
      </c>
      <c r="Z2209" s="116" t="b">
        <f>OR(COUNTIF(PROVEEDORES[[#This Row],[PROVEEDOR]],"*"&amp;'Palabra no opera'!$A$2&amp;"*"))</f>
        <v>0</v>
      </c>
    </row>
    <row r="2210" spans="1:26" ht="22.35" customHeight="1" x14ac:dyDescent="0.3">
      <c r="A2210" s="381" t="str">
        <f>+IF(PROVEEDORES[[#This Row],[FECHA DE PAGO]]=PROVEEDORES[[#This Row],[FECHA DE FACTURACIÓN]],"DE CONTADO","CRÉDITO")</f>
        <v>CRÉDITO</v>
      </c>
      <c r="B2210" s="38" t="str">
        <f>+IF((PROVEEDORES[[#This Row],[FECHA DE PAGO]]-PROVEEDORES[[#This Row],[FECHA DE FACTURACIÓN]])&gt;PROVEEDORES[[#This Row],[PLAZO Días]],"PAGO VENCIDO")</f>
        <v>PAGO VENCIDO</v>
      </c>
      <c r="C2210" s="20">
        <f>+VLOOKUP(PROVEEDORES[[#This Row],[PROVEEDOR]],TERCEROS_INFO[#All],2,FALSE)</f>
        <v>30</v>
      </c>
      <c r="D2210" s="25">
        <f>+SUMIFS(PROVEEDORES[Total],PROVEEDORES[PROVEEDOR],PROVEEDORES[[#This Row],[PROVEEDOR]],PROVEEDORES[FECHA DE PAGO],"")</f>
        <v>0</v>
      </c>
      <c r="E2210" s="25"/>
      <c r="F2210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210" s="68">
        <v>45267</v>
      </c>
      <c r="H2210" s="26" t="s">
        <v>394</v>
      </c>
      <c r="I2210" s="68">
        <v>45231</v>
      </c>
      <c r="J2210" s="35" t="s">
        <v>2122</v>
      </c>
      <c r="K2210" s="21">
        <v>2990000</v>
      </c>
      <c r="L2210" s="21"/>
      <c r="M2210" s="22">
        <f>(PROVEEDORES[[#This Row],[SUBTOTAL]]-PROVEEDORES[[#This Row],[descuento sobre subtotal]])*VLOOKUP(PROVEEDORES[[#This Row],[PROVEEDOR]],TERCEROS_INFO[#All],3,FALSE)</f>
        <v>0</v>
      </c>
      <c r="N2210" s="23"/>
      <c r="O2210" s="22">
        <f>+PROVEEDORES[[#This Row],[Descuento sobre subtotal %]]*(PROVEEDORES[[#This Row],[SUBTOTAL]]-PROVEEDORES[[#This Row],[descuento sobre subtotal]])</f>
        <v>0</v>
      </c>
      <c r="P2210" s="74">
        <f>+IF(PROVEEDORES[[#This Row],[SUBTOTAL]]&lt;PROVEEDORES[[#This Row],[base retencion]],0,PROVEEDORES[[#This Row],[retención aplicada]])</f>
        <v>0</v>
      </c>
      <c r="Q2210" s="22">
        <f>+PROVEEDORES[[#This Row],[Rete Fuente %]]*(PROVEEDORES[[#This Row],[SUBTOTAL]]-PROVEEDORES[[#This Row],[descuento sobre subtotal]])</f>
        <v>0</v>
      </c>
      <c r="R2210" s="21">
        <f>+PROVEEDORES[[#This Row],[SUBTOTAL]]+PROVEEDORES[[#This Row],[IVA 19%]]-PROVEEDORES[[#This Row],[descuento sobre subtotal]]-PROVEEDORES[[#This Row],[Descuento sobre subtotal $2]]-PROVEEDORES[[#This Row],[Rete Fuente $]]</f>
        <v>2990000</v>
      </c>
      <c r="S2210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0" s="63">
        <f ca="1">IF(PROVEEDORES[[#This Row],[FECHA DE PAGO]]=0,TODAY()-PROVEEDORES[[#This Row],[FECHA DE FACTURACIÓN]]-PROVEEDORES[[#This Row],[PLAZO Días]],0)</f>
        <v>0</v>
      </c>
      <c r="U2210" s="104">
        <f>+VLOOKUP(PROVEEDORES[[#This Row],[PROVEEDOR]],Terceros!$A:$D,4,FALSE)</f>
        <v>0</v>
      </c>
      <c r="V2210" s="105">
        <f>+YEAR(PROVEEDORES[[#This Row],[FECHA DE FACTURACIÓN]])</f>
        <v>2023</v>
      </c>
      <c r="W2210" s="105">
        <f>+MATCH(PROVEEDORES[[#This Row],[año facturado]],Retenciones!$1:$1,0)</f>
        <v>6</v>
      </c>
      <c r="X2210" s="106">
        <f>+VLOOKUP(PROVEEDORES[[#This Row],[ID RETENCION]],Retenciones!$A$1:$O$25,PROVEEDORES[[#This Row],[indicador de columna]],FALSE)</f>
        <v>0</v>
      </c>
      <c r="Y2210" s="107">
        <f>+VLOOKUP(PROVEEDORES[[#This Row],[ID RETENCION]],Retenciones!$A$1:$O$25,2,FALSE)</f>
        <v>0</v>
      </c>
      <c r="Z2210" s="116" t="b">
        <f>OR(COUNTIF(PROVEEDORES[[#This Row],[PROVEEDOR]],"*"&amp;'Palabra no opera'!$A$2&amp;"*"))</f>
        <v>0</v>
      </c>
    </row>
    <row r="2211" spans="1:26" ht="22.35" customHeight="1" x14ac:dyDescent="0.3">
      <c r="A2211" s="381" t="str">
        <f>+IF(PROVEEDORES[[#This Row],[FECHA DE PAGO]]=PROVEEDORES[[#This Row],[FECHA DE FACTURACIÓN]],"DE CONTADO","CRÉDITO")</f>
        <v>CRÉDITO</v>
      </c>
      <c r="B2211" s="38" t="str">
        <f>+IF((PROVEEDORES[[#This Row],[FECHA DE PAGO]]-PROVEEDORES[[#This Row],[FECHA DE FACTURACIÓN]])&gt;PROVEEDORES[[#This Row],[PLAZO Días]],"PAGO VENCIDO")</f>
        <v>PAGO VENCIDO</v>
      </c>
      <c r="C2211" s="20">
        <f>+VLOOKUP(PROVEEDORES[[#This Row],[PROVEEDOR]],TERCEROS_INFO[#All],2,FALSE)</f>
        <v>30</v>
      </c>
      <c r="D2211" s="25">
        <f>+SUMIFS(PROVEEDORES[Total],PROVEEDORES[PROVEEDOR],PROVEEDORES[[#This Row],[PROVEEDOR]],PROVEEDORES[FECHA DE PAGO],"")</f>
        <v>0</v>
      </c>
      <c r="E2211" s="25"/>
      <c r="F2211" s="56" t="str">
        <f>+VLOOKUP(PROVEEDORES[[#This Row],[PROVEEDOR]],
                       Terceros!$A:$F,
                       5,
                       FALSE)</f>
        <v/>
      </c>
      <c r="G2211" s="68">
        <v>45267</v>
      </c>
      <c r="H2211" s="26" t="s">
        <v>401</v>
      </c>
      <c r="I2211" s="68">
        <v>45232</v>
      </c>
      <c r="J2211" s="35" t="s">
        <v>2118</v>
      </c>
      <c r="K2211" s="21">
        <v>1256500</v>
      </c>
      <c r="L2211" s="21"/>
      <c r="M2211" s="22">
        <f>(PROVEEDORES[[#This Row],[SUBTOTAL]]-PROVEEDORES[[#This Row],[descuento sobre subtotal]])*VLOOKUP(PROVEEDORES[[#This Row],[PROVEEDOR]],TERCEROS_INFO[#All],3,FALSE)</f>
        <v>0</v>
      </c>
      <c r="N2211" s="23"/>
      <c r="O2211" s="22">
        <f>+PROVEEDORES[[#This Row],[Descuento sobre subtotal %]]*(PROVEEDORES[[#This Row],[SUBTOTAL]]-PROVEEDORES[[#This Row],[descuento sobre subtotal]])</f>
        <v>0</v>
      </c>
      <c r="P2211" s="74">
        <f>+IF(PROVEEDORES[[#This Row],[SUBTOTAL]]&lt;PROVEEDORES[[#This Row],[base retencion]],0,PROVEEDORES[[#This Row],[retención aplicada]])</f>
        <v>0</v>
      </c>
      <c r="Q2211" s="22">
        <f>+PROVEEDORES[[#This Row],[Rete Fuente %]]*(PROVEEDORES[[#This Row],[SUBTOTAL]]-PROVEEDORES[[#This Row],[descuento sobre subtotal]])</f>
        <v>0</v>
      </c>
      <c r="R2211" s="21">
        <f>+PROVEEDORES[[#This Row],[SUBTOTAL]]+PROVEEDORES[[#This Row],[IVA 19%]]-PROVEEDORES[[#This Row],[descuento sobre subtotal]]-PROVEEDORES[[#This Row],[Descuento sobre subtotal $2]]-PROVEEDORES[[#This Row],[Rete Fuente $]]</f>
        <v>1256500</v>
      </c>
      <c r="S2211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1" s="63">
        <f ca="1">IF(PROVEEDORES[[#This Row],[FECHA DE PAGO]]=0,TODAY()-PROVEEDORES[[#This Row],[FECHA DE FACTURACIÓN]]-PROVEEDORES[[#This Row],[PLAZO Días]],0)</f>
        <v>0</v>
      </c>
      <c r="U2211" s="104">
        <f>+VLOOKUP(PROVEEDORES[[#This Row],[PROVEEDOR]],Terceros!$A:$D,4,FALSE)</f>
        <v>0</v>
      </c>
      <c r="V2211" s="105">
        <f>+YEAR(PROVEEDORES[[#This Row],[FECHA DE FACTURACIÓN]])</f>
        <v>2023</v>
      </c>
      <c r="W2211" s="105">
        <f>+MATCH(PROVEEDORES[[#This Row],[año facturado]],Retenciones!$1:$1,0)</f>
        <v>6</v>
      </c>
      <c r="X2211" s="106">
        <f>+VLOOKUP(PROVEEDORES[[#This Row],[ID RETENCION]],Retenciones!$A$1:$O$25,PROVEEDORES[[#This Row],[indicador de columna]],FALSE)</f>
        <v>0</v>
      </c>
      <c r="Y2211" s="107">
        <f>+VLOOKUP(PROVEEDORES[[#This Row],[ID RETENCION]],Retenciones!$A$1:$O$25,2,FALSE)</f>
        <v>0</v>
      </c>
      <c r="Z2211" s="116" t="b">
        <f>OR(COUNTIF(PROVEEDORES[[#This Row],[PROVEEDOR]],"*"&amp;'Palabra no opera'!$A$2&amp;"*"))</f>
        <v>0</v>
      </c>
    </row>
    <row r="2212" spans="1:26" ht="27.75" customHeight="1" x14ac:dyDescent="0.3">
      <c r="A2212" s="381" t="str">
        <f>+IF(PROVEEDORES[[#This Row],[FECHA DE PAGO]]=PROVEEDORES[[#This Row],[FECHA DE FACTURACIÓN]],"DE CONTADO","CRÉDITO")</f>
        <v>CRÉDITO</v>
      </c>
      <c r="B2212" s="38" t="str">
        <f>+IF((PROVEEDORES[[#This Row],[FECHA DE PAGO]]-PROVEEDORES[[#This Row],[FECHA DE FACTURACIÓN]])&gt;PROVEEDORES[[#This Row],[PLAZO Días]],"PAGO VENCIDO")</f>
        <v>PAGO VENCIDO</v>
      </c>
      <c r="C2212" s="20">
        <f>+VLOOKUP(PROVEEDORES[[#This Row],[PROVEEDOR]],TERCEROS_INFO[#All],2,FALSE)</f>
        <v>30</v>
      </c>
      <c r="D2212" s="25">
        <f>+SUMIFS(PROVEEDORES[Total],PROVEEDORES[PROVEEDOR],PROVEEDORES[[#This Row],[PROVEEDOR]],PROVEEDORES[FECHA DE PAGO],"")</f>
        <v>0</v>
      </c>
      <c r="E2212" s="25"/>
      <c r="F2212" s="56" t="str">
        <f>+VLOOKUP(PROVEEDORES[[#This Row],[PROVEEDOR]],
                       Terceros!$A:$F,
                       5,
                       FALSE)</f>
        <v>g_tech_group@outlook.es</v>
      </c>
      <c r="G2212" s="68">
        <v>45267</v>
      </c>
      <c r="H2212" s="26" t="s">
        <v>2126</v>
      </c>
      <c r="I2212" s="68">
        <v>45232</v>
      </c>
      <c r="J2212" s="35" t="s">
        <v>2131</v>
      </c>
      <c r="K2212" s="21">
        <v>1089076</v>
      </c>
      <c r="L2212" s="21"/>
      <c r="M2212" s="22">
        <f>(PROVEEDORES[[#This Row],[SUBTOTAL]]-PROVEEDORES[[#This Row],[descuento sobre subtotal]])*VLOOKUP(PROVEEDORES[[#This Row],[PROVEEDOR]],TERCEROS_INFO[#All],3,FALSE)</f>
        <v>206924.44</v>
      </c>
      <c r="N2212" s="23"/>
      <c r="O2212" s="22">
        <f>+PROVEEDORES[[#This Row],[Descuento sobre subtotal %]]*(PROVEEDORES[[#This Row],[SUBTOTAL]]-PROVEEDORES[[#This Row],[descuento sobre subtotal]])</f>
        <v>0</v>
      </c>
      <c r="P2212" s="74">
        <f>+IF(PROVEEDORES[[#This Row],[SUBTOTAL]]&lt;PROVEEDORES[[#This Row],[base retencion]],0,PROVEEDORES[[#This Row],[retención aplicada]])</f>
        <v>0</v>
      </c>
      <c r="Q2212" s="22">
        <f>+PROVEEDORES[[#This Row],[Rete Fuente %]]*(PROVEEDORES[[#This Row],[SUBTOTAL]]-PROVEEDORES[[#This Row],[descuento sobre subtotal]])</f>
        <v>0</v>
      </c>
      <c r="R2212" s="21">
        <f>+PROVEEDORES[[#This Row],[SUBTOTAL]]+PROVEEDORES[[#This Row],[IVA 19%]]-PROVEEDORES[[#This Row],[descuento sobre subtotal]]-PROVEEDORES[[#This Row],[Descuento sobre subtotal $2]]-PROVEEDORES[[#This Row],[Rete Fuente $]]</f>
        <v>1296000.44</v>
      </c>
      <c r="S2212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2" s="63">
        <f ca="1">IF(PROVEEDORES[[#This Row],[FECHA DE PAGO]]=0,TODAY()-PROVEEDORES[[#This Row],[FECHA DE FACTURACIÓN]]-PROVEEDORES[[#This Row],[PLAZO Días]],0)</f>
        <v>0</v>
      </c>
      <c r="U2212" s="104" t="str">
        <f>+VLOOKUP(PROVEEDORES[[#This Row],[PROVEEDOR]],Terceros!$A:$D,4,FALSE)</f>
        <v>2,5% con base</v>
      </c>
      <c r="V2212" s="105">
        <f>+YEAR(PROVEEDORES[[#This Row],[FECHA DE FACTURACIÓN]])</f>
        <v>2023</v>
      </c>
      <c r="W2212" s="105">
        <f>+MATCH(PROVEEDORES[[#This Row],[año facturado]],Retenciones!$1:$1,0)</f>
        <v>6</v>
      </c>
      <c r="X2212" s="106">
        <f>+VLOOKUP(PROVEEDORES[[#This Row],[ID RETENCION]],Retenciones!$A$1:$O$25,PROVEEDORES[[#This Row],[indicador de columna]],FALSE)</f>
        <v>1145000</v>
      </c>
      <c r="Y2212" s="107">
        <f>+VLOOKUP(PROVEEDORES[[#This Row],[ID RETENCION]],Retenciones!$A$1:$O$25,2,FALSE)</f>
        <v>2.5000000000000001E-2</v>
      </c>
      <c r="Z2212" s="116" t="b">
        <f>OR(COUNTIF(PROVEEDORES[[#This Row],[PROVEEDOR]],"*"&amp;'Palabra no opera'!$A$2&amp;"*"))</f>
        <v>0</v>
      </c>
    </row>
    <row r="2213" spans="1:26" ht="22.35" customHeight="1" x14ac:dyDescent="0.3">
      <c r="A2213" s="67" t="str">
        <f>+IF(PROVEEDORES[[#This Row],[FECHA DE PAGO]]=PROVEEDORES[[#This Row],[FECHA DE FACTURACIÓN]],"DE CONTADO","CRÉDITO")</f>
        <v>DE CONTADO</v>
      </c>
      <c r="B2213" s="38" t="b">
        <f>+IF((PROVEEDORES[[#This Row],[FECHA DE PAGO]]-PROVEEDORES[[#This Row],[FECHA DE FACTURACIÓN]])&gt;PROVEEDORES[[#This Row],[PLAZO Días]],"PAGO VENCIDO")</f>
        <v>0</v>
      </c>
      <c r="C2213" s="20">
        <f>+VLOOKUP(PROVEEDORES[[#This Row],[PROVEEDOR]],TERCEROS_INFO[#All],2,FALSE)</f>
        <v>30</v>
      </c>
      <c r="D2213" s="25">
        <f>+SUMIFS(PROVEEDORES[Total],PROVEEDORES[PROVEEDOR],PROVEEDORES[[#This Row],[PROVEEDOR]],PROVEEDORES[FECHA DE PAGO],"")</f>
        <v>0</v>
      </c>
      <c r="E2213" s="25"/>
      <c r="F2213" s="56">
        <f>+VLOOKUP(PROVEEDORES[[#This Row],[PROVEEDOR]],
                       Terceros!$A:$F,
                       5,
                       FALSE)</f>
        <v>0</v>
      </c>
      <c r="G2213" s="68">
        <v>45269</v>
      </c>
      <c r="H2213" s="26" t="s">
        <v>642</v>
      </c>
      <c r="I2213" s="68">
        <v>45269</v>
      </c>
      <c r="J2213" s="35" t="s">
        <v>919</v>
      </c>
      <c r="K2213" s="21">
        <v>129083</v>
      </c>
      <c r="L2213" s="21"/>
      <c r="M2213" s="22">
        <f>(PROVEEDORES[[#This Row],[SUBTOTAL]]-PROVEEDORES[[#This Row],[descuento sobre subtotal]])*VLOOKUP(PROVEEDORES[[#This Row],[PROVEEDOR]],TERCEROS_INFO[#All],3,FALSE)</f>
        <v>0</v>
      </c>
      <c r="N2213" s="23"/>
      <c r="O2213" s="22">
        <f>+PROVEEDORES[[#This Row],[Descuento sobre subtotal %]]*(PROVEEDORES[[#This Row],[SUBTOTAL]]-PROVEEDORES[[#This Row],[descuento sobre subtotal]])</f>
        <v>0</v>
      </c>
      <c r="P2213" s="74">
        <f>+IF(PROVEEDORES[[#This Row],[SUBTOTAL]]&lt;PROVEEDORES[[#This Row],[base retencion]],0,PROVEEDORES[[#This Row],[retención aplicada]])</f>
        <v>0</v>
      </c>
      <c r="Q2213" s="22">
        <f>+PROVEEDORES[[#This Row],[Rete Fuente %]]*(PROVEEDORES[[#This Row],[SUBTOTAL]]-PROVEEDORES[[#This Row],[descuento sobre subtotal]])</f>
        <v>0</v>
      </c>
      <c r="R2213" s="21">
        <f>+PROVEEDORES[[#This Row],[SUBTOTAL]]+PROVEEDORES[[#This Row],[IVA 19%]]-PROVEEDORES[[#This Row],[descuento sobre subtotal]]-PROVEEDORES[[#This Row],[Descuento sobre subtotal $2]]-PROVEEDORES[[#This Row],[Rete Fuente $]]</f>
        <v>129083</v>
      </c>
      <c r="S22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3" s="63">
        <f ca="1">IF(PROVEEDORES[[#This Row],[FECHA DE PAGO]]=0,TODAY()-PROVEEDORES[[#This Row],[FECHA DE FACTURACIÓN]]-PROVEEDORES[[#This Row],[PLAZO Días]],0)</f>
        <v>0</v>
      </c>
      <c r="U2213" s="104">
        <f>+VLOOKUP(PROVEEDORES[[#This Row],[PROVEEDOR]],Terceros!$A:$D,4,FALSE)</f>
        <v>0</v>
      </c>
      <c r="V2213" s="105">
        <f>+YEAR(PROVEEDORES[[#This Row],[FECHA DE FACTURACIÓN]])</f>
        <v>2023</v>
      </c>
      <c r="W2213" s="105">
        <f>+MATCH(PROVEEDORES[[#This Row],[año facturado]],Retenciones!$1:$1,0)</f>
        <v>6</v>
      </c>
      <c r="X2213" s="106">
        <f>+VLOOKUP(PROVEEDORES[[#This Row],[ID RETENCION]],Retenciones!$A$1:$O$25,PROVEEDORES[[#This Row],[indicador de columna]],FALSE)</f>
        <v>0</v>
      </c>
      <c r="Y2213" s="107">
        <f>+VLOOKUP(PROVEEDORES[[#This Row],[ID RETENCION]],Retenciones!$A$1:$O$25,2,FALSE)</f>
        <v>0</v>
      </c>
      <c r="Z2213" s="116" t="b">
        <f>OR(COUNTIF(PROVEEDORES[[#This Row],[PROVEEDOR]],"*"&amp;'Palabra no opera'!$A$2&amp;"*"))</f>
        <v>1</v>
      </c>
    </row>
    <row r="2214" spans="1:26" ht="22.35" customHeight="1" x14ac:dyDescent="0.3">
      <c r="A2214" s="385" t="str">
        <f>+IF(PROVEEDORES[[#This Row],[FECHA DE PAGO]]=PROVEEDORES[[#This Row],[FECHA DE FACTURACIÓN]],"DE CONTADO","CRÉDITO")</f>
        <v>CRÉDITO</v>
      </c>
      <c r="B2214" s="38" t="b">
        <f>+IF((PROVEEDORES[[#This Row],[FECHA DE PAGO]]-PROVEEDORES[[#This Row],[FECHA DE FACTURACIÓN]])&gt;PROVEEDORES[[#This Row],[PLAZO Días]],"PAGO VENCIDO")</f>
        <v>0</v>
      </c>
      <c r="C2214" s="20">
        <f>+VLOOKUP(PROVEEDORES[[#This Row],[PROVEEDOR]],TERCEROS_INFO[#All],2,FALSE)</f>
        <v>30</v>
      </c>
      <c r="D2214" s="25">
        <f>+SUMIFS(PROVEEDORES[Total],PROVEEDORES[PROVEEDOR],PROVEEDORES[[#This Row],[PROVEEDOR]],PROVEEDORES[FECHA DE PAGO],"")</f>
        <v>0</v>
      </c>
      <c r="E2214" s="25"/>
      <c r="F2214" s="56" t="str">
        <f>+VLOOKUP(PROVEEDORES[[#This Row],[PROVEEDOR]],
                       Terceros!$A:$F,
                       5,
                       FALSE)</f>
        <v/>
      </c>
      <c r="G2214" s="68">
        <v>45271</v>
      </c>
      <c r="H2214" s="26" t="s">
        <v>362</v>
      </c>
      <c r="I2214" s="68">
        <v>45255</v>
      </c>
      <c r="J2214" s="35" t="s">
        <v>2218</v>
      </c>
      <c r="K2214" s="21">
        <v>71000</v>
      </c>
      <c r="L2214" s="21"/>
      <c r="M2214" s="22">
        <f>(PROVEEDORES[[#This Row],[SUBTOTAL]]-PROVEEDORES[[#This Row],[descuento sobre subtotal]])*VLOOKUP(PROVEEDORES[[#This Row],[PROVEEDOR]],TERCEROS_INFO[#All],3,FALSE)</f>
        <v>0</v>
      </c>
      <c r="N2214" s="23"/>
      <c r="O2214" s="22">
        <f>+PROVEEDORES[[#This Row],[Descuento sobre subtotal %]]*(PROVEEDORES[[#This Row],[SUBTOTAL]]-PROVEEDORES[[#This Row],[descuento sobre subtotal]])</f>
        <v>0</v>
      </c>
      <c r="P2214" s="74">
        <f>+IF(PROVEEDORES[[#This Row],[SUBTOTAL]]&lt;PROVEEDORES[[#This Row],[base retencion]],0,PROVEEDORES[[#This Row],[retención aplicada]])</f>
        <v>0</v>
      </c>
      <c r="Q2214" s="22">
        <f>+PROVEEDORES[[#This Row],[Rete Fuente %]]*(PROVEEDORES[[#This Row],[SUBTOTAL]]-PROVEEDORES[[#This Row],[descuento sobre subtotal]])</f>
        <v>0</v>
      </c>
      <c r="R2214" s="21">
        <f>+PROVEEDORES[[#This Row],[SUBTOTAL]]+PROVEEDORES[[#This Row],[IVA 19%]]-PROVEEDORES[[#This Row],[descuento sobre subtotal]]-PROVEEDORES[[#This Row],[Descuento sobre subtotal $2]]-PROVEEDORES[[#This Row],[Rete Fuente $]]</f>
        <v>71000</v>
      </c>
      <c r="S2214" s="38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4" s="63">
        <f ca="1">IF(PROVEEDORES[[#This Row],[FECHA DE PAGO]]=0,TODAY()-PROVEEDORES[[#This Row],[FECHA DE FACTURACIÓN]]-PROVEEDORES[[#This Row],[PLAZO Días]],0)</f>
        <v>0</v>
      </c>
      <c r="U2214" s="104">
        <f>+VLOOKUP(PROVEEDORES[[#This Row],[PROVEEDOR]],Terceros!$A:$D,4,FALSE)</f>
        <v>0</v>
      </c>
      <c r="V2214" s="105">
        <f>+YEAR(PROVEEDORES[[#This Row],[FECHA DE FACTURACIÓN]])</f>
        <v>2023</v>
      </c>
      <c r="W2214" s="105">
        <f>+MATCH(PROVEEDORES[[#This Row],[año facturado]],Retenciones!$1:$1,0)</f>
        <v>6</v>
      </c>
      <c r="X2214" s="106">
        <f>+VLOOKUP(PROVEEDORES[[#This Row],[ID RETENCION]],Retenciones!$A$1:$O$25,PROVEEDORES[[#This Row],[indicador de columna]],FALSE)</f>
        <v>0</v>
      </c>
      <c r="Y2214" s="107">
        <f>+VLOOKUP(PROVEEDORES[[#This Row],[ID RETENCION]],Retenciones!$A$1:$O$25,2,FALSE)</f>
        <v>0</v>
      </c>
      <c r="Z2214" s="116" t="b">
        <f>OR(COUNTIF(PROVEEDORES[[#This Row],[PROVEEDOR]],"*"&amp;'Palabra no opera'!$A$2&amp;"*"))</f>
        <v>0</v>
      </c>
    </row>
    <row r="2215" spans="1:26" ht="22.35" customHeight="1" x14ac:dyDescent="0.3">
      <c r="A2215" s="387" t="str">
        <f>+IF(PROVEEDORES[[#This Row],[FECHA DE PAGO]]=PROVEEDORES[[#This Row],[FECHA DE FACTURACIÓN]],"DE CONTADO","CRÉDITO")</f>
        <v>CRÉDITO</v>
      </c>
      <c r="B2215" s="38" t="b">
        <f>+IF((PROVEEDORES[[#This Row],[FECHA DE PAGO]]-PROVEEDORES[[#This Row],[FECHA DE FACTURACIÓN]])&gt;PROVEEDORES[[#This Row],[PLAZO Días]],"PAGO VENCIDO")</f>
        <v>0</v>
      </c>
      <c r="C2215" s="20">
        <f>+VLOOKUP(PROVEEDORES[[#This Row],[PROVEEDOR]],TERCEROS_INFO[#All],2,FALSE)</f>
        <v>30</v>
      </c>
      <c r="D2215" s="25">
        <f>+SUMIFS(PROVEEDORES[Total],PROVEEDORES[PROVEEDOR],PROVEEDORES[[#This Row],[PROVEEDOR]],PROVEEDORES[FECHA DE PAGO],"")</f>
        <v>0</v>
      </c>
      <c r="E2215" s="25"/>
      <c r="F2215" s="56" t="str">
        <f>+VLOOKUP(PROVEEDORES[[#This Row],[PROVEEDOR]],
                       Terceros!$A:$F,
                       5,
                       FALSE)</f>
        <v/>
      </c>
      <c r="G2215" s="68">
        <v>45271</v>
      </c>
      <c r="H2215" s="26" t="s">
        <v>362</v>
      </c>
      <c r="I2215" s="68">
        <v>45259</v>
      </c>
      <c r="J2215" s="35" t="s">
        <v>2219</v>
      </c>
      <c r="K2215" s="21">
        <v>697800</v>
      </c>
      <c r="L2215" s="21"/>
      <c r="M2215" s="22">
        <f>(PROVEEDORES[[#This Row],[SUBTOTAL]]-PROVEEDORES[[#This Row],[descuento sobre subtotal]])*VLOOKUP(PROVEEDORES[[#This Row],[PROVEEDOR]],TERCEROS_INFO[#All],3,FALSE)</f>
        <v>0</v>
      </c>
      <c r="N2215" s="23"/>
      <c r="O2215" s="22">
        <f>+PROVEEDORES[[#This Row],[Descuento sobre subtotal %]]*(PROVEEDORES[[#This Row],[SUBTOTAL]]-PROVEEDORES[[#This Row],[descuento sobre subtotal]])</f>
        <v>0</v>
      </c>
      <c r="P2215" s="74">
        <f>+IF(PROVEEDORES[[#This Row],[SUBTOTAL]]&lt;PROVEEDORES[[#This Row],[base retencion]],0,PROVEEDORES[[#This Row],[retención aplicada]])</f>
        <v>0</v>
      </c>
      <c r="Q2215" s="22">
        <f>+PROVEEDORES[[#This Row],[Rete Fuente %]]*(PROVEEDORES[[#This Row],[SUBTOTAL]]-PROVEEDORES[[#This Row],[descuento sobre subtotal]])</f>
        <v>0</v>
      </c>
      <c r="R2215" s="21">
        <f>+PROVEEDORES[[#This Row],[SUBTOTAL]]+PROVEEDORES[[#This Row],[IVA 19%]]-PROVEEDORES[[#This Row],[descuento sobre subtotal]]-PROVEEDORES[[#This Row],[Descuento sobre subtotal $2]]-PROVEEDORES[[#This Row],[Rete Fuente $]]</f>
        <v>697800</v>
      </c>
      <c r="S2215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5" s="63">
        <f ca="1">IF(PROVEEDORES[[#This Row],[FECHA DE PAGO]]=0,TODAY()-PROVEEDORES[[#This Row],[FECHA DE FACTURACIÓN]]-PROVEEDORES[[#This Row],[PLAZO Días]],0)</f>
        <v>0</v>
      </c>
      <c r="U2215" s="104">
        <f>+VLOOKUP(PROVEEDORES[[#This Row],[PROVEEDOR]],Terceros!$A:$D,4,FALSE)</f>
        <v>0</v>
      </c>
      <c r="V2215" s="105">
        <f>+YEAR(PROVEEDORES[[#This Row],[FECHA DE FACTURACIÓN]])</f>
        <v>2023</v>
      </c>
      <c r="W2215" s="105">
        <f>+MATCH(PROVEEDORES[[#This Row],[año facturado]],Retenciones!$1:$1,0)</f>
        <v>6</v>
      </c>
      <c r="X2215" s="106">
        <f>+VLOOKUP(PROVEEDORES[[#This Row],[ID RETENCION]],Retenciones!$A$1:$O$25,PROVEEDORES[[#This Row],[indicador de columna]],FALSE)</f>
        <v>0</v>
      </c>
      <c r="Y2215" s="107">
        <f>+VLOOKUP(PROVEEDORES[[#This Row],[ID RETENCION]],Retenciones!$A$1:$O$25,2,FALSE)</f>
        <v>0</v>
      </c>
      <c r="Z2215" s="116" t="b">
        <f>OR(COUNTIF(PROVEEDORES[[#This Row],[PROVEEDOR]],"*"&amp;'Palabra no opera'!$A$2&amp;"*"))</f>
        <v>0</v>
      </c>
    </row>
    <row r="2216" spans="1:26" ht="22.35" customHeight="1" x14ac:dyDescent="0.3">
      <c r="A2216" s="67" t="str">
        <f>+IF(PROVEEDORES[[#This Row],[FECHA DE PAGO]]=PROVEEDORES[[#This Row],[FECHA DE FACTURACIÓN]],"DE CONTADO","CRÉDITO")</f>
        <v>DE CONTADO</v>
      </c>
      <c r="B2216" s="38" t="b">
        <f>+IF((PROVEEDORES[[#This Row],[FECHA DE PAGO]]-PROVEEDORES[[#This Row],[FECHA DE FACTURACIÓN]])&gt;PROVEEDORES[[#This Row],[PLAZO Días]],"PAGO VENCIDO")</f>
        <v>0</v>
      </c>
      <c r="C2216" s="20">
        <f>+VLOOKUP(PROVEEDORES[[#This Row],[PROVEEDOR]],TERCEROS_INFO[#All],2,FALSE)</f>
        <v>30</v>
      </c>
      <c r="D2216" s="25">
        <f>+SUMIFS(PROVEEDORES[Total],PROVEEDORES[PROVEEDOR],PROVEEDORES[[#This Row],[PROVEEDOR]],PROVEEDORES[FECHA DE PAGO],"")</f>
        <v>0</v>
      </c>
      <c r="E2216" s="25"/>
      <c r="F2216" s="56" t="str">
        <f>+VLOOKUP(PROVEEDORES[[#This Row],[PROVEEDOR]],
                       Terceros!$A:$F,
                       5,
                       FALSE)</f>
        <v/>
      </c>
      <c r="G2216" s="68">
        <v>45271</v>
      </c>
      <c r="H2216" s="26" t="s">
        <v>1401</v>
      </c>
      <c r="I2216" s="68">
        <v>45271</v>
      </c>
      <c r="J2216" s="394" t="s">
        <v>2225</v>
      </c>
      <c r="K2216" s="21">
        <v>1500000</v>
      </c>
      <c r="L2216" s="21"/>
      <c r="M2216" s="22">
        <f>(PROVEEDORES[[#This Row],[SUBTOTAL]]-PROVEEDORES[[#This Row],[descuento sobre subtotal]])*VLOOKUP(PROVEEDORES[[#This Row],[PROVEEDOR]],TERCEROS_INFO[#All],3,FALSE)</f>
        <v>0</v>
      </c>
      <c r="N2216" s="23"/>
      <c r="O2216" s="22">
        <f>+PROVEEDORES[[#This Row],[Descuento sobre subtotal %]]*(PROVEEDORES[[#This Row],[SUBTOTAL]]-PROVEEDORES[[#This Row],[descuento sobre subtotal]])</f>
        <v>0</v>
      </c>
      <c r="P2216" s="74">
        <f>+IF(PROVEEDORES[[#This Row],[SUBTOTAL]]&lt;PROVEEDORES[[#This Row],[base retencion]],0,PROVEEDORES[[#This Row],[retención aplicada]])</f>
        <v>0</v>
      </c>
      <c r="Q2216" s="22">
        <f>+PROVEEDORES[[#This Row],[Rete Fuente %]]*(PROVEEDORES[[#This Row],[SUBTOTAL]]-PROVEEDORES[[#This Row],[descuento sobre subtotal]])</f>
        <v>0</v>
      </c>
      <c r="R2216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22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6" s="63">
        <f ca="1">IF(PROVEEDORES[[#This Row],[FECHA DE PAGO]]=0,TODAY()-PROVEEDORES[[#This Row],[FECHA DE FACTURACIÓN]]-PROVEEDORES[[#This Row],[PLAZO Días]],0)</f>
        <v>0</v>
      </c>
      <c r="U2216" s="104">
        <f>+VLOOKUP(PROVEEDORES[[#This Row],[PROVEEDOR]],Terceros!$A:$D,4,FALSE)</f>
        <v>0</v>
      </c>
      <c r="V2216" s="105">
        <f>+YEAR(PROVEEDORES[[#This Row],[FECHA DE FACTURACIÓN]])</f>
        <v>2023</v>
      </c>
      <c r="W2216" s="105">
        <f>+MATCH(PROVEEDORES[[#This Row],[año facturado]],Retenciones!$1:$1,0)</f>
        <v>6</v>
      </c>
      <c r="X2216" s="106">
        <f>+VLOOKUP(PROVEEDORES[[#This Row],[ID RETENCION]],Retenciones!$A$1:$O$25,PROVEEDORES[[#This Row],[indicador de columna]],FALSE)</f>
        <v>0</v>
      </c>
      <c r="Y2216" s="107">
        <f>+VLOOKUP(PROVEEDORES[[#This Row],[ID RETENCION]],Retenciones!$A$1:$O$25,2,FALSE)</f>
        <v>0</v>
      </c>
      <c r="Z2216" s="116" t="b">
        <f>OR(COUNTIF(PROVEEDORES[[#This Row],[PROVEEDOR]],"*"&amp;'Palabra no opera'!$A$2&amp;"*"))</f>
        <v>0</v>
      </c>
    </row>
    <row r="2217" spans="1:26" ht="22.35" customHeight="1" x14ac:dyDescent="0.3">
      <c r="A2217" s="67" t="str">
        <f>+IF(PROVEEDORES[[#This Row],[FECHA DE PAGO]]=PROVEEDORES[[#This Row],[FECHA DE FACTURACIÓN]],"DE CONTADO","CRÉDITO")</f>
        <v>CRÉDITO</v>
      </c>
      <c r="B2217" s="38" t="b">
        <f>+IF((PROVEEDORES[[#This Row],[FECHA DE PAGO]]-PROVEEDORES[[#This Row],[FECHA DE FACTURACIÓN]])&gt;PROVEEDORES[[#This Row],[PLAZO Días]],"PAGO VENCIDO")</f>
        <v>0</v>
      </c>
      <c r="C2217" s="20">
        <f>+VLOOKUP(PROVEEDORES[[#This Row],[PROVEEDOR]],TERCEROS_INFO[#All],2,FALSE)</f>
        <v>30</v>
      </c>
      <c r="D2217" s="25">
        <f>+SUMIFS(PROVEEDORES[Total],PROVEEDORES[PROVEEDOR],PROVEEDORES[[#This Row],[PROVEEDOR]],PROVEEDORES[FECHA DE PAGO],"")</f>
        <v>0</v>
      </c>
      <c r="E2217" s="25"/>
      <c r="F221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217" s="68">
        <v>45271</v>
      </c>
      <c r="H2217" s="26" t="s">
        <v>623</v>
      </c>
      <c r="I2217" s="68">
        <v>45261</v>
      </c>
      <c r="J2217" s="35" t="s">
        <v>2227</v>
      </c>
      <c r="K2217" s="21">
        <v>908172</v>
      </c>
      <c r="L2217" s="21"/>
      <c r="M2217" s="22">
        <f>(PROVEEDORES[[#This Row],[SUBTOTAL]]-PROVEEDORES[[#This Row],[descuento sobre subtotal]])*VLOOKUP(PROVEEDORES[[#This Row],[PROVEEDOR]],TERCEROS_INFO[#All],3,FALSE)</f>
        <v>172552.68</v>
      </c>
      <c r="N2217" s="23"/>
      <c r="O2217" s="22">
        <f>+PROVEEDORES[[#This Row],[Descuento sobre subtotal %]]*(PROVEEDORES[[#This Row],[SUBTOTAL]]-PROVEEDORES[[#This Row],[descuento sobre subtotal]])</f>
        <v>0</v>
      </c>
      <c r="P2217" s="74">
        <f>+IF(PROVEEDORES[[#This Row],[SUBTOTAL]]&lt;PROVEEDORES[[#This Row],[base retencion]],0,PROVEEDORES[[#This Row],[retención aplicada]])</f>
        <v>0.04</v>
      </c>
      <c r="Q2217" s="22">
        <f>+PROVEEDORES[[#This Row],[Rete Fuente %]]*(PROVEEDORES[[#This Row],[SUBTOTAL]]-PROVEEDORES[[#This Row],[descuento sobre subtotal]])</f>
        <v>36326.879999999997</v>
      </c>
      <c r="R2217" s="21">
        <f>+PROVEEDORES[[#This Row],[SUBTOTAL]]+PROVEEDORES[[#This Row],[IVA 19%]]-PROVEEDORES[[#This Row],[descuento sobre subtotal]]-PROVEEDORES[[#This Row],[Descuento sobre subtotal $2]]-PROVEEDORES[[#This Row],[Rete Fuente $]]</f>
        <v>1044397.7999999999</v>
      </c>
      <c r="S221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7" s="63">
        <f ca="1">IF(PROVEEDORES[[#This Row],[FECHA DE PAGO]]=0,TODAY()-PROVEEDORES[[#This Row],[FECHA DE FACTURACIÓN]]-PROVEEDORES[[#This Row],[PLAZO Días]],0)</f>
        <v>0</v>
      </c>
      <c r="U2217" s="104" t="str">
        <f>+VLOOKUP(PROVEEDORES[[#This Row],[PROVEEDOR]],Terceros!$A:$D,4,FALSE)</f>
        <v>4% sin base</v>
      </c>
      <c r="V2217" s="105">
        <f>+YEAR(PROVEEDORES[[#This Row],[FECHA DE FACTURACIÓN]])</f>
        <v>2023</v>
      </c>
      <c r="W2217" s="105">
        <f>+MATCH(PROVEEDORES[[#This Row],[año facturado]],Retenciones!$1:$1,0)</f>
        <v>6</v>
      </c>
      <c r="X2217" s="106">
        <f>+VLOOKUP(PROVEEDORES[[#This Row],[ID RETENCION]],Retenciones!$A$1:$O$25,PROVEEDORES[[#This Row],[indicador de columna]],FALSE)</f>
        <v>0</v>
      </c>
      <c r="Y2217" s="107">
        <f>+VLOOKUP(PROVEEDORES[[#This Row],[ID RETENCION]],Retenciones!$A$1:$O$25,2,FALSE)</f>
        <v>0.04</v>
      </c>
      <c r="Z2217" s="116" t="b">
        <f>OR(COUNTIF(PROVEEDORES[[#This Row],[PROVEEDOR]],"*"&amp;'Palabra no opera'!$A$2&amp;"*"))</f>
        <v>1</v>
      </c>
    </row>
    <row r="2218" spans="1:26" ht="22.35" customHeight="1" x14ac:dyDescent="0.3">
      <c r="A2218" s="67" t="str">
        <f>+IF(PROVEEDORES[[#This Row],[FECHA DE PAGO]]=PROVEEDORES[[#This Row],[FECHA DE FACTURACIÓN]],"DE CONTADO","CRÉDITO")</f>
        <v>CRÉDITO</v>
      </c>
      <c r="B2218" s="38" t="b">
        <f>+IF((PROVEEDORES[[#This Row],[FECHA DE PAGO]]-PROVEEDORES[[#This Row],[FECHA DE FACTURACIÓN]])&gt;PROVEEDORES[[#This Row],[PLAZO Días]],"PAGO VENCIDO")</f>
        <v>0</v>
      </c>
      <c r="C2218" s="20">
        <f>+VLOOKUP(PROVEEDORES[[#This Row],[PROVEEDOR]],TERCEROS_INFO[#All],2,FALSE)</f>
        <v>30</v>
      </c>
      <c r="D2218" s="25">
        <f>+SUMIFS(PROVEEDORES[Total],PROVEEDORES[PROVEEDOR],PROVEEDORES[[#This Row],[PROVEEDOR]],PROVEEDORES[FECHA DE PAGO],"")</f>
        <v>0</v>
      </c>
      <c r="E2218" s="25"/>
      <c r="F221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218" s="68">
        <v>45271</v>
      </c>
      <c r="H2218" s="26" t="s">
        <v>623</v>
      </c>
      <c r="I2218" s="68">
        <v>45261</v>
      </c>
      <c r="J2218" s="35" t="s">
        <v>2228</v>
      </c>
      <c r="K2218" s="21">
        <v>3792544</v>
      </c>
      <c r="L2218" s="21"/>
      <c r="M2218" s="22">
        <f>(PROVEEDORES[[#This Row],[SUBTOTAL]]-PROVEEDORES[[#This Row],[descuento sobre subtotal]])*VLOOKUP(PROVEEDORES[[#This Row],[PROVEEDOR]],TERCEROS_INFO[#All],3,FALSE)</f>
        <v>720583.36</v>
      </c>
      <c r="N2218" s="23"/>
      <c r="O2218" s="22">
        <f>+PROVEEDORES[[#This Row],[Descuento sobre subtotal %]]*(PROVEEDORES[[#This Row],[SUBTOTAL]]-PROVEEDORES[[#This Row],[descuento sobre subtotal]])</f>
        <v>0</v>
      </c>
      <c r="P2218" s="74"/>
      <c r="Q2218" s="22">
        <f>+PROVEEDORES[[#This Row],[Rete Fuente %]]*(PROVEEDORES[[#This Row],[SUBTOTAL]]-PROVEEDORES[[#This Row],[descuento sobre subtotal]])</f>
        <v>0</v>
      </c>
      <c r="R2218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22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8" s="63">
        <f ca="1">IF(PROVEEDORES[[#This Row],[FECHA DE PAGO]]=0,TODAY()-PROVEEDORES[[#This Row],[FECHA DE FACTURACIÓN]]-PROVEEDORES[[#This Row],[PLAZO Días]],0)</f>
        <v>0</v>
      </c>
      <c r="U2218" s="104" t="str">
        <f>+VLOOKUP(PROVEEDORES[[#This Row],[PROVEEDOR]],Terceros!$A:$D,4,FALSE)</f>
        <v>4% sin base</v>
      </c>
      <c r="V2218" s="105">
        <f>+YEAR(PROVEEDORES[[#This Row],[FECHA DE FACTURACIÓN]])</f>
        <v>2023</v>
      </c>
      <c r="W2218" s="105">
        <f>+MATCH(PROVEEDORES[[#This Row],[año facturado]],Retenciones!$1:$1,0)</f>
        <v>6</v>
      </c>
      <c r="X2218" s="106">
        <f>+VLOOKUP(PROVEEDORES[[#This Row],[ID RETENCION]],Retenciones!$A$1:$O$25,PROVEEDORES[[#This Row],[indicador de columna]],FALSE)</f>
        <v>0</v>
      </c>
      <c r="Y2218" s="107">
        <f>+VLOOKUP(PROVEEDORES[[#This Row],[ID RETENCION]],Retenciones!$A$1:$O$25,2,FALSE)</f>
        <v>0.04</v>
      </c>
      <c r="Z2218" s="116" t="b">
        <f>OR(COUNTIF(PROVEEDORES[[#This Row],[PROVEEDOR]],"*"&amp;'Palabra no opera'!$A$2&amp;"*"))</f>
        <v>1</v>
      </c>
    </row>
    <row r="2219" spans="1:26" ht="22.35" customHeight="1" x14ac:dyDescent="0.3">
      <c r="A2219" s="374" t="str">
        <f>+IF(PROVEEDORES[[#This Row],[FECHA DE PAGO]]=PROVEEDORES[[#This Row],[FECHA DE FACTURACIÓN]],"DE CONTADO","CRÉDITO")</f>
        <v>CRÉDITO</v>
      </c>
      <c r="B2219" s="38" t="str">
        <f>+IF((PROVEEDORES[[#This Row],[FECHA DE PAGO]]-PROVEEDORES[[#This Row],[FECHA DE FACTURACIÓN]])&gt;PROVEEDORES[[#This Row],[PLAZO Días]],"PAGO VENCIDO")</f>
        <v>PAGO VENCIDO</v>
      </c>
      <c r="C2219" s="20">
        <f>+VLOOKUP(PROVEEDORES[[#This Row],[PROVEEDOR]],TERCEROS_INFO[#All],2,FALSE)</f>
        <v>30</v>
      </c>
      <c r="D2219" s="25">
        <f>+SUMIFS(PROVEEDORES[Total],PROVEEDORES[PROVEEDOR],PROVEEDORES[[#This Row],[PROVEEDOR]],PROVEEDORES[FECHA DE PAGO],"")</f>
        <v>27189617.395</v>
      </c>
      <c r="E2219" s="25"/>
      <c r="F2219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219" s="68">
        <v>45271</v>
      </c>
      <c r="H2219" s="26" t="s">
        <v>77</v>
      </c>
      <c r="I2219" s="68">
        <v>45224</v>
      </c>
      <c r="J2219" s="35" t="s">
        <v>2178</v>
      </c>
      <c r="K2219" s="21">
        <v>24519811</v>
      </c>
      <c r="L2219" s="21"/>
      <c r="M2219" s="22">
        <f>(PROVEEDORES[[#This Row],[SUBTOTAL]]-PROVEEDORES[[#This Row],[descuento sobre subtotal]])*VLOOKUP(PROVEEDORES[[#This Row],[PROVEEDOR]],TERCEROS_INFO[#All],3,FALSE)</f>
        <v>4658764.09</v>
      </c>
      <c r="N2219" s="23"/>
      <c r="O2219" s="336"/>
      <c r="P2219" s="74">
        <f>+IF(PROVEEDORES[[#This Row],[SUBTOTAL]]&lt;PROVEEDORES[[#This Row],[base retencion]],0,PROVEEDORES[[#This Row],[retención aplicada]])</f>
        <v>2.5000000000000001E-2</v>
      </c>
      <c r="Q2219" s="22">
        <f>+PROVEEDORES[[#This Row],[Rete Fuente %]]*(PROVEEDORES[[#This Row],[SUBTOTAL]]-PROVEEDORES[[#This Row],[descuento sobre subtotal]])</f>
        <v>612995.27500000002</v>
      </c>
      <c r="R2219" s="21">
        <f>+PROVEEDORES[[#This Row],[SUBTOTAL]]+PROVEEDORES[[#This Row],[IVA 19%]]-PROVEEDORES[[#This Row],[descuento sobre subtotal]]-PROVEEDORES[[#This Row],[Descuento sobre subtotal $2]]-PROVEEDORES[[#This Row],[Rete Fuente $]]</f>
        <v>28565579.815000001</v>
      </c>
      <c r="S2219" s="37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9" s="63">
        <f ca="1">IF(PROVEEDORES[[#This Row],[FECHA DE PAGO]]=0,TODAY()-PROVEEDORES[[#This Row],[FECHA DE FACTURACIÓN]]-PROVEEDORES[[#This Row],[PLAZO Días]],0)</f>
        <v>0</v>
      </c>
      <c r="U2219" s="104" t="str">
        <f>+VLOOKUP(PROVEEDORES[[#This Row],[PROVEEDOR]],Terceros!$A:$D,4,FALSE)</f>
        <v>2,5% con base</v>
      </c>
      <c r="V2219" s="105">
        <f>+YEAR(PROVEEDORES[[#This Row],[FECHA DE FACTURACIÓN]])</f>
        <v>2023</v>
      </c>
      <c r="W2219" s="105">
        <f>+MATCH(PROVEEDORES[[#This Row],[año facturado]],Retenciones!$1:$1,0)</f>
        <v>6</v>
      </c>
      <c r="X2219" s="106">
        <f>+VLOOKUP(PROVEEDORES[[#This Row],[ID RETENCION]],Retenciones!$A$1:$O$25,PROVEEDORES[[#This Row],[indicador de columna]],FALSE)</f>
        <v>1145000</v>
      </c>
      <c r="Y2219" s="107">
        <f>+VLOOKUP(PROVEEDORES[[#This Row],[ID RETENCION]],Retenciones!$A$1:$O$25,2,FALSE)</f>
        <v>2.5000000000000001E-2</v>
      </c>
      <c r="Z2219" s="116" t="b">
        <f>OR(COUNTIF(PROVEEDORES[[#This Row],[PROVEEDOR]],"*"&amp;'Palabra no opera'!$A$2&amp;"*"))</f>
        <v>0</v>
      </c>
    </row>
    <row r="2220" spans="1:26" ht="22.35" customHeight="1" x14ac:dyDescent="0.3">
      <c r="A2220" s="379" t="str">
        <f>+IF(PROVEEDORES[[#This Row],[FECHA DE PAGO]]=PROVEEDORES[[#This Row],[FECHA DE FACTURACIÓN]],"DE CONTADO","CRÉDITO")</f>
        <v>CRÉDITO</v>
      </c>
      <c r="B2220" s="38" t="str">
        <f>+IF((PROVEEDORES[[#This Row],[FECHA DE PAGO]]-PROVEEDORES[[#This Row],[FECHA DE FACTURACIÓN]])&gt;PROVEEDORES[[#This Row],[PLAZO Días]],"PAGO VENCIDO")</f>
        <v>PAGO VENCIDO</v>
      </c>
      <c r="C2220" s="20">
        <f>+VLOOKUP(PROVEEDORES[[#This Row],[PROVEEDOR]],TERCEROS_INFO[#All],2,FALSE)</f>
        <v>30</v>
      </c>
      <c r="D2220" s="25">
        <f>+SUMIFS(PROVEEDORES[Total],PROVEEDORES[PROVEEDOR],PROVEEDORES[[#This Row],[PROVEEDOR]],PROVEEDORES[FECHA DE PAGO],"")</f>
        <v>27189617.395</v>
      </c>
      <c r="E2220" s="25"/>
      <c r="F2220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220" s="68">
        <v>45271</v>
      </c>
      <c r="H2220" s="26" t="s">
        <v>77</v>
      </c>
      <c r="I2220" s="68">
        <v>45233</v>
      </c>
      <c r="J2220" s="35" t="s">
        <v>2107</v>
      </c>
      <c r="K2220" s="21">
        <v>-773410</v>
      </c>
      <c r="L2220" s="21"/>
      <c r="M2220" s="22">
        <f>(PROVEEDORES[[#This Row],[SUBTOTAL]]-PROVEEDORES[[#This Row],[descuento sobre subtotal]])*VLOOKUP(PROVEEDORES[[#This Row],[PROVEEDOR]],TERCEROS_INFO[#All],3,FALSE)</f>
        <v>-146947.9</v>
      </c>
      <c r="N2220" s="23"/>
      <c r="O2220" s="22">
        <f>+PROVEEDORES[[#This Row],[Descuento sobre subtotal %]]*(PROVEEDORES[[#This Row],[SUBTOTAL]]-PROVEEDORES[[#This Row],[descuento sobre subtotal]])</f>
        <v>0</v>
      </c>
      <c r="P2220" s="74">
        <f>+IF(PROVEEDORES[[#This Row],[SUBTOTAL]]&lt;PROVEEDORES[[#This Row],[base retencion]],0,PROVEEDORES[[#This Row],[retención aplicada]])</f>
        <v>0</v>
      </c>
      <c r="Q2220" s="22">
        <v>-19335</v>
      </c>
      <c r="R2220" s="21">
        <f>+PROVEEDORES[[#This Row],[SUBTOTAL]]+PROVEEDORES[[#This Row],[IVA 19%]]-PROVEEDORES[[#This Row],[descuento sobre subtotal]]-PROVEEDORES[[#This Row],[Descuento sobre subtotal $2]]-PROVEEDORES[[#This Row],[Rete Fuente $]]</f>
        <v>-901022.9</v>
      </c>
      <c r="S2220" s="3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0" s="63">
        <f ca="1">IF(PROVEEDORES[[#This Row],[FECHA DE PAGO]]=0,TODAY()-PROVEEDORES[[#This Row],[FECHA DE FACTURACIÓN]]-PROVEEDORES[[#This Row],[PLAZO Días]],0)</f>
        <v>0</v>
      </c>
      <c r="U2220" s="104" t="str">
        <f>+VLOOKUP(PROVEEDORES[[#This Row],[PROVEEDOR]],Terceros!$A:$D,4,FALSE)</f>
        <v>2,5% con base</v>
      </c>
      <c r="V2220" s="105">
        <f>+YEAR(PROVEEDORES[[#This Row],[FECHA DE FACTURACIÓN]])</f>
        <v>2023</v>
      </c>
      <c r="W2220" s="105">
        <f>+MATCH(PROVEEDORES[[#This Row],[año facturado]],Retenciones!$1:$1,0)</f>
        <v>6</v>
      </c>
      <c r="X2220" s="106">
        <f>+VLOOKUP(PROVEEDORES[[#This Row],[ID RETENCION]],Retenciones!$A$1:$O$25,PROVEEDORES[[#This Row],[indicador de columna]],FALSE)</f>
        <v>1145000</v>
      </c>
      <c r="Y2220" s="107">
        <f>+VLOOKUP(PROVEEDORES[[#This Row],[ID RETENCION]],Retenciones!$A$1:$O$25,2,FALSE)</f>
        <v>2.5000000000000001E-2</v>
      </c>
      <c r="Z2220" s="116" t="b">
        <f>OR(COUNTIF(PROVEEDORES[[#This Row],[PROVEEDOR]],"*"&amp;'Palabra no opera'!$A$2&amp;"*"))</f>
        <v>0</v>
      </c>
    </row>
    <row r="2221" spans="1:26" ht="22.35" customHeight="1" x14ac:dyDescent="0.3">
      <c r="A2221" s="379" t="str">
        <f>+IF(PROVEEDORES[[#This Row],[FECHA DE PAGO]]=PROVEEDORES[[#This Row],[FECHA DE FACTURACIÓN]],"DE CONTADO","CRÉDITO")</f>
        <v>CRÉDITO</v>
      </c>
      <c r="B2221" s="38" t="str">
        <f>+IF((PROVEEDORES[[#This Row],[FECHA DE PAGO]]-PROVEEDORES[[#This Row],[FECHA DE FACTURACIÓN]])&gt;PROVEEDORES[[#This Row],[PLAZO Días]],"PAGO VENCIDO")</f>
        <v>PAGO VENCIDO</v>
      </c>
      <c r="C2221" s="20">
        <f>+VLOOKUP(PROVEEDORES[[#This Row],[PROVEEDOR]],TERCEROS_INFO[#All],2,FALSE)</f>
        <v>30</v>
      </c>
      <c r="D2221" s="25">
        <f>+SUMIFS(PROVEEDORES[Total],PROVEEDORES[PROVEEDOR],PROVEEDORES[[#This Row],[PROVEEDOR]],PROVEEDORES[FECHA DE PAGO],"")</f>
        <v>27189617.395</v>
      </c>
      <c r="E2221" s="25"/>
      <c r="F2221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221" s="68">
        <v>45271</v>
      </c>
      <c r="H2221" s="26" t="s">
        <v>77</v>
      </c>
      <c r="I2221" s="68">
        <v>45233</v>
      </c>
      <c r="J2221" s="35" t="s">
        <v>2108</v>
      </c>
      <c r="K2221" s="21">
        <v>320106</v>
      </c>
      <c r="L2221" s="21"/>
      <c r="M2221" s="22">
        <f>(PROVEEDORES[[#This Row],[SUBTOTAL]]-PROVEEDORES[[#This Row],[descuento sobre subtotal]])*VLOOKUP(PROVEEDORES[[#This Row],[PROVEEDOR]],TERCEROS_INFO[#All],3,FALSE)</f>
        <v>60820.14</v>
      </c>
      <c r="N2221" s="23"/>
      <c r="O2221" s="22">
        <f>+PROVEEDORES[[#This Row],[Descuento sobre subtotal %]]*(PROVEEDORES[[#This Row],[SUBTOTAL]]-PROVEEDORES[[#This Row],[descuento sobre subtotal]])</f>
        <v>0</v>
      </c>
      <c r="P2221" s="74">
        <f>+IF(PROVEEDORES[[#This Row],[SUBTOTAL]]&lt;PROVEEDORES[[#This Row],[base retencion]],0,PROVEEDORES[[#This Row],[retención aplicada]])</f>
        <v>0</v>
      </c>
      <c r="Q2221" s="22">
        <f>+PROVEEDORES[[#This Row],[Rete Fuente %]]*(PROVEEDORES[[#This Row],[SUBTOTAL]]-PROVEEDORES[[#This Row],[descuento sobre subtotal]])</f>
        <v>0</v>
      </c>
      <c r="R2221" s="21">
        <f>+PROVEEDORES[[#This Row],[SUBTOTAL]]+PROVEEDORES[[#This Row],[IVA 19%]]-PROVEEDORES[[#This Row],[descuento sobre subtotal]]-PROVEEDORES[[#This Row],[Descuento sobre subtotal $2]]-PROVEEDORES[[#This Row],[Rete Fuente $]]</f>
        <v>380926.14</v>
      </c>
      <c r="S2221" s="38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1" s="63">
        <f ca="1">IF(PROVEEDORES[[#This Row],[FECHA DE PAGO]]=0,TODAY()-PROVEEDORES[[#This Row],[FECHA DE FACTURACIÓN]]-PROVEEDORES[[#This Row],[PLAZO Días]],0)</f>
        <v>0</v>
      </c>
      <c r="U2221" s="104" t="str">
        <f>+VLOOKUP(PROVEEDORES[[#This Row],[PROVEEDOR]],Terceros!$A:$D,4,FALSE)</f>
        <v>2,5% con base</v>
      </c>
      <c r="V2221" s="105">
        <f>+YEAR(PROVEEDORES[[#This Row],[FECHA DE FACTURACIÓN]])</f>
        <v>2023</v>
      </c>
      <c r="W2221" s="105">
        <f>+MATCH(PROVEEDORES[[#This Row],[año facturado]],Retenciones!$1:$1,0)</f>
        <v>6</v>
      </c>
      <c r="X2221" s="106">
        <f>+VLOOKUP(PROVEEDORES[[#This Row],[ID RETENCION]],Retenciones!$A$1:$O$25,PROVEEDORES[[#This Row],[indicador de columna]],FALSE)</f>
        <v>1145000</v>
      </c>
      <c r="Y2221" s="107">
        <f>+VLOOKUP(PROVEEDORES[[#This Row],[ID RETENCION]],Retenciones!$A$1:$O$25,2,FALSE)</f>
        <v>2.5000000000000001E-2</v>
      </c>
      <c r="Z2221" s="116" t="b">
        <f>OR(COUNTIF(PROVEEDORES[[#This Row],[PROVEEDOR]],"*"&amp;'Palabra no opera'!$A$2&amp;"*"))</f>
        <v>0</v>
      </c>
    </row>
    <row r="2222" spans="1:26" ht="22.35" customHeight="1" x14ac:dyDescent="0.3">
      <c r="A2222" s="67" t="str">
        <f>+IF(PROVEEDORES[[#This Row],[FECHA DE PAGO]]=PROVEEDORES[[#This Row],[FECHA DE FACTURACIÓN]],"DE CONTADO","CRÉDITO")</f>
        <v>CRÉDITO</v>
      </c>
      <c r="B2222" s="38" t="b">
        <f>+IF((PROVEEDORES[[#This Row],[FECHA DE PAGO]]-PROVEEDORES[[#This Row],[FECHA DE FACTURACIÓN]])&gt;PROVEEDORES[[#This Row],[PLAZO Días]],"PAGO VENCIDO")</f>
        <v>0</v>
      </c>
      <c r="C2222" s="20">
        <f>+VLOOKUP(PROVEEDORES[[#This Row],[PROVEEDOR]],TERCEROS_INFO[#All],2,FALSE)</f>
        <v>30</v>
      </c>
      <c r="D2222" s="25">
        <f>+SUMIFS(PROVEEDORES[Total],PROVEEDORES[PROVEEDOR],PROVEEDORES[[#This Row],[PROVEEDOR]],PROVEEDORES[FECHA DE PAGO],"")</f>
        <v>0</v>
      </c>
      <c r="E2222" s="25"/>
      <c r="F2222" s="56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222" s="68">
        <v>45271</v>
      </c>
      <c r="H2222" s="26" t="s">
        <v>628</v>
      </c>
      <c r="I2222" s="68">
        <v>45261</v>
      </c>
      <c r="J2222" s="35" t="s">
        <v>2230</v>
      </c>
      <c r="K2222" s="21">
        <v>1840056</v>
      </c>
      <c r="L2222" s="21"/>
      <c r="M2222" s="22">
        <f>(PROVEEDORES[[#This Row],[SUBTOTAL]]-PROVEEDORES[[#This Row],[descuento sobre subtotal]])*VLOOKUP(PROVEEDORES[[#This Row],[PROVEEDOR]],TERCEROS_INFO[#All],3,FALSE)</f>
        <v>0</v>
      </c>
      <c r="N2222" s="23"/>
      <c r="O2222" s="22">
        <v>105097</v>
      </c>
      <c r="P2222" s="74">
        <f>+IF(PROVEEDORES[[#This Row],[SUBTOTAL]]&lt;PROVEEDORES[[#This Row],[base retencion]],0,PROVEEDORES[[#This Row],[retención aplicada]])</f>
        <v>0</v>
      </c>
      <c r="Q2222" s="22">
        <f>+PROVEEDORES[[#This Row],[Rete Fuente %]]*(PROVEEDORES[[#This Row],[SUBTOTAL]]-PROVEEDORES[[#This Row],[descuento sobre subtotal]])</f>
        <v>0</v>
      </c>
      <c r="R2222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22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2" s="63">
        <f ca="1">IF(PROVEEDORES[[#This Row],[FECHA DE PAGO]]=0,TODAY()-PROVEEDORES[[#This Row],[FECHA DE FACTURACIÓN]]-PROVEEDORES[[#This Row],[PLAZO Días]],0)</f>
        <v>0</v>
      </c>
      <c r="U2222" s="104">
        <f>+VLOOKUP(PROVEEDORES[[#This Row],[PROVEEDOR]],Terceros!$A:$D,4,FALSE)</f>
        <v>0</v>
      </c>
      <c r="V2222" s="105">
        <f>+YEAR(PROVEEDORES[[#This Row],[FECHA DE FACTURACIÓN]])</f>
        <v>2023</v>
      </c>
      <c r="W2222" s="105">
        <f>+MATCH(PROVEEDORES[[#This Row],[año facturado]],Retenciones!$1:$1,0)</f>
        <v>6</v>
      </c>
      <c r="X2222" s="106">
        <f>+VLOOKUP(PROVEEDORES[[#This Row],[ID RETENCION]],Retenciones!$A$1:$O$25,PROVEEDORES[[#This Row],[indicador de columna]],FALSE)</f>
        <v>0</v>
      </c>
      <c r="Y2222" s="107">
        <f>+VLOOKUP(PROVEEDORES[[#This Row],[ID RETENCION]],Retenciones!$A$1:$O$25,2,FALSE)</f>
        <v>0</v>
      </c>
      <c r="Z2222" s="116" t="b">
        <f>OR(COUNTIF(PROVEEDORES[[#This Row],[PROVEEDOR]],"*"&amp;'Palabra no opera'!$A$2&amp;"*"))</f>
        <v>1</v>
      </c>
    </row>
    <row r="2223" spans="1:26" ht="22.35" customHeight="1" x14ac:dyDescent="0.3">
      <c r="A2223" s="67" t="str">
        <f>+IF(PROVEEDORES[[#This Row],[FECHA DE PAGO]]=PROVEEDORES[[#This Row],[FECHA DE FACTURACIÓN]],"DE CONTADO","CRÉDITO")</f>
        <v>CRÉDITO</v>
      </c>
      <c r="B2223" s="38" t="b">
        <f>+IF((PROVEEDORES[[#This Row],[FECHA DE PAGO]]-PROVEEDORES[[#This Row],[FECHA DE FACTURACIÓN]])&gt;PROVEEDORES[[#This Row],[PLAZO Días]],"PAGO VENCIDO")</f>
        <v>0</v>
      </c>
      <c r="C2223" s="20">
        <f>+VLOOKUP(PROVEEDORES[[#This Row],[PROVEEDOR]],TERCEROS_INFO[#All],2,FALSE)</f>
        <v>30</v>
      </c>
      <c r="D2223" s="25">
        <f>+SUMIFS(PROVEEDORES[Total],PROVEEDORES[PROVEEDOR],PROVEEDORES[[#This Row],[PROVEEDOR]],PROVEEDORES[FECHA DE PAGO],"")</f>
        <v>352505.48</v>
      </c>
      <c r="E2223" s="25"/>
      <c r="F2223" s="56" t="str">
        <f>+VLOOKUP(PROVEEDORES[[#This Row],[PROVEEDOR]],
                       Terceros!$A:$F,
                       5,
                       FALSE)</f>
        <v>facturacion@losmolinos.com.co</v>
      </c>
      <c r="G2223" s="68">
        <v>45271</v>
      </c>
      <c r="H2223" s="26" t="s">
        <v>631</v>
      </c>
      <c r="I2223" s="68">
        <v>45261</v>
      </c>
      <c r="J2223" s="35" t="s">
        <v>2235</v>
      </c>
      <c r="K2223" s="21">
        <v>318603</v>
      </c>
      <c r="L2223" s="21">
        <v>9545</v>
      </c>
      <c r="M2223" s="22">
        <f>(PROVEEDORES[[#This Row],[SUBTOTAL]]-PROVEEDORES[[#This Row],[descuento sobre subtotal]])*VLOOKUP(PROVEEDORES[[#This Row],[PROVEEDOR]],TERCEROS_INFO[#All],3,FALSE)</f>
        <v>0</v>
      </c>
      <c r="N2223" s="23"/>
      <c r="O2223" s="22">
        <f>+PROVEEDORES[[#This Row],[Descuento sobre subtotal %]]*(PROVEEDORES[[#This Row],[SUBTOTAL]]-PROVEEDORES[[#This Row],[descuento sobre subtotal]])</f>
        <v>0</v>
      </c>
      <c r="P2223" s="74">
        <f>+IF(PROVEEDORES[[#This Row],[SUBTOTAL]]&lt;PROVEEDORES[[#This Row],[base retencion]],0,PROVEEDORES[[#This Row],[retención aplicada]])</f>
        <v>0</v>
      </c>
      <c r="Q2223" s="22">
        <f>+PROVEEDORES[[#This Row],[Rete Fuente %]]*(PROVEEDORES[[#This Row],[SUBTOTAL]]-PROVEEDORES[[#This Row],[descuento sobre subtotal]])</f>
        <v>0</v>
      </c>
      <c r="R2223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222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3" s="63">
        <f ca="1">IF(PROVEEDORES[[#This Row],[FECHA DE PAGO]]=0,TODAY()-PROVEEDORES[[#This Row],[FECHA DE FACTURACIÓN]]-PROVEEDORES[[#This Row],[PLAZO Días]],0)</f>
        <v>0</v>
      </c>
      <c r="U2223" s="104">
        <f>+VLOOKUP(PROVEEDORES[[#This Row],[PROVEEDOR]],Terceros!$A:$D,4,FALSE)</f>
        <v>0</v>
      </c>
      <c r="V2223" s="105">
        <f>+YEAR(PROVEEDORES[[#This Row],[FECHA DE FACTURACIÓN]])</f>
        <v>2023</v>
      </c>
      <c r="W2223" s="105">
        <f>+MATCH(PROVEEDORES[[#This Row],[año facturado]],Retenciones!$1:$1,0)</f>
        <v>6</v>
      </c>
      <c r="X2223" s="106">
        <f>+VLOOKUP(PROVEEDORES[[#This Row],[ID RETENCION]],Retenciones!$A$1:$O$25,PROVEEDORES[[#This Row],[indicador de columna]],FALSE)</f>
        <v>0</v>
      </c>
      <c r="Y2223" s="107">
        <f>+VLOOKUP(PROVEEDORES[[#This Row],[ID RETENCION]],Retenciones!$A$1:$O$25,2,FALSE)</f>
        <v>0</v>
      </c>
      <c r="Z2223" s="116" t="b">
        <f>OR(COUNTIF(PROVEEDORES[[#This Row],[PROVEEDOR]],"*"&amp;'Palabra no opera'!$A$2&amp;"*"))</f>
        <v>1</v>
      </c>
    </row>
    <row r="2224" spans="1:26" ht="22.35" customHeight="1" x14ac:dyDescent="0.3">
      <c r="A2224" s="67" t="str">
        <f>+IF(PROVEEDORES[[#This Row],[FECHA DE PAGO]]=PROVEEDORES[[#This Row],[FECHA DE FACTURACIÓN]],"DE CONTADO","CRÉDITO")</f>
        <v>CRÉDITO</v>
      </c>
      <c r="B2224" s="38" t="str">
        <f>+IF((PROVEEDORES[[#This Row],[FECHA DE PAGO]]-PROVEEDORES[[#This Row],[FECHA DE FACTURACIÓN]])&gt;PROVEEDORES[[#This Row],[PLAZO Días]],"PAGO VENCIDO")</f>
        <v>PAGO VENCIDO</v>
      </c>
      <c r="C2224" s="20">
        <f>+VLOOKUP(PROVEEDORES[[#This Row],[PROVEEDOR]],TERCEROS_INFO[#All],2,FALSE)</f>
        <v>30</v>
      </c>
      <c r="D2224" s="25">
        <f>+SUMIFS(PROVEEDORES[Total],PROVEEDORES[PROVEEDOR],PROVEEDORES[[#This Row],[PROVEEDOR]],PROVEEDORES[FECHA DE PAGO],"")</f>
        <v>0</v>
      </c>
      <c r="E2224" s="25"/>
      <c r="F2224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224" s="68">
        <v>45271</v>
      </c>
      <c r="H2224" s="26" t="s">
        <v>635</v>
      </c>
      <c r="I2224" s="68">
        <v>45236</v>
      </c>
      <c r="J2224" s="35" t="s">
        <v>2234</v>
      </c>
      <c r="K2224" s="21">
        <v>3456200</v>
      </c>
      <c r="L2224" s="21"/>
      <c r="M2224" s="22">
        <f>(PROVEEDORES[[#This Row],[SUBTOTAL]]-PROVEEDORES[[#This Row],[descuento sobre subtotal]])*VLOOKUP(PROVEEDORES[[#This Row],[PROVEEDOR]],TERCEROS_INFO[#All],3,FALSE)</f>
        <v>0</v>
      </c>
      <c r="N2224" s="23"/>
      <c r="O2224" s="22">
        <f>+PROVEEDORES[[#This Row],[Descuento sobre subtotal %]]*(PROVEEDORES[[#This Row],[SUBTOTAL]]-PROVEEDORES[[#This Row],[descuento sobre subtotal]])</f>
        <v>0</v>
      </c>
      <c r="P2224" s="74">
        <f>+IF(PROVEEDORES[[#This Row],[SUBTOTAL]]&lt;PROVEEDORES[[#This Row],[base retencion]],0,PROVEEDORES[[#This Row],[retención aplicada]])</f>
        <v>3.5000000000000003E-2</v>
      </c>
      <c r="Q2224" s="22">
        <f>+PROVEEDORES[[#This Row],[Rete Fuente %]]*(PROVEEDORES[[#This Row],[SUBTOTAL]]-PROVEEDORES[[#This Row],[descuento sobre subtotal]])</f>
        <v>120967.00000000001</v>
      </c>
      <c r="R2224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22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4" s="63">
        <f ca="1">IF(PROVEEDORES[[#This Row],[FECHA DE PAGO]]=0,TODAY()-PROVEEDORES[[#This Row],[FECHA DE FACTURACIÓN]]-PROVEEDORES[[#This Row],[PLAZO Días]],0)</f>
        <v>0</v>
      </c>
      <c r="U2224" s="104" t="str">
        <f>+VLOOKUP(PROVEEDORES[[#This Row],[PROVEEDOR]],Terceros!$A:$D,4,FALSE)</f>
        <v>3,5% sin base</v>
      </c>
      <c r="V2224" s="105">
        <f>+YEAR(PROVEEDORES[[#This Row],[FECHA DE FACTURACIÓN]])</f>
        <v>2023</v>
      </c>
      <c r="W2224" s="105">
        <f>+MATCH(PROVEEDORES[[#This Row],[año facturado]],Retenciones!$1:$1,0)</f>
        <v>6</v>
      </c>
      <c r="X2224" s="106">
        <f>+VLOOKUP(PROVEEDORES[[#This Row],[ID RETENCION]],Retenciones!$A$1:$O$25,PROVEEDORES[[#This Row],[indicador de columna]],FALSE)</f>
        <v>0</v>
      </c>
      <c r="Y2224" s="107">
        <f>+VLOOKUP(PROVEEDORES[[#This Row],[ID RETENCION]],Retenciones!$A$1:$O$25,2,FALSE)</f>
        <v>3.5000000000000003E-2</v>
      </c>
      <c r="Z2224" s="116" t="b">
        <f>OR(COUNTIF(PROVEEDORES[[#This Row],[PROVEEDOR]],"*"&amp;'Palabra no opera'!$A$2&amp;"*"))</f>
        <v>1</v>
      </c>
    </row>
    <row r="2225" spans="1:26" ht="22.35" customHeight="1" x14ac:dyDescent="0.3">
      <c r="A2225" s="67" t="str">
        <f>+IF(PROVEEDORES[[#This Row],[FECHA DE PAGO]]=PROVEEDORES[[#This Row],[FECHA DE FACTURACIÓN]],"DE CONTADO","CRÉDITO")</f>
        <v>CRÉDITO</v>
      </c>
      <c r="B2225" s="38" t="b">
        <f>+IF((PROVEEDORES[[#This Row],[FECHA DE PAGO]]-PROVEEDORES[[#This Row],[FECHA DE FACTURACIÓN]])&gt;PROVEEDORES[[#This Row],[PLAZO Días]],"PAGO VENCIDO")</f>
        <v>0</v>
      </c>
      <c r="C2225" s="20">
        <f>+VLOOKUP(PROVEEDORES[[#This Row],[PROVEEDOR]],TERCEROS_INFO[#All],2,FALSE)</f>
        <v>30</v>
      </c>
      <c r="D2225" s="25">
        <f>+SUMIFS(PROVEEDORES[Total],PROVEEDORES[PROVEEDOR],PROVEEDORES[[#This Row],[PROVEEDOR]],PROVEEDORES[FECHA DE PAGO],"")</f>
        <v>0</v>
      </c>
      <c r="E2225" s="25"/>
      <c r="F222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225" s="68">
        <v>45271</v>
      </c>
      <c r="H2225" s="26" t="s">
        <v>637</v>
      </c>
      <c r="I2225" s="68">
        <v>45261</v>
      </c>
      <c r="J2225" s="35" t="s">
        <v>2232</v>
      </c>
      <c r="K2225" s="21">
        <v>914023</v>
      </c>
      <c r="L2225" s="21"/>
      <c r="M2225" s="22">
        <f>(PROVEEDORES[[#This Row],[SUBTOTAL]]-PROVEEDORES[[#This Row],[descuento sobre subtotal]])*VLOOKUP(PROVEEDORES[[#This Row],[PROVEEDOR]],TERCEROS_INFO[#All],3,FALSE)</f>
        <v>0</v>
      </c>
      <c r="N2225" s="23"/>
      <c r="O2225" s="22">
        <f>+PROVEEDORES[[#This Row],[Descuento sobre subtotal %]]*(PROVEEDORES[[#This Row],[SUBTOTAL]]-PROVEEDORES[[#This Row],[descuento sobre subtotal]])</f>
        <v>0</v>
      </c>
      <c r="P2225" s="74">
        <f>+IF(PROVEEDORES[[#This Row],[SUBTOTAL]]&lt;PROVEEDORES[[#This Row],[base retencion]],0,PROVEEDORES[[#This Row],[retención aplicada]])</f>
        <v>0</v>
      </c>
      <c r="Q2225" s="22">
        <f>+PROVEEDORES[[#This Row],[Rete Fuente %]]*(PROVEEDORES[[#This Row],[SUBTOTAL]]-PROVEEDORES[[#This Row],[descuento sobre subtotal]])</f>
        <v>0</v>
      </c>
      <c r="R2225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222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5" s="63">
        <f ca="1">IF(PROVEEDORES[[#This Row],[FECHA DE PAGO]]=0,TODAY()-PROVEEDORES[[#This Row],[FECHA DE FACTURACIÓN]]-PROVEEDORES[[#This Row],[PLAZO Días]],0)</f>
        <v>0</v>
      </c>
      <c r="U2225" s="104">
        <f>+VLOOKUP(PROVEEDORES[[#This Row],[PROVEEDOR]],Terceros!$A:$D,4,FALSE)</f>
        <v>0</v>
      </c>
      <c r="V2225" s="105">
        <f>+YEAR(PROVEEDORES[[#This Row],[FECHA DE FACTURACIÓN]])</f>
        <v>2023</v>
      </c>
      <c r="W2225" s="105">
        <f>+MATCH(PROVEEDORES[[#This Row],[año facturado]],Retenciones!$1:$1,0)</f>
        <v>6</v>
      </c>
      <c r="X2225" s="106">
        <f>+VLOOKUP(PROVEEDORES[[#This Row],[ID RETENCION]],Retenciones!$A$1:$O$25,PROVEEDORES[[#This Row],[indicador de columna]],FALSE)</f>
        <v>0</v>
      </c>
      <c r="Y2225" s="107">
        <f>+VLOOKUP(PROVEEDORES[[#This Row],[ID RETENCION]],Retenciones!$A$1:$O$25,2,FALSE)</f>
        <v>0</v>
      </c>
      <c r="Z2225" s="116" t="b">
        <f>OR(COUNTIF(PROVEEDORES[[#This Row],[PROVEEDOR]],"*"&amp;'Palabra no opera'!$A$2&amp;"*"))</f>
        <v>1</v>
      </c>
    </row>
    <row r="2226" spans="1:26" ht="22.35" customHeight="1" x14ac:dyDescent="0.3">
      <c r="A2226" s="67" t="str">
        <f>+IF(PROVEEDORES[[#This Row],[FECHA DE PAGO]]=PROVEEDORES[[#This Row],[FECHA DE FACTURACIÓN]],"DE CONTADO","CRÉDITO")</f>
        <v>CRÉDITO</v>
      </c>
      <c r="B2226" s="38" t="b">
        <f>+IF((PROVEEDORES[[#This Row],[FECHA DE PAGO]]-PROVEEDORES[[#This Row],[FECHA DE FACTURACIÓN]])&gt;PROVEEDORES[[#This Row],[PLAZO Días]],"PAGO VENCIDO")</f>
        <v>0</v>
      </c>
      <c r="C2226" s="20">
        <f>+VLOOKUP(PROVEEDORES[[#This Row],[PROVEEDOR]],TERCEROS_INFO[#All],2,FALSE)</f>
        <v>30</v>
      </c>
      <c r="D2226" s="25">
        <f>+SUMIFS(PROVEEDORES[Total],PROVEEDORES[PROVEEDOR],PROVEEDORES[[#This Row],[PROVEEDOR]],PROVEEDORES[FECHA DE PAGO],"")</f>
        <v>0</v>
      </c>
      <c r="E2226" s="25"/>
      <c r="F222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226" s="68">
        <v>45271</v>
      </c>
      <c r="H2226" s="26" t="s">
        <v>637</v>
      </c>
      <c r="I2226" s="68">
        <v>45261</v>
      </c>
      <c r="J2226" s="35" t="s">
        <v>2233</v>
      </c>
      <c r="K2226" s="21">
        <v>934363</v>
      </c>
      <c r="L2226" s="21"/>
      <c r="M2226" s="22">
        <f>(PROVEEDORES[[#This Row],[SUBTOTAL]]-PROVEEDORES[[#This Row],[descuento sobre subtotal]])*VLOOKUP(PROVEEDORES[[#This Row],[PROVEEDOR]],TERCEROS_INFO[#All],3,FALSE)</f>
        <v>0</v>
      </c>
      <c r="N2226" s="23"/>
      <c r="O2226" s="22">
        <f>+PROVEEDORES[[#This Row],[Descuento sobre subtotal %]]*(PROVEEDORES[[#This Row],[SUBTOTAL]]-PROVEEDORES[[#This Row],[descuento sobre subtotal]])</f>
        <v>0</v>
      </c>
      <c r="P2226" s="74">
        <f>+IF(PROVEEDORES[[#This Row],[SUBTOTAL]]&lt;PROVEEDORES[[#This Row],[base retencion]],0,PROVEEDORES[[#This Row],[retención aplicada]])</f>
        <v>0</v>
      </c>
      <c r="Q2226" s="22">
        <f>+PROVEEDORES[[#This Row],[Rete Fuente %]]*(PROVEEDORES[[#This Row],[SUBTOTAL]]-PROVEEDORES[[#This Row],[descuento sobre subtotal]])</f>
        <v>0</v>
      </c>
      <c r="R2226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222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6" s="63">
        <f ca="1">IF(PROVEEDORES[[#This Row],[FECHA DE PAGO]]=0,TODAY()-PROVEEDORES[[#This Row],[FECHA DE FACTURACIÓN]]-PROVEEDORES[[#This Row],[PLAZO Días]],0)</f>
        <v>0</v>
      </c>
      <c r="U2226" s="104">
        <f>+VLOOKUP(PROVEEDORES[[#This Row],[PROVEEDOR]],Terceros!$A:$D,4,FALSE)</f>
        <v>0</v>
      </c>
      <c r="V2226" s="105">
        <f>+YEAR(PROVEEDORES[[#This Row],[FECHA DE FACTURACIÓN]])</f>
        <v>2023</v>
      </c>
      <c r="W2226" s="105">
        <f>+MATCH(PROVEEDORES[[#This Row],[año facturado]],Retenciones!$1:$1,0)</f>
        <v>6</v>
      </c>
      <c r="X2226" s="106">
        <f>+VLOOKUP(PROVEEDORES[[#This Row],[ID RETENCION]],Retenciones!$A$1:$O$25,PROVEEDORES[[#This Row],[indicador de columna]],FALSE)</f>
        <v>0</v>
      </c>
      <c r="Y2226" s="107">
        <f>+VLOOKUP(PROVEEDORES[[#This Row],[ID RETENCION]],Retenciones!$A$1:$O$25,2,FALSE)</f>
        <v>0</v>
      </c>
      <c r="Z2226" s="116" t="b">
        <f>OR(COUNTIF(PROVEEDORES[[#This Row],[PROVEEDOR]],"*"&amp;'Palabra no opera'!$A$2&amp;"*"))</f>
        <v>1</v>
      </c>
    </row>
    <row r="2227" spans="1:26" ht="22.35" customHeight="1" x14ac:dyDescent="0.3">
      <c r="A2227" s="67" t="str">
        <f>+IF(PROVEEDORES[[#This Row],[FECHA DE PAGO]]=PROVEEDORES[[#This Row],[FECHA DE FACTURACIÓN]],"DE CONTADO","CRÉDITO")</f>
        <v>CRÉDITO</v>
      </c>
      <c r="B2227" s="38" t="b">
        <f>+IF((PROVEEDORES[[#This Row],[FECHA DE PAGO]]-PROVEEDORES[[#This Row],[FECHA DE FACTURACIÓN]])&gt;PROVEEDORES[[#This Row],[PLAZO Días]],"PAGO VENCIDO")</f>
        <v>0</v>
      </c>
      <c r="C2227" s="20">
        <f>+VLOOKUP(PROVEEDORES[[#This Row],[PROVEEDOR]],TERCEROS_INFO[#All],2,FALSE)</f>
        <v>30</v>
      </c>
      <c r="D2227" s="25">
        <f>+SUMIFS(PROVEEDORES[Total],PROVEEDORES[PROVEEDOR],PROVEEDORES[[#This Row],[PROVEEDOR]],PROVEEDORES[FECHA DE PAGO],"")</f>
        <v>0</v>
      </c>
      <c r="E2227" s="25"/>
      <c r="F2227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227" s="68">
        <v>45271</v>
      </c>
      <c r="H2227" s="26" t="s">
        <v>638</v>
      </c>
      <c r="I2227" s="68">
        <v>45261</v>
      </c>
      <c r="J2227" s="35" t="s">
        <v>2229</v>
      </c>
      <c r="K2227" s="21">
        <v>4394976</v>
      </c>
      <c r="L2227" s="21"/>
      <c r="M2227" s="22">
        <v>752248</v>
      </c>
      <c r="N2227" s="23"/>
      <c r="O2227" s="22">
        <f>+PROVEEDORES[[#This Row],[Descuento sobre subtotal %]]*(PROVEEDORES[[#This Row],[SUBTOTAL]]-PROVEEDORES[[#This Row],[descuento sobre subtotal]])</f>
        <v>0</v>
      </c>
      <c r="P2227" s="74">
        <f>+IF(PROVEEDORES[[#This Row],[SUBTOTAL]]&lt;PROVEEDORES[[#This Row],[base retencion]],0,PROVEEDORES[[#This Row],[retención aplicada]])</f>
        <v>3.5000000000000003E-2</v>
      </c>
      <c r="Q2227" s="22"/>
      <c r="R2227" s="21">
        <f>+PROVEEDORES[[#This Row],[SUBTOTAL]]+PROVEEDORES[[#This Row],[IVA 19%]]-PROVEEDORES[[#This Row],[descuento sobre subtotal]]-PROVEEDORES[[#This Row],[Descuento sobre subtotal $2]]-PROVEEDORES[[#This Row],[Rete Fuente $]]</f>
        <v>5147224</v>
      </c>
      <c r="S222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7" s="63">
        <f ca="1">IF(PROVEEDORES[[#This Row],[FECHA DE PAGO]]=0,TODAY()-PROVEEDORES[[#This Row],[FECHA DE FACTURACIÓN]]-PROVEEDORES[[#This Row],[PLAZO Días]],0)</f>
        <v>0</v>
      </c>
      <c r="U2227" s="104" t="str">
        <f>+VLOOKUP(PROVEEDORES[[#This Row],[PROVEEDOR]],Terceros!$A:$D,4,FALSE)</f>
        <v>3,5% sin base</v>
      </c>
      <c r="V2227" s="105">
        <f>+YEAR(PROVEEDORES[[#This Row],[FECHA DE FACTURACIÓN]])</f>
        <v>2023</v>
      </c>
      <c r="W2227" s="105">
        <f>+MATCH(PROVEEDORES[[#This Row],[año facturado]],Retenciones!$1:$1,0)</f>
        <v>6</v>
      </c>
      <c r="X2227" s="106">
        <f>+VLOOKUP(PROVEEDORES[[#This Row],[ID RETENCION]],Retenciones!$A$1:$O$25,PROVEEDORES[[#This Row],[indicador de columna]],FALSE)</f>
        <v>0</v>
      </c>
      <c r="Y2227" s="107">
        <f>+VLOOKUP(PROVEEDORES[[#This Row],[ID RETENCION]],Retenciones!$A$1:$O$25,2,FALSE)</f>
        <v>3.5000000000000003E-2</v>
      </c>
      <c r="Z2227" s="116" t="b">
        <f>OR(COUNTIF(PROVEEDORES[[#This Row],[PROVEEDOR]],"*"&amp;'Palabra no opera'!$A$2&amp;"*"))</f>
        <v>1</v>
      </c>
    </row>
    <row r="2228" spans="1:26" ht="22.35" customHeight="1" x14ac:dyDescent="0.3">
      <c r="A2228" s="67" t="str">
        <f>+IF(PROVEEDORES[[#This Row],[FECHA DE PAGO]]=PROVEEDORES[[#This Row],[FECHA DE FACTURACIÓN]],"DE CONTADO","CRÉDITO")</f>
        <v>CRÉDITO</v>
      </c>
      <c r="B2228" s="38" t="b">
        <f>+IF((PROVEEDORES[[#This Row],[FECHA DE PAGO]]-PROVEEDORES[[#This Row],[FECHA DE FACTURACIÓN]])&gt;PROVEEDORES[[#This Row],[PLAZO Días]],"PAGO VENCIDO")</f>
        <v>0</v>
      </c>
      <c r="C2228" s="20">
        <f>+VLOOKUP(PROVEEDORES[[#This Row],[PROVEEDOR]],TERCEROS_INFO[#All],2,FALSE)</f>
        <v>30</v>
      </c>
      <c r="D2228" s="25">
        <f>+SUMIFS(PROVEEDORES[Total],PROVEEDORES[PROVEEDOR],PROVEEDORES[[#This Row],[PROVEEDOR]],PROVEEDORES[FECHA DE PAGO],"")</f>
        <v>0</v>
      </c>
      <c r="E2228" s="25"/>
      <c r="F2228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228" s="68">
        <v>45271</v>
      </c>
      <c r="H2228" s="26" t="s">
        <v>651</v>
      </c>
      <c r="I2228" s="68">
        <v>45261</v>
      </c>
      <c r="J2228" s="35" t="s">
        <v>2231</v>
      </c>
      <c r="K2228" s="21">
        <v>243611</v>
      </c>
      <c r="L2228" s="21"/>
      <c r="M2228" s="22">
        <f>(PROVEEDORES[[#This Row],[SUBTOTAL]]-PROVEEDORES[[#This Row],[descuento sobre subtotal]])*VLOOKUP(PROVEEDORES[[#This Row],[PROVEEDOR]],TERCEROS_INFO[#All],3,FALSE)</f>
        <v>46286.090000000004</v>
      </c>
      <c r="N2228" s="23"/>
      <c r="O2228" s="22">
        <f>+PROVEEDORES[[#This Row],[Descuento sobre subtotal %]]*(PROVEEDORES[[#This Row],[SUBTOTAL]]-PROVEEDORES[[#This Row],[descuento sobre subtotal]])</f>
        <v>0</v>
      </c>
      <c r="P2228" s="74">
        <f>+IF(PROVEEDORES[[#This Row],[SUBTOTAL]]&lt;PROVEEDORES[[#This Row],[base retencion]],0,PROVEEDORES[[#This Row],[retención aplicada]])</f>
        <v>3.5000000000000003E-2</v>
      </c>
      <c r="Q2228" s="22">
        <f>+PROVEEDORES[[#This Row],[Rete Fuente %]]*(PROVEEDORES[[#This Row],[SUBTOTAL]]-PROVEEDORES[[#This Row],[descuento sobre subtotal]])</f>
        <v>8526.3850000000002</v>
      </c>
      <c r="R2228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222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8" s="63">
        <f ca="1">IF(PROVEEDORES[[#This Row],[FECHA DE PAGO]]=0,TODAY()-PROVEEDORES[[#This Row],[FECHA DE FACTURACIÓN]]-PROVEEDORES[[#This Row],[PLAZO Días]],0)</f>
        <v>0</v>
      </c>
      <c r="U2228" s="104" t="str">
        <f>+VLOOKUP(PROVEEDORES[[#This Row],[PROVEEDOR]],Terceros!$A:$D,4,FALSE)</f>
        <v>3,5% sin base</v>
      </c>
      <c r="V2228" s="105">
        <f>+YEAR(PROVEEDORES[[#This Row],[FECHA DE FACTURACIÓN]])</f>
        <v>2023</v>
      </c>
      <c r="W2228" s="105">
        <f>+MATCH(PROVEEDORES[[#This Row],[año facturado]],Retenciones!$1:$1,0)</f>
        <v>6</v>
      </c>
      <c r="X2228" s="106">
        <f>+VLOOKUP(PROVEEDORES[[#This Row],[ID RETENCION]],Retenciones!$A$1:$O$25,PROVEEDORES[[#This Row],[indicador de columna]],FALSE)</f>
        <v>0</v>
      </c>
      <c r="Y2228" s="107">
        <f>+VLOOKUP(PROVEEDORES[[#This Row],[ID RETENCION]],Retenciones!$A$1:$O$25,2,FALSE)</f>
        <v>3.5000000000000003E-2</v>
      </c>
      <c r="Z2228" s="116" t="b">
        <f>OR(COUNTIF(PROVEEDORES[[#This Row],[PROVEEDOR]],"*"&amp;'Palabra no opera'!$A$2&amp;"*"))</f>
        <v>1</v>
      </c>
    </row>
    <row r="2229" spans="1:26" ht="22.35" customHeight="1" x14ac:dyDescent="0.3">
      <c r="A2229" s="67" t="str">
        <f>+IF(PROVEEDORES[[#This Row],[FECHA DE PAGO]]=PROVEEDORES[[#This Row],[FECHA DE FACTURACIÓN]],"DE CONTADO","CRÉDITO")</f>
        <v>CRÉDITO</v>
      </c>
      <c r="B2229" s="38" t="b">
        <f>+IF((PROVEEDORES[[#This Row],[FECHA DE PAGO]]-PROVEEDORES[[#This Row],[FECHA DE FACTURACIÓN]])&gt;PROVEEDORES[[#This Row],[PLAZO Días]],"PAGO VENCIDO")</f>
        <v>0</v>
      </c>
      <c r="C2229" s="20">
        <f>+VLOOKUP(PROVEEDORES[[#This Row],[PROVEEDOR]],TERCEROS_INFO[#All],2,FALSE)</f>
        <v>10</v>
      </c>
      <c r="D2229" s="25">
        <f>+SUMIFS(PROVEEDORES[Total],PROVEEDORES[PROVEEDOR],PROVEEDORES[[#This Row],[PROVEEDOR]],PROVEEDORES[FECHA DE PAGO],"")</f>
        <v>0</v>
      </c>
      <c r="E2229" s="25"/>
      <c r="F2229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229" s="68">
        <v>45271</v>
      </c>
      <c r="H2229" s="26" t="s">
        <v>1202</v>
      </c>
      <c r="I2229" s="68">
        <v>45261</v>
      </c>
      <c r="J2229" s="35" t="s">
        <v>2226</v>
      </c>
      <c r="K2229" s="21">
        <v>5350576</v>
      </c>
      <c r="L2229" s="21"/>
      <c r="M2229" s="22">
        <v>1016609</v>
      </c>
      <c r="N2229" s="23"/>
      <c r="O2229" s="22">
        <f>+PROVEEDORES[[#This Row],[Descuento sobre subtotal %]]*(PROVEEDORES[[#This Row],[SUBTOTAL]]-PROVEEDORES[[#This Row],[descuento sobre subtotal]])</f>
        <v>0</v>
      </c>
      <c r="P2229" s="74">
        <f>+IF(PROVEEDORES[[#This Row],[SUBTOTAL]]&lt;PROVEEDORES[[#This Row],[base retencion]],0,PROVEEDORES[[#This Row],[retención aplicada]])</f>
        <v>0</v>
      </c>
      <c r="Q2229" s="22">
        <f>+PROVEEDORES[[#This Row],[Rete Fuente %]]*(PROVEEDORES[[#This Row],[SUBTOTAL]]-PROVEEDORES[[#This Row],[descuento sobre subtotal]])</f>
        <v>0</v>
      </c>
      <c r="R2229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222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9" s="63">
        <f ca="1">IF(PROVEEDORES[[#This Row],[FECHA DE PAGO]]=0,TODAY()-PROVEEDORES[[#This Row],[FECHA DE FACTURACIÓN]]-PROVEEDORES[[#This Row],[PLAZO Días]],0)</f>
        <v>0</v>
      </c>
      <c r="U2229" s="104">
        <f>+VLOOKUP(PROVEEDORES[[#This Row],[PROVEEDOR]],Terceros!$A:$D,4,FALSE)</f>
        <v>0</v>
      </c>
      <c r="V2229" s="105">
        <f>+YEAR(PROVEEDORES[[#This Row],[FECHA DE FACTURACIÓN]])</f>
        <v>2023</v>
      </c>
      <c r="W2229" s="105">
        <f>+MATCH(PROVEEDORES[[#This Row],[año facturado]],Retenciones!$1:$1,0)</f>
        <v>6</v>
      </c>
      <c r="X2229" s="106">
        <f>+VLOOKUP(PROVEEDORES[[#This Row],[ID RETENCION]],Retenciones!$A$1:$O$25,PROVEEDORES[[#This Row],[indicador de columna]],FALSE)</f>
        <v>0</v>
      </c>
      <c r="Y2229" s="107">
        <f>+VLOOKUP(PROVEEDORES[[#This Row],[ID RETENCION]],Retenciones!$A$1:$O$25,2,FALSE)</f>
        <v>0</v>
      </c>
      <c r="Z2229" s="116" t="b">
        <f>OR(COUNTIF(PROVEEDORES[[#This Row],[PROVEEDOR]],"*"&amp;'Palabra no opera'!$A$2&amp;"*"))</f>
        <v>1</v>
      </c>
    </row>
    <row r="2230" spans="1:26" ht="22.35" customHeight="1" x14ac:dyDescent="0.3">
      <c r="A2230" s="367" t="str">
        <f>+IF(PROVEEDORES[[#This Row],[FECHA DE PAGO]]=PROVEEDORES[[#This Row],[FECHA DE FACTURACIÓN]],"DE CONTADO","CRÉDITO")</f>
        <v>CRÉDITO</v>
      </c>
      <c r="B2230" s="38" t="str">
        <f>+IF((PROVEEDORES[[#This Row],[FECHA DE PAGO]]-PROVEEDORES[[#This Row],[FECHA DE FACTURACIÓN]])&gt;PROVEEDORES[[#This Row],[PLAZO Días]],"PAGO VENCIDO")</f>
        <v>PAGO VENCIDO</v>
      </c>
      <c r="C2230" s="20">
        <f>+VLOOKUP(PROVEEDORES[[#This Row],[PROVEEDOR]],TERCEROS_INFO[#All],2,FALSE)</f>
        <v>30</v>
      </c>
      <c r="D2230" s="25">
        <f>+SUMIFS(PROVEEDORES[Total],PROVEEDORES[PROVEEDOR],PROVEEDORES[[#This Row],[PROVEEDOR]],PROVEEDORES[FECHA DE PAGO],"")</f>
        <v>0</v>
      </c>
      <c r="E2230" s="25"/>
      <c r="F2230" s="56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2230" s="68">
        <v>45272</v>
      </c>
      <c r="H2230" s="26" t="s">
        <v>239</v>
      </c>
      <c r="I2230" s="68">
        <v>45202</v>
      </c>
      <c r="J2230" s="35" t="s">
        <v>2003</v>
      </c>
      <c r="K2230" s="21">
        <v>6385210</v>
      </c>
      <c r="L2230" s="21"/>
      <c r="M2230" s="22">
        <f>(PROVEEDORES[[#This Row],[SUBTOTAL]]-PROVEEDORES[[#This Row],[descuento sobre subtotal]])*VLOOKUP(PROVEEDORES[[#This Row],[PROVEEDOR]],TERCEROS_INFO[#All],3,FALSE)</f>
        <v>1213189.8999999999</v>
      </c>
      <c r="N2230" s="23"/>
      <c r="O2230" s="22">
        <f>+PROVEEDORES[[#This Row],[Descuento sobre subtotal %]]*(PROVEEDORES[[#This Row],[SUBTOTAL]]-PROVEEDORES[[#This Row],[descuento sobre subtotal]])</f>
        <v>0</v>
      </c>
      <c r="P2230" s="74">
        <f>+IF(PROVEEDORES[[#This Row],[SUBTOTAL]]&lt;PROVEEDORES[[#This Row],[base retencion]],0,PROVEEDORES[[#This Row],[retención aplicada]])</f>
        <v>2.5000000000000001E-2</v>
      </c>
      <c r="Q2230" s="22">
        <f>+PROVEEDORES[[#This Row],[Rete Fuente %]]*(PROVEEDORES[[#This Row],[SUBTOTAL]]-PROVEEDORES[[#This Row],[descuento sobre subtotal]])</f>
        <v>159630.25</v>
      </c>
      <c r="R2230" s="21">
        <f>+PROVEEDORES[[#This Row],[SUBTOTAL]]+PROVEEDORES[[#This Row],[IVA 19%]]-PROVEEDORES[[#This Row],[descuento sobre subtotal]]-PROVEEDORES[[#This Row],[Descuento sobre subtotal $2]]-PROVEEDORES[[#This Row],[Rete Fuente $]]</f>
        <v>7438769.6500000004</v>
      </c>
      <c r="S2230" s="3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0" s="63">
        <f ca="1">IF(PROVEEDORES[[#This Row],[FECHA DE PAGO]]=0,TODAY()-PROVEEDORES[[#This Row],[FECHA DE FACTURACIÓN]]-PROVEEDORES[[#This Row],[PLAZO Días]],0)</f>
        <v>0</v>
      </c>
      <c r="U2230" s="104" t="str">
        <f>+VLOOKUP(PROVEEDORES[[#This Row],[PROVEEDOR]],Terceros!$A:$D,4,FALSE)</f>
        <v>2,5% con base</v>
      </c>
      <c r="V2230" s="105">
        <f>+YEAR(PROVEEDORES[[#This Row],[FECHA DE FACTURACIÓN]])</f>
        <v>2023</v>
      </c>
      <c r="W2230" s="105">
        <f>+MATCH(PROVEEDORES[[#This Row],[año facturado]],Retenciones!$1:$1,0)</f>
        <v>6</v>
      </c>
      <c r="X2230" s="106">
        <f>+VLOOKUP(PROVEEDORES[[#This Row],[ID RETENCION]],Retenciones!$A$1:$O$25,PROVEEDORES[[#This Row],[indicador de columna]],FALSE)</f>
        <v>1145000</v>
      </c>
      <c r="Y2230" s="107">
        <f>+VLOOKUP(PROVEEDORES[[#This Row],[ID RETENCION]],Retenciones!$A$1:$O$25,2,FALSE)</f>
        <v>2.5000000000000001E-2</v>
      </c>
      <c r="Z2230" s="116" t="b">
        <f>OR(COUNTIF(PROVEEDORES[[#This Row],[PROVEEDOR]],"*"&amp;'Palabra no opera'!$A$2&amp;"*"))</f>
        <v>0</v>
      </c>
    </row>
    <row r="2231" spans="1:26" ht="22.35" customHeight="1" x14ac:dyDescent="0.3">
      <c r="A2231" s="67" t="str">
        <f>+IF(PROVEEDORES[[#This Row],[FECHA DE PAGO]]=PROVEEDORES[[#This Row],[FECHA DE FACTURACIÓN]],"DE CONTADO","CRÉDITO")</f>
        <v>CRÉDITO</v>
      </c>
      <c r="B2231" s="38" t="str">
        <f>+IF((PROVEEDORES[[#This Row],[FECHA DE PAGO]]-PROVEEDORES[[#This Row],[FECHA DE FACTURACIÓN]])&gt;PROVEEDORES[[#This Row],[PLAZO Días]],"PAGO VENCIDO")</f>
        <v>PAGO VENCIDO</v>
      </c>
      <c r="C2231" s="20">
        <f>+VLOOKUP(PROVEEDORES[[#This Row],[PROVEEDOR]],TERCEROS_INFO[#All],2,FALSE)</f>
        <v>30</v>
      </c>
      <c r="D2231" s="25">
        <f>+SUMIFS(PROVEEDORES[Total],PROVEEDORES[PROVEEDOR],PROVEEDORES[[#This Row],[PROVEEDOR]],PROVEEDORES[FECHA DE PAGO],"")</f>
        <v>1316890.8900000001</v>
      </c>
      <c r="E2231" s="25"/>
      <c r="F2231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231" s="68">
        <v>45272</v>
      </c>
      <c r="H2231" s="26" t="s">
        <v>17</v>
      </c>
      <c r="I2231" s="68">
        <v>45239</v>
      </c>
      <c r="J2231" s="35" t="s">
        <v>2139</v>
      </c>
      <c r="K2231" s="21">
        <v>1597368</v>
      </c>
      <c r="L2231" s="21"/>
      <c r="M2231" s="22">
        <v>0</v>
      </c>
      <c r="N2231" s="23"/>
      <c r="O2231" s="22">
        <f>+PROVEEDORES[[#This Row],[Descuento sobre subtotal %]]*(PROVEEDORES[[#This Row],[SUBTOTAL]]-PROVEEDORES[[#This Row],[descuento sobre subtotal]])</f>
        <v>0</v>
      </c>
      <c r="P2231" s="74">
        <f>+IF(PROVEEDORES[[#This Row],[SUBTOTAL]]&lt;PROVEEDORES[[#This Row],[base retencion]],0,PROVEEDORES[[#This Row],[retención aplicada]])</f>
        <v>0</v>
      </c>
      <c r="Q2231" s="22">
        <f>+PROVEEDORES[[#This Row],[Rete Fuente %]]*(PROVEEDORES[[#This Row],[SUBTOTAL]]-PROVEEDORES[[#This Row],[descuento sobre subtotal]])</f>
        <v>0</v>
      </c>
      <c r="R2231" s="21">
        <f>+PROVEEDORES[[#This Row],[SUBTOTAL]]+PROVEEDORES[[#This Row],[IVA 19%]]-PROVEEDORES[[#This Row],[descuento sobre subtotal]]-PROVEEDORES[[#This Row],[Descuento sobre subtotal $2]]-PROVEEDORES[[#This Row],[Rete Fuente $]]</f>
        <v>1597368</v>
      </c>
      <c r="S223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1" s="63">
        <f ca="1">IF(PROVEEDORES[[#This Row],[FECHA DE PAGO]]=0,TODAY()-PROVEEDORES[[#This Row],[FECHA DE FACTURACIÓN]]-PROVEEDORES[[#This Row],[PLAZO Días]],0)</f>
        <v>0</v>
      </c>
      <c r="U2231" s="104">
        <f>+VLOOKUP(PROVEEDORES[[#This Row],[PROVEEDOR]],Terceros!$A:$D,4,FALSE)</f>
        <v>0</v>
      </c>
      <c r="V2231" s="105">
        <f>+YEAR(PROVEEDORES[[#This Row],[FECHA DE FACTURACIÓN]])</f>
        <v>2023</v>
      </c>
      <c r="W2231" s="105">
        <f>+MATCH(PROVEEDORES[[#This Row],[año facturado]],Retenciones!$1:$1,0)</f>
        <v>6</v>
      </c>
      <c r="X2231" s="106">
        <f>+VLOOKUP(PROVEEDORES[[#This Row],[ID RETENCION]],Retenciones!$A$1:$O$25,PROVEEDORES[[#This Row],[indicador de columna]],FALSE)</f>
        <v>0</v>
      </c>
      <c r="Y2231" s="107">
        <f>+VLOOKUP(PROVEEDORES[[#This Row],[ID RETENCION]],Retenciones!$A$1:$O$25,2,FALSE)</f>
        <v>0</v>
      </c>
      <c r="Z2231" s="116" t="b">
        <f>OR(COUNTIF(PROVEEDORES[[#This Row],[PROVEEDOR]],"*"&amp;'Palabra no opera'!$A$2&amp;"*"))</f>
        <v>0</v>
      </c>
    </row>
    <row r="2232" spans="1:26" ht="22.35" customHeight="1" x14ac:dyDescent="0.3">
      <c r="A2232" s="67" t="str">
        <f>+IF(PROVEEDORES[[#This Row],[FECHA DE PAGO]]=PROVEEDORES[[#This Row],[FECHA DE FACTURACIÓN]],"DE CONTADO","CRÉDITO")</f>
        <v>CRÉDITO</v>
      </c>
      <c r="B2232" s="38" t="str">
        <f>+IF((PROVEEDORES[[#This Row],[FECHA DE PAGO]]-PROVEEDORES[[#This Row],[FECHA DE FACTURACIÓN]])&gt;PROVEEDORES[[#This Row],[PLAZO Días]],"PAGO VENCIDO")</f>
        <v>PAGO VENCIDO</v>
      </c>
      <c r="C2232" s="20">
        <f>+VLOOKUP(PROVEEDORES[[#This Row],[PROVEEDOR]],TERCEROS_INFO[#All],2,FALSE)</f>
        <v>45</v>
      </c>
      <c r="D2232" s="25">
        <f>+SUMIFS(PROVEEDORES[Total],PROVEEDORES[PROVEEDOR],PROVEEDORES[[#This Row],[PROVEEDOR]],PROVEEDORES[FECHA DE PAGO],"")</f>
        <v>8072960</v>
      </c>
      <c r="E2232" s="25"/>
      <c r="F223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32" s="68">
        <v>45272</v>
      </c>
      <c r="H2232" s="26" t="s">
        <v>10</v>
      </c>
      <c r="I2232" s="68">
        <v>45223</v>
      </c>
      <c r="J2232" s="35" t="s">
        <v>2088</v>
      </c>
      <c r="K2232" s="21">
        <v>4200000</v>
      </c>
      <c r="L2232" s="21"/>
      <c r="M2232" s="22">
        <f>(PROVEEDORES[[#This Row],[SUBTOTAL]]-PROVEEDORES[[#This Row],[descuento sobre subtotal]])*VLOOKUP(PROVEEDORES[[#This Row],[PROVEEDOR]],TERCEROS_INFO[#All],3,FALSE)</f>
        <v>798000</v>
      </c>
      <c r="N2232" s="23"/>
      <c r="O2232" s="22">
        <f>+PROVEEDORES[[#This Row],[Descuento sobre subtotal %]]*(PROVEEDORES[[#This Row],[SUBTOTAL]]-PROVEEDORES[[#This Row],[descuento sobre subtotal]])</f>
        <v>0</v>
      </c>
      <c r="P2232" s="74">
        <f>+IF(PROVEEDORES[[#This Row],[SUBTOTAL]]&lt;PROVEEDORES[[#This Row],[base retencion]],0,PROVEEDORES[[#This Row],[retención aplicada]])</f>
        <v>0</v>
      </c>
      <c r="Q2232" s="22">
        <f>+PROVEEDORES[[#This Row],[Rete Fuente %]]*(PROVEEDORES[[#This Row],[SUBTOTAL]]-PROVEEDORES[[#This Row],[descuento sobre subtotal]])</f>
        <v>0</v>
      </c>
      <c r="R2232" s="21">
        <f>+PROVEEDORES[[#This Row],[SUBTOTAL]]+PROVEEDORES[[#This Row],[IVA 19%]]-PROVEEDORES[[#This Row],[descuento sobre subtotal]]-PROVEEDORES[[#This Row],[Descuento sobre subtotal $2]]-PROVEEDORES[[#This Row],[Rete Fuente $]]</f>
        <v>4998000</v>
      </c>
      <c r="S223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2" s="63">
        <f ca="1">IF(PROVEEDORES[[#This Row],[FECHA DE PAGO]]=0,TODAY()-PROVEEDORES[[#This Row],[FECHA DE FACTURACIÓN]]-PROVEEDORES[[#This Row],[PLAZO Días]],0)</f>
        <v>0</v>
      </c>
      <c r="U2232" s="104">
        <f>+VLOOKUP(PROVEEDORES[[#This Row],[PROVEEDOR]],Terceros!$A:$D,4,FALSE)</f>
        <v>0</v>
      </c>
      <c r="V2232" s="105">
        <f>+YEAR(PROVEEDORES[[#This Row],[FECHA DE FACTURACIÓN]])</f>
        <v>2023</v>
      </c>
      <c r="W2232" s="105">
        <f>+MATCH(PROVEEDORES[[#This Row],[año facturado]],Retenciones!$1:$1,0)</f>
        <v>6</v>
      </c>
      <c r="X2232" s="106">
        <f>+VLOOKUP(PROVEEDORES[[#This Row],[ID RETENCION]],Retenciones!$A$1:$O$25,PROVEEDORES[[#This Row],[indicador de columna]],FALSE)</f>
        <v>0</v>
      </c>
      <c r="Y2232" s="107">
        <f>+VLOOKUP(PROVEEDORES[[#This Row],[ID RETENCION]],Retenciones!$A$1:$O$25,2,FALSE)</f>
        <v>0</v>
      </c>
      <c r="Z2232" s="116" t="b">
        <f>OR(COUNTIF(PROVEEDORES[[#This Row],[PROVEEDOR]],"*"&amp;'Palabra no opera'!$A$2&amp;"*"))</f>
        <v>0</v>
      </c>
    </row>
    <row r="2233" spans="1:26" ht="22.35" customHeight="1" x14ac:dyDescent="0.3">
      <c r="A2233" s="67" t="str">
        <f>+IF(PROVEEDORES[[#This Row],[FECHA DE PAGO]]=PROVEEDORES[[#This Row],[FECHA DE FACTURACIÓN]],"DE CONTADO","CRÉDITO")</f>
        <v>CRÉDITO</v>
      </c>
      <c r="B2233" s="38" t="str">
        <f>+IF((PROVEEDORES[[#This Row],[FECHA DE PAGO]]-PROVEEDORES[[#This Row],[FECHA DE FACTURACIÓN]])&gt;PROVEEDORES[[#This Row],[PLAZO Días]],"PAGO VENCIDO")</f>
        <v>PAGO VENCIDO</v>
      </c>
      <c r="C2233" s="20">
        <f>+VLOOKUP(PROVEEDORES[[#This Row],[PROVEEDOR]],TERCEROS_INFO[#All],2,FALSE)</f>
        <v>30</v>
      </c>
      <c r="D2233" s="25">
        <f>+SUMIFS(PROVEEDORES[Total],PROVEEDORES[PROVEEDOR],PROVEEDORES[[#This Row],[PROVEEDOR]],PROVEEDORES[FECHA DE PAGO],"")</f>
        <v>0</v>
      </c>
      <c r="E2233" s="25"/>
      <c r="F2233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233" s="68">
        <v>45272</v>
      </c>
      <c r="H2233" s="26" t="s">
        <v>964</v>
      </c>
      <c r="I2233" s="68">
        <v>45234</v>
      </c>
      <c r="J2233" s="35" t="s">
        <v>2130</v>
      </c>
      <c r="K2233" s="21">
        <v>4908000</v>
      </c>
      <c r="L2233" s="21"/>
      <c r="M2233" s="22">
        <f>(PROVEEDORES[[#This Row],[SUBTOTAL]]-PROVEEDORES[[#This Row],[descuento sobre subtotal]])*VLOOKUP(PROVEEDORES[[#This Row],[PROVEEDOR]],TERCEROS_INFO[#All],3,FALSE)</f>
        <v>932520</v>
      </c>
      <c r="N2233" s="23"/>
      <c r="O2233" s="22">
        <f>+PROVEEDORES[[#This Row],[Descuento sobre subtotal %]]*(PROVEEDORES[[#This Row],[SUBTOTAL]]-PROVEEDORES[[#This Row],[descuento sobre subtotal]])</f>
        <v>0</v>
      </c>
      <c r="P2233" s="74">
        <f>+IF(PROVEEDORES[[#This Row],[SUBTOTAL]]&lt;PROVEEDORES[[#This Row],[base retencion]],0,PROVEEDORES[[#This Row],[retención aplicada]])</f>
        <v>0</v>
      </c>
      <c r="Q2233" s="22">
        <f>+PROVEEDORES[[#This Row],[Rete Fuente %]]*(PROVEEDORES[[#This Row],[SUBTOTAL]]-PROVEEDORES[[#This Row],[descuento sobre subtotal]])</f>
        <v>0</v>
      </c>
      <c r="R2233" s="21">
        <f>+PROVEEDORES[[#This Row],[SUBTOTAL]]+PROVEEDORES[[#This Row],[IVA 19%]]-PROVEEDORES[[#This Row],[descuento sobre subtotal]]-PROVEEDORES[[#This Row],[Descuento sobre subtotal $2]]-PROVEEDORES[[#This Row],[Rete Fuente $]]</f>
        <v>5840520</v>
      </c>
      <c r="S223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3" s="63">
        <f ca="1">IF(PROVEEDORES[[#This Row],[FECHA DE PAGO]]=0,TODAY()-PROVEEDORES[[#This Row],[FECHA DE FACTURACIÓN]]-PROVEEDORES[[#This Row],[PLAZO Días]],0)</f>
        <v>0</v>
      </c>
      <c r="U2233" s="104">
        <f>+VLOOKUP(PROVEEDORES[[#This Row],[PROVEEDOR]],Terceros!$A:$D,4,FALSE)</f>
        <v>0</v>
      </c>
      <c r="V2233" s="105">
        <f>+YEAR(PROVEEDORES[[#This Row],[FECHA DE FACTURACIÓN]])</f>
        <v>2023</v>
      </c>
      <c r="W2233" s="105">
        <f>+MATCH(PROVEEDORES[[#This Row],[año facturado]],Retenciones!$1:$1,0)</f>
        <v>6</v>
      </c>
      <c r="X2233" s="106">
        <f>+VLOOKUP(PROVEEDORES[[#This Row],[ID RETENCION]],Retenciones!$A$1:$O$25,PROVEEDORES[[#This Row],[indicador de columna]],FALSE)</f>
        <v>0</v>
      </c>
      <c r="Y2233" s="107">
        <f>+VLOOKUP(PROVEEDORES[[#This Row],[ID RETENCION]],Retenciones!$A$1:$O$25,2,FALSE)</f>
        <v>0</v>
      </c>
      <c r="Z2233" s="116" t="b">
        <f>OR(COUNTIF(PROVEEDORES[[#This Row],[PROVEEDOR]],"*"&amp;'Palabra no opera'!$A$2&amp;"*"))</f>
        <v>0</v>
      </c>
    </row>
    <row r="2234" spans="1:26" ht="22.35" customHeight="1" x14ac:dyDescent="0.3">
      <c r="A2234" s="67" t="str">
        <f>+IF(PROVEEDORES[[#This Row],[FECHA DE PAGO]]=PROVEEDORES[[#This Row],[FECHA DE FACTURACIÓN]],"DE CONTADO","CRÉDITO")</f>
        <v>CRÉDITO</v>
      </c>
      <c r="B2234" s="38" t="str">
        <f>+IF((PROVEEDORES[[#This Row],[FECHA DE PAGO]]-PROVEEDORES[[#This Row],[FECHA DE FACTURACIÓN]])&gt;PROVEEDORES[[#This Row],[PLAZO Días]],"PAGO VENCIDO")</f>
        <v>PAGO VENCIDO</v>
      </c>
      <c r="C2234" s="20">
        <f>+VLOOKUP(PROVEEDORES[[#This Row],[PROVEEDOR]],TERCEROS_INFO[#All],2,FALSE)</f>
        <v>30</v>
      </c>
      <c r="D2234" s="25">
        <f>+SUMIFS(PROVEEDORES[Total],PROVEEDORES[PROVEEDOR],PROVEEDORES[[#This Row],[PROVEEDOR]],PROVEEDORES[FECHA DE PAGO],"")</f>
        <v>18444236.894999996</v>
      </c>
      <c r="E2234" s="25"/>
      <c r="F223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234" s="68">
        <v>45272</v>
      </c>
      <c r="H2234" s="26" t="s">
        <v>11</v>
      </c>
      <c r="I2234" s="68">
        <v>45238</v>
      </c>
      <c r="J2234" s="35" t="s">
        <v>2141</v>
      </c>
      <c r="K2234" s="21">
        <v>3105888</v>
      </c>
      <c r="L2234" s="21"/>
      <c r="M2234" s="22">
        <f>(PROVEEDORES[[#This Row],[SUBTOTAL]]-PROVEEDORES[[#This Row],[descuento sobre subtotal]])*VLOOKUP(PROVEEDORES[[#This Row],[PROVEEDOR]],TERCEROS_INFO[#All],3,FALSE)</f>
        <v>590118.72</v>
      </c>
      <c r="N2234" s="23"/>
      <c r="O2234" s="22">
        <f>+PROVEEDORES[[#This Row],[Descuento sobre subtotal %]]*(PROVEEDORES[[#This Row],[SUBTOTAL]]-PROVEEDORES[[#This Row],[descuento sobre subtotal]])</f>
        <v>0</v>
      </c>
      <c r="P2234" s="74">
        <f>+IF(PROVEEDORES[[#This Row],[SUBTOTAL]]&lt;PROVEEDORES[[#This Row],[base retencion]],0,PROVEEDORES[[#This Row],[retención aplicada]])</f>
        <v>2.5000000000000001E-2</v>
      </c>
      <c r="Q2234" s="22">
        <f>+PROVEEDORES[[#This Row],[Rete Fuente %]]*(PROVEEDORES[[#This Row],[SUBTOTAL]]-PROVEEDORES[[#This Row],[descuento sobre subtotal]])</f>
        <v>77647.199999999997</v>
      </c>
      <c r="R2234" s="21">
        <f>+PROVEEDORES[[#This Row],[SUBTOTAL]]+PROVEEDORES[[#This Row],[IVA 19%]]-PROVEEDORES[[#This Row],[descuento sobre subtotal]]-PROVEEDORES[[#This Row],[Descuento sobre subtotal $2]]-PROVEEDORES[[#This Row],[Rete Fuente $]]</f>
        <v>3618359.5199999996</v>
      </c>
      <c r="S223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4" s="63">
        <f ca="1">IF(PROVEEDORES[[#This Row],[FECHA DE PAGO]]=0,TODAY()-PROVEEDORES[[#This Row],[FECHA DE FACTURACIÓN]]-PROVEEDORES[[#This Row],[PLAZO Días]],0)</f>
        <v>0</v>
      </c>
      <c r="U2234" s="104" t="str">
        <f>+VLOOKUP(PROVEEDORES[[#This Row],[PROVEEDOR]],Terceros!$A:$D,4,FALSE)</f>
        <v>2,5% con base</v>
      </c>
      <c r="V2234" s="105">
        <f>+YEAR(PROVEEDORES[[#This Row],[FECHA DE FACTURACIÓN]])</f>
        <v>2023</v>
      </c>
      <c r="W2234" s="105">
        <f>+MATCH(PROVEEDORES[[#This Row],[año facturado]],Retenciones!$1:$1,0)</f>
        <v>6</v>
      </c>
      <c r="X2234" s="106">
        <f>+VLOOKUP(PROVEEDORES[[#This Row],[ID RETENCION]],Retenciones!$A$1:$O$25,PROVEEDORES[[#This Row],[indicador de columna]],FALSE)</f>
        <v>1145000</v>
      </c>
      <c r="Y2234" s="107">
        <f>+VLOOKUP(PROVEEDORES[[#This Row],[ID RETENCION]],Retenciones!$A$1:$O$25,2,FALSE)</f>
        <v>2.5000000000000001E-2</v>
      </c>
      <c r="Z2234" s="116" t="b">
        <f>OR(COUNTIF(PROVEEDORES[[#This Row],[PROVEEDOR]],"*"&amp;'Palabra no opera'!$A$2&amp;"*"))</f>
        <v>0</v>
      </c>
    </row>
    <row r="2235" spans="1:26" ht="22.35" customHeight="1" x14ac:dyDescent="0.3">
      <c r="A2235" s="67" t="str">
        <f>+IF(PROVEEDORES[[#This Row],[FECHA DE PAGO]]=PROVEEDORES[[#This Row],[FECHA DE FACTURACIÓN]],"DE CONTADO","CRÉDITO")</f>
        <v>DE CONTADO</v>
      </c>
      <c r="B2235" s="38" t="b">
        <f>+IF((PROVEEDORES[[#This Row],[FECHA DE PAGO]]-PROVEEDORES[[#This Row],[FECHA DE FACTURACIÓN]])&gt;PROVEEDORES[[#This Row],[PLAZO Días]],"PAGO VENCIDO")</f>
        <v>0</v>
      </c>
      <c r="C2235" s="20">
        <f>+VLOOKUP(PROVEEDORES[[#This Row],[PROVEEDOR]],TERCEROS_INFO[#All],2,FALSE)</f>
        <v>30</v>
      </c>
      <c r="D2235" s="25">
        <f>+SUMIFS(PROVEEDORES[Total],PROVEEDORES[PROVEEDOR],PROVEEDORES[[#This Row],[PROVEEDOR]],PROVEEDORES[FECHA DE PAGO],"")</f>
        <v>27189617.395</v>
      </c>
      <c r="E2235" s="25"/>
      <c r="F2235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235" s="68">
        <v>45272</v>
      </c>
      <c r="H2235" s="26" t="s">
        <v>77</v>
      </c>
      <c r="I2235" s="68">
        <v>45272</v>
      </c>
      <c r="J2235" s="35" t="s">
        <v>2278</v>
      </c>
      <c r="K2235" s="21">
        <v>-10084034</v>
      </c>
      <c r="L2235" s="21"/>
      <c r="M2235" s="22">
        <f>(PROVEEDORES[[#This Row],[SUBTOTAL]]-PROVEEDORES[[#This Row],[descuento sobre subtotal]])*VLOOKUP(PROVEEDORES[[#This Row],[PROVEEDOR]],TERCEROS_INFO[#All],3,FALSE)</f>
        <v>-1915966.46</v>
      </c>
      <c r="N2235" s="23"/>
      <c r="O2235" s="22">
        <f>+PROVEEDORES[[#This Row],[Descuento sobre subtotal %]]*(PROVEEDORES[[#This Row],[SUBTOTAL]]-PROVEEDORES[[#This Row],[descuento sobre subtotal]])</f>
        <v>0</v>
      </c>
      <c r="P2235" s="74">
        <v>0</v>
      </c>
      <c r="Q2235" s="22"/>
      <c r="R2235" s="21">
        <f>+PROVEEDORES[[#This Row],[SUBTOTAL]]+PROVEEDORES[[#This Row],[IVA 19%]]-PROVEEDORES[[#This Row],[descuento sobre subtotal]]-PROVEEDORES[[#This Row],[Descuento sobre subtotal $2]]-PROVEEDORES[[#This Row],[Rete Fuente $]]</f>
        <v>-12000000.460000001</v>
      </c>
      <c r="S223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5" s="63">
        <f ca="1">IF(PROVEEDORES[[#This Row],[FECHA DE PAGO]]=0,TODAY()-PROVEEDORES[[#This Row],[FECHA DE FACTURACIÓN]]-PROVEEDORES[[#This Row],[PLAZO Días]],0)</f>
        <v>0</v>
      </c>
      <c r="U2235" s="104" t="str">
        <f>+VLOOKUP(PROVEEDORES[[#This Row],[PROVEEDOR]],Terceros!$A:$D,4,FALSE)</f>
        <v>2,5% con base</v>
      </c>
      <c r="V2235" s="105">
        <f>+YEAR(PROVEEDORES[[#This Row],[FECHA DE FACTURACIÓN]])</f>
        <v>2023</v>
      </c>
      <c r="W2235" s="105">
        <f>+MATCH(PROVEEDORES[[#This Row],[año facturado]],Retenciones!$1:$1,0)</f>
        <v>6</v>
      </c>
      <c r="X2235" s="106">
        <f>+VLOOKUP(PROVEEDORES[[#This Row],[ID RETENCION]],Retenciones!$A$1:$O$25,PROVEEDORES[[#This Row],[indicador de columna]],FALSE)</f>
        <v>1145000</v>
      </c>
      <c r="Y2235" s="107">
        <f>+VLOOKUP(PROVEEDORES[[#This Row],[ID RETENCION]],Retenciones!$A$1:$O$25,2,FALSE)</f>
        <v>2.5000000000000001E-2</v>
      </c>
      <c r="Z2235" s="116" t="b">
        <f>OR(COUNTIF(PROVEEDORES[[#This Row],[PROVEEDOR]],"*"&amp;'Palabra no opera'!$A$2&amp;"*"))</f>
        <v>0</v>
      </c>
    </row>
    <row r="2236" spans="1:26" ht="22.35" customHeight="1" x14ac:dyDescent="0.3">
      <c r="A2236" s="67" t="str">
        <f>+IF(PROVEEDORES[[#This Row],[FECHA DE PAGO]]=PROVEEDORES[[#This Row],[FECHA DE FACTURACIÓN]],"DE CONTADO","CRÉDITO")</f>
        <v>CRÉDITO</v>
      </c>
      <c r="B2236" s="38" t="str">
        <f>+IF((PROVEEDORES[[#This Row],[FECHA DE PAGO]]-PROVEEDORES[[#This Row],[FECHA DE FACTURACIÓN]])&gt;PROVEEDORES[[#This Row],[PLAZO Días]],"PAGO VENCIDO")</f>
        <v>PAGO VENCIDO</v>
      </c>
      <c r="C2236" s="20">
        <f>+VLOOKUP(PROVEEDORES[[#This Row],[PROVEEDOR]],TERCEROS_INFO[#All],2,FALSE)</f>
        <v>30</v>
      </c>
      <c r="D2236" s="25">
        <f>+SUMIFS(PROVEEDORES[Total],PROVEEDORES[PROVEEDOR],PROVEEDORES[[#This Row],[PROVEEDOR]],PROVEEDORES[FECHA DE PAGO],"")</f>
        <v>0</v>
      </c>
      <c r="E2236" s="25"/>
      <c r="F2236" s="56" t="str">
        <f>+VLOOKUP(PROVEEDORES[[#This Row],[PROVEEDOR]],
                       Terceros!$A:$F,
                       5,
                       FALSE)</f>
        <v/>
      </c>
      <c r="G2236" s="68">
        <v>45273</v>
      </c>
      <c r="H2236" s="26" t="s">
        <v>1403</v>
      </c>
      <c r="I2236" s="68">
        <v>45194</v>
      </c>
      <c r="J2236" s="35">
        <v>70</v>
      </c>
      <c r="K2236" s="21">
        <v>65000</v>
      </c>
      <c r="L2236" s="21"/>
      <c r="M2236" s="22">
        <f>(PROVEEDORES[[#This Row],[SUBTOTAL]]-PROVEEDORES[[#This Row],[descuento sobre subtotal]])*VLOOKUP(PROVEEDORES[[#This Row],[PROVEEDOR]],TERCEROS_INFO[#All],3,FALSE)</f>
        <v>0</v>
      </c>
      <c r="N2236" s="23"/>
      <c r="O2236" s="22">
        <f>+PROVEEDORES[[#This Row],[Descuento sobre subtotal %]]*(PROVEEDORES[[#This Row],[SUBTOTAL]]-PROVEEDORES[[#This Row],[descuento sobre subtotal]])</f>
        <v>0</v>
      </c>
      <c r="P2236" s="74">
        <f>+IF(PROVEEDORES[[#This Row],[SUBTOTAL]]&lt;PROVEEDORES[[#This Row],[base retencion]],0,PROVEEDORES[[#This Row],[retención aplicada]])</f>
        <v>0</v>
      </c>
      <c r="Q2236" s="22">
        <f>+PROVEEDORES[[#This Row],[Rete Fuente %]]*(PROVEEDORES[[#This Row],[SUBTOTAL]]-PROVEEDORES[[#This Row],[descuento sobre subtotal]])</f>
        <v>0</v>
      </c>
      <c r="R2236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223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6" s="63">
        <f ca="1">IF(PROVEEDORES[[#This Row],[FECHA DE PAGO]]=0,TODAY()-PROVEEDORES[[#This Row],[FECHA DE FACTURACIÓN]]-PROVEEDORES[[#This Row],[PLAZO Días]],0)</f>
        <v>0</v>
      </c>
      <c r="U2236" s="104">
        <f>+VLOOKUP(PROVEEDORES[[#This Row],[PROVEEDOR]],Terceros!$A:$D,4,FALSE)</f>
        <v>0</v>
      </c>
      <c r="V2236" s="105">
        <f>+YEAR(PROVEEDORES[[#This Row],[FECHA DE FACTURACIÓN]])</f>
        <v>2023</v>
      </c>
      <c r="W2236" s="105">
        <f>+MATCH(PROVEEDORES[[#This Row],[año facturado]],Retenciones!$1:$1,0)</f>
        <v>6</v>
      </c>
      <c r="X2236" s="106">
        <f>+VLOOKUP(PROVEEDORES[[#This Row],[ID RETENCION]],Retenciones!$A$1:$O$25,PROVEEDORES[[#This Row],[indicador de columna]],FALSE)</f>
        <v>0</v>
      </c>
      <c r="Y2236" s="107">
        <f>+VLOOKUP(PROVEEDORES[[#This Row],[ID RETENCION]],Retenciones!$A$1:$O$25,2,FALSE)</f>
        <v>0</v>
      </c>
      <c r="Z2236" s="116" t="b">
        <f>OR(COUNTIF(PROVEEDORES[[#This Row],[PROVEEDOR]],"*"&amp;'Palabra no opera'!$A$2&amp;"*"))</f>
        <v>0</v>
      </c>
    </row>
    <row r="2237" spans="1:26" ht="22.35" customHeight="1" x14ac:dyDescent="0.3">
      <c r="A2237" s="381" t="str">
        <f>+IF(PROVEEDORES[[#This Row],[FECHA DE PAGO]]=PROVEEDORES[[#This Row],[FECHA DE FACTURACIÓN]],"DE CONTADO","CRÉDITO")</f>
        <v>CRÉDITO</v>
      </c>
      <c r="B2237" s="38" t="str">
        <f>+IF((PROVEEDORES[[#This Row],[FECHA DE PAGO]]-PROVEEDORES[[#This Row],[FECHA DE FACTURACIÓN]])&gt;PROVEEDORES[[#This Row],[PLAZO Días]],"PAGO VENCIDO")</f>
        <v>PAGO VENCIDO</v>
      </c>
      <c r="C2237" s="20">
        <f>+VLOOKUP(PROVEEDORES[[#This Row],[PROVEEDOR]],TERCEROS_INFO[#All],2,FALSE)</f>
        <v>30</v>
      </c>
      <c r="D2237" s="25">
        <f>+SUMIFS(PROVEEDORES[Total],PROVEEDORES[PROVEEDOR],PROVEEDORES[[#This Row],[PROVEEDOR]],PROVEEDORES[FECHA DE PAGO],"")</f>
        <v>0</v>
      </c>
      <c r="E2237" s="25"/>
      <c r="F2237" s="56" t="str">
        <f>+VLOOKUP(PROVEEDORES[[#This Row],[PROVEEDOR]],
                       Terceros!$A:$F,
                       5,
                       FALSE)</f>
        <v/>
      </c>
      <c r="G2237" s="68">
        <v>45273</v>
      </c>
      <c r="H2237" s="26" t="s">
        <v>1403</v>
      </c>
      <c r="I2237" s="68">
        <v>45231</v>
      </c>
      <c r="J2237" s="35">
        <v>69</v>
      </c>
      <c r="K2237" s="21">
        <v>78000</v>
      </c>
      <c r="L2237" s="21"/>
      <c r="M2237" s="22">
        <f>(PROVEEDORES[[#This Row],[SUBTOTAL]]-PROVEEDORES[[#This Row],[descuento sobre subtotal]])*VLOOKUP(PROVEEDORES[[#This Row],[PROVEEDOR]],TERCEROS_INFO[#All],3,FALSE)</f>
        <v>0</v>
      </c>
      <c r="N2237" s="23"/>
      <c r="O2237" s="22">
        <f>+PROVEEDORES[[#This Row],[Descuento sobre subtotal %]]*(PROVEEDORES[[#This Row],[SUBTOTAL]]-PROVEEDORES[[#This Row],[descuento sobre subtotal]])</f>
        <v>0</v>
      </c>
      <c r="P2237" s="74">
        <f>+IF(PROVEEDORES[[#This Row],[SUBTOTAL]]&lt;PROVEEDORES[[#This Row],[base retencion]],0,PROVEEDORES[[#This Row],[retención aplicada]])</f>
        <v>0</v>
      </c>
      <c r="Q2237" s="22">
        <f>+PROVEEDORES[[#This Row],[Rete Fuente %]]*(PROVEEDORES[[#This Row],[SUBTOTAL]]-PROVEEDORES[[#This Row],[descuento sobre subtotal]])</f>
        <v>0</v>
      </c>
      <c r="R2237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2237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7" s="63">
        <f ca="1">IF(PROVEEDORES[[#This Row],[FECHA DE PAGO]]=0,TODAY()-PROVEEDORES[[#This Row],[FECHA DE FACTURACIÓN]]-PROVEEDORES[[#This Row],[PLAZO Días]],0)</f>
        <v>0</v>
      </c>
      <c r="U2237" s="104">
        <f>+VLOOKUP(PROVEEDORES[[#This Row],[PROVEEDOR]],Terceros!$A:$D,4,FALSE)</f>
        <v>0</v>
      </c>
      <c r="V2237" s="105">
        <f>+YEAR(PROVEEDORES[[#This Row],[FECHA DE FACTURACIÓN]])</f>
        <v>2023</v>
      </c>
      <c r="W2237" s="105">
        <f>+MATCH(PROVEEDORES[[#This Row],[año facturado]],Retenciones!$1:$1,0)</f>
        <v>6</v>
      </c>
      <c r="X2237" s="106">
        <f>+VLOOKUP(PROVEEDORES[[#This Row],[ID RETENCION]],Retenciones!$A$1:$O$25,PROVEEDORES[[#This Row],[indicador de columna]],FALSE)</f>
        <v>0</v>
      </c>
      <c r="Y2237" s="107">
        <f>+VLOOKUP(PROVEEDORES[[#This Row],[ID RETENCION]],Retenciones!$A$1:$O$25,2,FALSE)</f>
        <v>0</v>
      </c>
      <c r="Z2237" s="116" t="b">
        <f>OR(COUNTIF(PROVEEDORES[[#This Row],[PROVEEDOR]],"*"&amp;'Palabra no opera'!$A$2&amp;"*"))</f>
        <v>0</v>
      </c>
    </row>
    <row r="2238" spans="1:26" ht="22.35" customHeight="1" x14ac:dyDescent="0.3">
      <c r="A2238" s="381" t="str">
        <f>+IF(PROVEEDORES[[#This Row],[FECHA DE PAGO]]=PROVEEDORES[[#This Row],[FECHA DE FACTURACIÓN]],"DE CONTADO","CRÉDITO")</f>
        <v>CRÉDITO</v>
      </c>
      <c r="B2238" s="38" t="str">
        <f>+IF((PROVEEDORES[[#This Row],[FECHA DE PAGO]]-PROVEEDORES[[#This Row],[FECHA DE FACTURACIÓN]])&gt;PROVEEDORES[[#This Row],[PLAZO Días]],"PAGO VENCIDO")</f>
        <v>PAGO VENCIDO</v>
      </c>
      <c r="C2238" s="20">
        <f>+VLOOKUP(PROVEEDORES[[#This Row],[PROVEEDOR]],TERCEROS_INFO[#All],2,FALSE)</f>
        <v>30</v>
      </c>
      <c r="D2238" s="25">
        <f>+SUMIFS(PROVEEDORES[Total],PROVEEDORES[PROVEEDOR],PROVEEDORES[[#This Row],[PROVEEDOR]],PROVEEDORES[FECHA DE PAGO],"")</f>
        <v>2950000</v>
      </c>
      <c r="E2238" s="25"/>
      <c r="F2238" s="56">
        <f>+VLOOKUP(PROVEEDORES[[#This Row],[PROVEEDOR]],
                       Terceros!$A:$F,
                       5,
                       FALSE)</f>
        <v>0</v>
      </c>
      <c r="G2238" s="68">
        <v>45273</v>
      </c>
      <c r="H2238" s="26" t="s">
        <v>1152</v>
      </c>
      <c r="I2238" s="68">
        <v>45240</v>
      </c>
      <c r="J2238" s="35" t="s">
        <v>2120</v>
      </c>
      <c r="K2238" s="21">
        <v>1991500</v>
      </c>
      <c r="L2238" s="21"/>
      <c r="M2238" s="22">
        <f>(PROVEEDORES[[#This Row],[SUBTOTAL]]-PROVEEDORES[[#This Row],[descuento sobre subtotal]])*VLOOKUP(PROVEEDORES[[#This Row],[PROVEEDOR]],TERCEROS_INFO[#All],3,FALSE)</f>
        <v>0</v>
      </c>
      <c r="N2238" s="23"/>
      <c r="O2238" s="22">
        <f>+PROVEEDORES[[#This Row],[Descuento sobre subtotal %]]*(PROVEEDORES[[#This Row],[SUBTOTAL]]-PROVEEDORES[[#This Row],[descuento sobre subtotal]])</f>
        <v>0</v>
      </c>
      <c r="P2238" s="74">
        <f>+IF(PROVEEDORES[[#This Row],[SUBTOTAL]]&lt;PROVEEDORES[[#This Row],[base retencion]],0,PROVEEDORES[[#This Row],[retención aplicada]])</f>
        <v>0</v>
      </c>
      <c r="Q2238" s="22">
        <f>+PROVEEDORES[[#This Row],[Rete Fuente %]]*(PROVEEDORES[[#This Row],[SUBTOTAL]]-PROVEEDORES[[#This Row],[descuento sobre subtotal]])</f>
        <v>0</v>
      </c>
      <c r="R2238" s="21">
        <f>+PROVEEDORES[[#This Row],[SUBTOTAL]]+PROVEEDORES[[#This Row],[IVA 19%]]-PROVEEDORES[[#This Row],[descuento sobre subtotal]]-PROVEEDORES[[#This Row],[Descuento sobre subtotal $2]]-PROVEEDORES[[#This Row],[Rete Fuente $]]</f>
        <v>1991500</v>
      </c>
      <c r="S2238" s="38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8" s="63">
        <f ca="1">IF(PROVEEDORES[[#This Row],[FECHA DE PAGO]]=0,TODAY()-PROVEEDORES[[#This Row],[FECHA DE FACTURACIÓN]]-PROVEEDORES[[#This Row],[PLAZO Días]],0)</f>
        <v>0</v>
      </c>
      <c r="U2238" s="104">
        <f>+VLOOKUP(PROVEEDORES[[#This Row],[PROVEEDOR]],Terceros!$A:$D,4,FALSE)</f>
        <v>0</v>
      </c>
      <c r="V2238" s="105">
        <f>+YEAR(PROVEEDORES[[#This Row],[FECHA DE FACTURACIÓN]])</f>
        <v>2023</v>
      </c>
      <c r="W2238" s="105">
        <f>+MATCH(PROVEEDORES[[#This Row],[año facturado]],Retenciones!$1:$1,0)</f>
        <v>6</v>
      </c>
      <c r="X2238" s="106">
        <f>+VLOOKUP(PROVEEDORES[[#This Row],[ID RETENCION]],Retenciones!$A$1:$O$25,PROVEEDORES[[#This Row],[indicador de columna]],FALSE)</f>
        <v>0</v>
      </c>
      <c r="Y2238" s="107">
        <f>+VLOOKUP(PROVEEDORES[[#This Row],[ID RETENCION]],Retenciones!$A$1:$O$25,2,FALSE)</f>
        <v>0</v>
      </c>
      <c r="Z2238" s="116" t="b">
        <f>OR(COUNTIF(PROVEEDORES[[#This Row],[PROVEEDOR]],"*"&amp;'Palabra no opera'!$A$2&amp;"*"))</f>
        <v>0</v>
      </c>
    </row>
    <row r="2239" spans="1:26" ht="22.35" customHeight="1" x14ac:dyDescent="0.3">
      <c r="A2239" s="67" t="str">
        <f>+IF(PROVEEDORES[[#This Row],[FECHA DE PAGO]]=PROVEEDORES[[#This Row],[FECHA DE FACTURACIÓN]],"DE CONTADO","CRÉDITO")</f>
        <v>CRÉDITO</v>
      </c>
      <c r="B2239" s="38" t="b">
        <f>+IF((PROVEEDORES[[#This Row],[FECHA DE PAGO]]-PROVEEDORES[[#This Row],[FECHA DE FACTURACIÓN]])&gt;PROVEEDORES[[#This Row],[PLAZO Días]],"PAGO VENCIDO")</f>
        <v>0</v>
      </c>
      <c r="C2239" s="20">
        <f>+VLOOKUP(PROVEEDORES[[#This Row],[PROVEEDOR]],TERCEROS_INFO[#All],2,FALSE)</f>
        <v>30</v>
      </c>
      <c r="D2239" s="25">
        <f>+SUMIFS(PROVEEDORES[Total],PROVEEDORES[PROVEEDOR],PROVEEDORES[[#This Row],[PROVEEDOR]],PROVEEDORES[FECHA DE PAGO],"")</f>
        <v>2950000</v>
      </c>
      <c r="E2239" s="25"/>
      <c r="F2239" s="56">
        <f>+VLOOKUP(PROVEEDORES[[#This Row],[PROVEEDOR]],
                       Terceros!$A:$F,
                       5,
                       FALSE)</f>
        <v>0</v>
      </c>
      <c r="G2239" s="68">
        <v>45273</v>
      </c>
      <c r="H2239" s="26" t="s">
        <v>1152</v>
      </c>
      <c r="I2239" s="68">
        <v>45252</v>
      </c>
      <c r="J2239" s="35" t="s">
        <v>2188</v>
      </c>
      <c r="K2239" s="21">
        <v>2250000</v>
      </c>
      <c r="L2239" s="21"/>
      <c r="M2239" s="22">
        <f>(PROVEEDORES[[#This Row],[SUBTOTAL]]-PROVEEDORES[[#This Row],[descuento sobre subtotal]])*VLOOKUP(PROVEEDORES[[#This Row],[PROVEEDOR]],TERCEROS_INFO[#All],3,FALSE)</f>
        <v>0</v>
      </c>
      <c r="N2239" s="23"/>
      <c r="O2239" s="22">
        <f>+PROVEEDORES[[#This Row],[Descuento sobre subtotal %]]*(PROVEEDORES[[#This Row],[SUBTOTAL]]-PROVEEDORES[[#This Row],[descuento sobre subtotal]])</f>
        <v>0</v>
      </c>
      <c r="P2239" s="74">
        <f>+IF(PROVEEDORES[[#This Row],[SUBTOTAL]]&lt;PROVEEDORES[[#This Row],[base retencion]],0,PROVEEDORES[[#This Row],[retención aplicada]])</f>
        <v>0</v>
      </c>
      <c r="Q2239" s="22">
        <f>+PROVEEDORES[[#This Row],[Rete Fuente %]]*(PROVEEDORES[[#This Row],[SUBTOTAL]]-PROVEEDORES[[#This Row],[descuento sobre subtotal]])</f>
        <v>0</v>
      </c>
      <c r="R2239" s="21">
        <f>+PROVEEDORES[[#This Row],[SUBTOTAL]]+PROVEEDORES[[#This Row],[IVA 19%]]-PROVEEDORES[[#This Row],[descuento sobre subtotal]]-PROVEEDORES[[#This Row],[Descuento sobre subtotal $2]]-PROVEEDORES[[#This Row],[Rete Fuente $]]</f>
        <v>2250000</v>
      </c>
      <c r="S223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9" s="63">
        <f ca="1">IF(PROVEEDORES[[#This Row],[FECHA DE PAGO]]=0,TODAY()-PROVEEDORES[[#This Row],[FECHA DE FACTURACIÓN]]-PROVEEDORES[[#This Row],[PLAZO Días]],0)</f>
        <v>0</v>
      </c>
      <c r="U2239" s="104">
        <f>+VLOOKUP(PROVEEDORES[[#This Row],[PROVEEDOR]],Terceros!$A:$D,4,FALSE)</f>
        <v>0</v>
      </c>
      <c r="V2239" s="105">
        <f>+YEAR(PROVEEDORES[[#This Row],[FECHA DE FACTURACIÓN]])</f>
        <v>2023</v>
      </c>
      <c r="W2239" s="105">
        <f>+MATCH(PROVEEDORES[[#This Row],[año facturado]],Retenciones!$1:$1,0)</f>
        <v>6</v>
      </c>
      <c r="X2239" s="106">
        <f>+VLOOKUP(PROVEEDORES[[#This Row],[ID RETENCION]],Retenciones!$A$1:$O$25,PROVEEDORES[[#This Row],[indicador de columna]],FALSE)</f>
        <v>0</v>
      </c>
      <c r="Y2239" s="107">
        <f>+VLOOKUP(PROVEEDORES[[#This Row],[ID RETENCION]],Retenciones!$A$1:$O$25,2,FALSE)</f>
        <v>0</v>
      </c>
      <c r="Z2239" s="116" t="b">
        <f>OR(COUNTIF(PROVEEDORES[[#This Row],[PROVEEDOR]],"*"&amp;'Palabra no opera'!$A$2&amp;"*"))</f>
        <v>0</v>
      </c>
    </row>
    <row r="2240" spans="1:26" ht="22.35" customHeight="1" x14ac:dyDescent="0.3">
      <c r="A2240" s="387" t="str">
        <f>+IF(PROVEEDORES[[#This Row],[FECHA DE PAGO]]=PROVEEDORES[[#This Row],[FECHA DE FACTURACIÓN]],"DE CONTADO","CRÉDITO")</f>
        <v>CRÉDITO</v>
      </c>
      <c r="B2240" s="38" t="b">
        <f>+IF((PROVEEDORES[[#This Row],[FECHA DE PAGO]]-PROVEEDORES[[#This Row],[FECHA DE FACTURACIÓN]])&gt;PROVEEDORES[[#This Row],[PLAZO Días]],"PAGO VENCIDO")</f>
        <v>0</v>
      </c>
      <c r="C2240" s="20">
        <f>+VLOOKUP(PROVEEDORES[[#This Row],[PROVEEDOR]],TERCEROS_INFO[#All],2,FALSE)</f>
        <v>30</v>
      </c>
      <c r="D2240" s="25">
        <f>+SUMIFS(PROVEEDORES[Total],PROVEEDORES[PROVEEDOR],PROVEEDORES[[#This Row],[PROVEEDOR]],PROVEEDORES[FECHA DE PAGO],"")</f>
        <v>0</v>
      </c>
      <c r="E2240" s="25"/>
      <c r="F2240" s="56" t="str">
        <f>+VLOOKUP(PROVEEDORES[[#This Row],[PROVEEDOR]],
                       Terceros!$A:$F,
                       5,
                       FALSE)</f>
        <v/>
      </c>
      <c r="G2240" s="68">
        <v>45273</v>
      </c>
      <c r="H2240" s="26" t="s">
        <v>362</v>
      </c>
      <c r="I2240" s="68">
        <v>45258</v>
      </c>
      <c r="J2240" s="35" t="s">
        <v>2154</v>
      </c>
      <c r="K2240" s="21">
        <v>821850</v>
      </c>
      <c r="L2240" s="21"/>
      <c r="M2240" s="22">
        <f>(PROVEEDORES[[#This Row],[SUBTOTAL]]-PROVEEDORES[[#This Row],[descuento sobre subtotal]])*VLOOKUP(PROVEEDORES[[#This Row],[PROVEEDOR]],TERCEROS_INFO[#All],3,FALSE)</f>
        <v>0</v>
      </c>
      <c r="N2240" s="23"/>
      <c r="O2240" s="22">
        <f>+PROVEEDORES[[#This Row],[Descuento sobre subtotal %]]*(PROVEEDORES[[#This Row],[SUBTOTAL]]-PROVEEDORES[[#This Row],[descuento sobre subtotal]])</f>
        <v>0</v>
      </c>
      <c r="P2240" s="74">
        <f>+IF(PROVEEDORES[[#This Row],[SUBTOTAL]]&lt;PROVEEDORES[[#This Row],[base retencion]],0,PROVEEDORES[[#This Row],[retención aplicada]])</f>
        <v>0</v>
      </c>
      <c r="Q2240" s="22">
        <f>+PROVEEDORES[[#This Row],[Rete Fuente %]]*(PROVEEDORES[[#This Row],[SUBTOTAL]]-PROVEEDORES[[#This Row],[descuento sobre subtotal]])</f>
        <v>0</v>
      </c>
      <c r="R2240" s="21">
        <f>+PROVEEDORES[[#This Row],[SUBTOTAL]]+PROVEEDORES[[#This Row],[IVA 19%]]-PROVEEDORES[[#This Row],[descuento sobre subtotal]]-PROVEEDORES[[#This Row],[Descuento sobre subtotal $2]]-PROVEEDORES[[#This Row],[Rete Fuente $]]</f>
        <v>821850</v>
      </c>
      <c r="S2240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0" s="63">
        <f ca="1">IF(PROVEEDORES[[#This Row],[FECHA DE PAGO]]=0,TODAY()-PROVEEDORES[[#This Row],[FECHA DE FACTURACIÓN]]-PROVEEDORES[[#This Row],[PLAZO Días]],0)</f>
        <v>0</v>
      </c>
      <c r="U2240" s="104">
        <f>+VLOOKUP(PROVEEDORES[[#This Row],[PROVEEDOR]],Terceros!$A:$D,4,FALSE)</f>
        <v>0</v>
      </c>
      <c r="V2240" s="105">
        <f>+YEAR(PROVEEDORES[[#This Row],[FECHA DE FACTURACIÓN]])</f>
        <v>2023</v>
      </c>
      <c r="W2240" s="105">
        <f>+MATCH(PROVEEDORES[[#This Row],[año facturado]],Retenciones!$1:$1,0)</f>
        <v>6</v>
      </c>
      <c r="X2240" s="106">
        <f>+VLOOKUP(PROVEEDORES[[#This Row],[ID RETENCION]],Retenciones!$A$1:$O$25,PROVEEDORES[[#This Row],[indicador de columna]],FALSE)</f>
        <v>0</v>
      </c>
      <c r="Y2240" s="107">
        <f>+VLOOKUP(PROVEEDORES[[#This Row],[ID RETENCION]],Retenciones!$A$1:$O$25,2,FALSE)</f>
        <v>0</v>
      </c>
      <c r="Z2240" s="116" t="b">
        <f>OR(COUNTIF(PROVEEDORES[[#This Row],[PROVEEDOR]],"*"&amp;'Palabra no opera'!$A$2&amp;"*"))</f>
        <v>0</v>
      </c>
    </row>
    <row r="2241" spans="1:26" ht="22.35" customHeight="1" x14ac:dyDescent="0.3">
      <c r="A2241" s="392" t="str">
        <f>+IF(PROVEEDORES[[#This Row],[FECHA DE PAGO]]=PROVEEDORES[[#This Row],[FECHA DE FACTURACIÓN]],"DE CONTADO","CRÉDITO")</f>
        <v>CRÉDITO</v>
      </c>
      <c r="B2241" s="38" t="b">
        <f>+IF((PROVEEDORES[[#This Row],[FECHA DE PAGO]]-PROVEEDORES[[#This Row],[FECHA DE FACTURACIÓN]])&gt;PROVEEDORES[[#This Row],[PLAZO Días]],"PAGO VENCIDO")</f>
        <v>0</v>
      </c>
      <c r="C2241" s="20">
        <f>+VLOOKUP(PROVEEDORES[[#This Row],[PROVEEDOR]],TERCEROS_INFO[#All],2,FALSE)</f>
        <v>30</v>
      </c>
      <c r="D2241" s="25">
        <f>+SUMIFS(PROVEEDORES[Total],PROVEEDORES[PROVEEDOR],PROVEEDORES[[#This Row],[PROVEEDOR]],PROVEEDORES[FECHA DE PAGO],"")</f>
        <v>0</v>
      </c>
      <c r="E2241" s="25"/>
      <c r="F2241" s="56">
        <f>+VLOOKUP(PROVEEDORES[[#This Row],[PROVEEDOR]],
                       Terceros!$A:$F,
                       5,
                       FALSE)</f>
        <v>0</v>
      </c>
      <c r="G2241" s="68">
        <v>45273</v>
      </c>
      <c r="H2241" s="26" t="s">
        <v>262</v>
      </c>
      <c r="I2241" s="68">
        <v>45272</v>
      </c>
      <c r="J2241" s="35" t="s">
        <v>2239</v>
      </c>
      <c r="K2241" s="21">
        <v>1900000</v>
      </c>
      <c r="L2241" s="21"/>
      <c r="M2241" s="22">
        <v>95000</v>
      </c>
      <c r="N2241" s="23"/>
      <c r="O2241" s="22">
        <f>+PROVEEDORES[[#This Row],[Descuento sobre subtotal %]]*(PROVEEDORES[[#This Row],[SUBTOTAL]]-PROVEEDORES[[#This Row],[descuento sobre subtotal]])</f>
        <v>0</v>
      </c>
      <c r="P2241" s="74">
        <f>+IF(PROVEEDORES[[#This Row],[SUBTOTAL]]&lt;PROVEEDORES[[#This Row],[base retencion]],0,PROVEEDORES[[#This Row],[retención aplicada]])</f>
        <v>2.5000000000000001E-2</v>
      </c>
      <c r="Q2241" s="22">
        <f>+PROVEEDORES[[#This Row],[Rete Fuente %]]*(PROVEEDORES[[#This Row],[SUBTOTAL]]-PROVEEDORES[[#This Row],[descuento sobre subtotal]])</f>
        <v>47500</v>
      </c>
      <c r="R2241" s="21">
        <f>+PROVEEDORES[[#This Row],[SUBTOTAL]]+PROVEEDORES[[#This Row],[IVA 19%]]-PROVEEDORES[[#This Row],[descuento sobre subtotal]]-PROVEEDORES[[#This Row],[Descuento sobre subtotal $2]]-PROVEEDORES[[#This Row],[Rete Fuente $]]</f>
        <v>1947500</v>
      </c>
      <c r="S2241" s="3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1" s="63">
        <f ca="1">IF(PROVEEDORES[[#This Row],[FECHA DE PAGO]]=0,TODAY()-PROVEEDORES[[#This Row],[FECHA DE FACTURACIÓN]]-PROVEEDORES[[#This Row],[PLAZO Días]],0)</f>
        <v>0</v>
      </c>
      <c r="U2241" s="104" t="str">
        <f>+VLOOKUP(PROVEEDORES[[#This Row],[PROVEEDOR]],Terceros!$A:$D,4,FALSE)</f>
        <v>2,5% con base</v>
      </c>
      <c r="V2241" s="105">
        <f>+YEAR(PROVEEDORES[[#This Row],[FECHA DE FACTURACIÓN]])</f>
        <v>2023</v>
      </c>
      <c r="W2241" s="105">
        <f>+MATCH(PROVEEDORES[[#This Row],[año facturado]],Retenciones!$1:$1,0)</f>
        <v>6</v>
      </c>
      <c r="X2241" s="106">
        <f>+VLOOKUP(PROVEEDORES[[#This Row],[ID RETENCION]],Retenciones!$A$1:$O$25,PROVEEDORES[[#This Row],[indicador de columna]],FALSE)</f>
        <v>1145000</v>
      </c>
      <c r="Y2241" s="107">
        <f>+VLOOKUP(PROVEEDORES[[#This Row],[ID RETENCION]],Retenciones!$A$1:$O$25,2,FALSE)</f>
        <v>2.5000000000000001E-2</v>
      </c>
      <c r="Z2241" s="116" t="b">
        <f>OR(COUNTIF(PROVEEDORES[[#This Row],[PROVEEDOR]],"*"&amp;'Palabra no opera'!$A$2&amp;"*"))</f>
        <v>0</v>
      </c>
    </row>
    <row r="2242" spans="1:26" ht="22.35" customHeight="1" x14ac:dyDescent="0.3">
      <c r="A2242" s="67" t="str">
        <f>+IF(PROVEEDORES[[#This Row],[FECHA DE PAGO]]=PROVEEDORES[[#This Row],[FECHA DE FACTURACIÓN]],"DE CONTADO","CRÉDITO")</f>
        <v>DE CONTADO</v>
      </c>
      <c r="B2242" s="38" t="b">
        <f>+IF((PROVEEDORES[[#This Row],[FECHA DE PAGO]]-PROVEEDORES[[#This Row],[FECHA DE FACTURACIÓN]])&gt;PROVEEDORES[[#This Row],[PLAZO Días]],"PAGO VENCIDO")</f>
        <v>0</v>
      </c>
      <c r="C2242" s="20">
        <f>+VLOOKUP(PROVEEDORES[[#This Row],[PROVEEDOR]],TERCEROS_INFO[#All],2,FALSE)</f>
        <v>30</v>
      </c>
      <c r="D2242" s="25">
        <f>+SUMIFS(PROVEEDORES[Total],PROVEEDORES[PROVEEDOR],PROVEEDORES[[#This Row],[PROVEEDOR]],PROVEEDORES[FECHA DE PAGO],"")</f>
        <v>0</v>
      </c>
      <c r="E2242" s="25"/>
      <c r="F2242" s="56" t="str">
        <f>+VLOOKUP(PROVEEDORES[[#This Row],[PROVEEDOR]],
                       Terceros!$A:$F,
                       5,
                       FALSE)</f>
        <v/>
      </c>
      <c r="G2242" s="68">
        <v>45273</v>
      </c>
      <c r="H2242" s="26" t="s">
        <v>397</v>
      </c>
      <c r="I2242" s="68">
        <v>45273</v>
      </c>
      <c r="J2242" s="35">
        <v>1312</v>
      </c>
      <c r="K2242" s="21">
        <v>1172300</v>
      </c>
      <c r="L2242" s="21"/>
      <c r="M2242" s="22">
        <f>(PROVEEDORES[[#This Row],[SUBTOTAL]]-PROVEEDORES[[#This Row],[descuento sobre subtotal]])*VLOOKUP(PROVEEDORES[[#This Row],[PROVEEDOR]],TERCEROS_INFO[#All],3,FALSE)</f>
        <v>0</v>
      </c>
      <c r="N2242" s="23"/>
      <c r="O2242" s="22">
        <f>+PROVEEDORES[[#This Row],[Descuento sobre subtotal %]]*(PROVEEDORES[[#This Row],[SUBTOTAL]]-PROVEEDORES[[#This Row],[descuento sobre subtotal]])</f>
        <v>0</v>
      </c>
      <c r="P2242" s="74">
        <f>+IF(PROVEEDORES[[#This Row],[SUBTOTAL]]&lt;PROVEEDORES[[#This Row],[base retencion]],0,PROVEEDORES[[#This Row],[retención aplicada]])</f>
        <v>0</v>
      </c>
      <c r="Q2242" s="22">
        <f>+PROVEEDORES[[#This Row],[Rete Fuente %]]*(PROVEEDORES[[#This Row],[SUBTOTAL]]-PROVEEDORES[[#This Row],[descuento sobre subtotal]])</f>
        <v>0</v>
      </c>
      <c r="R2242" s="21">
        <f>+PROVEEDORES[[#This Row],[SUBTOTAL]]+PROVEEDORES[[#This Row],[IVA 19%]]-PROVEEDORES[[#This Row],[descuento sobre subtotal]]-PROVEEDORES[[#This Row],[Descuento sobre subtotal $2]]-PROVEEDORES[[#This Row],[Rete Fuente $]]</f>
        <v>1172300</v>
      </c>
      <c r="S224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2" s="63">
        <f ca="1">IF(PROVEEDORES[[#This Row],[FECHA DE PAGO]]=0,TODAY()-PROVEEDORES[[#This Row],[FECHA DE FACTURACIÓN]]-PROVEEDORES[[#This Row],[PLAZO Días]],0)</f>
        <v>0</v>
      </c>
      <c r="U2242" s="104">
        <f>+VLOOKUP(PROVEEDORES[[#This Row],[PROVEEDOR]],Terceros!$A:$D,4,FALSE)</f>
        <v>0</v>
      </c>
      <c r="V2242" s="105">
        <f>+YEAR(PROVEEDORES[[#This Row],[FECHA DE FACTURACIÓN]])</f>
        <v>2023</v>
      </c>
      <c r="W2242" s="105">
        <f>+MATCH(PROVEEDORES[[#This Row],[año facturado]],Retenciones!$1:$1,0)</f>
        <v>6</v>
      </c>
      <c r="X2242" s="106">
        <f>+VLOOKUP(PROVEEDORES[[#This Row],[ID RETENCION]],Retenciones!$A$1:$O$25,PROVEEDORES[[#This Row],[indicador de columna]],FALSE)</f>
        <v>0</v>
      </c>
      <c r="Y2242" s="107">
        <f>+VLOOKUP(PROVEEDORES[[#This Row],[ID RETENCION]],Retenciones!$A$1:$O$25,2,FALSE)</f>
        <v>0</v>
      </c>
      <c r="Z2242" s="116" t="b">
        <f>OR(COUNTIF(PROVEEDORES[[#This Row],[PROVEEDOR]],"*"&amp;'Palabra no opera'!$A$2&amp;"*"))</f>
        <v>0</v>
      </c>
    </row>
    <row r="2243" spans="1:26" ht="22.35" customHeight="1" x14ac:dyDescent="0.3">
      <c r="A2243" s="387" t="str">
        <f>+IF(PROVEEDORES[[#This Row],[FECHA DE PAGO]]=PROVEEDORES[[#This Row],[FECHA DE FACTURACIÓN]],"DE CONTADO","CRÉDITO")</f>
        <v>CRÉDITO</v>
      </c>
      <c r="B2243" s="38" t="b">
        <f>+IF((PROVEEDORES[[#This Row],[FECHA DE PAGO]]-PROVEEDORES[[#This Row],[FECHA DE FACTURACIÓN]])&gt;PROVEEDORES[[#This Row],[PLAZO Días]],"PAGO VENCIDO")</f>
        <v>0</v>
      </c>
      <c r="C2243" s="20">
        <f>+VLOOKUP(PROVEEDORES[[#This Row],[PROVEEDOR]],TERCEROS_INFO[#All],2,FALSE)</f>
        <v>30</v>
      </c>
      <c r="D2243" s="25">
        <f>+SUMIFS(PROVEEDORES[Total],PROVEEDORES[PROVEEDOR],PROVEEDORES[[#This Row],[PROVEEDOR]],PROVEEDORES[FECHA DE PAGO],"")</f>
        <v>0</v>
      </c>
      <c r="E2243" s="25"/>
      <c r="F2243" s="56" t="str">
        <f>+VLOOKUP(PROVEEDORES[[#This Row],[PROVEEDOR]],
                       Terceros!$A:$F,
                       5,
                       FALSE)</f>
        <v/>
      </c>
      <c r="G2243" s="68">
        <v>45274</v>
      </c>
      <c r="H2243" s="26" t="s">
        <v>362</v>
      </c>
      <c r="I2243" s="68">
        <v>45253</v>
      </c>
      <c r="J2243" s="35" t="s">
        <v>2153</v>
      </c>
      <c r="K2243" s="21">
        <v>22500</v>
      </c>
      <c r="L2243" s="21"/>
      <c r="M2243" s="22">
        <f>(PROVEEDORES[[#This Row],[SUBTOTAL]]-PROVEEDORES[[#This Row],[descuento sobre subtotal]])*VLOOKUP(PROVEEDORES[[#This Row],[PROVEEDOR]],TERCEROS_INFO[#All],3,FALSE)</f>
        <v>0</v>
      </c>
      <c r="N2243" s="23"/>
      <c r="O2243" s="22">
        <f>+PROVEEDORES[[#This Row],[Descuento sobre subtotal %]]*(PROVEEDORES[[#This Row],[SUBTOTAL]]-PROVEEDORES[[#This Row],[descuento sobre subtotal]])</f>
        <v>0</v>
      </c>
      <c r="P2243" s="74">
        <f>+IF(PROVEEDORES[[#This Row],[SUBTOTAL]]&lt;PROVEEDORES[[#This Row],[base retencion]],0,PROVEEDORES[[#This Row],[retención aplicada]])</f>
        <v>0</v>
      </c>
      <c r="Q2243" s="22">
        <f>+PROVEEDORES[[#This Row],[Rete Fuente %]]*(PROVEEDORES[[#This Row],[SUBTOTAL]]-PROVEEDORES[[#This Row],[descuento sobre subtotal]])</f>
        <v>0</v>
      </c>
      <c r="R2243" s="21">
        <f>+PROVEEDORES[[#This Row],[SUBTOTAL]]+PROVEEDORES[[#This Row],[IVA 19%]]-PROVEEDORES[[#This Row],[descuento sobre subtotal]]-PROVEEDORES[[#This Row],[Descuento sobre subtotal $2]]-PROVEEDORES[[#This Row],[Rete Fuente $]]</f>
        <v>22500</v>
      </c>
      <c r="S2243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3" s="63">
        <f ca="1">IF(PROVEEDORES[[#This Row],[FECHA DE PAGO]]=0,TODAY()-PROVEEDORES[[#This Row],[FECHA DE FACTURACIÓN]]-PROVEEDORES[[#This Row],[PLAZO Días]],0)</f>
        <v>0</v>
      </c>
      <c r="U2243" s="104">
        <f>+VLOOKUP(PROVEEDORES[[#This Row],[PROVEEDOR]],Terceros!$A:$D,4,FALSE)</f>
        <v>0</v>
      </c>
      <c r="V2243" s="105">
        <f>+YEAR(PROVEEDORES[[#This Row],[FECHA DE FACTURACIÓN]])</f>
        <v>2023</v>
      </c>
      <c r="W2243" s="105">
        <f>+MATCH(PROVEEDORES[[#This Row],[año facturado]],Retenciones!$1:$1,0)</f>
        <v>6</v>
      </c>
      <c r="X2243" s="106">
        <f>+VLOOKUP(PROVEEDORES[[#This Row],[ID RETENCION]],Retenciones!$A$1:$O$25,PROVEEDORES[[#This Row],[indicador de columna]],FALSE)</f>
        <v>0</v>
      </c>
      <c r="Y2243" s="107">
        <f>+VLOOKUP(PROVEEDORES[[#This Row],[ID RETENCION]],Retenciones!$A$1:$O$25,2,FALSE)</f>
        <v>0</v>
      </c>
      <c r="Z2243" s="116" t="b">
        <f>OR(COUNTIF(PROVEEDORES[[#This Row],[PROVEEDOR]],"*"&amp;'Palabra no opera'!$A$2&amp;"*"))</f>
        <v>0</v>
      </c>
    </row>
    <row r="2244" spans="1:26" ht="22.35" customHeight="1" x14ac:dyDescent="0.3">
      <c r="A2244" s="67" t="str">
        <f>+IF(PROVEEDORES[[#This Row],[FECHA DE PAGO]]=PROVEEDORES[[#This Row],[FECHA DE FACTURACIÓN]],"DE CONTADO","CRÉDITO")</f>
        <v>DE CONTADO</v>
      </c>
      <c r="B2244" s="38" t="b">
        <f>+IF((PROVEEDORES[[#This Row],[FECHA DE PAGO]]-PROVEEDORES[[#This Row],[FECHA DE FACTURACIÓN]])&gt;PROVEEDORES[[#This Row],[PLAZO Días]],"PAGO VENCIDO")</f>
        <v>0</v>
      </c>
      <c r="C2244" s="20">
        <f>+VLOOKUP(PROVEEDORES[[#This Row],[PROVEEDOR]],TERCEROS_INFO[#All],2,FALSE)</f>
        <v>30</v>
      </c>
      <c r="D2244" s="25">
        <f>+SUMIFS(PROVEEDORES[Total],PROVEEDORES[PROVEEDOR],PROVEEDORES[[#This Row],[PROVEEDOR]],PROVEEDORES[FECHA DE PAGO],"")</f>
        <v>0</v>
      </c>
      <c r="E2244" s="25"/>
      <c r="F2244" s="56" t="str">
        <f>+VLOOKUP(PROVEEDORES[[#This Row],[PROVEEDOR]],
                       Terceros!$A:$F,
                       5,
                       FALSE)</f>
        <v/>
      </c>
      <c r="G2244" s="68">
        <v>45274</v>
      </c>
      <c r="H2244" s="26" t="s">
        <v>390</v>
      </c>
      <c r="I2244" s="68">
        <v>45274</v>
      </c>
      <c r="J2244" s="35"/>
      <c r="K2244" s="21">
        <v>1300850</v>
      </c>
      <c r="L2244" s="21"/>
      <c r="M2244" s="22">
        <f>(PROVEEDORES[[#This Row],[SUBTOTAL]]-PROVEEDORES[[#This Row],[descuento sobre subtotal]])*VLOOKUP(PROVEEDORES[[#This Row],[PROVEEDOR]],TERCEROS_INFO[#All],3,FALSE)</f>
        <v>0</v>
      </c>
      <c r="N2244" s="23"/>
      <c r="O2244" s="22">
        <f>+PROVEEDORES[[#This Row],[Descuento sobre subtotal %]]*(PROVEEDORES[[#This Row],[SUBTOTAL]]-PROVEEDORES[[#This Row],[descuento sobre subtotal]])</f>
        <v>0</v>
      </c>
      <c r="P2244" s="74">
        <f>+IF(PROVEEDORES[[#This Row],[SUBTOTAL]]&lt;PROVEEDORES[[#This Row],[base retencion]],0,PROVEEDORES[[#This Row],[retención aplicada]])</f>
        <v>0</v>
      </c>
      <c r="Q2244" s="22">
        <f>+PROVEEDORES[[#This Row],[Rete Fuente %]]*(PROVEEDORES[[#This Row],[SUBTOTAL]]-PROVEEDORES[[#This Row],[descuento sobre subtotal]])</f>
        <v>0</v>
      </c>
      <c r="R2244" s="21">
        <f>+PROVEEDORES[[#This Row],[SUBTOTAL]]+PROVEEDORES[[#This Row],[IVA 19%]]-PROVEEDORES[[#This Row],[descuento sobre subtotal]]-PROVEEDORES[[#This Row],[Descuento sobre subtotal $2]]-PROVEEDORES[[#This Row],[Rete Fuente $]]</f>
        <v>1300850</v>
      </c>
      <c r="S224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4" s="63">
        <f ca="1">IF(PROVEEDORES[[#This Row],[FECHA DE PAGO]]=0,TODAY()-PROVEEDORES[[#This Row],[FECHA DE FACTURACIÓN]]-PROVEEDORES[[#This Row],[PLAZO Días]],0)</f>
        <v>0</v>
      </c>
      <c r="U2244" s="104">
        <f>+VLOOKUP(PROVEEDORES[[#This Row],[PROVEEDOR]],Terceros!$A:$D,4,FALSE)</f>
        <v>0</v>
      </c>
      <c r="V2244" s="105">
        <f>+YEAR(PROVEEDORES[[#This Row],[FECHA DE FACTURACIÓN]])</f>
        <v>2023</v>
      </c>
      <c r="W2244" s="105">
        <f>+MATCH(PROVEEDORES[[#This Row],[año facturado]],Retenciones!$1:$1,0)</f>
        <v>6</v>
      </c>
      <c r="X2244" s="106">
        <f>+VLOOKUP(PROVEEDORES[[#This Row],[ID RETENCION]],Retenciones!$A$1:$O$25,PROVEEDORES[[#This Row],[indicador de columna]],FALSE)</f>
        <v>0</v>
      </c>
      <c r="Y2244" s="107">
        <f>+VLOOKUP(PROVEEDORES[[#This Row],[ID RETENCION]],Retenciones!$A$1:$O$25,2,FALSE)</f>
        <v>0</v>
      </c>
      <c r="Z2244" s="116" t="b">
        <f>OR(COUNTIF(PROVEEDORES[[#This Row],[PROVEEDOR]],"*"&amp;'Palabra no opera'!$A$2&amp;"*"))</f>
        <v>0</v>
      </c>
    </row>
    <row r="2245" spans="1:26" ht="22.35" customHeight="1" x14ac:dyDescent="0.3">
      <c r="A2245" s="67" t="str">
        <f>+IF(PROVEEDORES[[#This Row],[FECHA DE PAGO]]=PROVEEDORES[[#This Row],[FECHA DE FACTURACIÓN]],"DE CONTADO","CRÉDITO")</f>
        <v>DE CONTADO</v>
      </c>
      <c r="B2245" s="38" t="b">
        <f>+IF((PROVEEDORES[[#This Row],[FECHA DE PAGO]]-PROVEEDORES[[#This Row],[FECHA DE FACTURACIÓN]])&gt;PROVEEDORES[[#This Row],[PLAZO Días]],"PAGO VENCIDO")</f>
        <v>0</v>
      </c>
      <c r="C2245" s="20">
        <f>+VLOOKUP(PROVEEDORES[[#This Row],[PROVEEDOR]],TERCEROS_INFO[#All],2,FALSE)</f>
        <v>30</v>
      </c>
      <c r="D2245" s="25">
        <f>+SUMIFS(PROVEEDORES[Total],PROVEEDORES[PROVEEDOR],PROVEEDORES[[#This Row],[PROVEEDOR]],PROVEEDORES[FECHA DE PAGO],"")</f>
        <v>0</v>
      </c>
      <c r="E2245" s="25"/>
      <c r="F2245" s="56" t="str">
        <f>+VLOOKUP(PROVEEDORES[[#This Row],[PROVEEDOR]],
                       Terceros!$A:$F,
                       5,
                       FALSE)</f>
        <v/>
      </c>
      <c r="G2245" s="68">
        <v>45275</v>
      </c>
      <c r="H2245" s="26" t="s">
        <v>362</v>
      </c>
      <c r="I2245" s="68">
        <v>45275</v>
      </c>
      <c r="J2245" s="35" t="s">
        <v>2255</v>
      </c>
      <c r="K2245" s="21">
        <v>180000</v>
      </c>
      <c r="L2245" s="21"/>
      <c r="M2245" s="22">
        <f>(PROVEEDORES[[#This Row],[SUBTOTAL]]-PROVEEDORES[[#This Row],[descuento sobre subtotal]])*VLOOKUP(PROVEEDORES[[#This Row],[PROVEEDOR]],TERCEROS_INFO[#All],3,FALSE)</f>
        <v>0</v>
      </c>
      <c r="N2245" s="23"/>
      <c r="O2245" s="22">
        <f>+PROVEEDORES[[#This Row],[Descuento sobre subtotal %]]*(PROVEEDORES[[#This Row],[SUBTOTAL]]-PROVEEDORES[[#This Row],[descuento sobre subtotal]])</f>
        <v>0</v>
      </c>
      <c r="P2245" s="74">
        <f>+IF(PROVEEDORES[[#This Row],[SUBTOTAL]]&lt;PROVEEDORES[[#This Row],[base retencion]],0,PROVEEDORES[[#This Row],[retención aplicada]])</f>
        <v>0</v>
      </c>
      <c r="Q2245" s="22">
        <f>+PROVEEDORES[[#This Row],[Rete Fuente %]]*(PROVEEDORES[[#This Row],[SUBTOTAL]]-PROVEEDORES[[#This Row],[descuento sobre subtotal]])</f>
        <v>0</v>
      </c>
      <c r="R2245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224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5" s="63">
        <f ca="1">IF(PROVEEDORES[[#This Row],[FECHA DE PAGO]]=0,TODAY()-PROVEEDORES[[#This Row],[FECHA DE FACTURACIÓN]]-PROVEEDORES[[#This Row],[PLAZO Días]],0)</f>
        <v>0</v>
      </c>
      <c r="U2245" s="104">
        <f>+VLOOKUP(PROVEEDORES[[#This Row],[PROVEEDOR]],Terceros!$A:$D,4,FALSE)</f>
        <v>0</v>
      </c>
      <c r="V2245" s="105">
        <f>+YEAR(PROVEEDORES[[#This Row],[FECHA DE FACTURACIÓN]])</f>
        <v>2023</v>
      </c>
      <c r="W2245" s="105">
        <f>+MATCH(PROVEEDORES[[#This Row],[año facturado]],Retenciones!$1:$1,0)</f>
        <v>6</v>
      </c>
      <c r="X2245" s="106">
        <f>+VLOOKUP(PROVEEDORES[[#This Row],[ID RETENCION]],Retenciones!$A$1:$O$25,PROVEEDORES[[#This Row],[indicador de columna]],FALSE)</f>
        <v>0</v>
      </c>
      <c r="Y2245" s="107">
        <f>+VLOOKUP(PROVEEDORES[[#This Row],[ID RETENCION]],Retenciones!$A$1:$O$25,2,FALSE)</f>
        <v>0</v>
      </c>
      <c r="Z2245" s="116" t="b">
        <f>OR(COUNTIF(PROVEEDORES[[#This Row],[PROVEEDOR]],"*"&amp;'Palabra no opera'!$A$2&amp;"*"))</f>
        <v>0</v>
      </c>
    </row>
    <row r="2246" spans="1:26" ht="22.35" customHeight="1" x14ac:dyDescent="0.3">
      <c r="A2246" s="67" t="str">
        <f>+IF(PROVEEDORES[[#This Row],[FECHA DE PAGO]]=PROVEEDORES[[#This Row],[FECHA DE FACTURACIÓN]],"DE CONTADO","CRÉDITO")</f>
        <v>CRÉDITO</v>
      </c>
      <c r="B2246" s="38" t="str">
        <f>+IF((PROVEEDORES[[#This Row],[FECHA DE PAGO]]-PROVEEDORES[[#This Row],[FECHA DE FACTURACIÓN]])&gt;PROVEEDORES[[#This Row],[PLAZO Días]],"PAGO VENCIDO")</f>
        <v>PAGO VENCIDO</v>
      </c>
      <c r="C2246" s="20">
        <f>+VLOOKUP(PROVEEDORES[[#This Row],[PROVEEDOR]],TERCEROS_INFO[#All],2,FALSE)</f>
        <v>30</v>
      </c>
      <c r="D2246" s="25">
        <f>+SUMIFS(PROVEEDORES[Total],PROVEEDORES[PROVEEDOR],PROVEEDORES[[#This Row],[PROVEEDOR]],PROVEEDORES[FECHA DE PAGO],"")</f>
        <v>17870934.149999999</v>
      </c>
      <c r="E2246" s="25"/>
      <c r="F224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46" s="68">
        <v>45278</v>
      </c>
      <c r="H2246" s="26" t="s">
        <v>18</v>
      </c>
      <c r="I2246" s="68">
        <v>45237</v>
      </c>
      <c r="J2246" s="35" t="s">
        <v>2133</v>
      </c>
      <c r="K2246" s="21">
        <v>2007744</v>
      </c>
      <c r="L2246" s="21"/>
      <c r="M2246" s="22">
        <f>(PROVEEDORES[[#This Row],[SUBTOTAL]]-PROVEEDORES[[#This Row],[descuento sobre subtotal]])*VLOOKUP(PROVEEDORES[[#This Row],[PROVEEDOR]],TERCEROS_INFO[#All],3,FALSE)</f>
        <v>381471.36</v>
      </c>
      <c r="N2246" s="23"/>
      <c r="O2246" s="22">
        <f>+PROVEEDORES[[#This Row],[Descuento sobre subtotal %]]*(PROVEEDORES[[#This Row],[SUBTOTAL]]-PROVEEDORES[[#This Row],[descuento sobre subtotal]])</f>
        <v>0</v>
      </c>
      <c r="P2246" s="74">
        <f>+IF(PROVEEDORES[[#This Row],[SUBTOTAL]]&lt;PROVEEDORES[[#This Row],[base retencion]],0,PROVEEDORES[[#This Row],[retención aplicada]])</f>
        <v>2.5000000000000001E-2</v>
      </c>
      <c r="Q2246" s="22">
        <f>+PROVEEDORES[[#This Row],[Rete Fuente %]]*(PROVEEDORES[[#This Row],[SUBTOTAL]]-PROVEEDORES[[#This Row],[descuento sobre subtotal]])</f>
        <v>50193.600000000006</v>
      </c>
      <c r="R2246" s="21">
        <f>+PROVEEDORES[[#This Row],[SUBTOTAL]]+PROVEEDORES[[#This Row],[IVA 19%]]-PROVEEDORES[[#This Row],[descuento sobre subtotal]]-PROVEEDORES[[#This Row],[Descuento sobre subtotal $2]]-PROVEEDORES[[#This Row],[Rete Fuente $]]</f>
        <v>2339021.7599999998</v>
      </c>
      <c r="S224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6" s="63">
        <f ca="1">IF(PROVEEDORES[[#This Row],[FECHA DE PAGO]]=0,TODAY()-PROVEEDORES[[#This Row],[FECHA DE FACTURACIÓN]]-PROVEEDORES[[#This Row],[PLAZO Días]],0)</f>
        <v>0</v>
      </c>
      <c r="U2246" s="104" t="str">
        <f>+VLOOKUP(PROVEEDORES[[#This Row],[PROVEEDOR]],Terceros!$A:$D,4,FALSE)</f>
        <v>2,5% con base</v>
      </c>
      <c r="V2246" s="105">
        <f>+YEAR(PROVEEDORES[[#This Row],[FECHA DE FACTURACIÓN]])</f>
        <v>2023</v>
      </c>
      <c r="W2246" s="105">
        <f>+MATCH(PROVEEDORES[[#This Row],[año facturado]],Retenciones!$1:$1,0)</f>
        <v>6</v>
      </c>
      <c r="X2246" s="106">
        <f>+VLOOKUP(PROVEEDORES[[#This Row],[ID RETENCION]],Retenciones!$A$1:$O$25,PROVEEDORES[[#This Row],[indicador de columna]],FALSE)</f>
        <v>1145000</v>
      </c>
      <c r="Y2246" s="107">
        <f>+VLOOKUP(PROVEEDORES[[#This Row],[ID RETENCION]],Retenciones!$A$1:$O$25,2,FALSE)</f>
        <v>2.5000000000000001E-2</v>
      </c>
      <c r="Z2246" s="116" t="b">
        <f>OR(COUNTIF(PROVEEDORES[[#This Row],[PROVEEDOR]],"*"&amp;'Palabra no opera'!$A$2&amp;"*"))</f>
        <v>0</v>
      </c>
    </row>
    <row r="2247" spans="1:26" ht="22.35" customHeight="1" x14ac:dyDescent="0.3">
      <c r="A2247" s="67" t="str">
        <f>+IF(PROVEEDORES[[#This Row],[FECHA DE PAGO]]=PROVEEDORES[[#This Row],[FECHA DE FACTURACIÓN]],"DE CONTADO","CRÉDITO")</f>
        <v>CRÉDITO</v>
      </c>
      <c r="B2247" s="38" t="str">
        <f>+IF((PROVEEDORES[[#This Row],[FECHA DE PAGO]]-PROVEEDORES[[#This Row],[FECHA DE FACTURACIÓN]])&gt;PROVEEDORES[[#This Row],[PLAZO Días]],"PAGO VENCIDO")</f>
        <v>PAGO VENCIDO</v>
      </c>
      <c r="C2247" s="20">
        <f>+VLOOKUP(PROVEEDORES[[#This Row],[PROVEEDOR]],TERCEROS_INFO[#All],2,FALSE)</f>
        <v>30</v>
      </c>
      <c r="D2247" s="25">
        <f>+SUMIFS(PROVEEDORES[Total],PROVEEDORES[PROVEEDOR],PROVEEDORES[[#This Row],[PROVEEDOR]],PROVEEDORES[FECHA DE PAGO],"")</f>
        <v>4282200</v>
      </c>
      <c r="E2247" s="25"/>
      <c r="F2247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247" s="68">
        <v>45278</v>
      </c>
      <c r="H2247" s="26" t="s">
        <v>406</v>
      </c>
      <c r="I2247" s="68">
        <v>45239</v>
      </c>
      <c r="J2247" s="35" t="s">
        <v>2186</v>
      </c>
      <c r="K2247" s="21">
        <v>606900</v>
      </c>
      <c r="L2247" s="21"/>
      <c r="M2247" s="22">
        <f>(PROVEEDORES[[#This Row],[SUBTOTAL]]-PROVEEDORES[[#This Row],[descuento sobre subtotal]])*VLOOKUP(PROVEEDORES[[#This Row],[PROVEEDOR]],TERCEROS_INFO[#All],3,FALSE)</f>
        <v>0</v>
      </c>
      <c r="N2247" s="23"/>
      <c r="O2247" s="22">
        <f>+PROVEEDORES[[#This Row],[Descuento sobre subtotal %]]*(PROVEEDORES[[#This Row],[SUBTOTAL]]-PROVEEDORES[[#This Row],[descuento sobre subtotal]])</f>
        <v>0</v>
      </c>
      <c r="P2247" s="74">
        <f>+IF(PROVEEDORES[[#This Row],[SUBTOTAL]]&lt;PROVEEDORES[[#This Row],[base retencion]],0,PROVEEDORES[[#This Row],[retención aplicada]])</f>
        <v>0</v>
      </c>
      <c r="Q2247" s="22">
        <f>+PROVEEDORES[[#This Row],[Rete Fuente %]]*(PROVEEDORES[[#This Row],[SUBTOTAL]]-PROVEEDORES[[#This Row],[descuento sobre subtotal]])</f>
        <v>0</v>
      </c>
      <c r="R2247" s="21">
        <f>+PROVEEDORES[[#This Row],[SUBTOTAL]]+PROVEEDORES[[#This Row],[IVA 19%]]-PROVEEDORES[[#This Row],[descuento sobre subtotal]]-PROVEEDORES[[#This Row],[Descuento sobre subtotal $2]]-PROVEEDORES[[#This Row],[Rete Fuente $]]</f>
        <v>606900</v>
      </c>
      <c r="S22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7" s="63">
        <f ca="1">IF(PROVEEDORES[[#This Row],[FECHA DE PAGO]]=0,TODAY()-PROVEEDORES[[#This Row],[FECHA DE FACTURACIÓN]]-PROVEEDORES[[#This Row],[PLAZO Días]],0)</f>
        <v>0</v>
      </c>
      <c r="U2247" s="104">
        <f>+VLOOKUP(PROVEEDORES[[#This Row],[PROVEEDOR]],Terceros!$A:$D,4,FALSE)</f>
        <v>0</v>
      </c>
      <c r="V2247" s="105">
        <f>+YEAR(PROVEEDORES[[#This Row],[FECHA DE FACTURACIÓN]])</f>
        <v>2023</v>
      </c>
      <c r="W2247" s="105">
        <f>+MATCH(PROVEEDORES[[#This Row],[año facturado]],Retenciones!$1:$1,0)</f>
        <v>6</v>
      </c>
      <c r="X2247" s="106">
        <f>+VLOOKUP(PROVEEDORES[[#This Row],[ID RETENCION]],Retenciones!$A$1:$O$25,PROVEEDORES[[#This Row],[indicador de columna]],FALSE)</f>
        <v>0</v>
      </c>
      <c r="Y2247" s="107">
        <f>+VLOOKUP(PROVEEDORES[[#This Row],[ID RETENCION]],Retenciones!$A$1:$O$25,2,FALSE)</f>
        <v>0</v>
      </c>
      <c r="Z2247" s="116" t="b">
        <f>OR(COUNTIF(PROVEEDORES[[#This Row],[PROVEEDOR]],"*"&amp;'Palabra no opera'!$A$2&amp;"*"))</f>
        <v>0</v>
      </c>
    </row>
    <row r="2248" spans="1:26" ht="22.35" customHeight="1" x14ac:dyDescent="0.3">
      <c r="A2248" s="67" t="str">
        <f>+IF(PROVEEDORES[[#This Row],[FECHA DE PAGO]]=PROVEEDORES[[#This Row],[FECHA DE FACTURACIÓN]],"DE CONTADO","CRÉDITO")</f>
        <v>CRÉDITO</v>
      </c>
      <c r="B2248" s="38" t="str">
        <f>+IF((PROVEEDORES[[#This Row],[FECHA DE PAGO]]-PROVEEDORES[[#This Row],[FECHA DE FACTURACIÓN]])&gt;PROVEEDORES[[#This Row],[PLAZO Días]],"PAGO VENCIDO")</f>
        <v>PAGO VENCIDO</v>
      </c>
      <c r="C2248" s="20">
        <f>+VLOOKUP(PROVEEDORES[[#This Row],[PROVEEDOR]],TERCEROS_INFO[#All],2,FALSE)</f>
        <v>30</v>
      </c>
      <c r="D2248" s="25">
        <f>+SUMIFS(PROVEEDORES[Total],PROVEEDORES[PROVEEDOR],PROVEEDORES[[#This Row],[PROVEEDOR]],PROVEEDORES[FECHA DE PAGO],"")</f>
        <v>17870934.149999999</v>
      </c>
      <c r="E2248" s="25"/>
      <c r="F224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48" s="68">
        <v>45278</v>
      </c>
      <c r="H2248" s="26" t="s">
        <v>18</v>
      </c>
      <c r="I2248" s="68">
        <v>45239</v>
      </c>
      <c r="J2248" s="35" t="s">
        <v>2135</v>
      </c>
      <c r="K2248" s="21">
        <v>10721534</v>
      </c>
      <c r="L2248" s="21"/>
      <c r="M2248" s="22">
        <f>(PROVEEDORES[[#This Row],[SUBTOTAL]]-PROVEEDORES[[#This Row],[descuento sobre subtotal]])*VLOOKUP(PROVEEDORES[[#This Row],[PROVEEDOR]],TERCEROS_INFO[#All],3,FALSE)</f>
        <v>2037091.46</v>
      </c>
      <c r="N2248" s="23"/>
      <c r="O2248" s="22">
        <f>+PROVEEDORES[[#This Row],[Descuento sobre subtotal %]]*(PROVEEDORES[[#This Row],[SUBTOTAL]]-PROVEEDORES[[#This Row],[descuento sobre subtotal]])</f>
        <v>0</v>
      </c>
      <c r="P2248" s="74">
        <f>+IF(PROVEEDORES[[#This Row],[SUBTOTAL]]&lt;PROVEEDORES[[#This Row],[base retencion]],0,PROVEEDORES[[#This Row],[retención aplicada]])</f>
        <v>2.5000000000000001E-2</v>
      </c>
      <c r="Q2248" s="22">
        <f>+PROVEEDORES[[#This Row],[Rete Fuente %]]*(PROVEEDORES[[#This Row],[SUBTOTAL]]-PROVEEDORES[[#This Row],[descuento sobre subtotal]])</f>
        <v>268038.35000000003</v>
      </c>
      <c r="R2248" s="21">
        <f>+PROVEEDORES[[#This Row],[SUBTOTAL]]+PROVEEDORES[[#This Row],[IVA 19%]]-PROVEEDORES[[#This Row],[descuento sobre subtotal]]-PROVEEDORES[[#This Row],[Descuento sobre subtotal $2]]-PROVEEDORES[[#This Row],[Rete Fuente $]]</f>
        <v>12490587.110000001</v>
      </c>
      <c r="S224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8" s="63">
        <f ca="1">IF(PROVEEDORES[[#This Row],[FECHA DE PAGO]]=0,TODAY()-PROVEEDORES[[#This Row],[FECHA DE FACTURACIÓN]]-PROVEEDORES[[#This Row],[PLAZO Días]],0)</f>
        <v>0</v>
      </c>
      <c r="U2248" s="104" t="str">
        <f>+VLOOKUP(PROVEEDORES[[#This Row],[PROVEEDOR]],Terceros!$A:$D,4,FALSE)</f>
        <v>2,5% con base</v>
      </c>
      <c r="V2248" s="105">
        <f>+YEAR(PROVEEDORES[[#This Row],[FECHA DE FACTURACIÓN]])</f>
        <v>2023</v>
      </c>
      <c r="W2248" s="105">
        <f>+MATCH(PROVEEDORES[[#This Row],[año facturado]],Retenciones!$1:$1,0)</f>
        <v>6</v>
      </c>
      <c r="X2248" s="106">
        <f>+VLOOKUP(PROVEEDORES[[#This Row],[ID RETENCION]],Retenciones!$A$1:$O$25,PROVEEDORES[[#This Row],[indicador de columna]],FALSE)</f>
        <v>1145000</v>
      </c>
      <c r="Y2248" s="107">
        <f>+VLOOKUP(PROVEEDORES[[#This Row],[ID RETENCION]],Retenciones!$A$1:$O$25,2,FALSE)</f>
        <v>2.5000000000000001E-2</v>
      </c>
      <c r="Z2248" s="116" t="b">
        <f>OR(COUNTIF(PROVEEDORES[[#This Row],[PROVEEDOR]],"*"&amp;'Palabra no opera'!$A$2&amp;"*"))</f>
        <v>0</v>
      </c>
    </row>
    <row r="2249" spans="1:26" ht="22.35" customHeight="1" x14ac:dyDescent="0.3">
      <c r="A2249" s="67" t="str">
        <f>+IF(PROVEEDORES[[#This Row],[FECHA DE PAGO]]=PROVEEDORES[[#This Row],[FECHA DE FACTURACIÓN]],"DE CONTADO","CRÉDITO")</f>
        <v>CRÉDITO</v>
      </c>
      <c r="B2249" s="38" t="str">
        <f>+IF((PROVEEDORES[[#This Row],[FECHA DE PAGO]]-PROVEEDORES[[#This Row],[FECHA DE FACTURACIÓN]])&gt;PROVEEDORES[[#This Row],[PLAZO Días]],"PAGO VENCIDO")</f>
        <v>PAGO VENCIDO</v>
      </c>
      <c r="C2249" s="20">
        <f>+VLOOKUP(PROVEEDORES[[#This Row],[PROVEEDOR]],TERCEROS_INFO[#All],2,FALSE)</f>
        <v>30</v>
      </c>
      <c r="D2249" s="25">
        <f>+SUMIFS(PROVEEDORES[Total],PROVEEDORES[PROVEEDOR],PROVEEDORES[[#This Row],[PROVEEDOR]],PROVEEDORES[FECHA DE PAGO],"")</f>
        <v>0</v>
      </c>
      <c r="E2249" s="25"/>
      <c r="F2249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249" s="68">
        <v>45278</v>
      </c>
      <c r="H2249" s="26" t="s">
        <v>1850</v>
      </c>
      <c r="I2249" s="68">
        <v>45239</v>
      </c>
      <c r="J2249" s="35" t="s">
        <v>2132</v>
      </c>
      <c r="K2249" s="21">
        <v>1593276</v>
      </c>
      <c r="L2249" s="21"/>
      <c r="M2249" s="22">
        <f>(PROVEEDORES[[#This Row],[SUBTOTAL]]-PROVEEDORES[[#This Row],[descuento sobre subtotal]])*VLOOKUP(PROVEEDORES[[#This Row],[PROVEEDOR]],TERCEROS_INFO[#All],3,FALSE)</f>
        <v>302722.44</v>
      </c>
      <c r="N2249" s="23"/>
      <c r="O2249" s="22">
        <f>+PROVEEDORES[[#This Row],[Descuento sobre subtotal %]]*(PROVEEDORES[[#This Row],[SUBTOTAL]]-PROVEEDORES[[#This Row],[descuento sobre subtotal]])</f>
        <v>0</v>
      </c>
      <c r="P2249" s="74">
        <f>+IF(PROVEEDORES[[#This Row],[SUBTOTAL]]&lt;PROVEEDORES[[#This Row],[base retencion]],0,PROVEEDORES[[#This Row],[retención aplicada]])</f>
        <v>2.5000000000000001E-2</v>
      </c>
      <c r="Q2249" s="22">
        <f>+PROVEEDORES[[#This Row],[Rete Fuente %]]*(PROVEEDORES[[#This Row],[SUBTOTAL]]-PROVEEDORES[[#This Row],[descuento sobre subtotal]])</f>
        <v>39831.9</v>
      </c>
      <c r="R2249" s="21">
        <f>+PROVEEDORES[[#This Row],[SUBTOTAL]]+PROVEEDORES[[#This Row],[IVA 19%]]-PROVEEDORES[[#This Row],[descuento sobre subtotal]]-PROVEEDORES[[#This Row],[Descuento sobre subtotal $2]]-PROVEEDORES[[#This Row],[Rete Fuente $]]</f>
        <v>1856166.54</v>
      </c>
      <c r="S224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9" s="63">
        <f ca="1">IF(PROVEEDORES[[#This Row],[FECHA DE PAGO]]=0,TODAY()-PROVEEDORES[[#This Row],[FECHA DE FACTURACIÓN]]-PROVEEDORES[[#This Row],[PLAZO Días]],0)</f>
        <v>0</v>
      </c>
      <c r="U2249" s="104" t="str">
        <f>+VLOOKUP(PROVEEDORES[[#This Row],[PROVEEDOR]],Terceros!$A:$D,4,FALSE)</f>
        <v>2,5% con base</v>
      </c>
      <c r="V2249" s="105">
        <f>+YEAR(PROVEEDORES[[#This Row],[FECHA DE FACTURACIÓN]])</f>
        <v>2023</v>
      </c>
      <c r="W2249" s="105">
        <f>+MATCH(PROVEEDORES[[#This Row],[año facturado]],Retenciones!$1:$1,0)</f>
        <v>6</v>
      </c>
      <c r="X2249" s="106">
        <f>+VLOOKUP(PROVEEDORES[[#This Row],[ID RETENCION]],Retenciones!$A$1:$O$25,PROVEEDORES[[#This Row],[indicador de columna]],FALSE)</f>
        <v>1145000</v>
      </c>
      <c r="Y2249" s="107">
        <f>+VLOOKUP(PROVEEDORES[[#This Row],[ID RETENCION]],Retenciones!$A$1:$O$25,2,FALSE)</f>
        <v>2.5000000000000001E-2</v>
      </c>
      <c r="Z2249" s="116" t="b">
        <f>OR(COUNTIF(PROVEEDORES[[#This Row],[PROVEEDOR]],"*"&amp;'Palabra no opera'!$A$2&amp;"*"))</f>
        <v>0</v>
      </c>
    </row>
    <row r="2250" spans="1:26" ht="22.35" customHeight="1" x14ac:dyDescent="0.3">
      <c r="A2250" s="67" t="str">
        <f>+IF(PROVEEDORES[[#This Row],[FECHA DE PAGO]]=PROVEEDORES[[#This Row],[FECHA DE FACTURACIÓN]],"DE CONTADO","CRÉDITO")</f>
        <v>CRÉDITO</v>
      </c>
      <c r="B2250" s="38" t="str">
        <f>+IF((PROVEEDORES[[#This Row],[FECHA DE PAGO]]-PROVEEDORES[[#This Row],[FECHA DE FACTURACIÓN]])&gt;PROVEEDORES[[#This Row],[PLAZO Días]],"PAGO VENCIDO")</f>
        <v>PAGO VENCIDO</v>
      </c>
      <c r="C2250" s="20">
        <f>+VLOOKUP(PROVEEDORES[[#This Row],[PROVEEDOR]],TERCEROS_INFO[#All],2,FALSE)</f>
        <v>30</v>
      </c>
      <c r="D2250" s="25">
        <f>+SUMIFS(PROVEEDORES[Total],PROVEEDORES[PROVEEDOR],PROVEEDORES[[#This Row],[PROVEEDOR]],PROVEEDORES[FECHA DE PAGO],"")</f>
        <v>4248480.9550000001</v>
      </c>
      <c r="E2250" s="25"/>
      <c r="F2250" s="56" t="str">
        <f>+VLOOKUP(PROVEEDORES[[#This Row],[PROVEEDOR]],
                       Terceros!$A:$F,
                       5,
                       FALSE)</f>
        <v/>
      </c>
      <c r="G2250" s="68">
        <v>45278</v>
      </c>
      <c r="H2250" s="26" t="s">
        <v>78</v>
      </c>
      <c r="I2250" s="68">
        <v>45240</v>
      </c>
      <c r="J2250" s="35" t="s">
        <v>2182</v>
      </c>
      <c r="K2250" s="21">
        <v>105189</v>
      </c>
      <c r="L2250" s="21"/>
      <c r="M2250" s="22">
        <f>(PROVEEDORES[[#This Row],[SUBTOTAL]]-PROVEEDORES[[#This Row],[descuento sobre subtotal]])*VLOOKUP(PROVEEDORES[[#This Row],[PROVEEDOR]],TERCEROS_INFO[#All],3,FALSE)</f>
        <v>19985.91</v>
      </c>
      <c r="N2250" s="23"/>
      <c r="O2250" s="22">
        <f>+PROVEEDORES[[#This Row],[Descuento sobre subtotal %]]*(PROVEEDORES[[#This Row],[SUBTOTAL]]-PROVEEDORES[[#This Row],[descuento sobre subtotal]])</f>
        <v>0</v>
      </c>
      <c r="P2250" s="74">
        <f>+IF(PROVEEDORES[[#This Row],[SUBTOTAL]]&lt;PROVEEDORES[[#This Row],[base retencion]],0,PROVEEDORES[[#This Row],[retención aplicada]])</f>
        <v>0</v>
      </c>
      <c r="Q2250" s="22">
        <f>+PROVEEDORES[[#This Row],[Rete Fuente %]]*(PROVEEDORES[[#This Row],[SUBTOTAL]]-PROVEEDORES[[#This Row],[descuento sobre subtotal]])</f>
        <v>0</v>
      </c>
      <c r="R2250" s="21">
        <f>+PROVEEDORES[[#This Row],[SUBTOTAL]]+PROVEEDORES[[#This Row],[IVA 19%]]-PROVEEDORES[[#This Row],[descuento sobre subtotal]]-PROVEEDORES[[#This Row],[Descuento sobre subtotal $2]]-PROVEEDORES[[#This Row],[Rete Fuente $]]</f>
        <v>125174.91</v>
      </c>
      <c r="S225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0" s="63">
        <f ca="1">IF(PROVEEDORES[[#This Row],[FECHA DE PAGO]]=0,TODAY()-PROVEEDORES[[#This Row],[FECHA DE FACTURACIÓN]]-PROVEEDORES[[#This Row],[PLAZO Días]],0)</f>
        <v>0</v>
      </c>
      <c r="U2250" s="104" t="str">
        <f>+VLOOKUP(PROVEEDORES[[#This Row],[PROVEEDOR]],Terceros!$A:$D,4,FALSE)</f>
        <v>2,5% con base</v>
      </c>
      <c r="V2250" s="105">
        <f>+YEAR(PROVEEDORES[[#This Row],[FECHA DE FACTURACIÓN]])</f>
        <v>2023</v>
      </c>
      <c r="W2250" s="105">
        <f>+MATCH(PROVEEDORES[[#This Row],[año facturado]],Retenciones!$1:$1,0)</f>
        <v>6</v>
      </c>
      <c r="X2250" s="106">
        <f>+VLOOKUP(PROVEEDORES[[#This Row],[ID RETENCION]],Retenciones!$A$1:$O$25,PROVEEDORES[[#This Row],[indicador de columna]],FALSE)</f>
        <v>1145000</v>
      </c>
      <c r="Y2250" s="107">
        <f>+VLOOKUP(PROVEEDORES[[#This Row],[ID RETENCION]],Retenciones!$A$1:$O$25,2,FALSE)</f>
        <v>2.5000000000000001E-2</v>
      </c>
      <c r="Z2250" s="116" t="b">
        <f>OR(COUNTIF(PROVEEDORES[[#This Row],[PROVEEDOR]],"*"&amp;'Palabra no opera'!$A$2&amp;"*"))</f>
        <v>0</v>
      </c>
    </row>
    <row r="2251" spans="1:26" ht="22.35" customHeight="1" x14ac:dyDescent="0.3">
      <c r="A2251" s="67" t="str">
        <f>+IF(PROVEEDORES[[#This Row],[FECHA DE PAGO]]=PROVEEDORES[[#This Row],[FECHA DE FACTURACIÓN]],"DE CONTADO","CRÉDITO")</f>
        <v>CRÉDITO</v>
      </c>
      <c r="B2251" s="38" t="str">
        <f>+IF((PROVEEDORES[[#This Row],[FECHA DE PAGO]]-PROVEEDORES[[#This Row],[FECHA DE FACTURACIÓN]])&gt;PROVEEDORES[[#This Row],[PLAZO Días]],"PAGO VENCIDO")</f>
        <v>PAGO VENCIDO</v>
      </c>
      <c r="C2251" s="20">
        <f>+VLOOKUP(PROVEEDORES[[#This Row],[PROVEEDOR]],TERCEROS_INFO[#All],2,FALSE)</f>
        <v>30</v>
      </c>
      <c r="D2251" s="25">
        <f>+SUMIFS(PROVEEDORES[Total],PROVEEDORES[PROVEEDOR],PROVEEDORES[[#This Row],[PROVEEDOR]],PROVEEDORES[FECHA DE PAGO],"")</f>
        <v>4248480.9550000001</v>
      </c>
      <c r="E2251" s="25"/>
      <c r="F2251" s="56" t="str">
        <f>+VLOOKUP(PROVEEDORES[[#This Row],[PROVEEDOR]],
                       Terceros!$A:$F,
                       5,
                       FALSE)</f>
        <v/>
      </c>
      <c r="G2251" s="68">
        <v>45278</v>
      </c>
      <c r="H2251" s="26" t="s">
        <v>78</v>
      </c>
      <c r="I2251" s="68">
        <v>45245</v>
      </c>
      <c r="J2251" s="35" t="s">
        <v>2183</v>
      </c>
      <c r="K2251" s="21">
        <v>3617549</v>
      </c>
      <c r="L2251" s="21"/>
      <c r="M2251" s="22">
        <f>(PROVEEDORES[[#This Row],[SUBTOTAL]]-PROVEEDORES[[#This Row],[descuento sobre subtotal]])*VLOOKUP(PROVEEDORES[[#This Row],[PROVEEDOR]],TERCEROS_INFO[#All],3,FALSE)</f>
        <v>687334.31</v>
      </c>
      <c r="N2251" s="23"/>
      <c r="O2251" s="22">
        <f>+PROVEEDORES[[#This Row],[Descuento sobre subtotal %]]*(PROVEEDORES[[#This Row],[SUBTOTAL]]-PROVEEDORES[[#This Row],[descuento sobre subtotal]])</f>
        <v>0</v>
      </c>
      <c r="P2251" s="74">
        <f>+IF(PROVEEDORES[[#This Row],[SUBTOTAL]]&lt;PROVEEDORES[[#This Row],[base retencion]],0,PROVEEDORES[[#This Row],[retención aplicada]])</f>
        <v>2.5000000000000001E-2</v>
      </c>
      <c r="Q2251" s="22">
        <f>+PROVEEDORES[[#This Row],[Rete Fuente %]]*(PROVEEDORES[[#This Row],[SUBTOTAL]]-PROVEEDORES[[#This Row],[descuento sobre subtotal]])</f>
        <v>90438.725000000006</v>
      </c>
      <c r="R2251" s="21">
        <f>+PROVEEDORES[[#This Row],[SUBTOTAL]]+PROVEEDORES[[#This Row],[IVA 19%]]-PROVEEDORES[[#This Row],[descuento sobre subtotal]]-PROVEEDORES[[#This Row],[Descuento sobre subtotal $2]]-PROVEEDORES[[#This Row],[Rete Fuente $]]</f>
        <v>4214444.5850000009</v>
      </c>
      <c r="S22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1" s="63">
        <f ca="1">IF(PROVEEDORES[[#This Row],[FECHA DE PAGO]]=0,TODAY()-PROVEEDORES[[#This Row],[FECHA DE FACTURACIÓN]]-PROVEEDORES[[#This Row],[PLAZO Días]],0)</f>
        <v>0</v>
      </c>
      <c r="U2251" s="104" t="str">
        <f>+VLOOKUP(PROVEEDORES[[#This Row],[PROVEEDOR]],Terceros!$A:$D,4,FALSE)</f>
        <v>2,5% con base</v>
      </c>
      <c r="V2251" s="105">
        <f>+YEAR(PROVEEDORES[[#This Row],[FECHA DE FACTURACIÓN]])</f>
        <v>2023</v>
      </c>
      <c r="W2251" s="105">
        <f>+MATCH(PROVEEDORES[[#This Row],[año facturado]],Retenciones!$1:$1,0)</f>
        <v>6</v>
      </c>
      <c r="X2251" s="106">
        <f>+VLOOKUP(PROVEEDORES[[#This Row],[ID RETENCION]],Retenciones!$A$1:$O$25,PROVEEDORES[[#This Row],[indicador de columna]],FALSE)</f>
        <v>1145000</v>
      </c>
      <c r="Y2251" s="107">
        <f>+VLOOKUP(PROVEEDORES[[#This Row],[ID RETENCION]],Retenciones!$A$1:$O$25,2,FALSE)</f>
        <v>2.5000000000000001E-2</v>
      </c>
      <c r="Z2251" s="116" t="b">
        <f>OR(COUNTIF(PROVEEDORES[[#This Row],[PROVEEDOR]],"*"&amp;'Palabra no opera'!$A$2&amp;"*"))</f>
        <v>0</v>
      </c>
    </row>
    <row r="2252" spans="1:26" ht="22.35" customHeight="1" x14ac:dyDescent="0.3">
      <c r="A2252" s="387" t="str">
        <f>+IF(PROVEEDORES[[#This Row],[FECHA DE PAGO]]=PROVEEDORES[[#This Row],[FECHA DE FACTURACIÓN]],"DE CONTADO","CRÉDITO")</f>
        <v>CRÉDITO</v>
      </c>
      <c r="B2252" s="38" t="str">
        <f>+IF((PROVEEDORES[[#This Row],[FECHA DE PAGO]]-PROVEEDORES[[#This Row],[FECHA DE FACTURACIÓN]])&gt;PROVEEDORES[[#This Row],[PLAZO Días]],"PAGO VENCIDO")</f>
        <v>PAGO VENCIDO</v>
      </c>
      <c r="C2252" s="20">
        <f>+VLOOKUP(PROVEEDORES[[#This Row],[PROVEEDOR]],TERCEROS_INFO[#All],2,FALSE)</f>
        <v>30</v>
      </c>
      <c r="D2252" s="25">
        <f>+SUMIFS(PROVEEDORES[Total],PROVEEDORES[PROVEEDOR],PROVEEDORES[[#This Row],[PROVEEDOR]],PROVEEDORES[FECHA DE PAGO],"")</f>
        <v>17870934.149999999</v>
      </c>
      <c r="E2252" s="25"/>
      <c r="F225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52" s="68">
        <v>45278</v>
      </c>
      <c r="H2252" s="26" t="s">
        <v>18</v>
      </c>
      <c r="I2252" s="68">
        <v>45245</v>
      </c>
      <c r="J2252" s="35" t="s">
        <v>2169</v>
      </c>
      <c r="K2252" s="21">
        <v>1809303</v>
      </c>
      <c r="L2252" s="21"/>
      <c r="M2252" s="22">
        <f>(PROVEEDORES[[#This Row],[SUBTOTAL]]-PROVEEDORES[[#This Row],[descuento sobre subtotal]])*VLOOKUP(PROVEEDORES[[#This Row],[PROVEEDOR]],TERCEROS_INFO[#All],3,FALSE)</f>
        <v>343767.57</v>
      </c>
      <c r="N2252" s="23"/>
      <c r="O2252" s="22">
        <f>+PROVEEDORES[[#This Row],[Descuento sobre subtotal %]]*(PROVEEDORES[[#This Row],[SUBTOTAL]]-PROVEEDORES[[#This Row],[descuento sobre subtotal]])</f>
        <v>0</v>
      </c>
      <c r="P2252" s="74">
        <f>+IF(PROVEEDORES[[#This Row],[SUBTOTAL]]&lt;PROVEEDORES[[#This Row],[base retencion]],0,PROVEEDORES[[#This Row],[retención aplicada]])</f>
        <v>2.5000000000000001E-2</v>
      </c>
      <c r="Q2252" s="22">
        <f>+PROVEEDORES[[#This Row],[Rete Fuente %]]*(PROVEEDORES[[#This Row],[SUBTOTAL]]-PROVEEDORES[[#This Row],[descuento sobre subtotal]])</f>
        <v>45232.575000000004</v>
      </c>
      <c r="R2252" s="21">
        <f>+PROVEEDORES[[#This Row],[SUBTOTAL]]+PROVEEDORES[[#This Row],[IVA 19%]]-PROVEEDORES[[#This Row],[descuento sobre subtotal]]-PROVEEDORES[[#This Row],[Descuento sobre subtotal $2]]-PROVEEDORES[[#This Row],[Rete Fuente $]]</f>
        <v>2107837.9949999996</v>
      </c>
      <c r="S2252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2" s="63">
        <f ca="1">IF(PROVEEDORES[[#This Row],[FECHA DE PAGO]]=0,TODAY()-PROVEEDORES[[#This Row],[FECHA DE FACTURACIÓN]]-PROVEEDORES[[#This Row],[PLAZO Días]],0)</f>
        <v>0</v>
      </c>
      <c r="U2252" s="104" t="str">
        <f>+VLOOKUP(PROVEEDORES[[#This Row],[PROVEEDOR]],Terceros!$A:$D,4,FALSE)</f>
        <v>2,5% con base</v>
      </c>
      <c r="V2252" s="105">
        <f>+YEAR(PROVEEDORES[[#This Row],[FECHA DE FACTURACIÓN]])</f>
        <v>2023</v>
      </c>
      <c r="W2252" s="105">
        <f>+MATCH(PROVEEDORES[[#This Row],[año facturado]],Retenciones!$1:$1,0)</f>
        <v>6</v>
      </c>
      <c r="X2252" s="106">
        <f>+VLOOKUP(PROVEEDORES[[#This Row],[ID RETENCION]],Retenciones!$A$1:$O$25,PROVEEDORES[[#This Row],[indicador de columna]],FALSE)</f>
        <v>1145000</v>
      </c>
      <c r="Y2252" s="107">
        <f>+VLOOKUP(PROVEEDORES[[#This Row],[ID RETENCION]],Retenciones!$A$1:$O$25,2,FALSE)</f>
        <v>2.5000000000000001E-2</v>
      </c>
      <c r="Z2252" s="116" t="b">
        <f>OR(COUNTIF(PROVEEDORES[[#This Row],[PROVEEDOR]],"*"&amp;'Palabra no opera'!$A$2&amp;"*"))</f>
        <v>0</v>
      </c>
    </row>
    <row r="2253" spans="1:26" ht="22.35" customHeight="1" x14ac:dyDescent="0.3">
      <c r="A2253" s="67" t="str">
        <f>+IF(PROVEEDORES[[#This Row],[FECHA DE PAGO]]=PROVEEDORES[[#This Row],[FECHA DE FACTURACIÓN]],"DE CONTADO","CRÉDITO")</f>
        <v>CRÉDITO</v>
      </c>
      <c r="B2253" s="38" t="b">
        <f>+IF((PROVEEDORES[[#This Row],[FECHA DE PAGO]]-PROVEEDORES[[#This Row],[FECHA DE FACTURACIÓN]])&gt;PROVEEDORES[[#This Row],[PLAZO Días]],"PAGO VENCIDO")</f>
        <v>0</v>
      </c>
      <c r="C2253" s="20">
        <f>+VLOOKUP(PROVEEDORES[[#This Row],[PROVEEDOR]],TERCEROS_INFO[#All],2,FALSE)</f>
        <v>60</v>
      </c>
      <c r="D2253" s="25">
        <f>+SUMIFS(PROVEEDORES[Total],PROVEEDORES[PROVEEDOR],PROVEEDORES[[#This Row],[PROVEEDOR]],PROVEEDORES[FECHA DE PAGO],"")</f>
        <v>395600</v>
      </c>
      <c r="E2253" s="25"/>
      <c r="F225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53" s="68">
        <v>45278</v>
      </c>
      <c r="H2253" s="26" t="s">
        <v>287</v>
      </c>
      <c r="I2253" s="68">
        <v>45251</v>
      </c>
      <c r="J2253" s="35">
        <v>1831</v>
      </c>
      <c r="K2253" s="21">
        <v>602000</v>
      </c>
      <c r="L2253" s="21"/>
      <c r="M2253" s="22">
        <f>(PROVEEDORES[[#This Row],[SUBTOTAL]]-PROVEEDORES[[#This Row],[descuento sobre subtotal]])*VLOOKUP(PROVEEDORES[[#This Row],[PROVEEDOR]],TERCEROS_INFO[#All],3,FALSE)</f>
        <v>0</v>
      </c>
      <c r="N2253" s="23"/>
      <c r="O2253" s="22">
        <f>+PROVEEDORES[[#This Row],[Descuento sobre subtotal %]]*(PROVEEDORES[[#This Row],[SUBTOTAL]]-PROVEEDORES[[#This Row],[descuento sobre subtotal]])</f>
        <v>0</v>
      </c>
      <c r="P2253" s="74">
        <f>+IF(PROVEEDORES[[#This Row],[SUBTOTAL]]&lt;PROVEEDORES[[#This Row],[base retencion]],0,PROVEEDORES[[#This Row],[retención aplicada]])</f>
        <v>0</v>
      </c>
      <c r="Q2253" s="22">
        <f>+PROVEEDORES[[#This Row],[Rete Fuente %]]*(PROVEEDORES[[#This Row],[SUBTOTAL]]-PROVEEDORES[[#This Row],[descuento sobre subtotal]])</f>
        <v>0</v>
      </c>
      <c r="R2253" s="21">
        <f>+PROVEEDORES[[#This Row],[SUBTOTAL]]+PROVEEDORES[[#This Row],[IVA 19%]]-PROVEEDORES[[#This Row],[descuento sobre subtotal]]-PROVEEDORES[[#This Row],[Descuento sobre subtotal $2]]-PROVEEDORES[[#This Row],[Rete Fuente $]]</f>
        <v>602000</v>
      </c>
      <c r="S225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3" s="63">
        <f ca="1">IF(PROVEEDORES[[#This Row],[FECHA DE PAGO]]=0,TODAY()-PROVEEDORES[[#This Row],[FECHA DE FACTURACIÓN]]-PROVEEDORES[[#This Row],[PLAZO Días]],0)</f>
        <v>0</v>
      </c>
      <c r="U2253" s="104">
        <f>+VLOOKUP(PROVEEDORES[[#This Row],[PROVEEDOR]],Terceros!$A:$D,4,FALSE)</f>
        <v>0</v>
      </c>
      <c r="V2253" s="105">
        <f>+YEAR(PROVEEDORES[[#This Row],[FECHA DE FACTURACIÓN]])</f>
        <v>2023</v>
      </c>
      <c r="W2253" s="105">
        <f>+MATCH(PROVEEDORES[[#This Row],[año facturado]],Retenciones!$1:$1,0)</f>
        <v>6</v>
      </c>
      <c r="X2253" s="106">
        <f>+VLOOKUP(PROVEEDORES[[#This Row],[ID RETENCION]],Retenciones!$A$1:$O$25,PROVEEDORES[[#This Row],[indicador de columna]],FALSE)</f>
        <v>0</v>
      </c>
      <c r="Y2253" s="107">
        <f>+VLOOKUP(PROVEEDORES[[#This Row],[ID RETENCION]],Retenciones!$A$1:$O$25,2,FALSE)</f>
        <v>0</v>
      </c>
      <c r="Z2253" s="116" t="b">
        <f>OR(COUNTIF(PROVEEDORES[[#This Row],[PROVEEDOR]],"*"&amp;'Palabra no opera'!$A$2&amp;"*"))</f>
        <v>0</v>
      </c>
    </row>
    <row r="2254" spans="1:26" ht="22.35" customHeight="1" x14ac:dyDescent="0.3">
      <c r="A2254" s="67" t="str">
        <f>+IF(PROVEEDORES[[#This Row],[FECHA DE PAGO]]=PROVEEDORES[[#This Row],[FECHA DE FACTURACIÓN]],"DE CONTADO","CRÉDITO")</f>
        <v>CRÉDITO</v>
      </c>
      <c r="B2254" s="38" t="b">
        <f>+IF((PROVEEDORES[[#This Row],[FECHA DE PAGO]]-PROVEEDORES[[#This Row],[FECHA DE FACTURACIÓN]])&gt;PROVEEDORES[[#This Row],[PLAZO Días]],"PAGO VENCIDO")</f>
        <v>0</v>
      </c>
      <c r="C2254" s="20">
        <f>+VLOOKUP(PROVEEDORES[[#This Row],[PROVEEDOR]],TERCEROS_INFO[#All],2,FALSE)</f>
        <v>60</v>
      </c>
      <c r="D2254" s="25">
        <f>+SUMIFS(PROVEEDORES[Total],PROVEEDORES[PROVEEDOR],PROVEEDORES[[#This Row],[PROVEEDOR]],PROVEEDORES[FECHA DE PAGO],"")</f>
        <v>395600</v>
      </c>
      <c r="E2254" s="25"/>
      <c r="F225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54" s="68">
        <v>45278</v>
      </c>
      <c r="H2254" s="26" t="s">
        <v>287</v>
      </c>
      <c r="I2254" s="68">
        <v>45252</v>
      </c>
      <c r="J2254" s="35">
        <v>1832</v>
      </c>
      <c r="K2254" s="21">
        <v>584800</v>
      </c>
      <c r="L2254" s="21"/>
      <c r="M2254" s="22">
        <f>(PROVEEDORES[[#This Row],[SUBTOTAL]]-PROVEEDORES[[#This Row],[descuento sobre subtotal]])*VLOOKUP(PROVEEDORES[[#This Row],[PROVEEDOR]],TERCEROS_INFO[#All],3,FALSE)</f>
        <v>0</v>
      </c>
      <c r="N2254" s="23"/>
      <c r="O2254" s="22">
        <f>+PROVEEDORES[[#This Row],[Descuento sobre subtotal %]]*(PROVEEDORES[[#This Row],[SUBTOTAL]]-PROVEEDORES[[#This Row],[descuento sobre subtotal]])</f>
        <v>0</v>
      </c>
      <c r="P2254" s="74">
        <f>+IF(PROVEEDORES[[#This Row],[SUBTOTAL]]&lt;PROVEEDORES[[#This Row],[base retencion]],0,PROVEEDORES[[#This Row],[retención aplicada]])</f>
        <v>0</v>
      </c>
      <c r="Q2254" s="22">
        <f>+PROVEEDORES[[#This Row],[Rete Fuente %]]*(PROVEEDORES[[#This Row],[SUBTOTAL]]-PROVEEDORES[[#This Row],[descuento sobre subtotal]])</f>
        <v>0</v>
      </c>
      <c r="R2254" s="21">
        <f>+PROVEEDORES[[#This Row],[SUBTOTAL]]+PROVEEDORES[[#This Row],[IVA 19%]]-PROVEEDORES[[#This Row],[descuento sobre subtotal]]-PROVEEDORES[[#This Row],[Descuento sobre subtotal $2]]-PROVEEDORES[[#This Row],[Rete Fuente $]]</f>
        <v>584800</v>
      </c>
      <c r="S22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4" s="63">
        <f ca="1">IF(PROVEEDORES[[#This Row],[FECHA DE PAGO]]=0,TODAY()-PROVEEDORES[[#This Row],[FECHA DE FACTURACIÓN]]-PROVEEDORES[[#This Row],[PLAZO Días]],0)</f>
        <v>0</v>
      </c>
      <c r="U2254" s="104">
        <f>+VLOOKUP(PROVEEDORES[[#This Row],[PROVEEDOR]],Terceros!$A:$D,4,FALSE)</f>
        <v>0</v>
      </c>
      <c r="V2254" s="105">
        <f>+YEAR(PROVEEDORES[[#This Row],[FECHA DE FACTURACIÓN]])</f>
        <v>2023</v>
      </c>
      <c r="W2254" s="105">
        <f>+MATCH(PROVEEDORES[[#This Row],[año facturado]],Retenciones!$1:$1,0)</f>
        <v>6</v>
      </c>
      <c r="X2254" s="106">
        <f>+VLOOKUP(PROVEEDORES[[#This Row],[ID RETENCION]],Retenciones!$A$1:$O$25,PROVEEDORES[[#This Row],[indicador de columna]],FALSE)</f>
        <v>0</v>
      </c>
      <c r="Y2254" s="107">
        <f>+VLOOKUP(PROVEEDORES[[#This Row],[ID RETENCION]],Retenciones!$A$1:$O$25,2,FALSE)</f>
        <v>0</v>
      </c>
      <c r="Z2254" s="116" t="b">
        <f>OR(COUNTIF(PROVEEDORES[[#This Row],[PROVEEDOR]],"*"&amp;'Palabra no opera'!$A$2&amp;"*"))</f>
        <v>0</v>
      </c>
    </row>
    <row r="2255" spans="1:26" ht="22.35" customHeight="1" x14ac:dyDescent="0.3">
      <c r="A2255" s="67" t="str">
        <f>+IF(PROVEEDORES[[#This Row],[FECHA DE PAGO]]=PROVEEDORES[[#This Row],[FECHA DE FACTURACIÓN]],"DE CONTADO","CRÉDITO")</f>
        <v>CRÉDITO</v>
      </c>
      <c r="B2255" s="38" t="str">
        <f>+IF((PROVEEDORES[[#This Row],[FECHA DE PAGO]]-PROVEEDORES[[#This Row],[FECHA DE FACTURACIÓN]])&gt;PROVEEDORES[[#This Row],[PLAZO Días]],"PAGO VENCIDO")</f>
        <v>PAGO VENCIDO</v>
      </c>
      <c r="C2255" s="20">
        <f>+VLOOKUP(PROVEEDORES[[#This Row],[PROVEEDOR]],TERCEROS_INFO[#All],2,FALSE)</f>
        <v>30</v>
      </c>
      <c r="D2255" s="25">
        <f>+SUMIFS(PROVEEDORES[Total],PROVEEDORES[PROVEEDOR],PROVEEDORES[[#This Row],[PROVEEDOR]],PROVEEDORES[FECHA DE PAGO],"")</f>
        <v>1316890.8900000001</v>
      </c>
      <c r="E2255" s="25"/>
      <c r="F225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255" s="68">
        <v>45278</v>
      </c>
      <c r="H2255" s="26" t="s">
        <v>17</v>
      </c>
      <c r="I2255" s="68">
        <v>45247</v>
      </c>
      <c r="J2255" s="35" t="s">
        <v>2140</v>
      </c>
      <c r="K2255" s="21">
        <v>1350000</v>
      </c>
      <c r="L2255" s="21"/>
      <c r="M2255" s="22">
        <f>(PROVEEDORES[[#This Row],[SUBTOTAL]]-PROVEEDORES[[#This Row],[descuento sobre subtotal]])*VLOOKUP(PROVEEDORES[[#This Row],[PROVEEDOR]],TERCEROS_INFO[#All],3,FALSE)</f>
        <v>256500</v>
      </c>
      <c r="N2255" s="23"/>
      <c r="O2255" s="22">
        <f>+PROVEEDORES[[#This Row],[Descuento sobre subtotal %]]*(PROVEEDORES[[#This Row],[SUBTOTAL]]-PROVEEDORES[[#This Row],[descuento sobre subtotal]])</f>
        <v>0</v>
      </c>
      <c r="P2255" s="74">
        <f>+IF(PROVEEDORES[[#This Row],[SUBTOTAL]]&lt;PROVEEDORES[[#This Row],[base retencion]],0,PROVEEDORES[[#This Row],[retención aplicada]])</f>
        <v>0</v>
      </c>
      <c r="Q2255" s="22">
        <f>+PROVEEDORES[[#This Row],[Rete Fuente %]]*(PROVEEDORES[[#This Row],[SUBTOTAL]]-PROVEEDORES[[#This Row],[descuento sobre subtotal]])</f>
        <v>0</v>
      </c>
      <c r="R2255" s="21">
        <f>+PROVEEDORES[[#This Row],[SUBTOTAL]]+PROVEEDORES[[#This Row],[IVA 19%]]-PROVEEDORES[[#This Row],[descuento sobre subtotal]]-PROVEEDORES[[#This Row],[Descuento sobre subtotal $2]]-PROVEEDORES[[#This Row],[Rete Fuente $]]</f>
        <v>1606500</v>
      </c>
      <c r="S225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5" s="63">
        <f ca="1">IF(PROVEEDORES[[#This Row],[FECHA DE PAGO]]=0,TODAY()-PROVEEDORES[[#This Row],[FECHA DE FACTURACIÓN]]-PROVEEDORES[[#This Row],[PLAZO Días]],0)</f>
        <v>0</v>
      </c>
      <c r="U2255" s="104">
        <f>+VLOOKUP(PROVEEDORES[[#This Row],[PROVEEDOR]],Terceros!$A:$D,4,FALSE)</f>
        <v>0</v>
      </c>
      <c r="V2255" s="105">
        <f>+YEAR(PROVEEDORES[[#This Row],[FECHA DE FACTURACIÓN]])</f>
        <v>2023</v>
      </c>
      <c r="W2255" s="105">
        <f>+MATCH(PROVEEDORES[[#This Row],[año facturado]],Retenciones!$1:$1,0)</f>
        <v>6</v>
      </c>
      <c r="X2255" s="106">
        <f>+VLOOKUP(PROVEEDORES[[#This Row],[ID RETENCION]],Retenciones!$A$1:$O$25,PROVEEDORES[[#This Row],[indicador de columna]],FALSE)</f>
        <v>0</v>
      </c>
      <c r="Y2255" s="107">
        <f>+VLOOKUP(PROVEEDORES[[#This Row],[ID RETENCION]],Retenciones!$A$1:$O$25,2,FALSE)</f>
        <v>0</v>
      </c>
      <c r="Z2255" s="116" t="b">
        <f>OR(COUNTIF(PROVEEDORES[[#This Row],[PROVEEDOR]],"*"&amp;'Palabra no opera'!$A$2&amp;"*"))</f>
        <v>0</v>
      </c>
    </row>
    <row r="2256" spans="1:26" ht="22.35" customHeight="1" x14ac:dyDescent="0.3">
      <c r="A2256" s="67" t="str">
        <f>+IF(PROVEEDORES[[#This Row],[FECHA DE PAGO]]=PROVEEDORES[[#This Row],[FECHA DE FACTURACIÓN]],"DE CONTADO","CRÉDITO")</f>
        <v>CRÉDITO</v>
      </c>
      <c r="B2256" s="38" t="b">
        <f>+IF((PROVEEDORES[[#This Row],[FECHA DE PAGO]]-PROVEEDORES[[#This Row],[FECHA DE FACTURACIÓN]])&gt;PROVEEDORES[[#This Row],[PLAZO Días]],"PAGO VENCIDO")</f>
        <v>0</v>
      </c>
      <c r="C2256" s="20">
        <f>+VLOOKUP(PROVEEDORES[[#This Row],[PROVEEDOR]],TERCEROS_INFO[#All],2,FALSE)</f>
        <v>60</v>
      </c>
      <c r="D2256" s="25">
        <f>+SUMIFS(PROVEEDORES[Total],PROVEEDORES[PROVEEDOR],PROVEEDORES[[#This Row],[PROVEEDOR]],PROVEEDORES[FECHA DE PAGO],"")</f>
        <v>395600</v>
      </c>
      <c r="E2256" s="25"/>
      <c r="F225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56" s="68">
        <v>45278</v>
      </c>
      <c r="H2256" s="26" t="s">
        <v>287</v>
      </c>
      <c r="I2256" s="68">
        <v>45260</v>
      </c>
      <c r="J2256" s="35">
        <v>1835</v>
      </c>
      <c r="K2256" s="21">
        <v>172000</v>
      </c>
      <c r="L2256" s="21"/>
      <c r="M2256" s="22">
        <f>(PROVEEDORES[[#This Row],[SUBTOTAL]]-PROVEEDORES[[#This Row],[descuento sobre subtotal]])*VLOOKUP(PROVEEDORES[[#This Row],[PROVEEDOR]],TERCEROS_INFO[#All],3,FALSE)</f>
        <v>0</v>
      </c>
      <c r="N2256" s="23"/>
      <c r="O2256" s="22">
        <f>+PROVEEDORES[[#This Row],[Descuento sobre subtotal %]]*(PROVEEDORES[[#This Row],[SUBTOTAL]]-PROVEEDORES[[#This Row],[descuento sobre subtotal]])</f>
        <v>0</v>
      </c>
      <c r="P2256" s="74">
        <f>+IF(PROVEEDORES[[#This Row],[SUBTOTAL]]&lt;PROVEEDORES[[#This Row],[base retencion]],0,PROVEEDORES[[#This Row],[retención aplicada]])</f>
        <v>0</v>
      </c>
      <c r="Q2256" s="22">
        <f>+PROVEEDORES[[#This Row],[Rete Fuente %]]*(PROVEEDORES[[#This Row],[SUBTOTAL]]-PROVEEDORES[[#This Row],[descuento sobre subtotal]])</f>
        <v>0</v>
      </c>
      <c r="R2256" s="21">
        <f>+PROVEEDORES[[#This Row],[SUBTOTAL]]+PROVEEDORES[[#This Row],[IVA 19%]]-PROVEEDORES[[#This Row],[descuento sobre subtotal]]-PROVEEDORES[[#This Row],[Descuento sobre subtotal $2]]-PROVEEDORES[[#This Row],[Rete Fuente $]]</f>
        <v>172000</v>
      </c>
      <c r="S225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6" s="63">
        <f ca="1">IF(PROVEEDORES[[#This Row],[FECHA DE PAGO]]=0,TODAY()-PROVEEDORES[[#This Row],[FECHA DE FACTURACIÓN]]-PROVEEDORES[[#This Row],[PLAZO Días]],0)</f>
        <v>0</v>
      </c>
      <c r="U2256" s="104">
        <f>+VLOOKUP(PROVEEDORES[[#This Row],[PROVEEDOR]],Terceros!$A:$D,4,FALSE)</f>
        <v>0</v>
      </c>
      <c r="V2256" s="105">
        <f>+YEAR(PROVEEDORES[[#This Row],[FECHA DE FACTURACIÓN]])</f>
        <v>2023</v>
      </c>
      <c r="W2256" s="105">
        <f>+MATCH(PROVEEDORES[[#This Row],[año facturado]],Retenciones!$1:$1,0)</f>
        <v>6</v>
      </c>
      <c r="X2256" s="106">
        <f>+VLOOKUP(PROVEEDORES[[#This Row],[ID RETENCION]],Retenciones!$A$1:$O$25,PROVEEDORES[[#This Row],[indicador de columna]],FALSE)</f>
        <v>0</v>
      </c>
      <c r="Y2256" s="107">
        <f>+VLOOKUP(PROVEEDORES[[#This Row],[ID RETENCION]],Retenciones!$A$1:$O$25,2,FALSE)</f>
        <v>0</v>
      </c>
      <c r="Z2256" s="116" t="b">
        <f>OR(COUNTIF(PROVEEDORES[[#This Row],[PROVEEDOR]],"*"&amp;'Palabra no opera'!$A$2&amp;"*"))</f>
        <v>0</v>
      </c>
    </row>
    <row r="2257" spans="1:26" ht="22.35" customHeight="1" x14ac:dyDescent="0.3">
      <c r="A2257" s="67" t="str">
        <f>+IF(PROVEEDORES[[#This Row],[FECHA DE PAGO]]=PROVEEDORES[[#This Row],[FECHA DE FACTURACIÓN]],"DE CONTADO","CRÉDITO")</f>
        <v>CRÉDITO</v>
      </c>
      <c r="B2257" s="38" t="b">
        <f>+IF((PROVEEDORES[[#This Row],[FECHA DE PAGO]]-PROVEEDORES[[#This Row],[FECHA DE FACTURACIÓN]])&gt;PROVEEDORES[[#This Row],[PLAZO Días]],"PAGO VENCIDO")</f>
        <v>0</v>
      </c>
      <c r="C2257" s="20">
        <f>+VLOOKUP(PROVEEDORES[[#This Row],[PROVEEDOR]],TERCEROS_INFO[#All],2,FALSE)</f>
        <v>60</v>
      </c>
      <c r="D2257" s="25">
        <f>+SUMIFS(PROVEEDORES[Total],PROVEEDORES[PROVEEDOR],PROVEEDORES[[#This Row],[PROVEEDOR]],PROVEEDORES[FECHA DE PAGO],"")</f>
        <v>395600</v>
      </c>
      <c r="E2257" s="25"/>
      <c r="F225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57" s="68">
        <v>45278</v>
      </c>
      <c r="H2257" s="26" t="s">
        <v>287</v>
      </c>
      <c r="I2257" s="68">
        <v>45260</v>
      </c>
      <c r="J2257" s="35">
        <v>1836</v>
      </c>
      <c r="K2257" s="21">
        <v>447200</v>
      </c>
      <c r="L2257" s="21"/>
      <c r="M2257" s="22">
        <f>(PROVEEDORES[[#This Row],[SUBTOTAL]]-PROVEEDORES[[#This Row],[descuento sobre subtotal]])*VLOOKUP(PROVEEDORES[[#This Row],[PROVEEDOR]],TERCEROS_INFO[#All],3,FALSE)</f>
        <v>0</v>
      </c>
      <c r="N2257" s="23"/>
      <c r="O2257" s="22">
        <f>+PROVEEDORES[[#This Row],[Descuento sobre subtotal %]]*(PROVEEDORES[[#This Row],[SUBTOTAL]]-PROVEEDORES[[#This Row],[descuento sobre subtotal]])</f>
        <v>0</v>
      </c>
      <c r="P2257" s="74">
        <f>+IF(PROVEEDORES[[#This Row],[SUBTOTAL]]&lt;PROVEEDORES[[#This Row],[base retencion]],0,PROVEEDORES[[#This Row],[retención aplicada]])</f>
        <v>0</v>
      </c>
      <c r="Q2257" s="22">
        <f>+PROVEEDORES[[#This Row],[Rete Fuente %]]*(PROVEEDORES[[#This Row],[SUBTOTAL]]-PROVEEDORES[[#This Row],[descuento sobre subtotal]])</f>
        <v>0</v>
      </c>
      <c r="R2257" s="21">
        <f>+PROVEEDORES[[#This Row],[SUBTOTAL]]+PROVEEDORES[[#This Row],[IVA 19%]]-PROVEEDORES[[#This Row],[descuento sobre subtotal]]-PROVEEDORES[[#This Row],[Descuento sobre subtotal $2]]-PROVEEDORES[[#This Row],[Rete Fuente $]]</f>
        <v>447200</v>
      </c>
      <c r="S22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7" s="63">
        <f ca="1">IF(PROVEEDORES[[#This Row],[FECHA DE PAGO]]=0,TODAY()-PROVEEDORES[[#This Row],[FECHA DE FACTURACIÓN]]-PROVEEDORES[[#This Row],[PLAZO Días]],0)</f>
        <v>0</v>
      </c>
      <c r="U2257" s="104">
        <f>+VLOOKUP(PROVEEDORES[[#This Row],[PROVEEDOR]],Terceros!$A:$D,4,FALSE)</f>
        <v>0</v>
      </c>
      <c r="V2257" s="105">
        <f>+YEAR(PROVEEDORES[[#This Row],[FECHA DE FACTURACIÓN]])</f>
        <v>2023</v>
      </c>
      <c r="W2257" s="105">
        <f>+MATCH(PROVEEDORES[[#This Row],[año facturado]],Retenciones!$1:$1,0)</f>
        <v>6</v>
      </c>
      <c r="X2257" s="106">
        <f>+VLOOKUP(PROVEEDORES[[#This Row],[ID RETENCION]],Retenciones!$A$1:$O$25,PROVEEDORES[[#This Row],[indicador de columna]],FALSE)</f>
        <v>0</v>
      </c>
      <c r="Y2257" s="107">
        <f>+VLOOKUP(PROVEEDORES[[#This Row],[ID RETENCION]],Retenciones!$A$1:$O$25,2,FALSE)</f>
        <v>0</v>
      </c>
      <c r="Z2257" s="116" t="b">
        <f>OR(COUNTIF(PROVEEDORES[[#This Row],[PROVEEDOR]],"*"&amp;'Palabra no opera'!$A$2&amp;"*"))</f>
        <v>0</v>
      </c>
    </row>
    <row r="2258" spans="1:26" ht="22.35" customHeight="1" x14ac:dyDescent="0.3">
      <c r="A2258" s="67" t="str">
        <f>+IF(PROVEEDORES[[#This Row],[FECHA DE PAGO]]=PROVEEDORES[[#This Row],[FECHA DE FACTURACIÓN]],"DE CONTADO","CRÉDITO")</f>
        <v>CRÉDITO</v>
      </c>
      <c r="B2258" s="38" t="b">
        <f>+IF((PROVEEDORES[[#This Row],[FECHA DE PAGO]]-PROVEEDORES[[#This Row],[FECHA DE FACTURACIÓN]])&gt;PROVEEDORES[[#This Row],[PLAZO Días]],"PAGO VENCIDO")</f>
        <v>0</v>
      </c>
      <c r="C2258" s="20">
        <f>+VLOOKUP(PROVEEDORES[[#This Row],[PROVEEDOR]],TERCEROS_INFO[#All],2,FALSE)</f>
        <v>60</v>
      </c>
      <c r="D2258" s="25">
        <f>+SUMIFS(PROVEEDORES[Total],PROVEEDORES[PROVEEDOR],PROVEEDORES[[#This Row],[PROVEEDOR]],PROVEEDORES[FECHA DE PAGO],"")</f>
        <v>395600</v>
      </c>
      <c r="E2258" s="25"/>
      <c r="F225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58" s="68">
        <v>45278</v>
      </c>
      <c r="H2258" s="26" t="s">
        <v>287</v>
      </c>
      <c r="I2258" s="68">
        <v>45260</v>
      </c>
      <c r="J2258" s="35">
        <v>1837</v>
      </c>
      <c r="K2258" s="21">
        <v>516000</v>
      </c>
      <c r="L2258" s="21"/>
      <c r="M2258" s="22">
        <f>(PROVEEDORES[[#This Row],[SUBTOTAL]]-PROVEEDORES[[#This Row],[descuento sobre subtotal]])*VLOOKUP(PROVEEDORES[[#This Row],[PROVEEDOR]],TERCEROS_INFO[#All],3,FALSE)</f>
        <v>0</v>
      </c>
      <c r="N2258" s="23"/>
      <c r="O2258" s="22">
        <f>+PROVEEDORES[[#This Row],[Descuento sobre subtotal %]]*(PROVEEDORES[[#This Row],[SUBTOTAL]]-PROVEEDORES[[#This Row],[descuento sobre subtotal]])</f>
        <v>0</v>
      </c>
      <c r="P2258" s="74">
        <f>+IF(PROVEEDORES[[#This Row],[SUBTOTAL]]&lt;PROVEEDORES[[#This Row],[base retencion]],0,PROVEEDORES[[#This Row],[retención aplicada]])</f>
        <v>0</v>
      </c>
      <c r="Q2258" s="22">
        <f>+PROVEEDORES[[#This Row],[Rete Fuente %]]*(PROVEEDORES[[#This Row],[SUBTOTAL]]-PROVEEDORES[[#This Row],[descuento sobre subtotal]])</f>
        <v>0</v>
      </c>
      <c r="R2258" s="21">
        <f>+PROVEEDORES[[#This Row],[SUBTOTAL]]+PROVEEDORES[[#This Row],[IVA 19%]]-PROVEEDORES[[#This Row],[descuento sobre subtotal]]-PROVEEDORES[[#This Row],[Descuento sobre subtotal $2]]-PROVEEDORES[[#This Row],[Rete Fuente $]]</f>
        <v>516000</v>
      </c>
      <c r="S225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8" s="63">
        <f ca="1">IF(PROVEEDORES[[#This Row],[FECHA DE PAGO]]=0,TODAY()-PROVEEDORES[[#This Row],[FECHA DE FACTURACIÓN]]-PROVEEDORES[[#This Row],[PLAZO Días]],0)</f>
        <v>0</v>
      </c>
      <c r="U2258" s="104">
        <f>+VLOOKUP(PROVEEDORES[[#This Row],[PROVEEDOR]],Terceros!$A:$D,4,FALSE)</f>
        <v>0</v>
      </c>
      <c r="V2258" s="105">
        <f>+YEAR(PROVEEDORES[[#This Row],[FECHA DE FACTURACIÓN]])</f>
        <v>2023</v>
      </c>
      <c r="W2258" s="105">
        <f>+MATCH(PROVEEDORES[[#This Row],[año facturado]],Retenciones!$1:$1,0)</f>
        <v>6</v>
      </c>
      <c r="X2258" s="106">
        <f>+VLOOKUP(PROVEEDORES[[#This Row],[ID RETENCION]],Retenciones!$A$1:$O$25,PROVEEDORES[[#This Row],[indicador de columna]],FALSE)</f>
        <v>0</v>
      </c>
      <c r="Y2258" s="107">
        <f>+VLOOKUP(PROVEEDORES[[#This Row],[ID RETENCION]],Retenciones!$A$1:$O$25,2,FALSE)</f>
        <v>0</v>
      </c>
      <c r="Z2258" s="116" t="b">
        <f>OR(COUNTIF(PROVEEDORES[[#This Row],[PROVEEDOR]],"*"&amp;'Palabra no opera'!$A$2&amp;"*"))</f>
        <v>0</v>
      </c>
    </row>
    <row r="2259" spans="1:26" ht="22.35" customHeight="1" x14ac:dyDescent="0.3">
      <c r="A2259" s="67" t="str">
        <f>+IF(PROVEEDORES[[#This Row],[FECHA DE PAGO]]=PROVEEDORES[[#This Row],[FECHA DE FACTURACIÓN]],"DE CONTADO","CRÉDITO")</f>
        <v>CRÉDITO</v>
      </c>
      <c r="B2259" s="38" t="b">
        <f>+IF((PROVEEDORES[[#This Row],[FECHA DE PAGO]]-PROVEEDORES[[#This Row],[FECHA DE FACTURACIÓN]])&gt;PROVEEDORES[[#This Row],[PLAZO Días]],"PAGO VENCIDO")</f>
        <v>0</v>
      </c>
      <c r="C2259" s="20">
        <f>+VLOOKUP(PROVEEDORES[[#This Row],[PROVEEDOR]],TERCEROS_INFO[#All],2,FALSE)</f>
        <v>60</v>
      </c>
      <c r="D2259" s="25">
        <f>+SUMIFS(PROVEEDORES[Total],PROVEEDORES[PROVEEDOR],PROVEEDORES[[#This Row],[PROVEEDOR]],PROVEEDORES[FECHA DE PAGO],"")</f>
        <v>395600</v>
      </c>
      <c r="E2259" s="25"/>
      <c r="F225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59" s="68">
        <v>45278</v>
      </c>
      <c r="H2259" s="26" t="s">
        <v>287</v>
      </c>
      <c r="I2259" s="68">
        <v>45260</v>
      </c>
      <c r="J2259" s="35">
        <v>1841</v>
      </c>
      <c r="K2259" s="21">
        <v>1097790</v>
      </c>
      <c r="L2259" s="21"/>
      <c r="M2259" s="22">
        <f>(PROVEEDORES[[#This Row],[SUBTOTAL]]-PROVEEDORES[[#This Row],[descuento sobre subtotal]])*VLOOKUP(PROVEEDORES[[#This Row],[PROVEEDOR]],TERCEROS_INFO[#All],3,FALSE)</f>
        <v>0</v>
      </c>
      <c r="N2259" s="23"/>
      <c r="O2259" s="22">
        <f>+PROVEEDORES[[#This Row],[Descuento sobre subtotal %]]*(PROVEEDORES[[#This Row],[SUBTOTAL]]-PROVEEDORES[[#This Row],[descuento sobre subtotal]])</f>
        <v>0</v>
      </c>
      <c r="P2259" s="74">
        <f>+IF(PROVEEDORES[[#This Row],[SUBTOTAL]]&lt;PROVEEDORES[[#This Row],[base retencion]],0,PROVEEDORES[[#This Row],[retención aplicada]])</f>
        <v>0</v>
      </c>
      <c r="Q2259" s="22">
        <f>+PROVEEDORES[[#This Row],[Rete Fuente %]]*(PROVEEDORES[[#This Row],[SUBTOTAL]]-PROVEEDORES[[#This Row],[descuento sobre subtotal]])</f>
        <v>0</v>
      </c>
      <c r="R2259" s="21">
        <f>+PROVEEDORES[[#This Row],[SUBTOTAL]]+PROVEEDORES[[#This Row],[IVA 19%]]-PROVEEDORES[[#This Row],[descuento sobre subtotal]]-PROVEEDORES[[#This Row],[Descuento sobre subtotal $2]]-PROVEEDORES[[#This Row],[Rete Fuente $]]</f>
        <v>1097790</v>
      </c>
      <c r="S225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9" s="63">
        <f ca="1">IF(PROVEEDORES[[#This Row],[FECHA DE PAGO]]=0,TODAY()-PROVEEDORES[[#This Row],[FECHA DE FACTURACIÓN]]-PROVEEDORES[[#This Row],[PLAZO Días]],0)</f>
        <v>0</v>
      </c>
      <c r="U2259" s="104">
        <f>+VLOOKUP(PROVEEDORES[[#This Row],[PROVEEDOR]],Terceros!$A:$D,4,FALSE)</f>
        <v>0</v>
      </c>
      <c r="V2259" s="105">
        <f>+YEAR(PROVEEDORES[[#This Row],[FECHA DE FACTURACIÓN]])</f>
        <v>2023</v>
      </c>
      <c r="W2259" s="105">
        <f>+MATCH(PROVEEDORES[[#This Row],[año facturado]],Retenciones!$1:$1,0)</f>
        <v>6</v>
      </c>
      <c r="X2259" s="106">
        <f>+VLOOKUP(PROVEEDORES[[#This Row],[ID RETENCION]],Retenciones!$A$1:$O$25,PROVEEDORES[[#This Row],[indicador de columna]],FALSE)</f>
        <v>0</v>
      </c>
      <c r="Y2259" s="107">
        <f>+VLOOKUP(PROVEEDORES[[#This Row],[ID RETENCION]],Retenciones!$A$1:$O$25,2,FALSE)</f>
        <v>0</v>
      </c>
      <c r="Z2259" s="116" t="b">
        <f>OR(COUNTIF(PROVEEDORES[[#This Row],[PROVEEDOR]],"*"&amp;'Palabra no opera'!$A$2&amp;"*"))</f>
        <v>0</v>
      </c>
    </row>
    <row r="2260" spans="1:26" ht="22.35" customHeight="1" x14ac:dyDescent="0.3">
      <c r="A2260" s="67" t="str">
        <f>+IF(PROVEEDORES[[#This Row],[FECHA DE PAGO]]=PROVEEDORES[[#This Row],[FECHA DE FACTURACIÓN]],"DE CONTADO","CRÉDITO")</f>
        <v>CRÉDITO</v>
      </c>
      <c r="B2260" s="38" t="b">
        <f>+IF((PROVEEDORES[[#This Row],[FECHA DE PAGO]]-PROVEEDORES[[#This Row],[FECHA DE FACTURACIÓN]])&gt;PROVEEDORES[[#This Row],[PLAZO Días]],"PAGO VENCIDO")</f>
        <v>0</v>
      </c>
      <c r="C2260" s="20">
        <f>+VLOOKUP(PROVEEDORES[[#This Row],[PROVEEDOR]],TERCEROS_INFO[#All],2,FALSE)</f>
        <v>30</v>
      </c>
      <c r="D2260" s="25">
        <f>+SUMIFS(PROVEEDORES[Total],PROVEEDORES[PROVEEDOR],PROVEEDORES[[#This Row],[PROVEEDOR]],PROVEEDORES[FECHA DE PAGO],"")</f>
        <v>1316890.8900000001</v>
      </c>
      <c r="E2260" s="25"/>
      <c r="F226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260" s="68">
        <v>45278</v>
      </c>
      <c r="H2260" s="26" t="s">
        <v>17</v>
      </c>
      <c r="I2260" s="68">
        <v>45257</v>
      </c>
      <c r="J2260" s="35" t="s">
        <v>2184</v>
      </c>
      <c r="K2260" s="21">
        <v>137997.5</v>
      </c>
      <c r="L2260" s="21"/>
      <c r="M2260" s="22">
        <f>(PROVEEDORES[[#This Row],[SUBTOTAL]]-PROVEEDORES[[#This Row],[descuento sobre subtotal]])*VLOOKUP(PROVEEDORES[[#This Row],[PROVEEDOR]],TERCEROS_INFO[#All],3,FALSE)</f>
        <v>26219.525000000001</v>
      </c>
      <c r="N2260" s="23"/>
      <c r="O2260" s="22">
        <f>+PROVEEDORES[[#This Row],[Descuento sobre subtotal %]]*(PROVEEDORES[[#This Row],[SUBTOTAL]]-PROVEEDORES[[#This Row],[descuento sobre subtotal]])</f>
        <v>0</v>
      </c>
      <c r="P2260" s="74">
        <f>+IF(PROVEEDORES[[#This Row],[SUBTOTAL]]&lt;PROVEEDORES[[#This Row],[base retencion]],0,PROVEEDORES[[#This Row],[retención aplicada]])</f>
        <v>0</v>
      </c>
      <c r="Q2260" s="22">
        <f>+PROVEEDORES[[#This Row],[Rete Fuente %]]*(PROVEEDORES[[#This Row],[SUBTOTAL]]-PROVEEDORES[[#This Row],[descuento sobre subtotal]])</f>
        <v>0</v>
      </c>
      <c r="R2260" s="21">
        <f>+PROVEEDORES[[#This Row],[SUBTOTAL]]+PROVEEDORES[[#This Row],[IVA 19%]]-PROVEEDORES[[#This Row],[descuento sobre subtotal]]-PROVEEDORES[[#This Row],[Descuento sobre subtotal $2]]-PROVEEDORES[[#This Row],[Rete Fuente $]]</f>
        <v>164217.02499999999</v>
      </c>
      <c r="S226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0" s="63">
        <f ca="1">IF(PROVEEDORES[[#This Row],[FECHA DE PAGO]]=0,TODAY()-PROVEEDORES[[#This Row],[FECHA DE FACTURACIÓN]]-PROVEEDORES[[#This Row],[PLAZO Días]],0)</f>
        <v>0</v>
      </c>
      <c r="U2260" s="104">
        <f>+VLOOKUP(PROVEEDORES[[#This Row],[PROVEEDOR]],Terceros!$A:$D,4,FALSE)</f>
        <v>0</v>
      </c>
      <c r="V2260" s="105">
        <f>+YEAR(PROVEEDORES[[#This Row],[FECHA DE FACTURACIÓN]])</f>
        <v>2023</v>
      </c>
      <c r="W2260" s="105">
        <f>+MATCH(PROVEEDORES[[#This Row],[año facturado]],Retenciones!$1:$1,0)</f>
        <v>6</v>
      </c>
      <c r="X2260" s="106">
        <f>+VLOOKUP(PROVEEDORES[[#This Row],[ID RETENCION]],Retenciones!$A$1:$O$25,PROVEEDORES[[#This Row],[indicador de columna]],FALSE)</f>
        <v>0</v>
      </c>
      <c r="Y2260" s="107">
        <f>+VLOOKUP(PROVEEDORES[[#This Row],[ID RETENCION]],Retenciones!$A$1:$O$25,2,FALSE)</f>
        <v>0</v>
      </c>
      <c r="Z2260" s="116" t="b">
        <f>OR(COUNTIF(PROVEEDORES[[#This Row],[PROVEEDOR]],"*"&amp;'Palabra no opera'!$A$2&amp;"*"))</f>
        <v>0</v>
      </c>
    </row>
    <row r="2261" spans="1:26" ht="22.35" customHeight="1" x14ac:dyDescent="0.3">
      <c r="A2261" s="392" t="str">
        <f>+IF(PROVEEDORES[[#This Row],[FECHA DE PAGO]]=PROVEEDORES[[#This Row],[FECHA DE FACTURACIÓN]],"DE CONTADO","CRÉDITO")</f>
        <v>CRÉDITO</v>
      </c>
      <c r="B2261" s="38" t="b">
        <f>+IF((PROVEEDORES[[#This Row],[FECHA DE PAGO]]-PROVEEDORES[[#This Row],[FECHA DE FACTURACIÓN]])&gt;PROVEEDORES[[#This Row],[PLAZO Días]],"PAGO VENCIDO")</f>
        <v>0</v>
      </c>
      <c r="C2261" s="20">
        <f>+VLOOKUP(PROVEEDORES[[#This Row],[PROVEEDOR]],TERCEROS_INFO[#All],2,FALSE)</f>
        <v>60</v>
      </c>
      <c r="D2261" s="25">
        <f>+SUMIFS(PROVEEDORES[Total],PROVEEDORES[PROVEEDOR],PROVEEDORES[[#This Row],[PROVEEDOR]],PROVEEDORES[FECHA DE PAGO],"")</f>
        <v>395600</v>
      </c>
      <c r="E2261" s="25"/>
      <c r="F226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1" s="68">
        <v>45278</v>
      </c>
      <c r="H2261" s="26" t="s">
        <v>287</v>
      </c>
      <c r="I2261" s="68">
        <v>45260</v>
      </c>
      <c r="J2261" s="35">
        <v>1851</v>
      </c>
      <c r="K2261" s="21">
        <v>756800</v>
      </c>
      <c r="L2261" s="21"/>
      <c r="M2261" s="22">
        <f>(PROVEEDORES[[#This Row],[SUBTOTAL]]-PROVEEDORES[[#This Row],[descuento sobre subtotal]])*VLOOKUP(PROVEEDORES[[#This Row],[PROVEEDOR]],TERCEROS_INFO[#All],3,FALSE)</f>
        <v>0</v>
      </c>
      <c r="N2261" s="23"/>
      <c r="O2261" s="22">
        <f>+PROVEEDORES[[#This Row],[Descuento sobre subtotal %]]*(PROVEEDORES[[#This Row],[SUBTOTAL]]-PROVEEDORES[[#This Row],[descuento sobre subtotal]])</f>
        <v>0</v>
      </c>
      <c r="P2261" s="74">
        <f>+IF(PROVEEDORES[[#This Row],[SUBTOTAL]]&lt;PROVEEDORES[[#This Row],[base retencion]],0,PROVEEDORES[[#This Row],[retención aplicada]])</f>
        <v>0</v>
      </c>
      <c r="Q2261" s="22">
        <f>+PROVEEDORES[[#This Row],[Rete Fuente %]]*(PROVEEDORES[[#This Row],[SUBTOTAL]]-PROVEEDORES[[#This Row],[descuento sobre subtotal]])</f>
        <v>0</v>
      </c>
      <c r="R2261" s="21">
        <f>+PROVEEDORES[[#This Row],[SUBTOTAL]]+PROVEEDORES[[#This Row],[IVA 19%]]-PROVEEDORES[[#This Row],[descuento sobre subtotal]]-PROVEEDORES[[#This Row],[Descuento sobre subtotal $2]]-PROVEEDORES[[#This Row],[Rete Fuente $]]</f>
        <v>756800</v>
      </c>
      <c r="S2261" s="3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1" s="63">
        <f ca="1">IF(PROVEEDORES[[#This Row],[FECHA DE PAGO]]=0,TODAY()-PROVEEDORES[[#This Row],[FECHA DE FACTURACIÓN]]-PROVEEDORES[[#This Row],[PLAZO Días]],0)</f>
        <v>0</v>
      </c>
      <c r="U2261" s="104">
        <f>+VLOOKUP(PROVEEDORES[[#This Row],[PROVEEDOR]],Terceros!$A:$D,4,FALSE)</f>
        <v>0</v>
      </c>
      <c r="V2261" s="105">
        <f>+YEAR(PROVEEDORES[[#This Row],[FECHA DE FACTURACIÓN]])</f>
        <v>2023</v>
      </c>
      <c r="W2261" s="105">
        <f>+MATCH(PROVEEDORES[[#This Row],[año facturado]],Retenciones!$1:$1,0)</f>
        <v>6</v>
      </c>
      <c r="X2261" s="106">
        <f>+VLOOKUP(PROVEEDORES[[#This Row],[ID RETENCION]],Retenciones!$A$1:$O$25,PROVEEDORES[[#This Row],[indicador de columna]],FALSE)</f>
        <v>0</v>
      </c>
      <c r="Y2261" s="107">
        <f>+VLOOKUP(PROVEEDORES[[#This Row],[ID RETENCION]],Retenciones!$A$1:$O$25,2,FALSE)</f>
        <v>0</v>
      </c>
      <c r="Z2261" s="116" t="b">
        <f>OR(COUNTIF(PROVEEDORES[[#This Row],[PROVEEDOR]],"*"&amp;'Palabra no opera'!$A$2&amp;"*"))</f>
        <v>0</v>
      </c>
    </row>
    <row r="2262" spans="1:26" ht="22.35" customHeight="1" x14ac:dyDescent="0.3">
      <c r="A2262" s="392" t="str">
        <f>+IF(PROVEEDORES[[#This Row],[FECHA DE PAGO]]=PROVEEDORES[[#This Row],[FECHA DE FACTURACIÓN]],"DE CONTADO","CRÉDITO")</f>
        <v>CRÉDITO</v>
      </c>
      <c r="B2262" s="38" t="b">
        <f>+IF((PROVEEDORES[[#This Row],[FECHA DE PAGO]]-PROVEEDORES[[#This Row],[FECHA DE FACTURACIÓN]])&gt;PROVEEDORES[[#This Row],[PLAZO Días]],"PAGO VENCIDO")</f>
        <v>0</v>
      </c>
      <c r="C2262" s="20">
        <f>+VLOOKUP(PROVEEDORES[[#This Row],[PROVEEDOR]],TERCEROS_INFO[#All],2,FALSE)</f>
        <v>60</v>
      </c>
      <c r="D2262" s="25">
        <f>+SUMIFS(PROVEEDORES[Total],PROVEEDORES[PROVEEDOR],PROVEEDORES[[#This Row],[PROVEEDOR]],PROVEEDORES[FECHA DE PAGO],"")</f>
        <v>395600</v>
      </c>
      <c r="E2262" s="25"/>
      <c r="F226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2" s="68">
        <v>45278</v>
      </c>
      <c r="H2262" s="26" t="s">
        <v>287</v>
      </c>
      <c r="I2262" s="68">
        <v>45260</v>
      </c>
      <c r="J2262" s="35">
        <v>1850</v>
      </c>
      <c r="K2262" s="21">
        <v>1177770</v>
      </c>
      <c r="L2262" s="21"/>
      <c r="M2262" s="22">
        <f>(PROVEEDORES[[#This Row],[SUBTOTAL]]-PROVEEDORES[[#This Row],[descuento sobre subtotal]])*VLOOKUP(PROVEEDORES[[#This Row],[PROVEEDOR]],TERCEROS_INFO[#All],3,FALSE)</f>
        <v>0</v>
      </c>
      <c r="N2262" s="23"/>
      <c r="O2262" s="22">
        <f>+PROVEEDORES[[#This Row],[Descuento sobre subtotal %]]*(PROVEEDORES[[#This Row],[SUBTOTAL]]-PROVEEDORES[[#This Row],[descuento sobre subtotal]])</f>
        <v>0</v>
      </c>
      <c r="P2262" s="74">
        <f>+IF(PROVEEDORES[[#This Row],[SUBTOTAL]]&lt;PROVEEDORES[[#This Row],[base retencion]],0,PROVEEDORES[[#This Row],[retención aplicada]])</f>
        <v>0</v>
      </c>
      <c r="Q2262" s="22">
        <f>+PROVEEDORES[[#This Row],[Rete Fuente %]]*(PROVEEDORES[[#This Row],[SUBTOTAL]]-PROVEEDORES[[#This Row],[descuento sobre subtotal]])</f>
        <v>0</v>
      </c>
      <c r="R2262" s="21">
        <f>+PROVEEDORES[[#This Row],[SUBTOTAL]]+PROVEEDORES[[#This Row],[IVA 19%]]-PROVEEDORES[[#This Row],[descuento sobre subtotal]]-PROVEEDORES[[#This Row],[Descuento sobre subtotal $2]]-PROVEEDORES[[#This Row],[Rete Fuente $]]</f>
        <v>1177770</v>
      </c>
      <c r="S2262" s="3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2" s="63">
        <f ca="1">IF(PROVEEDORES[[#This Row],[FECHA DE PAGO]]=0,TODAY()-PROVEEDORES[[#This Row],[FECHA DE FACTURACIÓN]]-PROVEEDORES[[#This Row],[PLAZO Días]],0)</f>
        <v>0</v>
      </c>
      <c r="U2262" s="104">
        <f>+VLOOKUP(PROVEEDORES[[#This Row],[PROVEEDOR]],Terceros!$A:$D,4,FALSE)</f>
        <v>0</v>
      </c>
      <c r="V2262" s="105">
        <f>+YEAR(PROVEEDORES[[#This Row],[FECHA DE FACTURACIÓN]])</f>
        <v>2023</v>
      </c>
      <c r="W2262" s="105">
        <f>+MATCH(PROVEEDORES[[#This Row],[año facturado]],Retenciones!$1:$1,0)</f>
        <v>6</v>
      </c>
      <c r="X2262" s="106">
        <f>+VLOOKUP(PROVEEDORES[[#This Row],[ID RETENCION]],Retenciones!$A$1:$O$25,PROVEEDORES[[#This Row],[indicador de columna]],FALSE)</f>
        <v>0</v>
      </c>
      <c r="Y2262" s="107">
        <f>+VLOOKUP(PROVEEDORES[[#This Row],[ID RETENCION]],Retenciones!$A$1:$O$25,2,FALSE)</f>
        <v>0</v>
      </c>
      <c r="Z2262" s="116" t="b">
        <f>OR(COUNTIF(PROVEEDORES[[#This Row],[PROVEEDOR]],"*"&amp;'Palabra no opera'!$A$2&amp;"*"))</f>
        <v>0</v>
      </c>
    </row>
    <row r="2263" spans="1:26" ht="22.35" customHeight="1" x14ac:dyDescent="0.3">
      <c r="A2263" s="392" t="str">
        <f>+IF(PROVEEDORES[[#This Row],[FECHA DE PAGO]]=PROVEEDORES[[#This Row],[FECHA DE FACTURACIÓN]],"DE CONTADO","CRÉDITO")</f>
        <v>CRÉDITO</v>
      </c>
      <c r="B2263" s="38" t="b">
        <f>+IF((PROVEEDORES[[#This Row],[FECHA DE PAGO]]-PROVEEDORES[[#This Row],[FECHA DE FACTURACIÓN]])&gt;PROVEEDORES[[#This Row],[PLAZO Días]],"PAGO VENCIDO")</f>
        <v>0</v>
      </c>
      <c r="C2263" s="20">
        <f>+VLOOKUP(PROVEEDORES[[#This Row],[PROVEEDOR]],TERCEROS_INFO[#All],2,FALSE)</f>
        <v>60</v>
      </c>
      <c r="D2263" s="25">
        <f>+SUMIFS(PROVEEDORES[Total],PROVEEDORES[PROVEEDOR],PROVEEDORES[[#This Row],[PROVEEDOR]],PROVEEDORES[FECHA DE PAGO],"")</f>
        <v>395600</v>
      </c>
      <c r="E2263" s="25"/>
      <c r="F226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3" s="68">
        <v>45278</v>
      </c>
      <c r="H2263" s="26" t="s">
        <v>287</v>
      </c>
      <c r="I2263" s="68">
        <v>45264</v>
      </c>
      <c r="J2263" s="35">
        <v>1853</v>
      </c>
      <c r="K2263" s="21">
        <v>619200</v>
      </c>
      <c r="L2263" s="21"/>
      <c r="M2263" s="22">
        <f>(PROVEEDORES[[#This Row],[SUBTOTAL]]-PROVEEDORES[[#This Row],[descuento sobre subtotal]])*VLOOKUP(PROVEEDORES[[#This Row],[PROVEEDOR]],TERCEROS_INFO[#All],3,FALSE)</f>
        <v>0</v>
      </c>
      <c r="N2263" s="23"/>
      <c r="O2263" s="22">
        <f>+PROVEEDORES[[#This Row],[Descuento sobre subtotal %]]*(PROVEEDORES[[#This Row],[SUBTOTAL]]-PROVEEDORES[[#This Row],[descuento sobre subtotal]])</f>
        <v>0</v>
      </c>
      <c r="P2263" s="74">
        <f>+IF(PROVEEDORES[[#This Row],[SUBTOTAL]]&lt;PROVEEDORES[[#This Row],[base retencion]],0,PROVEEDORES[[#This Row],[retención aplicada]])</f>
        <v>0</v>
      </c>
      <c r="Q2263" s="22">
        <f>+PROVEEDORES[[#This Row],[Rete Fuente %]]*(PROVEEDORES[[#This Row],[SUBTOTAL]]-PROVEEDORES[[#This Row],[descuento sobre subtotal]])</f>
        <v>0</v>
      </c>
      <c r="R2263" s="21">
        <f>+PROVEEDORES[[#This Row],[SUBTOTAL]]+PROVEEDORES[[#This Row],[IVA 19%]]-PROVEEDORES[[#This Row],[descuento sobre subtotal]]-PROVEEDORES[[#This Row],[Descuento sobre subtotal $2]]-PROVEEDORES[[#This Row],[Rete Fuente $]]</f>
        <v>619200</v>
      </c>
      <c r="S2263" s="3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3" s="63">
        <f ca="1">IF(PROVEEDORES[[#This Row],[FECHA DE PAGO]]=0,TODAY()-PROVEEDORES[[#This Row],[FECHA DE FACTURACIÓN]]-PROVEEDORES[[#This Row],[PLAZO Días]],0)</f>
        <v>0</v>
      </c>
      <c r="U2263" s="104">
        <f>+VLOOKUP(PROVEEDORES[[#This Row],[PROVEEDOR]],Terceros!$A:$D,4,FALSE)</f>
        <v>0</v>
      </c>
      <c r="V2263" s="105">
        <f>+YEAR(PROVEEDORES[[#This Row],[FECHA DE FACTURACIÓN]])</f>
        <v>2023</v>
      </c>
      <c r="W2263" s="105">
        <f>+MATCH(PROVEEDORES[[#This Row],[año facturado]],Retenciones!$1:$1,0)</f>
        <v>6</v>
      </c>
      <c r="X2263" s="106">
        <f>+VLOOKUP(PROVEEDORES[[#This Row],[ID RETENCION]],Retenciones!$A$1:$O$25,PROVEEDORES[[#This Row],[indicador de columna]],FALSE)</f>
        <v>0</v>
      </c>
      <c r="Y2263" s="107">
        <f>+VLOOKUP(PROVEEDORES[[#This Row],[ID RETENCION]],Retenciones!$A$1:$O$25,2,FALSE)</f>
        <v>0</v>
      </c>
      <c r="Z2263" s="116" t="b">
        <f>OR(COUNTIF(PROVEEDORES[[#This Row],[PROVEEDOR]],"*"&amp;'Palabra no opera'!$A$2&amp;"*"))</f>
        <v>0</v>
      </c>
    </row>
    <row r="2264" spans="1:26" ht="22.35" customHeight="1" x14ac:dyDescent="0.3">
      <c r="A2264" s="392" t="str">
        <f>+IF(PROVEEDORES[[#This Row],[FECHA DE PAGO]]=PROVEEDORES[[#This Row],[FECHA DE FACTURACIÓN]],"DE CONTADO","CRÉDITO")</f>
        <v>CRÉDITO</v>
      </c>
      <c r="B2264" s="38" t="b">
        <f>+IF((PROVEEDORES[[#This Row],[FECHA DE PAGO]]-PROVEEDORES[[#This Row],[FECHA DE FACTURACIÓN]])&gt;PROVEEDORES[[#This Row],[PLAZO Días]],"PAGO VENCIDO")</f>
        <v>0</v>
      </c>
      <c r="C2264" s="20">
        <f>+VLOOKUP(PROVEEDORES[[#This Row],[PROVEEDOR]],TERCEROS_INFO[#All],2,FALSE)</f>
        <v>60</v>
      </c>
      <c r="D2264" s="25">
        <f>+SUMIFS(PROVEEDORES[Total],PROVEEDORES[PROVEEDOR],PROVEEDORES[[#This Row],[PROVEEDOR]],PROVEEDORES[FECHA DE PAGO],"")</f>
        <v>395600</v>
      </c>
      <c r="E2264" s="25"/>
      <c r="F226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4" s="68">
        <v>45278</v>
      </c>
      <c r="H2264" s="26" t="s">
        <v>287</v>
      </c>
      <c r="I2264" s="68">
        <v>45267</v>
      </c>
      <c r="J2264" s="35">
        <v>1854</v>
      </c>
      <c r="K2264" s="21">
        <v>344000</v>
      </c>
      <c r="L2264" s="21"/>
      <c r="M2264" s="22">
        <f>(PROVEEDORES[[#This Row],[SUBTOTAL]]-PROVEEDORES[[#This Row],[descuento sobre subtotal]])*VLOOKUP(PROVEEDORES[[#This Row],[PROVEEDOR]],TERCEROS_INFO[#All],3,FALSE)</f>
        <v>0</v>
      </c>
      <c r="N2264" s="23"/>
      <c r="O2264" s="22">
        <f>+PROVEEDORES[[#This Row],[Descuento sobre subtotal %]]*(PROVEEDORES[[#This Row],[SUBTOTAL]]-PROVEEDORES[[#This Row],[descuento sobre subtotal]])</f>
        <v>0</v>
      </c>
      <c r="P2264" s="74">
        <f>+IF(PROVEEDORES[[#This Row],[SUBTOTAL]]&lt;PROVEEDORES[[#This Row],[base retencion]],0,PROVEEDORES[[#This Row],[retención aplicada]])</f>
        <v>0</v>
      </c>
      <c r="Q2264" s="22">
        <f>+PROVEEDORES[[#This Row],[Rete Fuente %]]*(PROVEEDORES[[#This Row],[SUBTOTAL]]-PROVEEDORES[[#This Row],[descuento sobre subtotal]])</f>
        <v>0</v>
      </c>
      <c r="R2264" s="21">
        <f>+PROVEEDORES[[#This Row],[SUBTOTAL]]+PROVEEDORES[[#This Row],[IVA 19%]]-PROVEEDORES[[#This Row],[descuento sobre subtotal]]-PROVEEDORES[[#This Row],[Descuento sobre subtotal $2]]-PROVEEDORES[[#This Row],[Rete Fuente $]]</f>
        <v>344000</v>
      </c>
      <c r="S2264" s="3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4" s="63">
        <f ca="1">IF(PROVEEDORES[[#This Row],[FECHA DE PAGO]]=0,TODAY()-PROVEEDORES[[#This Row],[FECHA DE FACTURACIÓN]]-PROVEEDORES[[#This Row],[PLAZO Días]],0)</f>
        <v>0</v>
      </c>
      <c r="U2264" s="104">
        <f>+VLOOKUP(PROVEEDORES[[#This Row],[PROVEEDOR]],Terceros!$A:$D,4,FALSE)</f>
        <v>0</v>
      </c>
      <c r="V2264" s="105">
        <f>+YEAR(PROVEEDORES[[#This Row],[FECHA DE FACTURACIÓN]])</f>
        <v>2023</v>
      </c>
      <c r="W2264" s="105">
        <f>+MATCH(PROVEEDORES[[#This Row],[año facturado]],Retenciones!$1:$1,0)</f>
        <v>6</v>
      </c>
      <c r="X2264" s="106">
        <f>+VLOOKUP(PROVEEDORES[[#This Row],[ID RETENCION]],Retenciones!$A$1:$O$25,PROVEEDORES[[#This Row],[indicador de columna]],FALSE)</f>
        <v>0</v>
      </c>
      <c r="Y2264" s="107">
        <f>+VLOOKUP(PROVEEDORES[[#This Row],[ID RETENCION]],Retenciones!$A$1:$O$25,2,FALSE)</f>
        <v>0</v>
      </c>
      <c r="Z2264" s="116" t="b">
        <f>OR(COUNTIF(PROVEEDORES[[#This Row],[PROVEEDOR]],"*"&amp;'Palabra no opera'!$A$2&amp;"*"))</f>
        <v>0</v>
      </c>
    </row>
    <row r="2265" spans="1:26" ht="22.35" customHeight="1" x14ac:dyDescent="0.3">
      <c r="A2265" s="67" t="str">
        <f>+IF(PROVEEDORES[[#This Row],[FECHA DE PAGO]]=PROVEEDORES[[#This Row],[FECHA DE FACTURACIÓN]],"DE CONTADO","CRÉDITO")</f>
        <v>CRÉDITO</v>
      </c>
      <c r="B2265" s="38" t="b">
        <f>+IF((PROVEEDORES[[#This Row],[FECHA DE PAGO]]-PROVEEDORES[[#This Row],[FECHA DE FACTURACIÓN]])&gt;PROVEEDORES[[#This Row],[PLAZO Días]],"PAGO VENCIDO")</f>
        <v>0</v>
      </c>
      <c r="C2265" s="20">
        <f>+VLOOKUP(PROVEEDORES[[#This Row],[PROVEEDOR]],TERCEROS_INFO[#All],2,FALSE)</f>
        <v>60</v>
      </c>
      <c r="D2265" s="25">
        <f>+SUMIFS(PROVEEDORES[Total],PROVEEDORES[PROVEEDOR],PROVEEDORES[[#This Row],[PROVEEDOR]],PROVEEDORES[FECHA DE PAGO],"")</f>
        <v>395600</v>
      </c>
      <c r="E2265" s="25"/>
      <c r="F226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265" s="68">
        <v>45278</v>
      </c>
      <c r="H2265" s="26" t="s">
        <v>287</v>
      </c>
      <c r="I2265" s="68">
        <v>45267</v>
      </c>
      <c r="J2265" s="35">
        <v>1863</v>
      </c>
      <c r="K2265" s="21">
        <v>430000</v>
      </c>
      <c r="L2265" s="21"/>
      <c r="M2265" s="22">
        <f>(PROVEEDORES[[#This Row],[SUBTOTAL]]-PROVEEDORES[[#This Row],[descuento sobre subtotal]])*VLOOKUP(PROVEEDORES[[#This Row],[PROVEEDOR]],TERCEROS_INFO[#All],3,FALSE)</f>
        <v>0</v>
      </c>
      <c r="N2265" s="23"/>
      <c r="O2265" s="22">
        <f>+PROVEEDORES[[#This Row],[Descuento sobre subtotal %]]*(PROVEEDORES[[#This Row],[SUBTOTAL]]-PROVEEDORES[[#This Row],[descuento sobre subtotal]])</f>
        <v>0</v>
      </c>
      <c r="P2265" s="74">
        <f>+IF(PROVEEDORES[[#This Row],[SUBTOTAL]]&lt;PROVEEDORES[[#This Row],[base retencion]],0,PROVEEDORES[[#This Row],[retención aplicada]])</f>
        <v>0</v>
      </c>
      <c r="Q2265" s="22">
        <f>+PROVEEDORES[[#This Row],[Rete Fuente %]]*(PROVEEDORES[[#This Row],[SUBTOTAL]]-PROVEEDORES[[#This Row],[descuento sobre subtotal]])</f>
        <v>0</v>
      </c>
      <c r="R2265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226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5" s="63">
        <f ca="1">IF(PROVEEDORES[[#This Row],[FECHA DE PAGO]]=0,TODAY()-PROVEEDORES[[#This Row],[FECHA DE FACTURACIÓN]]-PROVEEDORES[[#This Row],[PLAZO Días]],0)</f>
        <v>0</v>
      </c>
      <c r="U2265" s="104">
        <f>+VLOOKUP(PROVEEDORES[[#This Row],[PROVEEDOR]],Terceros!$A:$D,4,FALSE)</f>
        <v>0</v>
      </c>
      <c r="V2265" s="105">
        <f>+YEAR(PROVEEDORES[[#This Row],[FECHA DE FACTURACIÓN]])</f>
        <v>2023</v>
      </c>
      <c r="W2265" s="105">
        <f>+MATCH(PROVEEDORES[[#This Row],[año facturado]],Retenciones!$1:$1,0)</f>
        <v>6</v>
      </c>
      <c r="X2265" s="106">
        <f>+VLOOKUP(PROVEEDORES[[#This Row],[ID RETENCION]],Retenciones!$A$1:$O$25,PROVEEDORES[[#This Row],[indicador de columna]],FALSE)</f>
        <v>0</v>
      </c>
      <c r="Y2265" s="107">
        <f>+VLOOKUP(PROVEEDORES[[#This Row],[ID RETENCION]],Retenciones!$A$1:$O$25,2,FALSE)</f>
        <v>0</v>
      </c>
      <c r="Z2265" s="116" t="b">
        <f>OR(COUNTIF(PROVEEDORES[[#This Row],[PROVEEDOR]],"*"&amp;'Palabra no opera'!$A$2&amp;"*"))</f>
        <v>0</v>
      </c>
    </row>
    <row r="2266" spans="1:26" ht="22.35" customHeight="1" x14ac:dyDescent="0.3">
      <c r="A2266" s="387" t="str">
        <f>+IF(PROVEEDORES[[#This Row],[FECHA DE PAGO]]=PROVEEDORES[[#This Row],[FECHA DE FACTURACIÓN]],"DE CONTADO","CRÉDITO")</f>
        <v>CRÉDITO</v>
      </c>
      <c r="B2266" s="38" t="str">
        <f>+IF((PROVEEDORES[[#This Row],[FECHA DE PAGO]]-PROVEEDORES[[#This Row],[FECHA DE FACTURACIÓN]])&gt;PROVEEDORES[[#This Row],[PLAZO Días]],"PAGO VENCIDO")</f>
        <v>PAGO VENCIDO</v>
      </c>
      <c r="C2266" s="20">
        <f>+VLOOKUP(PROVEEDORES[[#This Row],[PROVEEDOR]],TERCEROS_INFO[#All],2,FALSE)</f>
        <v>30</v>
      </c>
      <c r="D2266" s="25">
        <f>+SUMIFS(PROVEEDORES[Total],PROVEEDORES[PROVEEDOR],PROVEEDORES[[#This Row],[PROVEEDOR]],PROVEEDORES[FECHA DE PAGO],"")</f>
        <v>5537221.7000000002</v>
      </c>
      <c r="E2266" s="25"/>
      <c r="F2266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266" s="68">
        <v>45280</v>
      </c>
      <c r="H2266" s="26" t="s">
        <v>293</v>
      </c>
      <c r="I2266" s="68">
        <v>45246</v>
      </c>
      <c r="J2266" s="35" t="s">
        <v>2160</v>
      </c>
      <c r="K2266" s="21">
        <v>2491740</v>
      </c>
      <c r="L2266" s="21"/>
      <c r="M2266" s="22">
        <f>(PROVEEDORES[[#This Row],[SUBTOTAL]]-PROVEEDORES[[#This Row],[descuento sobre subtotal]])*VLOOKUP(PROVEEDORES[[#This Row],[PROVEEDOR]],TERCEROS_INFO[#All],3,FALSE)</f>
        <v>473430.6</v>
      </c>
      <c r="N2266" s="23">
        <v>0.05</v>
      </c>
      <c r="O2266" s="22">
        <f>+PROVEEDORES[[#This Row],[Descuento sobre subtotal %]]*(PROVEEDORES[[#This Row],[SUBTOTAL]]-PROVEEDORES[[#This Row],[descuento sobre subtotal]])</f>
        <v>124587</v>
      </c>
      <c r="P2266" s="74">
        <f>+IF(PROVEEDORES[[#This Row],[SUBTOTAL]]&lt;PROVEEDORES[[#This Row],[base retencion]],0,PROVEEDORES[[#This Row],[retención aplicada]])</f>
        <v>2.5000000000000001E-2</v>
      </c>
      <c r="Q2266" s="22">
        <f>+PROVEEDORES[[#This Row],[Rete Fuente %]]*(PROVEEDORES[[#This Row],[SUBTOTAL]]-PROVEEDORES[[#This Row],[descuento sobre subtotal]])</f>
        <v>62293.5</v>
      </c>
      <c r="R2266" s="21">
        <f>+PROVEEDORES[[#This Row],[SUBTOTAL]]+PROVEEDORES[[#This Row],[IVA 19%]]-PROVEEDORES[[#This Row],[descuento sobre subtotal]]-PROVEEDORES[[#This Row],[Descuento sobre subtotal $2]]-PROVEEDORES[[#This Row],[Rete Fuente $]]</f>
        <v>2778290.1</v>
      </c>
      <c r="S2266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6" s="63">
        <f ca="1">IF(PROVEEDORES[[#This Row],[FECHA DE PAGO]]=0,TODAY()-PROVEEDORES[[#This Row],[FECHA DE FACTURACIÓN]]-PROVEEDORES[[#This Row],[PLAZO Días]],0)</f>
        <v>0</v>
      </c>
      <c r="U2266" s="104" t="str">
        <f>+VLOOKUP(PROVEEDORES[[#This Row],[PROVEEDOR]],Terceros!$A:$D,4,FALSE)</f>
        <v>2,5% con base</v>
      </c>
      <c r="V2266" s="105">
        <f>+YEAR(PROVEEDORES[[#This Row],[FECHA DE FACTURACIÓN]])</f>
        <v>2023</v>
      </c>
      <c r="W2266" s="105">
        <f>+MATCH(PROVEEDORES[[#This Row],[año facturado]],Retenciones!$1:$1,0)</f>
        <v>6</v>
      </c>
      <c r="X2266" s="106">
        <f>+VLOOKUP(PROVEEDORES[[#This Row],[ID RETENCION]],Retenciones!$A$1:$O$25,PROVEEDORES[[#This Row],[indicador de columna]],FALSE)</f>
        <v>1145000</v>
      </c>
      <c r="Y2266" s="107">
        <f>+VLOOKUP(PROVEEDORES[[#This Row],[ID RETENCION]],Retenciones!$A$1:$O$25,2,FALSE)</f>
        <v>2.5000000000000001E-2</v>
      </c>
      <c r="Z2266" s="116" t="b">
        <f>OR(COUNTIF(PROVEEDORES[[#This Row],[PROVEEDOR]],"*"&amp;'Palabra no opera'!$A$2&amp;"*"))</f>
        <v>0</v>
      </c>
    </row>
    <row r="2267" spans="1:26" ht="22.35" customHeight="1" x14ac:dyDescent="0.3">
      <c r="A2267" s="387" t="str">
        <f>+IF(PROVEEDORES[[#This Row],[FECHA DE PAGO]]=PROVEEDORES[[#This Row],[FECHA DE FACTURACIÓN]],"DE CONTADO","CRÉDITO")</f>
        <v>CRÉDITO</v>
      </c>
      <c r="B2267" s="38" t="str">
        <f>+IF((PROVEEDORES[[#This Row],[FECHA DE PAGO]]-PROVEEDORES[[#This Row],[FECHA DE FACTURACIÓN]])&gt;PROVEEDORES[[#This Row],[PLAZO Días]],"PAGO VENCIDO")</f>
        <v>PAGO VENCIDO</v>
      </c>
      <c r="C2267" s="20">
        <f>+VLOOKUP(PROVEEDORES[[#This Row],[PROVEEDOR]],TERCEROS_INFO[#All],2,FALSE)</f>
        <v>30</v>
      </c>
      <c r="D2267" s="25">
        <f>+SUMIFS(PROVEEDORES[Total],PROVEEDORES[PROVEEDOR],PROVEEDORES[[#This Row],[PROVEEDOR]],PROVEEDORES[FECHA DE PAGO],"")</f>
        <v>10321993.199999999</v>
      </c>
      <c r="E2267" s="25"/>
      <c r="F226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267" s="68">
        <v>45280</v>
      </c>
      <c r="H2267" s="26" t="s">
        <v>1068</v>
      </c>
      <c r="I2267" s="68">
        <v>45247</v>
      </c>
      <c r="J2267" s="35" t="s">
        <v>2163</v>
      </c>
      <c r="K2267" s="21">
        <v>763000</v>
      </c>
      <c r="L2267" s="21"/>
      <c r="M2267" s="22">
        <f>(PROVEEDORES[[#This Row],[SUBTOTAL]]-PROVEEDORES[[#This Row],[descuento sobre subtotal]])*VLOOKUP(PROVEEDORES[[#This Row],[PROVEEDOR]],TERCEROS_INFO[#All],3,FALSE)</f>
        <v>144970</v>
      </c>
      <c r="N2267" s="23"/>
      <c r="O2267" s="22">
        <f>+PROVEEDORES[[#This Row],[Descuento sobre subtotal %]]*(PROVEEDORES[[#This Row],[SUBTOTAL]]-PROVEEDORES[[#This Row],[descuento sobre subtotal]])</f>
        <v>0</v>
      </c>
      <c r="P2267" s="74">
        <f>+IF(PROVEEDORES[[#This Row],[SUBTOTAL]]&lt;PROVEEDORES[[#This Row],[base retencion]],0,PROVEEDORES[[#This Row],[retención aplicada]])</f>
        <v>0</v>
      </c>
      <c r="Q2267" s="22">
        <f>+PROVEEDORES[[#This Row],[Rete Fuente %]]*(PROVEEDORES[[#This Row],[SUBTOTAL]]-PROVEEDORES[[#This Row],[descuento sobre subtotal]])</f>
        <v>0</v>
      </c>
      <c r="R2267" s="21">
        <f>+PROVEEDORES[[#This Row],[SUBTOTAL]]+PROVEEDORES[[#This Row],[IVA 19%]]-PROVEEDORES[[#This Row],[descuento sobre subtotal]]-PROVEEDORES[[#This Row],[Descuento sobre subtotal $2]]-PROVEEDORES[[#This Row],[Rete Fuente $]]</f>
        <v>907970</v>
      </c>
      <c r="S2267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7" s="63">
        <f ca="1">IF(PROVEEDORES[[#This Row],[FECHA DE PAGO]]=0,TODAY()-PROVEEDORES[[#This Row],[FECHA DE FACTURACIÓN]]-PROVEEDORES[[#This Row],[PLAZO Días]],0)</f>
        <v>0</v>
      </c>
      <c r="U2267" s="104" t="str">
        <f>+VLOOKUP(PROVEEDORES[[#This Row],[PROVEEDOR]],Terceros!$A:$D,4,FALSE)</f>
        <v>2,5% con base</v>
      </c>
      <c r="V2267" s="105">
        <f>+YEAR(PROVEEDORES[[#This Row],[FECHA DE FACTURACIÓN]])</f>
        <v>2023</v>
      </c>
      <c r="W2267" s="105">
        <f>+MATCH(PROVEEDORES[[#This Row],[año facturado]],Retenciones!$1:$1,0)</f>
        <v>6</v>
      </c>
      <c r="X2267" s="106">
        <f>+VLOOKUP(PROVEEDORES[[#This Row],[ID RETENCION]],Retenciones!$A$1:$O$25,PROVEEDORES[[#This Row],[indicador de columna]],FALSE)</f>
        <v>1145000</v>
      </c>
      <c r="Y2267" s="107">
        <f>+VLOOKUP(PROVEEDORES[[#This Row],[ID RETENCION]],Retenciones!$A$1:$O$25,2,FALSE)</f>
        <v>2.5000000000000001E-2</v>
      </c>
      <c r="Z2267" s="116" t="b">
        <f>OR(COUNTIF(PROVEEDORES[[#This Row],[PROVEEDOR]],"*"&amp;'Palabra no opera'!$A$2&amp;"*"))</f>
        <v>0</v>
      </c>
    </row>
    <row r="2268" spans="1:26" ht="22.35" customHeight="1" x14ac:dyDescent="0.3">
      <c r="A2268" s="387" t="str">
        <f>+IF(PROVEEDORES[[#This Row],[FECHA DE PAGO]]=PROVEEDORES[[#This Row],[FECHA DE FACTURACIÓN]],"DE CONTADO","CRÉDITO")</f>
        <v>CRÉDITO</v>
      </c>
      <c r="B2268" s="38" t="b">
        <f>+IF((PROVEEDORES[[#This Row],[FECHA DE PAGO]]-PROVEEDORES[[#This Row],[FECHA DE FACTURACIÓN]])&gt;PROVEEDORES[[#This Row],[PLAZO Días]],"PAGO VENCIDO")</f>
        <v>0</v>
      </c>
      <c r="C2268" s="20">
        <f>+VLOOKUP(PROVEEDORES[[#This Row],[PROVEEDOR]],TERCEROS_INFO[#All],2,FALSE)</f>
        <v>30</v>
      </c>
      <c r="D2268" s="25">
        <f>+SUMIFS(PROVEEDORES[Total],PROVEEDORES[PROVEEDOR],PROVEEDORES[[#This Row],[PROVEEDOR]],PROVEEDORES[FECHA DE PAGO],"")</f>
        <v>10321993.199999999</v>
      </c>
      <c r="E2268" s="25"/>
      <c r="F226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268" s="68">
        <v>45280</v>
      </c>
      <c r="H2268" s="26" t="s">
        <v>1068</v>
      </c>
      <c r="I2268" s="68">
        <v>45251</v>
      </c>
      <c r="J2268" s="35" t="s">
        <v>2164</v>
      </c>
      <c r="K2268" s="21">
        <v>1008000</v>
      </c>
      <c r="L2268" s="21"/>
      <c r="M2268" s="22">
        <f>(PROVEEDORES[[#This Row],[SUBTOTAL]]-PROVEEDORES[[#This Row],[descuento sobre subtotal]])*VLOOKUP(PROVEEDORES[[#This Row],[PROVEEDOR]],TERCEROS_INFO[#All],3,FALSE)</f>
        <v>191520</v>
      </c>
      <c r="N2268" s="23"/>
      <c r="O2268" s="22">
        <f>+PROVEEDORES[[#This Row],[Descuento sobre subtotal %]]*(PROVEEDORES[[#This Row],[SUBTOTAL]]-PROVEEDORES[[#This Row],[descuento sobre subtotal]])</f>
        <v>0</v>
      </c>
      <c r="P2268" s="74">
        <f>+IF(PROVEEDORES[[#This Row],[SUBTOTAL]]&lt;PROVEEDORES[[#This Row],[base retencion]],0,PROVEEDORES[[#This Row],[retención aplicada]])</f>
        <v>0</v>
      </c>
      <c r="Q2268" s="22">
        <f>+PROVEEDORES[[#This Row],[Rete Fuente %]]*(PROVEEDORES[[#This Row],[SUBTOTAL]]-PROVEEDORES[[#This Row],[descuento sobre subtotal]])</f>
        <v>0</v>
      </c>
      <c r="R2268" s="21">
        <f>+PROVEEDORES[[#This Row],[SUBTOTAL]]+PROVEEDORES[[#This Row],[IVA 19%]]-PROVEEDORES[[#This Row],[descuento sobre subtotal]]-PROVEEDORES[[#This Row],[Descuento sobre subtotal $2]]-PROVEEDORES[[#This Row],[Rete Fuente $]]</f>
        <v>1199520</v>
      </c>
      <c r="S2268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8" s="63">
        <f ca="1">IF(PROVEEDORES[[#This Row],[FECHA DE PAGO]]=0,TODAY()-PROVEEDORES[[#This Row],[FECHA DE FACTURACIÓN]]-PROVEEDORES[[#This Row],[PLAZO Días]],0)</f>
        <v>0</v>
      </c>
      <c r="U2268" s="104" t="str">
        <f>+VLOOKUP(PROVEEDORES[[#This Row],[PROVEEDOR]],Terceros!$A:$D,4,FALSE)</f>
        <v>2,5% con base</v>
      </c>
      <c r="V2268" s="105">
        <f>+YEAR(PROVEEDORES[[#This Row],[FECHA DE FACTURACIÓN]])</f>
        <v>2023</v>
      </c>
      <c r="W2268" s="105">
        <f>+MATCH(PROVEEDORES[[#This Row],[año facturado]],Retenciones!$1:$1,0)</f>
        <v>6</v>
      </c>
      <c r="X2268" s="106">
        <f>+VLOOKUP(PROVEEDORES[[#This Row],[ID RETENCION]],Retenciones!$A$1:$O$25,PROVEEDORES[[#This Row],[indicador de columna]],FALSE)</f>
        <v>1145000</v>
      </c>
      <c r="Y2268" s="107">
        <f>+VLOOKUP(PROVEEDORES[[#This Row],[ID RETENCION]],Retenciones!$A$1:$O$25,2,FALSE)</f>
        <v>2.5000000000000001E-2</v>
      </c>
      <c r="Z2268" s="116" t="b">
        <f>OR(COUNTIF(PROVEEDORES[[#This Row],[PROVEEDOR]],"*"&amp;'Palabra no opera'!$A$2&amp;"*"))</f>
        <v>0</v>
      </c>
    </row>
    <row r="2269" spans="1:26" ht="22.35" customHeight="1" x14ac:dyDescent="0.3">
      <c r="A2269" s="67" t="str">
        <f>+IF(PROVEEDORES[[#This Row],[FECHA DE PAGO]]=PROVEEDORES[[#This Row],[FECHA DE FACTURACIÓN]],"DE CONTADO","CRÉDITO")</f>
        <v>CRÉDITO</v>
      </c>
      <c r="B2269" s="38" t="b">
        <f>+IF((PROVEEDORES[[#This Row],[FECHA DE PAGO]]-PROVEEDORES[[#This Row],[FECHA DE FACTURACIÓN]])&gt;PROVEEDORES[[#This Row],[PLAZO Días]],"PAGO VENCIDO")</f>
        <v>0</v>
      </c>
      <c r="C2269" s="20">
        <f>+VLOOKUP(PROVEEDORES[[#This Row],[PROVEEDOR]],TERCEROS_INFO[#All],2,FALSE)</f>
        <v>180</v>
      </c>
      <c r="D2269" s="25">
        <f>+SUMIFS(PROVEEDORES[Total],PROVEEDORES[PROVEEDOR],PROVEEDORES[[#This Row],[PROVEEDOR]],PROVEEDORES[FECHA DE PAGO],"")</f>
        <v>0</v>
      </c>
      <c r="E2269" s="25"/>
      <c r="F2269" s="56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2269" s="68">
        <v>45280</v>
      </c>
      <c r="H2269" s="26" t="s">
        <v>625</v>
      </c>
      <c r="I2269" s="68">
        <v>45253</v>
      </c>
      <c r="J2269" s="35" t="s">
        <v>2180</v>
      </c>
      <c r="K2269" s="21">
        <v>545547</v>
      </c>
      <c r="L2269" s="21"/>
      <c r="M2269" s="22">
        <f>(PROVEEDORES[[#This Row],[SUBTOTAL]]-PROVEEDORES[[#This Row],[descuento sobre subtotal]])*VLOOKUP(PROVEEDORES[[#This Row],[PROVEEDOR]],TERCEROS_INFO[#All],3,FALSE)</f>
        <v>103653.93000000001</v>
      </c>
      <c r="N2269" s="23"/>
      <c r="O2269" s="22">
        <f>+PROVEEDORES[[#This Row],[Descuento sobre subtotal %]]*(PROVEEDORES[[#This Row],[SUBTOTAL]]-PROVEEDORES[[#This Row],[descuento sobre subtotal]])</f>
        <v>0</v>
      </c>
      <c r="P2269" s="74">
        <f>+IF(PROVEEDORES[[#This Row],[SUBTOTAL]]&lt;PROVEEDORES[[#This Row],[base retencion]],0,PROVEEDORES[[#This Row],[retención aplicada]])</f>
        <v>0</v>
      </c>
      <c r="Q2269" s="22">
        <f>+PROVEEDORES[[#This Row],[Rete Fuente %]]*(PROVEEDORES[[#This Row],[SUBTOTAL]]-PROVEEDORES[[#This Row],[descuento sobre subtotal]])</f>
        <v>0</v>
      </c>
      <c r="R2269" s="21">
        <f>+PROVEEDORES[[#This Row],[SUBTOTAL]]+PROVEEDORES[[#This Row],[IVA 19%]]-PROVEEDORES[[#This Row],[descuento sobre subtotal]]-PROVEEDORES[[#This Row],[Descuento sobre subtotal $2]]-PROVEEDORES[[#This Row],[Rete Fuente $]]</f>
        <v>649200.93000000005</v>
      </c>
      <c r="S22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9" s="63">
        <f ca="1">IF(PROVEEDORES[[#This Row],[FECHA DE PAGO]]=0,TODAY()-PROVEEDORES[[#This Row],[FECHA DE FACTURACIÓN]]-PROVEEDORES[[#This Row],[PLAZO Días]],0)</f>
        <v>0</v>
      </c>
      <c r="U2269" s="104" t="str">
        <f>+VLOOKUP(PROVEEDORES[[#This Row],[PROVEEDOR]],Terceros!$A:$D,4,FALSE)</f>
        <v>2,5% con base</v>
      </c>
      <c r="V2269" s="105">
        <f>+YEAR(PROVEEDORES[[#This Row],[FECHA DE FACTURACIÓN]])</f>
        <v>2023</v>
      </c>
      <c r="W2269" s="105">
        <f>+MATCH(PROVEEDORES[[#This Row],[año facturado]],Retenciones!$1:$1,0)</f>
        <v>6</v>
      </c>
      <c r="X2269" s="106">
        <f>+VLOOKUP(PROVEEDORES[[#This Row],[ID RETENCION]],Retenciones!$A$1:$O$25,PROVEEDORES[[#This Row],[indicador de columna]],FALSE)</f>
        <v>1145000</v>
      </c>
      <c r="Y2269" s="107">
        <f>+VLOOKUP(PROVEEDORES[[#This Row],[ID RETENCION]],Retenciones!$A$1:$O$25,2,FALSE)</f>
        <v>2.5000000000000001E-2</v>
      </c>
      <c r="Z2269" s="116" t="b">
        <f>OR(COUNTIF(PROVEEDORES[[#This Row],[PROVEEDOR]],"*"&amp;'Palabra no opera'!$A$2&amp;"*"))</f>
        <v>1</v>
      </c>
    </row>
    <row r="2270" spans="1:26" ht="22.35" customHeight="1" x14ac:dyDescent="0.3">
      <c r="A2270" s="67" t="str">
        <f>+IF(PROVEEDORES[[#This Row],[FECHA DE PAGO]]=PROVEEDORES[[#This Row],[FECHA DE FACTURACIÓN]],"DE CONTADO","CRÉDITO")</f>
        <v>CRÉDITO</v>
      </c>
      <c r="B2270" s="38" t="b">
        <f>+IF((PROVEEDORES[[#This Row],[FECHA DE PAGO]]-PROVEEDORES[[#This Row],[FECHA DE FACTURACIÓN]])&gt;PROVEEDORES[[#This Row],[PLAZO Días]],"PAGO VENCIDO")</f>
        <v>0</v>
      </c>
      <c r="C2270" s="20">
        <f>+VLOOKUP(PROVEEDORES[[#This Row],[PROVEEDOR]],TERCEROS_INFO[#All],2,FALSE)</f>
        <v>30</v>
      </c>
      <c r="D2270" s="25">
        <f>+SUMIFS(PROVEEDORES[Total],PROVEEDORES[PROVEEDOR],PROVEEDORES[[#This Row],[PROVEEDOR]],PROVEEDORES[FECHA DE PAGO],"")</f>
        <v>-101001.25</v>
      </c>
      <c r="E2270" s="25"/>
      <c r="F2270" s="56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H2270" s="26" t="s">
        <v>14</v>
      </c>
      <c r="I2270" s="68">
        <v>44810</v>
      </c>
      <c r="J2270" s="35" t="s">
        <v>1096</v>
      </c>
      <c r="K2270" s="21">
        <v>-84875</v>
      </c>
      <c r="L2270" s="21"/>
      <c r="M2270" s="22">
        <f>(PROVEEDORES[[#This Row],[SUBTOTAL]]-PROVEEDORES[[#This Row],[descuento sobre subtotal]])*VLOOKUP(PROVEEDORES[[#This Row],[PROVEEDOR]],TERCEROS_INFO[#All],3,FALSE)</f>
        <v>-16126.25</v>
      </c>
      <c r="N2270" s="23"/>
      <c r="O2270" s="22">
        <f>+PROVEEDORES[[#This Row],[Descuento sobre subtotal %]]*(PROVEEDORES[[#This Row],[SUBTOTAL]]-PROVEEDORES[[#This Row],[descuento sobre subtotal]])</f>
        <v>0</v>
      </c>
      <c r="P2270" s="74">
        <f>+IF(PROVEEDORES[[#This Row],[SUBTOTAL]]&lt;PROVEEDORES[[#This Row],[base retencion]],0,PROVEEDORES[[#This Row],[retención aplicada]])</f>
        <v>0</v>
      </c>
      <c r="Q2270" s="22">
        <f>+PROVEEDORES[[#This Row],[Rete Fuente %]]*(PROVEEDORES[[#This Row],[SUBTOTAL]]-PROVEEDORES[[#This Row],[descuento sobre subtotal]])</f>
        <v>0</v>
      </c>
      <c r="R2270" s="21">
        <f>+PROVEEDORES[[#This Row],[SUBTOTAL]]+PROVEEDORES[[#This Row],[IVA 19%]]-PROVEEDORES[[#This Row],[descuento sobre subtotal]]-PROVEEDORES[[#This Row],[Descuento sobre subtotal $2]]-PROVEEDORES[[#This Row],[Rete Fuente $]]</f>
        <v>-101001.25</v>
      </c>
      <c r="S2270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70" s="63">
        <f ca="1">IF(PROVEEDORES[[#This Row],[FECHA DE PAGO]]=0,TODAY()-PROVEEDORES[[#This Row],[FECHA DE FACTURACIÓN]]-PROVEEDORES[[#This Row],[PLAZO Días]],0)</f>
        <v>460</v>
      </c>
      <c r="U2270" s="104" t="str">
        <f>+VLOOKUP(PROVEEDORES[[#This Row],[PROVEEDOR]],Terceros!$A:$D,4,FALSE)</f>
        <v>2,5% con base</v>
      </c>
      <c r="V2270" s="105">
        <f>+YEAR(PROVEEDORES[[#This Row],[FECHA DE FACTURACIÓN]])</f>
        <v>2022</v>
      </c>
      <c r="W2270" s="105">
        <f>+MATCH(PROVEEDORES[[#This Row],[año facturado]],Retenciones!$1:$1,0)</f>
        <v>5</v>
      </c>
      <c r="X2270" s="106">
        <f>+VLOOKUP(PROVEEDORES[[#This Row],[ID RETENCION]],Retenciones!$A$1:$O$25,PROVEEDORES[[#This Row],[indicador de columna]],FALSE)</f>
        <v>1026000</v>
      </c>
      <c r="Y2270" s="107">
        <f>+VLOOKUP(PROVEEDORES[[#This Row],[ID RETENCION]],Retenciones!$A$1:$O$25,2,FALSE)</f>
        <v>2.5000000000000001E-2</v>
      </c>
      <c r="Z2270" s="116" t="b">
        <f>OR(COUNTIF(PROVEEDORES[[#This Row],[PROVEEDOR]],"*"&amp;'Palabra no opera'!$A$2&amp;"*"))</f>
        <v>0</v>
      </c>
    </row>
    <row r="2271" spans="1:26" ht="22.35" customHeight="1" x14ac:dyDescent="0.3">
      <c r="A2271" s="232" t="str">
        <f>+IF(PROVEEDORES[[#This Row],[FECHA DE PAGO]]=PROVEEDORES[[#This Row],[FECHA DE FACTURACIÓN]],"DE CONTADO","CRÉDITO")</f>
        <v>CRÉDITO</v>
      </c>
      <c r="B2271" s="38" t="b">
        <f>+IF((PROVEEDORES[[#This Row],[FECHA DE PAGO]]-PROVEEDORES[[#This Row],[FECHA DE FACTURACIÓN]])&gt;PROVEEDORES[[#This Row],[PLAZO Días]],"PAGO VENCIDO")</f>
        <v>0</v>
      </c>
      <c r="C2271" s="20">
        <f>+VLOOKUP(PROVEEDORES[[#This Row],[PROVEEDOR]],TERCEROS_INFO[#All],2,FALSE)</f>
        <v>30</v>
      </c>
      <c r="D2271" s="25">
        <f>+SUMIFS(PROVEEDORES[Total],PROVEEDORES[PROVEEDOR],PROVEEDORES[[#This Row],[PROVEEDOR]],PROVEEDORES[FECHA DE PAGO],"")</f>
        <v>-66999.998800000001</v>
      </c>
      <c r="E2271" s="25"/>
      <c r="F2271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2271" s="26" t="s">
        <v>459</v>
      </c>
      <c r="I2271" s="68">
        <v>44867</v>
      </c>
      <c r="J2271" s="35" t="s">
        <v>1263</v>
      </c>
      <c r="K2271" s="21">
        <v>-56302.52</v>
      </c>
      <c r="L2271" s="21"/>
      <c r="M2271" s="22">
        <f>(PROVEEDORES[[#This Row],[SUBTOTAL]]-PROVEEDORES[[#This Row],[descuento sobre subtotal]])*VLOOKUP(PROVEEDORES[[#This Row],[PROVEEDOR]],TERCEROS_INFO[#All],3,FALSE)</f>
        <v>-10697.478799999999</v>
      </c>
      <c r="N2271" s="23"/>
      <c r="O2271" s="22">
        <f>+PROVEEDORES[[#This Row],[Descuento sobre subtotal %]]*(PROVEEDORES[[#This Row],[SUBTOTAL]]-PROVEEDORES[[#This Row],[descuento sobre subtotal]])</f>
        <v>0</v>
      </c>
      <c r="P2271" s="74">
        <f>+IF(PROVEEDORES[[#This Row],[SUBTOTAL]]&lt;PROVEEDORES[[#This Row],[base retencion]],0,PROVEEDORES[[#This Row],[retención aplicada]])</f>
        <v>0</v>
      </c>
      <c r="Q2271" s="22">
        <f>+PROVEEDORES[[#This Row],[Rete Fuente %]]*(PROVEEDORES[[#This Row],[SUBTOTAL]]-PROVEEDORES[[#This Row],[descuento sobre subtotal]])</f>
        <v>0</v>
      </c>
      <c r="R2271" s="21">
        <f>+PROVEEDORES[[#This Row],[SUBTOTAL]]+PROVEEDORES[[#This Row],[IVA 19%]]-PROVEEDORES[[#This Row],[descuento sobre subtotal]]-PROVEEDORES[[#This Row],[Descuento sobre subtotal $2]]-PROVEEDORES[[#This Row],[Rete Fuente $]]</f>
        <v>-66999.998800000001</v>
      </c>
      <c r="S2271" s="23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71" s="63">
        <f ca="1">IF(PROVEEDORES[[#This Row],[FECHA DE PAGO]]=0,TODAY()-PROVEEDORES[[#This Row],[FECHA DE FACTURACIÓN]]-PROVEEDORES[[#This Row],[PLAZO Días]],0)</f>
        <v>403</v>
      </c>
      <c r="U2271" s="104" t="str">
        <f>+VLOOKUP(PROVEEDORES[[#This Row],[PROVEEDOR]],Terceros!$A:$D,4,FALSE)</f>
        <v>2,5% con base</v>
      </c>
      <c r="V2271" s="105">
        <f>+YEAR(PROVEEDORES[[#This Row],[FECHA DE FACTURACIÓN]])</f>
        <v>2022</v>
      </c>
      <c r="W2271" s="105">
        <f>+MATCH(PROVEEDORES[[#This Row],[año facturado]],Retenciones!$1:$1,0)</f>
        <v>5</v>
      </c>
      <c r="X2271" s="106">
        <f>+VLOOKUP(PROVEEDORES[[#This Row],[ID RETENCION]],Retenciones!$A$1:$O$25,PROVEEDORES[[#This Row],[indicador de columna]],FALSE)</f>
        <v>1026000</v>
      </c>
      <c r="Y2271" s="107">
        <f>+VLOOKUP(PROVEEDORES[[#This Row],[ID RETENCION]],Retenciones!$A$1:$O$25,2,FALSE)</f>
        <v>2.5000000000000001E-2</v>
      </c>
      <c r="Z2271" s="116" t="b">
        <f>OR(COUNTIF(PROVEEDORES[[#This Row],[PROVEEDOR]],"*"&amp;'Palabra no opera'!$A$2&amp;"*"))</f>
        <v>0</v>
      </c>
    </row>
    <row r="2272" spans="1:26" ht="22.35" customHeight="1" x14ac:dyDescent="0.3">
      <c r="A2272" s="381" t="str">
        <f>+IF(PROVEEDORES[[#This Row],[FECHA DE PAGO]]=PROVEEDORES[[#This Row],[FECHA DE FACTURACIÓN]],"DE CONTADO","CRÉDITO")</f>
        <v>CRÉDITO</v>
      </c>
      <c r="B2272" s="38" t="b">
        <f>+IF((PROVEEDORES[[#This Row],[FECHA DE PAGO]]-PROVEEDORES[[#This Row],[FECHA DE FACTURACIÓN]])&gt;PROVEEDORES[[#This Row],[PLAZO Días]],"PAGO VENCIDO")</f>
        <v>0</v>
      </c>
      <c r="C2272" s="20">
        <f>+VLOOKUP(PROVEEDORES[[#This Row],[PROVEEDOR]],TERCEROS_INFO[#All],2,FALSE)</f>
        <v>30</v>
      </c>
      <c r="D2272" s="25">
        <f>+SUMIFS(PROVEEDORES[Total],PROVEEDORES[PROVEEDOR],PROVEEDORES[[#This Row],[PROVEEDOR]],PROVEEDORES[FECHA DE PAGO],"")</f>
        <v>12198235.020000001</v>
      </c>
      <c r="E2272" s="25"/>
      <c r="F2272" s="56" t="str">
        <f>+VLOOKUP(PROVEEDORES[[#This Row],[PROVEEDOR]],
                       Terceros!$A:$F,
                       5,
                       FALSE)</f>
        <v>comercializadorajls@hotmail.com</v>
      </c>
      <c r="H2272" s="395" t="s">
        <v>2128</v>
      </c>
      <c r="I2272" s="68">
        <v>45234</v>
      </c>
      <c r="J2272" s="35" t="s">
        <v>2238</v>
      </c>
      <c r="K2272" s="21">
        <v>10470588</v>
      </c>
      <c r="L2272" s="21"/>
      <c r="M2272" s="22">
        <f>(PROVEEDORES[[#This Row],[SUBTOTAL]]-PROVEEDORES[[#This Row],[descuento sobre subtotal]])*VLOOKUP(PROVEEDORES[[#This Row],[PROVEEDOR]],TERCEROS_INFO[#All],3,FALSE)</f>
        <v>1989411.72</v>
      </c>
      <c r="N2272" s="23"/>
      <c r="O2272" s="22">
        <f>+PROVEEDORES[[#This Row],[Descuento sobre subtotal %]]*(PROVEEDORES[[#This Row],[SUBTOTAL]]-PROVEEDORES[[#This Row],[descuento sobre subtotal]])</f>
        <v>0</v>
      </c>
      <c r="P2272" s="74">
        <f>+IF(PROVEEDORES[[#This Row],[SUBTOTAL]]&lt;PROVEEDORES[[#This Row],[base retencion]],0,PROVEEDORES[[#This Row],[retención aplicada]])</f>
        <v>2.5000000000000001E-2</v>
      </c>
      <c r="Q2272" s="22">
        <f>+PROVEEDORES[[#This Row],[Rete Fuente %]]*(PROVEEDORES[[#This Row],[SUBTOTAL]]-PROVEEDORES[[#This Row],[descuento sobre subtotal]])</f>
        <v>261764.7</v>
      </c>
      <c r="R2272" s="21">
        <f>+PROVEEDORES[[#This Row],[SUBTOTAL]]+PROVEEDORES[[#This Row],[IVA 19%]]-PROVEEDORES[[#This Row],[descuento sobre subtotal]]-PROVEEDORES[[#This Row],[Descuento sobre subtotal $2]]-PROVEEDORES[[#This Row],[Rete Fuente $]]</f>
        <v>12198235.020000001</v>
      </c>
      <c r="S2272" s="382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72" s="63">
        <f ca="1">IF(PROVEEDORES[[#This Row],[FECHA DE PAGO]]=0,TODAY()-PROVEEDORES[[#This Row],[FECHA DE FACTURACIÓN]]-PROVEEDORES[[#This Row],[PLAZO Días]],0)</f>
        <v>36</v>
      </c>
      <c r="U2272" s="104" t="str">
        <f>+VLOOKUP(PROVEEDORES[[#This Row],[PROVEEDOR]],Terceros!$A:$D,4,FALSE)</f>
        <v>2,5% con base</v>
      </c>
      <c r="V2272" s="105">
        <f>+YEAR(PROVEEDORES[[#This Row],[FECHA DE FACTURACIÓN]])</f>
        <v>2023</v>
      </c>
      <c r="W2272" s="105">
        <f>+MATCH(PROVEEDORES[[#This Row],[año facturado]],Retenciones!$1:$1,0)</f>
        <v>6</v>
      </c>
      <c r="X2272" s="106">
        <f>+VLOOKUP(PROVEEDORES[[#This Row],[ID RETENCION]],Retenciones!$A$1:$O$25,PROVEEDORES[[#This Row],[indicador de columna]],FALSE)</f>
        <v>1145000</v>
      </c>
      <c r="Y2272" s="107">
        <f>+VLOOKUP(PROVEEDORES[[#This Row],[ID RETENCION]],Retenciones!$A$1:$O$25,2,FALSE)</f>
        <v>2.5000000000000001E-2</v>
      </c>
      <c r="Z2272" s="116" t="b">
        <f>OR(COUNTIF(PROVEEDORES[[#This Row],[PROVEEDOR]],"*"&amp;'Palabra no opera'!$A$2&amp;"*"))</f>
        <v>0</v>
      </c>
    </row>
    <row r="2273" spans="1:26" ht="22.35" customHeight="1" x14ac:dyDescent="0.3">
      <c r="A2273" s="387" t="str">
        <f>+IF(PROVEEDORES[[#This Row],[FECHA DE PAGO]]=PROVEEDORES[[#This Row],[FECHA DE FACTURACIÓN]],"DE CONTADO","CRÉDITO")</f>
        <v>CRÉDITO</v>
      </c>
      <c r="B2273" s="38" t="str">
        <f>+IF((PROVEEDORES[[#This Row],[FECHA DE PAGO]]-PROVEEDORES[[#This Row],[FECHA DE FACTURACIÓN]])&gt;PROVEEDORES[[#This Row],[PLAZO Días]],"PAGO VENCIDO")</f>
        <v>PAGO VENCIDO</v>
      </c>
      <c r="C2273" s="20">
        <f>+VLOOKUP(PROVEEDORES[[#This Row],[PROVEEDOR]],TERCEROS_INFO[#All],2,FALSE)</f>
        <v>30</v>
      </c>
      <c r="D2273" s="25">
        <f>+SUMIFS(PROVEEDORES[Total],PROVEEDORES[PROVEEDOR],PROVEEDORES[[#This Row],[PROVEEDOR]],PROVEEDORES[FECHA DE PAGO],"")</f>
        <v>0</v>
      </c>
      <c r="E2273" s="25"/>
      <c r="F2273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273" s="68">
        <v>45287</v>
      </c>
      <c r="H2273" s="95" t="s">
        <v>76</v>
      </c>
      <c r="I2273" s="68">
        <v>45246</v>
      </c>
      <c r="J2273" s="35" t="s">
        <v>2171</v>
      </c>
      <c r="K2273" s="21">
        <v>16744527</v>
      </c>
      <c r="L2273" s="21"/>
      <c r="M2273" s="22">
        <f>(PROVEEDORES[[#This Row],[SUBTOTAL]]-PROVEEDORES[[#This Row],[descuento sobre subtotal]])*VLOOKUP(PROVEEDORES[[#This Row],[PROVEEDOR]],TERCEROS_INFO[#All],3,FALSE)</f>
        <v>3181460.13</v>
      </c>
      <c r="N2273" s="23">
        <v>0.05</v>
      </c>
      <c r="O2273" s="22">
        <f>+PROVEEDORES[[#This Row],[Descuento sobre subtotal %]]*(PROVEEDORES[[#This Row],[SUBTOTAL]]-PROVEEDORES[[#This Row],[descuento sobre subtotal]])</f>
        <v>837226.35000000009</v>
      </c>
      <c r="P2273" s="74">
        <f>+IF(PROVEEDORES[[#This Row],[SUBTOTAL]]&lt;PROVEEDORES[[#This Row],[base retencion]],0,PROVEEDORES[[#This Row],[retención aplicada]])</f>
        <v>2.5000000000000001E-2</v>
      </c>
      <c r="Q2273" s="22">
        <f>+PROVEEDORES[[#This Row],[Rete Fuente %]]*(PROVEEDORES[[#This Row],[SUBTOTAL]]-PROVEEDORES[[#This Row],[descuento sobre subtotal]])</f>
        <v>418613.17500000005</v>
      </c>
      <c r="R2273" s="21">
        <f>+PROVEEDORES[[#This Row],[SUBTOTAL]]+PROVEEDORES[[#This Row],[IVA 19%]]-PROVEEDORES[[#This Row],[descuento sobre subtotal]]-PROVEEDORES[[#This Row],[Descuento sobre subtotal $2]]-PROVEEDORES[[#This Row],[Rete Fuente $]]</f>
        <v>18670147.604999997</v>
      </c>
      <c r="S2273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3" s="63">
        <f ca="1">IF(PROVEEDORES[[#This Row],[FECHA DE PAGO]]=0,TODAY()-PROVEEDORES[[#This Row],[FECHA DE FACTURACIÓN]]-PROVEEDORES[[#This Row],[PLAZO Días]],0)</f>
        <v>0</v>
      </c>
      <c r="U2273" s="104" t="str">
        <f>+VLOOKUP(PROVEEDORES[[#This Row],[PROVEEDOR]],Terceros!$A:$D,4,FALSE)</f>
        <v>2,5% con base</v>
      </c>
      <c r="V2273" s="105">
        <f>+YEAR(PROVEEDORES[[#This Row],[FECHA DE FACTURACIÓN]])</f>
        <v>2023</v>
      </c>
      <c r="W2273" s="105">
        <f>+MATCH(PROVEEDORES[[#This Row],[año facturado]],Retenciones!$1:$1,0)</f>
        <v>6</v>
      </c>
      <c r="X2273" s="106">
        <f>+VLOOKUP(PROVEEDORES[[#This Row],[ID RETENCION]],Retenciones!$A$1:$O$25,PROVEEDORES[[#This Row],[indicador de columna]],FALSE)</f>
        <v>1145000</v>
      </c>
      <c r="Y2273" s="107">
        <f>+VLOOKUP(PROVEEDORES[[#This Row],[ID RETENCION]],Retenciones!$A$1:$O$25,2,FALSE)</f>
        <v>2.5000000000000001E-2</v>
      </c>
      <c r="Z2273" s="116" t="b">
        <f>OR(COUNTIF(PROVEEDORES[[#This Row],[PROVEEDOR]],"*"&amp;'Palabra no opera'!$A$2&amp;"*"))</f>
        <v>0</v>
      </c>
    </row>
    <row r="2274" spans="1:26" ht="22.35" customHeight="1" x14ac:dyDescent="0.3">
      <c r="A2274" s="387" t="str">
        <f>+IF(PROVEEDORES[[#This Row],[FECHA DE PAGO]]=PROVEEDORES[[#This Row],[FECHA DE FACTURACIÓN]],"DE CONTADO","CRÉDITO")</f>
        <v>CRÉDITO</v>
      </c>
      <c r="B2274" s="38" t="str">
        <f>+IF((PROVEEDORES[[#This Row],[FECHA DE PAGO]]-PROVEEDORES[[#This Row],[FECHA DE FACTURACIÓN]])&gt;PROVEEDORES[[#This Row],[PLAZO Días]],"PAGO VENCIDO")</f>
        <v>PAGO VENCIDO</v>
      </c>
      <c r="C2274" s="20">
        <f>+VLOOKUP(PROVEEDORES[[#This Row],[PROVEEDOR]],TERCEROS_INFO[#All],2,FALSE)</f>
        <v>30</v>
      </c>
      <c r="D2274" s="25">
        <f>+SUMIFS(PROVEEDORES[Total],PROVEEDORES[PROVEEDOR],PROVEEDORES[[#This Row],[PROVEEDOR]],PROVEEDORES[FECHA DE PAGO],"")</f>
        <v>0</v>
      </c>
      <c r="E2274" s="25"/>
      <c r="F2274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274" s="68">
        <v>45281</v>
      </c>
      <c r="H2274" s="26" t="s">
        <v>26</v>
      </c>
      <c r="I2274" s="68">
        <v>45246</v>
      </c>
      <c r="J2274" s="35" t="s">
        <v>2155</v>
      </c>
      <c r="K2274" s="21">
        <v>1996000</v>
      </c>
      <c r="L2274" s="21"/>
      <c r="M2274" s="22">
        <f>(PROVEEDORES[[#This Row],[SUBTOTAL]]-PROVEEDORES[[#This Row],[descuento sobre subtotal]])*VLOOKUP(PROVEEDORES[[#This Row],[PROVEEDOR]],TERCEROS_INFO[#All],3,FALSE)</f>
        <v>379240</v>
      </c>
      <c r="N2274" s="23"/>
      <c r="O2274" s="22">
        <f>+PROVEEDORES[[#This Row],[Descuento sobre subtotal %]]*(PROVEEDORES[[#This Row],[SUBTOTAL]]-PROVEEDORES[[#This Row],[descuento sobre subtotal]])</f>
        <v>0</v>
      </c>
      <c r="P2274" s="74">
        <f>+IF(PROVEEDORES[[#This Row],[SUBTOTAL]]&lt;PROVEEDORES[[#This Row],[base retencion]],0,PROVEEDORES[[#This Row],[retención aplicada]])</f>
        <v>2.5000000000000001E-2</v>
      </c>
      <c r="Q2274" s="22">
        <f>+PROVEEDORES[[#This Row],[Rete Fuente %]]*(PROVEEDORES[[#This Row],[SUBTOTAL]]-PROVEEDORES[[#This Row],[descuento sobre subtotal]])</f>
        <v>49900</v>
      </c>
      <c r="R2274" s="21">
        <f>+PROVEEDORES[[#This Row],[SUBTOTAL]]+PROVEEDORES[[#This Row],[IVA 19%]]-PROVEEDORES[[#This Row],[descuento sobre subtotal]]-PROVEEDORES[[#This Row],[Descuento sobre subtotal $2]]-PROVEEDORES[[#This Row],[Rete Fuente $]]</f>
        <v>2325340</v>
      </c>
      <c r="S2274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4" s="63">
        <f ca="1">IF(PROVEEDORES[[#This Row],[FECHA DE PAGO]]=0,TODAY()-PROVEEDORES[[#This Row],[FECHA DE FACTURACIÓN]]-PROVEEDORES[[#This Row],[PLAZO Días]],0)</f>
        <v>0</v>
      </c>
      <c r="U2274" s="104" t="str">
        <f>+VLOOKUP(PROVEEDORES[[#This Row],[PROVEEDOR]],Terceros!$A:$D,4,FALSE)</f>
        <v>2,5% con base</v>
      </c>
      <c r="V2274" s="105">
        <f>+YEAR(PROVEEDORES[[#This Row],[FECHA DE FACTURACIÓN]])</f>
        <v>2023</v>
      </c>
      <c r="W2274" s="105">
        <f>+MATCH(PROVEEDORES[[#This Row],[año facturado]],Retenciones!$1:$1,0)</f>
        <v>6</v>
      </c>
      <c r="X2274" s="106">
        <f>+VLOOKUP(PROVEEDORES[[#This Row],[ID RETENCION]],Retenciones!$A$1:$O$25,PROVEEDORES[[#This Row],[indicador de columna]],FALSE)</f>
        <v>1145000</v>
      </c>
      <c r="Y2274" s="107">
        <f>+VLOOKUP(PROVEEDORES[[#This Row],[ID RETENCION]],Retenciones!$A$1:$O$25,2,FALSE)</f>
        <v>2.5000000000000001E-2</v>
      </c>
      <c r="Z2274" s="116" t="b">
        <f>OR(COUNTIF(PROVEEDORES[[#This Row],[PROVEEDOR]],"*"&amp;'Palabra no opera'!$A$2&amp;"*"))</f>
        <v>0</v>
      </c>
    </row>
    <row r="2275" spans="1:26" ht="22.35" customHeight="1" x14ac:dyDescent="0.3">
      <c r="A2275" s="387" t="str">
        <f>+IF(PROVEEDORES[[#This Row],[FECHA DE PAGO]]=PROVEEDORES[[#This Row],[FECHA DE FACTURACIÓN]],"DE CONTADO","CRÉDITO")</f>
        <v>CRÉDITO</v>
      </c>
      <c r="B2275" s="38" t="b">
        <f>+IF((PROVEEDORES[[#This Row],[FECHA DE PAGO]]-PROVEEDORES[[#This Row],[FECHA DE FACTURACIÓN]])&gt;PROVEEDORES[[#This Row],[PLAZO Días]],"PAGO VENCIDO")</f>
        <v>0</v>
      </c>
      <c r="C2275" s="20">
        <f>+VLOOKUP(PROVEEDORES[[#This Row],[PROVEEDOR]],TERCEROS_INFO[#All],2,FALSE)</f>
        <v>30</v>
      </c>
      <c r="D2275" s="25">
        <f>+SUMIFS(PROVEEDORES[Total],PROVEEDORES[PROVEEDOR],PROVEEDORES[[#This Row],[PROVEEDOR]],PROVEEDORES[FECHA DE PAGO],"")</f>
        <v>121187115</v>
      </c>
      <c r="E2275" s="25"/>
      <c r="F2275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H2275" s="396" t="s">
        <v>31</v>
      </c>
      <c r="I2275" s="68">
        <v>45247</v>
      </c>
      <c r="J2275" s="35" t="s">
        <v>2166</v>
      </c>
      <c r="K2275" s="21">
        <v>15756231.999999998</v>
      </c>
      <c r="L2275" s="21"/>
      <c r="M2275" s="22">
        <f>(PROVEEDORES[[#This Row],[SUBTOTAL]]-PROVEEDORES[[#This Row],[descuento sobre subtotal]])*VLOOKUP(PROVEEDORES[[#This Row],[PROVEEDOR]],TERCEROS_INFO[#All],3,FALSE)</f>
        <v>0</v>
      </c>
      <c r="N2275" s="23"/>
      <c r="O2275" s="22">
        <f>+PROVEEDORES[[#This Row],[Descuento sobre subtotal %]]*(PROVEEDORES[[#This Row],[SUBTOTAL]]-PROVEEDORES[[#This Row],[descuento sobre subtotal]])</f>
        <v>0</v>
      </c>
      <c r="P2275" s="74">
        <f>+IF(PROVEEDORES[[#This Row],[SUBTOTAL]]&lt;PROVEEDORES[[#This Row],[base retencion]],0,PROVEEDORES[[#This Row],[retención aplicada]])</f>
        <v>0</v>
      </c>
      <c r="Q2275" s="22">
        <f>+PROVEEDORES[[#This Row],[Rete Fuente %]]*(PROVEEDORES[[#This Row],[SUBTOTAL]]-PROVEEDORES[[#This Row],[descuento sobre subtotal]])</f>
        <v>0</v>
      </c>
      <c r="R2275" s="21">
        <f>+PROVEEDORES[[#This Row],[SUBTOTAL]]+PROVEEDORES[[#This Row],[IVA 19%]]-PROVEEDORES[[#This Row],[descuento sobre subtotal]]-PROVEEDORES[[#This Row],[Descuento sobre subtotal $2]]-PROVEEDORES[[#This Row],[Rete Fuente $]]</f>
        <v>15756231.999999998</v>
      </c>
      <c r="S2275" s="3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75" s="63">
        <f ca="1">IF(PROVEEDORES[[#This Row],[FECHA DE PAGO]]=0,TODAY()-PROVEEDORES[[#This Row],[FECHA DE FACTURACIÓN]]-PROVEEDORES[[#This Row],[PLAZO Días]],0)</f>
        <v>23</v>
      </c>
      <c r="U2275" s="104">
        <f>+VLOOKUP(PROVEEDORES[[#This Row],[PROVEEDOR]],Terceros!$A:$D,4,FALSE)</f>
        <v>0</v>
      </c>
      <c r="V2275" s="105">
        <f>+YEAR(PROVEEDORES[[#This Row],[FECHA DE FACTURACIÓN]])</f>
        <v>2023</v>
      </c>
      <c r="W2275" s="105">
        <f>+MATCH(PROVEEDORES[[#This Row],[año facturado]],Retenciones!$1:$1,0)</f>
        <v>6</v>
      </c>
      <c r="X2275" s="106">
        <f>+VLOOKUP(PROVEEDORES[[#This Row],[ID RETENCION]],Retenciones!$A$1:$O$25,PROVEEDORES[[#This Row],[indicador de columna]],FALSE)</f>
        <v>0</v>
      </c>
      <c r="Y2275" s="107">
        <f>+VLOOKUP(PROVEEDORES[[#This Row],[ID RETENCION]],Retenciones!$A$1:$O$25,2,FALSE)</f>
        <v>0</v>
      </c>
      <c r="Z2275" s="116" t="b">
        <f>OR(COUNTIF(PROVEEDORES[[#This Row],[PROVEEDOR]],"*"&amp;'Palabra no opera'!$A$2&amp;"*"))</f>
        <v>0</v>
      </c>
    </row>
    <row r="2276" spans="1:26" ht="22.35" customHeight="1" x14ac:dyDescent="0.3">
      <c r="A2276" s="387" t="str">
        <f>+IF(PROVEEDORES[[#This Row],[FECHA DE PAGO]]=PROVEEDORES[[#This Row],[FECHA DE FACTURACIÓN]],"DE CONTADO","CRÉDITO")</f>
        <v>CRÉDITO</v>
      </c>
      <c r="B2276" s="38" t="b">
        <f>+IF((PROVEEDORES[[#This Row],[FECHA DE PAGO]]-PROVEEDORES[[#This Row],[FECHA DE FACTURACIÓN]])&gt;PROVEEDORES[[#This Row],[PLAZO Días]],"PAGO VENCIDO")</f>
        <v>0</v>
      </c>
      <c r="C2276" s="20">
        <f>+VLOOKUP(PROVEEDORES[[#This Row],[PROVEEDOR]],TERCEROS_INFO[#All],2,FALSE)</f>
        <v>45</v>
      </c>
      <c r="D2276" s="25">
        <f>+SUMIFS(PROVEEDORES[Total],PROVEEDORES[PROVEEDOR],PROVEEDORES[[#This Row],[PROVEEDOR]],PROVEEDORES[FECHA DE PAGO],"")</f>
        <v>8072960</v>
      </c>
      <c r="E2276" s="25"/>
      <c r="F2276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76" s="68">
        <v>45288</v>
      </c>
      <c r="H2276" s="26" t="s">
        <v>10</v>
      </c>
      <c r="I2276" s="68">
        <v>45247</v>
      </c>
      <c r="J2276" s="35" t="s">
        <v>2158</v>
      </c>
      <c r="K2276" s="21">
        <v>2800000</v>
      </c>
      <c r="L2276" s="21"/>
      <c r="M2276" s="22">
        <f>(PROVEEDORES[[#This Row],[SUBTOTAL]]-PROVEEDORES[[#This Row],[descuento sobre subtotal]])*VLOOKUP(PROVEEDORES[[#This Row],[PROVEEDOR]],TERCEROS_INFO[#All],3,FALSE)</f>
        <v>532000</v>
      </c>
      <c r="N2276" s="23"/>
      <c r="O2276" s="22">
        <f>+PROVEEDORES[[#This Row],[Descuento sobre subtotal %]]*(PROVEEDORES[[#This Row],[SUBTOTAL]]-PROVEEDORES[[#This Row],[descuento sobre subtotal]])</f>
        <v>0</v>
      </c>
      <c r="P2276" s="74">
        <f>+IF(PROVEEDORES[[#This Row],[SUBTOTAL]]&lt;PROVEEDORES[[#This Row],[base retencion]],0,PROVEEDORES[[#This Row],[retención aplicada]])</f>
        <v>0</v>
      </c>
      <c r="Q2276" s="22">
        <f>+PROVEEDORES[[#This Row],[Rete Fuente %]]*(PROVEEDORES[[#This Row],[SUBTOTAL]]-PROVEEDORES[[#This Row],[descuento sobre subtotal]])</f>
        <v>0</v>
      </c>
      <c r="R2276" s="21">
        <f>+PROVEEDORES[[#This Row],[SUBTOTAL]]+PROVEEDORES[[#This Row],[IVA 19%]]-PROVEEDORES[[#This Row],[descuento sobre subtotal]]-PROVEEDORES[[#This Row],[Descuento sobre subtotal $2]]-PROVEEDORES[[#This Row],[Rete Fuente $]]</f>
        <v>3332000</v>
      </c>
      <c r="S2276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6" s="63">
        <f ca="1">IF(PROVEEDORES[[#This Row],[FECHA DE PAGO]]=0,TODAY()-PROVEEDORES[[#This Row],[FECHA DE FACTURACIÓN]]-PROVEEDORES[[#This Row],[PLAZO Días]],0)</f>
        <v>0</v>
      </c>
      <c r="U2276" s="104">
        <f>+VLOOKUP(PROVEEDORES[[#This Row],[PROVEEDOR]],Terceros!$A:$D,4,FALSE)</f>
        <v>0</v>
      </c>
      <c r="V2276" s="105">
        <f>+YEAR(PROVEEDORES[[#This Row],[FECHA DE FACTURACIÓN]])</f>
        <v>2023</v>
      </c>
      <c r="W2276" s="105">
        <f>+MATCH(PROVEEDORES[[#This Row],[año facturado]],Retenciones!$1:$1,0)</f>
        <v>6</v>
      </c>
      <c r="X2276" s="106">
        <f>+VLOOKUP(PROVEEDORES[[#This Row],[ID RETENCION]],Retenciones!$A$1:$O$25,PROVEEDORES[[#This Row],[indicador de columna]],FALSE)</f>
        <v>0</v>
      </c>
      <c r="Y2276" s="107">
        <f>+VLOOKUP(PROVEEDORES[[#This Row],[ID RETENCION]],Retenciones!$A$1:$O$25,2,FALSE)</f>
        <v>0</v>
      </c>
      <c r="Z2276" s="116" t="b">
        <f>OR(COUNTIF(PROVEEDORES[[#This Row],[PROVEEDOR]],"*"&amp;'Palabra no opera'!$A$2&amp;"*"))</f>
        <v>0</v>
      </c>
    </row>
    <row r="2277" spans="1:26" ht="22.35" customHeight="1" x14ac:dyDescent="0.3">
      <c r="A2277" s="387" t="str">
        <f>+IF(PROVEEDORES[[#This Row],[FECHA DE PAGO]]=PROVEEDORES[[#This Row],[FECHA DE FACTURACIÓN]],"DE CONTADO","CRÉDITO")</f>
        <v>CRÉDITO</v>
      </c>
      <c r="B2277" s="38" t="b">
        <f>+IF((PROVEEDORES[[#This Row],[FECHA DE PAGO]]-PROVEEDORES[[#This Row],[FECHA DE FACTURACIÓN]])&gt;PROVEEDORES[[#This Row],[PLAZO Días]],"PAGO VENCIDO")</f>
        <v>0</v>
      </c>
      <c r="C2277" s="20">
        <f>+VLOOKUP(PROVEEDORES[[#This Row],[PROVEEDOR]],TERCEROS_INFO[#All],2,FALSE)</f>
        <v>45</v>
      </c>
      <c r="D2277" s="25">
        <f>+SUMIFS(PROVEEDORES[Total],PROVEEDORES[PROVEEDOR],PROVEEDORES[[#This Row],[PROVEEDOR]],PROVEEDORES[FECHA DE PAGO],"")</f>
        <v>8072960</v>
      </c>
      <c r="E2277" s="25"/>
      <c r="F2277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277" s="68">
        <v>45288</v>
      </c>
      <c r="H2277" s="26" t="s">
        <v>10</v>
      </c>
      <c r="I2277" s="68">
        <v>45247</v>
      </c>
      <c r="J2277" s="35" t="s">
        <v>2159</v>
      </c>
      <c r="K2277" s="21">
        <v>380000</v>
      </c>
      <c r="L2277" s="21"/>
      <c r="M2277" s="22">
        <f>(PROVEEDORES[[#This Row],[SUBTOTAL]]-PROVEEDORES[[#This Row],[descuento sobre subtotal]])*VLOOKUP(PROVEEDORES[[#This Row],[PROVEEDOR]],TERCEROS_INFO[#All],3,FALSE)</f>
        <v>72200</v>
      </c>
      <c r="N2277" s="23"/>
      <c r="O2277" s="22">
        <f>+PROVEEDORES[[#This Row],[Descuento sobre subtotal %]]*(PROVEEDORES[[#This Row],[SUBTOTAL]]-PROVEEDORES[[#This Row],[descuento sobre subtotal]])</f>
        <v>0</v>
      </c>
      <c r="P2277" s="74">
        <f>+IF(PROVEEDORES[[#This Row],[SUBTOTAL]]&lt;PROVEEDORES[[#This Row],[base retencion]],0,PROVEEDORES[[#This Row],[retención aplicada]])</f>
        <v>0</v>
      </c>
      <c r="Q2277" s="22">
        <f>+PROVEEDORES[[#This Row],[Rete Fuente %]]*(PROVEEDORES[[#This Row],[SUBTOTAL]]-PROVEEDORES[[#This Row],[descuento sobre subtotal]])</f>
        <v>0</v>
      </c>
      <c r="R2277" s="21">
        <f>+PROVEEDORES[[#This Row],[SUBTOTAL]]+PROVEEDORES[[#This Row],[IVA 19%]]-PROVEEDORES[[#This Row],[descuento sobre subtotal]]-PROVEEDORES[[#This Row],[Descuento sobre subtotal $2]]-PROVEEDORES[[#This Row],[Rete Fuente $]]</f>
        <v>452200</v>
      </c>
      <c r="S2277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7" s="63">
        <f ca="1">IF(PROVEEDORES[[#This Row],[FECHA DE PAGO]]=0,TODAY()-PROVEEDORES[[#This Row],[FECHA DE FACTURACIÓN]]-PROVEEDORES[[#This Row],[PLAZO Días]],0)</f>
        <v>0</v>
      </c>
      <c r="U2277" s="104">
        <f>+VLOOKUP(PROVEEDORES[[#This Row],[PROVEEDOR]],Terceros!$A:$D,4,FALSE)</f>
        <v>0</v>
      </c>
      <c r="V2277" s="105">
        <f>+YEAR(PROVEEDORES[[#This Row],[FECHA DE FACTURACIÓN]])</f>
        <v>2023</v>
      </c>
      <c r="W2277" s="105">
        <f>+MATCH(PROVEEDORES[[#This Row],[año facturado]],Retenciones!$1:$1,0)</f>
        <v>6</v>
      </c>
      <c r="X2277" s="106">
        <f>+VLOOKUP(PROVEEDORES[[#This Row],[ID RETENCION]],Retenciones!$A$1:$O$25,PROVEEDORES[[#This Row],[indicador de columna]],FALSE)</f>
        <v>0</v>
      </c>
      <c r="Y2277" s="107">
        <f>+VLOOKUP(PROVEEDORES[[#This Row],[ID RETENCION]],Retenciones!$A$1:$O$25,2,FALSE)</f>
        <v>0</v>
      </c>
      <c r="Z2277" s="116" t="b">
        <f>OR(COUNTIF(PROVEEDORES[[#This Row],[PROVEEDOR]],"*"&amp;'Palabra no opera'!$A$2&amp;"*"))</f>
        <v>0</v>
      </c>
    </row>
    <row r="2278" spans="1:26" ht="22.35" customHeight="1" x14ac:dyDescent="0.3">
      <c r="A2278" s="67" t="str">
        <f>+IF(PROVEEDORES[[#This Row],[FECHA DE PAGO]]=PROVEEDORES[[#This Row],[FECHA DE FACTURACIÓN]],"DE CONTADO","CRÉDITO")</f>
        <v>CRÉDITO</v>
      </c>
      <c r="B2278" s="38" t="str">
        <f>+IF((PROVEEDORES[[#This Row],[FECHA DE PAGO]]-PROVEEDORES[[#This Row],[FECHA DE FACTURACIÓN]])&gt;PROVEEDORES[[#This Row],[PLAZO Días]],"PAGO VENCIDO")</f>
        <v>PAGO VENCIDO</v>
      </c>
      <c r="C2278" s="20">
        <f>+VLOOKUP(PROVEEDORES[[#This Row],[PROVEEDOR]],TERCEROS_INFO[#All],2,FALSE)</f>
        <v>30</v>
      </c>
      <c r="D2278" s="25">
        <f>+SUMIFS(PROVEEDORES[Total],PROVEEDORES[PROVEEDOR],PROVEEDORES[[#This Row],[PROVEEDOR]],PROVEEDORES[FECHA DE PAGO],"")</f>
        <v>0</v>
      </c>
      <c r="E2278" s="25"/>
      <c r="F2278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278" s="68">
        <v>45281</v>
      </c>
      <c r="H2278" s="26" t="s">
        <v>394</v>
      </c>
      <c r="I2278" s="68">
        <v>45250</v>
      </c>
      <c r="J2278" s="35" t="s">
        <v>2189</v>
      </c>
      <c r="K2278" s="21">
        <v>2610000</v>
      </c>
      <c r="L2278" s="21"/>
      <c r="M2278" s="22">
        <f>(PROVEEDORES[[#This Row],[SUBTOTAL]]-PROVEEDORES[[#This Row],[descuento sobre subtotal]])*VLOOKUP(PROVEEDORES[[#This Row],[PROVEEDOR]],TERCEROS_INFO[#All],3,FALSE)</f>
        <v>0</v>
      </c>
      <c r="N2278" s="23"/>
      <c r="O2278" s="22">
        <f>+PROVEEDORES[[#This Row],[Descuento sobre subtotal %]]*(PROVEEDORES[[#This Row],[SUBTOTAL]]-PROVEEDORES[[#This Row],[descuento sobre subtotal]])</f>
        <v>0</v>
      </c>
      <c r="P2278" s="74">
        <f>+IF(PROVEEDORES[[#This Row],[SUBTOTAL]]&lt;PROVEEDORES[[#This Row],[base retencion]],0,PROVEEDORES[[#This Row],[retención aplicada]])</f>
        <v>0</v>
      </c>
      <c r="Q2278" s="22">
        <f>+PROVEEDORES[[#This Row],[Rete Fuente %]]*(PROVEEDORES[[#This Row],[SUBTOTAL]]-PROVEEDORES[[#This Row],[descuento sobre subtotal]])</f>
        <v>0</v>
      </c>
      <c r="R2278" s="21">
        <f>+PROVEEDORES[[#This Row],[SUBTOTAL]]+PROVEEDORES[[#This Row],[IVA 19%]]-PROVEEDORES[[#This Row],[descuento sobre subtotal]]-PROVEEDORES[[#This Row],[Descuento sobre subtotal $2]]-PROVEEDORES[[#This Row],[Rete Fuente $]]</f>
        <v>2610000</v>
      </c>
      <c r="S227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8" s="63">
        <f ca="1">IF(PROVEEDORES[[#This Row],[FECHA DE PAGO]]=0,TODAY()-PROVEEDORES[[#This Row],[FECHA DE FACTURACIÓN]]-PROVEEDORES[[#This Row],[PLAZO Días]],0)</f>
        <v>0</v>
      </c>
      <c r="U2278" s="104">
        <f>+VLOOKUP(PROVEEDORES[[#This Row],[PROVEEDOR]],Terceros!$A:$D,4,FALSE)</f>
        <v>0</v>
      </c>
      <c r="V2278" s="105">
        <f>+YEAR(PROVEEDORES[[#This Row],[FECHA DE FACTURACIÓN]])</f>
        <v>2023</v>
      </c>
      <c r="W2278" s="105">
        <f>+MATCH(PROVEEDORES[[#This Row],[año facturado]],Retenciones!$1:$1,0)</f>
        <v>6</v>
      </c>
      <c r="X2278" s="106">
        <f>+VLOOKUP(PROVEEDORES[[#This Row],[ID RETENCION]],Retenciones!$A$1:$O$25,PROVEEDORES[[#This Row],[indicador de columna]],FALSE)</f>
        <v>0</v>
      </c>
      <c r="Y2278" s="107">
        <f>+VLOOKUP(PROVEEDORES[[#This Row],[ID RETENCION]],Retenciones!$A$1:$O$25,2,FALSE)</f>
        <v>0</v>
      </c>
      <c r="Z2278" s="116" t="b">
        <f>OR(COUNTIF(PROVEEDORES[[#This Row],[PROVEEDOR]],"*"&amp;'Palabra no opera'!$A$2&amp;"*"))</f>
        <v>0</v>
      </c>
    </row>
    <row r="2279" spans="1:26" ht="33" customHeight="1" x14ac:dyDescent="0.3">
      <c r="A2279" s="387" t="str">
        <f>+IF(PROVEEDORES[[#This Row],[FECHA DE PAGO]]=PROVEEDORES[[#This Row],[FECHA DE FACTURACIÓN]],"DE CONTADO","CRÉDITO")</f>
        <v>CRÉDITO</v>
      </c>
      <c r="B2279" s="38" t="b">
        <f>+IF((PROVEEDORES[[#This Row],[FECHA DE PAGO]]-PROVEEDORES[[#This Row],[FECHA DE FACTURACIÓN]])&gt;PROVEEDORES[[#This Row],[PLAZO Días]],"PAGO VENCIDO")</f>
        <v>0</v>
      </c>
      <c r="C2279" s="20">
        <f>+VLOOKUP(PROVEEDORES[[#This Row],[PROVEEDOR]],TERCEROS_INFO[#All],2,FALSE)</f>
        <v>30</v>
      </c>
      <c r="D2279" s="25">
        <f>+SUMIFS(PROVEEDORES[Total],PROVEEDORES[PROVEEDOR],PROVEEDORES[[#This Row],[PROVEEDOR]],PROVEEDORES[FECHA DE PAGO],"")</f>
        <v>121187115</v>
      </c>
      <c r="E2279" s="25"/>
      <c r="F2279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H2279" s="396" t="s">
        <v>31</v>
      </c>
      <c r="I2279" s="68">
        <v>45250</v>
      </c>
      <c r="J2279" s="35" t="s">
        <v>2167</v>
      </c>
      <c r="K2279" s="21">
        <v>105430883</v>
      </c>
      <c r="L2279" s="21"/>
      <c r="M2279" s="22">
        <f>(PROVEEDORES[[#This Row],[SUBTOTAL]]-PROVEEDORES[[#This Row],[descuento sobre subtotal]])*VLOOKUP(PROVEEDORES[[#This Row],[PROVEEDOR]],TERCEROS_INFO[#All],3,FALSE)</f>
        <v>0</v>
      </c>
      <c r="N2279" s="23"/>
      <c r="O2279" s="22">
        <f>+PROVEEDORES[[#This Row],[Descuento sobre subtotal %]]*(PROVEEDORES[[#This Row],[SUBTOTAL]]-PROVEEDORES[[#This Row],[descuento sobre subtotal]])</f>
        <v>0</v>
      </c>
      <c r="P2279" s="74">
        <f>+IF(PROVEEDORES[[#This Row],[SUBTOTAL]]&lt;PROVEEDORES[[#This Row],[base retencion]],0,PROVEEDORES[[#This Row],[retención aplicada]])</f>
        <v>0</v>
      </c>
      <c r="Q2279" s="22">
        <f>+PROVEEDORES[[#This Row],[Rete Fuente %]]*(PROVEEDORES[[#This Row],[SUBTOTAL]]-PROVEEDORES[[#This Row],[descuento sobre subtotal]])</f>
        <v>0</v>
      </c>
      <c r="R2279" s="21">
        <f>+PROVEEDORES[[#This Row],[SUBTOTAL]]+PROVEEDORES[[#This Row],[IVA 19%]]-PROVEEDORES[[#This Row],[descuento sobre subtotal]]-PROVEEDORES[[#This Row],[Descuento sobre subtotal $2]]-PROVEEDORES[[#This Row],[Rete Fuente $]]</f>
        <v>105430883</v>
      </c>
      <c r="S2279" s="3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79" s="63">
        <f ca="1">IF(PROVEEDORES[[#This Row],[FECHA DE PAGO]]=0,TODAY()-PROVEEDORES[[#This Row],[FECHA DE FACTURACIÓN]]-PROVEEDORES[[#This Row],[PLAZO Días]],0)</f>
        <v>20</v>
      </c>
      <c r="U2279" s="104">
        <f>+VLOOKUP(PROVEEDORES[[#This Row],[PROVEEDOR]],Terceros!$A:$D,4,FALSE)</f>
        <v>0</v>
      </c>
      <c r="V2279" s="105">
        <f>+YEAR(PROVEEDORES[[#This Row],[FECHA DE FACTURACIÓN]])</f>
        <v>2023</v>
      </c>
      <c r="W2279" s="105">
        <f>+MATCH(PROVEEDORES[[#This Row],[año facturado]],Retenciones!$1:$1,0)</f>
        <v>6</v>
      </c>
      <c r="X2279" s="106">
        <f>+VLOOKUP(PROVEEDORES[[#This Row],[ID RETENCION]],Retenciones!$A$1:$O$25,PROVEEDORES[[#This Row],[indicador de columna]],FALSE)</f>
        <v>0</v>
      </c>
      <c r="Y2279" s="107">
        <f>+VLOOKUP(PROVEEDORES[[#This Row],[ID RETENCION]],Retenciones!$A$1:$O$25,2,FALSE)</f>
        <v>0</v>
      </c>
      <c r="Z2279" s="116" t="b">
        <f>OR(COUNTIF(PROVEEDORES[[#This Row],[PROVEEDOR]],"*"&amp;'Palabra no opera'!$A$2&amp;"*"))</f>
        <v>0</v>
      </c>
    </row>
    <row r="2280" spans="1:26" ht="22.35" customHeight="1" x14ac:dyDescent="0.3">
      <c r="A2280" s="67" t="str">
        <f>+IF(PROVEEDORES[[#This Row],[FECHA DE PAGO]]=PROVEEDORES[[#This Row],[FECHA DE FACTURACIÓN]],"DE CONTADO","CRÉDITO")</f>
        <v>CRÉDITO</v>
      </c>
      <c r="B2280" s="38" t="str">
        <f>+IF((PROVEEDORES[[#This Row],[FECHA DE PAGO]]-PROVEEDORES[[#This Row],[FECHA DE FACTURACIÓN]])&gt;PROVEEDORES[[#This Row],[PLAZO Días]],"PAGO VENCIDO")</f>
        <v>PAGO VENCIDO</v>
      </c>
      <c r="C2280" s="20">
        <f>+VLOOKUP(PROVEEDORES[[#This Row],[PROVEEDOR]],TERCEROS_INFO[#All],2,FALSE)</f>
        <v>30</v>
      </c>
      <c r="D2280" s="25">
        <f>+SUMIFS(PROVEEDORES[Total],PROVEEDORES[PROVEEDOR],PROVEEDORES[[#This Row],[PROVEEDOR]],PROVEEDORES[FECHA DE PAGO],"")</f>
        <v>2100000</v>
      </c>
      <c r="E2280" s="25"/>
      <c r="F2280" s="56" t="str">
        <f>+VLOOKUP(PROVEEDORES[[#This Row],[PROVEEDOR]],
                       Terceros!$A:$F,
                       5,
                       FALSE)</f>
        <v/>
      </c>
      <c r="G2280" s="68">
        <v>45282</v>
      </c>
      <c r="H2280" s="26" t="s">
        <v>349</v>
      </c>
      <c r="I2280" s="68">
        <v>45251</v>
      </c>
      <c r="J2280" s="35" t="s">
        <v>2190</v>
      </c>
      <c r="K2280" s="21">
        <v>6427500</v>
      </c>
      <c r="L2280" s="21"/>
      <c r="M2280" s="22">
        <f>(PROVEEDORES[[#This Row],[SUBTOTAL]]-PROVEEDORES[[#This Row],[descuento sobre subtotal]])*VLOOKUP(PROVEEDORES[[#This Row],[PROVEEDOR]],TERCEROS_INFO[#All],3,FALSE)</f>
        <v>0</v>
      </c>
      <c r="N2280" s="23"/>
      <c r="O2280" s="22">
        <f>+PROVEEDORES[[#This Row],[Descuento sobre subtotal %]]*(PROVEEDORES[[#This Row],[SUBTOTAL]]-PROVEEDORES[[#This Row],[descuento sobre subtotal]])</f>
        <v>0</v>
      </c>
      <c r="P2280" s="74">
        <f>+IF(PROVEEDORES[[#This Row],[SUBTOTAL]]&lt;PROVEEDORES[[#This Row],[base retencion]],0,PROVEEDORES[[#This Row],[retención aplicada]])</f>
        <v>0</v>
      </c>
      <c r="Q2280" s="22">
        <f>+PROVEEDORES[[#This Row],[Rete Fuente %]]*(PROVEEDORES[[#This Row],[SUBTOTAL]]-PROVEEDORES[[#This Row],[descuento sobre subtotal]])</f>
        <v>0</v>
      </c>
      <c r="R2280" s="21">
        <f>+PROVEEDORES[[#This Row],[SUBTOTAL]]+PROVEEDORES[[#This Row],[IVA 19%]]-PROVEEDORES[[#This Row],[descuento sobre subtotal]]-PROVEEDORES[[#This Row],[Descuento sobre subtotal $2]]-PROVEEDORES[[#This Row],[Rete Fuente $]]</f>
        <v>6427500</v>
      </c>
      <c r="S228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0" s="63">
        <f ca="1">IF(PROVEEDORES[[#This Row],[FECHA DE PAGO]]=0,TODAY()-PROVEEDORES[[#This Row],[FECHA DE FACTURACIÓN]]-PROVEEDORES[[#This Row],[PLAZO Días]],0)</f>
        <v>0</v>
      </c>
      <c r="U2280" s="104">
        <f>+VLOOKUP(PROVEEDORES[[#This Row],[PROVEEDOR]],Terceros!$A:$D,4,FALSE)</f>
        <v>0</v>
      </c>
      <c r="V2280" s="105">
        <f>+YEAR(PROVEEDORES[[#This Row],[FECHA DE FACTURACIÓN]])</f>
        <v>2023</v>
      </c>
      <c r="W2280" s="105">
        <f>+MATCH(PROVEEDORES[[#This Row],[año facturado]],Retenciones!$1:$1,0)</f>
        <v>6</v>
      </c>
      <c r="X2280" s="106">
        <f>+VLOOKUP(PROVEEDORES[[#This Row],[ID RETENCION]],Retenciones!$A$1:$O$25,PROVEEDORES[[#This Row],[indicador de columna]],FALSE)</f>
        <v>0</v>
      </c>
      <c r="Y2280" s="107">
        <f>+VLOOKUP(PROVEEDORES[[#This Row],[ID RETENCION]],Retenciones!$A$1:$O$25,2,FALSE)</f>
        <v>0</v>
      </c>
      <c r="Z2280" s="116" t="b">
        <f>OR(COUNTIF(PROVEEDORES[[#This Row],[PROVEEDOR]],"*"&amp;'Palabra no opera'!$A$2&amp;"*"))</f>
        <v>0</v>
      </c>
    </row>
    <row r="2281" spans="1:26" ht="22.35" customHeight="1" x14ac:dyDescent="0.3">
      <c r="A2281" s="67" t="str">
        <f>+IF(PROVEEDORES[[#This Row],[FECHA DE PAGO]]=PROVEEDORES[[#This Row],[FECHA DE FACTURACIÓN]],"DE CONTADO","CRÉDITO")</f>
        <v>CRÉDITO</v>
      </c>
      <c r="B2281" s="38" t="b">
        <f>+IF((PROVEEDORES[[#This Row],[FECHA DE PAGO]]-PROVEEDORES[[#This Row],[FECHA DE FACTURACIÓN]])&gt;PROVEEDORES[[#This Row],[PLAZO Días]],"PAGO VENCIDO")</f>
        <v>0</v>
      </c>
      <c r="C2281" s="20">
        <f>+VLOOKUP(PROVEEDORES[[#This Row],[PROVEEDOR]],TERCEROS_INFO[#All],2,FALSE)</f>
        <v>30</v>
      </c>
      <c r="D2281" s="25">
        <f>+SUMIFS(PROVEEDORES[Total],PROVEEDORES[PROVEEDOR],PROVEEDORES[[#This Row],[PROVEEDOR]],PROVEEDORES[FECHA DE PAGO],"")</f>
        <v>2100000</v>
      </c>
      <c r="E2281" s="25"/>
      <c r="F2281" s="56" t="str">
        <f>+VLOOKUP(PROVEEDORES[[#This Row],[PROVEEDOR]],
                       Terceros!$A:$F,
                       5,
                       FALSE)</f>
        <v/>
      </c>
      <c r="H2281" s="26" t="s">
        <v>349</v>
      </c>
      <c r="I2281" s="68">
        <v>45251</v>
      </c>
      <c r="J2281" s="35" t="s">
        <v>2190</v>
      </c>
      <c r="K2281" s="21">
        <v>600000</v>
      </c>
      <c r="L2281" s="21"/>
      <c r="M2281" s="22">
        <f>(PROVEEDORES[[#This Row],[SUBTOTAL]]-PROVEEDORES[[#This Row],[descuento sobre subtotal]])*VLOOKUP(PROVEEDORES[[#This Row],[PROVEEDOR]],TERCEROS_INFO[#All],3,FALSE)</f>
        <v>0</v>
      </c>
      <c r="N2281" s="23"/>
      <c r="O2281" s="22">
        <f>+PROVEEDORES[[#This Row],[Descuento sobre subtotal %]]*(PROVEEDORES[[#This Row],[SUBTOTAL]]-PROVEEDORES[[#This Row],[descuento sobre subtotal]])</f>
        <v>0</v>
      </c>
      <c r="P2281" s="74">
        <f>+IF(PROVEEDORES[[#This Row],[SUBTOTAL]]&lt;PROVEEDORES[[#This Row],[base retencion]],0,PROVEEDORES[[#This Row],[retención aplicada]])</f>
        <v>0</v>
      </c>
      <c r="Q2281" s="22">
        <f>+PROVEEDORES[[#This Row],[Rete Fuente %]]*(PROVEEDORES[[#This Row],[SUBTOTAL]]-PROVEEDORES[[#This Row],[descuento sobre subtotal]])</f>
        <v>0</v>
      </c>
      <c r="R2281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2281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81" s="63">
        <f ca="1">IF(PROVEEDORES[[#This Row],[FECHA DE PAGO]]=0,TODAY()-PROVEEDORES[[#This Row],[FECHA DE FACTURACIÓN]]-PROVEEDORES[[#This Row],[PLAZO Días]],0)</f>
        <v>19</v>
      </c>
      <c r="U2281" s="104">
        <f>+VLOOKUP(PROVEEDORES[[#This Row],[PROVEEDOR]],Terceros!$A:$D,4,FALSE)</f>
        <v>0</v>
      </c>
      <c r="V2281" s="105">
        <f>+YEAR(PROVEEDORES[[#This Row],[FECHA DE FACTURACIÓN]])</f>
        <v>2023</v>
      </c>
      <c r="W2281" s="105">
        <f>+MATCH(PROVEEDORES[[#This Row],[año facturado]],Retenciones!$1:$1,0)</f>
        <v>6</v>
      </c>
      <c r="X2281" s="106">
        <f>+VLOOKUP(PROVEEDORES[[#This Row],[ID RETENCION]],Retenciones!$A$1:$O$25,PROVEEDORES[[#This Row],[indicador de columna]],FALSE)</f>
        <v>0</v>
      </c>
      <c r="Y2281" s="107">
        <f>+VLOOKUP(PROVEEDORES[[#This Row],[ID RETENCION]],Retenciones!$A$1:$O$25,2,FALSE)</f>
        <v>0</v>
      </c>
      <c r="Z2281" s="116" t="b">
        <f>OR(COUNTIF(PROVEEDORES[[#This Row],[PROVEEDOR]],"*"&amp;'Palabra no opera'!$A$2&amp;"*"))</f>
        <v>0</v>
      </c>
    </row>
    <row r="2282" spans="1:26" ht="22.35" customHeight="1" x14ac:dyDescent="0.3">
      <c r="A2282" s="67" t="str">
        <f>+IF(PROVEEDORES[[#This Row],[FECHA DE PAGO]]=PROVEEDORES[[#This Row],[FECHA DE FACTURACIÓN]],"DE CONTADO","CRÉDITO")</f>
        <v>CRÉDITO</v>
      </c>
      <c r="B2282" s="38" t="b">
        <f>+IF((PROVEEDORES[[#This Row],[FECHA DE PAGO]]-PROVEEDORES[[#This Row],[FECHA DE FACTURACIÓN]])&gt;PROVEEDORES[[#This Row],[PLAZO Días]],"PAGO VENCIDO")</f>
        <v>0</v>
      </c>
      <c r="C2282" s="20">
        <f>+VLOOKUP(PROVEEDORES[[#This Row],[PROVEEDOR]],TERCEROS_INFO[#All],2,FALSE)</f>
        <v>30</v>
      </c>
      <c r="D2282" s="25">
        <f>+SUMIFS(PROVEEDORES[Total],PROVEEDORES[PROVEEDOR],PROVEEDORES[[#This Row],[PROVEEDOR]],PROVEEDORES[FECHA DE PAGO],"")</f>
        <v>0</v>
      </c>
      <c r="E2282" s="25"/>
      <c r="F2282" s="56" t="str">
        <f>+VLOOKUP(PROVEEDORES[[#This Row],[PROVEEDOR]],
                       Terceros!$A:$F,
                       5,
                       FALSE)</f>
        <v/>
      </c>
      <c r="G2282" s="68">
        <v>45281</v>
      </c>
      <c r="H2282" s="26" t="s">
        <v>401</v>
      </c>
      <c r="I2282" s="68">
        <v>45251</v>
      </c>
      <c r="J2282" s="35" t="s">
        <v>2187</v>
      </c>
      <c r="K2282" s="21">
        <v>1479000</v>
      </c>
      <c r="L2282" s="21"/>
      <c r="M2282" s="22">
        <f>(PROVEEDORES[[#This Row],[SUBTOTAL]]-PROVEEDORES[[#This Row],[descuento sobre subtotal]])*VLOOKUP(PROVEEDORES[[#This Row],[PROVEEDOR]],TERCEROS_INFO[#All],3,FALSE)</f>
        <v>0</v>
      </c>
      <c r="N2282" s="23"/>
      <c r="O2282" s="22">
        <f>+PROVEEDORES[[#This Row],[Descuento sobre subtotal %]]*(PROVEEDORES[[#This Row],[SUBTOTAL]]-PROVEEDORES[[#This Row],[descuento sobre subtotal]])</f>
        <v>0</v>
      </c>
      <c r="P2282" s="74">
        <f>+IF(PROVEEDORES[[#This Row],[SUBTOTAL]]&lt;PROVEEDORES[[#This Row],[base retencion]],0,PROVEEDORES[[#This Row],[retención aplicada]])</f>
        <v>0</v>
      </c>
      <c r="Q2282" s="22">
        <f>+PROVEEDORES[[#This Row],[Rete Fuente %]]*(PROVEEDORES[[#This Row],[SUBTOTAL]]-PROVEEDORES[[#This Row],[descuento sobre subtotal]])</f>
        <v>0</v>
      </c>
      <c r="R2282" s="21">
        <f>+PROVEEDORES[[#This Row],[SUBTOTAL]]+PROVEEDORES[[#This Row],[IVA 19%]]-PROVEEDORES[[#This Row],[descuento sobre subtotal]]-PROVEEDORES[[#This Row],[Descuento sobre subtotal $2]]-PROVEEDORES[[#This Row],[Rete Fuente $]]</f>
        <v>1479000</v>
      </c>
      <c r="S228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2" s="63">
        <f ca="1">IF(PROVEEDORES[[#This Row],[FECHA DE PAGO]]=0,TODAY()-PROVEEDORES[[#This Row],[FECHA DE FACTURACIÓN]]-PROVEEDORES[[#This Row],[PLAZO Días]],0)</f>
        <v>0</v>
      </c>
      <c r="U2282" s="104">
        <f>+VLOOKUP(PROVEEDORES[[#This Row],[PROVEEDOR]],Terceros!$A:$D,4,FALSE)</f>
        <v>0</v>
      </c>
      <c r="V2282" s="105">
        <f>+YEAR(PROVEEDORES[[#This Row],[FECHA DE FACTURACIÓN]])</f>
        <v>2023</v>
      </c>
      <c r="W2282" s="105">
        <f>+MATCH(PROVEEDORES[[#This Row],[año facturado]],Retenciones!$1:$1,0)</f>
        <v>6</v>
      </c>
      <c r="X2282" s="106">
        <f>+VLOOKUP(PROVEEDORES[[#This Row],[ID RETENCION]],Retenciones!$A$1:$O$25,PROVEEDORES[[#This Row],[indicador de columna]],FALSE)</f>
        <v>0</v>
      </c>
      <c r="Y2282" s="107">
        <f>+VLOOKUP(PROVEEDORES[[#This Row],[ID RETENCION]],Retenciones!$A$1:$O$25,2,FALSE)</f>
        <v>0</v>
      </c>
      <c r="Z2282" s="116" t="b">
        <f>OR(COUNTIF(PROVEEDORES[[#This Row],[PROVEEDOR]],"*"&amp;'Palabra no opera'!$A$2&amp;"*"))</f>
        <v>0</v>
      </c>
    </row>
    <row r="2283" spans="1:26" ht="22.35" customHeight="1" x14ac:dyDescent="0.3">
      <c r="A2283" s="67" t="str">
        <f>+IF(PROVEEDORES[[#This Row],[FECHA DE PAGO]]=PROVEEDORES[[#This Row],[FECHA DE FACTURACIÓN]],"DE CONTADO","CRÉDITO")</f>
        <v>DE CONTADO</v>
      </c>
      <c r="B2283" s="38" t="b">
        <f>+IF((PROVEEDORES[[#This Row],[FECHA DE PAGO]]-PROVEEDORES[[#This Row],[FECHA DE FACTURACIÓN]])&gt;PROVEEDORES[[#This Row],[PLAZO Días]],"PAGO VENCIDO")</f>
        <v>0</v>
      </c>
      <c r="C2283" s="20">
        <f>+VLOOKUP(PROVEEDORES[[#This Row],[PROVEEDOR]],TERCEROS_INFO[#All],2,FALSE)</f>
        <v>30</v>
      </c>
      <c r="D2283" s="25">
        <f>+SUMIFS(PROVEEDORES[Total],PROVEEDORES[PROVEEDOR],PROVEEDORES[[#This Row],[PROVEEDOR]],PROVEEDORES[FECHA DE PAGO],"")</f>
        <v>27189617.395</v>
      </c>
      <c r="E2283" s="25"/>
      <c r="F2283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2283" s="68">
        <v>45288</v>
      </c>
      <c r="H2283" s="26" t="s">
        <v>77</v>
      </c>
      <c r="I2283" s="68">
        <v>45288</v>
      </c>
      <c r="J2283" s="35" t="s">
        <v>2321</v>
      </c>
      <c r="K2283" s="21">
        <v>-5378151</v>
      </c>
      <c r="L2283" s="21"/>
      <c r="M2283" s="22">
        <f>(PROVEEDORES[[#This Row],[SUBTOTAL]]-PROVEEDORES[[#This Row],[descuento sobre subtotal]])*VLOOKUP(PROVEEDORES[[#This Row],[PROVEEDOR]],TERCEROS_INFO[#All],3,FALSE)</f>
        <v>-1021848.6900000001</v>
      </c>
      <c r="N2283" s="23"/>
      <c r="O2283" s="22">
        <f>+PROVEEDORES[[#This Row],[Descuento sobre subtotal %]]*(PROVEEDORES[[#This Row],[SUBTOTAL]]-PROVEEDORES[[#This Row],[descuento sobre subtotal]])</f>
        <v>0</v>
      </c>
      <c r="P2283" s="74">
        <f>+IF(PROVEEDORES[[#This Row],[SUBTOTAL]]&lt;PROVEEDORES[[#This Row],[base retencion]],0,PROVEEDORES[[#This Row],[retención aplicada]])</f>
        <v>0</v>
      </c>
      <c r="Q2283" s="22">
        <f>+PROVEEDORES[[#This Row],[Rete Fuente %]]*(PROVEEDORES[[#This Row],[SUBTOTAL]]-PROVEEDORES[[#This Row],[descuento sobre subtotal]])</f>
        <v>0</v>
      </c>
      <c r="R2283" s="21">
        <f>+PROVEEDORES[[#This Row],[SUBTOTAL]]+PROVEEDORES[[#This Row],[IVA 19%]]-PROVEEDORES[[#This Row],[descuento sobre subtotal]]-PROVEEDORES[[#This Row],[Descuento sobre subtotal $2]]-PROVEEDORES[[#This Row],[Rete Fuente $]]</f>
        <v>-6399999.6900000004</v>
      </c>
      <c r="S228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3" s="63">
        <f ca="1">IF(PROVEEDORES[[#This Row],[FECHA DE PAGO]]=0,TODAY()-PROVEEDORES[[#This Row],[FECHA DE FACTURACIÓN]]-PROVEEDORES[[#This Row],[PLAZO Días]],0)</f>
        <v>0</v>
      </c>
      <c r="U2283" s="104" t="str">
        <f>+VLOOKUP(PROVEEDORES[[#This Row],[PROVEEDOR]],Terceros!$A:$D,4,FALSE)</f>
        <v>2,5% con base</v>
      </c>
      <c r="V2283" s="105">
        <f>+YEAR(PROVEEDORES[[#This Row],[FECHA DE FACTURACIÓN]])</f>
        <v>2023</v>
      </c>
      <c r="W2283" s="105">
        <f>+MATCH(PROVEEDORES[[#This Row],[año facturado]],Retenciones!$1:$1,0)</f>
        <v>6</v>
      </c>
      <c r="X2283" s="106">
        <f>+VLOOKUP(PROVEEDORES[[#This Row],[ID RETENCION]],Retenciones!$A$1:$O$25,PROVEEDORES[[#This Row],[indicador de columna]],FALSE)</f>
        <v>1145000</v>
      </c>
      <c r="Y2283" s="107">
        <f>+VLOOKUP(PROVEEDORES[[#This Row],[ID RETENCION]],Retenciones!$A$1:$O$25,2,FALSE)</f>
        <v>2.5000000000000001E-2</v>
      </c>
      <c r="Z2283" s="116" t="b">
        <f>OR(COUNTIF(PROVEEDORES[[#This Row],[PROVEEDOR]],"*"&amp;'Palabra no opera'!$A$2&amp;"*"))</f>
        <v>0</v>
      </c>
    </row>
    <row r="2284" spans="1:26" ht="22.35" customHeight="1" x14ac:dyDescent="0.3">
      <c r="A2284" s="387" t="str">
        <f>+IF(PROVEEDORES[[#This Row],[FECHA DE PAGO]]=PROVEEDORES[[#This Row],[FECHA DE FACTURACIÓN]],"DE CONTADO","CRÉDITO")</f>
        <v>CRÉDITO</v>
      </c>
      <c r="B2284" s="38" t="str">
        <f>+IF((PROVEEDORES[[#This Row],[FECHA DE PAGO]]-PROVEEDORES[[#This Row],[FECHA DE FACTURACIÓN]])&gt;PROVEEDORES[[#This Row],[PLAZO Días]],"PAGO VENCIDO")</f>
        <v>PAGO VENCIDO</v>
      </c>
      <c r="C2284" s="20">
        <f>+VLOOKUP(PROVEEDORES[[#This Row],[PROVEEDOR]],TERCEROS_INFO[#All],2,FALSE)</f>
        <v>30</v>
      </c>
      <c r="D2284" s="25">
        <f>+SUMIFS(PROVEEDORES[Total],PROVEEDORES[PROVEEDOR],PROVEEDORES[[#This Row],[PROVEEDOR]],PROVEEDORES[FECHA DE PAGO],"")</f>
        <v>0</v>
      </c>
      <c r="E2284" s="25"/>
      <c r="F228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284" s="68">
        <v>45288</v>
      </c>
      <c r="H2284" s="26" t="s">
        <v>1850</v>
      </c>
      <c r="I2284" s="68">
        <v>45251</v>
      </c>
      <c r="J2284" s="35" t="s">
        <v>2172</v>
      </c>
      <c r="K2284" s="21">
        <v>756303</v>
      </c>
      <c r="L2284" s="21"/>
      <c r="M2284" s="22">
        <f>(PROVEEDORES[[#This Row],[SUBTOTAL]]-PROVEEDORES[[#This Row],[descuento sobre subtotal]])*VLOOKUP(PROVEEDORES[[#This Row],[PROVEEDOR]],TERCEROS_INFO[#All],3,FALSE)</f>
        <v>143697.57</v>
      </c>
      <c r="N2284" s="23"/>
      <c r="O2284" s="22">
        <f>+PROVEEDORES[[#This Row],[Descuento sobre subtotal %]]*(PROVEEDORES[[#This Row],[SUBTOTAL]]-PROVEEDORES[[#This Row],[descuento sobre subtotal]])</f>
        <v>0</v>
      </c>
      <c r="P2284" s="74">
        <f>+IF(PROVEEDORES[[#This Row],[SUBTOTAL]]&lt;PROVEEDORES[[#This Row],[base retencion]],0,PROVEEDORES[[#This Row],[retención aplicada]])</f>
        <v>0</v>
      </c>
      <c r="Q2284" s="22">
        <f>+PROVEEDORES[[#This Row],[Rete Fuente %]]*(PROVEEDORES[[#This Row],[SUBTOTAL]]-PROVEEDORES[[#This Row],[descuento sobre subtotal]])</f>
        <v>0</v>
      </c>
      <c r="R2284" s="21">
        <f>+PROVEEDORES[[#This Row],[SUBTOTAL]]+PROVEEDORES[[#This Row],[IVA 19%]]-PROVEEDORES[[#This Row],[descuento sobre subtotal]]-PROVEEDORES[[#This Row],[Descuento sobre subtotal $2]]-PROVEEDORES[[#This Row],[Rete Fuente $]]</f>
        <v>900000.57000000007</v>
      </c>
      <c r="S2284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4" s="63">
        <f ca="1">IF(PROVEEDORES[[#This Row],[FECHA DE PAGO]]=0,TODAY()-PROVEEDORES[[#This Row],[FECHA DE FACTURACIÓN]]-PROVEEDORES[[#This Row],[PLAZO Días]],0)</f>
        <v>0</v>
      </c>
      <c r="U2284" s="104" t="str">
        <f>+VLOOKUP(PROVEEDORES[[#This Row],[PROVEEDOR]],Terceros!$A:$D,4,FALSE)</f>
        <v>2,5% con base</v>
      </c>
      <c r="V2284" s="105">
        <f>+YEAR(PROVEEDORES[[#This Row],[FECHA DE FACTURACIÓN]])</f>
        <v>2023</v>
      </c>
      <c r="W2284" s="105">
        <f>+MATCH(PROVEEDORES[[#This Row],[año facturado]],Retenciones!$1:$1,0)</f>
        <v>6</v>
      </c>
      <c r="X2284" s="106">
        <f>+VLOOKUP(PROVEEDORES[[#This Row],[ID RETENCION]],Retenciones!$A$1:$O$25,PROVEEDORES[[#This Row],[indicador de columna]],FALSE)</f>
        <v>1145000</v>
      </c>
      <c r="Y2284" s="107">
        <f>+VLOOKUP(PROVEEDORES[[#This Row],[ID RETENCION]],Retenciones!$A$1:$O$25,2,FALSE)</f>
        <v>2.5000000000000001E-2</v>
      </c>
      <c r="Z2284" s="116" t="b">
        <f>OR(COUNTIF(PROVEEDORES[[#This Row],[PROVEEDOR]],"*"&amp;'Palabra no opera'!$A$2&amp;"*"))</f>
        <v>0</v>
      </c>
    </row>
    <row r="2285" spans="1:26" ht="22.35" customHeight="1" x14ac:dyDescent="0.3">
      <c r="A2285" s="387" t="str">
        <f>+IF(PROVEEDORES[[#This Row],[FECHA DE PAGO]]=PROVEEDORES[[#This Row],[FECHA DE FACTURACIÓN]],"DE CONTADO","CRÉDITO")</f>
        <v>CRÉDITO</v>
      </c>
      <c r="B2285" s="38" t="str">
        <f>+IF((PROVEEDORES[[#This Row],[FECHA DE PAGO]]-PROVEEDORES[[#This Row],[FECHA DE FACTURACIÓN]])&gt;PROVEEDORES[[#This Row],[PLAZO Días]],"PAGO VENCIDO")</f>
        <v>PAGO VENCIDO</v>
      </c>
      <c r="C2285" s="20">
        <f>+VLOOKUP(PROVEEDORES[[#This Row],[PROVEEDOR]],TERCEROS_INFO[#All],2,FALSE)</f>
        <v>30</v>
      </c>
      <c r="D2285" s="25">
        <f>+SUMIFS(PROVEEDORES[Total],PROVEEDORES[PROVEEDOR],PROVEEDORES[[#This Row],[PROVEEDOR]],PROVEEDORES[FECHA DE PAGO],"")</f>
        <v>0</v>
      </c>
      <c r="E2285" s="25"/>
      <c r="F2285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285" s="68">
        <v>45282</v>
      </c>
      <c r="H2285" s="26" t="s">
        <v>1069</v>
      </c>
      <c r="I2285" s="68">
        <v>45251</v>
      </c>
      <c r="J2285" s="35" t="s">
        <v>2157</v>
      </c>
      <c r="K2285" s="21">
        <v>1411768</v>
      </c>
      <c r="L2285" s="21"/>
      <c r="M2285" s="22">
        <f>(PROVEEDORES[[#This Row],[SUBTOTAL]]-PROVEEDORES[[#This Row],[descuento sobre subtotal]])*VLOOKUP(PROVEEDORES[[#This Row],[PROVEEDOR]],TERCEROS_INFO[#All],3,FALSE)</f>
        <v>268235.92</v>
      </c>
      <c r="N2285" s="23"/>
      <c r="O2285" s="22">
        <f>+PROVEEDORES[[#This Row],[Descuento sobre subtotal %]]*(PROVEEDORES[[#This Row],[SUBTOTAL]]-PROVEEDORES[[#This Row],[descuento sobre subtotal]])</f>
        <v>0</v>
      </c>
      <c r="P2285" s="74">
        <f>+IF(PROVEEDORES[[#This Row],[SUBTOTAL]]&lt;PROVEEDORES[[#This Row],[base retencion]],0,PROVEEDORES[[#This Row],[retención aplicada]])</f>
        <v>2.5000000000000001E-2</v>
      </c>
      <c r="Q2285" s="22">
        <f>+PROVEEDORES[[#This Row],[Rete Fuente %]]*(PROVEEDORES[[#This Row],[SUBTOTAL]]-PROVEEDORES[[#This Row],[descuento sobre subtotal]])</f>
        <v>35294.200000000004</v>
      </c>
      <c r="R2285" s="21">
        <f>+PROVEEDORES[[#This Row],[SUBTOTAL]]+PROVEEDORES[[#This Row],[IVA 19%]]-PROVEEDORES[[#This Row],[descuento sobre subtotal]]-PROVEEDORES[[#This Row],[Descuento sobre subtotal $2]]-PROVEEDORES[[#This Row],[Rete Fuente $]]</f>
        <v>1644709.72</v>
      </c>
      <c r="S2285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5" s="63">
        <f ca="1">IF(PROVEEDORES[[#This Row],[FECHA DE PAGO]]=0,TODAY()-PROVEEDORES[[#This Row],[FECHA DE FACTURACIÓN]]-PROVEEDORES[[#This Row],[PLAZO Días]],0)</f>
        <v>0</v>
      </c>
      <c r="U2285" s="104" t="str">
        <f>+VLOOKUP(PROVEEDORES[[#This Row],[PROVEEDOR]],Terceros!$A:$D,4,FALSE)</f>
        <v>2,5% con base</v>
      </c>
      <c r="V2285" s="105">
        <f>+YEAR(PROVEEDORES[[#This Row],[FECHA DE FACTURACIÓN]])</f>
        <v>2023</v>
      </c>
      <c r="W2285" s="105">
        <f>+MATCH(PROVEEDORES[[#This Row],[año facturado]],Retenciones!$1:$1,0)</f>
        <v>6</v>
      </c>
      <c r="X2285" s="106">
        <f>+VLOOKUP(PROVEEDORES[[#This Row],[ID RETENCION]],Retenciones!$A$1:$O$25,PROVEEDORES[[#This Row],[indicador de columna]],FALSE)</f>
        <v>1145000</v>
      </c>
      <c r="Y2285" s="107">
        <f>+VLOOKUP(PROVEEDORES[[#This Row],[ID RETENCION]],Retenciones!$A$1:$O$25,2,FALSE)</f>
        <v>2.5000000000000001E-2</v>
      </c>
      <c r="Z2285" s="116" t="b">
        <f>OR(COUNTIF(PROVEEDORES[[#This Row],[PROVEEDOR]],"*"&amp;'Palabra no opera'!$A$2&amp;"*"))</f>
        <v>0</v>
      </c>
    </row>
    <row r="2286" spans="1:26" ht="22.35" customHeight="1" x14ac:dyDescent="0.3">
      <c r="A2286" s="67" t="str">
        <f>+IF(PROVEEDORES[[#This Row],[FECHA DE PAGO]]=PROVEEDORES[[#This Row],[FECHA DE FACTURACIÓN]],"DE CONTADO","CRÉDITO")</f>
        <v>CRÉDITO</v>
      </c>
      <c r="B2286" s="38" t="str">
        <f>+IF((PROVEEDORES[[#This Row],[FECHA DE PAGO]]-PROVEEDORES[[#This Row],[FECHA DE FACTURACIÓN]])&gt;PROVEEDORES[[#This Row],[PLAZO Días]],"PAGO VENCIDO")</f>
        <v>PAGO VENCIDO</v>
      </c>
      <c r="C2286" s="20">
        <f>+VLOOKUP(PROVEEDORES[[#This Row],[PROVEEDOR]],TERCEROS_INFO[#All],2,FALSE)</f>
        <v>30</v>
      </c>
      <c r="D2286" s="25">
        <f>+SUMIFS(PROVEEDORES[Total],PROVEEDORES[PROVEEDOR],PROVEEDORES[[#This Row],[PROVEEDOR]],PROVEEDORES[FECHA DE PAGO],"")</f>
        <v>0</v>
      </c>
      <c r="E2286" s="25"/>
      <c r="F2286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2286" s="68">
        <v>45287</v>
      </c>
      <c r="H2286" s="26" t="s">
        <v>809</v>
      </c>
      <c r="I2286" s="68">
        <v>45252</v>
      </c>
      <c r="J2286" s="35" t="s">
        <v>2181</v>
      </c>
      <c r="K2286" s="21">
        <v>1071000</v>
      </c>
      <c r="L2286" s="21"/>
      <c r="M2286" s="22">
        <f>(PROVEEDORES[[#This Row],[SUBTOTAL]]-PROVEEDORES[[#This Row],[descuento sobre subtotal]])*VLOOKUP(PROVEEDORES[[#This Row],[PROVEEDOR]],TERCEROS_INFO[#All],3,FALSE)</f>
        <v>203490</v>
      </c>
      <c r="N2286" s="23">
        <v>0.1</v>
      </c>
      <c r="O2286" s="22">
        <f>+PROVEEDORES[[#This Row],[Descuento sobre subtotal %]]*(PROVEEDORES[[#This Row],[SUBTOTAL]]-PROVEEDORES[[#This Row],[descuento sobre subtotal]])</f>
        <v>107100</v>
      </c>
      <c r="P2286" s="74">
        <f>+IF(PROVEEDORES[[#This Row],[SUBTOTAL]]&lt;PROVEEDORES[[#This Row],[base retencion]],0,PROVEEDORES[[#This Row],[retención aplicada]])</f>
        <v>0</v>
      </c>
      <c r="Q2286" s="22">
        <f>+PROVEEDORES[[#This Row],[Rete Fuente %]]*(PROVEEDORES[[#This Row],[SUBTOTAL]]-PROVEEDORES[[#This Row],[descuento sobre subtotal]])</f>
        <v>0</v>
      </c>
      <c r="R2286" s="21">
        <f>+PROVEEDORES[[#This Row],[SUBTOTAL]]+PROVEEDORES[[#This Row],[IVA 19%]]-PROVEEDORES[[#This Row],[descuento sobre subtotal]]-PROVEEDORES[[#This Row],[Descuento sobre subtotal $2]]-PROVEEDORES[[#This Row],[Rete Fuente $]]</f>
        <v>1167390</v>
      </c>
      <c r="S228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6" s="63">
        <f ca="1">IF(PROVEEDORES[[#This Row],[FECHA DE PAGO]]=0,TODAY()-PROVEEDORES[[#This Row],[FECHA DE FACTURACIÓN]]-PROVEEDORES[[#This Row],[PLAZO Días]],0)</f>
        <v>0</v>
      </c>
      <c r="U2286" s="104" t="str">
        <f>+VLOOKUP(PROVEEDORES[[#This Row],[PROVEEDOR]],Terceros!$A:$D,4,FALSE)</f>
        <v>2,5% con base</v>
      </c>
      <c r="V2286" s="105">
        <f>+YEAR(PROVEEDORES[[#This Row],[FECHA DE FACTURACIÓN]])</f>
        <v>2023</v>
      </c>
      <c r="W2286" s="105">
        <f>+MATCH(PROVEEDORES[[#This Row],[año facturado]],Retenciones!$1:$1,0)</f>
        <v>6</v>
      </c>
      <c r="X2286" s="106">
        <f>+VLOOKUP(PROVEEDORES[[#This Row],[ID RETENCION]],Retenciones!$A$1:$O$25,PROVEEDORES[[#This Row],[indicador de columna]],FALSE)</f>
        <v>1145000</v>
      </c>
      <c r="Y2286" s="107">
        <f>+VLOOKUP(PROVEEDORES[[#This Row],[ID RETENCION]],Retenciones!$A$1:$O$25,2,FALSE)</f>
        <v>2.5000000000000001E-2</v>
      </c>
      <c r="Z2286" s="116" t="b">
        <f>OR(COUNTIF(PROVEEDORES[[#This Row],[PROVEEDOR]],"*"&amp;'Palabra no opera'!$A$2&amp;"*"))</f>
        <v>0</v>
      </c>
    </row>
    <row r="2287" spans="1:26" ht="22.35" customHeight="1" x14ac:dyDescent="0.3">
      <c r="A2287" s="387" t="str">
        <f>+IF(PROVEEDORES[[#This Row],[FECHA DE PAGO]]=PROVEEDORES[[#This Row],[FECHA DE FACTURACIÓN]],"DE CONTADO","CRÉDITO")</f>
        <v>CRÉDITO</v>
      </c>
      <c r="B2287" s="38" t="str">
        <f>+IF((PROVEEDORES[[#This Row],[FECHA DE PAGO]]-PROVEEDORES[[#This Row],[FECHA DE FACTURACIÓN]])&gt;PROVEEDORES[[#This Row],[PLAZO Días]],"PAGO VENCIDO")</f>
        <v>PAGO VENCIDO</v>
      </c>
      <c r="C2287" s="20">
        <f>+VLOOKUP(PROVEEDORES[[#This Row],[PROVEEDOR]],TERCEROS_INFO[#All],2,FALSE)</f>
        <v>30</v>
      </c>
      <c r="D2287" s="25">
        <f>+SUMIFS(PROVEEDORES[Total],PROVEEDORES[PROVEEDOR],PROVEEDORES[[#This Row],[PROVEEDOR]],PROVEEDORES[FECHA DE PAGO],"")</f>
        <v>17870934.149999999</v>
      </c>
      <c r="E2287" s="25"/>
      <c r="F228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87" s="68">
        <v>45286</v>
      </c>
      <c r="H2287" s="26" t="s">
        <v>18</v>
      </c>
      <c r="I2287" s="68">
        <v>45252</v>
      </c>
      <c r="J2287" s="35" t="s">
        <v>2168</v>
      </c>
      <c r="K2287" s="21">
        <v>3851267</v>
      </c>
      <c r="L2287" s="21"/>
      <c r="M2287" s="22">
        <f>(PROVEEDORES[[#This Row],[SUBTOTAL]]-PROVEEDORES[[#This Row],[descuento sobre subtotal]])*VLOOKUP(PROVEEDORES[[#This Row],[PROVEEDOR]],TERCEROS_INFO[#All],3,FALSE)</f>
        <v>731740.73</v>
      </c>
      <c r="N2287" s="23"/>
      <c r="O2287" s="22">
        <f>+PROVEEDORES[[#This Row],[Descuento sobre subtotal %]]*(PROVEEDORES[[#This Row],[SUBTOTAL]]-PROVEEDORES[[#This Row],[descuento sobre subtotal]])</f>
        <v>0</v>
      </c>
      <c r="P2287" s="74">
        <f>+IF(PROVEEDORES[[#This Row],[SUBTOTAL]]&lt;PROVEEDORES[[#This Row],[base retencion]],0,PROVEEDORES[[#This Row],[retención aplicada]])</f>
        <v>2.5000000000000001E-2</v>
      </c>
      <c r="Q2287" s="22">
        <f>+PROVEEDORES[[#This Row],[Rete Fuente %]]*(PROVEEDORES[[#This Row],[SUBTOTAL]]-PROVEEDORES[[#This Row],[descuento sobre subtotal]])</f>
        <v>96281.675000000003</v>
      </c>
      <c r="R2287" s="21">
        <f>+PROVEEDORES[[#This Row],[SUBTOTAL]]+PROVEEDORES[[#This Row],[IVA 19%]]-PROVEEDORES[[#This Row],[descuento sobre subtotal]]-PROVEEDORES[[#This Row],[Descuento sobre subtotal $2]]-PROVEEDORES[[#This Row],[Rete Fuente $]]</f>
        <v>4486726.0550000006</v>
      </c>
      <c r="S2287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7" s="63">
        <f ca="1">IF(PROVEEDORES[[#This Row],[FECHA DE PAGO]]=0,TODAY()-PROVEEDORES[[#This Row],[FECHA DE FACTURACIÓN]]-PROVEEDORES[[#This Row],[PLAZO Días]],0)</f>
        <v>0</v>
      </c>
      <c r="U2287" s="104" t="str">
        <f>+VLOOKUP(PROVEEDORES[[#This Row],[PROVEEDOR]],Terceros!$A:$D,4,FALSE)</f>
        <v>2,5% con base</v>
      </c>
      <c r="V2287" s="105">
        <f>+YEAR(PROVEEDORES[[#This Row],[FECHA DE FACTURACIÓN]])</f>
        <v>2023</v>
      </c>
      <c r="W2287" s="105">
        <f>+MATCH(PROVEEDORES[[#This Row],[año facturado]],Retenciones!$1:$1,0)</f>
        <v>6</v>
      </c>
      <c r="X2287" s="106">
        <f>+VLOOKUP(PROVEEDORES[[#This Row],[ID RETENCION]],Retenciones!$A$1:$O$25,PROVEEDORES[[#This Row],[indicador de columna]],FALSE)</f>
        <v>1145000</v>
      </c>
      <c r="Y2287" s="107">
        <f>+VLOOKUP(PROVEEDORES[[#This Row],[ID RETENCION]],Retenciones!$A$1:$O$25,2,FALSE)</f>
        <v>2.5000000000000001E-2</v>
      </c>
      <c r="Z2287" s="116" t="b">
        <f>OR(COUNTIF(PROVEEDORES[[#This Row],[PROVEEDOR]],"*"&amp;'Palabra no opera'!$A$2&amp;"*"))</f>
        <v>0</v>
      </c>
    </row>
    <row r="2288" spans="1:26" ht="22.35" customHeight="1" x14ac:dyDescent="0.3">
      <c r="A2288" s="387" t="str">
        <f>+IF(PROVEEDORES[[#This Row],[FECHA DE PAGO]]=PROVEEDORES[[#This Row],[FECHA DE FACTURACIÓN]],"DE CONTADO","CRÉDITO")</f>
        <v>CRÉDITO</v>
      </c>
      <c r="B2288" s="38" t="b">
        <f>+IF((PROVEEDORES[[#This Row],[FECHA DE PAGO]]-PROVEEDORES[[#This Row],[FECHA DE FACTURACIÓN]])&gt;PROVEEDORES[[#This Row],[PLAZO Días]],"PAGO VENCIDO")</f>
        <v>0</v>
      </c>
      <c r="C2288" s="20">
        <f>+VLOOKUP(PROVEEDORES[[#This Row],[PROVEEDOR]],TERCEROS_INFO[#All],2,FALSE)</f>
        <v>45</v>
      </c>
      <c r="D2288" s="25">
        <f>+SUMIFS(PROVEEDORES[Total],PROVEEDORES[PROVEEDOR],PROVEEDORES[[#This Row],[PROVEEDOR]],PROVEEDORES[FECHA DE PAGO],"")</f>
        <v>15770594</v>
      </c>
      <c r="E2288" s="25"/>
      <c r="F228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88" s="68">
        <v>45288</v>
      </c>
      <c r="H2288" s="26" t="s">
        <v>19</v>
      </c>
      <c r="I2288" s="68">
        <v>45252</v>
      </c>
      <c r="J2288" s="35" t="s">
        <v>2162</v>
      </c>
      <c r="K2288" s="21">
        <v>2102085</v>
      </c>
      <c r="L2288" s="21"/>
      <c r="M2288" s="22">
        <f>(PROVEEDORES[[#This Row],[SUBTOTAL]]-PROVEEDORES[[#This Row],[descuento sobre subtotal]])*VLOOKUP(PROVEEDORES[[#This Row],[PROVEEDOR]],TERCEROS_INFO[#All],3,FALSE)</f>
        <v>399396.15</v>
      </c>
      <c r="N2288" s="23"/>
      <c r="O2288" s="22">
        <f>+PROVEEDORES[[#This Row],[Descuento sobre subtotal %]]*(PROVEEDORES[[#This Row],[SUBTOTAL]]-PROVEEDORES[[#This Row],[descuento sobre subtotal]])</f>
        <v>0</v>
      </c>
      <c r="P2288" s="74">
        <f>+IF(PROVEEDORES[[#This Row],[SUBTOTAL]]&lt;PROVEEDORES[[#This Row],[base retencion]],0,PROVEEDORES[[#This Row],[retención aplicada]])</f>
        <v>0</v>
      </c>
      <c r="Q2288" s="22">
        <f>+PROVEEDORES[[#This Row],[Rete Fuente %]]*(PROVEEDORES[[#This Row],[SUBTOTAL]]-PROVEEDORES[[#This Row],[descuento sobre subtotal]])</f>
        <v>0</v>
      </c>
      <c r="R2288" s="21">
        <f>+PROVEEDORES[[#This Row],[SUBTOTAL]]+PROVEEDORES[[#This Row],[IVA 19%]]-PROVEEDORES[[#This Row],[descuento sobre subtotal]]-PROVEEDORES[[#This Row],[Descuento sobre subtotal $2]]-PROVEEDORES[[#This Row],[Rete Fuente $]]</f>
        <v>2501481.15</v>
      </c>
      <c r="S2288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8" s="63">
        <f ca="1">IF(PROVEEDORES[[#This Row],[FECHA DE PAGO]]=0,TODAY()-PROVEEDORES[[#This Row],[FECHA DE FACTURACIÓN]]-PROVEEDORES[[#This Row],[PLAZO Días]],0)</f>
        <v>0</v>
      </c>
      <c r="U2288" s="104">
        <f>+VLOOKUP(PROVEEDORES[[#This Row],[PROVEEDOR]],Terceros!$A:$D,4,FALSE)</f>
        <v>0</v>
      </c>
      <c r="V2288" s="105">
        <f>+YEAR(PROVEEDORES[[#This Row],[FECHA DE FACTURACIÓN]])</f>
        <v>2023</v>
      </c>
      <c r="W2288" s="105">
        <f>+MATCH(PROVEEDORES[[#This Row],[año facturado]],Retenciones!$1:$1,0)</f>
        <v>6</v>
      </c>
      <c r="X2288" s="106">
        <f>+VLOOKUP(PROVEEDORES[[#This Row],[ID RETENCION]],Retenciones!$A$1:$O$25,PROVEEDORES[[#This Row],[indicador de columna]],FALSE)</f>
        <v>0</v>
      </c>
      <c r="Y2288" s="107">
        <f>+VLOOKUP(PROVEEDORES[[#This Row],[ID RETENCION]],Retenciones!$A$1:$O$25,2,FALSE)</f>
        <v>0</v>
      </c>
      <c r="Z2288" s="116" t="b">
        <f>OR(COUNTIF(PROVEEDORES[[#This Row],[PROVEEDOR]],"*"&amp;'Palabra no opera'!$A$2&amp;"*"))</f>
        <v>0</v>
      </c>
    </row>
    <row r="2289" spans="1:26" ht="22.35" customHeight="1" x14ac:dyDescent="0.3">
      <c r="A2289" s="67" t="str">
        <f>+IF(PROVEEDORES[[#This Row],[FECHA DE PAGO]]=PROVEEDORES[[#This Row],[FECHA DE FACTURACIÓN]],"DE CONTADO","CRÉDITO")</f>
        <v>CRÉDITO</v>
      </c>
      <c r="B2289" s="38" t="b">
        <f>+IF((PROVEEDORES[[#This Row],[FECHA DE PAGO]]-PROVEEDORES[[#This Row],[FECHA DE FACTURACIÓN]])&gt;PROVEEDORES[[#This Row],[PLAZO Días]],"PAGO VENCIDO")</f>
        <v>0</v>
      </c>
      <c r="C2289" s="20">
        <f>+VLOOKUP(PROVEEDORES[[#This Row],[PROVEEDOR]],TERCEROS_INFO[#All],2,FALSE)</f>
        <v>30</v>
      </c>
      <c r="D2289" s="25">
        <f>+SUMIFS(PROVEEDORES[Total],PROVEEDORES[PROVEEDOR],PROVEEDORES[[#This Row],[PROVEEDOR]],PROVEEDORES[FECHA DE PAGO],"")</f>
        <v>2773899.95</v>
      </c>
      <c r="E2289" s="25"/>
      <c r="F2289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289" s="68">
        <v>45281</v>
      </c>
      <c r="H2289" s="26" t="s">
        <v>20</v>
      </c>
      <c r="I2289" s="68">
        <v>45253</v>
      </c>
      <c r="J2289" s="35" t="s">
        <v>2185</v>
      </c>
      <c r="K2289" s="21">
        <v>2961970</v>
      </c>
      <c r="L2289" s="21"/>
      <c r="M2289" s="22">
        <f>(PROVEEDORES[[#This Row],[SUBTOTAL]]-PROVEEDORES[[#This Row],[descuento sobre subtotal]])*VLOOKUP(PROVEEDORES[[#This Row],[PROVEEDOR]],TERCEROS_INFO[#All],3,FALSE)</f>
        <v>562774.30000000005</v>
      </c>
      <c r="N2289" s="23"/>
      <c r="O2289" s="22">
        <f>+PROVEEDORES[[#This Row],[Descuento sobre subtotal %]]*(PROVEEDORES[[#This Row],[SUBTOTAL]]-PROVEEDORES[[#This Row],[descuento sobre subtotal]])</f>
        <v>0</v>
      </c>
      <c r="P2289" s="74">
        <f>+IF(PROVEEDORES[[#This Row],[SUBTOTAL]]&lt;PROVEEDORES[[#This Row],[base retencion]],0,PROVEEDORES[[#This Row],[retención aplicada]])</f>
        <v>2.5000000000000001E-2</v>
      </c>
      <c r="Q2289" s="22">
        <f>+PROVEEDORES[[#This Row],[Rete Fuente %]]*(PROVEEDORES[[#This Row],[SUBTOTAL]]-PROVEEDORES[[#This Row],[descuento sobre subtotal]])</f>
        <v>74049.25</v>
      </c>
      <c r="R2289" s="21">
        <f>+PROVEEDORES[[#This Row],[SUBTOTAL]]+PROVEEDORES[[#This Row],[IVA 19%]]-PROVEEDORES[[#This Row],[descuento sobre subtotal]]-PROVEEDORES[[#This Row],[Descuento sobre subtotal $2]]-PROVEEDORES[[#This Row],[Rete Fuente $]]</f>
        <v>3450695.05</v>
      </c>
      <c r="S228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9" s="63">
        <f ca="1">IF(PROVEEDORES[[#This Row],[FECHA DE PAGO]]=0,TODAY()-PROVEEDORES[[#This Row],[FECHA DE FACTURACIÓN]]-PROVEEDORES[[#This Row],[PLAZO Días]],0)</f>
        <v>0</v>
      </c>
      <c r="U2289" s="104" t="str">
        <f>+VLOOKUP(PROVEEDORES[[#This Row],[PROVEEDOR]],Terceros!$A:$D,4,FALSE)</f>
        <v>2,5% con base</v>
      </c>
      <c r="V2289" s="105">
        <f>+YEAR(PROVEEDORES[[#This Row],[FECHA DE FACTURACIÓN]])</f>
        <v>2023</v>
      </c>
      <c r="W2289" s="105">
        <f>+MATCH(PROVEEDORES[[#This Row],[año facturado]],Retenciones!$1:$1,0)</f>
        <v>6</v>
      </c>
      <c r="X2289" s="106">
        <f>+VLOOKUP(PROVEEDORES[[#This Row],[ID RETENCION]],Retenciones!$A$1:$O$25,PROVEEDORES[[#This Row],[indicador de columna]],FALSE)</f>
        <v>1145000</v>
      </c>
      <c r="Y2289" s="107">
        <f>+VLOOKUP(PROVEEDORES[[#This Row],[ID RETENCION]],Retenciones!$A$1:$O$25,2,FALSE)</f>
        <v>2.5000000000000001E-2</v>
      </c>
      <c r="Z2289" s="116" t="b">
        <f>OR(COUNTIF(PROVEEDORES[[#This Row],[PROVEEDOR]],"*"&amp;'Palabra no opera'!$A$2&amp;"*"))</f>
        <v>0</v>
      </c>
    </row>
    <row r="2290" spans="1:26" ht="22.35" customHeight="1" x14ac:dyDescent="0.3">
      <c r="A2290" s="67" t="str">
        <f>+IF(PROVEEDORES[[#This Row],[FECHA DE PAGO]]=PROVEEDORES[[#This Row],[FECHA DE FACTURACIÓN]],"DE CONTADO","CRÉDITO")</f>
        <v>CRÉDITO</v>
      </c>
      <c r="B2290" s="38" t="str">
        <f>+IF((PROVEEDORES[[#This Row],[FECHA DE PAGO]]-PROVEEDORES[[#This Row],[FECHA DE FACTURACIÓN]])&gt;PROVEEDORES[[#This Row],[PLAZO Días]],"PAGO VENCIDO")</f>
        <v>PAGO VENCIDO</v>
      </c>
      <c r="C2290" s="20">
        <f>+VLOOKUP(PROVEEDORES[[#This Row],[PROVEEDOR]],TERCEROS_INFO[#All],2,FALSE)</f>
        <v>30</v>
      </c>
      <c r="D2290" s="25">
        <f>+SUMIFS(PROVEEDORES[Total],PROVEEDORES[PROVEEDOR],PROVEEDORES[[#This Row],[PROVEEDOR]],PROVEEDORES[FECHA DE PAGO],"")</f>
        <v>0</v>
      </c>
      <c r="E2290" s="25"/>
      <c r="F229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290" s="68">
        <v>45288</v>
      </c>
      <c r="H2290" s="26" t="s">
        <v>281</v>
      </c>
      <c r="I2290" s="68">
        <v>45253</v>
      </c>
      <c r="J2290" s="35" t="s">
        <v>2237</v>
      </c>
      <c r="K2290" s="21">
        <v>4760520</v>
      </c>
      <c r="L2290" s="21">
        <v>2482280</v>
      </c>
      <c r="M2290" s="22">
        <f>(PROVEEDORES[[#This Row],[SUBTOTAL]]-PROVEEDORES[[#This Row],[descuento sobre subtotal]])*VLOOKUP(PROVEEDORES[[#This Row],[PROVEEDOR]],TERCEROS_INFO[#All],3,FALSE)</f>
        <v>432865.6</v>
      </c>
      <c r="N2290" s="23"/>
      <c r="O2290" s="22">
        <f>+PROVEEDORES[[#This Row],[Descuento sobre subtotal %]]*(PROVEEDORES[[#This Row],[SUBTOTAL]]-PROVEEDORES[[#This Row],[descuento sobre subtotal]])</f>
        <v>0</v>
      </c>
      <c r="P2290" s="74">
        <f>+IF(PROVEEDORES[[#This Row],[SUBTOTAL]]&lt;PROVEEDORES[[#This Row],[base retencion]],0,PROVEEDORES[[#This Row],[retención aplicada]])</f>
        <v>0</v>
      </c>
      <c r="Q2290" s="22">
        <f>+PROVEEDORES[[#This Row],[Rete Fuente %]]*(PROVEEDORES[[#This Row],[SUBTOTAL]]-PROVEEDORES[[#This Row],[descuento sobre subtotal]])</f>
        <v>0</v>
      </c>
      <c r="R2290" s="21">
        <f>+PROVEEDORES[[#This Row],[SUBTOTAL]]+PROVEEDORES[[#This Row],[IVA 19%]]-PROVEEDORES[[#This Row],[descuento sobre subtotal]]-PROVEEDORES[[#This Row],[Descuento sobre subtotal $2]]-PROVEEDORES[[#This Row],[Rete Fuente $]]</f>
        <v>2711105.5999999996</v>
      </c>
      <c r="S229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0" s="63">
        <f ca="1">IF(PROVEEDORES[[#This Row],[FECHA DE PAGO]]=0,TODAY()-PROVEEDORES[[#This Row],[FECHA DE FACTURACIÓN]]-PROVEEDORES[[#This Row],[PLAZO Días]],0)</f>
        <v>0</v>
      </c>
      <c r="U2290" s="104">
        <f>+VLOOKUP(PROVEEDORES[[#This Row],[PROVEEDOR]],Terceros!$A:$D,4,FALSE)</f>
        <v>0</v>
      </c>
      <c r="V2290" s="105">
        <f>+YEAR(PROVEEDORES[[#This Row],[FECHA DE FACTURACIÓN]])</f>
        <v>2023</v>
      </c>
      <c r="W2290" s="105">
        <f>+MATCH(PROVEEDORES[[#This Row],[año facturado]],Retenciones!$1:$1,0)</f>
        <v>6</v>
      </c>
      <c r="X2290" s="106">
        <f>+VLOOKUP(PROVEEDORES[[#This Row],[ID RETENCION]],Retenciones!$A$1:$O$25,PROVEEDORES[[#This Row],[indicador de columna]],FALSE)</f>
        <v>0</v>
      </c>
      <c r="Y2290" s="107">
        <f>+VLOOKUP(PROVEEDORES[[#This Row],[ID RETENCION]],Retenciones!$A$1:$O$25,2,FALSE)</f>
        <v>0</v>
      </c>
      <c r="Z2290" s="116" t="b">
        <f>OR(COUNTIF(PROVEEDORES[[#This Row],[PROVEEDOR]],"*"&amp;'Palabra no opera'!$A$2&amp;"*"))</f>
        <v>0</v>
      </c>
    </row>
    <row r="2291" spans="1:26" ht="22.35" customHeight="1" x14ac:dyDescent="0.3">
      <c r="A2291" s="387" t="str">
        <f>+IF(PROVEEDORES[[#This Row],[FECHA DE PAGO]]=PROVEEDORES[[#This Row],[FECHA DE FACTURACIÓN]],"DE CONTADO","CRÉDITO")</f>
        <v>CRÉDITO</v>
      </c>
      <c r="B2291" s="38" t="b">
        <f>+IF((PROVEEDORES[[#This Row],[FECHA DE PAGO]]-PROVEEDORES[[#This Row],[FECHA DE FACTURACIÓN]])&gt;PROVEEDORES[[#This Row],[PLAZO Días]],"PAGO VENCIDO")</f>
        <v>0</v>
      </c>
      <c r="C2291" s="20">
        <f>+VLOOKUP(PROVEEDORES[[#This Row],[PROVEEDOR]],TERCEROS_INFO[#All],2,FALSE)</f>
        <v>30</v>
      </c>
      <c r="D2291" s="25">
        <f>+SUMIFS(PROVEEDORES[Total],PROVEEDORES[PROVEEDOR],PROVEEDORES[[#This Row],[PROVEEDOR]],PROVEEDORES[FECHA DE PAGO],"")</f>
        <v>18444236.894999996</v>
      </c>
      <c r="E2291" s="25"/>
      <c r="F229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2291" s="26" t="s">
        <v>11</v>
      </c>
      <c r="I2291" s="68">
        <v>45253</v>
      </c>
      <c r="J2291" s="35" t="s">
        <v>2156</v>
      </c>
      <c r="K2291" s="21">
        <v>8067241</v>
      </c>
      <c r="L2291" s="21"/>
      <c r="M2291" s="22">
        <f>(PROVEEDORES[[#This Row],[SUBTOTAL]]-PROVEEDORES[[#This Row],[descuento sobre subtotal]])*VLOOKUP(PROVEEDORES[[#This Row],[PROVEEDOR]],TERCEROS_INFO[#All],3,FALSE)</f>
        <v>1532775.79</v>
      </c>
      <c r="N2291" s="23"/>
      <c r="O2291" s="22">
        <f>+PROVEEDORES[[#This Row],[Descuento sobre subtotal %]]*(PROVEEDORES[[#This Row],[SUBTOTAL]]-PROVEEDORES[[#This Row],[descuento sobre subtotal]])</f>
        <v>0</v>
      </c>
      <c r="P2291" s="74">
        <f>+IF(PROVEEDORES[[#This Row],[SUBTOTAL]]&lt;PROVEEDORES[[#This Row],[base retencion]],0,PROVEEDORES[[#This Row],[retención aplicada]])</f>
        <v>2.5000000000000001E-2</v>
      </c>
      <c r="Q2291" s="22">
        <f>+PROVEEDORES[[#This Row],[Rete Fuente %]]*(PROVEEDORES[[#This Row],[SUBTOTAL]]-PROVEEDORES[[#This Row],[descuento sobre subtotal]])</f>
        <v>201681.02500000002</v>
      </c>
      <c r="R2291" s="21">
        <f>+PROVEEDORES[[#This Row],[SUBTOTAL]]+PROVEEDORES[[#This Row],[IVA 19%]]-PROVEEDORES[[#This Row],[descuento sobre subtotal]]-PROVEEDORES[[#This Row],[Descuento sobre subtotal $2]]-PROVEEDORES[[#This Row],[Rete Fuente $]]</f>
        <v>9398335.7649999987</v>
      </c>
      <c r="S2291" s="3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91" s="63">
        <f ca="1">IF(PROVEEDORES[[#This Row],[FECHA DE PAGO]]=0,TODAY()-PROVEEDORES[[#This Row],[FECHA DE FACTURACIÓN]]-PROVEEDORES[[#This Row],[PLAZO Días]],0)</f>
        <v>17</v>
      </c>
      <c r="U2291" s="104" t="str">
        <f>+VLOOKUP(PROVEEDORES[[#This Row],[PROVEEDOR]],Terceros!$A:$D,4,FALSE)</f>
        <v>2,5% con base</v>
      </c>
      <c r="V2291" s="105">
        <f>+YEAR(PROVEEDORES[[#This Row],[FECHA DE FACTURACIÓN]])</f>
        <v>2023</v>
      </c>
      <c r="W2291" s="105">
        <f>+MATCH(PROVEEDORES[[#This Row],[año facturado]],Retenciones!$1:$1,0)</f>
        <v>6</v>
      </c>
      <c r="X2291" s="106">
        <f>+VLOOKUP(PROVEEDORES[[#This Row],[ID RETENCION]],Retenciones!$A$1:$O$25,PROVEEDORES[[#This Row],[indicador de columna]],FALSE)</f>
        <v>1145000</v>
      </c>
      <c r="Y2291" s="107">
        <f>+VLOOKUP(PROVEEDORES[[#This Row],[ID RETENCION]],Retenciones!$A$1:$O$25,2,FALSE)</f>
        <v>2.5000000000000001E-2</v>
      </c>
      <c r="Z2291" s="116" t="b">
        <f>OR(COUNTIF(PROVEEDORES[[#This Row],[PROVEEDOR]],"*"&amp;'Palabra no opera'!$A$2&amp;"*"))</f>
        <v>0</v>
      </c>
    </row>
    <row r="2292" spans="1:26" ht="22.35" customHeight="1" x14ac:dyDescent="0.3">
      <c r="A2292" s="387" t="str">
        <f>+IF(PROVEEDORES[[#This Row],[FECHA DE PAGO]]=PROVEEDORES[[#This Row],[FECHA DE FACTURACIÓN]],"DE CONTADO","CRÉDITO")</f>
        <v>CRÉDITO</v>
      </c>
      <c r="B2292" s="38" t="str">
        <f>+IF((PROVEEDORES[[#This Row],[FECHA DE PAGO]]-PROVEEDORES[[#This Row],[FECHA DE FACTURACIÓN]])&gt;PROVEEDORES[[#This Row],[PLAZO Días]],"PAGO VENCIDO")</f>
        <v>PAGO VENCIDO</v>
      </c>
      <c r="C2292" s="20">
        <f>+VLOOKUP(PROVEEDORES[[#This Row],[PROVEEDOR]],TERCEROS_INFO[#All],2,FALSE)</f>
        <v>30</v>
      </c>
      <c r="D2292" s="25">
        <f>+SUMIFS(PROVEEDORES[Total],PROVEEDORES[PROVEEDOR],PROVEEDORES[[#This Row],[PROVEEDOR]],PROVEEDORES[FECHA DE PAGO],"")</f>
        <v>3669750</v>
      </c>
      <c r="E2292" s="25"/>
      <c r="F2292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292" s="68">
        <v>45288</v>
      </c>
      <c r="H2292" s="26" t="s">
        <v>24</v>
      </c>
      <c r="I2292" s="68">
        <v>45254</v>
      </c>
      <c r="J2292" s="35" t="s">
        <v>2177</v>
      </c>
      <c r="K2292" s="21">
        <v>2695200</v>
      </c>
      <c r="L2292" s="21"/>
      <c r="M2292" s="22">
        <f>(PROVEEDORES[[#This Row],[SUBTOTAL]]-PROVEEDORES[[#This Row],[descuento sobre subtotal]])*VLOOKUP(PROVEEDORES[[#This Row],[PROVEEDOR]],TERCEROS_INFO[#All],3,FALSE)</f>
        <v>512088</v>
      </c>
      <c r="N2292" s="23"/>
      <c r="O2292" s="22">
        <f>+PROVEEDORES[[#This Row],[Descuento sobre subtotal %]]*(PROVEEDORES[[#This Row],[SUBTOTAL]]-PROVEEDORES[[#This Row],[descuento sobre subtotal]])</f>
        <v>0</v>
      </c>
      <c r="P2292" s="74">
        <f>+IF(PROVEEDORES[[#This Row],[SUBTOTAL]]&lt;PROVEEDORES[[#This Row],[base retencion]],0,PROVEEDORES[[#This Row],[retención aplicada]])</f>
        <v>2.5000000000000001E-2</v>
      </c>
      <c r="Q2292" s="22">
        <f>+PROVEEDORES[[#This Row],[Rete Fuente %]]*(PROVEEDORES[[#This Row],[SUBTOTAL]]-PROVEEDORES[[#This Row],[descuento sobre subtotal]])</f>
        <v>67380</v>
      </c>
      <c r="R2292" s="21">
        <f>+PROVEEDORES[[#This Row],[SUBTOTAL]]+PROVEEDORES[[#This Row],[IVA 19%]]-PROVEEDORES[[#This Row],[descuento sobre subtotal]]-PROVEEDORES[[#This Row],[Descuento sobre subtotal $2]]-PROVEEDORES[[#This Row],[Rete Fuente $]]</f>
        <v>3139908</v>
      </c>
      <c r="S2292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2" s="63">
        <f ca="1">IF(PROVEEDORES[[#This Row],[FECHA DE PAGO]]=0,TODAY()-PROVEEDORES[[#This Row],[FECHA DE FACTURACIÓN]]-PROVEEDORES[[#This Row],[PLAZO Días]],0)</f>
        <v>0</v>
      </c>
      <c r="U2292" s="104" t="str">
        <f>+VLOOKUP(PROVEEDORES[[#This Row],[PROVEEDOR]],Terceros!$A:$D,4,FALSE)</f>
        <v>2,5% con base</v>
      </c>
      <c r="V2292" s="105">
        <f>+YEAR(PROVEEDORES[[#This Row],[FECHA DE FACTURACIÓN]])</f>
        <v>2023</v>
      </c>
      <c r="W2292" s="105">
        <f>+MATCH(PROVEEDORES[[#This Row],[año facturado]],Retenciones!$1:$1,0)</f>
        <v>6</v>
      </c>
      <c r="X2292" s="106">
        <f>+VLOOKUP(PROVEEDORES[[#This Row],[ID RETENCION]],Retenciones!$A$1:$O$25,PROVEEDORES[[#This Row],[indicador de columna]],FALSE)</f>
        <v>1145000</v>
      </c>
      <c r="Y2292" s="107">
        <f>+VLOOKUP(PROVEEDORES[[#This Row],[ID RETENCION]],Retenciones!$A$1:$O$25,2,FALSE)</f>
        <v>2.5000000000000001E-2</v>
      </c>
      <c r="Z2292" s="116" t="b">
        <f>OR(COUNTIF(PROVEEDORES[[#This Row],[PROVEEDOR]],"*"&amp;'Palabra no opera'!$A$2&amp;"*"))</f>
        <v>0</v>
      </c>
    </row>
    <row r="2293" spans="1:26" ht="22.35" customHeight="1" x14ac:dyDescent="0.3">
      <c r="A2293" s="387" t="str">
        <f>+IF(PROVEEDORES[[#This Row],[FECHA DE PAGO]]=PROVEEDORES[[#This Row],[FECHA DE FACTURACIÓN]],"DE CONTADO","CRÉDITO")</f>
        <v>CRÉDITO</v>
      </c>
      <c r="B2293" s="38" t="str">
        <f>+IF((PROVEEDORES[[#This Row],[FECHA DE PAGO]]-PROVEEDORES[[#This Row],[FECHA DE FACTURACIÓN]])&gt;PROVEEDORES[[#This Row],[PLAZO Días]],"PAGO VENCIDO")</f>
        <v>PAGO VENCIDO</v>
      </c>
      <c r="C2293" s="20">
        <f>+VLOOKUP(PROVEEDORES[[#This Row],[PROVEEDOR]],TERCEROS_INFO[#All],2,FALSE)</f>
        <v>30</v>
      </c>
      <c r="D2293" s="25">
        <f>+SUMIFS(PROVEEDORES[Total],PROVEEDORES[PROVEEDOR],PROVEEDORES[[#This Row],[PROVEEDOR]],PROVEEDORES[FECHA DE PAGO],"")</f>
        <v>12030261.305</v>
      </c>
      <c r="E2293" s="25"/>
      <c r="F2293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293" s="68">
        <v>45286</v>
      </c>
      <c r="H2293" s="26" t="s">
        <v>12</v>
      </c>
      <c r="I2293" s="68">
        <v>45254</v>
      </c>
      <c r="J2293" s="35" t="s">
        <v>2173</v>
      </c>
      <c r="K2293" s="21">
        <v>1260504</v>
      </c>
      <c r="L2293" s="21"/>
      <c r="M2293" s="22">
        <f>(PROVEEDORES[[#This Row],[SUBTOTAL]]-PROVEEDORES[[#This Row],[descuento sobre subtotal]])*VLOOKUP(PROVEEDORES[[#This Row],[PROVEEDOR]],TERCEROS_INFO[#All],3,FALSE)</f>
        <v>239495.76</v>
      </c>
      <c r="N2293" s="23">
        <v>0.05</v>
      </c>
      <c r="O2293" s="22">
        <f>+PROVEEDORES[[#This Row],[Descuento sobre subtotal %]]*(PROVEEDORES[[#This Row],[SUBTOTAL]]-PROVEEDORES[[#This Row],[descuento sobre subtotal]])</f>
        <v>63025.200000000004</v>
      </c>
      <c r="P2293" s="74">
        <f>+IF(PROVEEDORES[[#This Row],[SUBTOTAL]]&lt;PROVEEDORES[[#This Row],[base retencion]],0,PROVEEDORES[[#This Row],[retención aplicada]])</f>
        <v>2.5000000000000001E-2</v>
      </c>
      <c r="Q2293" s="22">
        <f>+PROVEEDORES[[#This Row],[Rete Fuente %]]*(PROVEEDORES[[#This Row],[SUBTOTAL]]-PROVEEDORES[[#This Row],[descuento sobre subtotal]])</f>
        <v>31512.600000000002</v>
      </c>
      <c r="R2293" s="21">
        <f>+PROVEEDORES[[#This Row],[SUBTOTAL]]+PROVEEDORES[[#This Row],[IVA 19%]]-PROVEEDORES[[#This Row],[descuento sobre subtotal]]-PROVEEDORES[[#This Row],[Descuento sobre subtotal $2]]-PROVEEDORES[[#This Row],[Rete Fuente $]]</f>
        <v>1405461.96</v>
      </c>
      <c r="S2293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3" s="63">
        <f ca="1">IF(PROVEEDORES[[#This Row],[FECHA DE PAGO]]=0,TODAY()-PROVEEDORES[[#This Row],[FECHA DE FACTURACIÓN]]-PROVEEDORES[[#This Row],[PLAZO Días]],0)</f>
        <v>0</v>
      </c>
      <c r="U2293" s="104" t="str">
        <f>+VLOOKUP(PROVEEDORES[[#This Row],[PROVEEDOR]],Terceros!$A:$D,4,FALSE)</f>
        <v>2,5% con base</v>
      </c>
      <c r="V2293" s="105">
        <f>+YEAR(PROVEEDORES[[#This Row],[FECHA DE FACTURACIÓN]])</f>
        <v>2023</v>
      </c>
      <c r="W2293" s="105">
        <f>+MATCH(PROVEEDORES[[#This Row],[año facturado]],Retenciones!$1:$1,0)</f>
        <v>6</v>
      </c>
      <c r="X2293" s="106">
        <f>+VLOOKUP(PROVEEDORES[[#This Row],[ID RETENCION]],Retenciones!$A$1:$O$25,PROVEEDORES[[#This Row],[indicador de columna]],FALSE)</f>
        <v>1145000</v>
      </c>
      <c r="Y2293" s="107">
        <f>+VLOOKUP(PROVEEDORES[[#This Row],[ID RETENCION]],Retenciones!$A$1:$O$25,2,FALSE)</f>
        <v>2.5000000000000001E-2</v>
      </c>
      <c r="Z2293" s="116" t="b">
        <f>OR(COUNTIF(PROVEEDORES[[#This Row],[PROVEEDOR]],"*"&amp;'Palabra no opera'!$A$2&amp;"*"))</f>
        <v>0</v>
      </c>
    </row>
    <row r="2294" spans="1:26" ht="22.35" customHeight="1" x14ac:dyDescent="0.3">
      <c r="A2294" s="387" t="str">
        <f>+IF(PROVEEDORES[[#This Row],[FECHA DE PAGO]]=PROVEEDORES[[#This Row],[FECHA DE FACTURACIÓN]],"DE CONTADO","CRÉDITO")</f>
        <v>CRÉDITO</v>
      </c>
      <c r="B2294" s="38" t="str">
        <f>+IF((PROVEEDORES[[#This Row],[FECHA DE PAGO]]-PROVEEDORES[[#This Row],[FECHA DE FACTURACIÓN]])&gt;PROVEEDORES[[#This Row],[PLAZO Días]],"PAGO VENCIDO")</f>
        <v>PAGO VENCIDO</v>
      </c>
      <c r="C2294" s="20">
        <f>+VLOOKUP(PROVEEDORES[[#This Row],[PROVEEDOR]],TERCEROS_INFO[#All],2,FALSE)</f>
        <v>30</v>
      </c>
      <c r="D2294" s="25">
        <f>+SUMIFS(PROVEEDORES[Total],PROVEEDORES[PROVEEDOR],PROVEEDORES[[#This Row],[PROVEEDOR]],PROVEEDORES[FECHA DE PAGO],"")</f>
        <v>12030261.305</v>
      </c>
      <c r="E2294" s="25"/>
      <c r="F2294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294" s="68">
        <v>45286</v>
      </c>
      <c r="H2294" s="26" t="s">
        <v>12</v>
      </c>
      <c r="I2294" s="68">
        <v>45254</v>
      </c>
      <c r="J2294" s="35" t="s">
        <v>2174</v>
      </c>
      <c r="K2294" s="21">
        <v>21214285</v>
      </c>
      <c r="L2294" s="21"/>
      <c r="M2294" s="22">
        <f>(PROVEEDORES[[#This Row],[SUBTOTAL]]-PROVEEDORES[[#This Row],[descuento sobre subtotal]])*VLOOKUP(PROVEEDORES[[#This Row],[PROVEEDOR]],TERCEROS_INFO[#All],3,FALSE)</f>
        <v>4030714.15</v>
      </c>
      <c r="N2294" s="23">
        <v>0.05</v>
      </c>
      <c r="O2294" s="22">
        <f>+PROVEEDORES[[#This Row],[Descuento sobre subtotal %]]*(PROVEEDORES[[#This Row],[SUBTOTAL]]-PROVEEDORES[[#This Row],[descuento sobre subtotal]])</f>
        <v>1060714.25</v>
      </c>
      <c r="P2294" s="74">
        <f>+IF(PROVEEDORES[[#This Row],[SUBTOTAL]]&lt;PROVEEDORES[[#This Row],[base retencion]],0,PROVEEDORES[[#This Row],[retención aplicada]])</f>
        <v>2.5000000000000001E-2</v>
      </c>
      <c r="Q2294" s="22">
        <f>+PROVEEDORES[[#This Row],[Rete Fuente %]]*(PROVEEDORES[[#This Row],[SUBTOTAL]]-PROVEEDORES[[#This Row],[descuento sobre subtotal]])</f>
        <v>530357.125</v>
      </c>
      <c r="R2294" s="21">
        <f>+PROVEEDORES[[#This Row],[SUBTOTAL]]+PROVEEDORES[[#This Row],[IVA 19%]]-PROVEEDORES[[#This Row],[descuento sobre subtotal]]-PROVEEDORES[[#This Row],[Descuento sobre subtotal $2]]-PROVEEDORES[[#This Row],[Rete Fuente $]]</f>
        <v>23653927.774999999</v>
      </c>
      <c r="S2294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4" s="63">
        <f ca="1">IF(PROVEEDORES[[#This Row],[FECHA DE PAGO]]=0,TODAY()-PROVEEDORES[[#This Row],[FECHA DE FACTURACIÓN]]-PROVEEDORES[[#This Row],[PLAZO Días]],0)</f>
        <v>0</v>
      </c>
      <c r="U2294" s="104" t="str">
        <f>+VLOOKUP(PROVEEDORES[[#This Row],[PROVEEDOR]],Terceros!$A:$D,4,FALSE)</f>
        <v>2,5% con base</v>
      </c>
      <c r="V2294" s="105">
        <f>+YEAR(PROVEEDORES[[#This Row],[FECHA DE FACTURACIÓN]])</f>
        <v>2023</v>
      </c>
      <c r="W2294" s="105">
        <f>+MATCH(PROVEEDORES[[#This Row],[año facturado]],Retenciones!$1:$1,0)</f>
        <v>6</v>
      </c>
      <c r="X2294" s="106">
        <f>+VLOOKUP(PROVEEDORES[[#This Row],[ID RETENCION]],Retenciones!$A$1:$O$25,PROVEEDORES[[#This Row],[indicador de columna]],FALSE)</f>
        <v>1145000</v>
      </c>
      <c r="Y2294" s="107">
        <f>+VLOOKUP(PROVEEDORES[[#This Row],[ID RETENCION]],Retenciones!$A$1:$O$25,2,FALSE)</f>
        <v>2.5000000000000001E-2</v>
      </c>
      <c r="Z2294" s="116" t="b">
        <f>OR(COUNTIF(PROVEEDORES[[#This Row],[PROVEEDOR]],"*"&amp;'Palabra no opera'!$A$2&amp;"*"))</f>
        <v>0</v>
      </c>
    </row>
    <row r="2295" spans="1:26" ht="22.35" customHeight="1" x14ac:dyDescent="0.3">
      <c r="A2295" s="387" t="str">
        <f>+IF(PROVEEDORES[[#This Row],[FECHA DE PAGO]]=PROVEEDORES[[#This Row],[FECHA DE FACTURACIÓN]],"DE CONTADO","CRÉDITO")</f>
        <v>CRÉDITO</v>
      </c>
      <c r="B2295" s="38" t="str">
        <f>+IF((PROVEEDORES[[#This Row],[FECHA DE PAGO]]-PROVEEDORES[[#This Row],[FECHA DE FACTURACIÓN]])&gt;PROVEEDORES[[#This Row],[PLAZO Días]],"PAGO VENCIDO")</f>
        <v>PAGO VENCIDO</v>
      </c>
      <c r="C2295" s="20">
        <f>+VLOOKUP(PROVEEDORES[[#This Row],[PROVEEDOR]],TERCEROS_INFO[#All],2,FALSE)</f>
        <v>30</v>
      </c>
      <c r="D2295" s="25">
        <f>+SUMIFS(PROVEEDORES[Total],PROVEEDORES[PROVEEDOR],PROVEEDORES[[#This Row],[PROVEEDOR]],PROVEEDORES[FECHA DE PAGO],"")</f>
        <v>12030261.305</v>
      </c>
      <c r="E2295" s="25"/>
      <c r="F2295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295" s="68">
        <v>45286</v>
      </c>
      <c r="H2295" s="26" t="s">
        <v>12</v>
      </c>
      <c r="I2295" s="68">
        <v>45254</v>
      </c>
      <c r="J2295" s="35" t="s">
        <v>2175</v>
      </c>
      <c r="K2295" s="21">
        <v>49989</v>
      </c>
      <c r="L2295" s="21"/>
      <c r="M2295" s="22">
        <v>0</v>
      </c>
      <c r="N2295" s="23"/>
      <c r="O2295" s="22">
        <f>+PROVEEDORES[[#This Row],[Descuento sobre subtotal %]]*(PROVEEDORES[[#This Row],[SUBTOTAL]]-PROVEEDORES[[#This Row],[descuento sobre subtotal]])</f>
        <v>0</v>
      </c>
      <c r="P2295" s="74">
        <f>+IF(PROVEEDORES[[#This Row],[SUBTOTAL]]&lt;PROVEEDORES[[#This Row],[base retencion]],0,PROVEEDORES[[#This Row],[retención aplicada]])</f>
        <v>0</v>
      </c>
      <c r="Q2295" s="22">
        <f>+PROVEEDORES[[#This Row],[Rete Fuente %]]*(PROVEEDORES[[#This Row],[SUBTOTAL]]-PROVEEDORES[[#This Row],[descuento sobre subtotal]])</f>
        <v>0</v>
      </c>
      <c r="R2295" s="21">
        <f>+PROVEEDORES[[#This Row],[SUBTOTAL]]+PROVEEDORES[[#This Row],[IVA 19%]]-PROVEEDORES[[#This Row],[descuento sobre subtotal]]-PROVEEDORES[[#This Row],[Descuento sobre subtotal $2]]-PROVEEDORES[[#This Row],[Rete Fuente $]]</f>
        <v>49989</v>
      </c>
      <c r="S2295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5" s="63">
        <f ca="1">IF(PROVEEDORES[[#This Row],[FECHA DE PAGO]]=0,TODAY()-PROVEEDORES[[#This Row],[FECHA DE FACTURACIÓN]]-PROVEEDORES[[#This Row],[PLAZO Días]],0)</f>
        <v>0</v>
      </c>
      <c r="U2295" s="104" t="str">
        <f>+VLOOKUP(PROVEEDORES[[#This Row],[PROVEEDOR]],Terceros!$A:$D,4,FALSE)</f>
        <v>2,5% con base</v>
      </c>
      <c r="V2295" s="105">
        <f>+YEAR(PROVEEDORES[[#This Row],[FECHA DE FACTURACIÓN]])</f>
        <v>2023</v>
      </c>
      <c r="W2295" s="105">
        <f>+MATCH(PROVEEDORES[[#This Row],[año facturado]],Retenciones!$1:$1,0)</f>
        <v>6</v>
      </c>
      <c r="X2295" s="106">
        <f>+VLOOKUP(PROVEEDORES[[#This Row],[ID RETENCION]],Retenciones!$A$1:$O$25,PROVEEDORES[[#This Row],[indicador de columna]],FALSE)</f>
        <v>1145000</v>
      </c>
      <c r="Y2295" s="107">
        <f>+VLOOKUP(PROVEEDORES[[#This Row],[ID RETENCION]],Retenciones!$A$1:$O$25,2,FALSE)</f>
        <v>2.5000000000000001E-2</v>
      </c>
      <c r="Z2295" s="116" t="b">
        <f>OR(COUNTIF(PROVEEDORES[[#This Row],[PROVEEDOR]],"*"&amp;'Palabra no opera'!$A$2&amp;"*"))</f>
        <v>0</v>
      </c>
    </row>
    <row r="2296" spans="1:26" ht="22.35" customHeight="1" x14ac:dyDescent="0.3">
      <c r="A2296" s="387" t="str">
        <f>+IF(PROVEEDORES[[#This Row],[FECHA DE PAGO]]=PROVEEDORES[[#This Row],[FECHA DE FACTURACIÓN]],"DE CONTADO","CRÉDITO")</f>
        <v>CRÉDITO</v>
      </c>
      <c r="B2296" s="38" t="str">
        <f>+IF((PROVEEDORES[[#This Row],[FECHA DE PAGO]]-PROVEEDORES[[#This Row],[FECHA DE FACTURACIÓN]])&gt;PROVEEDORES[[#This Row],[PLAZO Días]],"PAGO VENCIDO")</f>
        <v>PAGO VENCIDO</v>
      </c>
      <c r="C2296" s="20">
        <f>+VLOOKUP(PROVEEDORES[[#This Row],[PROVEEDOR]],TERCEROS_INFO[#All],2,FALSE)</f>
        <v>30</v>
      </c>
      <c r="D2296" s="25">
        <f>+SUMIFS(PROVEEDORES[Total],PROVEEDORES[PROVEEDOR],PROVEEDORES[[#This Row],[PROVEEDOR]],PROVEEDORES[FECHA DE PAGO],"")</f>
        <v>17870934.149999999</v>
      </c>
      <c r="E2296" s="25"/>
      <c r="F229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296" s="68">
        <v>45286</v>
      </c>
      <c r="H2296" s="26" t="s">
        <v>18</v>
      </c>
      <c r="I2296" s="68">
        <v>45254</v>
      </c>
      <c r="J2296" s="35" t="s">
        <v>2170</v>
      </c>
      <c r="K2296" s="21">
        <v>3212390</v>
      </c>
      <c r="L2296" s="21"/>
      <c r="M2296" s="22">
        <f>(PROVEEDORES[[#This Row],[SUBTOTAL]]-PROVEEDORES[[#This Row],[descuento sobre subtotal]])*VLOOKUP(PROVEEDORES[[#This Row],[PROVEEDOR]],TERCEROS_INFO[#All],3,FALSE)</f>
        <v>610354.1</v>
      </c>
      <c r="N2296" s="23"/>
      <c r="O2296" s="22">
        <f>+PROVEEDORES[[#This Row],[Descuento sobre subtotal %]]*(PROVEEDORES[[#This Row],[SUBTOTAL]]-PROVEEDORES[[#This Row],[descuento sobre subtotal]])</f>
        <v>0</v>
      </c>
      <c r="P2296" s="74">
        <f>+IF(PROVEEDORES[[#This Row],[SUBTOTAL]]&lt;PROVEEDORES[[#This Row],[base retencion]],0,PROVEEDORES[[#This Row],[retención aplicada]])</f>
        <v>2.5000000000000001E-2</v>
      </c>
      <c r="Q2296" s="22">
        <f>+PROVEEDORES[[#This Row],[Rete Fuente %]]*(PROVEEDORES[[#This Row],[SUBTOTAL]]-PROVEEDORES[[#This Row],[descuento sobre subtotal]])</f>
        <v>80309.75</v>
      </c>
      <c r="R2296" s="21">
        <f>+PROVEEDORES[[#This Row],[SUBTOTAL]]+PROVEEDORES[[#This Row],[IVA 19%]]-PROVEEDORES[[#This Row],[descuento sobre subtotal]]-PROVEEDORES[[#This Row],[Descuento sobre subtotal $2]]-PROVEEDORES[[#This Row],[Rete Fuente $]]</f>
        <v>3742434.35</v>
      </c>
      <c r="S2296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6" s="63">
        <f ca="1">IF(PROVEEDORES[[#This Row],[FECHA DE PAGO]]=0,TODAY()-PROVEEDORES[[#This Row],[FECHA DE FACTURACIÓN]]-PROVEEDORES[[#This Row],[PLAZO Días]],0)</f>
        <v>0</v>
      </c>
      <c r="U2296" s="104" t="str">
        <f>+VLOOKUP(PROVEEDORES[[#This Row],[PROVEEDOR]],Terceros!$A:$D,4,FALSE)</f>
        <v>2,5% con base</v>
      </c>
      <c r="V2296" s="105">
        <f>+YEAR(PROVEEDORES[[#This Row],[FECHA DE FACTURACIÓN]])</f>
        <v>2023</v>
      </c>
      <c r="W2296" s="105">
        <f>+MATCH(PROVEEDORES[[#This Row],[año facturado]],Retenciones!$1:$1,0)</f>
        <v>6</v>
      </c>
      <c r="X2296" s="106">
        <f>+VLOOKUP(PROVEEDORES[[#This Row],[ID RETENCION]],Retenciones!$A$1:$O$25,PROVEEDORES[[#This Row],[indicador de columna]],FALSE)</f>
        <v>1145000</v>
      </c>
      <c r="Y2296" s="107">
        <f>+VLOOKUP(PROVEEDORES[[#This Row],[ID RETENCION]],Retenciones!$A$1:$O$25,2,FALSE)</f>
        <v>2.5000000000000001E-2</v>
      </c>
      <c r="Z2296" s="116" t="b">
        <f>OR(COUNTIF(PROVEEDORES[[#This Row],[PROVEEDOR]],"*"&amp;'Palabra no opera'!$A$2&amp;"*"))</f>
        <v>0</v>
      </c>
    </row>
    <row r="2297" spans="1:26" ht="22.35" customHeight="1" x14ac:dyDescent="0.3">
      <c r="A2297" s="387" t="str">
        <f>+IF(PROVEEDORES[[#This Row],[FECHA DE PAGO]]=PROVEEDORES[[#This Row],[FECHA DE FACTURACIÓN]],"DE CONTADO","CRÉDITO")</f>
        <v>CRÉDITO</v>
      </c>
      <c r="B2297" s="38" t="b">
        <f>+IF((PROVEEDORES[[#This Row],[FECHA DE PAGO]]-PROVEEDORES[[#This Row],[FECHA DE FACTURACIÓN]])&gt;PROVEEDORES[[#This Row],[PLAZO Días]],"PAGO VENCIDO")</f>
        <v>0</v>
      </c>
      <c r="C2297" s="20">
        <f>+VLOOKUP(PROVEEDORES[[#This Row],[PROVEEDOR]],TERCEROS_INFO[#All],2,FALSE)</f>
        <v>30</v>
      </c>
      <c r="D2297" s="25">
        <f>+SUMIFS(PROVEEDORES[Total],PROVEEDORES[PROVEEDOR],PROVEEDORES[[#This Row],[PROVEEDOR]],PROVEEDORES[FECHA DE PAGO],"")</f>
        <v>-139600.09</v>
      </c>
      <c r="E2297" s="25"/>
      <c r="F2297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2297" s="26" t="s">
        <v>32</v>
      </c>
      <c r="I2297" s="68">
        <v>45254</v>
      </c>
      <c r="J2297" s="35" t="s">
        <v>2165</v>
      </c>
      <c r="K2297" s="21">
        <v>-117311</v>
      </c>
      <c r="L2297" s="21"/>
      <c r="M2297" s="22">
        <f>(PROVEEDORES[[#This Row],[SUBTOTAL]]-PROVEEDORES[[#This Row],[descuento sobre subtotal]])*VLOOKUP(PROVEEDORES[[#This Row],[PROVEEDOR]],TERCEROS_INFO[#All],3,FALSE)</f>
        <v>-22289.09</v>
      </c>
      <c r="N2297" s="23"/>
      <c r="O2297" s="22">
        <f>+PROVEEDORES[[#This Row],[Descuento sobre subtotal %]]*(PROVEEDORES[[#This Row],[SUBTOTAL]]-PROVEEDORES[[#This Row],[descuento sobre subtotal]])</f>
        <v>0</v>
      </c>
      <c r="P2297" s="74">
        <f>+IF(PROVEEDORES[[#This Row],[SUBTOTAL]]&lt;PROVEEDORES[[#This Row],[base retencion]],0,PROVEEDORES[[#This Row],[retención aplicada]])</f>
        <v>0</v>
      </c>
      <c r="Q2297" s="22">
        <f>+PROVEEDORES[[#This Row],[Rete Fuente %]]*(PROVEEDORES[[#This Row],[SUBTOTAL]]-PROVEEDORES[[#This Row],[descuento sobre subtotal]])</f>
        <v>0</v>
      </c>
      <c r="R2297" s="21">
        <f>+PROVEEDORES[[#This Row],[SUBTOTAL]]+PROVEEDORES[[#This Row],[IVA 19%]]-PROVEEDORES[[#This Row],[descuento sobre subtotal]]-PROVEEDORES[[#This Row],[Descuento sobre subtotal $2]]-PROVEEDORES[[#This Row],[Rete Fuente $]]</f>
        <v>-139600.09</v>
      </c>
      <c r="S2297" s="3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97" s="63">
        <f ca="1">IF(PROVEEDORES[[#This Row],[FECHA DE PAGO]]=0,TODAY()-PROVEEDORES[[#This Row],[FECHA DE FACTURACIÓN]]-PROVEEDORES[[#This Row],[PLAZO Días]],0)</f>
        <v>16</v>
      </c>
      <c r="U2297" s="104" t="str">
        <f>+VLOOKUP(PROVEEDORES[[#This Row],[PROVEEDOR]],Terceros!$A:$D,4,FALSE)</f>
        <v>2,5% con base</v>
      </c>
      <c r="V2297" s="105">
        <f>+YEAR(PROVEEDORES[[#This Row],[FECHA DE FACTURACIÓN]])</f>
        <v>2023</v>
      </c>
      <c r="W2297" s="105">
        <f>+MATCH(PROVEEDORES[[#This Row],[año facturado]],Retenciones!$1:$1,0)</f>
        <v>6</v>
      </c>
      <c r="X2297" s="106">
        <f>+VLOOKUP(PROVEEDORES[[#This Row],[ID RETENCION]],Retenciones!$A$1:$O$25,PROVEEDORES[[#This Row],[indicador de columna]],FALSE)</f>
        <v>1145000</v>
      </c>
      <c r="Y2297" s="107">
        <f>+VLOOKUP(PROVEEDORES[[#This Row],[ID RETENCION]],Retenciones!$A$1:$O$25,2,FALSE)</f>
        <v>2.5000000000000001E-2</v>
      </c>
      <c r="Z2297" s="116" t="b">
        <f>OR(COUNTIF(PROVEEDORES[[#This Row],[PROVEEDOR]],"*"&amp;'Palabra no opera'!$A$2&amp;"*"))</f>
        <v>0</v>
      </c>
    </row>
    <row r="2298" spans="1:26" ht="22.35" customHeight="1" x14ac:dyDescent="0.3">
      <c r="A2298" s="387" t="str">
        <f>+IF(PROVEEDORES[[#This Row],[FECHA DE PAGO]]=PROVEEDORES[[#This Row],[FECHA DE FACTURACIÓN]],"DE CONTADO","CRÉDITO")</f>
        <v>CRÉDITO</v>
      </c>
      <c r="B2298" s="38" t="b">
        <f>+IF((PROVEEDORES[[#This Row],[FECHA DE PAGO]]-PROVEEDORES[[#This Row],[FECHA DE FACTURACIÓN]])&gt;PROVEEDORES[[#This Row],[PLAZO Días]],"PAGO VENCIDO")</f>
        <v>0</v>
      </c>
      <c r="C2298" s="20">
        <f>+VLOOKUP(PROVEEDORES[[#This Row],[PROVEEDOR]],TERCEROS_INFO[#All],2,FALSE)</f>
        <v>30</v>
      </c>
      <c r="D2298" s="25">
        <f>+SUMIFS(PROVEEDORES[Total],PROVEEDORES[PROVEEDOR],PROVEEDORES[[#This Row],[PROVEEDOR]],PROVEEDORES[FECHA DE PAGO],"")</f>
        <v>3669750</v>
      </c>
      <c r="E2298" s="25"/>
      <c r="F2298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298" s="68">
        <v>45288</v>
      </c>
      <c r="H2298" s="26" t="s">
        <v>24</v>
      </c>
      <c r="I2298" s="68">
        <v>45258</v>
      </c>
      <c r="J2298" s="35" t="s">
        <v>2176</v>
      </c>
      <c r="K2298" s="21">
        <v>898400</v>
      </c>
      <c r="L2298" s="21"/>
      <c r="M2298" s="22">
        <f>(PROVEEDORES[[#This Row],[SUBTOTAL]]-PROVEEDORES[[#This Row],[descuento sobre subtotal]])*VLOOKUP(PROVEEDORES[[#This Row],[PROVEEDOR]],TERCEROS_INFO[#All],3,FALSE)</f>
        <v>170696</v>
      </c>
      <c r="N2298" s="23"/>
      <c r="O2298" s="22">
        <f>+PROVEEDORES[[#This Row],[Descuento sobre subtotal %]]*(PROVEEDORES[[#This Row],[SUBTOTAL]]-PROVEEDORES[[#This Row],[descuento sobre subtotal]])</f>
        <v>0</v>
      </c>
      <c r="P2298" s="74">
        <f>+IF(PROVEEDORES[[#This Row],[SUBTOTAL]]&lt;PROVEEDORES[[#This Row],[base retencion]],0,PROVEEDORES[[#This Row],[retención aplicada]])</f>
        <v>0</v>
      </c>
      <c r="Q2298" s="22">
        <f>+PROVEEDORES[[#This Row],[Rete Fuente %]]*(PROVEEDORES[[#This Row],[SUBTOTAL]]-PROVEEDORES[[#This Row],[descuento sobre subtotal]])</f>
        <v>0</v>
      </c>
      <c r="R2298" s="21">
        <f>+PROVEEDORES[[#This Row],[SUBTOTAL]]+PROVEEDORES[[#This Row],[IVA 19%]]-PROVEEDORES[[#This Row],[descuento sobre subtotal]]-PROVEEDORES[[#This Row],[Descuento sobre subtotal $2]]-PROVEEDORES[[#This Row],[Rete Fuente $]]</f>
        <v>1069096</v>
      </c>
      <c r="S2298" s="38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8" s="63">
        <f ca="1">IF(PROVEEDORES[[#This Row],[FECHA DE PAGO]]=0,TODAY()-PROVEEDORES[[#This Row],[FECHA DE FACTURACIÓN]]-PROVEEDORES[[#This Row],[PLAZO Días]],0)</f>
        <v>0</v>
      </c>
      <c r="U2298" s="104" t="str">
        <f>+VLOOKUP(PROVEEDORES[[#This Row],[PROVEEDOR]],Terceros!$A:$D,4,FALSE)</f>
        <v>2,5% con base</v>
      </c>
      <c r="V2298" s="105">
        <f>+YEAR(PROVEEDORES[[#This Row],[FECHA DE FACTURACIÓN]])</f>
        <v>2023</v>
      </c>
      <c r="W2298" s="105">
        <f>+MATCH(PROVEEDORES[[#This Row],[año facturado]],Retenciones!$1:$1,0)</f>
        <v>6</v>
      </c>
      <c r="X2298" s="106">
        <f>+VLOOKUP(PROVEEDORES[[#This Row],[ID RETENCION]],Retenciones!$A$1:$O$25,PROVEEDORES[[#This Row],[indicador de columna]],FALSE)</f>
        <v>1145000</v>
      </c>
      <c r="Y2298" s="107">
        <f>+VLOOKUP(PROVEEDORES[[#This Row],[ID RETENCION]],Retenciones!$A$1:$O$25,2,FALSE)</f>
        <v>2.5000000000000001E-2</v>
      </c>
      <c r="Z2298" s="116" t="b">
        <f>OR(COUNTIF(PROVEEDORES[[#This Row],[PROVEEDOR]],"*"&amp;'Palabra no opera'!$A$2&amp;"*"))</f>
        <v>0</v>
      </c>
    </row>
    <row r="2299" spans="1:26" ht="22.35" customHeight="1" x14ac:dyDescent="0.3">
      <c r="A2299" s="67" t="str">
        <f>+IF(PROVEEDORES[[#This Row],[FECHA DE PAGO]]=PROVEEDORES[[#This Row],[FECHA DE FACTURACIÓN]],"DE CONTADO","CRÉDITO")</f>
        <v>CRÉDITO</v>
      </c>
      <c r="B2299" s="38" t="b">
        <f>+IF((PROVEEDORES[[#This Row],[FECHA DE PAGO]]-PROVEEDORES[[#This Row],[FECHA DE FACTURACIÓN]])&gt;PROVEEDORES[[#This Row],[PLAZO Días]],"PAGO VENCIDO")</f>
        <v>0</v>
      </c>
      <c r="C2299" s="20">
        <f>+VLOOKUP(PROVEEDORES[[#This Row],[PROVEEDOR]],TERCEROS_INFO[#All],2,FALSE)</f>
        <v>30</v>
      </c>
      <c r="D2299" s="25">
        <f>+SUMIFS(PROVEEDORES[Total],PROVEEDORES[PROVEEDOR],PROVEEDORES[[#This Row],[PROVEEDOR]],PROVEEDORES[FECHA DE PAGO],"")</f>
        <v>229206</v>
      </c>
      <c r="E2299" s="25"/>
      <c r="F229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2299" s="26" t="s">
        <v>95</v>
      </c>
      <c r="I2299" s="68">
        <v>45261</v>
      </c>
      <c r="J2299" s="35" t="s">
        <v>2203</v>
      </c>
      <c r="K2299" s="21">
        <v>229206</v>
      </c>
      <c r="L2299" s="21"/>
      <c r="M2299" s="22">
        <f>(PROVEEDORES[[#This Row],[SUBTOTAL]]-PROVEEDORES[[#This Row],[descuento sobre subtotal]])*VLOOKUP(PROVEEDORES[[#This Row],[PROVEEDOR]],TERCEROS_INFO[#All],3,FALSE)</f>
        <v>0</v>
      </c>
      <c r="N2299" s="23"/>
      <c r="O2299" s="22">
        <f>+PROVEEDORES[[#This Row],[Descuento sobre subtotal %]]*(PROVEEDORES[[#This Row],[SUBTOTAL]]-PROVEEDORES[[#This Row],[descuento sobre subtotal]])</f>
        <v>0</v>
      </c>
      <c r="P2299" s="74">
        <f>+IF(PROVEEDORES[[#This Row],[SUBTOTAL]]&lt;PROVEEDORES[[#This Row],[base retencion]],0,PROVEEDORES[[#This Row],[retención aplicada]])</f>
        <v>0</v>
      </c>
      <c r="Q2299" s="22">
        <f>+PROVEEDORES[[#This Row],[Rete Fuente %]]*(PROVEEDORES[[#This Row],[SUBTOTAL]]-PROVEEDORES[[#This Row],[descuento sobre subtotal]])</f>
        <v>0</v>
      </c>
      <c r="R2299" s="21">
        <f>+PROVEEDORES[[#This Row],[SUBTOTAL]]+PROVEEDORES[[#This Row],[IVA 19%]]-PROVEEDORES[[#This Row],[descuento sobre subtotal]]-PROVEEDORES[[#This Row],[Descuento sobre subtotal $2]]-PROVEEDORES[[#This Row],[Rete Fuente $]]</f>
        <v>229206</v>
      </c>
      <c r="S2299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99" s="63">
        <f ca="1">IF(PROVEEDORES[[#This Row],[FECHA DE PAGO]]=0,TODAY()-PROVEEDORES[[#This Row],[FECHA DE FACTURACIÓN]]-PROVEEDORES[[#This Row],[PLAZO Días]],0)</f>
        <v>9</v>
      </c>
      <c r="U2299" s="104">
        <f>+VLOOKUP(PROVEEDORES[[#This Row],[PROVEEDOR]],Terceros!$A:$D,4,FALSE)</f>
        <v>0</v>
      </c>
      <c r="V2299" s="105">
        <f>+YEAR(PROVEEDORES[[#This Row],[FECHA DE FACTURACIÓN]])</f>
        <v>2023</v>
      </c>
      <c r="W2299" s="105">
        <f>+MATCH(PROVEEDORES[[#This Row],[año facturado]],Retenciones!$1:$1,0)</f>
        <v>6</v>
      </c>
      <c r="X2299" s="106">
        <f>+VLOOKUP(PROVEEDORES[[#This Row],[ID RETENCION]],Retenciones!$A$1:$O$25,PROVEEDORES[[#This Row],[indicador de columna]],FALSE)</f>
        <v>0</v>
      </c>
      <c r="Y2299" s="107">
        <f>+VLOOKUP(PROVEEDORES[[#This Row],[ID RETENCION]],Retenciones!$A$1:$O$25,2,FALSE)</f>
        <v>0</v>
      </c>
      <c r="Z2299" s="116" t="b">
        <f>OR(COUNTIF(PROVEEDORES[[#This Row],[PROVEEDOR]],"*"&amp;'Palabra no opera'!$A$2&amp;"*"))</f>
        <v>0</v>
      </c>
    </row>
    <row r="2300" spans="1:26" ht="22.35" customHeight="1" x14ac:dyDescent="0.3">
      <c r="A2300" s="67" t="str">
        <f>+IF(PROVEEDORES[[#This Row],[FECHA DE PAGO]]=PROVEEDORES[[#This Row],[FECHA DE FACTURACIÓN]],"DE CONTADO","CRÉDITO")</f>
        <v>CRÉDITO</v>
      </c>
      <c r="B2300" s="38" t="str">
        <f>+IF((PROVEEDORES[[#This Row],[FECHA DE PAGO]]-PROVEEDORES[[#This Row],[FECHA DE FACTURACIÓN]])&gt;PROVEEDORES[[#This Row],[PLAZO Días]],"PAGO VENCIDO")</f>
        <v>PAGO VENCIDO</v>
      </c>
      <c r="C2300" s="20">
        <f>+VLOOKUP(PROVEEDORES[[#This Row],[PROVEEDOR]],TERCEROS_INFO[#All],2,FALSE)</f>
        <v>30</v>
      </c>
      <c r="D2300" s="25">
        <f>+SUMIFS(PROVEEDORES[Total],PROVEEDORES[PROVEEDOR],PROVEEDORES[[#This Row],[PROVEEDOR]],PROVEEDORES[FECHA DE PAGO],"")</f>
        <v>1316890.8900000001</v>
      </c>
      <c r="E2300" s="25"/>
      <c r="F230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00" s="68">
        <v>45293</v>
      </c>
      <c r="H2300" s="26" t="s">
        <v>17</v>
      </c>
      <c r="I2300" s="68">
        <v>45261</v>
      </c>
      <c r="J2300" s="35" t="s">
        <v>2209</v>
      </c>
      <c r="K2300" s="21">
        <v>537354</v>
      </c>
      <c r="L2300" s="21"/>
      <c r="M2300" s="22">
        <v>0</v>
      </c>
      <c r="N2300" s="23"/>
      <c r="O2300" s="22">
        <f>+PROVEEDORES[[#This Row],[Descuento sobre subtotal %]]*(PROVEEDORES[[#This Row],[SUBTOTAL]]-PROVEEDORES[[#This Row],[descuento sobre subtotal]])</f>
        <v>0</v>
      </c>
      <c r="P2300" s="74">
        <f>+IF(PROVEEDORES[[#This Row],[SUBTOTAL]]&lt;PROVEEDORES[[#This Row],[base retencion]],0,PROVEEDORES[[#This Row],[retención aplicada]])</f>
        <v>0</v>
      </c>
      <c r="Q2300" s="22">
        <f>+PROVEEDORES[[#This Row],[Rete Fuente %]]*(PROVEEDORES[[#This Row],[SUBTOTAL]]-PROVEEDORES[[#This Row],[descuento sobre subtotal]])</f>
        <v>0</v>
      </c>
      <c r="R2300" s="21">
        <f>+PROVEEDORES[[#This Row],[SUBTOTAL]]+PROVEEDORES[[#This Row],[IVA 19%]]-PROVEEDORES[[#This Row],[descuento sobre subtotal]]-PROVEEDORES[[#This Row],[Descuento sobre subtotal $2]]-PROVEEDORES[[#This Row],[Rete Fuente $]]</f>
        <v>537354</v>
      </c>
      <c r="S230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0" s="63">
        <f ca="1">IF(PROVEEDORES[[#This Row],[FECHA DE PAGO]]=0,TODAY()-PROVEEDORES[[#This Row],[FECHA DE FACTURACIÓN]]-PROVEEDORES[[#This Row],[PLAZO Días]],0)</f>
        <v>0</v>
      </c>
      <c r="U2300" s="104">
        <f>+VLOOKUP(PROVEEDORES[[#This Row],[PROVEEDOR]],Terceros!$A:$D,4,FALSE)</f>
        <v>0</v>
      </c>
      <c r="V2300" s="105">
        <f>+YEAR(PROVEEDORES[[#This Row],[FECHA DE FACTURACIÓN]])</f>
        <v>2023</v>
      </c>
      <c r="W2300" s="105">
        <f>+MATCH(PROVEEDORES[[#This Row],[año facturado]],Retenciones!$1:$1,0)</f>
        <v>6</v>
      </c>
      <c r="X2300" s="106">
        <f>+VLOOKUP(PROVEEDORES[[#This Row],[ID RETENCION]],Retenciones!$A$1:$O$25,PROVEEDORES[[#This Row],[indicador de columna]],FALSE)</f>
        <v>0</v>
      </c>
      <c r="Y2300" s="107">
        <f>+VLOOKUP(PROVEEDORES[[#This Row],[ID RETENCION]],Retenciones!$A$1:$O$25,2,FALSE)</f>
        <v>0</v>
      </c>
      <c r="Z2300" s="116" t="b">
        <f>OR(COUNTIF(PROVEEDORES[[#This Row],[PROVEEDOR]],"*"&amp;'Palabra no opera'!$A$2&amp;"*"))</f>
        <v>0</v>
      </c>
    </row>
    <row r="2301" spans="1:26" ht="22.35" customHeight="1" x14ac:dyDescent="0.3">
      <c r="A2301" s="67" t="str">
        <f>+IF(PROVEEDORES[[#This Row],[FECHA DE PAGO]]=PROVEEDORES[[#This Row],[FECHA DE FACTURACIÓN]],"DE CONTADO","CRÉDITO")</f>
        <v>CRÉDITO</v>
      </c>
      <c r="B2301" s="38" t="b">
        <f>+IF((PROVEEDORES[[#This Row],[FECHA DE PAGO]]-PROVEEDORES[[#This Row],[FECHA DE FACTURACIÓN]])&gt;PROVEEDORES[[#This Row],[PLAZO Días]],"PAGO VENCIDO")</f>
        <v>0</v>
      </c>
      <c r="C2301" s="20">
        <f>+VLOOKUP(PROVEEDORES[[#This Row],[PROVEEDOR]],TERCEROS_INFO[#All],2,FALSE)</f>
        <v>30</v>
      </c>
      <c r="D2301" s="25">
        <f>+SUMIFS(PROVEEDORES[Total],PROVEEDORES[PROVEEDOR],PROVEEDORES[[#This Row],[PROVEEDOR]],PROVEEDORES[FECHA DE PAGO],"")</f>
        <v>10321993.199999999</v>
      </c>
      <c r="E2301" s="25"/>
      <c r="F230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H2301" s="26" t="s">
        <v>1068</v>
      </c>
      <c r="I2301" s="68">
        <v>45261</v>
      </c>
      <c r="J2301" s="35" t="s">
        <v>2247</v>
      </c>
      <c r="K2301" s="21">
        <v>4116710</v>
      </c>
      <c r="L2301" s="21">
        <v>316670</v>
      </c>
      <c r="M2301" s="22">
        <f>(PROVEEDORES[[#This Row],[SUBTOTAL]]-PROVEEDORES[[#This Row],[descuento sobre subtotal]])*VLOOKUP(PROVEEDORES[[#This Row],[PROVEEDOR]],TERCEROS_INFO[#All],3,FALSE)</f>
        <v>722007.6</v>
      </c>
      <c r="N2301" s="23"/>
      <c r="O2301" s="22">
        <f>+PROVEEDORES[[#This Row],[Descuento sobre subtotal %]]*(PROVEEDORES[[#This Row],[SUBTOTAL]]-PROVEEDORES[[#This Row],[descuento sobre subtotal]])</f>
        <v>0</v>
      </c>
      <c r="P2301" s="74">
        <f>+IF(PROVEEDORES[[#This Row],[SUBTOTAL]]&lt;PROVEEDORES[[#This Row],[base retencion]],0,PROVEEDORES[[#This Row],[retención aplicada]])</f>
        <v>2.5000000000000001E-2</v>
      </c>
      <c r="Q2301" s="22">
        <f>+PROVEEDORES[[#This Row],[Rete Fuente %]]*(PROVEEDORES[[#This Row],[SUBTOTAL]]-PROVEEDORES[[#This Row],[descuento sobre subtotal]])</f>
        <v>95001</v>
      </c>
      <c r="R2301" s="21">
        <f>+PROVEEDORES[[#This Row],[SUBTOTAL]]+PROVEEDORES[[#This Row],[IVA 19%]]-PROVEEDORES[[#This Row],[descuento sobre subtotal]]-PROVEEDORES[[#This Row],[Descuento sobre subtotal $2]]-PROVEEDORES[[#This Row],[Rete Fuente $]]</f>
        <v>4427046.5999999996</v>
      </c>
      <c r="S2301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01" s="63">
        <f ca="1">IF(PROVEEDORES[[#This Row],[FECHA DE PAGO]]=0,TODAY()-PROVEEDORES[[#This Row],[FECHA DE FACTURACIÓN]]-PROVEEDORES[[#This Row],[PLAZO Días]],0)</f>
        <v>9</v>
      </c>
      <c r="U2301" s="104" t="str">
        <f>+VLOOKUP(PROVEEDORES[[#This Row],[PROVEEDOR]],Terceros!$A:$D,4,FALSE)</f>
        <v>2,5% con base</v>
      </c>
      <c r="V2301" s="105">
        <f>+YEAR(PROVEEDORES[[#This Row],[FECHA DE FACTURACIÓN]])</f>
        <v>2023</v>
      </c>
      <c r="W2301" s="105">
        <f>+MATCH(PROVEEDORES[[#This Row],[año facturado]],Retenciones!$1:$1,0)</f>
        <v>6</v>
      </c>
      <c r="X2301" s="106">
        <f>+VLOOKUP(PROVEEDORES[[#This Row],[ID RETENCION]],Retenciones!$A$1:$O$25,PROVEEDORES[[#This Row],[indicador de columna]],FALSE)</f>
        <v>1145000</v>
      </c>
      <c r="Y2301" s="107">
        <f>+VLOOKUP(PROVEEDORES[[#This Row],[ID RETENCION]],Retenciones!$A$1:$O$25,2,FALSE)</f>
        <v>2.5000000000000001E-2</v>
      </c>
      <c r="Z2301" s="116" t="b">
        <f>OR(COUNTIF(PROVEEDORES[[#This Row],[PROVEEDOR]],"*"&amp;'Palabra no opera'!$A$2&amp;"*"))</f>
        <v>0</v>
      </c>
    </row>
    <row r="2302" spans="1:26" ht="22.35" customHeight="1" x14ac:dyDescent="0.3">
      <c r="A2302" s="67" t="str">
        <f>+IF(PROVEEDORES[[#This Row],[FECHA DE PAGO]]=PROVEEDORES[[#This Row],[FECHA DE FACTURACIÓN]],"DE CONTADO","CRÉDITO")</f>
        <v>CRÉDITO</v>
      </c>
      <c r="B2302" s="38" t="b">
        <f>+IF((PROVEEDORES[[#This Row],[FECHA DE PAGO]]-PROVEEDORES[[#This Row],[FECHA DE FACTURACIÓN]])&gt;PROVEEDORES[[#This Row],[PLAZO Días]],"PAGO VENCIDO")</f>
        <v>0</v>
      </c>
      <c r="C2302" s="20">
        <f>+VLOOKUP(PROVEEDORES[[#This Row],[PROVEEDOR]],TERCEROS_INFO[#All],2,FALSE)</f>
        <v>30</v>
      </c>
      <c r="D2302" s="25">
        <f>+SUMIFS(PROVEEDORES[Total],PROVEEDORES[PROVEEDOR],PROVEEDORES[[#This Row],[PROVEEDOR]],PROVEEDORES[FECHA DE PAGO],"")</f>
        <v>0</v>
      </c>
      <c r="E2302" s="25"/>
      <c r="F230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302" s="68">
        <v>45288</v>
      </c>
      <c r="H2302" s="26" t="s">
        <v>248</v>
      </c>
      <c r="I2302" s="68">
        <v>45261</v>
      </c>
      <c r="J2302" s="35" t="s">
        <v>2250</v>
      </c>
      <c r="K2302" s="21">
        <v>1979981</v>
      </c>
      <c r="L2302" s="21"/>
      <c r="M2302" s="22">
        <f>(PROVEEDORES[[#This Row],[SUBTOTAL]]-PROVEEDORES[[#This Row],[descuento sobre subtotal]])*VLOOKUP(PROVEEDORES[[#This Row],[PROVEEDOR]],TERCEROS_INFO[#All],3,FALSE)</f>
        <v>376196.39</v>
      </c>
      <c r="N2302" s="23"/>
      <c r="O2302" s="22">
        <f>+PROVEEDORES[[#This Row],[Descuento sobre subtotal %]]*(PROVEEDORES[[#This Row],[SUBTOTAL]]-PROVEEDORES[[#This Row],[descuento sobre subtotal]])</f>
        <v>0</v>
      </c>
      <c r="P2302" s="74">
        <f>+IF(PROVEEDORES[[#This Row],[SUBTOTAL]]&lt;PROVEEDORES[[#This Row],[base retencion]],0,PROVEEDORES[[#This Row],[retención aplicada]])</f>
        <v>0</v>
      </c>
      <c r="Q2302" s="22">
        <f>+PROVEEDORES[[#This Row],[Rete Fuente %]]*(PROVEEDORES[[#This Row],[SUBTOTAL]]-PROVEEDORES[[#This Row],[descuento sobre subtotal]])</f>
        <v>0</v>
      </c>
      <c r="R2302" s="21">
        <f>+PROVEEDORES[[#This Row],[SUBTOTAL]]+PROVEEDORES[[#This Row],[IVA 19%]]-PROVEEDORES[[#This Row],[descuento sobre subtotal]]-PROVEEDORES[[#This Row],[Descuento sobre subtotal $2]]-PROVEEDORES[[#This Row],[Rete Fuente $]]</f>
        <v>2356177.39</v>
      </c>
      <c r="S230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2" s="63">
        <f ca="1">IF(PROVEEDORES[[#This Row],[FECHA DE PAGO]]=0,TODAY()-PROVEEDORES[[#This Row],[FECHA DE FACTURACIÓN]]-PROVEEDORES[[#This Row],[PLAZO Días]],0)</f>
        <v>0</v>
      </c>
      <c r="U2302" s="104">
        <f>+VLOOKUP(PROVEEDORES[[#This Row],[PROVEEDOR]],Terceros!$A:$D,4,FALSE)</f>
        <v>0</v>
      </c>
      <c r="V2302" s="105">
        <f>+YEAR(PROVEEDORES[[#This Row],[FECHA DE FACTURACIÓN]])</f>
        <v>2023</v>
      </c>
      <c r="W2302" s="105">
        <f>+MATCH(PROVEEDORES[[#This Row],[año facturado]],Retenciones!$1:$1,0)</f>
        <v>6</v>
      </c>
      <c r="X2302" s="106">
        <f>+VLOOKUP(PROVEEDORES[[#This Row],[ID RETENCION]],Retenciones!$A$1:$O$25,PROVEEDORES[[#This Row],[indicador de columna]],FALSE)</f>
        <v>0</v>
      </c>
      <c r="Y2302" s="107">
        <f>+VLOOKUP(PROVEEDORES[[#This Row],[ID RETENCION]],Retenciones!$A$1:$O$25,2,FALSE)</f>
        <v>0</v>
      </c>
      <c r="Z2302" s="116" t="b">
        <f>OR(COUNTIF(PROVEEDORES[[#This Row],[PROVEEDOR]],"*"&amp;'Palabra no opera'!$A$2&amp;"*"))</f>
        <v>0</v>
      </c>
    </row>
    <row r="2303" spans="1:26" ht="22.35" customHeight="1" x14ac:dyDescent="0.3">
      <c r="A2303" s="67" t="str">
        <f>+IF(PROVEEDORES[[#This Row],[FECHA DE PAGO]]=PROVEEDORES[[#This Row],[FECHA DE FACTURACIÓN]],"DE CONTADO","CRÉDITO")</f>
        <v>CRÉDITO</v>
      </c>
      <c r="B2303" s="38" t="b">
        <f>+IF((PROVEEDORES[[#This Row],[FECHA DE PAGO]]-PROVEEDORES[[#This Row],[FECHA DE FACTURACIÓN]])&gt;PROVEEDORES[[#This Row],[PLAZO Días]],"PAGO VENCIDO")</f>
        <v>0</v>
      </c>
      <c r="C2303" s="20">
        <f>+VLOOKUP(PROVEEDORES[[#This Row],[PROVEEDOR]],TERCEROS_INFO[#All],2,FALSE)</f>
        <v>30</v>
      </c>
      <c r="D2303" s="25">
        <f>+SUMIFS(PROVEEDORES[Total],PROVEEDORES[PROVEEDOR],PROVEEDORES[[#This Row],[PROVEEDOR]],PROVEEDORES[FECHA DE PAGO],"")</f>
        <v>0</v>
      </c>
      <c r="E2303" s="25"/>
      <c r="F2303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2303" s="68">
        <v>45288</v>
      </c>
      <c r="H2303" s="26" t="s">
        <v>248</v>
      </c>
      <c r="I2303" s="68">
        <v>45264</v>
      </c>
      <c r="J2303" s="35" t="s">
        <v>2251</v>
      </c>
      <c r="K2303" s="21">
        <v>1632998</v>
      </c>
      <c r="L2303" s="21"/>
      <c r="M2303" s="22">
        <f>(PROVEEDORES[[#This Row],[SUBTOTAL]]-PROVEEDORES[[#This Row],[descuento sobre subtotal]])*VLOOKUP(PROVEEDORES[[#This Row],[PROVEEDOR]],TERCEROS_INFO[#All],3,FALSE)</f>
        <v>310269.62</v>
      </c>
      <c r="N2303" s="23"/>
      <c r="O2303" s="22">
        <f>+PROVEEDORES[[#This Row],[Descuento sobre subtotal %]]*(PROVEEDORES[[#This Row],[SUBTOTAL]]-PROVEEDORES[[#This Row],[descuento sobre subtotal]])</f>
        <v>0</v>
      </c>
      <c r="P2303" s="74">
        <f>+IF(PROVEEDORES[[#This Row],[SUBTOTAL]]&lt;PROVEEDORES[[#This Row],[base retencion]],0,PROVEEDORES[[#This Row],[retención aplicada]])</f>
        <v>0</v>
      </c>
      <c r="Q2303" s="22">
        <f>+PROVEEDORES[[#This Row],[Rete Fuente %]]*(PROVEEDORES[[#This Row],[SUBTOTAL]]-PROVEEDORES[[#This Row],[descuento sobre subtotal]])</f>
        <v>0</v>
      </c>
      <c r="R2303" s="21">
        <f>+PROVEEDORES[[#This Row],[SUBTOTAL]]+PROVEEDORES[[#This Row],[IVA 19%]]-PROVEEDORES[[#This Row],[descuento sobre subtotal]]-PROVEEDORES[[#This Row],[Descuento sobre subtotal $2]]-PROVEEDORES[[#This Row],[Rete Fuente $]]</f>
        <v>1943267.62</v>
      </c>
      <c r="S230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3" s="63">
        <f ca="1">IF(PROVEEDORES[[#This Row],[FECHA DE PAGO]]=0,TODAY()-PROVEEDORES[[#This Row],[FECHA DE FACTURACIÓN]]-PROVEEDORES[[#This Row],[PLAZO Días]],0)</f>
        <v>0</v>
      </c>
      <c r="U2303" s="104">
        <f>+VLOOKUP(PROVEEDORES[[#This Row],[PROVEEDOR]],Terceros!$A:$D,4,FALSE)</f>
        <v>0</v>
      </c>
      <c r="V2303" s="105">
        <f>+YEAR(PROVEEDORES[[#This Row],[FECHA DE FACTURACIÓN]])</f>
        <v>2023</v>
      </c>
      <c r="W2303" s="105">
        <f>+MATCH(PROVEEDORES[[#This Row],[año facturado]],Retenciones!$1:$1,0)</f>
        <v>6</v>
      </c>
      <c r="X2303" s="106">
        <f>+VLOOKUP(PROVEEDORES[[#This Row],[ID RETENCION]],Retenciones!$A$1:$O$25,PROVEEDORES[[#This Row],[indicador de columna]],FALSE)</f>
        <v>0</v>
      </c>
      <c r="Y2303" s="107">
        <f>+VLOOKUP(PROVEEDORES[[#This Row],[ID RETENCION]],Retenciones!$A$1:$O$25,2,FALSE)</f>
        <v>0</v>
      </c>
      <c r="Z2303" s="116" t="b">
        <f>OR(COUNTIF(PROVEEDORES[[#This Row],[PROVEEDOR]],"*"&amp;'Palabra no opera'!$A$2&amp;"*"))</f>
        <v>0</v>
      </c>
    </row>
    <row r="2304" spans="1:26" ht="22.35" customHeight="1" x14ac:dyDescent="0.3">
      <c r="A2304" s="67" t="str">
        <f>+IF(PROVEEDORES[[#This Row],[FECHA DE PAGO]]=PROVEEDORES[[#This Row],[FECHA DE FACTURACIÓN]],"DE CONTADO","CRÉDITO")</f>
        <v>CRÉDITO</v>
      </c>
      <c r="B2304" s="38" t="b">
        <f>+IF((PROVEEDORES[[#This Row],[FECHA DE PAGO]]-PROVEEDORES[[#This Row],[FECHA DE FACTURACIÓN]])&gt;PROVEEDORES[[#This Row],[PLAZO Días]],"PAGO VENCIDO")</f>
        <v>0</v>
      </c>
      <c r="C2304" s="20">
        <f>+VLOOKUP(PROVEEDORES[[#This Row],[PROVEEDOR]],TERCEROS_INFO[#All],2,FALSE)</f>
        <v>30</v>
      </c>
      <c r="D2304" s="25">
        <f>+SUMIFS(PROVEEDORES[Total],PROVEEDORES[PROVEEDOR],PROVEEDORES[[#This Row],[PROVEEDOR]],PROVEEDORES[FECHA DE PAGO],"")</f>
        <v>12030261.305</v>
      </c>
      <c r="E2304" s="25"/>
      <c r="F2304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2304" s="26" t="s">
        <v>12</v>
      </c>
      <c r="I2304" s="68">
        <v>45265</v>
      </c>
      <c r="J2304" s="35" t="s">
        <v>2243</v>
      </c>
      <c r="K2304" s="21">
        <v>10294117</v>
      </c>
      <c r="L2304" s="21"/>
      <c r="M2304" s="22">
        <f>(PROVEEDORES[[#This Row],[SUBTOTAL]]-PROVEEDORES[[#This Row],[descuento sobre subtotal]])*VLOOKUP(PROVEEDORES[[#This Row],[PROVEEDOR]],TERCEROS_INFO[#All],3,FALSE)</f>
        <v>1955882.23</v>
      </c>
      <c r="N2304" s="23"/>
      <c r="O2304" s="22">
        <f>+PROVEEDORES[[#This Row],[Descuento sobre subtotal %]]*(PROVEEDORES[[#This Row],[SUBTOTAL]]-PROVEEDORES[[#This Row],[descuento sobre subtotal]])</f>
        <v>0</v>
      </c>
      <c r="P2304" s="74">
        <f>+IF(PROVEEDORES[[#This Row],[SUBTOTAL]]&lt;PROVEEDORES[[#This Row],[base retencion]],0,PROVEEDORES[[#This Row],[retención aplicada]])</f>
        <v>2.5000000000000001E-2</v>
      </c>
      <c r="Q2304" s="22">
        <f>+PROVEEDORES[[#This Row],[Rete Fuente %]]*(PROVEEDORES[[#This Row],[SUBTOTAL]]-PROVEEDORES[[#This Row],[descuento sobre subtotal]])</f>
        <v>257352.92500000002</v>
      </c>
      <c r="R2304" s="21">
        <f>+PROVEEDORES[[#This Row],[SUBTOTAL]]+PROVEEDORES[[#This Row],[IVA 19%]]-PROVEEDORES[[#This Row],[descuento sobre subtotal]]-PROVEEDORES[[#This Row],[Descuento sobre subtotal $2]]-PROVEEDORES[[#This Row],[Rete Fuente $]]</f>
        <v>11992646.305</v>
      </c>
      <c r="S2304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04" s="63">
        <f ca="1">IF(PROVEEDORES[[#This Row],[FECHA DE PAGO]]=0,TODAY()-PROVEEDORES[[#This Row],[FECHA DE FACTURACIÓN]]-PROVEEDORES[[#This Row],[PLAZO Días]],0)</f>
        <v>5</v>
      </c>
      <c r="U2304" s="104" t="str">
        <f>+VLOOKUP(PROVEEDORES[[#This Row],[PROVEEDOR]],Terceros!$A:$D,4,FALSE)</f>
        <v>2,5% con base</v>
      </c>
      <c r="V2304" s="105">
        <f>+YEAR(PROVEEDORES[[#This Row],[FECHA DE FACTURACIÓN]])</f>
        <v>2023</v>
      </c>
      <c r="W2304" s="105">
        <f>+MATCH(PROVEEDORES[[#This Row],[año facturado]],Retenciones!$1:$1,0)</f>
        <v>6</v>
      </c>
      <c r="X2304" s="106">
        <f>+VLOOKUP(PROVEEDORES[[#This Row],[ID RETENCION]],Retenciones!$A$1:$O$25,PROVEEDORES[[#This Row],[indicador de columna]],FALSE)</f>
        <v>1145000</v>
      </c>
      <c r="Y2304" s="107">
        <f>+VLOOKUP(PROVEEDORES[[#This Row],[ID RETENCION]],Retenciones!$A$1:$O$25,2,FALSE)</f>
        <v>2.5000000000000001E-2</v>
      </c>
      <c r="Z2304" s="116" t="b">
        <f>OR(COUNTIF(PROVEEDORES[[#This Row],[PROVEEDOR]],"*"&amp;'Palabra no opera'!$A$2&amp;"*"))</f>
        <v>0</v>
      </c>
    </row>
    <row r="2305" spans="1:26" ht="22.35" customHeight="1" x14ac:dyDescent="0.3">
      <c r="A2305" s="67" t="str">
        <f>+IF(PROVEEDORES[[#This Row],[FECHA DE PAGO]]=PROVEEDORES[[#This Row],[FECHA DE FACTURACIÓN]],"DE CONTADO","CRÉDITO")</f>
        <v>CRÉDITO</v>
      </c>
      <c r="B2305" s="38" t="b">
        <f>+IF((PROVEEDORES[[#This Row],[FECHA DE PAGO]]-PROVEEDORES[[#This Row],[FECHA DE FACTURACIÓN]])&gt;PROVEEDORES[[#This Row],[PLAZO Días]],"PAGO VENCIDO")</f>
        <v>0</v>
      </c>
      <c r="C2305" s="20">
        <f>+VLOOKUP(PROVEEDORES[[#This Row],[PROVEEDOR]],TERCEROS_INFO[#All],2,FALSE)</f>
        <v>30</v>
      </c>
      <c r="D2305" s="25">
        <f>+SUMIFS(PROVEEDORES[Total],PROVEEDORES[PROVEEDOR],PROVEEDORES[[#This Row],[PROVEEDOR]],PROVEEDORES[FECHA DE PAGO],"")</f>
        <v>12030261.305</v>
      </c>
      <c r="E2305" s="25"/>
      <c r="F2305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2305" s="26" t="s">
        <v>12</v>
      </c>
      <c r="I2305" s="68">
        <v>45265</v>
      </c>
      <c r="J2305" s="35" t="s">
        <v>2244</v>
      </c>
      <c r="K2305" s="21">
        <v>37615</v>
      </c>
      <c r="L2305" s="21"/>
      <c r="M2305" s="22">
        <v>0</v>
      </c>
      <c r="N2305" s="23"/>
      <c r="O2305" s="22">
        <f>+PROVEEDORES[[#This Row],[Descuento sobre subtotal %]]*(PROVEEDORES[[#This Row],[SUBTOTAL]]-PROVEEDORES[[#This Row],[descuento sobre subtotal]])</f>
        <v>0</v>
      </c>
      <c r="P2305" s="74">
        <f>+IF(PROVEEDORES[[#This Row],[SUBTOTAL]]&lt;PROVEEDORES[[#This Row],[base retencion]],0,PROVEEDORES[[#This Row],[retención aplicada]])</f>
        <v>0</v>
      </c>
      <c r="Q2305" s="22">
        <f>+PROVEEDORES[[#This Row],[Rete Fuente %]]*(PROVEEDORES[[#This Row],[SUBTOTAL]]-PROVEEDORES[[#This Row],[descuento sobre subtotal]])</f>
        <v>0</v>
      </c>
      <c r="R2305" s="21">
        <f>+PROVEEDORES[[#This Row],[SUBTOTAL]]+PROVEEDORES[[#This Row],[IVA 19%]]-PROVEEDORES[[#This Row],[descuento sobre subtotal]]-PROVEEDORES[[#This Row],[Descuento sobre subtotal $2]]-PROVEEDORES[[#This Row],[Rete Fuente $]]</f>
        <v>37615</v>
      </c>
      <c r="S2305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05" s="63">
        <f ca="1">IF(PROVEEDORES[[#This Row],[FECHA DE PAGO]]=0,TODAY()-PROVEEDORES[[#This Row],[FECHA DE FACTURACIÓN]]-PROVEEDORES[[#This Row],[PLAZO Días]],0)</f>
        <v>5</v>
      </c>
      <c r="U2305" s="104" t="str">
        <f>+VLOOKUP(PROVEEDORES[[#This Row],[PROVEEDOR]],Terceros!$A:$D,4,FALSE)</f>
        <v>2,5% con base</v>
      </c>
      <c r="V2305" s="105">
        <f>+YEAR(PROVEEDORES[[#This Row],[FECHA DE FACTURACIÓN]])</f>
        <v>2023</v>
      </c>
      <c r="W2305" s="105">
        <f>+MATCH(PROVEEDORES[[#This Row],[año facturado]],Retenciones!$1:$1,0)</f>
        <v>6</v>
      </c>
      <c r="X2305" s="106">
        <f>+VLOOKUP(PROVEEDORES[[#This Row],[ID RETENCION]],Retenciones!$A$1:$O$25,PROVEEDORES[[#This Row],[indicador de columna]],FALSE)</f>
        <v>1145000</v>
      </c>
      <c r="Y2305" s="107">
        <f>+VLOOKUP(PROVEEDORES[[#This Row],[ID RETENCION]],Retenciones!$A$1:$O$25,2,FALSE)</f>
        <v>2.5000000000000001E-2</v>
      </c>
      <c r="Z2305" s="116" t="b">
        <f>OR(COUNTIF(PROVEEDORES[[#This Row],[PROVEEDOR]],"*"&amp;'Palabra no opera'!$A$2&amp;"*"))</f>
        <v>0</v>
      </c>
    </row>
    <row r="2306" spans="1:26" ht="22.35" customHeight="1" x14ac:dyDescent="0.3">
      <c r="A2306" s="67" t="str">
        <f>+IF(PROVEEDORES[[#This Row],[FECHA DE PAGO]]=PROVEEDORES[[#This Row],[FECHA DE FACTURACIÓN]],"DE CONTADO","CRÉDITO")</f>
        <v>CRÉDITO</v>
      </c>
      <c r="B2306" s="38" t="b">
        <f>+IF((PROVEEDORES[[#This Row],[FECHA DE PAGO]]-PROVEEDORES[[#This Row],[FECHA DE FACTURACIÓN]])&gt;PROVEEDORES[[#This Row],[PLAZO Días]],"PAGO VENCIDO")</f>
        <v>0</v>
      </c>
      <c r="C2306" s="20">
        <f>+VLOOKUP(PROVEEDORES[[#This Row],[PROVEEDOR]],TERCEROS_INFO[#All],2,FALSE)</f>
        <v>30</v>
      </c>
      <c r="D2306" s="25">
        <f>+SUMIFS(PROVEEDORES[Total],PROVEEDORES[PROVEEDOR],PROVEEDORES[[#This Row],[PROVEEDOR]],PROVEEDORES[FECHA DE PAGO],"")</f>
        <v>10321993.199999999</v>
      </c>
      <c r="E2306" s="25"/>
      <c r="F2306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H2306" s="26" t="s">
        <v>1068</v>
      </c>
      <c r="I2306" s="68">
        <v>45265</v>
      </c>
      <c r="J2306" s="35" t="s">
        <v>2249</v>
      </c>
      <c r="K2306" s="21">
        <v>1260000</v>
      </c>
      <c r="L2306" s="21"/>
      <c r="M2306" s="22">
        <f>(PROVEEDORES[[#This Row],[SUBTOTAL]]-PROVEEDORES[[#This Row],[descuento sobre subtotal]])*VLOOKUP(PROVEEDORES[[#This Row],[PROVEEDOR]],TERCEROS_INFO[#All],3,FALSE)</f>
        <v>239400</v>
      </c>
      <c r="N2306" s="23"/>
      <c r="O2306" s="22">
        <f>+PROVEEDORES[[#This Row],[Descuento sobre subtotal %]]*(PROVEEDORES[[#This Row],[SUBTOTAL]]-PROVEEDORES[[#This Row],[descuento sobre subtotal]])</f>
        <v>0</v>
      </c>
      <c r="P2306" s="74">
        <f>+IF(PROVEEDORES[[#This Row],[SUBTOTAL]]&lt;PROVEEDORES[[#This Row],[base retencion]],0,PROVEEDORES[[#This Row],[retención aplicada]])</f>
        <v>2.5000000000000001E-2</v>
      </c>
      <c r="Q2306" s="22">
        <f>+PROVEEDORES[[#This Row],[Rete Fuente %]]*(PROVEEDORES[[#This Row],[SUBTOTAL]]-PROVEEDORES[[#This Row],[descuento sobre subtotal]])</f>
        <v>31500</v>
      </c>
      <c r="R2306" s="21">
        <f>+PROVEEDORES[[#This Row],[SUBTOTAL]]+PROVEEDORES[[#This Row],[IVA 19%]]-PROVEEDORES[[#This Row],[descuento sobre subtotal]]-PROVEEDORES[[#This Row],[Descuento sobre subtotal $2]]-PROVEEDORES[[#This Row],[Rete Fuente $]]</f>
        <v>1467900</v>
      </c>
      <c r="S2306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06" s="63">
        <f ca="1">IF(PROVEEDORES[[#This Row],[FECHA DE PAGO]]=0,TODAY()-PROVEEDORES[[#This Row],[FECHA DE FACTURACIÓN]]-PROVEEDORES[[#This Row],[PLAZO Días]],0)</f>
        <v>5</v>
      </c>
      <c r="U2306" s="104" t="str">
        <f>+VLOOKUP(PROVEEDORES[[#This Row],[PROVEEDOR]],Terceros!$A:$D,4,FALSE)</f>
        <v>2,5% con base</v>
      </c>
      <c r="V2306" s="105">
        <f>+YEAR(PROVEEDORES[[#This Row],[FECHA DE FACTURACIÓN]])</f>
        <v>2023</v>
      </c>
      <c r="W2306" s="105">
        <f>+MATCH(PROVEEDORES[[#This Row],[año facturado]],Retenciones!$1:$1,0)</f>
        <v>6</v>
      </c>
      <c r="X2306" s="106">
        <f>+VLOOKUP(PROVEEDORES[[#This Row],[ID RETENCION]],Retenciones!$A$1:$O$25,PROVEEDORES[[#This Row],[indicador de columna]],FALSE)</f>
        <v>1145000</v>
      </c>
      <c r="Y2306" s="107">
        <f>+VLOOKUP(PROVEEDORES[[#This Row],[ID RETENCION]],Retenciones!$A$1:$O$25,2,FALSE)</f>
        <v>2.5000000000000001E-2</v>
      </c>
      <c r="Z2306" s="116" t="b">
        <f>OR(COUNTIF(PROVEEDORES[[#This Row],[PROVEEDOR]],"*"&amp;'Palabra no opera'!$A$2&amp;"*"))</f>
        <v>0</v>
      </c>
    </row>
    <row r="2307" spans="1:26" ht="22.35" customHeight="1" x14ac:dyDescent="0.3">
      <c r="A2307" s="67" t="str">
        <f>+IF(PROVEEDORES[[#This Row],[FECHA DE PAGO]]=PROVEEDORES[[#This Row],[FECHA DE FACTURACIÓN]],"DE CONTADO","CRÉDITO")</f>
        <v>CRÉDITO</v>
      </c>
      <c r="B2307" s="38" t="b">
        <f>+IF((PROVEEDORES[[#This Row],[FECHA DE PAGO]]-PROVEEDORES[[#This Row],[FECHA DE FACTURACIÓN]])&gt;PROVEEDORES[[#This Row],[PLAZO Días]],"PAGO VENCIDO")</f>
        <v>0</v>
      </c>
      <c r="C2307" s="20">
        <f>+VLOOKUP(PROVEEDORES[[#This Row],[PROVEEDOR]],TERCEROS_INFO[#All],2,FALSE)</f>
        <v>30</v>
      </c>
      <c r="D2307" s="25">
        <f>+SUMIFS(PROVEEDORES[Total],PROVEEDORES[PROVEEDOR],PROVEEDORES[[#This Row],[PROVEEDOR]],PROVEEDORES[FECHA DE PAGO],"")</f>
        <v>5537221.7000000002</v>
      </c>
      <c r="E2307" s="25"/>
      <c r="F2307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H2307" s="26" t="s">
        <v>293</v>
      </c>
      <c r="I2307" s="68">
        <v>45265</v>
      </c>
      <c r="J2307" s="35" t="s">
        <v>2252</v>
      </c>
      <c r="K2307" s="21">
        <v>3478190</v>
      </c>
      <c r="L2307" s="21"/>
      <c r="M2307" s="22">
        <f>(PROVEEDORES[[#This Row],[SUBTOTAL]]-PROVEEDORES[[#This Row],[descuento sobre subtotal]])*VLOOKUP(PROVEEDORES[[#This Row],[PROVEEDOR]],TERCEROS_INFO[#All],3,FALSE)</f>
        <v>660856.1</v>
      </c>
      <c r="N2307" s="23"/>
      <c r="O2307" s="22">
        <f>+PROVEEDORES[[#This Row],[Descuento sobre subtotal %]]*(PROVEEDORES[[#This Row],[SUBTOTAL]]-PROVEEDORES[[#This Row],[descuento sobre subtotal]])</f>
        <v>0</v>
      </c>
      <c r="P2307" s="74">
        <f>+IF(PROVEEDORES[[#This Row],[SUBTOTAL]]&lt;PROVEEDORES[[#This Row],[base retencion]],0,PROVEEDORES[[#This Row],[retención aplicada]])</f>
        <v>2.5000000000000001E-2</v>
      </c>
      <c r="Q2307" s="22">
        <f>+PROVEEDORES[[#This Row],[Rete Fuente %]]*(PROVEEDORES[[#This Row],[SUBTOTAL]]-PROVEEDORES[[#This Row],[descuento sobre subtotal]])</f>
        <v>86954.75</v>
      </c>
      <c r="R2307" s="21">
        <f>+PROVEEDORES[[#This Row],[SUBTOTAL]]+PROVEEDORES[[#This Row],[IVA 19%]]-PROVEEDORES[[#This Row],[descuento sobre subtotal]]-PROVEEDORES[[#This Row],[Descuento sobre subtotal $2]]-PROVEEDORES[[#This Row],[Rete Fuente $]]</f>
        <v>4052091.35</v>
      </c>
      <c r="S2307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07" s="63">
        <f ca="1">IF(PROVEEDORES[[#This Row],[FECHA DE PAGO]]=0,TODAY()-PROVEEDORES[[#This Row],[FECHA DE FACTURACIÓN]]-PROVEEDORES[[#This Row],[PLAZO Días]],0)</f>
        <v>5</v>
      </c>
      <c r="U2307" s="104" t="str">
        <f>+VLOOKUP(PROVEEDORES[[#This Row],[PROVEEDOR]],Terceros!$A:$D,4,FALSE)</f>
        <v>2,5% con base</v>
      </c>
      <c r="V2307" s="105">
        <f>+YEAR(PROVEEDORES[[#This Row],[FECHA DE FACTURACIÓN]])</f>
        <v>2023</v>
      </c>
      <c r="W2307" s="105">
        <f>+MATCH(PROVEEDORES[[#This Row],[año facturado]],Retenciones!$1:$1,0)</f>
        <v>6</v>
      </c>
      <c r="X2307" s="106">
        <f>+VLOOKUP(PROVEEDORES[[#This Row],[ID RETENCION]],Retenciones!$A$1:$O$25,PROVEEDORES[[#This Row],[indicador de columna]],FALSE)</f>
        <v>1145000</v>
      </c>
      <c r="Y2307" s="107">
        <f>+VLOOKUP(PROVEEDORES[[#This Row],[ID RETENCION]],Retenciones!$A$1:$O$25,2,FALSE)</f>
        <v>2.5000000000000001E-2</v>
      </c>
      <c r="Z2307" s="116" t="b">
        <f>OR(COUNTIF(PROVEEDORES[[#This Row],[PROVEEDOR]],"*"&amp;'Palabra no opera'!$A$2&amp;"*"))</f>
        <v>0</v>
      </c>
    </row>
    <row r="2308" spans="1:26" ht="22.35" customHeight="1" x14ac:dyDescent="0.3">
      <c r="A2308" s="67" t="str">
        <f>+IF(PROVEEDORES[[#This Row],[FECHA DE PAGO]]=PROVEEDORES[[#This Row],[FECHA DE FACTURACIÓN]],"DE CONTADO","CRÉDITO")</f>
        <v>CRÉDITO</v>
      </c>
      <c r="B2308" s="38" t="b">
        <f>+IF((PROVEEDORES[[#This Row],[FECHA DE PAGO]]-PROVEEDORES[[#This Row],[FECHA DE FACTURACIÓN]])&gt;PROVEEDORES[[#This Row],[PLAZO Días]],"PAGO VENCIDO")</f>
        <v>0</v>
      </c>
      <c r="C2308" s="20">
        <f>+VLOOKUP(PROVEEDORES[[#This Row],[PROVEEDOR]],TERCEROS_INFO[#All],2,FALSE)</f>
        <v>30</v>
      </c>
      <c r="D2308" s="25">
        <f>+SUMIFS(PROVEEDORES[Total],PROVEEDORES[PROVEEDOR],PROVEEDORES[[#This Row],[PROVEEDOR]],PROVEEDORES[FECHA DE PAGO],"")</f>
        <v>17870934.149999999</v>
      </c>
      <c r="E2308" s="25"/>
      <c r="F230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308" s="26" t="s">
        <v>18</v>
      </c>
      <c r="I2308" s="68">
        <v>45266</v>
      </c>
      <c r="J2308" s="35" t="s">
        <v>2246</v>
      </c>
      <c r="K2308" s="21">
        <v>2050362</v>
      </c>
      <c r="L2308" s="21"/>
      <c r="M2308" s="22">
        <f>(PROVEEDORES[[#This Row],[SUBTOTAL]]-PROVEEDORES[[#This Row],[descuento sobre subtotal]])*VLOOKUP(PROVEEDORES[[#This Row],[PROVEEDOR]],TERCEROS_INFO[#All],3,FALSE)</f>
        <v>389568.78</v>
      </c>
      <c r="N2308" s="23"/>
      <c r="O2308" s="22">
        <f>+PROVEEDORES[[#This Row],[Descuento sobre subtotal %]]*(PROVEEDORES[[#This Row],[SUBTOTAL]]-PROVEEDORES[[#This Row],[descuento sobre subtotal]])</f>
        <v>0</v>
      </c>
      <c r="P2308" s="74">
        <f>+IF(PROVEEDORES[[#This Row],[SUBTOTAL]]&lt;PROVEEDORES[[#This Row],[base retencion]],0,PROVEEDORES[[#This Row],[retención aplicada]])</f>
        <v>2.5000000000000001E-2</v>
      </c>
      <c r="Q2308" s="22">
        <f>+PROVEEDORES[[#This Row],[Rete Fuente %]]*(PROVEEDORES[[#This Row],[SUBTOTAL]]-PROVEEDORES[[#This Row],[descuento sobre subtotal]])</f>
        <v>51259.05</v>
      </c>
      <c r="R2308" s="21">
        <f>+PROVEEDORES[[#This Row],[SUBTOTAL]]+PROVEEDORES[[#This Row],[IVA 19%]]-PROVEEDORES[[#This Row],[descuento sobre subtotal]]-PROVEEDORES[[#This Row],[Descuento sobre subtotal $2]]-PROVEEDORES[[#This Row],[Rete Fuente $]]</f>
        <v>2388671.7300000004</v>
      </c>
      <c r="S2308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08" s="63">
        <f ca="1">IF(PROVEEDORES[[#This Row],[FECHA DE PAGO]]=0,TODAY()-PROVEEDORES[[#This Row],[FECHA DE FACTURACIÓN]]-PROVEEDORES[[#This Row],[PLAZO Días]],0)</f>
        <v>4</v>
      </c>
      <c r="U2308" s="104" t="str">
        <f>+VLOOKUP(PROVEEDORES[[#This Row],[PROVEEDOR]],Terceros!$A:$D,4,FALSE)</f>
        <v>2,5% con base</v>
      </c>
      <c r="V2308" s="105">
        <f>+YEAR(PROVEEDORES[[#This Row],[FECHA DE FACTURACIÓN]])</f>
        <v>2023</v>
      </c>
      <c r="W2308" s="105">
        <f>+MATCH(PROVEEDORES[[#This Row],[año facturado]],Retenciones!$1:$1,0)</f>
        <v>6</v>
      </c>
      <c r="X2308" s="106">
        <f>+VLOOKUP(PROVEEDORES[[#This Row],[ID RETENCION]],Retenciones!$A$1:$O$25,PROVEEDORES[[#This Row],[indicador de columna]],FALSE)</f>
        <v>1145000</v>
      </c>
      <c r="Y2308" s="107">
        <f>+VLOOKUP(PROVEEDORES[[#This Row],[ID RETENCION]],Retenciones!$A$1:$O$25,2,FALSE)</f>
        <v>2.5000000000000001E-2</v>
      </c>
      <c r="Z2308" s="116" t="b">
        <f>OR(COUNTIF(PROVEEDORES[[#This Row],[PROVEEDOR]],"*"&amp;'Palabra no opera'!$A$2&amp;"*"))</f>
        <v>0</v>
      </c>
    </row>
    <row r="2309" spans="1:26" ht="22.35" customHeight="1" x14ac:dyDescent="0.3">
      <c r="A2309" s="67" t="str">
        <f>+IF(PROVEEDORES[[#This Row],[FECHA DE PAGO]]=PROVEEDORES[[#This Row],[FECHA DE FACTURACIÓN]],"DE CONTADO","CRÉDITO")</f>
        <v>CRÉDITO</v>
      </c>
      <c r="B2309" s="38" t="b">
        <f>+IF((PROVEEDORES[[#This Row],[FECHA DE PAGO]]-PROVEEDORES[[#This Row],[FECHA DE FACTURACIÓN]])&gt;PROVEEDORES[[#This Row],[PLAZO Días]],"PAGO VENCIDO")</f>
        <v>0</v>
      </c>
      <c r="C2309" s="20">
        <f>+VLOOKUP(PROVEEDORES[[#This Row],[PROVEEDOR]],TERCEROS_INFO[#All],2,FALSE)</f>
        <v>45</v>
      </c>
      <c r="D2309" s="25">
        <f>+SUMIFS(PROVEEDORES[Total],PROVEEDORES[PROVEEDOR],PROVEEDORES[[#This Row],[PROVEEDOR]],PROVEEDORES[FECHA DE PAGO],"")</f>
        <v>8072960</v>
      </c>
      <c r="E2309" s="25"/>
      <c r="F230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2309" s="26" t="s">
        <v>10</v>
      </c>
      <c r="I2309" s="68">
        <v>45266</v>
      </c>
      <c r="J2309" s="35" t="s">
        <v>2254</v>
      </c>
      <c r="K2309" s="21">
        <v>4200000</v>
      </c>
      <c r="L2309" s="21"/>
      <c r="M2309" s="22">
        <f>(PROVEEDORES[[#This Row],[SUBTOTAL]]-PROVEEDORES[[#This Row],[descuento sobre subtotal]])*VLOOKUP(PROVEEDORES[[#This Row],[PROVEEDOR]],TERCEROS_INFO[#All],3,FALSE)</f>
        <v>798000</v>
      </c>
      <c r="N2309" s="23"/>
      <c r="O2309" s="22">
        <f>+PROVEEDORES[[#This Row],[Descuento sobre subtotal %]]*(PROVEEDORES[[#This Row],[SUBTOTAL]]-PROVEEDORES[[#This Row],[descuento sobre subtotal]])</f>
        <v>0</v>
      </c>
      <c r="P2309" s="74">
        <f>+IF(PROVEEDORES[[#This Row],[SUBTOTAL]]&lt;PROVEEDORES[[#This Row],[base retencion]],0,PROVEEDORES[[#This Row],[retención aplicada]])</f>
        <v>0</v>
      </c>
      <c r="Q2309" s="22">
        <f>+PROVEEDORES[[#This Row],[Rete Fuente %]]*(PROVEEDORES[[#This Row],[SUBTOTAL]]-PROVEEDORES[[#This Row],[descuento sobre subtotal]])</f>
        <v>0</v>
      </c>
      <c r="R2309" s="21">
        <f>+PROVEEDORES[[#This Row],[SUBTOTAL]]+PROVEEDORES[[#This Row],[IVA 19%]]-PROVEEDORES[[#This Row],[descuento sobre subtotal]]-PROVEEDORES[[#This Row],[Descuento sobre subtotal $2]]-PROVEEDORES[[#This Row],[Rete Fuente $]]</f>
        <v>4998000</v>
      </c>
      <c r="S2309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09" s="63">
        <f ca="1">IF(PROVEEDORES[[#This Row],[FECHA DE PAGO]]=0,TODAY()-PROVEEDORES[[#This Row],[FECHA DE FACTURACIÓN]]-PROVEEDORES[[#This Row],[PLAZO Días]],0)</f>
        <v>-11</v>
      </c>
      <c r="U2309" s="104">
        <f>+VLOOKUP(PROVEEDORES[[#This Row],[PROVEEDOR]],Terceros!$A:$D,4,FALSE)</f>
        <v>0</v>
      </c>
      <c r="V2309" s="105">
        <f>+YEAR(PROVEEDORES[[#This Row],[FECHA DE FACTURACIÓN]])</f>
        <v>2023</v>
      </c>
      <c r="W2309" s="105">
        <f>+MATCH(PROVEEDORES[[#This Row],[año facturado]],Retenciones!$1:$1,0)</f>
        <v>6</v>
      </c>
      <c r="X2309" s="106">
        <f>+VLOOKUP(PROVEEDORES[[#This Row],[ID RETENCION]],Retenciones!$A$1:$O$25,PROVEEDORES[[#This Row],[indicador de columna]],FALSE)</f>
        <v>0</v>
      </c>
      <c r="Y2309" s="107">
        <f>+VLOOKUP(PROVEEDORES[[#This Row],[ID RETENCION]],Retenciones!$A$1:$O$25,2,FALSE)</f>
        <v>0</v>
      </c>
      <c r="Z2309" s="116" t="b">
        <f>OR(COUNTIF(PROVEEDORES[[#This Row],[PROVEEDOR]],"*"&amp;'Palabra no opera'!$A$2&amp;"*"))</f>
        <v>0</v>
      </c>
    </row>
    <row r="2310" spans="1:26" ht="22.35" customHeight="1" x14ac:dyDescent="0.3">
      <c r="A2310" s="67" t="str">
        <f>+IF(PROVEEDORES[[#This Row],[FECHA DE PAGO]]=PROVEEDORES[[#This Row],[FECHA DE FACTURACIÓN]],"DE CONTADO","CRÉDITO")</f>
        <v>CRÉDITO</v>
      </c>
      <c r="B2310" s="38" t="b">
        <f>+IF((PROVEEDORES[[#This Row],[FECHA DE PAGO]]-PROVEEDORES[[#This Row],[FECHA DE FACTURACIÓN]])&gt;PROVEEDORES[[#This Row],[PLAZO Días]],"PAGO VENCIDO")</f>
        <v>0</v>
      </c>
      <c r="C2310" s="20">
        <f>+VLOOKUP(PROVEEDORES[[#This Row],[PROVEEDOR]],TERCEROS_INFO[#All],2,FALSE)</f>
        <v>30</v>
      </c>
      <c r="D2310" s="25">
        <f>+SUMIFS(PROVEEDORES[Total],PROVEEDORES[PROVEEDOR],PROVEEDORES[[#This Row],[PROVEEDOR]],PROVEEDORES[FECHA DE PAGO],"")</f>
        <v>1125118.8199999998</v>
      </c>
      <c r="E2310" s="25"/>
      <c r="F2310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H2310" s="26" t="s">
        <v>279</v>
      </c>
      <c r="I2310" s="68">
        <v>45271</v>
      </c>
      <c r="J2310" s="35" t="s">
        <v>2245</v>
      </c>
      <c r="K2310" s="21">
        <v>866151</v>
      </c>
      <c r="L2310" s="21"/>
      <c r="M2310" s="22">
        <f>(PROVEEDORES[[#This Row],[SUBTOTAL]]-PROVEEDORES[[#This Row],[descuento sobre subtotal]])*VLOOKUP(PROVEEDORES[[#This Row],[PROVEEDOR]],TERCEROS_INFO[#All],3,FALSE)</f>
        <v>164568.69</v>
      </c>
      <c r="N2310" s="23"/>
      <c r="O2310" s="22">
        <f>+PROVEEDORES[[#This Row],[Descuento sobre subtotal %]]*(PROVEEDORES[[#This Row],[SUBTOTAL]]-PROVEEDORES[[#This Row],[descuento sobre subtotal]])</f>
        <v>0</v>
      </c>
      <c r="P2310" s="74">
        <f>+IF(PROVEEDORES[[#This Row],[SUBTOTAL]]&lt;PROVEEDORES[[#This Row],[base retencion]],0,PROVEEDORES[[#This Row],[retención aplicada]])</f>
        <v>0</v>
      </c>
      <c r="Q2310" s="22">
        <f>+PROVEEDORES[[#This Row],[Rete Fuente %]]*(PROVEEDORES[[#This Row],[SUBTOTAL]]-PROVEEDORES[[#This Row],[descuento sobre subtotal]])</f>
        <v>0</v>
      </c>
      <c r="R2310" s="21">
        <f>+PROVEEDORES[[#This Row],[SUBTOTAL]]+PROVEEDORES[[#This Row],[IVA 19%]]-PROVEEDORES[[#This Row],[descuento sobre subtotal]]-PROVEEDORES[[#This Row],[Descuento sobre subtotal $2]]-PROVEEDORES[[#This Row],[Rete Fuente $]]</f>
        <v>1030719.69</v>
      </c>
      <c r="S2310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10" s="63">
        <f ca="1">IF(PROVEEDORES[[#This Row],[FECHA DE PAGO]]=0,TODAY()-PROVEEDORES[[#This Row],[FECHA DE FACTURACIÓN]]-PROVEEDORES[[#This Row],[PLAZO Días]],0)</f>
        <v>-1</v>
      </c>
      <c r="U2310" s="104" t="str">
        <f>+VLOOKUP(PROVEEDORES[[#This Row],[PROVEEDOR]],Terceros!$A:$D,4,FALSE)</f>
        <v>2,5% con base</v>
      </c>
      <c r="V2310" s="105">
        <f>+YEAR(PROVEEDORES[[#This Row],[FECHA DE FACTURACIÓN]])</f>
        <v>2023</v>
      </c>
      <c r="W2310" s="105">
        <f>+MATCH(PROVEEDORES[[#This Row],[año facturado]],Retenciones!$1:$1,0)</f>
        <v>6</v>
      </c>
      <c r="X2310" s="106">
        <f>+VLOOKUP(PROVEEDORES[[#This Row],[ID RETENCION]],Retenciones!$A$1:$O$25,PROVEEDORES[[#This Row],[indicador de columna]],FALSE)</f>
        <v>1145000</v>
      </c>
      <c r="Y2310" s="107">
        <f>+VLOOKUP(PROVEEDORES[[#This Row],[ID RETENCION]],Retenciones!$A$1:$O$25,2,FALSE)</f>
        <v>2.5000000000000001E-2</v>
      </c>
      <c r="Z2310" s="116" t="b">
        <f>OR(COUNTIF(PROVEEDORES[[#This Row],[PROVEEDOR]],"*"&amp;'Palabra no opera'!$A$2&amp;"*"))</f>
        <v>0</v>
      </c>
    </row>
    <row r="2311" spans="1:26" ht="22.35" customHeight="1" x14ac:dyDescent="0.3">
      <c r="A2311" s="67" t="str">
        <f>+IF(PROVEEDORES[[#This Row],[FECHA DE PAGO]]=PROVEEDORES[[#This Row],[FECHA DE FACTURACIÓN]],"DE CONTADO","CRÉDITO")</f>
        <v>CRÉDITO</v>
      </c>
      <c r="B2311" s="38" t="b">
        <f>+IF((PROVEEDORES[[#This Row],[FECHA DE PAGO]]-PROVEEDORES[[#This Row],[FECHA DE FACTURACIÓN]])&gt;PROVEEDORES[[#This Row],[PLAZO Días]],"PAGO VENCIDO")</f>
        <v>0</v>
      </c>
      <c r="C2311" s="20">
        <f>+VLOOKUP(PROVEEDORES[[#This Row],[PROVEEDOR]],TERCEROS_INFO[#All],2,FALSE)</f>
        <v>30</v>
      </c>
      <c r="D2311" s="25">
        <f>+SUMIFS(PROVEEDORES[Total],PROVEEDORES[PROVEEDOR],PROVEEDORES[[#This Row],[PROVEEDOR]],PROVEEDORES[FECHA DE PAGO],"")</f>
        <v>429590</v>
      </c>
      <c r="E2311" s="25"/>
      <c r="F2311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H2311" s="26" t="s">
        <v>39</v>
      </c>
      <c r="I2311" s="68">
        <v>45272</v>
      </c>
      <c r="J2311" s="35" t="s">
        <v>2253</v>
      </c>
      <c r="K2311" s="21">
        <v>361000</v>
      </c>
      <c r="L2311" s="21"/>
      <c r="M2311" s="22">
        <f>(PROVEEDORES[[#This Row],[SUBTOTAL]]-PROVEEDORES[[#This Row],[descuento sobre subtotal]])*VLOOKUP(PROVEEDORES[[#This Row],[PROVEEDOR]],TERCEROS_INFO[#All],3,FALSE)</f>
        <v>68590</v>
      </c>
      <c r="N2311" s="23"/>
      <c r="O2311" s="22">
        <f>+PROVEEDORES[[#This Row],[Descuento sobre subtotal %]]*(PROVEEDORES[[#This Row],[SUBTOTAL]]-PROVEEDORES[[#This Row],[descuento sobre subtotal]])</f>
        <v>0</v>
      </c>
      <c r="P2311" s="74">
        <f>+IF(PROVEEDORES[[#This Row],[SUBTOTAL]]&lt;PROVEEDORES[[#This Row],[base retencion]],0,PROVEEDORES[[#This Row],[retención aplicada]])</f>
        <v>0</v>
      </c>
      <c r="Q2311" s="22">
        <f>+PROVEEDORES[[#This Row],[Rete Fuente %]]*(PROVEEDORES[[#This Row],[SUBTOTAL]]-PROVEEDORES[[#This Row],[descuento sobre subtotal]])</f>
        <v>0</v>
      </c>
      <c r="R2311" s="21">
        <f>+PROVEEDORES[[#This Row],[SUBTOTAL]]+PROVEEDORES[[#This Row],[IVA 19%]]-PROVEEDORES[[#This Row],[descuento sobre subtotal]]-PROVEEDORES[[#This Row],[Descuento sobre subtotal $2]]-PROVEEDORES[[#This Row],[Rete Fuente $]]</f>
        <v>429590</v>
      </c>
      <c r="S2311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11" s="63">
        <f ca="1">IF(PROVEEDORES[[#This Row],[FECHA DE PAGO]]=0,TODAY()-PROVEEDORES[[#This Row],[FECHA DE FACTURACIÓN]]-PROVEEDORES[[#This Row],[PLAZO Días]],0)</f>
        <v>-2</v>
      </c>
      <c r="U2311" s="104" t="str">
        <f>+VLOOKUP(PROVEEDORES[[#This Row],[PROVEEDOR]],Terceros!$A:$D,4,FALSE)</f>
        <v>2,5% con base</v>
      </c>
      <c r="V2311" s="105">
        <f>+YEAR(PROVEEDORES[[#This Row],[FECHA DE FACTURACIÓN]])</f>
        <v>2023</v>
      </c>
      <c r="W2311" s="105">
        <f>+MATCH(PROVEEDORES[[#This Row],[año facturado]],Retenciones!$1:$1,0)</f>
        <v>6</v>
      </c>
      <c r="X2311" s="106">
        <f>+VLOOKUP(PROVEEDORES[[#This Row],[ID RETENCION]],Retenciones!$A$1:$O$25,PROVEEDORES[[#This Row],[indicador de columna]],FALSE)</f>
        <v>1145000</v>
      </c>
      <c r="Y2311" s="107">
        <f>+VLOOKUP(PROVEEDORES[[#This Row],[ID RETENCION]],Retenciones!$A$1:$O$25,2,FALSE)</f>
        <v>2.5000000000000001E-2</v>
      </c>
      <c r="Z2311" s="116" t="b">
        <f>OR(COUNTIF(PROVEEDORES[[#This Row],[PROVEEDOR]],"*"&amp;'Palabra no opera'!$A$2&amp;"*"))</f>
        <v>0</v>
      </c>
    </row>
    <row r="2312" spans="1:26" ht="22.35" customHeight="1" x14ac:dyDescent="0.3">
      <c r="A2312" s="67" t="str">
        <f>+IF(PROVEEDORES[[#This Row],[FECHA DE PAGO]]=PROVEEDORES[[#This Row],[FECHA DE FACTURACIÓN]],"DE CONTADO","CRÉDITO")</f>
        <v>CRÉDITO</v>
      </c>
      <c r="B2312" s="38" t="b">
        <f>+IF((PROVEEDORES[[#This Row],[FECHA DE PAGO]]-PROVEEDORES[[#This Row],[FECHA DE FACTURACIÓN]])&gt;PROVEEDORES[[#This Row],[PLAZO Días]],"PAGO VENCIDO")</f>
        <v>0</v>
      </c>
      <c r="C2312" s="20">
        <f>+VLOOKUP(PROVEEDORES[[#This Row],[PROVEEDOR]],TERCEROS_INFO[#All],2,FALSE)</f>
        <v>30</v>
      </c>
      <c r="D2312" s="25">
        <f>+SUMIFS(PROVEEDORES[Total],PROVEEDORES[PROVEEDOR],PROVEEDORES[[#This Row],[PROVEEDOR]],PROVEEDORES[FECHA DE PAGO],"")</f>
        <v>2950000</v>
      </c>
      <c r="E2312" s="25"/>
      <c r="F2312" s="56">
        <f>+VLOOKUP(PROVEEDORES[[#This Row],[PROVEEDOR]],
                       Terceros!$A:$F,
                       5,
                       FALSE)</f>
        <v>0</v>
      </c>
      <c r="H2312" s="26" t="s">
        <v>1152</v>
      </c>
      <c r="I2312" s="68">
        <v>45274</v>
      </c>
      <c r="J2312" s="35" t="s">
        <v>2242</v>
      </c>
      <c r="K2312" s="21">
        <v>2700000</v>
      </c>
      <c r="L2312" s="21"/>
      <c r="M2312" s="22">
        <f>(PROVEEDORES[[#This Row],[SUBTOTAL]]-PROVEEDORES[[#This Row],[descuento sobre subtotal]])*VLOOKUP(PROVEEDORES[[#This Row],[PROVEEDOR]],TERCEROS_INFO[#All],3,FALSE)</f>
        <v>0</v>
      </c>
      <c r="N2312" s="23"/>
      <c r="O2312" s="22">
        <f>+PROVEEDORES[[#This Row],[Descuento sobre subtotal %]]*(PROVEEDORES[[#This Row],[SUBTOTAL]]-PROVEEDORES[[#This Row],[descuento sobre subtotal]])</f>
        <v>0</v>
      </c>
      <c r="P2312" s="74">
        <f>+IF(PROVEEDORES[[#This Row],[SUBTOTAL]]&lt;PROVEEDORES[[#This Row],[base retencion]],0,PROVEEDORES[[#This Row],[retención aplicada]])</f>
        <v>0</v>
      </c>
      <c r="Q2312" s="22">
        <f>+PROVEEDORES[[#This Row],[Rete Fuente %]]*(PROVEEDORES[[#This Row],[SUBTOTAL]]-PROVEEDORES[[#This Row],[descuento sobre subtotal]])</f>
        <v>0</v>
      </c>
      <c r="R2312" s="21">
        <f>+PROVEEDORES[[#This Row],[SUBTOTAL]]+PROVEEDORES[[#This Row],[IVA 19%]]-PROVEEDORES[[#This Row],[descuento sobre subtotal]]-PROVEEDORES[[#This Row],[Descuento sobre subtotal $2]]-PROVEEDORES[[#This Row],[Rete Fuente $]]</f>
        <v>2700000</v>
      </c>
      <c r="S2312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12" s="63">
        <f ca="1">IF(PROVEEDORES[[#This Row],[FECHA DE PAGO]]=0,TODAY()-PROVEEDORES[[#This Row],[FECHA DE FACTURACIÓN]]-PROVEEDORES[[#This Row],[PLAZO Días]],0)</f>
        <v>-4</v>
      </c>
      <c r="U2312" s="104">
        <f>+VLOOKUP(PROVEEDORES[[#This Row],[PROVEEDOR]],Terceros!$A:$D,4,FALSE)</f>
        <v>0</v>
      </c>
      <c r="V2312" s="105">
        <f>+YEAR(PROVEEDORES[[#This Row],[FECHA DE FACTURACIÓN]])</f>
        <v>2023</v>
      </c>
      <c r="W2312" s="105">
        <f>+MATCH(PROVEEDORES[[#This Row],[año facturado]],Retenciones!$1:$1,0)</f>
        <v>6</v>
      </c>
      <c r="X2312" s="106">
        <f>+VLOOKUP(PROVEEDORES[[#This Row],[ID RETENCION]],Retenciones!$A$1:$O$25,PROVEEDORES[[#This Row],[indicador de columna]],FALSE)</f>
        <v>0</v>
      </c>
      <c r="Y2312" s="107">
        <f>+VLOOKUP(PROVEEDORES[[#This Row],[ID RETENCION]],Retenciones!$A$1:$O$25,2,FALSE)</f>
        <v>0</v>
      </c>
      <c r="Z2312" s="116" t="b">
        <f>OR(COUNTIF(PROVEEDORES[[#This Row],[PROVEEDOR]],"*"&amp;'Palabra no opera'!$A$2&amp;"*"))</f>
        <v>0</v>
      </c>
    </row>
    <row r="2313" spans="1:26" ht="22.35" customHeight="1" x14ac:dyDescent="0.3">
      <c r="A2313" s="67" t="str">
        <f>+IF(PROVEEDORES[[#This Row],[FECHA DE PAGO]]=PROVEEDORES[[#This Row],[FECHA DE FACTURACIÓN]],"DE CONTADO","CRÉDITO")</f>
        <v>CRÉDITO</v>
      </c>
      <c r="B2313" s="38" t="b">
        <f>+IF((PROVEEDORES[[#This Row],[FECHA DE PAGO]]-PROVEEDORES[[#This Row],[FECHA DE FACTURACIÓN]])&gt;PROVEEDORES[[#This Row],[PLAZO Días]],"PAGO VENCIDO")</f>
        <v>0</v>
      </c>
      <c r="C2313" s="20">
        <f>+VLOOKUP(PROVEEDORES[[#This Row],[PROVEEDOR]],TERCEROS_INFO[#All],2,FALSE)</f>
        <v>30</v>
      </c>
      <c r="D2313" s="25">
        <f>+SUMIFS(PROVEEDORES[Total],PROVEEDORES[PROVEEDOR],PROVEEDORES[[#This Row],[PROVEEDOR]],PROVEEDORES[FECHA DE PAGO],"")</f>
        <v>1316890.8900000001</v>
      </c>
      <c r="E2313" s="25"/>
      <c r="F231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313" s="68">
        <v>45293</v>
      </c>
      <c r="H2313" s="26" t="s">
        <v>17</v>
      </c>
      <c r="I2313" s="68">
        <v>45274</v>
      </c>
      <c r="J2313" s="35" t="s">
        <v>2248</v>
      </c>
      <c r="K2313" s="21">
        <v>120904</v>
      </c>
      <c r="L2313" s="21"/>
      <c r="M2313" s="22">
        <f>(PROVEEDORES[[#This Row],[SUBTOTAL]]-PROVEEDORES[[#This Row],[descuento sobre subtotal]])*VLOOKUP(PROVEEDORES[[#This Row],[PROVEEDOR]],TERCEROS_INFO[#All],3,FALSE)</f>
        <v>22971.760000000002</v>
      </c>
      <c r="N2313" s="23"/>
      <c r="O2313" s="22">
        <f>+PROVEEDORES[[#This Row],[Descuento sobre subtotal %]]*(PROVEEDORES[[#This Row],[SUBTOTAL]]-PROVEEDORES[[#This Row],[descuento sobre subtotal]])</f>
        <v>0</v>
      </c>
      <c r="P2313" s="74">
        <f>+IF(PROVEEDORES[[#This Row],[SUBTOTAL]]&lt;PROVEEDORES[[#This Row],[base retencion]],0,PROVEEDORES[[#This Row],[retención aplicada]])</f>
        <v>0</v>
      </c>
      <c r="Q2313" s="22">
        <f>+PROVEEDORES[[#This Row],[Rete Fuente %]]*(PROVEEDORES[[#This Row],[SUBTOTAL]]-PROVEEDORES[[#This Row],[descuento sobre subtotal]])</f>
        <v>0</v>
      </c>
      <c r="R2313" s="21">
        <f>+PROVEEDORES[[#This Row],[SUBTOTAL]]+PROVEEDORES[[#This Row],[IVA 19%]]-PROVEEDORES[[#This Row],[descuento sobre subtotal]]-PROVEEDORES[[#This Row],[Descuento sobre subtotal $2]]-PROVEEDORES[[#This Row],[Rete Fuente $]]</f>
        <v>143875.76</v>
      </c>
      <c r="S231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3" s="63">
        <f ca="1">IF(PROVEEDORES[[#This Row],[FECHA DE PAGO]]=0,TODAY()-PROVEEDORES[[#This Row],[FECHA DE FACTURACIÓN]]-PROVEEDORES[[#This Row],[PLAZO Días]],0)</f>
        <v>0</v>
      </c>
      <c r="U2313" s="104">
        <f>+VLOOKUP(PROVEEDORES[[#This Row],[PROVEEDOR]],Terceros!$A:$D,4,FALSE)</f>
        <v>0</v>
      </c>
      <c r="V2313" s="105">
        <f>+YEAR(PROVEEDORES[[#This Row],[FECHA DE FACTURACIÓN]])</f>
        <v>2023</v>
      </c>
      <c r="W2313" s="105">
        <f>+MATCH(PROVEEDORES[[#This Row],[año facturado]],Retenciones!$1:$1,0)</f>
        <v>6</v>
      </c>
      <c r="X2313" s="106">
        <f>+VLOOKUP(PROVEEDORES[[#This Row],[ID RETENCION]],Retenciones!$A$1:$O$25,PROVEEDORES[[#This Row],[indicador de columna]],FALSE)</f>
        <v>0</v>
      </c>
      <c r="Y2313" s="107">
        <f>+VLOOKUP(PROVEEDORES[[#This Row],[ID RETENCION]],Retenciones!$A$1:$O$25,2,FALSE)</f>
        <v>0</v>
      </c>
      <c r="Z2313" s="116" t="b">
        <f>OR(COUNTIF(PROVEEDORES[[#This Row],[PROVEEDOR]],"*"&amp;'Palabra no opera'!$A$2&amp;"*"))</f>
        <v>0</v>
      </c>
    </row>
    <row r="2314" spans="1:26" ht="22.35" customHeight="1" x14ac:dyDescent="0.3">
      <c r="A2314" s="67" t="str">
        <f>+IF(PROVEEDORES[[#This Row],[FECHA DE PAGO]]=PROVEEDORES[[#This Row],[FECHA DE FACTURACIÓN]],"DE CONTADO","CRÉDITO")</f>
        <v>CRÉDITO</v>
      </c>
      <c r="B2314" s="38" t="b">
        <f>+IF((PROVEEDORES[[#This Row],[FECHA DE PAGO]]-PROVEEDORES[[#This Row],[FECHA DE FACTURACIÓN]])&gt;PROVEEDORES[[#This Row],[PLAZO Días]],"PAGO VENCIDO")</f>
        <v>0</v>
      </c>
      <c r="C2314" s="20">
        <f>+VLOOKUP(PROVEEDORES[[#This Row],[PROVEEDOR]],TERCEROS_INFO[#All],2,FALSE)</f>
        <v>30</v>
      </c>
      <c r="D2314" s="25">
        <f>+SUMIFS(PROVEEDORES[Total],PROVEEDORES[PROVEEDOR],PROVEEDORES[[#This Row],[PROVEEDOR]],PROVEEDORES[FECHA DE PAGO],"")</f>
        <v>0</v>
      </c>
      <c r="E2314" s="25"/>
      <c r="F2314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2314" s="68">
        <v>45281</v>
      </c>
      <c r="H2314" s="26" t="s">
        <v>2038</v>
      </c>
      <c r="I2314" s="68">
        <v>45274</v>
      </c>
      <c r="J2314" s="35" t="s">
        <v>2257</v>
      </c>
      <c r="K2314" s="21">
        <v>649719</v>
      </c>
      <c r="L2314" s="21"/>
      <c r="M2314" s="22">
        <f>(PROVEEDORES[[#This Row],[SUBTOTAL]]-PROVEEDORES[[#This Row],[descuento sobre subtotal]])*VLOOKUP(PROVEEDORES[[#This Row],[PROVEEDOR]],TERCEROS_INFO[#All],3,FALSE)</f>
        <v>123446.61</v>
      </c>
      <c r="N2314" s="23">
        <v>0.1</v>
      </c>
      <c r="O2314" s="22">
        <f>+PROVEEDORES[[#This Row],[Descuento sobre subtotal %]]*(PROVEEDORES[[#This Row],[SUBTOTAL]]-PROVEEDORES[[#This Row],[descuento sobre subtotal]])</f>
        <v>64971.9</v>
      </c>
      <c r="P2314" s="74">
        <f>+IF(PROVEEDORES[[#This Row],[SUBTOTAL]]&lt;PROVEEDORES[[#This Row],[base retencion]],0,PROVEEDORES[[#This Row],[retención aplicada]])</f>
        <v>0</v>
      </c>
      <c r="Q2314" s="22">
        <f>+PROVEEDORES[[#This Row],[Rete Fuente %]]*(PROVEEDORES[[#This Row],[SUBTOTAL]]-PROVEEDORES[[#This Row],[descuento sobre subtotal]])</f>
        <v>0</v>
      </c>
      <c r="R2314" s="21">
        <f>+PROVEEDORES[[#This Row],[SUBTOTAL]]+PROVEEDORES[[#This Row],[IVA 19%]]-PROVEEDORES[[#This Row],[descuento sobre subtotal]]-PROVEEDORES[[#This Row],[Descuento sobre subtotal $2]]-PROVEEDORES[[#This Row],[Rete Fuente $]]</f>
        <v>708193.71</v>
      </c>
      <c r="S231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4" s="63">
        <f ca="1">IF(PROVEEDORES[[#This Row],[FECHA DE PAGO]]=0,TODAY()-PROVEEDORES[[#This Row],[FECHA DE FACTURACIÓN]]-PROVEEDORES[[#This Row],[PLAZO Días]],0)</f>
        <v>0</v>
      </c>
      <c r="U2314" s="104" t="str">
        <f>+VLOOKUP(PROVEEDORES[[#This Row],[PROVEEDOR]],Terceros!$A:$D,4,FALSE)</f>
        <v>2,5% con base</v>
      </c>
      <c r="V2314" s="105">
        <f>+YEAR(PROVEEDORES[[#This Row],[FECHA DE FACTURACIÓN]])</f>
        <v>2023</v>
      </c>
      <c r="W2314" s="105">
        <f>+MATCH(PROVEEDORES[[#This Row],[año facturado]],Retenciones!$1:$1,0)</f>
        <v>6</v>
      </c>
      <c r="X2314" s="106">
        <f>+VLOOKUP(PROVEEDORES[[#This Row],[ID RETENCION]],Retenciones!$A$1:$O$25,PROVEEDORES[[#This Row],[indicador de columna]],FALSE)</f>
        <v>1145000</v>
      </c>
      <c r="Y2314" s="107">
        <f>+VLOOKUP(PROVEEDORES[[#This Row],[ID RETENCION]],Retenciones!$A$1:$O$25,2,FALSE)</f>
        <v>2.5000000000000001E-2</v>
      </c>
      <c r="Z2314" s="116" t="b">
        <f>OR(COUNTIF(PROVEEDORES[[#This Row],[PROVEEDOR]],"*"&amp;'Palabra no opera'!$A$2&amp;"*"))</f>
        <v>0</v>
      </c>
    </row>
    <row r="2315" spans="1:26" ht="22.35" customHeight="1" x14ac:dyDescent="0.3">
      <c r="A2315" s="67" t="str">
        <f>+IF(PROVEEDORES[[#This Row],[FECHA DE PAGO]]=PROVEEDORES[[#This Row],[FECHA DE FACTURACIÓN]],"DE CONTADO","CRÉDITO")</f>
        <v>CRÉDITO</v>
      </c>
      <c r="B2315" s="38" t="b">
        <f>+IF((PROVEEDORES[[#This Row],[FECHA DE PAGO]]-PROVEEDORES[[#This Row],[FECHA DE FACTURACIÓN]])&gt;PROVEEDORES[[#This Row],[PLAZO Días]],"PAGO VENCIDO")</f>
        <v>0</v>
      </c>
      <c r="C2315" s="20">
        <f>+VLOOKUP(PROVEEDORES[[#This Row],[PROVEEDOR]],TERCEROS_INFO[#All],2,FALSE)</f>
        <v>30</v>
      </c>
      <c r="D2315" s="25">
        <f>+SUMIFS(PROVEEDORES[Total],PROVEEDORES[PROVEEDOR],PROVEEDORES[[#This Row],[PROVEEDOR]],PROVEEDORES[FECHA DE PAGO],"")</f>
        <v>0</v>
      </c>
      <c r="E2315" s="25"/>
      <c r="F2315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2315" s="68">
        <v>45281</v>
      </c>
      <c r="H2315" s="26" t="s">
        <v>2038</v>
      </c>
      <c r="I2315" s="68">
        <v>45274</v>
      </c>
      <c r="J2315" s="35" t="s">
        <v>2258</v>
      </c>
      <c r="K2315" s="21">
        <v>-26639</v>
      </c>
      <c r="L2315" s="21"/>
      <c r="M2315" s="22">
        <f>(PROVEEDORES[[#This Row],[SUBTOTAL]]-PROVEEDORES[[#This Row],[descuento sobre subtotal]])*VLOOKUP(PROVEEDORES[[#This Row],[PROVEEDOR]],TERCEROS_INFO[#All],3,FALSE)</f>
        <v>-5061.41</v>
      </c>
      <c r="N2315" s="23"/>
      <c r="O2315" s="22">
        <f>+PROVEEDORES[[#This Row],[Descuento sobre subtotal %]]*(PROVEEDORES[[#This Row],[SUBTOTAL]]-PROVEEDORES[[#This Row],[descuento sobre subtotal]])</f>
        <v>0</v>
      </c>
      <c r="P2315" s="74">
        <f>+IF(PROVEEDORES[[#This Row],[SUBTOTAL]]&lt;PROVEEDORES[[#This Row],[base retencion]],0,PROVEEDORES[[#This Row],[retención aplicada]])</f>
        <v>0</v>
      </c>
      <c r="Q2315" s="22">
        <f>+PROVEEDORES[[#This Row],[Rete Fuente %]]*(PROVEEDORES[[#This Row],[SUBTOTAL]]-PROVEEDORES[[#This Row],[descuento sobre subtotal]])</f>
        <v>0</v>
      </c>
      <c r="R2315" s="21">
        <f>+PROVEEDORES[[#This Row],[SUBTOTAL]]+PROVEEDORES[[#This Row],[IVA 19%]]-PROVEEDORES[[#This Row],[descuento sobre subtotal]]-PROVEEDORES[[#This Row],[Descuento sobre subtotal $2]]-PROVEEDORES[[#This Row],[Rete Fuente $]]</f>
        <v>-31700.41</v>
      </c>
      <c r="S231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5" s="63">
        <f ca="1">IF(PROVEEDORES[[#This Row],[FECHA DE PAGO]]=0,TODAY()-PROVEEDORES[[#This Row],[FECHA DE FACTURACIÓN]]-PROVEEDORES[[#This Row],[PLAZO Días]],0)</f>
        <v>0</v>
      </c>
      <c r="U2315" s="104" t="str">
        <f>+VLOOKUP(PROVEEDORES[[#This Row],[PROVEEDOR]],Terceros!$A:$D,4,FALSE)</f>
        <v>2,5% con base</v>
      </c>
      <c r="V2315" s="105">
        <f>+YEAR(PROVEEDORES[[#This Row],[FECHA DE FACTURACIÓN]])</f>
        <v>2023</v>
      </c>
      <c r="W2315" s="105">
        <f>+MATCH(PROVEEDORES[[#This Row],[año facturado]],Retenciones!$1:$1,0)</f>
        <v>6</v>
      </c>
      <c r="X2315" s="106">
        <f>+VLOOKUP(PROVEEDORES[[#This Row],[ID RETENCION]],Retenciones!$A$1:$O$25,PROVEEDORES[[#This Row],[indicador de columna]],FALSE)</f>
        <v>1145000</v>
      </c>
      <c r="Y2315" s="107">
        <f>+VLOOKUP(PROVEEDORES[[#This Row],[ID RETENCION]],Retenciones!$A$1:$O$25,2,FALSE)</f>
        <v>2.5000000000000001E-2</v>
      </c>
      <c r="Z2315" s="116" t="b">
        <f>OR(COUNTIF(PROVEEDORES[[#This Row],[PROVEEDOR]],"*"&amp;'Palabra no opera'!$A$2&amp;"*"))</f>
        <v>0</v>
      </c>
    </row>
    <row r="2316" spans="1:26" ht="22.35" customHeight="1" x14ac:dyDescent="0.3">
      <c r="A2316" s="67" t="str">
        <f>+IF(PROVEEDORES[[#This Row],[FECHA DE PAGO]]=PROVEEDORES[[#This Row],[FECHA DE FACTURACIÓN]],"DE CONTADO","CRÉDITO")</f>
        <v>DE CONTADO</v>
      </c>
      <c r="B2316" s="38" t="b">
        <f>+IF((PROVEEDORES[[#This Row],[FECHA DE PAGO]]-PROVEEDORES[[#This Row],[FECHA DE FACTURACIÓN]])&gt;PROVEEDORES[[#This Row],[PLAZO Días]],"PAGO VENCIDO")</f>
        <v>0</v>
      </c>
      <c r="C2316" s="20">
        <f>+VLOOKUP(PROVEEDORES[[#This Row],[PROVEEDOR]],TERCEROS_INFO[#All],2,FALSE)</f>
        <v>30</v>
      </c>
      <c r="D2316" s="25">
        <f>+SUMIFS(PROVEEDORES[Total],PROVEEDORES[PROVEEDOR],PROVEEDORES[[#This Row],[PROVEEDOR]],PROVEEDORES[FECHA DE PAGO],"")</f>
        <v>0</v>
      </c>
      <c r="E2316" s="25"/>
      <c r="F2316" s="56" t="str">
        <f>+VLOOKUP(PROVEEDORES[[#This Row],[PROVEEDOR]],
                       Terceros!$A:$F,
                       5,
                       FALSE)</f>
        <v/>
      </c>
      <c r="G2316" s="68">
        <v>45280</v>
      </c>
      <c r="H2316" s="26" t="s">
        <v>362</v>
      </c>
      <c r="I2316" s="68">
        <v>45280</v>
      </c>
      <c r="J2316" s="35" t="s">
        <v>2259</v>
      </c>
      <c r="K2316" s="21">
        <v>665000</v>
      </c>
      <c r="L2316" s="21"/>
      <c r="M2316" s="22">
        <f>(PROVEEDORES[[#This Row],[SUBTOTAL]]-PROVEEDORES[[#This Row],[descuento sobre subtotal]])*VLOOKUP(PROVEEDORES[[#This Row],[PROVEEDOR]],TERCEROS_INFO[#All],3,FALSE)</f>
        <v>0</v>
      </c>
      <c r="N2316" s="23"/>
      <c r="O2316" s="22">
        <f>+PROVEEDORES[[#This Row],[Descuento sobre subtotal %]]*(PROVEEDORES[[#This Row],[SUBTOTAL]]-PROVEEDORES[[#This Row],[descuento sobre subtotal]])</f>
        <v>0</v>
      </c>
      <c r="P2316" s="74">
        <f>+IF(PROVEEDORES[[#This Row],[SUBTOTAL]]&lt;PROVEEDORES[[#This Row],[base retencion]],0,PROVEEDORES[[#This Row],[retención aplicada]])</f>
        <v>0</v>
      </c>
      <c r="Q2316" s="22">
        <f>+PROVEEDORES[[#This Row],[Rete Fuente %]]*(PROVEEDORES[[#This Row],[SUBTOTAL]]-PROVEEDORES[[#This Row],[descuento sobre subtotal]])</f>
        <v>0</v>
      </c>
      <c r="R2316" s="21">
        <f>+PROVEEDORES[[#This Row],[SUBTOTAL]]+PROVEEDORES[[#This Row],[IVA 19%]]-PROVEEDORES[[#This Row],[descuento sobre subtotal]]-PROVEEDORES[[#This Row],[Descuento sobre subtotal $2]]-PROVEEDORES[[#This Row],[Rete Fuente $]]</f>
        <v>665000</v>
      </c>
      <c r="S231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6" s="63">
        <f ca="1">IF(PROVEEDORES[[#This Row],[FECHA DE PAGO]]=0,TODAY()-PROVEEDORES[[#This Row],[FECHA DE FACTURACIÓN]]-PROVEEDORES[[#This Row],[PLAZO Días]],0)</f>
        <v>0</v>
      </c>
      <c r="U2316" s="104">
        <f>+VLOOKUP(PROVEEDORES[[#This Row],[PROVEEDOR]],Terceros!$A:$D,4,FALSE)</f>
        <v>0</v>
      </c>
      <c r="V2316" s="105">
        <f>+YEAR(PROVEEDORES[[#This Row],[FECHA DE FACTURACIÓN]])</f>
        <v>2023</v>
      </c>
      <c r="W2316" s="105">
        <f>+MATCH(PROVEEDORES[[#This Row],[año facturado]],Retenciones!$1:$1,0)</f>
        <v>6</v>
      </c>
      <c r="X2316" s="106">
        <f>+VLOOKUP(PROVEEDORES[[#This Row],[ID RETENCION]],Retenciones!$A$1:$O$25,PROVEEDORES[[#This Row],[indicador de columna]],FALSE)</f>
        <v>0</v>
      </c>
      <c r="Y2316" s="107">
        <f>+VLOOKUP(PROVEEDORES[[#This Row],[ID RETENCION]],Retenciones!$A$1:$O$25,2,FALSE)</f>
        <v>0</v>
      </c>
      <c r="Z2316" s="116" t="b">
        <f>OR(COUNTIF(PROVEEDORES[[#This Row],[PROVEEDOR]],"*"&amp;'Palabra no opera'!$A$2&amp;"*"))</f>
        <v>0</v>
      </c>
    </row>
    <row r="2317" spans="1:26" ht="22.35" customHeight="1" x14ac:dyDescent="0.3">
      <c r="A2317" s="67" t="str">
        <f>+IF(PROVEEDORES[[#This Row],[FECHA DE PAGO]]=PROVEEDORES[[#This Row],[FECHA DE FACTURACIÓN]],"DE CONTADO","CRÉDITO")</f>
        <v>CRÉDITO</v>
      </c>
      <c r="B2317" s="38" t="b">
        <f>+IF((PROVEEDORES[[#This Row],[FECHA DE PAGO]]-PROVEEDORES[[#This Row],[FECHA DE FACTURACIÓN]])&gt;PROVEEDORES[[#This Row],[PLAZO Días]],"PAGO VENCIDO")</f>
        <v>0</v>
      </c>
      <c r="C2317" s="20">
        <f>+VLOOKUP(PROVEEDORES[[#This Row],[PROVEEDOR]],TERCEROS_INFO[#All],2,FALSE)</f>
        <v>30</v>
      </c>
      <c r="D2317" s="25">
        <f>+SUMIFS(PROVEEDORES[Total],PROVEEDORES[PROVEEDOR],PROVEEDORES[[#This Row],[PROVEEDOR]],PROVEEDORES[FECHA DE PAGO],"")</f>
        <v>0</v>
      </c>
      <c r="E2317" s="25"/>
      <c r="F2317" s="56">
        <f>+VLOOKUP(PROVEEDORES[[#This Row],[PROVEEDOR]],
                       Terceros!$A:$F,
                       5,
                       FALSE)</f>
        <v>0</v>
      </c>
      <c r="G2317" s="68">
        <v>45280</v>
      </c>
      <c r="H2317" s="26" t="s">
        <v>1736</v>
      </c>
      <c r="I2317" s="68">
        <v>45278</v>
      </c>
      <c r="J2317" s="35" t="s">
        <v>2260</v>
      </c>
      <c r="K2317" s="21">
        <v>500000</v>
      </c>
      <c r="L2317" s="21"/>
      <c r="M2317" s="22">
        <f>(PROVEEDORES[[#This Row],[SUBTOTAL]]-PROVEEDORES[[#This Row],[descuento sobre subtotal]])*VLOOKUP(PROVEEDORES[[#This Row],[PROVEEDOR]],TERCEROS_INFO[#All],3,FALSE)</f>
        <v>0</v>
      </c>
      <c r="N2317" s="23"/>
      <c r="O2317" s="22">
        <f>+PROVEEDORES[[#This Row],[Descuento sobre subtotal %]]*(PROVEEDORES[[#This Row],[SUBTOTAL]]-PROVEEDORES[[#This Row],[descuento sobre subtotal]])</f>
        <v>0</v>
      </c>
      <c r="P2317" s="74">
        <f>+IF(PROVEEDORES[[#This Row],[SUBTOTAL]]&lt;PROVEEDORES[[#This Row],[base retencion]],0,PROVEEDORES[[#This Row],[retención aplicada]])</f>
        <v>0</v>
      </c>
      <c r="Q2317" s="22">
        <f>+PROVEEDORES[[#This Row],[Rete Fuente %]]*(PROVEEDORES[[#This Row],[SUBTOTAL]]-PROVEEDORES[[#This Row],[descuento sobre subtotal]])</f>
        <v>0</v>
      </c>
      <c r="R2317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31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7" s="63">
        <f ca="1">IF(PROVEEDORES[[#This Row],[FECHA DE PAGO]]=0,TODAY()-PROVEEDORES[[#This Row],[FECHA DE FACTURACIÓN]]-PROVEEDORES[[#This Row],[PLAZO Días]],0)</f>
        <v>0</v>
      </c>
      <c r="U2317" s="104">
        <f>+VLOOKUP(PROVEEDORES[[#This Row],[PROVEEDOR]],Terceros!$A:$D,4,FALSE)</f>
        <v>0</v>
      </c>
      <c r="V2317" s="105">
        <f>+YEAR(PROVEEDORES[[#This Row],[FECHA DE FACTURACIÓN]])</f>
        <v>2023</v>
      </c>
      <c r="W2317" s="105">
        <f>+MATCH(PROVEEDORES[[#This Row],[año facturado]],Retenciones!$1:$1,0)</f>
        <v>6</v>
      </c>
      <c r="X2317" s="106">
        <f>+VLOOKUP(PROVEEDORES[[#This Row],[ID RETENCION]],Retenciones!$A$1:$O$25,PROVEEDORES[[#This Row],[indicador de columna]],FALSE)</f>
        <v>0</v>
      </c>
      <c r="Y2317" s="107">
        <f>+VLOOKUP(PROVEEDORES[[#This Row],[ID RETENCION]],Retenciones!$A$1:$O$25,2,FALSE)</f>
        <v>0</v>
      </c>
      <c r="Z2317" s="116" t="b">
        <f>OR(COUNTIF(PROVEEDORES[[#This Row],[PROVEEDOR]],"*"&amp;'Palabra no opera'!$A$2&amp;"*"))</f>
        <v>0</v>
      </c>
    </row>
    <row r="2318" spans="1:26" ht="22.35" customHeight="1" x14ac:dyDescent="0.3">
      <c r="A2318" s="67" t="str">
        <f>+IF(PROVEEDORES[[#This Row],[FECHA DE PAGO]]=PROVEEDORES[[#This Row],[FECHA DE FACTURACIÓN]],"DE CONTADO","CRÉDITO")</f>
        <v>DE CONTADO</v>
      </c>
      <c r="B2318" s="38" t="b">
        <f>+IF((PROVEEDORES[[#This Row],[FECHA DE PAGO]]-PROVEEDORES[[#This Row],[FECHA DE FACTURACIÓN]])&gt;PROVEEDORES[[#This Row],[PLAZO Días]],"PAGO VENCIDO")</f>
        <v>0</v>
      </c>
      <c r="C2318" s="20">
        <f>+VLOOKUP(PROVEEDORES[[#This Row],[PROVEEDOR]],TERCEROS_INFO[#All],2,FALSE)</f>
        <v>30</v>
      </c>
      <c r="D2318" s="25">
        <f>+SUMIFS(PROVEEDORES[Total],PROVEEDORES[PROVEEDOR],PROVEEDORES[[#This Row],[PROVEEDOR]],PROVEEDORES[FECHA DE PAGO],"")</f>
        <v>0</v>
      </c>
      <c r="E2318" s="25"/>
      <c r="F2318" s="56" t="str">
        <f>+VLOOKUP(PROVEEDORES[[#This Row],[PROVEEDOR]],
                       Terceros!$A:$F,
                       5,
                       FALSE)</f>
        <v/>
      </c>
      <c r="G2318" s="68">
        <v>45280</v>
      </c>
      <c r="H2318" s="26" t="s">
        <v>390</v>
      </c>
      <c r="I2318" s="68">
        <v>45280</v>
      </c>
      <c r="J2318" s="35"/>
      <c r="K2318" s="21">
        <v>1048450</v>
      </c>
      <c r="L2318" s="21"/>
      <c r="M2318" s="22">
        <f>(PROVEEDORES[[#This Row],[SUBTOTAL]]-PROVEEDORES[[#This Row],[descuento sobre subtotal]])*VLOOKUP(PROVEEDORES[[#This Row],[PROVEEDOR]],TERCEROS_INFO[#All],3,FALSE)</f>
        <v>0</v>
      </c>
      <c r="N2318" s="23"/>
      <c r="O2318" s="22">
        <f>+PROVEEDORES[[#This Row],[Descuento sobre subtotal %]]*(PROVEEDORES[[#This Row],[SUBTOTAL]]-PROVEEDORES[[#This Row],[descuento sobre subtotal]])</f>
        <v>0</v>
      </c>
      <c r="P2318" s="74">
        <f>+IF(PROVEEDORES[[#This Row],[SUBTOTAL]]&lt;PROVEEDORES[[#This Row],[base retencion]],0,PROVEEDORES[[#This Row],[retención aplicada]])</f>
        <v>0</v>
      </c>
      <c r="Q2318" s="22">
        <f>+PROVEEDORES[[#This Row],[Rete Fuente %]]*(PROVEEDORES[[#This Row],[SUBTOTAL]]-PROVEEDORES[[#This Row],[descuento sobre subtotal]])</f>
        <v>0</v>
      </c>
      <c r="R2318" s="21">
        <f>+PROVEEDORES[[#This Row],[SUBTOTAL]]+PROVEEDORES[[#This Row],[IVA 19%]]-PROVEEDORES[[#This Row],[descuento sobre subtotal]]-PROVEEDORES[[#This Row],[Descuento sobre subtotal $2]]-PROVEEDORES[[#This Row],[Rete Fuente $]]</f>
        <v>1048450</v>
      </c>
      <c r="S231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8" s="63">
        <f ca="1">IF(PROVEEDORES[[#This Row],[FECHA DE PAGO]]=0,TODAY()-PROVEEDORES[[#This Row],[FECHA DE FACTURACIÓN]]-PROVEEDORES[[#This Row],[PLAZO Días]],0)</f>
        <v>0</v>
      </c>
      <c r="U2318" s="104">
        <f>+VLOOKUP(PROVEEDORES[[#This Row],[PROVEEDOR]],Terceros!$A:$D,4,FALSE)</f>
        <v>0</v>
      </c>
      <c r="V2318" s="105">
        <f>+YEAR(PROVEEDORES[[#This Row],[FECHA DE FACTURACIÓN]])</f>
        <v>2023</v>
      </c>
      <c r="W2318" s="105">
        <f>+MATCH(PROVEEDORES[[#This Row],[año facturado]],Retenciones!$1:$1,0)</f>
        <v>6</v>
      </c>
      <c r="X2318" s="106">
        <f>+VLOOKUP(PROVEEDORES[[#This Row],[ID RETENCION]],Retenciones!$A$1:$O$25,PROVEEDORES[[#This Row],[indicador de columna]],FALSE)</f>
        <v>0</v>
      </c>
      <c r="Y2318" s="107">
        <f>+VLOOKUP(PROVEEDORES[[#This Row],[ID RETENCION]],Retenciones!$A$1:$O$25,2,FALSE)</f>
        <v>0</v>
      </c>
      <c r="Z2318" s="116" t="b">
        <f>OR(COUNTIF(PROVEEDORES[[#This Row],[PROVEEDOR]],"*"&amp;'Palabra no opera'!$A$2&amp;"*"))</f>
        <v>0</v>
      </c>
    </row>
    <row r="2319" spans="1:26" ht="22.35" customHeight="1" x14ac:dyDescent="0.3">
      <c r="A2319" s="67" t="str">
        <f>+IF(PROVEEDORES[[#This Row],[FECHA DE PAGO]]=PROVEEDORES[[#This Row],[FECHA DE FACTURACIÓN]],"DE CONTADO","CRÉDITO")</f>
        <v>CRÉDITO</v>
      </c>
      <c r="B2319" s="38" t="b">
        <f>+IF((PROVEEDORES[[#This Row],[FECHA DE PAGO]]-PROVEEDORES[[#This Row],[FECHA DE FACTURACIÓN]])&gt;PROVEEDORES[[#This Row],[PLAZO Días]],"PAGO VENCIDO")</f>
        <v>0</v>
      </c>
      <c r="C2319" s="20">
        <f>+VLOOKUP(PROVEEDORES[[#This Row],[PROVEEDOR]],TERCEROS_INFO[#All],2,FALSE)</f>
        <v>30</v>
      </c>
      <c r="D2319" s="25">
        <f>+SUMIFS(PROVEEDORES[Total],PROVEEDORES[PROVEEDOR],PROVEEDORES[[#This Row],[PROVEEDOR]],PROVEEDORES[FECHA DE PAGO],"")</f>
        <v>22881826.27</v>
      </c>
      <c r="E2319" s="25"/>
      <c r="F2319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319" s="68">
        <v>45286</v>
      </c>
      <c r="H2319" s="26" t="s">
        <v>9</v>
      </c>
      <c r="I2319" s="68">
        <v>45281</v>
      </c>
      <c r="J2319" s="35" t="s">
        <v>2261</v>
      </c>
      <c r="K2319" s="21">
        <v>22815172</v>
      </c>
      <c r="L2319" s="21"/>
      <c r="M2319" s="22">
        <f>(PROVEEDORES[[#This Row],[SUBTOTAL]]-PROVEEDORES[[#This Row],[descuento sobre subtotal]])*VLOOKUP(PROVEEDORES[[#This Row],[PROVEEDOR]],TERCEROS_INFO[#All],3,FALSE)</f>
        <v>4334882.68</v>
      </c>
      <c r="N2319" s="23">
        <v>0.08</v>
      </c>
      <c r="O2319" s="22">
        <f>+PROVEEDORES[[#This Row],[Descuento sobre subtotal %]]*(PROVEEDORES[[#This Row],[SUBTOTAL]]-PROVEEDORES[[#This Row],[descuento sobre subtotal]])</f>
        <v>1825213.76</v>
      </c>
      <c r="P2319" s="74">
        <f>+IF(PROVEEDORES[[#This Row],[SUBTOTAL]]&lt;PROVEEDORES[[#This Row],[base retencion]],0,PROVEEDORES[[#This Row],[retención aplicada]])</f>
        <v>2.5000000000000001E-2</v>
      </c>
      <c r="Q2319" s="22">
        <f>+PROVEEDORES[[#This Row],[Rete Fuente %]]*(PROVEEDORES[[#This Row],[SUBTOTAL]]-PROVEEDORES[[#This Row],[descuento sobre subtotal]])</f>
        <v>570379.30000000005</v>
      </c>
      <c r="R2319" s="21">
        <f>+PROVEEDORES[[#This Row],[SUBTOTAL]]+PROVEEDORES[[#This Row],[IVA 19%]]-PROVEEDORES[[#This Row],[descuento sobre subtotal]]-PROVEEDORES[[#This Row],[Descuento sobre subtotal $2]]-PROVEEDORES[[#This Row],[Rete Fuente $]]</f>
        <v>24754461.619999997</v>
      </c>
      <c r="S231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9" s="63">
        <f ca="1">IF(PROVEEDORES[[#This Row],[FECHA DE PAGO]]=0,TODAY()-PROVEEDORES[[#This Row],[FECHA DE FACTURACIÓN]]-PROVEEDORES[[#This Row],[PLAZO Días]],0)</f>
        <v>0</v>
      </c>
      <c r="U2319" s="104" t="str">
        <f>+VLOOKUP(PROVEEDORES[[#This Row],[PROVEEDOR]],Terceros!$A:$D,4,FALSE)</f>
        <v>2,5% con base</v>
      </c>
      <c r="V2319" s="105">
        <f>+YEAR(PROVEEDORES[[#This Row],[FECHA DE FACTURACIÓN]])</f>
        <v>2023</v>
      </c>
      <c r="W2319" s="105">
        <f>+MATCH(PROVEEDORES[[#This Row],[año facturado]],Retenciones!$1:$1,0)</f>
        <v>6</v>
      </c>
      <c r="X2319" s="106">
        <f>+VLOOKUP(PROVEEDORES[[#This Row],[ID RETENCION]],Retenciones!$A$1:$O$25,PROVEEDORES[[#This Row],[indicador de columna]],FALSE)</f>
        <v>1145000</v>
      </c>
      <c r="Y2319" s="107">
        <f>+VLOOKUP(PROVEEDORES[[#This Row],[ID RETENCION]],Retenciones!$A$1:$O$25,2,FALSE)</f>
        <v>2.5000000000000001E-2</v>
      </c>
      <c r="Z2319" s="116" t="b">
        <f>OR(COUNTIF(PROVEEDORES[[#This Row],[PROVEEDOR]],"*"&amp;'Palabra no opera'!$A$2&amp;"*"))</f>
        <v>0</v>
      </c>
    </row>
    <row r="2320" spans="1:26" ht="22.35" customHeight="1" x14ac:dyDescent="0.3">
      <c r="A2320" s="67" t="str">
        <f>+IF(PROVEEDORES[[#This Row],[FECHA DE PAGO]]=PROVEEDORES[[#This Row],[FECHA DE FACTURACIÓN]],"DE CONTADO","CRÉDITO")</f>
        <v>CRÉDITO</v>
      </c>
      <c r="B2320" s="38" t="str">
        <f>+IF((PROVEEDORES[[#This Row],[FECHA DE PAGO]]-PROVEEDORES[[#This Row],[FECHA DE FACTURACIÓN]])&gt;PROVEEDORES[[#This Row],[PLAZO Días]],"PAGO VENCIDO")</f>
        <v>PAGO VENCIDO</v>
      </c>
      <c r="C2320" s="20">
        <f>+VLOOKUP(PROVEEDORES[[#This Row],[PROVEEDOR]],TERCEROS_INFO[#All],2,FALSE)</f>
        <v>30</v>
      </c>
      <c r="D2320" s="25">
        <f>+SUMIFS(PROVEEDORES[Total],PROVEEDORES[PROVEEDOR],PROVEEDORES[[#This Row],[PROVEEDOR]],PROVEEDORES[FECHA DE PAGO],"")</f>
        <v>22881826.27</v>
      </c>
      <c r="E2320" s="25"/>
      <c r="F232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320" s="68">
        <v>45286</v>
      </c>
      <c r="H2320" s="26" t="s">
        <v>9</v>
      </c>
      <c r="I2320" s="68">
        <v>45203</v>
      </c>
      <c r="J2320" s="35" t="s">
        <v>2262</v>
      </c>
      <c r="K2320" s="21">
        <v>67227</v>
      </c>
      <c r="L2320" s="21"/>
      <c r="M2320" s="22">
        <f>(PROVEEDORES[[#This Row],[SUBTOTAL]]-PROVEEDORES[[#This Row],[descuento sobre subtotal]])*VLOOKUP(PROVEEDORES[[#This Row],[PROVEEDOR]],TERCEROS_INFO[#All],3,FALSE)</f>
        <v>12773.130000000001</v>
      </c>
      <c r="N2320" s="23"/>
      <c r="O2320" s="22">
        <f>+PROVEEDORES[[#This Row],[Descuento sobre subtotal %]]*(PROVEEDORES[[#This Row],[SUBTOTAL]]-PROVEEDORES[[#This Row],[descuento sobre subtotal]])</f>
        <v>0</v>
      </c>
      <c r="P2320" s="74">
        <f>+IF(PROVEEDORES[[#This Row],[SUBTOTAL]]&lt;PROVEEDORES[[#This Row],[base retencion]],0,PROVEEDORES[[#This Row],[retención aplicada]])</f>
        <v>0</v>
      </c>
      <c r="Q2320" s="22">
        <f>+PROVEEDORES[[#This Row],[Rete Fuente %]]*(PROVEEDORES[[#This Row],[SUBTOTAL]]-PROVEEDORES[[#This Row],[descuento sobre subtotal]])</f>
        <v>0</v>
      </c>
      <c r="R2320" s="21">
        <f>+PROVEEDORES[[#This Row],[SUBTOTAL]]+PROVEEDORES[[#This Row],[IVA 19%]]-PROVEEDORES[[#This Row],[descuento sobre subtotal]]-PROVEEDORES[[#This Row],[Descuento sobre subtotal $2]]-PROVEEDORES[[#This Row],[Rete Fuente $]]</f>
        <v>80000.13</v>
      </c>
      <c r="S232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0" s="63">
        <f ca="1">IF(PROVEEDORES[[#This Row],[FECHA DE PAGO]]=0,TODAY()-PROVEEDORES[[#This Row],[FECHA DE FACTURACIÓN]]-PROVEEDORES[[#This Row],[PLAZO Días]],0)</f>
        <v>0</v>
      </c>
      <c r="U2320" s="104" t="str">
        <f>+VLOOKUP(PROVEEDORES[[#This Row],[PROVEEDOR]],Terceros!$A:$D,4,FALSE)</f>
        <v>2,5% con base</v>
      </c>
      <c r="V2320" s="105">
        <f>+YEAR(PROVEEDORES[[#This Row],[FECHA DE FACTURACIÓN]])</f>
        <v>2023</v>
      </c>
      <c r="W2320" s="105">
        <f>+MATCH(PROVEEDORES[[#This Row],[año facturado]],Retenciones!$1:$1,0)</f>
        <v>6</v>
      </c>
      <c r="X2320" s="106">
        <f>+VLOOKUP(PROVEEDORES[[#This Row],[ID RETENCION]],Retenciones!$A$1:$O$25,PROVEEDORES[[#This Row],[indicador de columna]],FALSE)</f>
        <v>1145000</v>
      </c>
      <c r="Y2320" s="107">
        <f>+VLOOKUP(PROVEEDORES[[#This Row],[ID RETENCION]],Retenciones!$A$1:$O$25,2,FALSE)</f>
        <v>2.5000000000000001E-2</v>
      </c>
      <c r="Z2320" s="116" t="b">
        <f>OR(COUNTIF(PROVEEDORES[[#This Row],[PROVEEDOR]],"*"&amp;'Palabra no opera'!$A$2&amp;"*"))</f>
        <v>0</v>
      </c>
    </row>
    <row r="2321" spans="1:26" ht="22.35" customHeight="1" x14ac:dyDescent="0.3">
      <c r="A2321" s="67" t="str">
        <f>+IF(PROVEEDORES[[#This Row],[FECHA DE PAGO]]=PROVEEDORES[[#This Row],[FECHA DE FACTURACIÓN]],"DE CONTADO","CRÉDITO")</f>
        <v>DE CONTADO</v>
      </c>
      <c r="B2321" s="38" t="b">
        <f>+IF((PROVEEDORES[[#This Row],[FECHA DE PAGO]]-PROVEEDORES[[#This Row],[FECHA DE FACTURACIÓN]])&gt;PROVEEDORES[[#This Row],[PLAZO Días]],"PAGO VENCIDO")</f>
        <v>0</v>
      </c>
      <c r="C2321" s="20">
        <f>+VLOOKUP(PROVEEDORES[[#This Row],[PROVEEDOR]],TERCEROS_INFO[#All],2,FALSE)</f>
        <v>30</v>
      </c>
      <c r="D2321" s="25">
        <f>+SUMIFS(PROVEEDORES[Total],PROVEEDORES[PROVEEDOR],PROVEEDORES[[#This Row],[PROVEEDOR]],PROVEEDORES[FECHA DE PAGO],"")</f>
        <v>0</v>
      </c>
      <c r="E2321" s="25"/>
      <c r="F2321" s="56">
        <f>+VLOOKUP(PROVEEDORES[[#This Row],[PROVEEDOR]],
                       Terceros!$A:$F,
                       5,
                       FALSE)</f>
        <v>0</v>
      </c>
      <c r="G2321" s="68">
        <v>45272</v>
      </c>
      <c r="H2321" s="26" t="s">
        <v>1423</v>
      </c>
      <c r="I2321" s="68">
        <v>45272</v>
      </c>
      <c r="J2321" s="35" t="s">
        <v>2263</v>
      </c>
      <c r="K2321" s="21">
        <v>275000</v>
      </c>
      <c r="L2321" s="21"/>
      <c r="M2321" s="22">
        <f>(PROVEEDORES[[#This Row],[SUBTOTAL]]-PROVEEDORES[[#This Row],[descuento sobre subtotal]])*VLOOKUP(PROVEEDORES[[#This Row],[PROVEEDOR]],TERCEROS_INFO[#All],3,FALSE)</f>
        <v>52250</v>
      </c>
      <c r="N2321" s="23"/>
      <c r="O2321" s="22">
        <f>+PROVEEDORES[[#This Row],[Descuento sobre subtotal %]]*(PROVEEDORES[[#This Row],[SUBTOTAL]]-PROVEEDORES[[#This Row],[descuento sobre subtotal]])</f>
        <v>0</v>
      </c>
      <c r="P2321" s="74">
        <f>+IF(PROVEEDORES[[#This Row],[SUBTOTAL]]&lt;PROVEEDORES[[#This Row],[base retencion]],0,PROVEEDORES[[#This Row],[retención aplicada]])</f>
        <v>0</v>
      </c>
      <c r="Q2321" s="22">
        <f>+PROVEEDORES[[#This Row],[Rete Fuente %]]*(PROVEEDORES[[#This Row],[SUBTOTAL]]-PROVEEDORES[[#This Row],[descuento sobre subtotal]])</f>
        <v>0</v>
      </c>
      <c r="R2321" s="21">
        <f>+PROVEEDORES[[#This Row],[SUBTOTAL]]+PROVEEDORES[[#This Row],[IVA 19%]]-PROVEEDORES[[#This Row],[descuento sobre subtotal]]-PROVEEDORES[[#This Row],[Descuento sobre subtotal $2]]-PROVEEDORES[[#This Row],[Rete Fuente $]]</f>
        <v>327250</v>
      </c>
      <c r="S232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1" s="63">
        <f ca="1">IF(PROVEEDORES[[#This Row],[FECHA DE PAGO]]=0,TODAY()-PROVEEDORES[[#This Row],[FECHA DE FACTURACIÓN]]-PROVEEDORES[[#This Row],[PLAZO Días]],0)</f>
        <v>0</v>
      </c>
      <c r="U2321" s="104" t="str">
        <f>+VLOOKUP(PROVEEDORES[[#This Row],[PROVEEDOR]],Terceros!$A:$D,4,FALSE)</f>
        <v>2,5% con base</v>
      </c>
      <c r="V2321" s="105">
        <f>+YEAR(PROVEEDORES[[#This Row],[FECHA DE FACTURACIÓN]])</f>
        <v>2023</v>
      </c>
      <c r="W2321" s="105">
        <f>+MATCH(PROVEEDORES[[#This Row],[año facturado]],Retenciones!$1:$1,0)</f>
        <v>6</v>
      </c>
      <c r="X2321" s="106">
        <f>+VLOOKUP(PROVEEDORES[[#This Row],[ID RETENCION]],Retenciones!$A$1:$O$25,PROVEEDORES[[#This Row],[indicador de columna]],FALSE)</f>
        <v>1145000</v>
      </c>
      <c r="Y2321" s="107">
        <f>+VLOOKUP(PROVEEDORES[[#This Row],[ID RETENCION]],Retenciones!$A$1:$O$25,2,FALSE)</f>
        <v>2.5000000000000001E-2</v>
      </c>
      <c r="Z2321" s="116" t="b">
        <f>OR(COUNTIF(PROVEEDORES[[#This Row],[PROVEEDOR]],"*"&amp;'Palabra no opera'!$A$2&amp;"*"))</f>
        <v>0</v>
      </c>
    </row>
    <row r="2322" spans="1:26" ht="22.35" customHeight="1" x14ac:dyDescent="0.3">
      <c r="A2322" s="67" t="str">
        <f>+IF(PROVEEDORES[[#This Row],[FECHA DE PAGO]]=PROVEEDORES[[#This Row],[FECHA DE FACTURACIÓN]],"DE CONTADO","CRÉDITO")</f>
        <v>DE CONTADO</v>
      </c>
      <c r="B2322" s="38" t="b">
        <f>+IF((PROVEEDORES[[#This Row],[FECHA DE PAGO]]-PROVEEDORES[[#This Row],[FECHA DE FACTURACIÓN]])&gt;PROVEEDORES[[#This Row],[PLAZO Días]],"PAGO VENCIDO")</f>
        <v>0</v>
      </c>
      <c r="C2322" s="20">
        <f>+VLOOKUP(PROVEEDORES[[#This Row],[PROVEEDOR]],TERCEROS_INFO[#All],2,FALSE)</f>
        <v>30</v>
      </c>
      <c r="D2322" s="25">
        <f>+SUMIFS(PROVEEDORES[Total],PROVEEDORES[PROVEEDOR],PROVEEDORES[[#This Row],[PROVEEDOR]],PROVEEDORES[FECHA DE PAGO],"")</f>
        <v>0</v>
      </c>
      <c r="E2322" s="25"/>
      <c r="F2322" s="56" t="str">
        <f>+VLOOKUP(PROVEEDORES[[#This Row],[PROVEEDOR]],
                       Terceros!$A:$F,
                       5,
                       FALSE)</f>
        <v>icelectronicsmedellin@hotmail.com</v>
      </c>
      <c r="G2322" s="68">
        <v>45278</v>
      </c>
      <c r="H2322" s="26" t="s">
        <v>2264</v>
      </c>
      <c r="I2322" s="68">
        <v>45278</v>
      </c>
      <c r="J2322" s="35" t="s">
        <v>2267</v>
      </c>
      <c r="K2322" s="21">
        <v>630252</v>
      </c>
      <c r="L2322" s="21"/>
      <c r="M2322" s="22">
        <f>(PROVEEDORES[[#This Row],[SUBTOTAL]]-PROVEEDORES[[#This Row],[descuento sobre subtotal]])*VLOOKUP(PROVEEDORES[[#This Row],[PROVEEDOR]],TERCEROS_INFO[#All],3,FALSE)</f>
        <v>119747.88</v>
      </c>
      <c r="N2322" s="23"/>
      <c r="O2322" s="22">
        <f>+PROVEEDORES[[#This Row],[Descuento sobre subtotal %]]*(PROVEEDORES[[#This Row],[SUBTOTAL]]-PROVEEDORES[[#This Row],[descuento sobre subtotal]])</f>
        <v>0</v>
      </c>
      <c r="P2322" s="74">
        <f>+IF(PROVEEDORES[[#This Row],[SUBTOTAL]]&lt;PROVEEDORES[[#This Row],[base retencion]],0,PROVEEDORES[[#This Row],[retención aplicada]])</f>
        <v>0</v>
      </c>
      <c r="Q2322" s="22">
        <f>+PROVEEDORES[[#This Row],[Rete Fuente %]]*(PROVEEDORES[[#This Row],[SUBTOTAL]]-PROVEEDORES[[#This Row],[descuento sobre subtotal]])</f>
        <v>0</v>
      </c>
      <c r="R2322" s="21">
        <f>+PROVEEDORES[[#This Row],[SUBTOTAL]]+PROVEEDORES[[#This Row],[IVA 19%]]-PROVEEDORES[[#This Row],[descuento sobre subtotal]]-PROVEEDORES[[#This Row],[Descuento sobre subtotal $2]]-PROVEEDORES[[#This Row],[Rete Fuente $]]</f>
        <v>749999.88</v>
      </c>
      <c r="S232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2" s="63">
        <f ca="1">IF(PROVEEDORES[[#This Row],[FECHA DE PAGO]]=0,TODAY()-PROVEEDORES[[#This Row],[FECHA DE FACTURACIÓN]]-PROVEEDORES[[#This Row],[PLAZO Días]],0)</f>
        <v>0</v>
      </c>
      <c r="U2322" s="104" t="str">
        <f>+VLOOKUP(PROVEEDORES[[#This Row],[PROVEEDOR]],Terceros!$A:$D,4,FALSE)</f>
        <v>2,5% con base</v>
      </c>
      <c r="V2322" s="105">
        <f>+YEAR(PROVEEDORES[[#This Row],[FECHA DE FACTURACIÓN]])</f>
        <v>2023</v>
      </c>
      <c r="W2322" s="105">
        <f>+MATCH(PROVEEDORES[[#This Row],[año facturado]],Retenciones!$1:$1,0)</f>
        <v>6</v>
      </c>
      <c r="X2322" s="106">
        <f>+VLOOKUP(PROVEEDORES[[#This Row],[ID RETENCION]],Retenciones!$A$1:$O$25,PROVEEDORES[[#This Row],[indicador de columna]],FALSE)</f>
        <v>1145000</v>
      </c>
      <c r="Y2322" s="107">
        <f>+VLOOKUP(PROVEEDORES[[#This Row],[ID RETENCION]],Retenciones!$A$1:$O$25,2,FALSE)</f>
        <v>2.5000000000000001E-2</v>
      </c>
      <c r="Z2322" s="116" t="b">
        <f>OR(COUNTIF(PROVEEDORES[[#This Row],[PROVEEDOR]],"*"&amp;'Palabra no opera'!$A$2&amp;"*"))</f>
        <v>0</v>
      </c>
    </row>
    <row r="2323" spans="1:26" ht="22.35" customHeight="1" x14ac:dyDescent="0.3">
      <c r="A2323" s="67" t="str">
        <f>+IF(PROVEEDORES[[#This Row],[FECHA DE PAGO]]=PROVEEDORES[[#This Row],[FECHA DE FACTURACIÓN]],"DE CONTADO","CRÉDITO")</f>
        <v>DE CONTADO</v>
      </c>
      <c r="B2323" s="38" t="b">
        <f>+IF((PROVEEDORES[[#This Row],[FECHA DE PAGO]]-PROVEEDORES[[#This Row],[FECHA DE FACTURACIÓN]])&gt;PROVEEDORES[[#This Row],[PLAZO Días]],"PAGO VENCIDO")</f>
        <v>0</v>
      </c>
      <c r="C2323" s="20">
        <f>+VLOOKUP(PROVEEDORES[[#This Row],[PROVEEDOR]],TERCEROS_INFO[#All],2,FALSE)</f>
        <v>30</v>
      </c>
      <c r="D2323" s="25">
        <f>+SUMIFS(PROVEEDORES[Total],PROVEEDORES[PROVEEDOR],PROVEEDORES[[#This Row],[PROVEEDOR]],PROVEEDORES[FECHA DE PAGO],"")</f>
        <v>0</v>
      </c>
      <c r="E2323" s="25"/>
      <c r="F2323" s="56">
        <f>+VLOOKUP(PROVEEDORES[[#This Row],[PROVEEDOR]],
                       Terceros!$A:$F,
                       5,
                       FALSE)</f>
        <v>0</v>
      </c>
      <c r="G2323" s="68">
        <v>45276</v>
      </c>
      <c r="H2323" s="26" t="s">
        <v>1350</v>
      </c>
      <c r="I2323" s="68">
        <v>45276</v>
      </c>
      <c r="J2323" s="35" t="s">
        <v>2269</v>
      </c>
      <c r="K2323" s="21">
        <v>516000</v>
      </c>
      <c r="L2323" s="21"/>
      <c r="M2323" s="22">
        <f>(PROVEEDORES[[#This Row],[SUBTOTAL]]-PROVEEDORES[[#This Row],[descuento sobre subtotal]])*VLOOKUP(PROVEEDORES[[#This Row],[PROVEEDOR]],TERCEROS_INFO[#All],3,FALSE)</f>
        <v>98040</v>
      </c>
      <c r="N2323" s="23"/>
      <c r="O2323" s="22">
        <f>+PROVEEDORES[[#This Row],[Descuento sobre subtotal %]]*(PROVEEDORES[[#This Row],[SUBTOTAL]]-PROVEEDORES[[#This Row],[descuento sobre subtotal]])</f>
        <v>0</v>
      </c>
      <c r="P2323" s="74">
        <f>+IF(PROVEEDORES[[#This Row],[SUBTOTAL]]&lt;PROVEEDORES[[#This Row],[base retencion]],0,PROVEEDORES[[#This Row],[retención aplicada]])</f>
        <v>0</v>
      </c>
      <c r="Q2323" s="22">
        <f>+PROVEEDORES[[#This Row],[Rete Fuente %]]*(PROVEEDORES[[#This Row],[SUBTOTAL]]-PROVEEDORES[[#This Row],[descuento sobre subtotal]])</f>
        <v>0</v>
      </c>
      <c r="R2323" s="21">
        <f>+PROVEEDORES[[#This Row],[SUBTOTAL]]+PROVEEDORES[[#This Row],[IVA 19%]]-PROVEEDORES[[#This Row],[descuento sobre subtotal]]-PROVEEDORES[[#This Row],[Descuento sobre subtotal $2]]-PROVEEDORES[[#This Row],[Rete Fuente $]]</f>
        <v>614040</v>
      </c>
      <c r="S232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3" s="63">
        <f ca="1">IF(PROVEEDORES[[#This Row],[FECHA DE PAGO]]=0,TODAY()-PROVEEDORES[[#This Row],[FECHA DE FACTURACIÓN]]-PROVEEDORES[[#This Row],[PLAZO Días]],0)</f>
        <v>0</v>
      </c>
      <c r="U2323" s="104" t="str">
        <f>+VLOOKUP(PROVEEDORES[[#This Row],[PROVEEDOR]],Terceros!$A:$D,4,FALSE)</f>
        <v>2,5% con base</v>
      </c>
      <c r="V2323" s="105">
        <f>+YEAR(PROVEEDORES[[#This Row],[FECHA DE FACTURACIÓN]])</f>
        <v>2023</v>
      </c>
      <c r="W2323" s="105">
        <f>+MATCH(PROVEEDORES[[#This Row],[año facturado]],Retenciones!$1:$1,0)</f>
        <v>6</v>
      </c>
      <c r="X2323" s="106">
        <f>+VLOOKUP(PROVEEDORES[[#This Row],[ID RETENCION]],Retenciones!$A$1:$O$25,PROVEEDORES[[#This Row],[indicador de columna]],FALSE)</f>
        <v>1145000</v>
      </c>
      <c r="Y2323" s="107">
        <f>+VLOOKUP(PROVEEDORES[[#This Row],[ID RETENCION]],Retenciones!$A$1:$O$25,2,FALSE)</f>
        <v>2.5000000000000001E-2</v>
      </c>
      <c r="Z2323" s="116" t="b">
        <f>OR(COUNTIF(PROVEEDORES[[#This Row],[PROVEEDOR]],"*"&amp;'Palabra no opera'!$A$2&amp;"*"))</f>
        <v>0</v>
      </c>
    </row>
    <row r="2324" spans="1:26" ht="22.35" customHeight="1" x14ac:dyDescent="0.3">
      <c r="A2324" s="67" t="str">
        <f>+IF(PROVEEDORES[[#This Row],[FECHA DE PAGO]]=PROVEEDORES[[#This Row],[FECHA DE FACTURACIÓN]],"DE CONTADO","CRÉDITO")</f>
        <v>DE CONTADO</v>
      </c>
      <c r="B2324" s="38" t="b">
        <f>+IF((PROVEEDORES[[#This Row],[FECHA DE PAGO]]-PROVEEDORES[[#This Row],[FECHA DE FACTURACIÓN]])&gt;PROVEEDORES[[#This Row],[PLAZO Días]],"PAGO VENCIDO")</f>
        <v>0</v>
      </c>
      <c r="C2324" s="20">
        <f>+VLOOKUP(PROVEEDORES[[#This Row],[PROVEEDOR]],TERCEROS_INFO[#All],2,FALSE)</f>
        <v>30</v>
      </c>
      <c r="D2324" s="25">
        <f>+SUMIFS(PROVEEDORES[Total],PROVEEDORES[PROVEEDOR],PROVEEDORES[[#This Row],[PROVEEDOR]],PROVEEDORES[FECHA DE PAGO],"")</f>
        <v>0</v>
      </c>
      <c r="E2324" s="25"/>
      <c r="F2324" s="56">
        <f>+VLOOKUP(PROVEEDORES[[#This Row],[PROVEEDOR]],
                       Terceros!$A:$F,
                       5,
                       FALSE)</f>
        <v>0</v>
      </c>
      <c r="G2324" s="68">
        <v>45278</v>
      </c>
      <c r="H2324" s="26" t="s">
        <v>1350</v>
      </c>
      <c r="I2324" s="68">
        <v>45278</v>
      </c>
      <c r="J2324" s="35" t="s">
        <v>2268</v>
      </c>
      <c r="K2324" s="21">
        <v>1000000</v>
      </c>
      <c r="L2324" s="21"/>
      <c r="M2324" s="22">
        <f>(PROVEEDORES[[#This Row],[SUBTOTAL]]-PROVEEDORES[[#This Row],[descuento sobre subtotal]])*VLOOKUP(PROVEEDORES[[#This Row],[PROVEEDOR]],TERCEROS_INFO[#All],3,FALSE)</f>
        <v>190000</v>
      </c>
      <c r="N2324" s="23"/>
      <c r="O2324" s="22">
        <f>+PROVEEDORES[[#This Row],[Descuento sobre subtotal %]]*(PROVEEDORES[[#This Row],[SUBTOTAL]]-PROVEEDORES[[#This Row],[descuento sobre subtotal]])</f>
        <v>0</v>
      </c>
      <c r="P2324" s="74">
        <f>+IF(PROVEEDORES[[#This Row],[SUBTOTAL]]&lt;PROVEEDORES[[#This Row],[base retencion]],0,PROVEEDORES[[#This Row],[retención aplicada]])</f>
        <v>0</v>
      </c>
      <c r="Q2324" s="22">
        <f>+PROVEEDORES[[#This Row],[Rete Fuente %]]*(PROVEEDORES[[#This Row],[SUBTOTAL]]-PROVEEDORES[[#This Row],[descuento sobre subtotal]])</f>
        <v>0</v>
      </c>
      <c r="R2324" s="21">
        <f>+PROVEEDORES[[#This Row],[SUBTOTAL]]+PROVEEDORES[[#This Row],[IVA 19%]]-PROVEEDORES[[#This Row],[descuento sobre subtotal]]-PROVEEDORES[[#This Row],[Descuento sobre subtotal $2]]-PROVEEDORES[[#This Row],[Rete Fuente $]]</f>
        <v>1190000</v>
      </c>
      <c r="S232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4" s="63">
        <f ca="1">IF(PROVEEDORES[[#This Row],[FECHA DE PAGO]]=0,TODAY()-PROVEEDORES[[#This Row],[FECHA DE FACTURACIÓN]]-PROVEEDORES[[#This Row],[PLAZO Días]],0)</f>
        <v>0</v>
      </c>
      <c r="U2324" s="104" t="str">
        <f>+VLOOKUP(PROVEEDORES[[#This Row],[PROVEEDOR]],Terceros!$A:$D,4,FALSE)</f>
        <v>2,5% con base</v>
      </c>
      <c r="V2324" s="105">
        <f>+YEAR(PROVEEDORES[[#This Row],[FECHA DE FACTURACIÓN]])</f>
        <v>2023</v>
      </c>
      <c r="W2324" s="105">
        <f>+MATCH(PROVEEDORES[[#This Row],[año facturado]],Retenciones!$1:$1,0)</f>
        <v>6</v>
      </c>
      <c r="X2324" s="106">
        <f>+VLOOKUP(PROVEEDORES[[#This Row],[ID RETENCION]],Retenciones!$A$1:$O$25,PROVEEDORES[[#This Row],[indicador de columna]],FALSE)</f>
        <v>1145000</v>
      </c>
      <c r="Y2324" s="107">
        <f>+VLOOKUP(PROVEEDORES[[#This Row],[ID RETENCION]],Retenciones!$A$1:$O$25,2,FALSE)</f>
        <v>2.5000000000000001E-2</v>
      </c>
      <c r="Z2324" s="116" t="b">
        <f>OR(COUNTIF(PROVEEDORES[[#This Row],[PROVEEDOR]],"*"&amp;'Palabra no opera'!$A$2&amp;"*"))</f>
        <v>0</v>
      </c>
    </row>
    <row r="2325" spans="1:26" ht="22.35" customHeight="1" x14ac:dyDescent="0.3">
      <c r="A2325" s="67" t="str">
        <f>+IF(PROVEEDORES[[#This Row],[FECHA DE PAGO]]=PROVEEDORES[[#This Row],[FECHA DE FACTURACIÓN]],"DE CONTADO","CRÉDITO")</f>
        <v>CRÉDITO</v>
      </c>
      <c r="B2325" s="38" t="b">
        <f>+IF((PROVEEDORES[[#This Row],[FECHA DE PAGO]]-PROVEEDORES[[#This Row],[FECHA DE FACTURACIÓN]])&gt;PROVEEDORES[[#This Row],[PLAZO Días]],"PAGO VENCIDO")</f>
        <v>0</v>
      </c>
      <c r="C2325" s="20">
        <f>+VLOOKUP(PROVEEDORES[[#This Row],[PROVEEDOR]],TERCEROS_INFO[#All],2,FALSE)</f>
        <v>30</v>
      </c>
      <c r="D2325" s="25">
        <f>+SUMIFS(PROVEEDORES[Total],PROVEEDORES[PROVEEDOR],PROVEEDORES[[#This Row],[PROVEEDOR]],PROVEEDORES[FECHA DE PAGO],"")</f>
        <v>22881826.27</v>
      </c>
      <c r="E2325" s="25"/>
      <c r="F2325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H2325" s="26" t="s">
        <v>9</v>
      </c>
      <c r="I2325" s="68">
        <v>45281</v>
      </c>
      <c r="J2325" s="35" t="s">
        <v>2270</v>
      </c>
      <c r="K2325" s="21">
        <v>19142938</v>
      </c>
      <c r="L2325" s="21"/>
      <c r="M2325" s="22">
        <f>(PROVEEDORES[[#This Row],[SUBTOTAL]]-PROVEEDORES[[#This Row],[descuento sobre subtotal]])*VLOOKUP(PROVEEDORES[[#This Row],[PROVEEDOR]],TERCEROS_INFO[#All],3,FALSE)</f>
        <v>3637158.22</v>
      </c>
      <c r="N2325" s="23"/>
      <c r="O2325" s="22">
        <f>+PROVEEDORES[[#This Row],[Descuento sobre subtotal %]]*(PROVEEDORES[[#This Row],[SUBTOTAL]]-PROVEEDORES[[#This Row],[descuento sobre subtotal]])</f>
        <v>0</v>
      </c>
      <c r="P2325" s="74">
        <f>+IF(PROVEEDORES[[#This Row],[SUBTOTAL]]&lt;PROVEEDORES[[#This Row],[base retencion]],0,PROVEEDORES[[#This Row],[retención aplicada]])</f>
        <v>2.5000000000000001E-2</v>
      </c>
      <c r="Q2325" s="22">
        <f>+PROVEEDORES[[#This Row],[Rete Fuente %]]*(PROVEEDORES[[#This Row],[SUBTOTAL]]-PROVEEDORES[[#This Row],[descuento sobre subtotal]])</f>
        <v>478573.45</v>
      </c>
      <c r="R2325" s="21">
        <f>+PROVEEDORES[[#This Row],[SUBTOTAL]]+PROVEEDORES[[#This Row],[IVA 19%]]-PROVEEDORES[[#This Row],[descuento sobre subtotal]]-PROVEEDORES[[#This Row],[Descuento sobre subtotal $2]]-PROVEEDORES[[#This Row],[Rete Fuente $]]</f>
        <v>22301522.77</v>
      </c>
      <c r="S2325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25" s="63">
        <f ca="1">IF(PROVEEDORES[[#This Row],[FECHA DE PAGO]]=0,TODAY()-PROVEEDORES[[#This Row],[FECHA DE FACTURACIÓN]]-PROVEEDORES[[#This Row],[PLAZO Días]],0)</f>
        <v>-11</v>
      </c>
      <c r="U2325" s="104" t="str">
        <f>+VLOOKUP(PROVEEDORES[[#This Row],[PROVEEDOR]],Terceros!$A:$D,4,FALSE)</f>
        <v>2,5% con base</v>
      </c>
      <c r="V2325" s="105">
        <f>+YEAR(PROVEEDORES[[#This Row],[FECHA DE FACTURACIÓN]])</f>
        <v>2023</v>
      </c>
      <c r="W2325" s="105">
        <f>+MATCH(PROVEEDORES[[#This Row],[año facturado]],Retenciones!$1:$1,0)</f>
        <v>6</v>
      </c>
      <c r="X2325" s="106">
        <f>+VLOOKUP(PROVEEDORES[[#This Row],[ID RETENCION]],Retenciones!$A$1:$O$25,PROVEEDORES[[#This Row],[indicador de columna]],FALSE)</f>
        <v>1145000</v>
      </c>
      <c r="Y2325" s="107">
        <f>+VLOOKUP(PROVEEDORES[[#This Row],[ID RETENCION]],Retenciones!$A$1:$O$25,2,FALSE)</f>
        <v>2.5000000000000001E-2</v>
      </c>
      <c r="Z2325" s="116" t="b">
        <f>OR(COUNTIF(PROVEEDORES[[#This Row],[PROVEEDOR]],"*"&amp;'Palabra no opera'!$A$2&amp;"*"))</f>
        <v>0</v>
      </c>
    </row>
    <row r="2326" spans="1:26" ht="22.35" customHeight="1" x14ac:dyDescent="0.3">
      <c r="A2326" s="67" t="str">
        <f>+IF(PROVEEDORES[[#This Row],[FECHA DE PAGO]]=PROVEEDORES[[#This Row],[FECHA DE FACTURACIÓN]],"DE CONTADO","CRÉDITO")</f>
        <v>CRÉDITO</v>
      </c>
      <c r="B2326" s="38" t="b">
        <f>+IF((PROVEEDORES[[#This Row],[FECHA DE PAGO]]-PROVEEDORES[[#This Row],[FECHA DE FACTURACIÓN]])&gt;PROVEEDORES[[#This Row],[PLAZO Días]],"PAGO VENCIDO")</f>
        <v>0</v>
      </c>
      <c r="C2326" s="20">
        <f>+VLOOKUP(PROVEEDORES[[#This Row],[PROVEEDOR]],TERCEROS_INFO[#All],2,FALSE)</f>
        <v>30</v>
      </c>
      <c r="D2326" s="25">
        <f>+SUMIFS(PROVEEDORES[Total],PROVEEDORES[PROVEEDOR],PROVEEDORES[[#This Row],[PROVEEDOR]],PROVEEDORES[FECHA DE PAGO],"")</f>
        <v>1034000.52</v>
      </c>
      <c r="E2326" s="25"/>
      <c r="F2326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2326" s="26" t="s">
        <v>168</v>
      </c>
      <c r="I2326" s="68">
        <v>45278</v>
      </c>
      <c r="J2326" s="35" t="s">
        <v>2271</v>
      </c>
      <c r="K2326" s="21">
        <v>868908</v>
      </c>
      <c r="L2326" s="21"/>
      <c r="M2326" s="22">
        <f>(PROVEEDORES[[#This Row],[SUBTOTAL]]-PROVEEDORES[[#This Row],[descuento sobre subtotal]])*VLOOKUP(PROVEEDORES[[#This Row],[PROVEEDOR]],TERCEROS_INFO[#All],3,FALSE)</f>
        <v>165092.51999999999</v>
      </c>
      <c r="N2326" s="23"/>
      <c r="O2326" s="22">
        <f>+PROVEEDORES[[#This Row],[Descuento sobre subtotal %]]*(PROVEEDORES[[#This Row],[SUBTOTAL]]-PROVEEDORES[[#This Row],[descuento sobre subtotal]])</f>
        <v>0</v>
      </c>
      <c r="P2326" s="74">
        <f>+IF(PROVEEDORES[[#This Row],[SUBTOTAL]]&lt;PROVEEDORES[[#This Row],[base retencion]],0,PROVEEDORES[[#This Row],[retención aplicada]])</f>
        <v>0</v>
      </c>
      <c r="Q2326" s="22">
        <f>+PROVEEDORES[[#This Row],[Rete Fuente %]]*(PROVEEDORES[[#This Row],[SUBTOTAL]]-PROVEEDORES[[#This Row],[descuento sobre subtotal]])</f>
        <v>0</v>
      </c>
      <c r="R2326" s="21">
        <f>+PROVEEDORES[[#This Row],[SUBTOTAL]]+PROVEEDORES[[#This Row],[IVA 19%]]-PROVEEDORES[[#This Row],[descuento sobre subtotal]]-PROVEEDORES[[#This Row],[Descuento sobre subtotal $2]]-PROVEEDORES[[#This Row],[Rete Fuente $]]</f>
        <v>1034000.52</v>
      </c>
      <c r="S2326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26" s="63">
        <f ca="1">IF(PROVEEDORES[[#This Row],[FECHA DE PAGO]]=0,TODAY()-PROVEEDORES[[#This Row],[FECHA DE FACTURACIÓN]]-PROVEEDORES[[#This Row],[PLAZO Días]],0)</f>
        <v>-8</v>
      </c>
      <c r="U2326" s="104" t="str">
        <f>+VLOOKUP(PROVEEDORES[[#This Row],[PROVEEDOR]],Terceros!$A:$D,4,FALSE)</f>
        <v>2,5% con base</v>
      </c>
      <c r="V2326" s="105">
        <f>+YEAR(PROVEEDORES[[#This Row],[FECHA DE FACTURACIÓN]])</f>
        <v>2023</v>
      </c>
      <c r="W2326" s="105">
        <f>+MATCH(PROVEEDORES[[#This Row],[año facturado]],Retenciones!$1:$1,0)</f>
        <v>6</v>
      </c>
      <c r="X2326" s="106">
        <f>+VLOOKUP(PROVEEDORES[[#This Row],[ID RETENCION]],Retenciones!$A$1:$O$25,PROVEEDORES[[#This Row],[indicador de columna]],FALSE)</f>
        <v>1145000</v>
      </c>
      <c r="Y2326" s="107">
        <f>+VLOOKUP(PROVEEDORES[[#This Row],[ID RETENCION]],Retenciones!$A$1:$O$25,2,FALSE)</f>
        <v>2.5000000000000001E-2</v>
      </c>
      <c r="Z2326" s="116" t="b">
        <f>OR(COUNTIF(PROVEEDORES[[#This Row],[PROVEEDOR]],"*"&amp;'Palabra no opera'!$A$2&amp;"*"))</f>
        <v>0</v>
      </c>
    </row>
    <row r="2327" spans="1:26" ht="22.35" customHeight="1" x14ac:dyDescent="0.3">
      <c r="A2327" s="67" t="str">
        <f>+IF(PROVEEDORES[[#This Row],[FECHA DE PAGO]]=PROVEEDORES[[#This Row],[FECHA DE FACTURACIÓN]],"DE CONTADO","CRÉDITO")</f>
        <v>CRÉDITO</v>
      </c>
      <c r="B2327" s="38" t="b">
        <f>+IF((PROVEEDORES[[#This Row],[FECHA DE PAGO]]-PROVEEDORES[[#This Row],[FECHA DE FACTURACIÓN]])&gt;PROVEEDORES[[#This Row],[PLAZO Días]],"PAGO VENCIDO")</f>
        <v>0</v>
      </c>
      <c r="C2327" s="20">
        <f>+VLOOKUP(PROVEEDORES[[#This Row],[PROVEEDOR]],TERCEROS_INFO[#All],2,FALSE)</f>
        <v>30</v>
      </c>
      <c r="D2327" s="25">
        <f>+SUMIFS(PROVEEDORES[Total],PROVEEDORES[PROVEEDOR],PROVEEDORES[[#This Row],[PROVEEDOR]],PROVEEDORES[FECHA DE PAGO],"")</f>
        <v>8306450</v>
      </c>
      <c r="E2327" s="25"/>
      <c r="F2327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H2327" s="26" t="s">
        <v>1606</v>
      </c>
      <c r="I2327" s="68">
        <v>45273</v>
      </c>
      <c r="J2327" s="35" t="s">
        <v>2272</v>
      </c>
      <c r="K2327" s="21">
        <v>7130000</v>
      </c>
      <c r="L2327" s="21"/>
      <c r="M2327" s="22">
        <f>(PROVEEDORES[[#This Row],[SUBTOTAL]]-PROVEEDORES[[#This Row],[descuento sobre subtotal]])*VLOOKUP(PROVEEDORES[[#This Row],[PROVEEDOR]],TERCEROS_INFO[#All],3,FALSE)</f>
        <v>1354700</v>
      </c>
      <c r="N2327" s="23"/>
      <c r="O2327" s="22">
        <f>+PROVEEDORES[[#This Row],[Descuento sobre subtotal %]]*(PROVEEDORES[[#This Row],[SUBTOTAL]]-PROVEEDORES[[#This Row],[descuento sobre subtotal]])</f>
        <v>0</v>
      </c>
      <c r="P2327" s="74">
        <f>+IF(PROVEEDORES[[#This Row],[SUBTOTAL]]&lt;PROVEEDORES[[#This Row],[base retencion]],0,PROVEEDORES[[#This Row],[retención aplicada]])</f>
        <v>2.5000000000000001E-2</v>
      </c>
      <c r="Q2327" s="22">
        <f>+PROVEEDORES[[#This Row],[Rete Fuente %]]*(PROVEEDORES[[#This Row],[SUBTOTAL]]-PROVEEDORES[[#This Row],[descuento sobre subtotal]])</f>
        <v>178250</v>
      </c>
      <c r="R2327" s="21">
        <f>+PROVEEDORES[[#This Row],[SUBTOTAL]]+PROVEEDORES[[#This Row],[IVA 19%]]-PROVEEDORES[[#This Row],[descuento sobre subtotal]]-PROVEEDORES[[#This Row],[Descuento sobre subtotal $2]]-PROVEEDORES[[#This Row],[Rete Fuente $]]</f>
        <v>8306450</v>
      </c>
      <c r="S2327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27" s="63">
        <f ca="1">IF(PROVEEDORES[[#This Row],[FECHA DE PAGO]]=0,TODAY()-PROVEEDORES[[#This Row],[FECHA DE FACTURACIÓN]]-PROVEEDORES[[#This Row],[PLAZO Días]],0)</f>
        <v>-3</v>
      </c>
      <c r="U2327" s="104" t="str">
        <f>+VLOOKUP(PROVEEDORES[[#This Row],[PROVEEDOR]],Terceros!$A:$D,4,FALSE)</f>
        <v>2,5% con base</v>
      </c>
      <c r="V2327" s="105">
        <f>+YEAR(PROVEEDORES[[#This Row],[FECHA DE FACTURACIÓN]])</f>
        <v>2023</v>
      </c>
      <c r="W2327" s="105">
        <f>+MATCH(PROVEEDORES[[#This Row],[año facturado]],Retenciones!$1:$1,0)</f>
        <v>6</v>
      </c>
      <c r="X2327" s="106">
        <f>+VLOOKUP(PROVEEDORES[[#This Row],[ID RETENCION]],Retenciones!$A$1:$O$25,PROVEEDORES[[#This Row],[indicador de columna]],FALSE)</f>
        <v>1145000</v>
      </c>
      <c r="Y2327" s="107">
        <f>+VLOOKUP(PROVEEDORES[[#This Row],[ID RETENCION]],Retenciones!$A$1:$O$25,2,FALSE)</f>
        <v>2.5000000000000001E-2</v>
      </c>
      <c r="Z2327" s="116" t="b">
        <f>OR(COUNTIF(PROVEEDORES[[#This Row],[PROVEEDOR]],"*"&amp;'Palabra no opera'!$A$2&amp;"*"))</f>
        <v>0</v>
      </c>
    </row>
    <row r="2328" spans="1:26" ht="22.35" customHeight="1" x14ac:dyDescent="0.3">
      <c r="A2328" s="67" t="str">
        <f>+IF(PROVEEDORES[[#This Row],[FECHA DE PAGO]]=PROVEEDORES[[#This Row],[FECHA DE FACTURACIÓN]],"DE CONTADO","CRÉDITO")</f>
        <v>CRÉDITO</v>
      </c>
      <c r="B2328" s="38" t="b">
        <f>+IF((PROVEEDORES[[#This Row],[FECHA DE PAGO]]-PROVEEDORES[[#This Row],[FECHA DE FACTURACIÓN]])&gt;PROVEEDORES[[#This Row],[PLAZO Días]],"PAGO VENCIDO")</f>
        <v>0</v>
      </c>
      <c r="C2328" s="20">
        <f>+VLOOKUP(PROVEEDORES[[#This Row],[PROVEEDOR]],TERCEROS_INFO[#All],2,FALSE)</f>
        <v>30</v>
      </c>
      <c r="D2328" s="25">
        <f>+SUMIFS(PROVEEDORES[Total],PROVEEDORES[PROVEEDOR],PROVEEDORES[[#This Row],[PROVEEDOR]],PROVEEDORES[FECHA DE PAGO],"")</f>
        <v>1316890.8900000001</v>
      </c>
      <c r="E2328" s="25"/>
      <c r="F232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2328" s="26" t="s">
        <v>17</v>
      </c>
      <c r="I2328" s="68">
        <v>45279</v>
      </c>
      <c r="J2328" s="35" t="s">
        <v>2273</v>
      </c>
      <c r="K2328" s="21">
        <v>1106631</v>
      </c>
      <c r="L2328" s="21"/>
      <c r="M2328" s="22">
        <f>(PROVEEDORES[[#This Row],[SUBTOTAL]]-PROVEEDORES[[#This Row],[descuento sobre subtotal]])*VLOOKUP(PROVEEDORES[[#This Row],[PROVEEDOR]],TERCEROS_INFO[#All],3,FALSE)</f>
        <v>210259.89</v>
      </c>
      <c r="N2328" s="23"/>
      <c r="O2328" s="22">
        <f>+PROVEEDORES[[#This Row],[Descuento sobre subtotal %]]*(PROVEEDORES[[#This Row],[SUBTOTAL]]-PROVEEDORES[[#This Row],[descuento sobre subtotal]])</f>
        <v>0</v>
      </c>
      <c r="P2328" s="74">
        <f>+IF(PROVEEDORES[[#This Row],[SUBTOTAL]]&lt;PROVEEDORES[[#This Row],[base retencion]],0,PROVEEDORES[[#This Row],[retención aplicada]])</f>
        <v>0</v>
      </c>
      <c r="Q2328" s="22">
        <f>+PROVEEDORES[[#This Row],[Rete Fuente %]]*(PROVEEDORES[[#This Row],[SUBTOTAL]]-PROVEEDORES[[#This Row],[descuento sobre subtotal]])</f>
        <v>0</v>
      </c>
      <c r="R2328" s="21">
        <f>+PROVEEDORES[[#This Row],[SUBTOTAL]]+PROVEEDORES[[#This Row],[IVA 19%]]-PROVEEDORES[[#This Row],[descuento sobre subtotal]]-PROVEEDORES[[#This Row],[Descuento sobre subtotal $2]]-PROVEEDORES[[#This Row],[Rete Fuente $]]</f>
        <v>1316890.8900000001</v>
      </c>
      <c r="S2328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28" s="63">
        <f ca="1">IF(PROVEEDORES[[#This Row],[FECHA DE PAGO]]=0,TODAY()-PROVEEDORES[[#This Row],[FECHA DE FACTURACIÓN]]-PROVEEDORES[[#This Row],[PLAZO Días]],0)</f>
        <v>-9</v>
      </c>
      <c r="U2328" s="104">
        <f>+VLOOKUP(PROVEEDORES[[#This Row],[PROVEEDOR]],Terceros!$A:$D,4,FALSE)</f>
        <v>0</v>
      </c>
      <c r="V2328" s="105">
        <f>+YEAR(PROVEEDORES[[#This Row],[FECHA DE FACTURACIÓN]])</f>
        <v>2023</v>
      </c>
      <c r="W2328" s="105">
        <f>+MATCH(PROVEEDORES[[#This Row],[año facturado]],Retenciones!$1:$1,0)</f>
        <v>6</v>
      </c>
      <c r="X2328" s="106">
        <f>+VLOOKUP(PROVEEDORES[[#This Row],[ID RETENCION]],Retenciones!$A$1:$O$25,PROVEEDORES[[#This Row],[indicador de columna]],FALSE)</f>
        <v>0</v>
      </c>
      <c r="Y2328" s="107">
        <f>+VLOOKUP(PROVEEDORES[[#This Row],[ID RETENCION]],Retenciones!$A$1:$O$25,2,FALSE)</f>
        <v>0</v>
      </c>
      <c r="Z2328" s="116" t="b">
        <f>OR(COUNTIF(PROVEEDORES[[#This Row],[PROVEEDOR]],"*"&amp;'Palabra no opera'!$A$2&amp;"*"))</f>
        <v>0</v>
      </c>
    </row>
    <row r="2329" spans="1:26" ht="22.35" customHeight="1" x14ac:dyDescent="0.3">
      <c r="A2329" s="67" t="str">
        <f>+IF(PROVEEDORES[[#This Row],[FECHA DE PAGO]]=PROVEEDORES[[#This Row],[FECHA DE FACTURACIÓN]],"DE CONTADO","CRÉDITO")</f>
        <v>CRÉDITO</v>
      </c>
      <c r="B2329" s="38" t="b">
        <f>+IF((PROVEEDORES[[#This Row],[FECHA DE PAGO]]-PROVEEDORES[[#This Row],[FECHA DE FACTURACIÓN]])&gt;PROVEEDORES[[#This Row],[PLAZO Días]],"PAGO VENCIDO")</f>
        <v>0</v>
      </c>
      <c r="C2329" s="20">
        <f>+VLOOKUP(PROVEEDORES[[#This Row],[PROVEEDOR]],TERCEROS_INFO[#All],2,FALSE)</f>
        <v>30</v>
      </c>
      <c r="D2329" s="25">
        <f>+SUMIFS(PROVEEDORES[Total],PROVEEDORES[PROVEEDOR],PROVEEDORES[[#This Row],[PROVEEDOR]],PROVEEDORES[FECHA DE PAGO],"")</f>
        <v>2773899.95</v>
      </c>
      <c r="E2329" s="25"/>
      <c r="F2329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H2329" s="26" t="s">
        <v>20</v>
      </c>
      <c r="I2329" s="68">
        <v>45280</v>
      </c>
      <c r="J2329" s="35" t="s">
        <v>2274</v>
      </c>
      <c r="K2329" s="21">
        <v>2381030</v>
      </c>
      <c r="L2329" s="21"/>
      <c r="M2329" s="22">
        <f>(PROVEEDORES[[#This Row],[SUBTOTAL]]-PROVEEDORES[[#This Row],[descuento sobre subtotal]])*VLOOKUP(PROVEEDORES[[#This Row],[PROVEEDOR]],TERCEROS_INFO[#All],3,FALSE)</f>
        <v>452395.7</v>
      </c>
      <c r="N2329" s="23"/>
      <c r="O2329" s="22">
        <f>+PROVEEDORES[[#This Row],[Descuento sobre subtotal %]]*(PROVEEDORES[[#This Row],[SUBTOTAL]]-PROVEEDORES[[#This Row],[descuento sobre subtotal]])</f>
        <v>0</v>
      </c>
      <c r="P2329" s="74">
        <f>+IF(PROVEEDORES[[#This Row],[SUBTOTAL]]&lt;PROVEEDORES[[#This Row],[base retencion]],0,PROVEEDORES[[#This Row],[retención aplicada]])</f>
        <v>2.5000000000000001E-2</v>
      </c>
      <c r="Q2329" s="22">
        <f>+PROVEEDORES[[#This Row],[Rete Fuente %]]*(PROVEEDORES[[#This Row],[SUBTOTAL]]-PROVEEDORES[[#This Row],[descuento sobre subtotal]])</f>
        <v>59525.75</v>
      </c>
      <c r="R2329" s="21">
        <f>+PROVEEDORES[[#This Row],[SUBTOTAL]]+PROVEEDORES[[#This Row],[IVA 19%]]-PROVEEDORES[[#This Row],[descuento sobre subtotal]]-PROVEEDORES[[#This Row],[Descuento sobre subtotal $2]]-PROVEEDORES[[#This Row],[Rete Fuente $]]</f>
        <v>2773899.95</v>
      </c>
      <c r="S2329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29" s="63">
        <f ca="1">IF(PROVEEDORES[[#This Row],[FECHA DE PAGO]]=0,TODAY()-PROVEEDORES[[#This Row],[FECHA DE FACTURACIÓN]]-PROVEEDORES[[#This Row],[PLAZO Días]],0)</f>
        <v>-10</v>
      </c>
      <c r="U2329" s="104" t="str">
        <f>+VLOOKUP(PROVEEDORES[[#This Row],[PROVEEDOR]],Terceros!$A:$D,4,FALSE)</f>
        <v>2,5% con base</v>
      </c>
      <c r="V2329" s="105">
        <f>+YEAR(PROVEEDORES[[#This Row],[FECHA DE FACTURACIÓN]])</f>
        <v>2023</v>
      </c>
      <c r="W2329" s="105">
        <f>+MATCH(PROVEEDORES[[#This Row],[año facturado]],Retenciones!$1:$1,0)</f>
        <v>6</v>
      </c>
      <c r="X2329" s="106">
        <f>+VLOOKUP(PROVEEDORES[[#This Row],[ID RETENCION]],Retenciones!$A$1:$O$25,PROVEEDORES[[#This Row],[indicador de columna]],FALSE)</f>
        <v>1145000</v>
      </c>
      <c r="Y2329" s="107">
        <f>+VLOOKUP(PROVEEDORES[[#This Row],[ID RETENCION]],Retenciones!$A$1:$O$25,2,FALSE)</f>
        <v>2.5000000000000001E-2</v>
      </c>
      <c r="Z2329" s="116" t="b">
        <f>OR(COUNTIF(PROVEEDORES[[#This Row],[PROVEEDOR]],"*"&amp;'Palabra no opera'!$A$2&amp;"*"))</f>
        <v>0</v>
      </c>
    </row>
    <row r="2330" spans="1:26" ht="22.35" customHeight="1" x14ac:dyDescent="0.3">
      <c r="A2330" s="67" t="str">
        <f>+IF(PROVEEDORES[[#This Row],[FECHA DE PAGO]]=PROVEEDORES[[#This Row],[FECHA DE FACTURACIÓN]],"DE CONTADO","CRÉDITO")</f>
        <v>CRÉDITO</v>
      </c>
      <c r="B2330" s="38" t="b">
        <f>+IF((PROVEEDORES[[#This Row],[FECHA DE PAGO]]-PROVEEDORES[[#This Row],[FECHA DE FACTURACIÓN]])&gt;PROVEEDORES[[#This Row],[PLAZO Días]],"PAGO VENCIDO")</f>
        <v>0</v>
      </c>
      <c r="C2330" s="20">
        <f>+VLOOKUP(PROVEEDORES[[#This Row],[PROVEEDOR]],TERCEROS_INFO[#All],2,FALSE)</f>
        <v>30</v>
      </c>
      <c r="D2330" s="25">
        <f>+SUMIFS(PROVEEDORES[Total],PROVEEDORES[PROVEEDOR],PROVEEDORES[[#This Row],[PROVEEDOR]],PROVEEDORES[FECHA DE PAGO],"")</f>
        <v>17870934.149999999</v>
      </c>
      <c r="E2330" s="25"/>
      <c r="F233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330" s="26" t="s">
        <v>18</v>
      </c>
      <c r="I2330" s="68">
        <v>45275</v>
      </c>
      <c r="J2330" s="35" t="s">
        <v>2275</v>
      </c>
      <c r="K2330" s="21">
        <v>5597576</v>
      </c>
      <c r="L2330" s="21"/>
      <c r="M2330" s="22">
        <f>(PROVEEDORES[[#This Row],[SUBTOTAL]]-PROVEEDORES[[#This Row],[descuento sobre subtotal]])*VLOOKUP(PROVEEDORES[[#This Row],[PROVEEDOR]],TERCEROS_INFO[#All],3,FALSE)</f>
        <v>1063539.44</v>
      </c>
      <c r="N2330" s="23"/>
      <c r="O2330" s="22">
        <f>+PROVEEDORES[[#This Row],[Descuento sobre subtotal %]]*(PROVEEDORES[[#This Row],[SUBTOTAL]]-PROVEEDORES[[#This Row],[descuento sobre subtotal]])</f>
        <v>0</v>
      </c>
      <c r="P2330" s="74">
        <f>+IF(PROVEEDORES[[#This Row],[SUBTOTAL]]&lt;PROVEEDORES[[#This Row],[base retencion]],0,PROVEEDORES[[#This Row],[retención aplicada]])</f>
        <v>2.5000000000000001E-2</v>
      </c>
      <c r="Q2330" s="22">
        <f>+PROVEEDORES[[#This Row],[Rete Fuente %]]*(PROVEEDORES[[#This Row],[SUBTOTAL]]-PROVEEDORES[[#This Row],[descuento sobre subtotal]])</f>
        <v>139939.4</v>
      </c>
      <c r="R2330" s="21">
        <f>+PROVEEDORES[[#This Row],[SUBTOTAL]]+PROVEEDORES[[#This Row],[IVA 19%]]-PROVEEDORES[[#This Row],[descuento sobre subtotal]]-PROVEEDORES[[#This Row],[Descuento sobre subtotal $2]]-PROVEEDORES[[#This Row],[Rete Fuente $]]</f>
        <v>6521176.0399999991</v>
      </c>
      <c r="S2330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0" s="63">
        <f ca="1">IF(PROVEEDORES[[#This Row],[FECHA DE PAGO]]=0,TODAY()-PROVEEDORES[[#This Row],[FECHA DE FACTURACIÓN]]-PROVEEDORES[[#This Row],[PLAZO Días]],0)</f>
        <v>-5</v>
      </c>
      <c r="U2330" s="104" t="str">
        <f>+VLOOKUP(PROVEEDORES[[#This Row],[PROVEEDOR]],Terceros!$A:$D,4,FALSE)</f>
        <v>2,5% con base</v>
      </c>
      <c r="V2330" s="105">
        <f>+YEAR(PROVEEDORES[[#This Row],[FECHA DE FACTURACIÓN]])</f>
        <v>2023</v>
      </c>
      <c r="W2330" s="105">
        <f>+MATCH(PROVEEDORES[[#This Row],[año facturado]],Retenciones!$1:$1,0)</f>
        <v>6</v>
      </c>
      <c r="X2330" s="106">
        <f>+VLOOKUP(PROVEEDORES[[#This Row],[ID RETENCION]],Retenciones!$A$1:$O$25,PROVEEDORES[[#This Row],[indicador de columna]],FALSE)</f>
        <v>1145000</v>
      </c>
      <c r="Y2330" s="107">
        <f>+VLOOKUP(PROVEEDORES[[#This Row],[ID RETENCION]],Retenciones!$A$1:$O$25,2,FALSE)</f>
        <v>2.5000000000000001E-2</v>
      </c>
      <c r="Z2330" s="116" t="b">
        <f>OR(COUNTIF(PROVEEDORES[[#This Row],[PROVEEDOR]],"*"&amp;'Palabra no opera'!$A$2&amp;"*"))</f>
        <v>0</v>
      </c>
    </row>
    <row r="2331" spans="1:26" ht="22.35" customHeight="1" x14ac:dyDescent="0.3">
      <c r="A2331" s="67" t="str">
        <f>+IF(PROVEEDORES[[#This Row],[FECHA DE PAGO]]=PROVEEDORES[[#This Row],[FECHA DE FACTURACIÓN]],"DE CONTADO","CRÉDITO")</f>
        <v>CRÉDITO</v>
      </c>
      <c r="B2331" s="38" t="b">
        <f>+IF((PROVEEDORES[[#This Row],[FECHA DE PAGO]]-PROVEEDORES[[#This Row],[FECHA DE FACTURACIÓN]])&gt;PROVEEDORES[[#This Row],[PLAZO Días]],"PAGO VENCIDO")</f>
        <v>0</v>
      </c>
      <c r="C2331" s="20">
        <f>+VLOOKUP(PROVEEDORES[[#This Row],[PROVEEDOR]],TERCEROS_INFO[#All],2,FALSE)</f>
        <v>30</v>
      </c>
      <c r="D2331" s="25">
        <f>+SUMIFS(PROVEEDORES[Total],PROVEEDORES[PROVEEDOR],PROVEEDORES[[#This Row],[PROVEEDOR]],PROVEEDORES[FECHA DE PAGO],"")</f>
        <v>17870934.149999999</v>
      </c>
      <c r="E2331" s="25"/>
      <c r="F233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331" s="26" t="s">
        <v>18</v>
      </c>
      <c r="I2331" s="68">
        <v>45266</v>
      </c>
      <c r="J2331" s="35" t="s">
        <v>2276</v>
      </c>
      <c r="K2331" s="21">
        <v>1005285</v>
      </c>
      <c r="L2331" s="21"/>
      <c r="M2331" s="22">
        <f>(PROVEEDORES[[#This Row],[SUBTOTAL]]-PROVEEDORES[[#This Row],[descuento sobre subtotal]])*VLOOKUP(PROVEEDORES[[#This Row],[PROVEEDOR]],TERCEROS_INFO[#All],3,FALSE)</f>
        <v>191004.15</v>
      </c>
      <c r="N2331" s="23"/>
      <c r="O2331" s="22">
        <f>+PROVEEDORES[[#This Row],[Descuento sobre subtotal %]]*(PROVEEDORES[[#This Row],[SUBTOTAL]]-PROVEEDORES[[#This Row],[descuento sobre subtotal]])</f>
        <v>0</v>
      </c>
      <c r="P2331" s="74">
        <f>+IF(PROVEEDORES[[#This Row],[SUBTOTAL]]&lt;PROVEEDORES[[#This Row],[base retencion]],0,PROVEEDORES[[#This Row],[retención aplicada]])</f>
        <v>0</v>
      </c>
      <c r="Q2331" s="22">
        <f>+PROVEEDORES[[#This Row],[Rete Fuente %]]*(PROVEEDORES[[#This Row],[SUBTOTAL]]-PROVEEDORES[[#This Row],[descuento sobre subtotal]])</f>
        <v>0</v>
      </c>
      <c r="R2331" s="21">
        <f>+PROVEEDORES[[#This Row],[SUBTOTAL]]+PROVEEDORES[[#This Row],[IVA 19%]]-PROVEEDORES[[#This Row],[descuento sobre subtotal]]-PROVEEDORES[[#This Row],[Descuento sobre subtotal $2]]-PROVEEDORES[[#This Row],[Rete Fuente $]]</f>
        <v>1196289.1499999999</v>
      </c>
      <c r="S2331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31" s="63">
        <f ca="1">IF(PROVEEDORES[[#This Row],[FECHA DE PAGO]]=0,TODAY()-PROVEEDORES[[#This Row],[FECHA DE FACTURACIÓN]]-PROVEEDORES[[#This Row],[PLAZO Días]],0)</f>
        <v>4</v>
      </c>
      <c r="U2331" s="104" t="str">
        <f>+VLOOKUP(PROVEEDORES[[#This Row],[PROVEEDOR]],Terceros!$A:$D,4,FALSE)</f>
        <v>2,5% con base</v>
      </c>
      <c r="V2331" s="105">
        <f>+YEAR(PROVEEDORES[[#This Row],[FECHA DE FACTURACIÓN]])</f>
        <v>2023</v>
      </c>
      <c r="W2331" s="105">
        <f>+MATCH(PROVEEDORES[[#This Row],[año facturado]],Retenciones!$1:$1,0)</f>
        <v>6</v>
      </c>
      <c r="X2331" s="106">
        <f>+VLOOKUP(PROVEEDORES[[#This Row],[ID RETENCION]],Retenciones!$A$1:$O$25,PROVEEDORES[[#This Row],[indicador de columna]],FALSE)</f>
        <v>1145000</v>
      </c>
      <c r="Y2331" s="107">
        <f>+VLOOKUP(PROVEEDORES[[#This Row],[ID RETENCION]],Retenciones!$A$1:$O$25,2,FALSE)</f>
        <v>2.5000000000000001E-2</v>
      </c>
      <c r="Z2331" s="116" t="b">
        <f>OR(COUNTIF(PROVEEDORES[[#This Row],[PROVEEDOR]],"*"&amp;'Palabra no opera'!$A$2&amp;"*"))</f>
        <v>0</v>
      </c>
    </row>
    <row r="2332" spans="1:26" ht="22.35" customHeight="1" x14ac:dyDescent="0.3">
      <c r="A2332" s="67" t="str">
        <f>+IF(PROVEEDORES[[#This Row],[FECHA DE PAGO]]=PROVEEDORES[[#This Row],[FECHA DE FACTURACIÓN]],"DE CONTADO","CRÉDITO")</f>
        <v>CRÉDITO</v>
      </c>
      <c r="B2332" s="38" t="b">
        <f>+IF((PROVEEDORES[[#This Row],[FECHA DE PAGO]]-PROVEEDORES[[#This Row],[FECHA DE FACTURACIÓN]])&gt;PROVEEDORES[[#This Row],[PLAZO Días]],"PAGO VENCIDO")</f>
        <v>0</v>
      </c>
      <c r="C2332" s="20">
        <f>+VLOOKUP(PROVEEDORES[[#This Row],[PROVEEDOR]],TERCEROS_INFO[#All],2,FALSE)</f>
        <v>30</v>
      </c>
      <c r="D2332" s="25">
        <f>+SUMIFS(PROVEEDORES[Total],PROVEEDORES[PROVEEDOR],PROVEEDORES[[#This Row],[PROVEEDOR]],PROVEEDORES[FECHA DE PAGO],"")</f>
        <v>1125118.8199999998</v>
      </c>
      <c r="E2332" s="25"/>
      <c r="F2332" s="56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H2332" s="26" t="s">
        <v>279</v>
      </c>
      <c r="I2332" s="68">
        <v>45274</v>
      </c>
      <c r="J2332" s="35" t="s">
        <v>2277</v>
      </c>
      <c r="K2332" s="21">
        <v>79327</v>
      </c>
      <c r="L2332" s="21"/>
      <c r="M2332" s="22">
        <f>(PROVEEDORES[[#This Row],[SUBTOTAL]]-PROVEEDORES[[#This Row],[descuento sobre subtotal]])*VLOOKUP(PROVEEDORES[[#This Row],[PROVEEDOR]],TERCEROS_INFO[#All],3,FALSE)</f>
        <v>15072.130000000001</v>
      </c>
      <c r="N2332" s="23"/>
      <c r="O2332" s="22">
        <f>+PROVEEDORES[[#This Row],[Descuento sobre subtotal %]]*(PROVEEDORES[[#This Row],[SUBTOTAL]]-PROVEEDORES[[#This Row],[descuento sobre subtotal]])</f>
        <v>0</v>
      </c>
      <c r="P2332" s="74">
        <f>+IF(PROVEEDORES[[#This Row],[SUBTOTAL]]&lt;PROVEEDORES[[#This Row],[base retencion]],0,PROVEEDORES[[#This Row],[retención aplicada]])</f>
        <v>0</v>
      </c>
      <c r="Q2332" s="22">
        <f>+PROVEEDORES[[#This Row],[Rete Fuente %]]*(PROVEEDORES[[#This Row],[SUBTOTAL]]-PROVEEDORES[[#This Row],[descuento sobre subtotal]])</f>
        <v>0</v>
      </c>
      <c r="R2332" s="21">
        <f>+PROVEEDORES[[#This Row],[SUBTOTAL]]+PROVEEDORES[[#This Row],[IVA 19%]]-PROVEEDORES[[#This Row],[descuento sobre subtotal]]-PROVEEDORES[[#This Row],[Descuento sobre subtotal $2]]-PROVEEDORES[[#This Row],[Rete Fuente $]]</f>
        <v>94399.13</v>
      </c>
      <c r="S2332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2" s="63">
        <f ca="1">IF(PROVEEDORES[[#This Row],[FECHA DE PAGO]]=0,TODAY()-PROVEEDORES[[#This Row],[FECHA DE FACTURACIÓN]]-PROVEEDORES[[#This Row],[PLAZO Días]],0)</f>
        <v>-4</v>
      </c>
      <c r="U2332" s="104" t="str">
        <f>+VLOOKUP(PROVEEDORES[[#This Row],[PROVEEDOR]],Terceros!$A:$D,4,FALSE)</f>
        <v>2,5% con base</v>
      </c>
      <c r="V2332" s="105">
        <f>+YEAR(PROVEEDORES[[#This Row],[FECHA DE FACTURACIÓN]])</f>
        <v>2023</v>
      </c>
      <c r="W2332" s="105">
        <f>+MATCH(PROVEEDORES[[#This Row],[año facturado]],Retenciones!$1:$1,0)</f>
        <v>6</v>
      </c>
      <c r="X2332" s="106">
        <f>+VLOOKUP(PROVEEDORES[[#This Row],[ID RETENCION]],Retenciones!$A$1:$O$25,PROVEEDORES[[#This Row],[indicador de columna]],FALSE)</f>
        <v>1145000</v>
      </c>
      <c r="Y2332" s="107">
        <f>+VLOOKUP(PROVEEDORES[[#This Row],[ID RETENCION]],Retenciones!$A$1:$O$25,2,FALSE)</f>
        <v>2.5000000000000001E-2</v>
      </c>
      <c r="Z2332" s="116" t="b">
        <f>OR(COUNTIF(PROVEEDORES[[#This Row],[PROVEEDOR]],"*"&amp;'Palabra no opera'!$A$2&amp;"*"))</f>
        <v>0</v>
      </c>
    </row>
    <row r="2333" spans="1:26" ht="22.35" customHeight="1" x14ac:dyDescent="0.3">
      <c r="A2333" s="387" t="str">
        <f>+IF(PROVEEDORES[[#This Row],[FECHA DE PAGO]]=PROVEEDORES[[#This Row],[FECHA DE FACTURACIÓN]],"DE CONTADO","CRÉDITO")</f>
        <v>CRÉDITO</v>
      </c>
      <c r="B2333" s="38" t="b">
        <f>+IF((PROVEEDORES[[#This Row],[FECHA DE PAGO]]-PROVEEDORES[[#This Row],[FECHA DE FACTURACIÓN]])&gt;PROVEEDORES[[#This Row],[PLAZO Días]],"PAGO VENCIDO")</f>
        <v>0</v>
      </c>
      <c r="C2333" s="20">
        <f>+VLOOKUP(PROVEEDORES[[#This Row],[PROVEEDOR]],TERCEROS_INFO[#All],2,FALSE)</f>
        <v>30</v>
      </c>
      <c r="D2333" s="25">
        <f>+SUMIFS(PROVEEDORES[Total],PROVEEDORES[PROVEEDOR],PROVEEDORES[[#This Row],[PROVEEDOR]],PROVEEDORES[FECHA DE PAGO],"")</f>
        <v>27189617.395</v>
      </c>
      <c r="E2333" s="25"/>
      <c r="F2333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H2333" s="26" t="s">
        <v>77</v>
      </c>
      <c r="I2333" s="68">
        <v>45251</v>
      </c>
      <c r="J2333" s="35" t="s">
        <v>2179</v>
      </c>
      <c r="K2333" s="21">
        <v>8710860</v>
      </c>
      <c r="L2333" s="21"/>
      <c r="M2333" s="22">
        <f>(PROVEEDORES[[#This Row],[SUBTOTAL]]-PROVEEDORES[[#This Row],[descuento sobre subtotal]])*VLOOKUP(PROVEEDORES[[#This Row],[PROVEEDOR]],TERCEROS_INFO[#All],3,FALSE)</f>
        <v>1655063.4</v>
      </c>
      <c r="N2333" s="23"/>
      <c r="O2333" s="397">
        <v>3100000</v>
      </c>
      <c r="P2333" s="74">
        <f>+IF(PROVEEDORES[[#This Row],[SUBTOTAL]]&lt;PROVEEDORES[[#This Row],[base retencion]],0,PROVEEDORES[[#This Row],[retención aplicada]])</f>
        <v>2.5000000000000001E-2</v>
      </c>
      <c r="Q2333" s="22">
        <f>+PROVEEDORES[[#This Row],[Rete Fuente %]]*(PROVEEDORES[[#This Row],[SUBTOTAL]]-PROVEEDORES[[#This Row],[descuento sobre subtotal]])</f>
        <v>217771.5</v>
      </c>
      <c r="R2333" s="21">
        <f>+PROVEEDORES[[#This Row],[SUBTOTAL]]+PROVEEDORES[[#This Row],[IVA 19%]]-PROVEEDORES[[#This Row],[descuento sobre subtotal]]-PROVEEDORES[[#This Row],[Descuento sobre subtotal $2]]-PROVEEDORES[[#This Row],[Rete Fuente $]]</f>
        <v>7048151.9000000004</v>
      </c>
      <c r="S2333" s="38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33" s="63">
        <f ca="1">IF(PROVEEDORES[[#This Row],[FECHA DE PAGO]]=0,TODAY()-PROVEEDORES[[#This Row],[FECHA DE FACTURACIÓN]]-PROVEEDORES[[#This Row],[PLAZO Días]],0)</f>
        <v>19</v>
      </c>
      <c r="U2333" s="104" t="str">
        <f>+VLOOKUP(PROVEEDORES[[#This Row],[PROVEEDOR]],Terceros!$A:$D,4,FALSE)</f>
        <v>2,5% con base</v>
      </c>
      <c r="V2333" s="105">
        <f>+YEAR(PROVEEDORES[[#This Row],[FECHA DE FACTURACIÓN]])</f>
        <v>2023</v>
      </c>
      <c r="W2333" s="105">
        <f>+MATCH(PROVEEDORES[[#This Row],[año facturado]],Retenciones!$1:$1,0)</f>
        <v>6</v>
      </c>
      <c r="X2333" s="106">
        <f>+VLOOKUP(PROVEEDORES[[#This Row],[ID RETENCION]],Retenciones!$A$1:$O$25,PROVEEDORES[[#This Row],[indicador de columna]],FALSE)</f>
        <v>1145000</v>
      </c>
      <c r="Y2333" s="107">
        <f>+VLOOKUP(PROVEEDORES[[#This Row],[ID RETENCION]],Retenciones!$A$1:$O$25,2,FALSE)</f>
        <v>2.5000000000000001E-2</v>
      </c>
      <c r="Z2333" s="116" t="b">
        <f>OR(COUNTIF(PROVEEDORES[[#This Row],[PROVEEDOR]],"*"&amp;'Palabra no opera'!$A$2&amp;"*"))</f>
        <v>0</v>
      </c>
    </row>
    <row r="2334" spans="1:26" ht="22.35" customHeight="1" x14ac:dyDescent="0.3">
      <c r="A2334" s="67" t="str">
        <f>+IF(PROVEEDORES[[#This Row],[FECHA DE PAGO]]=PROVEEDORES[[#This Row],[FECHA DE FACTURACIÓN]],"DE CONTADO","CRÉDITO")</f>
        <v>CRÉDITO</v>
      </c>
      <c r="B2334" s="38" t="b">
        <f>+IF((PROVEEDORES[[#This Row],[FECHA DE PAGO]]-PROVEEDORES[[#This Row],[FECHA DE FACTURACIÓN]])&gt;PROVEEDORES[[#This Row],[PLAZO Días]],"PAGO VENCIDO")</f>
        <v>0</v>
      </c>
      <c r="C2334" s="20">
        <f>+VLOOKUP(PROVEEDORES[[#This Row],[PROVEEDOR]],TERCEROS_INFO[#All],2,FALSE)</f>
        <v>30</v>
      </c>
      <c r="D2334" s="25">
        <f>+SUMIFS(PROVEEDORES[Total],PROVEEDORES[PROVEEDOR],PROVEEDORES[[#This Row],[PROVEEDOR]],PROVEEDORES[FECHA DE PAGO],"")</f>
        <v>27189617.395</v>
      </c>
      <c r="E2334" s="25"/>
      <c r="F2334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H2334" s="26" t="s">
        <v>77</v>
      </c>
      <c r="I2334" s="68">
        <v>45274</v>
      </c>
      <c r="J2334" s="35" t="s">
        <v>2279</v>
      </c>
      <c r="K2334" s="21">
        <v>10849593</v>
      </c>
      <c r="L2334" s="21"/>
      <c r="M2334" s="22">
        <f>(PROVEEDORES[[#This Row],[SUBTOTAL]]-PROVEEDORES[[#This Row],[descuento sobre subtotal]])*VLOOKUP(PROVEEDORES[[#This Row],[PROVEEDOR]],TERCEROS_INFO[#All],3,FALSE)</f>
        <v>2061422.67</v>
      </c>
      <c r="N2334" s="23"/>
      <c r="O2334" s="22">
        <v>12000000</v>
      </c>
      <c r="P2334" s="74">
        <f>+IF(PROVEEDORES[[#This Row],[SUBTOTAL]]&lt;PROVEEDORES[[#This Row],[base retencion]],0,PROVEEDORES[[#This Row],[retención aplicada]])</f>
        <v>2.5000000000000001E-2</v>
      </c>
      <c r="Q2334" s="22">
        <f>+PROVEEDORES[[#This Row],[Rete Fuente %]]*(PROVEEDORES[[#This Row],[SUBTOTAL]]-PROVEEDORES[[#This Row],[descuento sobre subtotal]])</f>
        <v>271239.82500000001</v>
      </c>
      <c r="R2334" s="21">
        <f>+PROVEEDORES[[#This Row],[SUBTOTAL]]+PROVEEDORES[[#This Row],[IVA 19%]]-PROVEEDORES[[#This Row],[descuento sobre subtotal]]-PROVEEDORES[[#This Row],[Descuento sobre subtotal $2]]-PROVEEDORES[[#This Row],[Rete Fuente $]]</f>
        <v>639775.84499999997</v>
      </c>
      <c r="S2334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4" s="63">
        <f ca="1">IF(PROVEEDORES[[#This Row],[FECHA DE PAGO]]=0,TODAY()-PROVEEDORES[[#This Row],[FECHA DE FACTURACIÓN]]-PROVEEDORES[[#This Row],[PLAZO Días]],0)</f>
        <v>-4</v>
      </c>
      <c r="U2334" s="104" t="str">
        <f>+VLOOKUP(PROVEEDORES[[#This Row],[PROVEEDOR]],Terceros!$A:$D,4,FALSE)</f>
        <v>2,5% con base</v>
      </c>
      <c r="V2334" s="105">
        <f>+YEAR(PROVEEDORES[[#This Row],[FECHA DE FACTURACIÓN]])</f>
        <v>2023</v>
      </c>
      <c r="W2334" s="105">
        <f>+MATCH(PROVEEDORES[[#This Row],[año facturado]],Retenciones!$1:$1,0)</f>
        <v>6</v>
      </c>
      <c r="X2334" s="106">
        <f>+VLOOKUP(PROVEEDORES[[#This Row],[ID RETENCION]],Retenciones!$A$1:$O$25,PROVEEDORES[[#This Row],[indicador de columna]],FALSE)</f>
        <v>1145000</v>
      </c>
      <c r="Y2334" s="107">
        <f>+VLOOKUP(PROVEEDORES[[#This Row],[ID RETENCION]],Retenciones!$A$1:$O$25,2,FALSE)</f>
        <v>2.5000000000000001E-2</v>
      </c>
      <c r="Z2334" s="116" t="b">
        <f>OR(COUNTIF(PROVEEDORES[[#This Row],[PROVEEDOR]],"*"&amp;'Palabra no opera'!$A$2&amp;"*"))</f>
        <v>0</v>
      </c>
    </row>
    <row r="2335" spans="1:26" ht="22.35" customHeight="1" x14ac:dyDescent="0.3">
      <c r="A2335" s="67" t="str">
        <f>+IF(PROVEEDORES[[#This Row],[FECHA DE PAGO]]=PROVEEDORES[[#This Row],[FECHA DE FACTURACIÓN]],"DE CONTADO","CRÉDITO")</f>
        <v>CRÉDITO</v>
      </c>
      <c r="B2335" s="38" t="b">
        <f>+IF((PROVEEDORES[[#This Row],[FECHA DE PAGO]]-PROVEEDORES[[#This Row],[FECHA DE FACTURACIÓN]])&gt;PROVEEDORES[[#This Row],[PLAZO Días]],"PAGO VENCIDO")</f>
        <v>0</v>
      </c>
      <c r="C2335" s="20">
        <f>+VLOOKUP(PROVEEDORES[[#This Row],[PROVEEDOR]],TERCEROS_INFO[#All],2,FALSE)</f>
        <v>30</v>
      </c>
      <c r="D2335" s="25">
        <f>+SUMIFS(PROVEEDORES[Total],PROVEEDORES[PROVEEDOR],PROVEEDORES[[#This Row],[PROVEEDOR]],PROVEEDORES[FECHA DE PAGO],"")</f>
        <v>5538410</v>
      </c>
      <c r="E2335" s="25"/>
      <c r="F2335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H2335" s="26" t="s">
        <v>1460</v>
      </c>
      <c r="I2335" s="68">
        <v>45275</v>
      </c>
      <c r="J2335" s="35" t="s">
        <v>2281</v>
      </c>
      <c r="K2335" s="21">
        <v>4754000</v>
      </c>
      <c r="L2335" s="21"/>
      <c r="M2335" s="22">
        <f>(PROVEEDORES[[#This Row],[SUBTOTAL]]-PROVEEDORES[[#This Row],[descuento sobre subtotal]])*VLOOKUP(PROVEEDORES[[#This Row],[PROVEEDOR]],TERCEROS_INFO[#All],3,FALSE)</f>
        <v>903260</v>
      </c>
      <c r="N2335" s="23"/>
      <c r="O2335" s="22">
        <f>+PROVEEDORES[[#This Row],[Descuento sobre subtotal %]]*(PROVEEDORES[[#This Row],[SUBTOTAL]]-PROVEEDORES[[#This Row],[descuento sobre subtotal]])</f>
        <v>0</v>
      </c>
      <c r="P2335" s="74">
        <f>+IF(PROVEEDORES[[#This Row],[SUBTOTAL]]&lt;PROVEEDORES[[#This Row],[base retencion]],0,PROVEEDORES[[#This Row],[retención aplicada]])</f>
        <v>2.5000000000000001E-2</v>
      </c>
      <c r="Q2335" s="22">
        <f>+PROVEEDORES[[#This Row],[Rete Fuente %]]*(PROVEEDORES[[#This Row],[SUBTOTAL]]-PROVEEDORES[[#This Row],[descuento sobre subtotal]])</f>
        <v>118850</v>
      </c>
      <c r="R2335" s="21">
        <f>+PROVEEDORES[[#This Row],[SUBTOTAL]]+PROVEEDORES[[#This Row],[IVA 19%]]-PROVEEDORES[[#This Row],[descuento sobre subtotal]]-PROVEEDORES[[#This Row],[Descuento sobre subtotal $2]]-PROVEEDORES[[#This Row],[Rete Fuente $]]</f>
        <v>5538410</v>
      </c>
      <c r="S2335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5" s="63">
        <f ca="1">IF(PROVEEDORES[[#This Row],[FECHA DE PAGO]]=0,TODAY()-PROVEEDORES[[#This Row],[FECHA DE FACTURACIÓN]]-PROVEEDORES[[#This Row],[PLAZO Días]],0)</f>
        <v>-5</v>
      </c>
      <c r="U2335" s="104" t="str">
        <f>+VLOOKUP(PROVEEDORES[[#This Row],[PROVEEDOR]],Terceros!$A:$D,4,FALSE)</f>
        <v>2,5% con base</v>
      </c>
      <c r="V2335" s="105">
        <f>+YEAR(PROVEEDORES[[#This Row],[FECHA DE FACTURACIÓN]])</f>
        <v>2023</v>
      </c>
      <c r="W2335" s="105">
        <f>+MATCH(PROVEEDORES[[#This Row],[año facturado]],Retenciones!$1:$1,0)</f>
        <v>6</v>
      </c>
      <c r="X2335" s="106">
        <f>+VLOOKUP(PROVEEDORES[[#This Row],[ID RETENCION]],Retenciones!$A$1:$O$25,PROVEEDORES[[#This Row],[indicador de columna]],FALSE)</f>
        <v>1145000</v>
      </c>
      <c r="Y2335" s="107">
        <f>+VLOOKUP(PROVEEDORES[[#This Row],[ID RETENCION]],Retenciones!$A$1:$O$25,2,FALSE)</f>
        <v>2.5000000000000001E-2</v>
      </c>
      <c r="Z2335" s="116" t="b">
        <f>OR(COUNTIF(PROVEEDORES[[#This Row],[PROVEEDOR]],"*"&amp;'Palabra no opera'!$A$2&amp;"*"))</f>
        <v>0</v>
      </c>
    </row>
    <row r="2336" spans="1:26" ht="22.35" customHeight="1" x14ac:dyDescent="0.3">
      <c r="A2336" s="67" t="str">
        <f>+IF(PROVEEDORES[[#This Row],[FECHA DE PAGO]]=PROVEEDORES[[#This Row],[FECHA DE FACTURACIÓN]],"DE CONTADO","CRÉDITO")</f>
        <v>CRÉDITO</v>
      </c>
      <c r="B2336" s="38" t="b">
        <f>+IF((PROVEEDORES[[#This Row],[FECHA DE PAGO]]-PROVEEDORES[[#This Row],[FECHA DE FACTURACIÓN]])&gt;PROVEEDORES[[#This Row],[PLAZO Días]],"PAGO VENCIDO")</f>
        <v>0</v>
      </c>
      <c r="C2336" s="20">
        <f>+VLOOKUP(PROVEEDORES[[#This Row],[PROVEEDOR]],TERCEROS_INFO[#All],2,FALSE)</f>
        <v>30</v>
      </c>
      <c r="D2336" s="25">
        <f>+SUMIFS(PROVEEDORES[Total],PROVEEDORES[PROVEEDOR],PROVEEDORES[[#This Row],[PROVEEDOR]],PROVEEDORES[FECHA DE PAGO],"")</f>
        <v>3209330.35</v>
      </c>
      <c r="E2336" s="25"/>
      <c r="F2336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2336" s="26" t="s">
        <v>282</v>
      </c>
      <c r="I2336" s="68">
        <v>45272</v>
      </c>
      <c r="J2336" s="35" t="s">
        <v>2282</v>
      </c>
      <c r="K2336" s="21">
        <v>2754790</v>
      </c>
      <c r="L2336" s="21"/>
      <c r="M2336" s="22">
        <f>(PROVEEDORES[[#This Row],[SUBTOTAL]]-PROVEEDORES[[#This Row],[descuento sobre subtotal]])*VLOOKUP(PROVEEDORES[[#This Row],[PROVEEDOR]],TERCEROS_INFO[#All],3,FALSE)</f>
        <v>523410.10000000003</v>
      </c>
      <c r="N2336" s="23"/>
      <c r="O2336" s="22">
        <f>+PROVEEDORES[[#This Row],[Descuento sobre subtotal %]]*(PROVEEDORES[[#This Row],[SUBTOTAL]]-PROVEEDORES[[#This Row],[descuento sobre subtotal]])</f>
        <v>0</v>
      </c>
      <c r="P2336" s="74">
        <f>+IF(PROVEEDORES[[#This Row],[SUBTOTAL]]&lt;PROVEEDORES[[#This Row],[base retencion]],0,PROVEEDORES[[#This Row],[retención aplicada]])</f>
        <v>2.5000000000000001E-2</v>
      </c>
      <c r="Q2336" s="22">
        <f>+PROVEEDORES[[#This Row],[Rete Fuente %]]*(PROVEEDORES[[#This Row],[SUBTOTAL]]-PROVEEDORES[[#This Row],[descuento sobre subtotal]])</f>
        <v>68869.75</v>
      </c>
      <c r="R2336" s="21">
        <f>+PROVEEDORES[[#This Row],[SUBTOTAL]]+PROVEEDORES[[#This Row],[IVA 19%]]-PROVEEDORES[[#This Row],[descuento sobre subtotal]]-PROVEEDORES[[#This Row],[Descuento sobre subtotal $2]]-PROVEEDORES[[#This Row],[Rete Fuente $]]</f>
        <v>3209330.35</v>
      </c>
      <c r="S2336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6" s="63">
        <f ca="1">IF(PROVEEDORES[[#This Row],[FECHA DE PAGO]]=0,TODAY()-PROVEEDORES[[#This Row],[FECHA DE FACTURACIÓN]]-PROVEEDORES[[#This Row],[PLAZO Días]],0)</f>
        <v>-2</v>
      </c>
      <c r="U2336" s="104" t="str">
        <f>+VLOOKUP(PROVEEDORES[[#This Row],[PROVEEDOR]],Terceros!$A:$D,4,FALSE)</f>
        <v>2,5% con base</v>
      </c>
      <c r="V2336" s="105">
        <f>+YEAR(PROVEEDORES[[#This Row],[FECHA DE FACTURACIÓN]])</f>
        <v>2023</v>
      </c>
      <c r="W2336" s="105">
        <f>+MATCH(PROVEEDORES[[#This Row],[año facturado]],Retenciones!$1:$1,0)</f>
        <v>6</v>
      </c>
      <c r="X2336" s="106">
        <f>+VLOOKUP(PROVEEDORES[[#This Row],[ID RETENCION]],Retenciones!$A$1:$O$25,PROVEEDORES[[#This Row],[indicador de columna]],FALSE)</f>
        <v>1145000</v>
      </c>
      <c r="Y2336" s="107">
        <f>+VLOOKUP(PROVEEDORES[[#This Row],[ID RETENCION]],Retenciones!$A$1:$O$25,2,FALSE)</f>
        <v>2.5000000000000001E-2</v>
      </c>
      <c r="Z2336" s="116" t="b">
        <f>OR(COUNTIF(PROVEEDORES[[#This Row],[PROVEEDOR]],"*"&amp;'Palabra no opera'!$A$2&amp;"*"))</f>
        <v>0</v>
      </c>
    </row>
    <row r="2337" spans="1:26" ht="22.35" customHeight="1" x14ac:dyDescent="0.3">
      <c r="A2337" s="67" t="str">
        <f>+IF(PROVEEDORES[[#This Row],[FECHA DE PAGO]]=PROVEEDORES[[#This Row],[FECHA DE FACTURACIÓN]],"DE CONTADO","CRÉDITO")</f>
        <v>CRÉDITO</v>
      </c>
      <c r="B2337" s="38" t="b">
        <f>+IF((PROVEEDORES[[#This Row],[FECHA DE PAGO]]-PROVEEDORES[[#This Row],[FECHA DE FACTURACIÓN]])&gt;PROVEEDORES[[#This Row],[PLAZO Días]],"PAGO VENCIDO")</f>
        <v>0</v>
      </c>
      <c r="C2337" s="20">
        <f>+VLOOKUP(PROVEEDORES[[#This Row],[PROVEEDOR]],TERCEROS_INFO[#All],2,FALSE)</f>
        <v>30</v>
      </c>
      <c r="D2337" s="25">
        <f>+SUMIFS(PROVEEDORES[Total],PROVEEDORES[PROVEEDOR],PROVEEDORES[[#This Row],[PROVEEDOR]],PROVEEDORES[FECHA DE PAGO],"")</f>
        <v>380979.69</v>
      </c>
      <c r="E2337" s="25"/>
      <c r="F2337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H2337" s="26" t="s">
        <v>615</v>
      </c>
      <c r="I2337" s="68">
        <v>45272</v>
      </c>
      <c r="J2337" s="35" t="s">
        <v>2283</v>
      </c>
      <c r="K2337" s="21">
        <v>320151</v>
      </c>
      <c r="L2337" s="21"/>
      <c r="M2337" s="22">
        <f>(PROVEEDORES[[#This Row],[SUBTOTAL]]-PROVEEDORES[[#This Row],[descuento sobre subtotal]])*VLOOKUP(PROVEEDORES[[#This Row],[PROVEEDOR]],TERCEROS_INFO[#All],3,FALSE)</f>
        <v>60828.69</v>
      </c>
      <c r="N2337" s="23"/>
      <c r="O2337" s="22">
        <f>+PROVEEDORES[[#This Row],[Descuento sobre subtotal %]]*(PROVEEDORES[[#This Row],[SUBTOTAL]]-PROVEEDORES[[#This Row],[descuento sobre subtotal]])</f>
        <v>0</v>
      </c>
      <c r="P2337" s="74">
        <f>+IF(PROVEEDORES[[#This Row],[SUBTOTAL]]&lt;PROVEEDORES[[#This Row],[base retencion]],0,PROVEEDORES[[#This Row],[retención aplicada]])</f>
        <v>0</v>
      </c>
      <c r="Q2337" s="22">
        <f>+PROVEEDORES[[#This Row],[Rete Fuente %]]*(PROVEEDORES[[#This Row],[SUBTOTAL]]-PROVEEDORES[[#This Row],[descuento sobre subtotal]])</f>
        <v>0</v>
      </c>
      <c r="R2337" s="21">
        <f>+PROVEEDORES[[#This Row],[SUBTOTAL]]+PROVEEDORES[[#This Row],[IVA 19%]]-PROVEEDORES[[#This Row],[descuento sobre subtotal]]-PROVEEDORES[[#This Row],[Descuento sobre subtotal $2]]-PROVEEDORES[[#This Row],[Rete Fuente $]]</f>
        <v>380979.69</v>
      </c>
      <c r="S2337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7" s="63">
        <f ca="1">IF(PROVEEDORES[[#This Row],[FECHA DE PAGO]]=0,TODAY()-PROVEEDORES[[#This Row],[FECHA DE FACTURACIÓN]]-PROVEEDORES[[#This Row],[PLAZO Días]],0)</f>
        <v>-2</v>
      </c>
      <c r="U2337" s="104">
        <f>+VLOOKUP(PROVEEDORES[[#This Row],[PROVEEDOR]],Terceros!$A:$D,4,FALSE)</f>
        <v>0</v>
      </c>
      <c r="V2337" s="105">
        <f>+YEAR(PROVEEDORES[[#This Row],[FECHA DE FACTURACIÓN]])</f>
        <v>2023</v>
      </c>
      <c r="W2337" s="105">
        <f>+MATCH(PROVEEDORES[[#This Row],[año facturado]],Retenciones!$1:$1,0)</f>
        <v>6</v>
      </c>
      <c r="X2337" s="106">
        <f>+VLOOKUP(PROVEEDORES[[#This Row],[ID RETENCION]],Retenciones!$A$1:$O$25,PROVEEDORES[[#This Row],[indicador de columna]],FALSE)</f>
        <v>0</v>
      </c>
      <c r="Y2337" s="107">
        <f>+VLOOKUP(PROVEEDORES[[#This Row],[ID RETENCION]],Retenciones!$A$1:$O$25,2,FALSE)</f>
        <v>0</v>
      </c>
      <c r="Z2337" s="116" t="b">
        <f>OR(COUNTIF(PROVEEDORES[[#This Row],[PROVEEDOR]],"*"&amp;'Palabra no opera'!$A$2&amp;"*"))</f>
        <v>1</v>
      </c>
    </row>
    <row r="2338" spans="1:26" ht="22.35" customHeight="1" x14ac:dyDescent="0.3">
      <c r="A2338" s="67" t="str">
        <f>+IF(PROVEEDORES[[#This Row],[FECHA DE PAGO]]=PROVEEDORES[[#This Row],[FECHA DE FACTURACIÓN]],"DE CONTADO","CRÉDITO")</f>
        <v>CRÉDITO</v>
      </c>
      <c r="B2338" s="38" t="b">
        <f>+IF((PROVEEDORES[[#This Row],[FECHA DE PAGO]]-PROVEEDORES[[#This Row],[FECHA DE FACTURACIÓN]])&gt;PROVEEDORES[[#This Row],[PLAZO Días]],"PAGO VENCIDO")</f>
        <v>0</v>
      </c>
      <c r="C2338" s="20">
        <f>+VLOOKUP(PROVEEDORES[[#This Row],[PROVEEDOR]],TERCEROS_INFO[#All],2,FALSE)</f>
        <v>30</v>
      </c>
      <c r="D2338" s="25">
        <f>+SUMIFS(PROVEEDORES[Total],PROVEEDORES[PROVEEDOR],PROVEEDORES[[#This Row],[PROVEEDOR]],PROVEEDORES[FECHA DE PAGO],"")</f>
        <v>4248480.9550000001</v>
      </c>
      <c r="E2338" s="25"/>
      <c r="F2338" s="56" t="str">
        <f>+VLOOKUP(PROVEEDORES[[#This Row],[PROVEEDOR]],
                       Terceros!$A:$F,
                       5,
                       FALSE)</f>
        <v/>
      </c>
      <c r="H2338" s="26" t="s">
        <v>78</v>
      </c>
      <c r="I2338" s="68">
        <v>45272</v>
      </c>
      <c r="J2338" s="35" t="s">
        <v>2284</v>
      </c>
      <c r="K2338" s="21">
        <v>1577674</v>
      </c>
      <c r="L2338" s="21"/>
      <c r="M2338" s="22">
        <f>(PROVEEDORES[[#This Row],[SUBTOTAL]]-PROVEEDORES[[#This Row],[descuento sobre subtotal]])*VLOOKUP(PROVEEDORES[[#This Row],[PROVEEDOR]],TERCEROS_INFO[#All],3,FALSE)</f>
        <v>299758.06</v>
      </c>
      <c r="N2338" s="23"/>
      <c r="O2338" s="22">
        <f>+PROVEEDORES[[#This Row],[Descuento sobre subtotal %]]*(PROVEEDORES[[#This Row],[SUBTOTAL]]-PROVEEDORES[[#This Row],[descuento sobre subtotal]])</f>
        <v>0</v>
      </c>
      <c r="P2338" s="74">
        <f>+IF(PROVEEDORES[[#This Row],[SUBTOTAL]]&lt;PROVEEDORES[[#This Row],[base retencion]],0,PROVEEDORES[[#This Row],[retención aplicada]])</f>
        <v>2.5000000000000001E-2</v>
      </c>
      <c r="Q2338" s="22">
        <f>+PROVEEDORES[[#This Row],[Rete Fuente %]]*(PROVEEDORES[[#This Row],[SUBTOTAL]]-PROVEEDORES[[#This Row],[descuento sobre subtotal]])</f>
        <v>39441.850000000006</v>
      </c>
      <c r="R2338" s="21">
        <f>+PROVEEDORES[[#This Row],[SUBTOTAL]]+PROVEEDORES[[#This Row],[IVA 19%]]-PROVEEDORES[[#This Row],[descuento sobre subtotal]]-PROVEEDORES[[#This Row],[Descuento sobre subtotal $2]]-PROVEEDORES[[#This Row],[Rete Fuente $]]</f>
        <v>1837990.21</v>
      </c>
      <c r="S2338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8" s="63">
        <f ca="1">IF(PROVEEDORES[[#This Row],[FECHA DE PAGO]]=0,TODAY()-PROVEEDORES[[#This Row],[FECHA DE FACTURACIÓN]]-PROVEEDORES[[#This Row],[PLAZO Días]],0)</f>
        <v>-2</v>
      </c>
      <c r="U2338" s="104" t="str">
        <f>+VLOOKUP(PROVEEDORES[[#This Row],[PROVEEDOR]],Terceros!$A:$D,4,FALSE)</f>
        <v>2,5% con base</v>
      </c>
      <c r="V2338" s="105">
        <f>+YEAR(PROVEEDORES[[#This Row],[FECHA DE FACTURACIÓN]])</f>
        <v>2023</v>
      </c>
      <c r="W2338" s="105">
        <f>+MATCH(PROVEEDORES[[#This Row],[año facturado]],Retenciones!$1:$1,0)</f>
        <v>6</v>
      </c>
      <c r="X2338" s="106">
        <f>+VLOOKUP(PROVEEDORES[[#This Row],[ID RETENCION]],Retenciones!$A$1:$O$25,PROVEEDORES[[#This Row],[indicador de columna]],FALSE)</f>
        <v>1145000</v>
      </c>
      <c r="Y2338" s="107">
        <f>+VLOOKUP(PROVEEDORES[[#This Row],[ID RETENCION]],Retenciones!$A$1:$O$25,2,FALSE)</f>
        <v>2.5000000000000001E-2</v>
      </c>
      <c r="Z2338" s="116" t="b">
        <f>OR(COUNTIF(PROVEEDORES[[#This Row],[PROVEEDOR]],"*"&amp;'Palabra no opera'!$A$2&amp;"*"))</f>
        <v>0</v>
      </c>
    </row>
    <row r="2339" spans="1:26" ht="22.35" customHeight="1" x14ac:dyDescent="0.3">
      <c r="A2339" s="67" t="str">
        <f>+IF(PROVEEDORES[[#This Row],[FECHA DE PAGO]]=PROVEEDORES[[#This Row],[FECHA DE FACTURACIÓN]],"DE CONTADO","CRÉDITO")</f>
        <v>CRÉDITO</v>
      </c>
      <c r="B2339" s="38" t="b">
        <f>+IF((PROVEEDORES[[#This Row],[FECHA DE PAGO]]-PROVEEDORES[[#This Row],[FECHA DE FACTURACIÓN]])&gt;PROVEEDORES[[#This Row],[PLAZO Días]],"PAGO VENCIDO")</f>
        <v>0</v>
      </c>
      <c r="C2339" s="20">
        <f>+VLOOKUP(PROVEEDORES[[#This Row],[PROVEEDOR]],TERCEROS_INFO[#All],2,FALSE)</f>
        <v>60</v>
      </c>
      <c r="D2339" s="25">
        <f>+SUMIFS(PROVEEDORES[Total],PROVEEDORES[PROVEEDOR],PROVEEDORES[[#This Row],[PROVEEDOR]],PROVEEDORES[FECHA DE PAGO],"")</f>
        <v>395600</v>
      </c>
      <c r="E2339" s="25"/>
      <c r="F233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2339" s="26" t="s">
        <v>287</v>
      </c>
      <c r="I2339" s="68">
        <v>45282</v>
      </c>
      <c r="J2339" s="35">
        <v>1873</v>
      </c>
      <c r="K2339" s="21">
        <v>395600</v>
      </c>
      <c r="L2339" s="21"/>
      <c r="M2339" s="22">
        <f>(PROVEEDORES[[#This Row],[SUBTOTAL]]-PROVEEDORES[[#This Row],[descuento sobre subtotal]])*VLOOKUP(PROVEEDORES[[#This Row],[PROVEEDOR]],TERCEROS_INFO[#All],3,FALSE)</f>
        <v>0</v>
      </c>
      <c r="N2339" s="23"/>
      <c r="O2339" s="22">
        <f>+PROVEEDORES[[#This Row],[Descuento sobre subtotal %]]*(PROVEEDORES[[#This Row],[SUBTOTAL]]-PROVEEDORES[[#This Row],[descuento sobre subtotal]])</f>
        <v>0</v>
      </c>
      <c r="P2339" s="74">
        <f>+IF(PROVEEDORES[[#This Row],[SUBTOTAL]]&lt;PROVEEDORES[[#This Row],[base retencion]],0,PROVEEDORES[[#This Row],[retención aplicada]])</f>
        <v>0</v>
      </c>
      <c r="Q2339" s="22">
        <f>+PROVEEDORES[[#This Row],[Rete Fuente %]]*(PROVEEDORES[[#This Row],[SUBTOTAL]]-PROVEEDORES[[#This Row],[descuento sobre subtotal]])</f>
        <v>0</v>
      </c>
      <c r="R2339" s="21">
        <f>+PROVEEDORES[[#This Row],[SUBTOTAL]]+PROVEEDORES[[#This Row],[IVA 19%]]-PROVEEDORES[[#This Row],[descuento sobre subtotal]]-PROVEEDORES[[#This Row],[Descuento sobre subtotal $2]]-PROVEEDORES[[#This Row],[Rete Fuente $]]</f>
        <v>395600</v>
      </c>
      <c r="S2339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39" s="63">
        <f ca="1">IF(PROVEEDORES[[#This Row],[FECHA DE PAGO]]=0,TODAY()-PROVEEDORES[[#This Row],[FECHA DE FACTURACIÓN]]-PROVEEDORES[[#This Row],[PLAZO Días]],0)</f>
        <v>-42</v>
      </c>
      <c r="U2339" s="104">
        <f>+VLOOKUP(PROVEEDORES[[#This Row],[PROVEEDOR]],Terceros!$A:$D,4,FALSE)</f>
        <v>0</v>
      </c>
      <c r="V2339" s="105">
        <f>+YEAR(PROVEEDORES[[#This Row],[FECHA DE FACTURACIÓN]])</f>
        <v>2023</v>
      </c>
      <c r="W2339" s="105">
        <f>+MATCH(PROVEEDORES[[#This Row],[año facturado]],Retenciones!$1:$1,0)</f>
        <v>6</v>
      </c>
      <c r="X2339" s="106">
        <f>+VLOOKUP(PROVEEDORES[[#This Row],[ID RETENCION]],Retenciones!$A$1:$O$25,PROVEEDORES[[#This Row],[indicador de columna]],FALSE)</f>
        <v>0</v>
      </c>
      <c r="Y2339" s="107">
        <f>+VLOOKUP(PROVEEDORES[[#This Row],[ID RETENCION]],Retenciones!$A$1:$O$25,2,FALSE)</f>
        <v>0</v>
      </c>
      <c r="Z2339" s="116" t="b">
        <f>OR(COUNTIF(PROVEEDORES[[#This Row],[PROVEEDOR]],"*"&amp;'Palabra no opera'!$A$2&amp;"*"))</f>
        <v>0</v>
      </c>
    </row>
    <row r="2340" spans="1:26" ht="22.35" customHeight="1" x14ac:dyDescent="0.3">
      <c r="A2340" s="67" t="str">
        <f>+IF(PROVEEDORES[[#This Row],[FECHA DE PAGO]]=PROVEEDORES[[#This Row],[FECHA DE FACTURACIÓN]],"DE CONTADO","CRÉDITO")</f>
        <v>CRÉDITO</v>
      </c>
      <c r="B2340" s="38" t="b">
        <f>+IF((PROVEEDORES[[#This Row],[FECHA DE PAGO]]-PROVEEDORES[[#This Row],[FECHA DE FACTURACIÓN]])&gt;PROVEEDORES[[#This Row],[PLAZO Días]],"PAGO VENCIDO")</f>
        <v>0</v>
      </c>
      <c r="C2340" s="20">
        <f>+VLOOKUP(PROVEEDORES[[#This Row],[PROVEEDOR]],TERCEROS_INFO[#All],2,FALSE)</f>
        <v>30</v>
      </c>
      <c r="D2340" s="25">
        <f>+SUMIFS(PROVEEDORES[Total],PROVEEDORES[PROVEEDOR],PROVEEDORES[[#This Row],[PROVEEDOR]],PROVEEDORES[FECHA DE PAGO],"")</f>
        <v>3669750</v>
      </c>
      <c r="E2340" s="25"/>
      <c r="F2340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H2340" s="26" t="s">
        <v>24</v>
      </c>
      <c r="I2340" s="68">
        <v>45274</v>
      </c>
      <c r="J2340" s="35" t="s">
        <v>2285</v>
      </c>
      <c r="K2340" s="21">
        <v>3150000</v>
      </c>
      <c r="L2340" s="21"/>
      <c r="M2340" s="22">
        <f>(PROVEEDORES[[#This Row],[SUBTOTAL]]-PROVEEDORES[[#This Row],[descuento sobre subtotal]])*VLOOKUP(PROVEEDORES[[#This Row],[PROVEEDOR]],TERCEROS_INFO[#All],3,FALSE)</f>
        <v>598500</v>
      </c>
      <c r="N2340" s="23"/>
      <c r="O2340" s="22">
        <f>+PROVEEDORES[[#This Row],[Descuento sobre subtotal %]]*(PROVEEDORES[[#This Row],[SUBTOTAL]]-PROVEEDORES[[#This Row],[descuento sobre subtotal]])</f>
        <v>0</v>
      </c>
      <c r="P2340" s="74">
        <f>+IF(PROVEEDORES[[#This Row],[SUBTOTAL]]&lt;PROVEEDORES[[#This Row],[base retencion]],0,PROVEEDORES[[#This Row],[retención aplicada]])</f>
        <v>2.5000000000000001E-2</v>
      </c>
      <c r="Q2340" s="22">
        <f>+PROVEEDORES[[#This Row],[Rete Fuente %]]*(PROVEEDORES[[#This Row],[SUBTOTAL]]-PROVEEDORES[[#This Row],[descuento sobre subtotal]])</f>
        <v>78750</v>
      </c>
      <c r="R2340" s="21">
        <f>+PROVEEDORES[[#This Row],[SUBTOTAL]]+PROVEEDORES[[#This Row],[IVA 19%]]-PROVEEDORES[[#This Row],[descuento sobre subtotal]]-PROVEEDORES[[#This Row],[Descuento sobre subtotal $2]]-PROVEEDORES[[#This Row],[Rete Fuente $]]</f>
        <v>3669750</v>
      </c>
      <c r="S2340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0" s="63">
        <f ca="1">IF(PROVEEDORES[[#This Row],[FECHA DE PAGO]]=0,TODAY()-PROVEEDORES[[#This Row],[FECHA DE FACTURACIÓN]]-PROVEEDORES[[#This Row],[PLAZO Días]],0)</f>
        <v>-4</v>
      </c>
      <c r="U2340" s="104" t="str">
        <f>+VLOOKUP(PROVEEDORES[[#This Row],[PROVEEDOR]],Terceros!$A:$D,4,FALSE)</f>
        <v>2,5% con base</v>
      </c>
      <c r="V2340" s="105">
        <f>+YEAR(PROVEEDORES[[#This Row],[FECHA DE FACTURACIÓN]])</f>
        <v>2023</v>
      </c>
      <c r="W2340" s="105">
        <f>+MATCH(PROVEEDORES[[#This Row],[año facturado]],Retenciones!$1:$1,0)</f>
        <v>6</v>
      </c>
      <c r="X2340" s="106">
        <f>+VLOOKUP(PROVEEDORES[[#This Row],[ID RETENCION]],Retenciones!$A$1:$O$25,PROVEEDORES[[#This Row],[indicador de columna]],FALSE)</f>
        <v>1145000</v>
      </c>
      <c r="Y2340" s="107">
        <f>+VLOOKUP(PROVEEDORES[[#This Row],[ID RETENCION]],Retenciones!$A$1:$O$25,2,FALSE)</f>
        <v>2.5000000000000001E-2</v>
      </c>
      <c r="Z2340" s="116" t="b">
        <f>OR(COUNTIF(PROVEEDORES[[#This Row],[PROVEEDOR]],"*"&amp;'Palabra no opera'!$A$2&amp;"*"))</f>
        <v>0</v>
      </c>
    </row>
    <row r="2341" spans="1:26" ht="22.35" customHeight="1" x14ac:dyDescent="0.3">
      <c r="A2341" s="67" t="str">
        <f>+IF(PROVEEDORES[[#This Row],[FECHA DE PAGO]]=PROVEEDORES[[#This Row],[FECHA DE FACTURACIÓN]],"DE CONTADO","CRÉDITO")</f>
        <v>CRÉDITO</v>
      </c>
      <c r="B2341" s="38" t="b">
        <f>+IF((PROVEEDORES[[#This Row],[FECHA DE PAGO]]-PROVEEDORES[[#This Row],[FECHA DE FACTURACIÓN]])&gt;PROVEEDORES[[#This Row],[PLAZO Días]],"PAGO VENCIDO")</f>
        <v>0</v>
      </c>
      <c r="C2341" s="20">
        <f>+VLOOKUP(PROVEEDORES[[#This Row],[PROVEEDOR]],TERCEROS_INFO[#All],2,FALSE)</f>
        <v>30</v>
      </c>
      <c r="D2341" s="25">
        <f>+SUMIFS(PROVEEDORES[Total],PROVEEDORES[PROVEEDOR],PROVEEDORES[[#This Row],[PROVEEDOR]],PROVEEDORES[FECHA DE PAGO],"")</f>
        <v>4282200</v>
      </c>
      <c r="E2341" s="25"/>
      <c r="F2341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341" s="26" t="s">
        <v>406</v>
      </c>
      <c r="I2341" s="68">
        <v>45271</v>
      </c>
      <c r="J2341" s="35" t="s">
        <v>2286</v>
      </c>
      <c r="K2341" s="21">
        <v>4925000</v>
      </c>
      <c r="L2341" s="21">
        <v>738750</v>
      </c>
      <c r="M2341" s="22">
        <f>(PROVEEDORES[[#This Row],[SUBTOTAL]]-PROVEEDORES[[#This Row],[descuento sobre subtotal]])*VLOOKUP(PROVEEDORES[[#This Row],[PROVEEDOR]],TERCEROS_INFO[#All],3,FALSE)</f>
        <v>0</v>
      </c>
      <c r="N2341" s="23"/>
      <c r="O2341" s="22">
        <f>+PROVEEDORES[[#This Row],[Descuento sobre subtotal %]]*(PROVEEDORES[[#This Row],[SUBTOTAL]]-PROVEEDORES[[#This Row],[descuento sobre subtotal]])</f>
        <v>0</v>
      </c>
      <c r="P2341" s="74">
        <f>+IF(PROVEEDORES[[#This Row],[SUBTOTAL]]&lt;PROVEEDORES[[#This Row],[base retencion]],0,PROVEEDORES[[#This Row],[retención aplicada]])</f>
        <v>0</v>
      </c>
      <c r="Q2341" s="22">
        <f>+PROVEEDORES[[#This Row],[Rete Fuente %]]*(PROVEEDORES[[#This Row],[SUBTOTAL]]-PROVEEDORES[[#This Row],[descuento sobre subtotal]])</f>
        <v>0</v>
      </c>
      <c r="R2341" s="21">
        <f>+PROVEEDORES[[#This Row],[SUBTOTAL]]+PROVEEDORES[[#This Row],[IVA 19%]]-PROVEEDORES[[#This Row],[descuento sobre subtotal]]-PROVEEDORES[[#This Row],[Descuento sobre subtotal $2]]-PROVEEDORES[[#This Row],[Rete Fuente $]]</f>
        <v>4186250</v>
      </c>
      <c r="S2341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1" s="63">
        <f ca="1">IF(PROVEEDORES[[#This Row],[FECHA DE PAGO]]=0,TODAY()-PROVEEDORES[[#This Row],[FECHA DE FACTURACIÓN]]-PROVEEDORES[[#This Row],[PLAZO Días]],0)</f>
        <v>-1</v>
      </c>
      <c r="U2341" s="104">
        <f>+VLOOKUP(PROVEEDORES[[#This Row],[PROVEEDOR]],Terceros!$A:$D,4,FALSE)</f>
        <v>0</v>
      </c>
      <c r="V2341" s="105">
        <f>+YEAR(PROVEEDORES[[#This Row],[FECHA DE FACTURACIÓN]])</f>
        <v>2023</v>
      </c>
      <c r="W2341" s="105">
        <f>+MATCH(PROVEEDORES[[#This Row],[año facturado]],Retenciones!$1:$1,0)</f>
        <v>6</v>
      </c>
      <c r="X2341" s="106">
        <f>+VLOOKUP(PROVEEDORES[[#This Row],[ID RETENCION]],Retenciones!$A$1:$O$25,PROVEEDORES[[#This Row],[indicador de columna]],FALSE)</f>
        <v>0</v>
      </c>
      <c r="Y2341" s="107">
        <f>+VLOOKUP(PROVEEDORES[[#This Row],[ID RETENCION]],Retenciones!$A$1:$O$25,2,FALSE)</f>
        <v>0</v>
      </c>
      <c r="Z2341" s="116" t="b">
        <f>OR(COUNTIF(PROVEEDORES[[#This Row],[PROVEEDOR]],"*"&amp;'Palabra no opera'!$A$2&amp;"*"))</f>
        <v>0</v>
      </c>
    </row>
    <row r="2342" spans="1:26" ht="22.35" customHeight="1" x14ac:dyDescent="0.3">
      <c r="A2342" s="67" t="str">
        <f>+IF(PROVEEDORES[[#This Row],[FECHA DE PAGO]]=PROVEEDORES[[#This Row],[FECHA DE FACTURACIÓN]],"DE CONTADO","CRÉDITO")</f>
        <v>CRÉDITO</v>
      </c>
      <c r="B2342" s="38" t="b">
        <f>+IF((PROVEEDORES[[#This Row],[FECHA DE PAGO]]-PROVEEDORES[[#This Row],[FECHA DE FACTURACIÓN]])&gt;PROVEEDORES[[#This Row],[PLAZO Días]],"PAGO VENCIDO")</f>
        <v>0</v>
      </c>
      <c r="C2342" s="20">
        <f>+VLOOKUP(PROVEEDORES[[#This Row],[PROVEEDOR]],TERCEROS_INFO[#All],2,FALSE)</f>
        <v>30</v>
      </c>
      <c r="D2342" s="25">
        <f>+SUMIFS(PROVEEDORES[Total],PROVEEDORES[PROVEEDOR],PROVEEDORES[[#This Row],[PROVEEDOR]],PROVEEDORES[FECHA DE PAGO],"")</f>
        <v>4282200</v>
      </c>
      <c r="E2342" s="25"/>
      <c r="F2342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2342" s="26" t="s">
        <v>406</v>
      </c>
      <c r="I2342" s="68">
        <v>45271</v>
      </c>
      <c r="J2342" s="35" t="s">
        <v>2287</v>
      </c>
      <c r="K2342" s="21">
        <v>101000</v>
      </c>
      <c r="L2342" s="21">
        <v>5050</v>
      </c>
      <c r="M2342" s="22">
        <f>(PROVEEDORES[[#This Row],[SUBTOTAL]]-PROVEEDORES[[#This Row],[descuento sobre subtotal]])*VLOOKUP(PROVEEDORES[[#This Row],[PROVEEDOR]],TERCEROS_INFO[#All],3,FALSE)</f>
        <v>0</v>
      </c>
      <c r="N2342" s="23"/>
      <c r="O2342" s="22">
        <f>+PROVEEDORES[[#This Row],[Descuento sobre subtotal %]]*(PROVEEDORES[[#This Row],[SUBTOTAL]]-PROVEEDORES[[#This Row],[descuento sobre subtotal]])</f>
        <v>0</v>
      </c>
      <c r="P2342" s="74">
        <f>+IF(PROVEEDORES[[#This Row],[SUBTOTAL]]&lt;PROVEEDORES[[#This Row],[base retencion]],0,PROVEEDORES[[#This Row],[retención aplicada]])</f>
        <v>0</v>
      </c>
      <c r="Q2342" s="22">
        <f>+PROVEEDORES[[#This Row],[Rete Fuente %]]*(PROVEEDORES[[#This Row],[SUBTOTAL]]-PROVEEDORES[[#This Row],[descuento sobre subtotal]])</f>
        <v>0</v>
      </c>
      <c r="R2342" s="21">
        <f>+PROVEEDORES[[#This Row],[SUBTOTAL]]+PROVEEDORES[[#This Row],[IVA 19%]]-PROVEEDORES[[#This Row],[descuento sobre subtotal]]-PROVEEDORES[[#This Row],[Descuento sobre subtotal $2]]-PROVEEDORES[[#This Row],[Rete Fuente $]]</f>
        <v>95950</v>
      </c>
      <c r="S2342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2" s="63">
        <f ca="1">IF(PROVEEDORES[[#This Row],[FECHA DE PAGO]]=0,TODAY()-PROVEEDORES[[#This Row],[FECHA DE FACTURACIÓN]]-PROVEEDORES[[#This Row],[PLAZO Días]],0)</f>
        <v>-1</v>
      </c>
      <c r="U2342" s="104">
        <f>+VLOOKUP(PROVEEDORES[[#This Row],[PROVEEDOR]],Terceros!$A:$D,4,FALSE)</f>
        <v>0</v>
      </c>
      <c r="V2342" s="105">
        <f>+YEAR(PROVEEDORES[[#This Row],[FECHA DE FACTURACIÓN]])</f>
        <v>2023</v>
      </c>
      <c r="W2342" s="105">
        <f>+MATCH(PROVEEDORES[[#This Row],[año facturado]],Retenciones!$1:$1,0)</f>
        <v>6</v>
      </c>
      <c r="X2342" s="106">
        <f>+VLOOKUP(PROVEEDORES[[#This Row],[ID RETENCION]],Retenciones!$A$1:$O$25,PROVEEDORES[[#This Row],[indicador de columna]],FALSE)</f>
        <v>0</v>
      </c>
      <c r="Y2342" s="107">
        <f>+VLOOKUP(PROVEEDORES[[#This Row],[ID RETENCION]],Retenciones!$A$1:$O$25,2,FALSE)</f>
        <v>0</v>
      </c>
      <c r="Z2342" s="116" t="b">
        <f>OR(COUNTIF(PROVEEDORES[[#This Row],[PROVEEDOR]],"*"&amp;'Palabra no opera'!$A$2&amp;"*"))</f>
        <v>0</v>
      </c>
    </row>
    <row r="2343" spans="1:26" ht="22.35" customHeight="1" x14ac:dyDescent="0.3">
      <c r="A2343" s="67" t="str">
        <f>+IF(PROVEEDORES[[#This Row],[FECHA DE PAGO]]=PROVEEDORES[[#This Row],[FECHA DE FACTURACIÓN]],"DE CONTADO","CRÉDITO")</f>
        <v>CRÉDITO</v>
      </c>
      <c r="B2343" s="38" t="b">
        <f>+IF((PROVEEDORES[[#This Row],[FECHA DE PAGO]]-PROVEEDORES[[#This Row],[FECHA DE FACTURACIÓN]])&gt;PROVEEDORES[[#This Row],[PLAZO Días]],"PAGO VENCIDO")</f>
        <v>0</v>
      </c>
      <c r="C2343" s="20">
        <f>+VLOOKUP(PROVEEDORES[[#This Row],[PROVEEDOR]],TERCEROS_INFO[#All],2,FALSE)</f>
        <v>30</v>
      </c>
      <c r="D2343" s="25">
        <f>+SUMIFS(PROVEEDORES[Total],PROVEEDORES[PROVEEDOR],PROVEEDORES[[#This Row],[PROVEEDOR]],PROVEEDORES[FECHA DE PAGO],"")</f>
        <v>1705000</v>
      </c>
      <c r="E2343" s="25"/>
      <c r="F2343" s="56">
        <f>+VLOOKUP(PROVEEDORES[[#This Row],[PROVEEDOR]],
                       Terceros!$A:$F,
                       5,
                       FALSE)</f>
        <v>0</v>
      </c>
      <c r="H2343" s="26" t="s">
        <v>2078</v>
      </c>
      <c r="I2343" s="68">
        <v>45274</v>
      </c>
      <c r="J2343" s="35" t="s">
        <v>2288</v>
      </c>
      <c r="K2343" s="21">
        <v>350000</v>
      </c>
      <c r="L2343" s="21"/>
      <c r="M2343" s="22">
        <f>(PROVEEDORES[[#This Row],[SUBTOTAL]]-PROVEEDORES[[#This Row],[descuento sobre subtotal]])*VLOOKUP(PROVEEDORES[[#This Row],[PROVEEDOR]],TERCEROS_INFO[#All],3,FALSE)</f>
        <v>0</v>
      </c>
      <c r="N2343" s="23"/>
      <c r="O2343" s="22">
        <f>+PROVEEDORES[[#This Row],[Descuento sobre subtotal %]]*(PROVEEDORES[[#This Row],[SUBTOTAL]]-PROVEEDORES[[#This Row],[descuento sobre subtotal]])</f>
        <v>0</v>
      </c>
      <c r="P2343" s="74">
        <f>+IF(PROVEEDORES[[#This Row],[SUBTOTAL]]&lt;PROVEEDORES[[#This Row],[base retencion]],0,PROVEEDORES[[#This Row],[retención aplicada]])</f>
        <v>0</v>
      </c>
      <c r="Q2343" s="22">
        <f>+PROVEEDORES[[#This Row],[Rete Fuente %]]*(PROVEEDORES[[#This Row],[SUBTOTAL]]-PROVEEDORES[[#This Row],[descuento sobre subtotal]])</f>
        <v>0</v>
      </c>
      <c r="R2343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2343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3" s="63">
        <f ca="1">IF(PROVEEDORES[[#This Row],[FECHA DE PAGO]]=0,TODAY()-PROVEEDORES[[#This Row],[FECHA DE FACTURACIÓN]]-PROVEEDORES[[#This Row],[PLAZO Días]],0)</f>
        <v>-4</v>
      </c>
      <c r="U2343" s="104">
        <f>+VLOOKUP(PROVEEDORES[[#This Row],[PROVEEDOR]],Terceros!$A:$D,4,FALSE)</f>
        <v>0</v>
      </c>
      <c r="V2343" s="105">
        <f>+YEAR(PROVEEDORES[[#This Row],[FECHA DE FACTURACIÓN]])</f>
        <v>2023</v>
      </c>
      <c r="W2343" s="105">
        <f>+MATCH(PROVEEDORES[[#This Row],[año facturado]],Retenciones!$1:$1,0)</f>
        <v>6</v>
      </c>
      <c r="X2343" s="106">
        <f>+VLOOKUP(PROVEEDORES[[#This Row],[ID RETENCION]],Retenciones!$A$1:$O$25,PROVEEDORES[[#This Row],[indicador de columna]],FALSE)</f>
        <v>0</v>
      </c>
      <c r="Y2343" s="107">
        <f>+VLOOKUP(PROVEEDORES[[#This Row],[ID RETENCION]],Retenciones!$A$1:$O$25,2,FALSE)</f>
        <v>0</v>
      </c>
      <c r="Z2343" s="116" t="b">
        <f>OR(COUNTIF(PROVEEDORES[[#This Row],[PROVEEDOR]],"*"&amp;'Palabra no opera'!$A$2&amp;"*"))</f>
        <v>0</v>
      </c>
    </row>
    <row r="2344" spans="1:26" ht="22.35" customHeight="1" x14ac:dyDescent="0.3">
      <c r="A2344" s="67" t="str">
        <f>+IF(PROVEEDORES[[#This Row],[FECHA DE PAGO]]=PROVEEDORES[[#This Row],[FECHA DE FACTURACIÓN]],"DE CONTADO","CRÉDITO")</f>
        <v>CRÉDITO</v>
      </c>
      <c r="B2344" s="38" t="b">
        <f>+IF((PROVEEDORES[[#This Row],[FECHA DE PAGO]]-PROVEEDORES[[#This Row],[FECHA DE FACTURACIÓN]])&gt;PROVEEDORES[[#This Row],[PLAZO Días]],"PAGO VENCIDO")</f>
        <v>0</v>
      </c>
      <c r="C2344" s="20">
        <f>+VLOOKUP(PROVEEDORES[[#This Row],[PROVEEDOR]],TERCEROS_INFO[#All],2,FALSE)</f>
        <v>30</v>
      </c>
      <c r="D2344" s="25">
        <f>+SUMIFS(PROVEEDORES[Total],PROVEEDORES[PROVEEDOR],PROVEEDORES[[#This Row],[PROVEEDOR]],PROVEEDORES[FECHA DE PAGO],"")</f>
        <v>1705000</v>
      </c>
      <c r="E2344" s="25"/>
      <c r="F2344" s="56">
        <f>+VLOOKUP(PROVEEDORES[[#This Row],[PROVEEDOR]],
                       Terceros!$A:$F,
                       5,
                       FALSE)</f>
        <v>0</v>
      </c>
      <c r="H2344" s="26" t="s">
        <v>2078</v>
      </c>
      <c r="I2344" s="68">
        <v>45273</v>
      </c>
      <c r="J2344" s="35" t="s">
        <v>2289</v>
      </c>
      <c r="K2344" s="21">
        <v>1355000</v>
      </c>
      <c r="L2344" s="21"/>
      <c r="M2344" s="22">
        <f>(PROVEEDORES[[#This Row],[SUBTOTAL]]-PROVEEDORES[[#This Row],[descuento sobre subtotal]])*VLOOKUP(PROVEEDORES[[#This Row],[PROVEEDOR]],TERCEROS_INFO[#All],3,FALSE)</f>
        <v>0</v>
      </c>
      <c r="N2344" s="23"/>
      <c r="O2344" s="22">
        <f>+PROVEEDORES[[#This Row],[Descuento sobre subtotal %]]*(PROVEEDORES[[#This Row],[SUBTOTAL]]-PROVEEDORES[[#This Row],[descuento sobre subtotal]])</f>
        <v>0</v>
      </c>
      <c r="P2344" s="74">
        <f>+IF(PROVEEDORES[[#This Row],[SUBTOTAL]]&lt;PROVEEDORES[[#This Row],[base retencion]],0,PROVEEDORES[[#This Row],[retención aplicada]])</f>
        <v>0</v>
      </c>
      <c r="Q2344" s="22">
        <f>+PROVEEDORES[[#This Row],[Rete Fuente %]]*(PROVEEDORES[[#This Row],[SUBTOTAL]]-PROVEEDORES[[#This Row],[descuento sobre subtotal]])</f>
        <v>0</v>
      </c>
      <c r="R2344" s="21">
        <f>+PROVEEDORES[[#This Row],[SUBTOTAL]]+PROVEEDORES[[#This Row],[IVA 19%]]-PROVEEDORES[[#This Row],[descuento sobre subtotal]]-PROVEEDORES[[#This Row],[Descuento sobre subtotal $2]]-PROVEEDORES[[#This Row],[Rete Fuente $]]</f>
        <v>1355000</v>
      </c>
      <c r="S2344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4" s="63">
        <f ca="1">IF(PROVEEDORES[[#This Row],[FECHA DE PAGO]]=0,TODAY()-PROVEEDORES[[#This Row],[FECHA DE FACTURACIÓN]]-PROVEEDORES[[#This Row],[PLAZO Días]],0)</f>
        <v>-3</v>
      </c>
      <c r="U2344" s="104">
        <f>+VLOOKUP(PROVEEDORES[[#This Row],[PROVEEDOR]],Terceros!$A:$D,4,FALSE)</f>
        <v>0</v>
      </c>
      <c r="V2344" s="105">
        <f>+YEAR(PROVEEDORES[[#This Row],[FECHA DE FACTURACIÓN]])</f>
        <v>2023</v>
      </c>
      <c r="W2344" s="105">
        <f>+MATCH(PROVEEDORES[[#This Row],[año facturado]],Retenciones!$1:$1,0)</f>
        <v>6</v>
      </c>
      <c r="X2344" s="106">
        <f>+VLOOKUP(PROVEEDORES[[#This Row],[ID RETENCION]],Retenciones!$A$1:$O$25,PROVEEDORES[[#This Row],[indicador de columna]],FALSE)</f>
        <v>0</v>
      </c>
      <c r="Y2344" s="107">
        <f>+VLOOKUP(PROVEEDORES[[#This Row],[ID RETENCION]],Retenciones!$A$1:$O$25,2,FALSE)</f>
        <v>0</v>
      </c>
      <c r="Z2344" s="116" t="b">
        <f>OR(COUNTIF(PROVEEDORES[[#This Row],[PROVEEDOR]],"*"&amp;'Palabra no opera'!$A$2&amp;"*"))</f>
        <v>0</v>
      </c>
    </row>
    <row r="2345" spans="1:26" ht="22.35" customHeight="1" x14ac:dyDescent="0.3">
      <c r="A2345" s="67" t="str">
        <f>+IF(PROVEEDORES[[#This Row],[FECHA DE PAGO]]=PROVEEDORES[[#This Row],[FECHA DE FACTURACIÓN]],"DE CONTADO","CRÉDITO")</f>
        <v>CRÉDITO</v>
      </c>
      <c r="B2345" s="38" t="b">
        <f>+IF((PROVEEDORES[[#This Row],[FECHA DE PAGO]]-PROVEEDORES[[#This Row],[FECHA DE FACTURACIÓN]])&gt;PROVEEDORES[[#This Row],[PLAZO Días]],"PAGO VENCIDO")</f>
        <v>0</v>
      </c>
      <c r="C2345" s="20">
        <f>+VLOOKUP(PROVEEDORES[[#This Row],[PROVEEDOR]],TERCEROS_INFO[#All],2,FALSE)</f>
        <v>30</v>
      </c>
      <c r="D2345" s="25">
        <f>+SUMIFS(PROVEEDORES[Total],PROVEEDORES[PROVEEDOR],PROVEEDORES[[#This Row],[PROVEEDOR]],PROVEEDORES[FECHA DE PAGO],"")</f>
        <v>2100000</v>
      </c>
      <c r="E2345" s="25"/>
      <c r="F2345" s="56" t="str">
        <f>+VLOOKUP(PROVEEDORES[[#This Row],[PROVEEDOR]],
                       Terceros!$A:$F,
                       5,
                       FALSE)</f>
        <v/>
      </c>
      <c r="H2345" s="26" t="s">
        <v>349</v>
      </c>
      <c r="I2345" s="68">
        <v>45282</v>
      </c>
      <c r="J2345" s="35" t="s">
        <v>2290</v>
      </c>
      <c r="K2345" s="21">
        <v>1500000</v>
      </c>
      <c r="L2345" s="21"/>
      <c r="M2345" s="22">
        <f>(PROVEEDORES[[#This Row],[SUBTOTAL]]-PROVEEDORES[[#This Row],[descuento sobre subtotal]])*VLOOKUP(PROVEEDORES[[#This Row],[PROVEEDOR]],TERCEROS_INFO[#All],3,FALSE)</f>
        <v>0</v>
      </c>
      <c r="N2345" s="23"/>
      <c r="O2345" s="22">
        <f>+PROVEEDORES[[#This Row],[Descuento sobre subtotal %]]*(PROVEEDORES[[#This Row],[SUBTOTAL]]-PROVEEDORES[[#This Row],[descuento sobre subtotal]])</f>
        <v>0</v>
      </c>
      <c r="P2345" s="74">
        <f>+IF(PROVEEDORES[[#This Row],[SUBTOTAL]]&lt;PROVEEDORES[[#This Row],[base retencion]],0,PROVEEDORES[[#This Row],[retención aplicada]])</f>
        <v>0</v>
      </c>
      <c r="Q2345" s="22">
        <f>+PROVEEDORES[[#This Row],[Rete Fuente %]]*(PROVEEDORES[[#This Row],[SUBTOTAL]]-PROVEEDORES[[#This Row],[descuento sobre subtotal]])</f>
        <v>0</v>
      </c>
      <c r="R2345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2345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5" s="63">
        <f ca="1">IF(PROVEEDORES[[#This Row],[FECHA DE PAGO]]=0,TODAY()-PROVEEDORES[[#This Row],[FECHA DE FACTURACIÓN]]-PROVEEDORES[[#This Row],[PLAZO Días]],0)</f>
        <v>-12</v>
      </c>
      <c r="U2345" s="104">
        <f>+VLOOKUP(PROVEEDORES[[#This Row],[PROVEEDOR]],Terceros!$A:$D,4,FALSE)</f>
        <v>0</v>
      </c>
      <c r="V2345" s="105">
        <f>+YEAR(PROVEEDORES[[#This Row],[FECHA DE FACTURACIÓN]])</f>
        <v>2023</v>
      </c>
      <c r="W2345" s="105">
        <f>+MATCH(PROVEEDORES[[#This Row],[año facturado]],Retenciones!$1:$1,0)</f>
        <v>6</v>
      </c>
      <c r="X2345" s="106">
        <f>+VLOOKUP(PROVEEDORES[[#This Row],[ID RETENCION]],Retenciones!$A$1:$O$25,PROVEEDORES[[#This Row],[indicador de columna]],FALSE)</f>
        <v>0</v>
      </c>
      <c r="Y2345" s="107">
        <f>+VLOOKUP(PROVEEDORES[[#This Row],[ID RETENCION]],Retenciones!$A$1:$O$25,2,FALSE)</f>
        <v>0</v>
      </c>
      <c r="Z2345" s="116" t="b">
        <f>OR(COUNTIF(PROVEEDORES[[#This Row],[PROVEEDOR]],"*"&amp;'Palabra no opera'!$A$2&amp;"*"))</f>
        <v>0</v>
      </c>
    </row>
    <row r="2346" spans="1:26" ht="22.35" customHeight="1" x14ac:dyDescent="0.3">
      <c r="A2346" s="67" t="str">
        <f>+IF(PROVEEDORES[[#This Row],[FECHA DE PAGO]]=PROVEEDORES[[#This Row],[FECHA DE FACTURACIÓN]],"DE CONTADO","CRÉDITO")</f>
        <v>CRÉDITO</v>
      </c>
      <c r="B2346" s="38" t="b">
        <f>+IF((PROVEEDORES[[#This Row],[FECHA DE PAGO]]-PROVEEDORES[[#This Row],[FECHA DE FACTURACIÓN]])&gt;PROVEEDORES[[#This Row],[PLAZO Días]],"PAGO VENCIDO")</f>
        <v>0</v>
      </c>
      <c r="C2346" s="20">
        <f>+VLOOKUP(PROVEEDORES[[#This Row],[PROVEEDOR]],TERCEROS_INFO[#All],2,FALSE)</f>
        <v>30</v>
      </c>
      <c r="D2346" s="25">
        <f>+SUMIFS(PROVEEDORES[Total],PROVEEDORES[PROVEEDOR],PROVEEDORES[[#This Row],[PROVEEDOR]],PROVEEDORES[FECHA DE PAGO],"")</f>
        <v>342000</v>
      </c>
      <c r="E2346" s="25"/>
      <c r="F2346" s="56" t="str">
        <f>+VLOOKUP(PROVEEDORES[[#This Row],[PROVEEDOR]],
                       Terceros!$A:$F,
                       5,
                       FALSE)</f>
        <v/>
      </c>
      <c r="H2346" s="26" t="s">
        <v>495</v>
      </c>
      <c r="I2346" s="68">
        <v>45267</v>
      </c>
      <c r="J2346" s="35" t="s">
        <v>2291</v>
      </c>
      <c r="K2346" s="21">
        <v>342000</v>
      </c>
      <c r="L2346" s="21"/>
      <c r="M2346" s="22">
        <f>(PROVEEDORES[[#This Row],[SUBTOTAL]]-PROVEEDORES[[#This Row],[descuento sobre subtotal]])*VLOOKUP(PROVEEDORES[[#This Row],[PROVEEDOR]],TERCEROS_INFO[#All],3,FALSE)</f>
        <v>0</v>
      </c>
      <c r="N2346" s="23"/>
      <c r="O2346" s="22">
        <f>+PROVEEDORES[[#This Row],[Descuento sobre subtotal %]]*(PROVEEDORES[[#This Row],[SUBTOTAL]]-PROVEEDORES[[#This Row],[descuento sobre subtotal]])</f>
        <v>0</v>
      </c>
      <c r="P2346" s="74">
        <f>+IF(PROVEEDORES[[#This Row],[SUBTOTAL]]&lt;PROVEEDORES[[#This Row],[base retencion]],0,PROVEEDORES[[#This Row],[retención aplicada]])</f>
        <v>0</v>
      </c>
      <c r="Q2346" s="22">
        <f>+PROVEEDORES[[#This Row],[Rete Fuente %]]*(PROVEEDORES[[#This Row],[SUBTOTAL]]-PROVEEDORES[[#This Row],[descuento sobre subtotal]])</f>
        <v>0</v>
      </c>
      <c r="R2346" s="21">
        <f>+PROVEEDORES[[#This Row],[SUBTOTAL]]+PROVEEDORES[[#This Row],[IVA 19%]]-PROVEEDORES[[#This Row],[descuento sobre subtotal]]-PROVEEDORES[[#This Row],[Descuento sobre subtotal $2]]-PROVEEDORES[[#This Row],[Rete Fuente $]]</f>
        <v>342000</v>
      </c>
      <c r="S2346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46" s="63">
        <f ca="1">IF(PROVEEDORES[[#This Row],[FECHA DE PAGO]]=0,TODAY()-PROVEEDORES[[#This Row],[FECHA DE FACTURACIÓN]]-PROVEEDORES[[#This Row],[PLAZO Días]],0)</f>
        <v>3</v>
      </c>
      <c r="U2346" s="104">
        <f>+VLOOKUP(PROVEEDORES[[#This Row],[PROVEEDOR]],Terceros!$A:$D,4,FALSE)</f>
        <v>0</v>
      </c>
      <c r="V2346" s="105">
        <f>+YEAR(PROVEEDORES[[#This Row],[FECHA DE FACTURACIÓN]])</f>
        <v>2023</v>
      </c>
      <c r="W2346" s="105">
        <f>+MATCH(PROVEEDORES[[#This Row],[año facturado]],Retenciones!$1:$1,0)</f>
        <v>6</v>
      </c>
      <c r="X2346" s="106">
        <f>+VLOOKUP(PROVEEDORES[[#This Row],[ID RETENCION]],Retenciones!$A$1:$O$25,PROVEEDORES[[#This Row],[indicador de columna]],FALSE)</f>
        <v>0</v>
      </c>
      <c r="Y2346" s="107">
        <f>+VLOOKUP(PROVEEDORES[[#This Row],[ID RETENCION]],Retenciones!$A$1:$O$25,2,FALSE)</f>
        <v>0</v>
      </c>
      <c r="Z2346" s="116" t="b">
        <f>OR(COUNTIF(PROVEEDORES[[#This Row],[PROVEEDOR]],"*"&amp;'Palabra no opera'!$A$2&amp;"*"))</f>
        <v>0</v>
      </c>
    </row>
    <row r="2347" spans="1:26" ht="22.35" customHeight="1" x14ac:dyDescent="0.3">
      <c r="A2347" s="67" t="str">
        <f>+IF(PROVEEDORES[[#This Row],[FECHA DE PAGO]]=PROVEEDORES[[#This Row],[FECHA DE FACTURACIÓN]],"DE CONTADO","CRÉDITO")</f>
        <v>CRÉDITO</v>
      </c>
      <c r="B2347" s="38" t="b">
        <f>+IF((PROVEEDORES[[#This Row],[FECHA DE PAGO]]-PROVEEDORES[[#This Row],[FECHA DE FACTURACIÓN]])&gt;PROVEEDORES[[#This Row],[PLAZO Días]],"PAGO VENCIDO")</f>
        <v>0</v>
      </c>
      <c r="C2347" s="20">
        <f>+VLOOKUP(PROVEEDORES[[#This Row],[PROVEEDOR]],TERCEROS_INFO[#All],2,FALSE)</f>
        <v>30</v>
      </c>
      <c r="D2347" s="25">
        <f>+SUMIFS(PROVEEDORES[Total],PROVEEDORES[PROVEEDOR],PROVEEDORES[[#This Row],[PROVEEDOR]],PROVEEDORES[FECHA DE PAGO],"")</f>
        <v>22881826.27</v>
      </c>
      <c r="E2347" s="25"/>
      <c r="F2347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347" s="68">
        <v>45287</v>
      </c>
      <c r="H2347" s="26" t="s">
        <v>9</v>
      </c>
      <c r="I2347" s="68">
        <v>45261</v>
      </c>
      <c r="J2347" s="35" t="s">
        <v>2292</v>
      </c>
      <c r="K2347" s="21">
        <v>159664</v>
      </c>
      <c r="L2347" s="21"/>
      <c r="M2347" s="22">
        <f>(PROVEEDORES[[#This Row],[SUBTOTAL]]-PROVEEDORES[[#This Row],[descuento sobre subtotal]])*VLOOKUP(PROVEEDORES[[#This Row],[PROVEEDOR]],TERCEROS_INFO[#All],3,FALSE)</f>
        <v>30336.16</v>
      </c>
      <c r="N2347" s="23"/>
      <c r="O2347" s="22">
        <f>+PROVEEDORES[[#This Row],[Descuento sobre subtotal %]]*(PROVEEDORES[[#This Row],[SUBTOTAL]]-PROVEEDORES[[#This Row],[descuento sobre subtotal]])</f>
        <v>0</v>
      </c>
      <c r="P2347" s="74">
        <f>+IF(PROVEEDORES[[#This Row],[SUBTOTAL]]&lt;PROVEEDORES[[#This Row],[base retencion]],0,PROVEEDORES[[#This Row],[retención aplicada]])</f>
        <v>0</v>
      </c>
      <c r="Q2347" s="22">
        <f>+PROVEEDORES[[#This Row],[Rete Fuente %]]*(PROVEEDORES[[#This Row],[SUBTOTAL]]-PROVEEDORES[[#This Row],[descuento sobre subtotal]])</f>
        <v>0</v>
      </c>
      <c r="R2347" s="21">
        <f>+PROVEEDORES[[#This Row],[SUBTOTAL]]+PROVEEDORES[[#This Row],[IVA 19%]]-PROVEEDORES[[#This Row],[descuento sobre subtotal]]-PROVEEDORES[[#This Row],[Descuento sobre subtotal $2]]-PROVEEDORES[[#This Row],[Rete Fuente $]]</f>
        <v>190000.16</v>
      </c>
      <c r="S234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7" s="63">
        <f ca="1">IF(PROVEEDORES[[#This Row],[FECHA DE PAGO]]=0,TODAY()-PROVEEDORES[[#This Row],[FECHA DE FACTURACIÓN]]-PROVEEDORES[[#This Row],[PLAZO Días]],0)</f>
        <v>0</v>
      </c>
      <c r="U2347" s="104" t="str">
        <f>+VLOOKUP(PROVEEDORES[[#This Row],[PROVEEDOR]],Terceros!$A:$D,4,FALSE)</f>
        <v>2,5% con base</v>
      </c>
      <c r="V2347" s="105">
        <f>+YEAR(PROVEEDORES[[#This Row],[FECHA DE FACTURACIÓN]])</f>
        <v>2023</v>
      </c>
      <c r="W2347" s="105">
        <f>+MATCH(PROVEEDORES[[#This Row],[año facturado]],Retenciones!$1:$1,0)</f>
        <v>6</v>
      </c>
      <c r="X2347" s="106">
        <f>+VLOOKUP(PROVEEDORES[[#This Row],[ID RETENCION]],Retenciones!$A$1:$O$25,PROVEEDORES[[#This Row],[indicador de columna]],FALSE)</f>
        <v>1145000</v>
      </c>
      <c r="Y2347" s="107">
        <f>+VLOOKUP(PROVEEDORES[[#This Row],[ID RETENCION]],Retenciones!$A$1:$O$25,2,FALSE)</f>
        <v>2.5000000000000001E-2</v>
      </c>
      <c r="Z2347" s="116" t="b">
        <f>OR(COUNTIF(PROVEEDORES[[#This Row],[PROVEEDOR]],"*"&amp;'Palabra no opera'!$A$2&amp;"*"))</f>
        <v>0</v>
      </c>
    </row>
    <row r="2348" spans="1:26" ht="22.35" customHeight="1" x14ac:dyDescent="0.3">
      <c r="A2348" s="67" t="str">
        <f>+IF(PROVEEDORES[[#This Row],[FECHA DE PAGO]]=PROVEEDORES[[#This Row],[FECHA DE FACTURACIÓN]],"DE CONTADO","CRÉDITO")</f>
        <v>CRÉDITO</v>
      </c>
      <c r="B2348" s="38" t="b">
        <f>+IF((PROVEEDORES[[#This Row],[FECHA DE PAGO]]-PROVEEDORES[[#This Row],[FECHA DE FACTURACIÓN]])&gt;PROVEEDORES[[#This Row],[PLAZO Días]],"PAGO VENCIDO")</f>
        <v>0</v>
      </c>
      <c r="C2348" s="20">
        <f>+VLOOKUP(PROVEEDORES[[#This Row],[PROVEEDOR]],TERCEROS_INFO[#All],2,FALSE)</f>
        <v>30</v>
      </c>
      <c r="D2348" s="25">
        <f>+SUMIFS(PROVEEDORES[Total],PROVEEDORES[PROVEEDOR],PROVEEDORES[[#This Row],[PROVEEDOR]],PROVEEDORES[FECHA DE PAGO],"")</f>
        <v>18444236.894999996</v>
      </c>
      <c r="E2348" s="25"/>
      <c r="F234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2348" s="26" t="s">
        <v>11</v>
      </c>
      <c r="I2348" s="68">
        <v>45280</v>
      </c>
      <c r="J2348" s="35" t="s">
        <v>2293</v>
      </c>
      <c r="K2348" s="21">
        <v>3882361</v>
      </c>
      <c r="L2348" s="21"/>
      <c r="M2348" s="22">
        <f>(PROVEEDORES[[#This Row],[SUBTOTAL]]-PROVEEDORES[[#This Row],[descuento sobre subtotal]])*VLOOKUP(PROVEEDORES[[#This Row],[PROVEEDOR]],TERCEROS_INFO[#All],3,FALSE)</f>
        <v>737648.59</v>
      </c>
      <c r="N2348" s="23"/>
      <c r="O2348" s="22">
        <f>+PROVEEDORES[[#This Row],[Descuento sobre subtotal %]]*(PROVEEDORES[[#This Row],[SUBTOTAL]]-PROVEEDORES[[#This Row],[descuento sobre subtotal]])</f>
        <v>0</v>
      </c>
      <c r="P2348" s="74">
        <f>+IF(PROVEEDORES[[#This Row],[SUBTOTAL]]&lt;PROVEEDORES[[#This Row],[base retencion]],0,PROVEEDORES[[#This Row],[retención aplicada]])</f>
        <v>2.5000000000000001E-2</v>
      </c>
      <c r="Q2348" s="22">
        <f>+PROVEEDORES[[#This Row],[Rete Fuente %]]*(PROVEEDORES[[#This Row],[SUBTOTAL]]-PROVEEDORES[[#This Row],[descuento sobre subtotal]])</f>
        <v>97059.025000000009</v>
      </c>
      <c r="R2348" s="21">
        <f>+PROVEEDORES[[#This Row],[SUBTOTAL]]+PROVEEDORES[[#This Row],[IVA 19%]]-PROVEEDORES[[#This Row],[descuento sobre subtotal]]-PROVEEDORES[[#This Row],[Descuento sobre subtotal $2]]-PROVEEDORES[[#This Row],[Rete Fuente $]]</f>
        <v>4522950.5649999995</v>
      </c>
      <c r="S2348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8" s="63">
        <f ca="1">IF(PROVEEDORES[[#This Row],[FECHA DE PAGO]]=0,TODAY()-PROVEEDORES[[#This Row],[FECHA DE FACTURACIÓN]]-PROVEEDORES[[#This Row],[PLAZO Días]],0)</f>
        <v>-10</v>
      </c>
      <c r="U2348" s="104" t="str">
        <f>+VLOOKUP(PROVEEDORES[[#This Row],[PROVEEDOR]],Terceros!$A:$D,4,FALSE)</f>
        <v>2,5% con base</v>
      </c>
      <c r="V2348" s="105">
        <f>+YEAR(PROVEEDORES[[#This Row],[FECHA DE FACTURACIÓN]])</f>
        <v>2023</v>
      </c>
      <c r="W2348" s="105">
        <f>+MATCH(PROVEEDORES[[#This Row],[año facturado]],Retenciones!$1:$1,0)</f>
        <v>6</v>
      </c>
      <c r="X2348" s="106">
        <f>+VLOOKUP(PROVEEDORES[[#This Row],[ID RETENCION]],Retenciones!$A$1:$O$25,PROVEEDORES[[#This Row],[indicador de columna]],FALSE)</f>
        <v>1145000</v>
      </c>
      <c r="Y2348" s="107">
        <f>+VLOOKUP(PROVEEDORES[[#This Row],[ID RETENCION]],Retenciones!$A$1:$O$25,2,FALSE)</f>
        <v>2.5000000000000001E-2</v>
      </c>
      <c r="Z2348" s="116" t="b">
        <f>OR(COUNTIF(PROVEEDORES[[#This Row],[PROVEEDOR]],"*"&amp;'Palabra no opera'!$A$2&amp;"*"))</f>
        <v>0</v>
      </c>
    </row>
    <row r="2349" spans="1:26" ht="22.35" customHeight="1" x14ac:dyDescent="0.3">
      <c r="A2349" s="67" t="str">
        <f>+IF(PROVEEDORES[[#This Row],[FECHA DE PAGO]]=PROVEEDORES[[#This Row],[FECHA DE FACTURACIÓN]],"DE CONTADO","CRÉDITO")</f>
        <v>CRÉDITO</v>
      </c>
      <c r="B2349" s="38" t="b">
        <f>+IF((PROVEEDORES[[#This Row],[FECHA DE PAGO]]-PROVEEDORES[[#This Row],[FECHA DE FACTURACIÓN]])&gt;PROVEEDORES[[#This Row],[PLAZO Días]],"PAGO VENCIDO")</f>
        <v>0</v>
      </c>
      <c r="C2349" s="20">
        <f>+VLOOKUP(PROVEEDORES[[#This Row],[PROVEEDOR]],TERCEROS_INFO[#All],2,FALSE)</f>
        <v>30</v>
      </c>
      <c r="D2349" s="25">
        <f>+SUMIFS(PROVEEDORES[Total],PROVEEDORES[PROVEEDOR],PROVEEDORES[[#This Row],[PROVEEDOR]],PROVEEDORES[FECHA DE PAGO],"")</f>
        <v>18444236.894999996</v>
      </c>
      <c r="E2349" s="25"/>
      <c r="F2349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2349" s="26" t="s">
        <v>11</v>
      </c>
      <c r="I2349" s="68">
        <v>45280</v>
      </c>
      <c r="J2349" s="35" t="s">
        <v>2294</v>
      </c>
      <c r="K2349" s="21">
        <v>3882361</v>
      </c>
      <c r="L2349" s="21"/>
      <c r="M2349" s="22">
        <f>(PROVEEDORES[[#This Row],[SUBTOTAL]]-PROVEEDORES[[#This Row],[descuento sobre subtotal]])*VLOOKUP(PROVEEDORES[[#This Row],[PROVEEDOR]],TERCEROS_INFO[#All],3,FALSE)</f>
        <v>737648.59</v>
      </c>
      <c r="N2349" s="23"/>
      <c r="O2349" s="22">
        <f>+PROVEEDORES[[#This Row],[Descuento sobre subtotal %]]*(PROVEEDORES[[#This Row],[SUBTOTAL]]-PROVEEDORES[[#This Row],[descuento sobre subtotal]])</f>
        <v>0</v>
      </c>
      <c r="P2349" s="74">
        <f>+IF(PROVEEDORES[[#This Row],[SUBTOTAL]]&lt;PROVEEDORES[[#This Row],[base retencion]],0,PROVEEDORES[[#This Row],[retención aplicada]])</f>
        <v>2.5000000000000001E-2</v>
      </c>
      <c r="Q2349" s="22">
        <f>+PROVEEDORES[[#This Row],[Rete Fuente %]]*(PROVEEDORES[[#This Row],[SUBTOTAL]]-PROVEEDORES[[#This Row],[descuento sobre subtotal]])</f>
        <v>97059.025000000009</v>
      </c>
      <c r="R2349" s="21">
        <f>+PROVEEDORES[[#This Row],[SUBTOTAL]]+PROVEEDORES[[#This Row],[IVA 19%]]-PROVEEDORES[[#This Row],[descuento sobre subtotal]]-PROVEEDORES[[#This Row],[Descuento sobre subtotal $2]]-PROVEEDORES[[#This Row],[Rete Fuente $]]</f>
        <v>4522950.5649999995</v>
      </c>
      <c r="S2349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49" s="63">
        <f ca="1">IF(PROVEEDORES[[#This Row],[FECHA DE PAGO]]=0,TODAY()-PROVEEDORES[[#This Row],[FECHA DE FACTURACIÓN]]-PROVEEDORES[[#This Row],[PLAZO Días]],0)</f>
        <v>-10</v>
      </c>
      <c r="U2349" s="104" t="str">
        <f>+VLOOKUP(PROVEEDORES[[#This Row],[PROVEEDOR]],Terceros!$A:$D,4,FALSE)</f>
        <v>2,5% con base</v>
      </c>
      <c r="V2349" s="105">
        <f>+YEAR(PROVEEDORES[[#This Row],[FECHA DE FACTURACIÓN]])</f>
        <v>2023</v>
      </c>
      <c r="W2349" s="105">
        <f>+MATCH(PROVEEDORES[[#This Row],[año facturado]],Retenciones!$1:$1,0)</f>
        <v>6</v>
      </c>
      <c r="X2349" s="106">
        <f>+VLOOKUP(PROVEEDORES[[#This Row],[ID RETENCION]],Retenciones!$A$1:$O$25,PROVEEDORES[[#This Row],[indicador de columna]],FALSE)</f>
        <v>1145000</v>
      </c>
      <c r="Y2349" s="107">
        <f>+VLOOKUP(PROVEEDORES[[#This Row],[ID RETENCION]],Retenciones!$A$1:$O$25,2,FALSE)</f>
        <v>2.5000000000000001E-2</v>
      </c>
      <c r="Z2349" s="116" t="b">
        <f>OR(COUNTIF(PROVEEDORES[[#This Row],[PROVEEDOR]],"*"&amp;'Palabra no opera'!$A$2&amp;"*"))</f>
        <v>0</v>
      </c>
    </row>
    <row r="2350" spans="1:26" ht="22.35" customHeight="1" x14ac:dyDescent="0.3">
      <c r="A2350" s="67" t="str">
        <f>+IF(PROVEEDORES[[#This Row],[FECHA DE PAGO]]=PROVEEDORES[[#This Row],[FECHA DE FACTURACIÓN]],"DE CONTADO","CRÉDITO")</f>
        <v>CRÉDITO</v>
      </c>
      <c r="B2350" s="38" t="b">
        <f>+IF((PROVEEDORES[[#This Row],[FECHA DE PAGO]]-PROVEEDORES[[#This Row],[FECHA DE FACTURACIÓN]])&gt;PROVEEDORES[[#This Row],[PLAZO Días]],"PAGO VENCIDO")</f>
        <v>0</v>
      </c>
      <c r="C2350" s="20">
        <f>+VLOOKUP(PROVEEDORES[[#This Row],[PROVEEDOR]],TERCEROS_INFO[#All],2,FALSE)</f>
        <v>30</v>
      </c>
      <c r="D2350" s="25">
        <f>+SUMIFS(PROVEEDORES[Total],PROVEEDORES[PROVEEDOR],PROVEEDORES[[#This Row],[PROVEEDOR]],PROVEEDORES[FECHA DE PAGO],"")</f>
        <v>22881826.27</v>
      </c>
      <c r="E2350" s="25"/>
      <c r="F235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H2350" s="26" t="s">
        <v>9</v>
      </c>
      <c r="I2350" s="68">
        <v>45286</v>
      </c>
      <c r="J2350" s="35" t="s">
        <v>2295</v>
      </c>
      <c r="K2350" s="21">
        <v>487650</v>
      </c>
      <c r="L2350" s="21"/>
      <c r="M2350" s="22">
        <f>(PROVEEDORES[[#This Row],[SUBTOTAL]]-PROVEEDORES[[#This Row],[descuento sobre subtotal]])*VLOOKUP(PROVEEDORES[[#This Row],[PROVEEDOR]],TERCEROS_INFO[#All],3,FALSE)</f>
        <v>92653.5</v>
      </c>
      <c r="N2350" s="23"/>
      <c r="O2350" s="22">
        <f>+PROVEEDORES[[#This Row],[Descuento sobre subtotal %]]*(PROVEEDORES[[#This Row],[SUBTOTAL]]-PROVEEDORES[[#This Row],[descuento sobre subtotal]])</f>
        <v>0</v>
      </c>
      <c r="P2350" s="74">
        <f>+IF(PROVEEDORES[[#This Row],[SUBTOTAL]]&lt;PROVEEDORES[[#This Row],[base retencion]],0,PROVEEDORES[[#This Row],[retención aplicada]])</f>
        <v>0</v>
      </c>
      <c r="Q2350" s="22">
        <f>+PROVEEDORES[[#This Row],[Rete Fuente %]]*(PROVEEDORES[[#This Row],[SUBTOTAL]]-PROVEEDORES[[#This Row],[descuento sobre subtotal]])</f>
        <v>0</v>
      </c>
      <c r="R2350" s="21">
        <f>+PROVEEDORES[[#This Row],[SUBTOTAL]]+PROVEEDORES[[#This Row],[IVA 19%]]-PROVEEDORES[[#This Row],[descuento sobre subtotal]]-PROVEEDORES[[#This Row],[Descuento sobre subtotal $2]]-PROVEEDORES[[#This Row],[Rete Fuente $]]</f>
        <v>580303.5</v>
      </c>
      <c r="S2350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50" s="63">
        <f ca="1">IF(PROVEEDORES[[#This Row],[FECHA DE PAGO]]=0,TODAY()-PROVEEDORES[[#This Row],[FECHA DE FACTURACIÓN]]-PROVEEDORES[[#This Row],[PLAZO Días]],0)</f>
        <v>-16</v>
      </c>
      <c r="U2350" s="104" t="str">
        <f>+VLOOKUP(PROVEEDORES[[#This Row],[PROVEEDOR]],Terceros!$A:$D,4,FALSE)</f>
        <v>2,5% con base</v>
      </c>
      <c r="V2350" s="105">
        <f>+YEAR(PROVEEDORES[[#This Row],[FECHA DE FACTURACIÓN]])</f>
        <v>2023</v>
      </c>
      <c r="W2350" s="105">
        <f>+MATCH(PROVEEDORES[[#This Row],[año facturado]],Retenciones!$1:$1,0)</f>
        <v>6</v>
      </c>
      <c r="X2350" s="106">
        <f>+VLOOKUP(PROVEEDORES[[#This Row],[ID RETENCION]],Retenciones!$A$1:$O$25,PROVEEDORES[[#This Row],[indicador de columna]],FALSE)</f>
        <v>1145000</v>
      </c>
      <c r="Y2350" s="107">
        <f>+VLOOKUP(PROVEEDORES[[#This Row],[ID RETENCION]],Retenciones!$A$1:$O$25,2,FALSE)</f>
        <v>2.5000000000000001E-2</v>
      </c>
      <c r="Z2350" s="116" t="b">
        <f>OR(COUNTIF(PROVEEDORES[[#This Row],[PROVEEDOR]],"*"&amp;'Palabra no opera'!$A$2&amp;"*"))</f>
        <v>0</v>
      </c>
    </row>
    <row r="2351" spans="1:26" ht="22.35" customHeight="1" x14ac:dyDescent="0.3">
      <c r="A2351" s="67" t="str">
        <f>+IF(PROVEEDORES[[#This Row],[FECHA DE PAGO]]=PROVEEDORES[[#This Row],[FECHA DE FACTURACIÓN]],"DE CONTADO","CRÉDITO")</f>
        <v>CRÉDITO</v>
      </c>
      <c r="B2351" s="38" t="b">
        <f>+IF((PROVEEDORES[[#This Row],[FECHA DE PAGO]]-PROVEEDORES[[#This Row],[FECHA DE FACTURACIÓN]])&gt;PROVEEDORES[[#This Row],[PLAZO Días]],"PAGO VENCIDO")</f>
        <v>0</v>
      </c>
      <c r="C2351" s="20">
        <f>+VLOOKUP(PROVEEDORES[[#This Row],[PROVEEDOR]],TERCEROS_INFO[#All],2,FALSE)</f>
        <v>30</v>
      </c>
      <c r="D2351" s="25">
        <f>+SUMIFS(PROVEEDORES[Total],PROVEEDORES[PROVEEDOR],PROVEEDORES[[#This Row],[PROVEEDOR]],PROVEEDORES[FECHA DE PAGO],"")</f>
        <v>0</v>
      </c>
      <c r="E2351" s="25"/>
      <c r="F2351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351" s="68">
        <v>45287</v>
      </c>
      <c r="H2351" s="26" t="s">
        <v>76</v>
      </c>
      <c r="I2351" s="68">
        <v>45286</v>
      </c>
      <c r="J2351" s="35" t="s">
        <v>2296</v>
      </c>
      <c r="K2351" s="21">
        <v>-6302521</v>
      </c>
      <c r="L2351" s="21"/>
      <c r="M2351" s="22">
        <f>(PROVEEDORES[[#This Row],[SUBTOTAL]]-PROVEEDORES[[#This Row],[descuento sobre subtotal]])*VLOOKUP(PROVEEDORES[[#This Row],[PROVEEDOR]],TERCEROS_INFO[#All],3,FALSE)</f>
        <v>-1197478.99</v>
      </c>
      <c r="N2351" s="23"/>
      <c r="O2351" s="22">
        <f>+PROVEEDORES[[#This Row],[Descuento sobre subtotal %]]*(PROVEEDORES[[#This Row],[SUBTOTAL]]-PROVEEDORES[[#This Row],[descuento sobre subtotal]])</f>
        <v>0</v>
      </c>
      <c r="P2351" s="74">
        <f>+IF(PROVEEDORES[[#This Row],[SUBTOTAL]]&lt;PROVEEDORES[[#This Row],[base retencion]],0,PROVEEDORES[[#This Row],[retención aplicada]])</f>
        <v>0</v>
      </c>
      <c r="Q2351" s="22">
        <f>+PROVEEDORES[[#This Row],[Rete Fuente %]]*(PROVEEDORES[[#This Row],[SUBTOTAL]]-PROVEEDORES[[#This Row],[descuento sobre subtotal]])</f>
        <v>0</v>
      </c>
      <c r="R2351" s="21">
        <f>+PROVEEDORES[[#This Row],[SUBTOTAL]]+PROVEEDORES[[#This Row],[IVA 19%]]-PROVEEDORES[[#This Row],[descuento sobre subtotal]]-PROVEEDORES[[#This Row],[Descuento sobre subtotal $2]]-PROVEEDORES[[#This Row],[Rete Fuente $]]</f>
        <v>-7499999.9900000002</v>
      </c>
      <c r="S235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1" s="63">
        <f ca="1">IF(PROVEEDORES[[#This Row],[FECHA DE PAGO]]=0,TODAY()-PROVEEDORES[[#This Row],[FECHA DE FACTURACIÓN]]-PROVEEDORES[[#This Row],[PLAZO Días]],0)</f>
        <v>0</v>
      </c>
      <c r="U2351" s="104" t="str">
        <f>+VLOOKUP(PROVEEDORES[[#This Row],[PROVEEDOR]],Terceros!$A:$D,4,FALSE)</f>
        <v>2,5% con base</v>
      </c>
      <c r="V2351" s="105">
        <f>+YEAR(PROVEEDORES[[#This Row],[FECHA DE FACTURACIÓN]])</f>
        <v>2023</v>
      </c>
      <c r="W2351" s="105">
        <f>+MATCH(PROVEEDORES[[#This Row],[año facturado]],Retenciones!$1:$1,0)</f>
        <v>6</v>
      </c>
      <c r="X2351" s="106">
        <f>+VLOOKUP(PROVEEDORES[[#This Row],[ID RETENCION]],Retenciones!$A$1:$O$25,PROVEEDORES[[#This Row],[indicador de columna]],FALSE)</f>
        <v>1145000</v>
      </c>
      <c r="Y2351" s="107">
        <f>+VLOOKUP(PROVEEDORES[[#This Row],[ID RETENCION]],Retenciones!$A$1:$O$25,2,FALSE)</f>
        <v>2.5000000000000001E-2</v>
      </c>
      <c r="Z2351" s="116" t="b">
        <f>OR(COUNTIF(PROVEEDORES[[#This Row],[PROVEEDOR]],"*"&amp;'Palabra no opera'!$A$2&amp;"*"))</f>
        <v>0</v>
      </c>
    </row>
    <row r="2352" spans="1:26" ht="22.35" customHeight="1" x14ac:dyDescent="0.3">
      <c r="A2352" s="67" t="str">
        <f>+IF(PROVEEDORES[[#This Row],[FECHA DE PAGO]]=PROVEEDORES[[#This Row],[FECHA DE FACTURACIÓN]],"DE CONTADO","CRÉDITO")</f>
        <v>CRÉDITO</v>
      </c>
      <c r="B2352" s="38" t="b">
        <f>+IF((PROVEEDORES[[#This Row],[FECHA DE PAGO]]-PROVEEDORES[[#This Row],[FECHA DE FACTURACIÓN]])&gt;PROVEEDORES[[#This Row],[PLAZO Días]],"PAGO VENCIDO")</f>
        <v>0</v>
      </c>
      <c r="C2352" s="20">
        <f>+VLOOKUP(PROVEEDORES[[#This Row],[PROVEEDOR]],TERCEROS_INFO[#All],2,FALSE)</f>
        <v>30</v>
      </c>
      <c r="D2352" s="25">
        <f>+SUMIFS(PROVEEDORES[Total],PROVEEDORES[PROVEEDOR],PROVEEDORES[[#This Row],[PROVEEDOR]],PROVEEDORES[FECHA DE PAGO],"")</f>
        <v>0</v>
      </c>
      <c r="E2352" s="25"/>
      <c r="F2352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2352" s="68">
        <v>45288</v>
      </c>
      <c r="H2352" s="26" t="s">
        <v>2094</v>
      </c>
      <c r="I2352" s="68">
        <v>45287</v>
      </c>
      <c r="J2352" s="35" t="s">
        <v>2297</v>
      </c>
      <c r="K2352" s="21">
        <v>2280672</v>
      </c>
      <c r="L2352" s="21"/>
      <c r="M2352" s="22">
        <f>(PROVEEDORES[[#This Row],[SUBTOTAL]]-PROVEEDORES[[#This Row],[descuento sobre subtotal]])*VLOOKUP(PROVEEDORES[[#This Row],[PROVEEDOR]],TERCEROS_INFO[#All],3,FALSE)</f>
        <v>433327.68</v>
      </c>
      <c r="N2352" s="23"/>
      <c r="O2352" s="22">
        <f>+PROVEEDORES[[#This Row],[Descuento sobre subtotal %]]*(PROVEEDORES[[#This Row],[SUBTOTAL]]-PROVEEDORES[[#This Row],[descuento sobre subtotal]])</f>
        <v>0</v>
      </c>
      <c r="P2352" s="74">
        <f>+IF(PROVEEDORES[[#This Row],[SUBTOTAL]]&lt;PROVEEDORES[[#This Row],[base retencion]],0,PROVEEDORES[[#This Row],[retención aplicada]])</f>
        <v>2.5000000000000001E-2</v>
      </c>
      <c r="Q2352" s="22">
        <f>+PROVEEDORES[[#This Row],[Rete Fuente %]]*(PROVEEDORES[[#This Row],[SUBTOTAL]]-PROVEEDORES[[#This Row],[descuento sobre subtotal]])</f>
        <v>57016.800000000003</v>
      </c>
      <c r="R2352" s="21">
        <f>+PROVEEDORES[[#This Row],[SUBTOTAL]]+PROVEEDORES[[#This Row],[IVA 19%]]-PROVEEDORES[[#This Row],[descuento sobre subtotal]]-PROVEEDORES[[#This Row],[Descuento sobre subtotal $2]]-PROVEEDORES[[#This Row],[Rete Fuente $]]</f>
        <v>2656982.8800000004</v>
      </c>
      <c r="S235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2" s="63">
        <f ca="1">IF(PROVEEDORES[[#This Row],[FECHA DE PAGO]]=0,TODAY()-PROVEEDORES[[#This Row],[FECHA DE FACTURACIÓN]]-PROVEEDORES[[#This Row],[PLAZO Días]],0)</f>
        <v>0</v>
      </c>
      <c r="U2352" s="104" t="str">
        <f>+VLOOKUP(PROVEEDORES[[#This Row],[PROVEEDOR]],Terceros!$A:$D,4,FALSE)</f>
        <v>2,5% con base</v>
      </c>
      <c r="V2352" s="105">
        <f>+YEAR(PROVEEDORES[[#This Row],[FECHA DE FACTURACIÓN]])</f>
        <v>2023</v>
      </c>
      <c r="W2352" s="105">
        <f>+MATCH(PROVEEDORES[[#This Row],[año facturado]],Retenciones!$1:$1,0)</f>
        <v>6</v>
      </c>
      <c r="X2352" s="106">
        <f>+VLOOKUP(PROVEEDORES[[#This Row],[ID RETENCION]],Retenciones!$A$1:$O$25,PROVEEDORES[[#This Row],[indicador de columna]],FALSE)</f>
        <v>1145000</v>
      </c>
      <c r="Y2352" s="107">
        <f>+VLOOKUP(PROVEEDORES[[#This Row],[ID RETENCION]],Retenciones!$A$1:$O$25,2,FALSE)</f>
        <v>2.5000000000000001E-2</v>
      </c>
      <c r="Z2352" s="116" t="b">
        <f>OR(COUNTIF(PROVEEDORES[[#This Row],[PROVEEDOR]],"*"&amp;'Palabra no opera'!$A$2&amp;"*"))</f>
        <v>0</v>
      </c>
    </row>
    <row r="2353" spans="1:26" ht="22.35" customHeight="1" x14ac:dyDescent="0.3">
      <c r="A2353" s="67" t="str">
        <f>+IF(PROVEEDORES[[#This Row],[FECHA DE PAGO]]=PROVEEDORES[[#This Row],[FECHA DE FACTURACIÓN]],"DE CONTADO","CRÉDITO")</f>
        <v>CRÉDITO</v>
      </c>
      <c r="B2353" s="38" t="b">
        <f>+IF((PROVEEDORES[[#This Row],[FECHA DE PAGO]]-PROVEEDORES[[#This Row],[FECHA DE FACTURACIÓN]])&gt;PROVEEDORES[[#This Row],[PLAZO Días]],"PAGO VENCIDO")</f>
        <v>0</v>
      </c>
      <c r="C2353" s="20">
        <f>+VLOOKUP(PROVEEDORES[[#This Row],[PROVEEDOR]],TERCEROS_INFO[#All],2,FALSE)</f>
        <v>45</v>
      </c>
      <c r="D2353" s="25">
        <f>+SUMIFS(PROVEEDORES[Total],PROVEEDORES[PROVEEDOR],PROVEEDORES[[#This Row],[PROVEEDOR]],PROVEEDORES[FECHA DE PAGO],"")</f>
        <v>8072960</v>
      </c>
      <c r="E2353" s="25"/>
      <c r="F235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2353" s="26" t="s">
        <v>10</v>
      </c>
      <c r="I2353" s="68">
        <v>45287</v>
      </c>
      <c r="J2353" s="35" t="s">
        <v>2298</v>
      </c>
      <c r="K2353" s="21">
        <v>2584000</v>
      </c>
      <c r="L2353" s="21"/>
      <c r="M2353" s="22">
        <f>(PROVEEDORES[[#This Row],[SUBTOTAL]]-PROVEEDORES[[#This Row],[descuento sobre subtotal]])*VLOOKUP(PROVEEDORES[[#This Row],[PROVEEDOR]],TERCEROS_INFO[#All],3,FALSE)</f>
        <v>490960</v>
      </c>
      <c r="N2353" s="23"/>
      <c r="O2353" s="22">
        <f>+PROVEEDORES[[#This Row],[Descuento sobre subtotal %]]*(PROVEEDORES[[#This Row],[SUBTOTAL]]-PROVEEDORES[[#This Row],[descuento sobre subtotal]])</f>
        <v>0</v>
      </c>
      <c r="P2353" s="74">
        <f>+IF(PROVEEDORES[[#This Row],[SUBTOTAL]]&lt;PROVEEDORES[[#This Row],[base retencion]],0,PROVEEDORES[[#This Row],[retención aplicada]])</f>
        <v>0</v>
      </c>
      <c r="Q2353" s="22">
        <f>+PROVEEDORES[[#This Row],[Rete Fuente %]]*(PROVEEDORES[[#This Row],[SUBTOTAL]]-PROVEEDORES[[#This Row],[descuento sobre subtotal]])</f>
        <v>0</v>
      </c>
      <c r="R2353" s="21">
        <f>+PROVEEDORES[[#This Row],[SUBTOTAL]]+PROVEEDORES[[#This Row],[IVA 19%]]-PROVEEDORES[[#This Row],[descuento sobre subtotal]]-PROVEEDORES[[#This Row],[Descuento sobre subtotal $2]]-PROVEEDORES[[#This Row],[Rete Fuente $]]</f>
        <v>3074960</v>
      </c>
      <c r="S2353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53" s="63">
        <f ca="1">IF(PROVEEDORES[[#This Row],[FECHA DE PAGO]]=0,TODAY()-PROVEEDORES[[#This Row],[FECHA DE FACTURACIÓN]]-PROVEEDORES[[#This Row],[PLAZO Días]],0)</f>
        <v>-32</v>
      </c>
      <c r="U2353" s="104">
        <f>+VLOOKUP(PROVEEDORES[[#This Row],[PROVEEDOR]],Terceros!$A:$D,4,FALSE)</f>
        <v>0</v>
      </c>
      <c r="V2353" s="105">
        <f>+YEAR(PROVEEDORES[[#This Row],[FECHA DE FACTURACIÓN]])</f>
        <v>2023</v>
      </c>
      <c r="W2353" s="105">
        <f>+MATCH(PROVEEDORES[[#This Row],[año facturado]],Retenciones!$1:$1,0)</f>
        <v>6</v>
      </c>
      <c r="X2353" s="106">
        <f>+VLOOKUP(PROVEEDORES[[#This Row],[ID RETENCION]],Retenciones!$A$1:$O$25,PROVEEDORES[[#This Row],[indicador de columna]],FALSE)</f>
        <v>0</v>
      </c>
      <c r="Y2353" s="107">
        <f>+VLOOKUP(PROVEEDORES[[#This Row],[ID RETENCION]],Retenciones!$A$1:$O$25,2,FALSE)</f>
        <v>0</v>
      </c>
      <c r="Z2353" s="116" t="b">
        <f>OR(COUNTIF(PROVEEDORES[[#This Row],[PROVEEDOR]],"*"&amp;'Palabra no opera'!$A$2&amp;"*"))</f>
        <v>0</v>
      </c>
    </row>
    <row r="2354" spans="1:26" ht="22.35" customHeight="1" x14ac:dyDescent="0.3">
      <c r="A2354" s="67" t="str">
        <f>+IF(PROVEEDORES[[#This Row],[FECHA DE PAGO]]=PROVEEDORES[[#This Row],[FECHA DE FACTURACIÓN]],"DE CONTADO","CRÉDITO")</f>
        <v>DE CONTADO</v>
      </c>
      <c r="B2354" s="38" t="b">
        <f>+IF((PROVEEDORES[[#This Row],[FECHA DE PAGO]]-PROVEEDORES[[#This Row],[FECHA DE FACTURACIÓN]])&gt;PROVEEDORES[[#This Row],[PLAZO Días]],"PAGO VENCIDO")</f>
        <v>0</v>
      </c>
      <c r="C2354" s="20">
        <f>+VLOOKUP(PROVEEDORES[[#This Row],[PROVEEDOR]],TERCEROS_INFO[#All],2,FALSE)</f>
        <v>30</v>
      </c>
      <c r="D2354" s="25">
        <f>+SUMIFS(PROVEEDORES[Total],PROVEEDORES[PROVEEDOR],PROVEEDORES[[#This Row],[PROVEEDOR]],PROVEEDORES[FECHA DE PAGO],"")</f>
        <v>0</v>
      </c>
      <c r="E2354" s="25"/>
      <c r="F2354" s="56" t="str">
        <f>+VLOOKUP(PROVEEDORES[[#This Row],[PROVEEDOR]],
                       Terceros!$A:$F,
                       5,
                       FALSE)</f>
        <v/>
      </c>
      <c r="G2354" s="68">
        <v>45272</v>
      </c>
      <c r="H2354" s="26" t="s">
        <v>1403</v>
      </c>
      <c r="I2354" s="68">
        <v>45272</v>
      </c>
      <c r="J2354" s="35" t="s">
        <v>2299</v>
      </c>
      <c r="K2354" s="21">
        <v>195000</v>
      </c>
      <c r="L2354" s="21"/>
      <c r="M2354" s="22">
        <f>(PROVEEDORES[[#This Row],[SUBTOTAL]]-PROVEEDORES[[#This Row],[descuento sobre subtotal]])*VLOOKUP(PROVEEDORES[[#This Row],[PROVEEDOR]],TERCEROS_INFO[#All],3,FALSE)</f>
        <v>0</v>
      </c>
      <c r="N2354" s="23"/>
      <c r="O2354" s="22">
        <f>+PROVEEDORES[[#This Row],[Descuento sobre subtotal %]]*(PROVEEDORES[[#This Row],[SUBTOTAL]]-PROVEEDORES[[#This Row],[descuento sobre subtotal]])</f>
        <v>0</v>
      </c>
      <c r="P2354" s="74">
        <f>+IF(PROVEEDORES[[#This Row],[SUBTOTAL]]&lt;PROVEEDORES[[#This Row],[base retencion]],0,PROVEEDORES[[#This Row],[retención aplicada]])</f>
        <v>0</v>
      </c>
      <c r="Q2354" s="22">
        <f>+PROVEEDORES[[#This Row],[Rete Fuente %]]*(PROVEEDORES[[#This Row],[SUBTOTAL]]-PROVEEDORES[[#This Row],[descuento sobre subtotal]])</f>
        <v>0</v>
      </c>
      <c r="R2354" s="21">
        <f>+PROVEEDORES[[#This Row],[SUBTOTAL]]+PROVEEDORES[[#This Row],[IVA 19%]]-PROVEEDORES[[#This Row],[descuento sobre subtotal]]-PROVEEDORES[[#This Row],[Descuento sobre subtotal $2]]-PROVEEDORES[[#This Row],[Rete Fuente $]]</f>
        <v>195000</v>
      </c>
      <c r="S235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4" s="63">
        <f ca="1">IF(PROVEEDORES[[#This Row],[FECHA DE PAGO]]=0,TODAY()-PROVEEDORES[[#This Row],[FECHA DE FACTURACIÓN]]-PROVEEDORES[[#This Row],[PLAZO Días]],0)</f>
        <v>0</v>
      </c>
      <c r="U2354" s="104">
        <f>+VLOOKUP(PROVEEDORES[[#This Row],[PROVEEDOR]],Terceros!$A:$D,4,FALSE)</f>
        <v>0</v>
      </c>
      <c r="V2354" s="105">
        <f>+YEAR(PROVEEDORES[[#This Row],[FECHA DE FACTURACIÓN]])</f>
        <v>2023</v>
      </c>
      <c r="W2354" s="105">
        <f>+MATCH(PROVEEDORES[[#This Row],[año facturado]],Retenciones!$1:$1,0)</f>
        <v>6</v>
      </c>
      <c r="X2354" s="106">
        <f>+VLOOKUP(PROVEEDORES[[#This Row],[ID RETENCION]],Retenciones!$A$1:$O$25,PROVEEDORES[[#This Row],[indicador de columna]],FALSE)</f>
        <v>0</v>
      </c>
      <c r="Y2354" s="107">
        <f>+VLOOKUP(PROVEEDORES[[#This Row],[ID RETENCION]],Retenciones!$A$1:$O$25,2,FALSE)</f>
        <v>0</v>
      </c>
      <c r="Z2354" s="116" t="b">
        <f>OR(COUNTIF(PROVEEDORES[[#This Row],[PROVEEDOR]],"*"&amp;'Palabra no opera'!$A$2&amp;"*"))</f>
        <v>0</v>
      </c>
    </row>
    <row r="2355" spans="1:26" ht="22.35" customHeight="1" x14ac:dyDescent="0.3">
      <c r="A2355" s="67" t="str">
        <f>+IF(PROVEEDORES[[#This Row],[FECHA DE PAGO]]=PROVEEDORES[[#This Row],[FECHA DE FACTURACIÓN]],"DE CONTADO","CRÉDITO")</f>
        <v>DE CONTADO</v>
      </c>
      <c r="B2355" s="38" t="b">
        <f>+IF((PROVEEDORES[[#This Row],[FECHA DE PAGO]]-PROVEEDORES[[#This Row],[FECHA DE FACTURACIÓN]])&gt;PROVEEDORES[[#This Row],[PLAZO Días]],"PAGO VENCIDO")</f>
        <v>0</v>
      </c>
      <c r="C2355" s="20">
        <f>+VLOOKUP(PROVEEDORES[[#This Row],[PROVEEDOR]],TERCEROS_INFO[#All],2,FALSE)</f>
        <v>30</v>
      </c>
      <c r="D2355" s="25">
        <f>+SUMIFS(PROVEEDORES[Total],PROVEEDORES[PROVEEDOR],PROVEEDORES[[#This Row],[PROVEEDOR]],PROVEEDORES[FECHA DE PAGO],"")</f>
        <v>0</v>
      </c>
      <c r="E2355" s="25"/>
      <c r="F2355" s="56" t="str">
        <f>+VLOOKUP(PROVEEDORES[[#This Row],[PROVEEDOR]],
                       Terceros!$A:$F,
                       5,
                       FALSE)</f>
        <v/>
      </c>
      <c r="G2355" s="68">
        <v>45266</v>
      </c>
      <c r="H2355" s="26" t="s">
        <v>378</v>
      </c>
      <c r="I2355" s="68">
        <v>45266</v>
      </c>
      <c r="J2355" s="35" t="s">
        <v>2300</v>
      </c>
      <c r="K2355" s="21">
        <v>1200000</v>
      </c>
      <c r="L2355" s="21"/>
      <c r="M2355" s="22">
        <f>(PROVEEDORES[[#This Row],[SUBTOTAL]]-PROVEEDORES[[#This Row],[descuento sobre subtotal]])*VLOOKUP(PROVEEDORES[[#This Row],[PROVEEDOR]],TERCEROS_INFO[#All],3,FALSE)</f>
        <v>0</v>
      </c>
      <c r="N2355" s="23"/>
      <c r="O2355" s="22">
        <f>+PROVEEDORES[[#This Row],[Descuento sobre subtotal %]]*(PROVEEDORES[[#This Row],[SUBTOTAL]]-PROVEEDORES[[#This Row],[descuento sobre subtotal]])</f>
        <v>0</v>
      </c>
      <c r="P2355" s="74">
        <f>+IF(PROVEEDORES[[#This Row],[SUBTOTAL]]&lt;PROVEEDORES[[#This Row],[base retencion]],0,PROVEEDORES[[#This Row],[retención aplicada]])</f>
        <v>0</v>
      </c>
      <c r="Q2355" s="22">
        <f>+PROVEEDORES[[#This Row],[Rete Fuente %]]*(PROVEEDORES[[#This Row],[SUBTOTAL]]-PROVEEDORES[[#This Row],[descuento sobre subtotal]])</f>
        <v>0</v>
      </c>
      <c r="R2355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235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5" s="63">
        <f ca="1">IF(PROVEEDORES[[#This Row],[FECHA DE PAGO]]=0,TODAY()-PROVEEDORES[[#This Row],[FECHA DE FACTURACIÓN]]-PROVEEDORES[[#This Row],[PLAZO Días]],0)</f>
        <v>0</v>
      </c>
      <c r="U2355" s="104">
        <f>+VLOOKUP(PROVEEDORES[[#This Row],[PROVEEDOR]],Terceros!$A:$D,4,FALSE)</f>
        <v>0</v>
      </c>
      <c r="V2355" s="105">
        <f>+YEAR(PROVEEDORES[[#This Row],[FECHA DE FACTURACIÓN]])</f>
        <v>2023</v>
      </c>
      <c r="W2355" s="105">
        <f>+MATCH(PROVEEDORES[[#This Row],[año facturado]],Retenciones!$1:$1,0)</f>
        <v>6</v>
      </c>
      <c r="X2355" s="106">
        <f>+VLOOKUP(PROVEEDORES[[#This Row],[ID RETENCION]],Retenciones!$A$1:$O$25,PROVEEDORES[[#This Row],[indicador de columna]],FALSE)</f>
        <v>0</v>
      </c>
      <c r="Y2355" s="107">
        <f>+VLOOKUP(PROVEEDORES[[#This Row],[ID RETENCION]],Retenciones!$A$1:$O$25,2,FALSE)</f>
        <v>0</v>
      </c>
      <c r="Z2355" s="116" t="b">
        <f>OR(COUNTIF(PROVEEDORES[[#This Row],[PROVEEDOR]],"*"&amp;'Palabra no opera'!$A$2&amp;"*"))</f>
        <v>0</v>
      </c>
    </row>
    <row r="2356" spans="1:26" ht="22.35" customHeight="1" x14ac:dyDescent="0.3">
      <c r="A2356" s="67" t="str">
        <f>+IF(PROVEEDORES[[#This Row],[FECHA DE PAGO]]=PROVEEDORES[[#This Row],[FECHA DE FACTURACIÓN]],"DE CONTADO","CRÉDITO")</f>
        <v>CRÉDITO</v>
      </c>
      <c r="B2356" s="38" t="b">
        <f>+IF((PROVEEDORES[[#This Row],[FECHA DE PAGO]]-PROVEEDORES[[#This Row],[FECHA DE FACTURACIÓN]])&gt;PROVEEDORES[[#This Row],[PLAZO Días]],"PAGO VENCIDO")</f>
        <v>0</v>
      </c>
      <c r="C2356" s="20">
        <f>+VLOOKUP(PROVEEDORES[[#This Row],[PROVEEDOR]],TERCEROS_INFO[#All],2,FALSE)</f>
        <v>30</v>
      </c>
      <c r="D2356" s="25">
        <f>+SUMIFS(PROVEEDORES[Total],PROVEEDORES[PROVEEDOR],PROVEEDORES[[#This Row],[PROVEEDOR]],PROVEEDORES[FECHA DE PAGO],"")</f>
        <v>680000</v>
      </c>
      <c r="E2356" s="25"/>
      <c r="F2356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2356" s="26" t="s">
        <v>412</v>
      </c>
      <c r="I2356" s="68">
        <v>45265</v>
      </c>
      <c r="J2356" s="35" t="s">
        <v>2301</v>
      </c>
      <c r="K2356" s="21">
        <v>680000</v>
      </c>
      <c r="L2356" s="21"/>
      <c r="M2356" s="22">
        <f>(PROVEEDORES[[#This Row],[SUBTOTAL]]-PROVEEDORES[[#This Row],[descuento sobre subtotal]])*VLOOKUP(PROVEEDORES[[#This Row],[PROVEEDOR]],TERCEROS_INFO[#All],3,FALSE)</f>
        <v>0</v>
      </c>
      <c r="N2356" s="23"/>
      <c r="O2356" s="22">
        <f>+PROVEEDORES[[#This Row],[Descuento sobre subtotal %]]*(PROVEEDORES[[#This Row],[SUBTOTAL]]-PROVEEDORES[[#This Row],[descuento sobre subtotal]])</f>
        <v>0</v>
      </c>
      <c r="P2356" s="74">
        <f>+IF(PROVEEDORES[[#This Row],[SUBTOTAL]]&lt;PROVEEDORES[[#This Row],[base retencion]],0,PROVEEDORES[[#This Row],[retención aplicada]])</f>
        <v>0</v>
      </c>
      <c r="Q2356" s="22">
        <f>+PROVEEDORES[[#This Row],[Rete Fuente %]]*(PROVEEDORES[[#This Row],[SUBTOTAL]]-PROVEEDORES[[#This Row],[descuento sobre subtotal]])</f>
        <v>0</v>
      </c>
      <c r="R2356" s="21">
        <f>+PROVEEDORES[[#This Row],[SUBTOTAL]]+PROVEEDORES[[#This Row],[IVA 19%]]-PROVEEDORES[[#This Row],[descuento sobre subtotal]]-PROVEEDORES[[#This Row],[Descuento sobre subtotal $2]]-PROVEEDORES[[#This Row],[Rete Fuente $]]</f>
        <v>680000</v>
      </c>
      <c r="S2356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56" s="63">
        <f ca="1">IF(PROVEEDORES[[#This Row],[FECHA DE PAGO]]=0,TODAY()-PROVEEDORES[[#This Row],[FECHA DE FACTURACIÓN]]-PROVEEDORES[[#This Row],[PLAZO Días]],0)</f>
        <v>5</v>
      </c>
      <c r="U2356" s="104">
        <f>+VLOOKUP(PROVEEDORES[[#This Row],[PROVEEDOR]],Terceros!$A:$D,4,FALSE)</f>
        <v>0</v>
      </c>
      <c r="V2356" s="105">
        <f>+YEAR(PROVEEDORES[[#This Row],[FECHA DE FACTURACIÓN]])</f>
        <v>2023</v>
      </c>
      <c r="W2356" s="105">
        <f>+MATCH(PROVEEDORES[[#This Row],[año facturado]],Retenciones!$1:$1,0)</f>
        <v>6</v>
      </c>
      <c r="X2356" s="106">
        <f>+VLOOKUP(PROVEEDORES[[#This Row],[ID RETENCION]],Retenciones!$A$1:$O$25,PROVEEDORES[[#This Row],[indicador de columna]],FALSE)</f>
        <v>0</v>
      </c>
      <c r="Y2356" s="107">
        <f>+VLOOKUP(PROVEEDORES[[#This Row],[ID RETENCION]],Retenciones!$A$1:$O$25,2,FALSE)</f>
        <v>0</v>
      </c>
      <c r="Z2356" s="116" t="b">
        <f>OR(COUNTIF(PROVEEDORES[[#This Row],[PROVEEDOR]],"*"&amp;'Palabra no opera'!$A$2&amp;"*"))</f>
        <v>0</v>
      </c>
    </row>
    <row r="2357" spans="1:26" ht="22.35" customHeight="1" x14ac:dyDescent="0.3">
      <c r="A2357" s="67" t="str">
        <f>+IF(PROVEEDORES[[#This Row],[FECHA DE PAGO]]=PROVEEDORES[[#This Row],[FECHA DE FACTURACIÓN]],"DE CONTADO","CRÉDITO")</f>
        <v>CRÉDITO</v>
      </c>
      <c r="B2357" s="38" t="str">
        <f>+IF((PROVEEDORES[[#This Row],[FECHA DE PAGO]]-PROVEEDORES[[#This Row],[FECHA DE FACTURACIÓN]])&gt;PROVEEDORES[[#This Row],[PLAZO Días]],"PAGO VENCIDO")</f>
        <v>PAGO VENCIDO</v>
      </c>
      <c r="C2357" s="20">
        <f>+VLOOKUP(PROVEEDORES[[#This Row],[PROVEEDOR]],TERCEROS_INFO[#All],2,FALSE)</f>
        <v>30</v>
      </c>
      <c r="D2357" s="25">
        <f>+SUMIFS(PROVEEDORES[Total],PROVEEDORES[PROVEEDOR],PROVEEDORES[[#This Row],[PROVEEDOR]],PROVEEDORES[FECHA DE PAGO],"")</f>
        <v>0</v>
      </c>
      <c r="E2357" s="25"/>
      <c r="F2357" s="56">
        <f>+VLOOKUP(PROVEEDORES[[#This Row],[PROVEEDOR]],
                       Terceros!$A:$F,
                       5,
                       FALSE)</f>
        <v>0</v>
      </c>
      <c r="G2357" s="68">
        <v>45294</v>
      </c>
      <c r="H2357" s="26" t="s">
        <v>413</v>
      </c>
      <c r="I2357" s="68">
        <v>45261</v>
      </c>
      <c r="J2357" s="35" t="s">
        <v>2302</v>
      </c>
      <c r="K2357" s="21">
        <v>1386600</v>
      </c>
      <c r="L2357" s="21"/>
      <c r="M2357" s="22">
        <f>(PROVEEDORES[[#This Row],[SUBTOTAL]]-PROVEEDORES[[#This Row],[descuento sobre subtotal]])*VLOOKUP(PROVEEDORES[[#This Row],[PROVEEDOR]],TERCEROS_INFO[#All],3,FALSE)</f>
        <v>0</v>
      </c>
      <c r="N2357" s="23"/>
      <c r="O2357" s="22">
        <f>+PROVEEDORES[[#This Row],[Descuento sobre subtotal %]]*(PROVEEDORES[[#This Row],[SUBTOTAL]]-PROVEEDORES[[#This Row],[descuento sobre subtotal]])</f>
        <v>0</v>
      </c>
      <c r="P2357" s="74">
        <f>+IF(PROVEEDORES[[#This Row],[SUBTOTAL]]&lt;PROVEEDORES[[#This Row],[base retencion]],0,PROVEEDORES[[#This Row],[retención aplicada]])</f>
        <v>0</v>
      </c>
      <c r="Q2357" s="22">
        <f>+PROVEEDORES[[#This Row],[Rete Fuente %]]*(PROVEEDORES[[#This Row],[SUBTOTAL]]-PROVEEDORES[[#This Row],[descuento sobre subtotal]])</f>
        <v>0</v>
      </c>
      <c r="R2357" s="21">
        <f>+PROVEEDORES[[#This Row],[SUBTOTAL]]+PROVEEDORES[[#This Row],[IVA 19%]]-PROVEEDORES[[#This Row],[descuento sobre subtotal]]-PROVEEDORES[[#This Row],[Descuento sobre subtotal $2]]-PROVEEDORES[[#This Row],[Rete Fuente $]]</f>
        <v>1386600</v>
      </c>
      <c r="S235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7" s="63">
        <f ca="1">IF(PROVEEDORES[[#This Row],[FECHA DE PAGO]]=0,TODAY()-PROVEEDORES[[#This Row],[FECHA DE FACTURACIÓN]]-PROVEEDORES[[#This Row],[PLAZO Días]],0)</f>
        <v>0</v>
      </c>
      <c r="U2357" s="104">
        <f>+VLOOKUP(PROVEEDORES[[#This Row],[PROVEEDOR]],Terceros!$A:$D,4,FALSE)</f>
        <v>0</v>
      </c>
      <c r="V2357" s="105">
        <f>+YEAR(PROVEEDORES[[#This Row],[FECHA DE FACTURACIÓN]])</f>
        <v>2023</v>
      </c>
      <c r="W2357" s="105">
        <f>+MATCH(PROVEEDORES[[#This Row],[año facturado]],Retenciones!$1:$1,0)</f>
        <v>6</v>
      </c>
      <c r="X2357" s="106">
        <f>+VLOOKUP(PROVEEDORES[[#This Row],[ID RETENCION]],Retenciones!$A$1:$O$25,PROVEEDORES[[#This Row],[indicador de columna]],FALSE)</f>
        <v>0</v>
      </c>
      <c r="Y2357" s="107">
        <f>+VLOOKUP(PROVEEDORES[[#This Row],[ID RETENCION]],Retenciones!$A$1:$O$25,2,FALSE)</f>
        <v>0</v>
      </c>
      <c r="Z2357" s="116" t="b">
        <f>OR(COUNTIF(PROVEEDORES[[#This Row],[PROVEEDOR]],"*"&amp;'Palabra no opera'!$A$2&amp;"*"))</f>
        <v>0</v>
      </c>
    </row>
    <row r="2358" spans="1:26" ht="22.35" customHeight="1" x14ac:dyDescent="0.3">
      <c r="A2358" s="67" t="str">
        <f>+IF(PROVEEDORES[[#This Row],[FECHA DE PAGO]]=PROVEEDORES[[#This Row],[FECHA DE FACTURACIÓN]],"DE CONTADO","CRÉDITO")</f>
        <v>CRÉDITO</v>
      </c>
      <c r="B2358" s="38" t="b">
        <f>+IF((PROVEEDORES[[#This Row],[FECHA DE PAGO]]-PROVEEDORES[[#This Row],[FECHA DE FACTURACIÓN]])&gt;PROVEEDORES[[#This Row],[PLAZO Días]],"PAGO VENCIDO")</f>
        <v>0</v>
      </c>
      <c r="C2358" s="20">
        <f>+VLOOKUP(PROVEEDORES[[#This Row],[PROVEEDOR]],TERCEROS_INFO[#All],2,FALSE)</f>
        <v>30</v>
      </c>
      <c r="D2358" s="25">
        <f>+SUMIFS(PROVEEDORES[Total],PROVEEDORES[PROVEEDOR],PROVEEDORES[[#This Row],[PROVEEDOR]],PROVEEDORES[FECHA DE PAGO],"")</f>
        <v>27189617.395</v>
      </c>
      <c r="E2358" s="25"/>
      <c r="F2358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H2358" s="26" t="s">
        <v>77</v>
      </c>
      <c r="I2358" s="68">
        <v>45271</v>
      </c>
      <c r="J2358" s="35" t="s">
        <v>2280</v>
      </c>
      <c r="K2358" s="21">
        <v>3963010</v>
      </c>
      <c r="L2358" s="21"/>
      <c r="M2358" s="22">
        <f>(PROVEEDORES[[#This Row],[SUBTOTAL]]-PROVEEDORES[[#This Row],[descuento sobre subtotal]])*VLOOKUP(PROVEEDORES[[#This Row],[PROVEEDOR]],TERCEROS_INFO[#All],3,FALSE)</f>
        <v>752971.9</v>
      </c>
      <c r="N2358" s="23"/>
      <c r="O2358" s="22">
        <f>+PROVEEDORES[[#This Row],[Descuento sobre subtotal %]]*(PROVEEDORES[[#This Row],[SUBTOTAL]]-PROVEEDORES[[#This Row],[descuento sobre subtotal]])</f>
        <v>0</v>
      </c>
      <c r="P2358" s="74">
        <f>+IF(PROVEEDORES[[#This Row],[SUBTOTAL]]&lt;PROVEEDORES[[#This Row],[base retencion]],0,PROVEEDORES[[#This Row],[retención aplicada]])</f>
        <v>2.5000000000000001E-2</v>
      </c>
      <c r="Q2358" s="22">
        <f>+PROVEEDORES[[#This Row],[Rete Fuente %]]*(PROVEEDORES[[#This Row],[SUBTOTAL]]-PROVEEDORES[[#This Row],[descuento sobre subtotal]])</f>
        <v>99075.25</v>
      </c>
      <c r="R2358" s="21">
        <f>+PROVEEDORES[[#This Row],[SUBTOTAL]]+PROVEEDORES[[#This Row],[IVA 19%]]-PROVEEDORES[[#This Row],[descuento sobre subtotal]]-PROVEEDORES[[#This Row],[Descuento sobre subtotal $2]]-PROVEEDORES[[#This Row],[Rete Fuente $]]</f>
        <v>4616906.6500000004</v>
      </c>
      <c r="S2358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58" s="63">
        <f ca="1">IF(PROVEEDORES[[#This Row],[FECHA DE PAGO]]=0,TODAY()-PROVEEDORES[[#This Row],[FECHA DE FACTURACIÓN]]-PROVEEDORES[[#This Row],[PLAZO Días]],0)</f>
        <v>-1</v>
      </c>
      <c r="U2358" s="104" t="str">
        <f>+VLOOKUP(PROVEEDORES[[#This Row],[PROVEEDOR]],Terceros!$A:$D,4,FALSE)</f>
        <v>2,5% con base</v>
      </c>
      <c r="V2358" s="105">
        <f>+YEAR(PROVEEDORES[[#This Row],[FECHA DE FACTURACIÓN]])</f>
        <v>2023</v>
      </c>
      <c r="W2358" s="105">
        <f>+MATCH(PROVEEDORES[[#This Row],[año facturado]],Retenciones!$1:$1,0)</f>
        <v>6</v>
      </c>
      <c r="X2358" s="106">
        <f>+VLOOKUP(PROVEEDORES[[#This Row],[ID RETENCION]],Retenciones!$A$1:$O$25,PROVEEDORES[[#This Row],[indicador de columna]],FALSE)</f>
        <v>1145000</v>
      </c>
      <c r="Y2358" s="107">
        <f>+VLOOKUP(PROVEEDORES[[#This Row],[ID RETENCION]],Retenciones!$A$1:$O$25,2,FALSE)</f>
        <v>2.5000000000000001E-2</v>
      </c>
      <c r="Z2358" s="116" t="b">
        <f>OR(COUNTIF(PROVEEDORES[[#This Row],[PROVEEDOR]],"*"&amp;'Palabra no opera'!$A$2&amp;"*"))</f>
        <v>0</v>
      </c>
    </row>
    <row r="2359" spans="1:26" ht="22.35" customHeight="1" x14ac:dyDescent="0.3">
      <c r="A2359" s="67" t="str">
        <f>+IF(PROVEEDORES[[#This Row],[FECHA DE PAGO]]=PROVEEDORES[[#This Row],[FECHA DE FACTURACIÓN]],"DE CONTADO","CRÉDITO")</f>
        <v>CRÉDITO</v>
      </c>
      <c r="B2359" s="38" t="b">
        <f>+IF((PROVEEDORES[[#This Row],[FECHA DE PAGO]]-PROVEEDORES[[#This Row],[FECHA DE FACTURACIÓN]])&gt;PROVEEDORES[[#This Row],[PLAZO Días]],"PAGO VENCIDO")</f>
        <v>0</v>
      </c>
      <c r="C2359" s="20">
        <f>+VLOOKUP(PROVEEDORES[[#This Row],[PROVEEDOR]],TERCEROS_INFO[#All],2,FALSE)</f>
        <v>45</v>
      </c>
      <c r="D2359" s="25">
        <f>+SUMIFS(PROVEEDORES[Total],PROVEEDORES[PROVEEDOR],PROVEEDORES[[#This Row],[PROVEEDOR]],PROVEEDORES[FECHA DE PAGO],"")</f>
        <v>3074500</v>
      </c>
      <c r="E2359" s="25"/>
      <c r="F235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2359" s="26" t="s">
        <v>289</v>
      </c>
      <c r="I2359" s="68">
        <v>45288</v>
      </c>
      <c r="J2359" s="35">
        <v>1882</v>
      </c>
      <c r="K2359" s="21">
        <v>3074500</v>
      </c>
      <c r="L2359" s="21"/>
      <c r="M2359" s="22">
        <f>(PROVEEDORES[[#This Row],[SUBTOTAL]]-PROVEEDORES[[#This Row],[descuento sobre subtotal]])*VLOOKUP(PROVEEDORES[[#This Row],[PROVEEDOR]],TERCEROS_INFO[#All],3,FALSE)</f>
        <v>0</v>
      </c>
      <c r="N2359" s="23"/>
      <c r="O2359" s="22">
        <f>+PROVEEDORES[[#This Row],[Descuento sobre subtotal %]]*(PROVEEDORES[[#This Row],[SUBTOTAL]]-PROVEEDORES[[#This Row],[descuento sobre subtotal]])</f>
        <v>0</v>
      </c>
      <c r="P2359" s="74">
        <f>+IF(PROVEEDORES[[#This Row],[SUBTOTAL]]&lt;PROVEEDORES[[#This Row],[base retencion]],0,PROVEEDORES[[#This Row],[retención aplicada]])</f>
        <v>0</v>
      </c>
      <c r="Q2359" s="22">
        <f>+PROVEEDORES[[#This Row],[Rete Fuente %]]*(PROVEEDORES[[#This Row],[SUBTOTAL]]-PROVEEDORES[[#This Row],[descuento sobre subtotal]])</f>
        <v>0</v>
      </c>
      <c r="R2359" s="21">
        <f>+PROVEEDORES[[#This Row],[SUBTOTAL]]+PROVEEDORES[[#This Row],[IVA 19%]]-PROVEEDORES[[#This Row],[descuento sobre subtotal]]-PROVEEDORES[[#This Row],[Descuento sobre subtotal $2]]-PROVEEDORES[[#This Row],[Rete Fuente $]]</f>
        <v>3074500</v>
      </c>
      <c r="S2359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59" s="63">
        <f ca="1">IF(PROVEEDORES[[#This Row],[FECHA DE PAGO]]=0,TODAY()-PROVEEDORES[[#This Row],[FECHA DE FACTURACIÓN]]-PROVEEDORES[[#This Row],[PLAZO Días]],0)</f>
        <v>-33</v>
      </c>
      <c r="U2359" s="104">
        <f>+VLOOKUP(PROVEEDORES[[#This Row],[PROVEEDOR]],Terceros!$A:$D,4,FALSE)</f>
        <v>0</v>
      </c>
      <c r="V2359" s="105">
        <f>+YEAR(PROVEEDORES[[#This Row],[FECHA DE FACTURACIÓN]])</f>
        <v>2023</v>
      </c>
      <c r="W2359" s="105">
        <f>+MATCH(PROVEEDORES[[#This Row],[año facturado]],Retenciones!$1:$1,0)</f>
        <v>6</v>
      </c>
      <c r="X2359" s="106">
        <f>+VLOOKUP(PROVEEDORES[[#This Row],[ID RETENCION]],Retenciones!$A$1:$O$25,PROVEEDORES[[#This Row],[indicador de columna]],FALSE)</f>
        <v>0</v>
      </c>
      <c r="Y2359" s="107">
        <f>+VLOOKUP(PROVEEDORES[[#This Row],[ID RETENCION]],Retenciones!$A$1:$O$25,2,FALSE)</f>
        <v>0</v>
      </c>
      <c r="Z2359" s="116" t="b">
        <f>OR(COUNTIF(PROVEEDORES[[#This Row],[PROVEEDOR]],"*"&amp;'Palabra no opera'!$A$2&amp;"*"))</f>
        <v>0</v>
      </c>
    </row>
    <row r="2360" spans="1:26" ht="22.35" customHeight="1" x14ac:dyDescent="0.3">
      <c r="A2360" s="67" t="str">
        <f>+IF(PROVEEDORES[[#This Row],[FECHA DE PAGO]]=PROVEEDORES[[#This Row],[FECHA DE FACTURACIÓN]],"DE CONTADO","CRÉDITO")</f>
        <v>CRÉDITO</v>
      </c>
      <c r="B2360" s="38" t="b">
        <f>+IF((PROVEEDORES[[#This Row],[FECHA DE PAGO]]-PROVEEDORES[[#This Row],[FECHA DE FACTURACIÓN]])&gt;PROVEEDORES[[#This Row],[PLAZO Días]],"PAGO VENCIDO")</f>
        <v>0</v>
      </c>
      <c r="C2360" s="20">
        <f>+VLOOKUP(PROVEEDORES[[#This Row],[PROVEEDOR]],TERCEROS_INFO[#All],2,FALSE)</f>
        <v>30</v>
      </c>
      <c r="D2360" s="25">
        <f>+SUMIFS(PROVEEDORES[Total],PROVEEDORES[PROVEEDOR],PROVEEDORES[[#This Row],[PROVEEDOR]],PROVEEDORES[FECHA DE PAGO],"")</f>
        <v>1320900</v>
      </c>
      <c r="E2360" s="25"/>
      <c r="F2360" s="56">
        <f>+VLOOKUP(PROVEEDORES[[#This Row],[PROVEEDOR]],
                       Terceros!$A:$F,
                       5,
                       FALSE)</f>
        <v>0</v>
      </c>
      <c r="H2360" s="26" t="s">
        <v>1765</v>
      </c>
      <c r="I2360" s="68">
        <v>45287</v>
      </c>
      <c r="J2360" s="35" t="s">
        <v>2303</v>
      </c>
      <c r="K2360" s="21">
        <v>1110000</v>
      </c>
      <c r="L2360" s="21"/>
      <c r="M2360" s="22">
        <f>(PROVEEDORES[[#This Row],[SUBTOTAL]]-PROVEEDORES[[#This Row],[descuento sobre subtotal]])*VLOOKUP(PROVEEDORES[[#This Row],[PROVEEDOR]],TERCEROS_INFO[#All],3,FALSE)</f>
        <v>210900</v>
      </c>
      <c r="N2360" s="23"/>
      <c r="O2360" s="22">
        <f>+PROVEEDORES[[#This Row],[Descuento sobre subtotal %]]*(PROVEEDORES[[#This Row],[SUBTOTAL]]-PROVEEDORES[[#This Row],[descuento sobre subtotal]])</f>
        <v>0</v>
      </c>
      <c r="P2360" s="74">
        <f>+IF(PROVEEDORES[[#This Row],[SUBTOTAL]]&lt;PROVEEDORES[[#This Row],[base retencion]],0,PROVEEDORES[[#This Row],[retención aplicada]])</f>
        <v>0</v>
      </c>
      <c r="Q2360" s="22">
        <f>+PROVEEDORES[[#This Row],[Rete Fuente %]]*(PROVEEDORES[[#This Row],[SUBTOTAL]]-PROVEEDORES[[#This Row],[descuento sobre subtotal]])</f>
        <v>0</v>
      </c>
      <c r="R2360" s="21">
        <f>+PROVEEDORES[[#This Row],[SUBTOTAL]]+PROVEEDORES[[#This Row],[IVA 19%]]-PROVEEDORES[[#This Row],[descuento sobre subtotal]]-PROVEEDORES[[#This Row],[Descuento sobre subtotal $2]]-PROVEEDORES[[#This Row],[Rete Fuente $]]</f>
        <v>1320900</v>
      </c>
      <c r="S2360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0" s="63">
        <f ca="1">IF(PROVEEDORES[[#This Row],[FECHA DE PAGO]]=0,TODAY()-PROVEEDORES[[#This Row],[FECHA DE FACTURACIÓN]]-PROVEEDORES[[#This Row],[PLAZO Días]],0)</f>
        <v>-17</v>
      </c>
      <c r="U2360" s="104" t="str">
        <f>+VLOOKUP(PROVEEDORES[[#This Row],[PROVEEDOR]],Terceros!$A:$D,4,FALSE)</f>
        <v>2,5% con base</v>
      </c>
      <c r="V2360" s="105">
        <f>+YEAR(PROVEEDORES[[#This Row],[FECHA DE FACTURACIÓN]])</f>
        <v>2023</v>
      </c>
      <c r="W2360" s="105">
        <f>+MATCH(PROVEEDORES[[#This Row],[año facturado]],Retenciones!$1:$1,0)</f>
        <v>6</v>
      </c>
      <c r="X2360" s="106">
        <f>+VLOOKUP(PROVEEDORES[[#This Row],[ID RETENCION]],Retenciones!$A$1:$O$25,PROVEEDORES[[#This Row],[indicador de columna]],FALSE)</f>
        <v>1145000</v>
      </c>
      <c r="Y2360" s="107">
        <f>+VLOOKUP(PROVEEDORES[[#This Row],[ID RETENCION]],Retenciones!$A$1:$O$25,2,FALSE)</f>
        <v>2.5000000000000001E-2</v>
      </c>
      <c r="Z2360" s="116" t="b">
        <f>OR(COUNTIF(PROVEEDORES[[#This Row],[PROVEEDOR]],"*"&amp;'Palabra no opera'!$A$2&amp;"*"))</f>
        <v>0</v>
      </c>
    </row>
    <row r="2361" spans="1:26" ht="22.35" customHeight="1" x14ac:dyDescent="0.3">
      <c r="A2361" s="67" t="str">
        <f>+IF(PROVEEDORES[[#This Row],[FECHA DE PAGO]]=PROVEEDORES[[#This Row],[FECHA DE FACTURACIÓN]],"DE CONTADO","CRÉDITO")</f>
        <v>CRÉDITO</v>
      </c>
      <c r="B2361" s="38" t="b">
        <f>+IF((PROVEEDORES[[#This Row],[FECHA DE PAGO]]-PROVEEDORES[[#This Row],[FECHA DE FACTURACIÓN]])&gt;PROVEEDORES[[#This Row],[PLAZO Días]],"PAGO VENCIDO")</f>
        <v>0</v>
      </c>
      <c r="C2361" s="20">
        <f>+VLOOKUP(PROVEEDORES[[#This Row],[PROVEEDOR]],TERCEROS_INFO[#All],2,FALSE)</f>
        <v>30</v>
      </c>
      <c r="D2361" s="25">
        <f>+SUMIFS(PROVEEDORES[Total],PROVEEDORES[PROVEEDOR],PROVEEDORES[[#This Row],[PROVEEDOR]],PROVEEDORES[FECHA DE PAGO],"")</f>
        <v>10321993.199999999</v>
      </c>
      <c r="E2361" s="25"/>
      <c r="F236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H2361" s="26" t="s">
        <v>1068</v>
      </c>
      <c r="I2361" s="68">
        <v>45286</v>
      </c>
      <c r="J2361" s="35" t="s">
        <v>2304</v>
      </c>
      <c r="K2361" s="21">
        <v>4116710</v>
      </c>
      <c r="L2361" s="21">
        <v>316670</v>
      </c>
      <c r="M2361" s="22">
        <f>(PROVEEDORES[[#This Row],[SUBTOTAL]]-PROVEEDORES[[#This Row],[descuento sobre subtotal]])*VLOOKUP(PROVEEDORES[[#This Row],[PROVEEDOR]],TERCEROS_INFO[#All],3,FALSE)</f>
        <v>722007.6</v>
      </c>
      <c r="N2361" s="23"/>
      <c r="O2361" s="22">
        <f>+PROVEEDORES[[#This Row],[Descuento sobre subtotal %]]*(PROVEEDORES[[#This Row],[SUBTOTAL]]-PROVEEDORES[[#This Row],[descuento sobre subtotal]])</f>
        <v>0</v>
      </c>
      <c r="P2361" s="74">
        <f>+IF(PROVEEDORES[[#This Row],[SUBTOTAL]]&lt;PROVEEDORES[[#This Row],[base retencion]],0,PROVEEDORES[[#This Row],[retención aplicada]])</f>
        <v>2.5000000000000001E-2</v>
      </c>
      <c r="Q2361" s="22">
        <f>+PROVEEDORES[[#This Row],[Rete Fuente %]]*(PROVEEDORES[[#This Row],[SUBTOTAL]]-PROVEEDORES[[#This Row],[descuento sobre subtotal]])</f>
        <v>95001</v>
      </c>
      <c r="R2361" s="21">
        <f>+PROVEEDORES[[#This Row],[SUBTOTAL]]+PROVEEDORES[[#This Row],[IVA 19%]]-PROVEEDORES[[#This Row],[descuento sobre subtotal]]-PROVEEDORES[[#This Row],[Descuento sobre subtotal $2]]-PROVEEDORES[[#This Row],[Rete Fuente $]]</f>
        <v>4427046.5999999996</v>
      </c>
      <c r="S2361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1" s="63">
        <f ca="1">IF(PROVEEDORES[[#This Row],[FECHA DE PAGO]]=0,TODAY()-PROVEEDORES[[#This Row],[FECHA DE FACTURACIÓN]]-PROVEEDORES[[#This Row],[PLAZO Días]],0)</f>
        <v>-16</v>
      </c>
      <c r="U2361" s="104" t="str">
        <f>+VLOOKUP(PROVEEDORES[[#This Row],[PROVEEDOR]],Terceros!$A:$D,4,FALSE)</f>
        <v>2,5% con base</v>
      </c>
      <c r="V2361" s="105">
        <f>+YEAR(PROVEEDORES[[#This Row],[FECHA DE FACTURACIÓN]])</f>
        <v>2023</v>
      </c>
      <c r="W2361" s="105">
        <f>+MATCH(PROVEEDORES[[#This Row],[año facturado]],Retenciones!$1:$1,0)</f>
        <v>6</v>
      </c>
      <c r="X2361" s="106">
        <f>+VLOOKUP(PROVEEDORES[[#This Row],[ID RETENCION]],Retenciones!$A$1:$O$25,PROVEEDORES[[#This Row],[indicador de columna]],FALSE)</f>
        <v>1145000</v>
      </c>
      <c r="Y2361" s="107">
        <f>+VLOOKUP(PROVEEDORES[[#This Row],[ID RETENCION]],Retenciones!$A$1:$O$25,2,FALSE)</f>
        <v>2.5000000000000001E-2</v>
      </c>
      <c r="Z2361" s="116" t="b">
        <f>OR(COUNTIF(PROVEEDORES[[#This Row],[PROVEEDOR]],"*"&amp;'Palabra no opera'!$A$2&amp;"*"))</f>
        <v>0</v>
      </c>
    </row>
    <row r="2362" spans="1:26" ht="22.35" customHeight="1" x14ac:dyDescent="0.3">
      <c r="A2362" s="67" t="str">
        <f>+IF(PROVEEDORES[[#This Row],[FECHA DE PAGO]]=PROVEEDORES[[#This Row],[FECHA DE FACTURACIÓN]],"DE CONTADO","CRÉDITO")</f>
        <v>CRÉDITO</v>
      </c>
      <c r="B2362" s="38" t="b">
        <f>+IF((PROVEEDORES[[#This Row],[FECHA DE PAGO]]-PROVEEDORES[[#This Row],[FECHA DE FACTURACIÓN]])&gt;PROVEEDORES[[#This Row],[PLAZO Días]],"PAGO VENCIDO")</f>
        <v>0</v>
      </c>
      <c r="C2362" s="20">
        <f>+VLOOKUP(PROVEEDORES[[#This Row],[PROVEEDOR]],TERCEROS_INFO[#All],2,FALSE)</f>
        <v>30</v>
      </c>
      <c r="D2362" s="25">
        <f>+SUMIFS(PROVEEDORES[Total],PROVEEDORES[PROVEEDOR],PROVEEDORES[[#This Row],[PROVEEDOR]],PROVEEDORES[FECHA DE PAGO],"")</f>
        <v>4248480.9550000001</v>
      </c>
      <c r="E2362" s="25"/>
      <c r="F2362" s="56" t="str">
        <f>+VLOOKUP(PROVEEDORES[[#This Row],[PROVEEDOR]],
                       Terceros!$A:$F,
                       5,
                       FALSE)</f>
        <v/>
      </c>
      <c r="H2362" s="26" t="s">
        <v>78</v>
      </c>
      <c r="I2362" s="68">
        <v>45280</v>
      </c>
      <c r="J2362" s="35" t="s">
        <v>2305</v>
      </c>
      <c r="K2362" s="21">
        <v>616355</v>
      </c>
      <c r="L2362" s="21"/>
      <c r="M2362" s="22">
        <f>(PROVEEDORES[[#This Row],[SUBTOTAL]]-PROVEEDORES[[#This Row],[descuento sobre subtotal]])*VLOOKUP(PROVEEDORES[[#This Row],[PROVEEDOR]],TERCEROS_INFO[#All],3,FALSE)</f>
        <v>117107.45</v>
      </c>
      <c r="N2362" s="23"/>
      <c r="O2362" s="22">
        <f>+PROVEEDORES[[#This Row],[Descuento sobre subtotal %]]*(PROVEEDORES[[#This Row],[SUBTOTAL]]-PROVEEDORES[[#This Row],[descuento sobre subtotal]])</f>
        <v>0</v>
      </c>
      <c r="P2362" s="74">
        <f>+IF(PROVEEDORES[[#This Row],[SUBTOTAL]]&lt;PROVEEDORES[[#This Row],[base retencion]],0,PROVEEDORES[[#This Row],[retención aplicada]])</f>
        <v>0</v>
      </c>
      <c r="Q2362" s="22">
        <f>+PROVEEDORES[[#This Row],[Rete Fuente %]]*(PROVEEDORES[[#This Row],[SUBTOTAL]]-PROVEEDORES[[#This Row],[descuento sobre subtotal]])</f>
        <v>0</v>
      </c>
      <c r="R2362" s="21">
        <f>+PROVEEDORES[[#This Row],[SUBTOTAL]]+PROVEEDORES[[#This Row],[IVA 19%]]-PROVEEDORES[[#This Row],[descuento sobre subtotal]]-PROVEEDORES[[#This Row],[Descuento sobre subtotal $2]]-PROVEEDORES[[#This Row],[Rete Fuente $]]</f>
        <v>733462.45</v>
      </c>
      <c r="S2362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2" s="63">
        <f ca="1">IF(PROVEEDORES[[#This Row],[FECHA DE PAGO]]=0,TODAY()-PROVEEDORES[[#This Row],[FECHA DE FACTURACIÓN]]-PROVEEDORES[[#This Row],[PLAZO Días]],0)</f>
        <v>-10</v>
      </c>
      <c r="U2362" s="104" t="str">
        <f>+VLOOKUP(PROVEEDORES[[#This Row],[PROVEEDOR]],Terceros!$A:$D,4,FALSE)</f>
        <v>2,5% con base</v>
      </c>
      <c r="V2362" s="105">
        <f>+YEAR(PROVEEDORES[[#This Row],[FECHA DE FACTURACIÓN]])</f>
        <v>2023</v>
      </c>
      <c r="W2362" s="105">
        <f>+MATCH(PROVEEDORES[[#This Row],[año facturado]],Retenciones!$1:$1,0)</f>
        <v>6</v>
      </c>
      <c r="X2362" s="106">
        <f>+VLOOKUP(PROVEEDORES[[#This Row],[ID RETENCION]],Retenciones!$A$1:$O$25,PROVEEDORES[[#This Row],[indicador de columna]],FALSE)</f>
        <v>1145000</v>
      </c>
      <c r="Y2362" s="107">
        <f>+VLOOKUP(PROVEEDORES[[#This Row],[ID RETENCION]],Retenciones!$A$1:$O$25,2,FALSE)</f>
        <v>2.5000000000000001E-2</v>
      </c>
      <c r="Z2362" s="116" t="b">
        <f>OR(COUNTIF(PROVEEDORES[[#This Row],[PROVEEDOR]],"*"&amp;'Palabra no opera'!$A$2&amp;"*"))</f>
        <v>0</v>
      </c>
    </row>
    <row r="2363" spans="1:26" ht="22.35" customHeight="1" x14ac:dyDescent="0.3">
      <c r="A2363" s="67" t="str">
        <f>+IF(PROVEEDORES[[#This Row],[FECHA DE PAGO]]=PROVEEDORES[[#This Row],[FECHA DE FACTURACIÓN]],"DE CONTADO","CRÉDITO")</f>
        <v>CRÉDITO</v>
      </c>
      <c r="B2363" s="38" t="b">
        <f>+IF((PROVEEDORES[[#This Row],[FECHA DE PAGO]]-PROVEEDORES[[#This Row],[FECHA DE FACTURACIÓN]])&gt;PROVEEDORES[[#This Row],[PLAZO Días]],"PAGO VENCIDO")</f>
        <v>0</v>
      </c>
      <c r="C2363" s="20">
        <f>+VLOOKUP(PROVEEDORES[[#This Row],[PROVEEDOR]],TERCEROS_INFO[#All],2,FALSE)</f>
        <v>30</v>
      </c>
      <c r="D2363" s="25">
        <f>+SUMIFS(PROVEEDORES[Total],PROVEEDORES[PROVEEDOR],PROVEEDORES[[#This Row],[PROVEEDOR]],PROVEEDORES[FECHA DE PAGO],"")</f>
        <v>4248480.9550000001</v>
      </c>
      <c r="E2363" s="25"/>
      <c r="F2363" s="56" t="str">
        <f>+VLOOKUP(PROVEEDORES[[#This Row],[PROVEEDOR]],
                       Terceros!$A:$F,
                       5,
                       FALSE)</f>
        <v/>
      </c>
      <c r="H2363" s="26" t="s">
        <v>78</v>
      </c>
      <c r="I2363" s="68">
        <v>45287</v>
      </c>
      <c r="J2363" s="35" t="s">
        <v>2306</v>
      </c>
      <c r="K2363" s="21">
        <v>128442</v>
      </c>
      <c r="L2363" s="21"/>
      <c r="M2363" s="22">
        <f>(PROVEEDORES[[#This Row],[SUBTOTAL]]-PROVEEDORES[[#This Row],[descuento sobre subtotal]])*VLOOKUP(PROVEEDORES[[#This Row],[PROVEEDOR]],TERCEROS_INFO[#All],3,FALSE)</f>
        <v>24403.98</v>
      </c>
      <c r="N2363" s="23"/>
      <c r="O2363" s="22">
        <f>+PROVEEDORES[[#This Row],[Descuento sobre subtotal %]]*(PROVEEDORES[[#This Row],[SUBTOTAL]]-PROVEEDORES[[#This Row],[descuento sobre subtotal]])</f>
        <v>0</v>
      </c>
      <c r="P2363" s="74">
        <f>+IF(PROVEEDORES[[#This Row],[SUBTOTAL]]&lt;PROVEEDORES[[#This Row],[base retencion]],0,PROVEEDORES[[#This Row],[retención aplicada]])</f>
        <v>0</v>
      </c>
      <c r="Q2363" s="22">
        <f>+PROVEEDORES[[#This Row],[Rete Fuente %]]*(PROVEEDORES[[#This Row],[SUBTOTAL]]-PROVEEDORES[[#This Row],[descuento sobre subtotal]])</f>
        <v>0</v>
      </c>
      <c r="R2363" s="21">
        <f>+PROVEEDORES[[#This Row],[SUBTOTAL]]+PROVEEDORES[[#This Row],[IVA 19%]]-PROVEEDORES[[#This Row],[descuento sobre subtotal]]-PROVEEDORES[[#This Row],[Descuento sobre subtotal $2]]-PROVEEDORES[[#This Row],[Rete Fuente $]]</f>
        <v>152845.98000000001</v>
      </c>
      <c r="S2363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3" s="63">
        <f ca="1">IF(PROVEEDORES[[#This Row],[FECHA DE PAGO]]=0,TODAY()-PROVEEDORES[[#This Row],[FECHA DE FACTURACIÓN]]-PROVEEDORES[[#This Row],[PLAZO Días]],0)</f>
        <v>-17</v>
      </c>
      <c r="U2363" s="104" t="str">
        <f>+VLOOKUP(PROVEEDORES[[#This Row],[PROVEEDOR]],Terceros!$A:$D,4,FALSE)</f>
        <v>2,5% con base</v>
      </c>
      <c r="V2363" s="105">
        <f>+YEAR(PROVEEDORES[[#This Row],[FECHA DE FACTURACIÓN]])</f>
        <v>2023</v>
      </c>
      <c r="W2363" s="105">
        <f>+MATCH(PROVEEDORES[[#This Row],[año facturado]],Retenciones!$1:$1,0)</f>
        <v>6</v>
      </c>
      <c r="X2363" s="106">
        <f>+VLOOKUP(PROVEEDORES[[#This Row],[ID RETENCION]],Retenciones!$A$1:$O$25,PROVEEDORES[[#This Row],[indicador de columna]],FALSE)</f>
        <v>1145000</v>
      </c>
      <c r="Y2363" s="107">
        <f>+VLOOKUP(PROVEEDORES[[#This Row],[ID RETENCION]],Retenciones!$A$1:$O$25,2,FALSE)</f>
        <v>2.5000000000000001E-2</v>
      </c>
      <c r="Z2363" s="116" t="b">
        <f>OR(COUNTIF(PROVEEDORES[[#This Row],[PROVEEDOR]],"*"&amp;'Palabra no opera'!$A$2&amp;"*"))</f>
        <v>0</v>
      </c>
    </row>
    <row r="2364" spans="1:26" ht="22.35" customHeight="1" x14ac:dyDescent="0.3">
      <c r="A2364" s="67" t="str">
        <f>+IF(PROVEEDORES[[#This Row],[FECHA DE PAGO]]=PROVEEDORES[[#This Row],[FECHA DE FACTURACIÓN]],"DE CONTADO","CRÉDITO")</f>
        <v>CRÉDITO</v>
      </c>
      <c r="B2364" s="38" t="b">
        <f>+IF((PROVEEDORES[[#This Row],[FECHA DE PAGO]]-PROVEEDORES[[#This Row],[FECHA DE FACTURACIÓN]])&gt;PROVEEDORES[[#This Row],[PLAZO Días]],"PAGO VENCIDO")</f>
        <v>0</v>
      </c>
      <c r="C2364" s="20">
        <f>+VLOOKUP(PROVEEDORES[[#This Row],[PROVEEDOR]],TERCEROS_INFO[#All],2,FALSE)</f>
        <v>30</v>
      </c>
      <c r="D2364" s="25">
        <f>+SUMIFS(PROVEEDORES[Total],PROVEEDORES[PROVEEDOR],PROVEEDORES[[#This Row],[PROVEEDOR]],PROVEEDORES[FECHA DE PAGO],"")</f>
        <v>4248480.9550000001</v>
      </c>
      <c r="E2364" s="25"/>
      <c r="F2364" s="56" t="str">
        <f>+VLOOKUP(PROVEEDORES[[#This Row],[PROVEEDOR]],
                       Terceros!$A:$F,
                       5,
                       FALSE)</f>
        <v/>
      </c>
      <c r="H2364" s="26" t="s">
        <v>78</v>
      </c>
      <c r="I2364" s="68">
        <v>45282</v>
      </c>
      <c r="J2364" s="35" t="s">
        <v>2307</v>
      </c>
      <c r="K2364" s="21">
        <v>1308311</v>
      </c>
      <c r="L2364" s="21"/>
      <c r="M2364" s="22">
        <f>(PROVEEDORES[[#This Row],[SUBTOTAL]]-PROVEEDORES[[#This Row],[descuento sobre subtotal]])*VLOOKUP(PROVEEDORES[[#This Row],[PROVEEDOR]],TERCEROS_INFO[#All],3,FALSE)</f>
        <v>248579.09</v>
      </c>
      <c r="N2364" s="23"/>
      <c r="O2364" s="22">
        <f>+PROVEEDORES[[#This Row],[Descuento sobre subtotal %]]*(PROVEEDORES[[#This Row],[SUBTOTAL]]-PROVEEDORES[[#This Row],[descuento sobre subtotal]])</f>
        <v>0</v>
      </c>
      <c r="P2364" s="74">
        <f>+IF(PROVEEDORES[[#This Row],[SUBTOTAL]]&lt;PROVEEDORES[[#This Row],[base retencion]],0,PROVEEDORES[[#This Row],[retención aplicada]])</f>
        <v>2.5000000000000001E-2</v>
      </c>
      <c r="Q2364" s="22">
        <f>+PROVEEDORES[[#This Row],[Rete Fuente %]]*(PROVEEDORES[[#This Row],[SUBTOTAL]]-PROVEEDORES[[#This Row],[descuento sobre subtotal]])</f>
        <v>32707.775000000001</v>
      </c>
      <c r="R2364" s="21">
        <f>+PROVEEDORES[[#This Row],[SUBTOTAL]]+PROVEEDORES[[#This Row],[IVA 19%]]-PROVEEDORES[[#This Row],[descuento sobre subtotal]]-PROVEEDORES[[#This Row],[Descuento sobre subtotal $2]]-PROVEEDORES[[#This Row],[Rete Fuente $]]</f>
        <v>1524182.3150000002</v>
      </c>
      <c r="S2364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4" s="63">
        <f ca="1">IF(PROVEEDORES[[#This Row],[FECHA DE PAGO]]=0,TODAY()-PROVEEDORES[[#This Row],[FECHA DE FACTURACIÓN]]-PROVEEDORES[[#This Row],[PLAZO Días]],0)</f>
        <v>-12</v>
      </c>
      <c r="U2364" s="104" t="str">
        <f>+VLOOKUP(PROVEEDORES[[#This Row],[PROVEEDOR]],Terceros!$A:$D,4,FALSE)</f>
        <v>2,5% con base</v>
      </c>
      <c r="V2364" s="105">
        <f>+YEAR(PROVEEDORES[[#This Row],[FECHA DE FACTURACIÓN]])</f>
        <v>2023</v>
      </c>
      <c r="W2364" s="105">
        <f>+MATCH(PROVEEDORES[[#This Row],[año facturado]],Retenciones!$1:$1,0)</f>
        <v>6</v>
      </c>
      <c r="X2364" s="106">
        <f>+VLOOKUP(PROVEEDORES[[#This Row],[ID RETENCION]],Retenciones!$A$1:$O$25,PROVEEDORES[[#This Row],[indicador de columna]],FALSE)</f>
        <v>1145000</v>
      </c>
      <c r="Y2364" s="107">
        <f>+VLOOKUP(PROVEEDORES[[#This Row],[ID RETENCION]],Retenciones!$A$1:$O$25,2,FALSE)</f>
        <v>2.5000000000000001E-2</v>
      </c>
      <c r="Z2364" s="116" t="b">
        <f>OR(COUNTIF(PROVEEDORES[[#This Row],[PROVEEDOR]],"*"&amp;'Palabra no opera'!$A$2&amp;"*"))</f>
        <v>0</v>
      </c>
    </row>
    <row r="2365" spans="1:26" ht="22.35" customHeight="1" x14ac:dyDescent="0.3">
      <c r="A2365" s="67" t="str">
        <f>+IF(PROVEEDORES[[#This Row],[FECHA DE PAGO]]=PROVEEDORES[[#This Row],[FECHA DE FACTURACIÓN]],"DE CONTADO","CRÉDITO")</f>
        <v>CRÉDITO</v>
      </c>
      <c r="B2365" s="38" t="b">
        <f>+IF((PROVEEDORES[[#This Row],[FECHA DE PAGO]]-PROVEEDORES[[#This Row],[FECHA DE FACTURACIÓN]])&gt;PROVEEDORES[[#This Row],[PLAZO Días]],"PAGO VENCIDO")</f>
        <v>0</v>
      </c>
      <c r="C2365" s="20">
        <f>+VLOOKUP(PROVEEDORES[[#This Row],[PROVEEDOR]],TERCEROS_INFO[#All],2,FALSE)</f>
        <v>30</v>
      </c>
      <c r="D2365" s="25">
        <f>+SUMIFS(PROVEEDORES[Total],PROVEEDORES[PROVEEDOR],PROVEEDORES[[#This Row],[PROVEEDOR]],PROVEEDORES[FECHA DE PAGO],"")</f>
        <v>17870934.149999999</v>
      </c>
      <c r="E2365" s="25"/>
      <c r="F236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365" s="26" t="s">
        <v>18</v>
      </c>
      <c r="I2365" s="68">
        <v>45287</v>
      </c>
      <c r="J2365" s="35" t="s">
        <v>2308</v>
      </c>
      <c r="K2365" s="21">
        <v>6665062</v>
      </c>
      <c r="L2365" s="21"/>
      <c r="M2365" s="22">
        <f>(PROVEEDORES[[#This Row],[SUBTOTAL]]-PROVEEDORES[[#This Row],[descuento sobre subtotal]])*VLOOKUP(PROVEEDORES[[#This Row],[PROVEEDOR]],TERCEROS_INFO[#All],3,FALSE)</f>
        <v>1266361.78</v>
      </c>
      <c r="N2365" s="23"/>
      <c r="O2365" s="22">
        <f>+PROVEEDORES[[#This Row],[Descuento sobre subtotal %]]*(PROVEEDORES[[#This Row],[SUBTOTAL]]-PROVEEDORES[[#This Row],[descuento sobre subtotal]])</f>
        <v>0</v>
      </c>
      <c r="P2365" s="74">
        <f>+IF(PROVEEDORES[[#This Row],[SUBTOTAL]]&lt;PROVEEDORES[[#This Row],[base retencion]],0,PROVEEDORES[[#This Row],[retención aplicada]])</f>
        <v>2.5000000000000001E-2</v>
      </c>
      <c r="Q2365" s="22">
        <f>+PROVEEDORES[[#This Row],[Rete Fuente %]]*(PROVEEDORES[[#This Row],[SUBTOTAL]]-PROVEEDORES[[#This Row],[descuento sobre subtotal]])</f>
        <v>166626.55000000002</v>
      </c>
      <c r="R2365" s="21">
        <f>+PROVEEDORES[[#This Row],[SUBTOTAL]]+PROVEEDORES[[#This Row],[IVA 19%]]-PROVEEDORES[[#This Row],[descuento sobre subtotal]]-PROVEEDORES[[#This Row],[Descuento sobre subtotal $2]]-PROVEEDORES[[#This Row],[Rete Fuente $]]</f>
        <v>7764797.2300000004</v>
      </c>
      <c r="S2365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65" s="63">
        <f ca="1">IF(PROVEEDORES[[#This Row],[FECHA DE PAGO]]=0,TODAY()-PROVEEDORES[[#This Row],[FECHA DE FACTURACIÓN]]-PROVEEDORES[[#This Row],[PLAZO Días]],0)</f>
        <v>-17</v>
      </c>
      <c r="U2365" s="104" t="str">
        <f>+VLOOKUP(PROVEEDORES[[#This Row],[PROVEEDOR]],Terceros!$A:$D,4,FALSE)</f>
        <v>2,5% con base</v>
      </c>
      <c r="V2365" s="105">
        <f>+YEAR(PROVEEDORES[[#This Row],[FECHA DE FACTURACIÓN]])</f>
        <v>2023</v>
      </c>
      <c r="W2365" s="105">
        <f>+MATCH(PROVEEDORES[[#This Row],[año facturado]],Retenciones!$1:$1,0)</f>
        <v>6</v>
      </c>
      <c r="X2365" s="106">
        <f>+VLOOKUP(PROVEEDORES[[#This Row],[ID RETENCION]],Retenciones!$A$1:$O$25,PROVEEDORES[[#This Row],[indicador de columna]],FALSE)</f>
        <v>1145000</v>
      </c>
      <c r="Y2365" s="107">
        <f>+VLOOKUP(PROVEEDORES[[#This Row],[ID RETENCION]],Retenciones!$A$1:$O$25,2,FALSE)</f>
        <v>2.5000000000000001E-2</v>
      </c>
      <c r="Z2365" s="116" t="b">
        <f>OR(COUNTIF(PROVEEDORES[[#This Row],[PROVEEDOR]],"*"&amp;'Palabra no opera'!$A$2&amp;"*"))</f>
        <v>0</v>
      </c>
    </row>
    <row r="2366" spans="1:26" ht="22.35" customHeight="1" x14ac:dyDescent="0.3">
      <c r="A2366" s="67" t="str">
        <f>+IF(PROVEEDORES[[#This Row],[FECHA DE PAGO]]=PROVEEDORES[[#This Row],[FECHA DE FACTURACIÓN]],"DE CONTADO","CRÉDITO")</f>
        <v>DE CONTADO</v>
      </c>
      <c r="B2366" s="38" t="b">
        <f>+IF((PROVEEDORES[[#This Row],[FECHA DE PAGO]]-PROVEEDORES[[#This Row],[FECHA DE FACTURACIÓN]])&gt;PROVEEDORES[[#This Row],[PLAZO Días]],"PAGO VENCIDO")</f>
        <v>0</v>
      </c>
      <c r="C2366" s="20">
        <f>+VLOOKUP(PROVEEDORES[[#This Row],[PROVEEDOR]],TERCEROS_INFO[#All],2,FALSE)</f>
        <v>30</v>
      </c>
      <c r="D2366" s="25">
        <f>+SUMIFS(PROVEEDORES[Total],PROVEEDORES[PROVEEDOR],PROVEEDORES[[#This Row],[PROVEEDOR]],PROVEEDORES[FECHA DE PAGO],"")</f>
        <v>0</v>
      </c>
      <c r="E2366" s="25"/>
      <c r="F2366" s="56" t="str">
        <f>+VLOOKUP(PROVEEDORES[[#This Row],[PROVEEDOR]],
                       Terceros!$A:$F,
                       5,
                       FALSE)</f>
        <v/>
      </c>
      <c r="G2366" s="68">
        <v>45247</v>
      </c>
      <c r="H2366" s="26" t="s">
        <v>362</v>
      </c>
      <c r="I2366" s="68">
        <v>45247</v>
      </c>
      <c r="J2366" s="35" t="s">
        <v>2028</v>
      </c>
      <c r="K2366" s="21">
        <v>200000</v>
      </c>
      <c r="L2366" s="21"/>
      <c r="M2366" s="22">
        <f>(PROVEEDORES[[#This Row],[SUBTOTAL]]-PROVEEDORES[[#This Row],[descuento sobre subtotal]])*VLOOKUP(PROVEEDORES[[#This Row],[PROVEEDOR]],TERCEROS_INFO[#All],3,FALSE)</f>
        <v>0</v>
      </c>
      <c r="N2366" s="23"/>
      <c r="O2366" s="22">
        <f>+PROVEEDORES[[#This Row],[Descuento sobre subtotal %]]*(PROVEEDORES[[#This Row],[SUBTOTAL]]-PROVEEDORES[[#This Row],[descuento sobre subtotal]])</f>
        <v>0</v>
      </c>
      <c r="P2366" s="74">
        <f>+IF(PROVEEDORES[[#This Row],[SUBTOTAL]]&lt;PROVEEDORES[[#This Row],[base retencion]],0,PROVEEDORES[[#This Row],[retención aplicada]])</f>
        <v>0</v>
      </c>
      <c r="Q2366" s="22">
        <f>+PROVEEDORES[[#This Row],[Rete Fuente %]]*(PROVEEDORES[[#This Row],[SUBTOTAL]]-PROVEEDORES[[#This Row],[descuento sobre subtotal]])</f>
        <v>0</v>
      </c>
      <c r="R2366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236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6" s="63">
        <f ca="1">IF(PROVEEDORES[[#This Row],[FECHA DE PAGO]]=0,TODAY()-PROVEEDORES[[#This Row],[FECHA DE FACTURACIÓN]]-PROVEEDORES[[#This Row],[PLAZO Días]],0)</f>
        <v>0</v>
      </c>
      <c r="U2366" s="104">
        <f>+VLOOKUP(PROVEEDORES[[#This Row],[PROVEEDOR]],Terceros!$A:$D,4,FALSE)</f>
        <v>0</v>
      </c>
      <c r="V2366" s="105">
        <f>+YEAR(PROVEEDORES[[#This Row],[FECHA DE FACTURACIÓN]])</f>
        <v>2023</v>
      </c>
      <c r="W2366" s="105">
        <f>+MATCH(PROVEEDORES[[#This Row],[año facturado]],Retenciones!$1:$1,0)</f>
        <v>6</v>
      </c>
      <c r="X2366" s="106">
        <f>+VLOOKUP(PROVEEDORES[[#This Row],[ID RETENCION]],Retenciones!$A$1:$O$25,PROVEEDORES[[#This Row],[indicador de columna]],FALSE)</f>
        <v>0</v>
      </c>
      <c r="Y2366" s="107">
        <f>+VLOOKUP(PROVEEDORES[[#This Row],[ID RETENCION]],Retenciones!$A$1:$O$25,2,FALSE)</f>
        <v>0</v>
      </c>
      <c r="Z2366" s="116" t="b">
        <f>OR(COUNTIF(PROVEEDORES[[#This Row],[PROVEEDOR]],"*"&amp;'Palabra no opera'!$A$2&amp;"*"))</f>
        <v>0</v>
      </c>
    </row>
    <row r="2367" spans="1:26" ht="22.35" customHeight="1" x14ac:dyDescent="0.3">
      <c r="A2367" s="67" t="str">
        <f>+IF(PROVEEDORES[[#This Row],[FECHA DE PAGO]]=PROVEEDORES[[#This Row],[FECHA DE FACTURACIÓN]],"DE CONTADO","CRÉDITO")</f>
        <v>DE CONTADO</v>
      </c>
      <c r="B2367" s="38" t="b">
        <f>+IF((PROVEEDORES[[#This Row],[FECHA DE PAGO]]-PROVEEDORES[[#This Row],[FECHA DE FACTURACIÓN]])&gt;PROVEEDORES[[#This Row],[PLAZO Días]],"PAGO VENCIDO")</f>
        <v>0</v>
      </c>
      <c r="C2367" s="20">
        <f>+VLOOKUP(PROVEEDORES[[#This Row],[PROVEEDOR]],TERCEROS_INFO[#All],2,FALSE)</f>
        <v>30</v>
      </c>
      <c r="D2367" s="25">
        <f>+SUMIFS(PROVEEDORES[Total],PROVEEDORES[PROVEEDOR],PROVEEDORES[[#This Row],[PROVEEDOR]],PROVEEDORES[FECHA DE PAGO],"")</f>
        <v>0</v>
      </c>
      <c r="E2367" s="25"/>
      <c r="F2367" s="56" t="str">
        <f>+VLOOKUP(PROVEEDORES[[#This Row],[PROVEEDOR]],
                       Terceros!$A:$F,
                       5,
                       FALSE)</f>
        <v/>
      </c>
      <c r="G2367" s="68">
        <v>45262</v>
      </c>
      <c r="H2367" s="26" t="s">
        <v>362</v>
      </c>
      <c r="I2367" s="68">
        <v>45262</v>
      </c>
      <c r="J2367" s="35" t="s">
        <v>2028</v>
      </c>
      <c r="K2367" s="21">
        <v>200000</v>
      </c>
      <c r="L2367" s="21"/>
      <c r="M2367" s="22">
        <f>(PROVEEDORES[[#This Row],[SUBTOTAL]]-PROVEEDORES[[#This Row],[descuento sobre subtotal]])*VLOOKUP(PROVEEDORES[[#This Row],[PROVEEDOR]],TERCEROS_INFO[#All],3,FALSE)</f>
        <v>0</v>
      </c>
      <c r="N2367" s="23"/>
      <c r="O2367" s="22">
        <f>+PROVEEDORES[[#This Row],[Descuento sobre subtotal %]]*(PROVEEDORES[[#This Row],[SUBTOTAL]]-PROVEEDORES[[#This Row],[descuento sobre subtotal]])</f>
        <v>0</v>
      </c>
      <c r="P2367" s="74">
        <f>+IF(PROVEEDORES[[#This Row],[SUBTOTAL]]&lt;PROVEEDORES[[#This Row],[base retencion]],0,PROVEEDORES[[#This Row],[retención aplicada]])</f>
        <v>0</v>
      </c>
      <c r="Q2367" s="22">
        <f>+PROVEEDORES[[#This Row],[Rete Fuente %]]*(PROVEEDORES[[#This Row],[SUBTOTAL]]-PROVEEDORES[[#This Row],[descuento sobre subtotal]])</f>
        <v>0</v>
      </c>
      <c r="R2367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236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7" s="63">
        <f ca="1">IF(PROVEEDORES[[#This Row],[FECHA DE PAGO]]=0,TODAY()-PROVEEDORES[[#This Row],[FECHA DE FACTURACIÓN]]-PROVEEDORES[[#This Row],[PLAZO Días]],0)</f>
        <v>0</v>
      </c>
      <c r="U2367" s="104">
        <f>+VLOOKUP(PROVEEDORES[[#This Row],[PROVEEDOR]],Terceros!$A:$D,4,FALSE)</f>
        <v>0</v>
      </c>
      <c r="V2367" s="105">
        <f>+YEAR(PROVEEDORES[[#This Row],[FECHA DE FACTURACIÓN]])</f>
        <v>2023</v>
      </c>
      <c r="W2367" s="105">
        <f>+MATCH(PROVEEDORES[[#This Row],[año facturado]],Retenciones!$1:$1,0)</f>
        <v>6</v>
      </c>
      <c r="X2367" s="106">
        <f>+VLOOKUP(PROVEEDORES[[#This Row],[ID RETENCION]],Retenciones!$A$1:$O$25,PROVEEDORES[[#This Row],[indicador de columna]],FALSE)</f>
        <v>0</v>
      </c>
      <c r="Y2367" s="107">
        <f>+VLOOKUP(PROVEEDORES[[#This Row],[ID RETENCION]],Retenciones!$A$1:$O$25,2,FALSE)</f>
        <v>0</v>
      </c>
      <c r="Z2367" s="116" t="b">
        <f>OR(COUNTIF(PROVEEDORES[[#This Row],[PROVEEDOR]],"*"&amp;'Palabra no opera'!$A$2&amp;"*"))</f>
        <v>0</v>
      </c>
    </row>
    <row r="2368" spans="1:26" ht="22.35" customHeight="1" x14ac:dyDescent="0.3">
      <c r="A2368" s="67" t="str">
        <f>+IF(PROVEEDORES[[#This Row],[FECHA DE PAGO]]=PROVEEDORES[[#This Row],[FECHA DE FACTURACIÓN]],"DE CONTADO","CRÉDITO")</f>
        <v>DE CONTADO</v>
      </c>
      <c r="B2368" s="38" t="b">
        <f>+IF((PROVEEDORES[[#This Row],[FECHA DE PAGO]]-PROVEEDORES[[#This Row],[FECHA DE FACTURACIÓN]])&gt;PROVEEDORES[[#This Row],[PLAZO Días]],"PAGO VENCIDO")</f>
        <v>0</v>
      </c>
      <c r="C2368" s="20">
        <f>+VLOOKUP(PROVEEDORES[[#This Row],[PROVEEDOR]],TERCEROS_INFO[#All],2,FALSE)</f>
        <v>30</v>
      </c>
      <c r="D2368" s="25">
        <f>+SUMIFS(PROVEEDORES[Total],PROVEEDORES[PROVEEDOR],PROVEEDORES[[#This Row],[PROVEEDOR]],PROVEEDORES[FECHA DE PAGO],"")</f>
        <v>0</v>
      </c>
      <c r="E2368" s="25"/>
      <c r="F2368" s="56" t="str">
        <f>+VLOOKUP(PROVEEDORES[[#This Row],[PROVEEDOR]],
                       Terceros!$A:$F,
                       5,
                       FALSE)</f>
        <v/>
      </c>
      <c r="G2368" s="68">
        <v>45277</v>
      </c>
      <c r="H2368" s="26" t="s">
        <v>362</v>
      </c>
      <c r="I2368" s="68">
        <v>45277</v>
      </c>
      <c r="J2368" s="35" t="s">
        <v>2028</v>
      </c>
      <c r="K2368" s="21">
        <v>400000</v>
      </c>
      <c r="L2368" s="21"/>
      <c r="M2368" s="22">
        <f>(PROVEEDORES[[#This Row],[SUBTOTAL]]-PROVEEDORES[[#This Row],[descuento sobre subtotal]])*VLOOKUP(PROVEEDORES[[#This Row],[PROVEEDOR]],TERCEROS_INFO[#All],3,FALSE)</f>
        <v>0</v>
      </c>
      <c r="N2368" s="23"/>
      <c r="O2368" s="22">
        <f>+PROVEEDORES[[#This Row],[Descuento sobre subtotal %]]*(PROVEEDORES[[#This Row],[SUBTOTAL]]-PROVEEDORES[[#This Row],[descuento sobre subtotal]])</f>
        <v>0</v>
      </c>
      <c r="P2368" s="74">
        <f>+IF(PROVEEDORES[[#This Row],[SUBTOTAL]]&lt;PROVEEDORES[[#This Row],[base retencion]],0,PROVEEDORES[[#This Row],[retención aplicada]])</f>
        <v>0</v>
      </c>
      <c r="Q2368" s="22">
        <f>+PROVEEDORES[[#This Row],[Rete Fuente %]]*(PROVEEDORES[[#This Row],[SUBTOTAL]]-PROVEEDORES[[#This Row],[descuento sobre subtotal]])</f>
        <v>0</v>
      </c>
      <c r="R2368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36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8" s="63">
        <f ca="1">IF(PROVEEDORES[[#This Row],[FECHA DE PAGO]]=0,TODAY()-PROVEEDORES[[#This Row],[FECHA DE FACTURACIÓN]]-PROVEEDORES[[#This Row],[PLAZO Días]],0)</f>
        <v>0</v>
      </c>
      <c r="U2368" s="104">
        <f>+VLOOKUP(PROVEEDORES[[#This Row],[PROVEEDOR]],Terceros!$A:$D,4,FALSE)</f>
        <v>0</v>
      </c>
      <c r="V2368" s="105">
        <f>+YEAR(PROVEEDORES[[#This Row],[FECHA DE FACTURACIÓN]])</f>
        <v>2023</v>
      </c>
      <c r="W2368" s="105">
        <f>+MATCH(PROVEEDORES[[#This Row],[año facturado]],Retenciones!$1:$1,0)</f>
        <v>6</v>
      </c>
      <c r="X2368" s="106">
        <f>+VLOOKUP(PROVEEDORES[[#This Row],[ID RETENCION]],Retenciones!$A$1:$O$25,PROVEEDORES[[#This Row],[indicador de columna]],FALSE)</f>
        <v>0</v>
      </c>
      <c r="Y2368" s="107">
        <f>+VLOOKUP(PROVEEDORES[[#This Row],[ID RETENCION]],Retenciones!$A$1:$O$25,2,FALSE)</f>
        <v>0</v>
      </c>
      <c r="Z2368" s="116" t="b">
        <f>OR(COUNTIF(PROVEEDORES[[#This Row],[PROVEEDOR]],"*"&amp;'Palabra no opera'!$A$2&amp;"*"))</f>
        <v>0</v>
      </c>
    </row>
    <row r="2369" spans="1:26" ht="22.35" customHeight="1" x14ac:dyDescent="0.3">
      <c r="A2369" s="67" t="str">
        <f>+IF(PROVEEDORES[[#This Row],[FECHA DE PAGO]]=PROVEEDORES[[#This Row],[FECHA DE FACTURACIÓN]],"DE CONTADO","CRÉDITO")</f>
        <v>DE CONTADO</v>
      </c>
      <c r="B2369" s="38" t="b">
        <f>+IF((PROVEEDORES[[#This Row],[FECHA DE PAGO]]-PROVEEDORES[[#This Row],[FECHA DE FACTURACIÓN]])&gt;PROVEEDORES[[#This Row],[PLAZO Días]],"PAGO VENCIDO")</f>
        <v>0</v>
      </c>
      <c r="C2369" s="20">
        <f>+VLOOKUP(PROVEEDORES[[#This Row],[PROVEEDOR]],TERCEROS_INFO[#All],2,FALSE)</f>
        <v>0</v>
      </c>
      <c r="D2369" s="25">
        <f>+SUMIFS(PROVEEDORES[Total],PROVEEDORES[PROVEEDOR],PROVEEDORES[[#This Row],[PROVEEDOR]],PROVEEDORES[FECHA DE PAGO],"")</f>
        <v>0</v>
      </c>
      <c r="E2369" s="25"/>
      <c r="F2369" s="56" t="str">
        <f>+VLOOKUP(PROVEEDORES[[#This Row],[PROVEEDOR]],
                       Terceros!$A:$F,
                       5,
                       FALSE)</f>
        <v>liauribe@une.net.co;girlesa.ruiz@servipilas.com;joriescobar64@gmail.com</v>
      </c>
      <c r="G2369" s="68">
        <v>45273</v>
      </c>
      <c r="H2369" s="26" t="s">
        <v>1109</v>
      </c>
      <c r="I2369" s="68">
        <v>45273</v>
      </c>
      <c r="J2369" s="35" t="s">
        <v>1112</v>
      </c>
      <c r="K2369" s="21">
        <v>1500000</v>
      </c>
      <c r="L2369" s="21"/>
      <c r="M2369" s="22">
        <f>(PROVEEDORES[[#This Row],[SUBTOTAL]]-PROVEEDORES[[#This Row],[descuento sobre subtotal]])*VLOOKUP(PROVEEDORES[[#This Row],[PROVEEDOR]],TERCEROS_INFO[#All],3,FALSE)</f>
        <v>0</v>
      </c>
      <c r="N2369" s="23"/>
      <c r="O2369" s="22">
        <f>+PROVEEDORES[[#This Row],[Descuento sobre subtotal %]]*(PROVEEDORES[[#This Row],[SUBTOTAL]]-PROVEEDORES[[#This Row],[descuento sobre subtotal]])</f>
        <v>0</v>
      </c>
      <c r="P2369" s="74">
        <f>+IF(PROVEEDORES[[#This Row],[SUBTOTAL]]&lt;PROVEEDORES[[#This Row],[base retencion]],0,PROVEEDORES[[#This Row],[retención aplicada]])</f>
        <v>0</v>
      </c>
      <c r="Q2369" s="22">
        <f>+PROVEEDORES[[#This Row],[Rete Fuente %]]*(PROVEEDORES[[#This Row],[SUBTOTAL]]-PROVEEDORES[[#This Row],[descuento sobre subtotal]])</f>
        <v>0</v>
      </c>
      <c r="R2369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2369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9" s="63">
        <f ca="1">IF(PROVEEDORES[[#This Row],[FECHA DE PAGO]]=0,TODAY()-PROVEEDORES[[#This Row],[FECHA DE FACTURACIÓN]]-PROVEEDORES[[#This Row],[PLAZO Días]],0)</f>
        <v>0</v>
      </c>
      <c r="U2369" s="104">
        <f>+VLOOKUP(PROVEEDORES[[#This Row],[PROVEEDOR]],Terceros!$A:$D,4,FALSE)</f>
        <v>0</v>
      </c>
      <c r="V2369" s="105">
        <f>+YEAR(PROVEEDORES[[#This Row],[FECHA DE FACTURACIÓN]])</f>
        <v>2023</v>
      </c>
      <c r="W2369" s="105">
        <f>+MATCH(PROVEEDORES[[#This Row],[año facturado]],Retenciones!$1:$1,0)</f>
        <v>6</v>
      </c>
      <c r="X2369" s="106">
        <f>+VLOOKUP(PROVEEDORES[[#This Row],[ID RETENCION]],Retenciones!$A$1:$O$25,PROVEEDORES[[#This Row],[indicador de columna]],FALSE)</f>
        <v>0</v>
      </c>
      <c r="Y2369" s="107">
        <f>+VLOOKUP(PROVEEDORES[[#This Row],[ID RETENCION]],Retenciones!$A$1:$O$25,2,FALSE)</f>
        <v>0</v>
      </c>
      <c r="Z2369" s="116" t="b">
        <f>OR(COUNTIF(PROVEEDORES[[#This Row],[PROVEEDOR]],"*"&amp;'Palabra no opera'!$A$2&amp;"*"))</f>
        <v>1</v>
      </c>
    </row>
    <row r="2370" spans="1:26" ht="22.35" customHeight="1" x14ac:dyDescent="0.3">
      <c r="A2370" s="67" t="str">
        <f>+IF(PROVEEDORES[[#This Row],[FECHA DE PAGO]]=PROVEEDORES[[#This Row],[FECHA DE FACTURACIÓN]],"DE CONTADO","CRÉDITO")</f>
        <v>CRÉDITO</v>
      </c>
      <c r="B2370" s="38" t="str">
        <f>+IF((PROVEEDORES[[#This Row],[FECHA DE PAGO]]-PROVEEDORES[[#This Row],[FECHA DE FACTURACIÓN]])&gt;PROVEEDORES[[#This Row],[PLAZO Días]],"PAGO VENCIDO")</f>
        <v>PAGO VENCIDO</v>
      </c>
      <c r="C2370" s="20">
        <f>+VLOOKUP(PROVEEDORES[[#This Row],[PROVEEDOR]],TERCEROS_INFO[#All],2,FALSE)</f>
        <v>13</v>
      </c>
      <c r="D2370" s="25">
        <f>+SUMIFS(PROVEEDORES[Total],PROVEEDORES[PROVEEDOR],PROVEEDORES[[#This Row],[PROVEEDOR]],PROVEEDORES[FECHA DE PAGO],"")</f>
        <v>0</v>
      </c>
      <c r="E2370" s="25"/>
      <c r="F2370" s="56">
        <f>+VLOOKUP(PROVEEDORES[[#This Row],[PROVEEDOR]],
                       Terceros!$A:$F,
                       5,
                       FALSE)</f>
        <v>0</v>
      </c>
      <c r="G2370" s="68">
        <v>45275</v>
      </c>
      <c r="H2370" s="26" t="s">
        <v>644</v>
      </c>
      <c r="I2370" s="68">
        <v>45261</v>
      </c>
      <c r="J2370" s="35"/>
      <c r="K2370" s="21">
        <v>777310</v>
      </c>
      <c r="L2370" s="21"/>
      <c r="M2370" s="22">
        <f>(PROVEEDORES[[#This Row],[SUBTOTAL]]-PROVEEDORES[[#This Row],[descuento sobre subtotal]])*VLOOKUP(PROVEEDORES[[#This Row],[PROVEEDOR]],TERCEROS_INFO[#All],3,FALSE)</f>
        <v>0</v>
      </c>
      <c r="N2370" s="23"/>
      <c r="O2370" s="22">
        <f>+PROVEEDORES[[#This Row],[Descuento sobre subtotal %]]*(PROVEEDORES[[#This Row],[SUBTOTAL]]-PROVEEDORES[[#This Row],[descuento sobre subtotal]])</f>
        <v>0</v>
      </c>
      <c r="P2370" s="74">
        <f>+IF(PROVEEDORES[[#This Row],[SUBTOTAL]]&lt;PROVEEDORES[[#This Row],[base retencion]],0,PROVEEDORES[[#This Row],[retención aplicada]])</f>
        <v>0</v>
      </c>
      <c r="Q2370" s="22">
        <f>+PROVEEDORES[[#This Row],[Rete Fuente %]]*(PROVEEDORES[[#This Row],[SUBTOTAL]]-PROVEEDORES[[#This Row],[descuento sobre subtotal]])</f>
        <v>0</v>
      </c>
      <c r="R2370" s="21">
        <f>+PROVEEDORES[[#This Row],[SUBTOTAL]]+PROVEEDORES[[#This Row],[IVA 19%]]-PROVEEDORES[[#This Row],[descuento sobre subtotal]]-PROVEEDORES[[#This Row],[Descuento sobre subtotal $2]]-PROVEEDORES[[#This Row],[Rete Fuente $]]</f>
        <v>777310</v>
      </c>
      <c r="S2370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0" s="63">
        <f ca="1">IF(PROVEEDORES[[#This Row],[FECHA DE PAGO]]=0,TODAY()-PROVEEDORES[[#This Row],[FECHA DE FACTURACIÓN]]-PROVEEDORES[[#This Row],[PLAZO Días]],0)</f>
        <v>0</v>
      </c>
      <c r="U2370" s="104">
        <f>+VLOOKUP(PROVEEDORES[[#This Row],[PROVEEDOR]],Terceros!$A:$D,4,FALSE)</f>
        <v>0</v>
      </c>
      <c r="V2370" s="105">
        <f>+YEAR(PROVEEDORES[[#This Row],[FECHA DE FACTURACIÓN]])</f>
        <v>2023</v>
      </c>
      <c r="W2370" s="105">
        <f>+MATCH(PROVEEDORES[[#This Row],[año facturado]],Retenciones!$1:$1,0)</f>
        <v>6</v>
      </c>
      <c r="X2370" s="106">
        <f>+VLOOKUP(PROVEEDORES[[#This Row],[ID RETENCION]],Retenciones!$A$1:$O$25,PROVEEDORES[[#This Row],[indicador de columna]],FALSE)</f>
        <v>0</v>
      </c>
      <c r="Y2370" s="107">
        <f>+VLOOKUP(PROVEEDORES[[#This Row],[ID RETENCION]],Retenciones!$A$1:$O$25,2,FALSE)</f>
        <v>0</v>
      </c>
      <c r="Z2370" s="116" t="b">
        <f>OR(COUNTIF(PROVEEDORES[[#This Row],[PROVEEDOR]],"*"&amp;'Palabra no opera'!$A$2&amp;"*"))</f>
        <v>1</v>
      </c>
    </row>
    <row r="2371" spans="1:26" ht="22.35" customHeight="1" x14ac:dyDescent="0.3">
      <c r="A2371" s="67" t="str">
        <f>+IF(PROVEEDORES[[#This Row],[FECHA DE PAGO]]=PROVEEDORES[[#This Row],[FECHA DE FACTURACIÓN]],"DE CONTADO","CRÉDITO")</f>
        <v>CRÉDITO</v>
      </c>
      <c r="B2371" s="38" t="b">
        <f>+IF((PROVEEDORES[[#This Row],[FECHA DE PAGO]]-PROVEEDORES[[#This Row],[FECHA DE FACTURACIÓN]])&gt;PROVEEDORES[[#This Row],[PLAZO Días]],"PAGO VENCIDO")</f>
        <v>0</v>
      </c>
      <c r="C2371" s="20">
        <f>+VLOOKUP(PROVEEDORES[[#This Row],[PROVEEDOR]],TERCEROS_INFO[#All],2,FALSE)</f>
        <v>30</v>
      </c>
      <c r="D2371" s="25">
        <f>+SUMIFS(PROVEEDORES[Total],PROVEEDORES[PROVEEDOR],PROVEEDORES[[#This Row],[PROVEEDOR]],PROVEEDORES[FECHA DE PAGO],"")</f>
        <v>0</v>
      </c>
      <c r="E2371" s="25"/>
      <c r="F237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371" s="68">
        <v>45281</v>
      </c>
      <c r="H2371" s="26" t="s">
        <v>637</v>
      </c>
      <c r="I2371" s="68">
        <v>45280</v>
      </c>
      <c r="J2371" s="35" t="s">
        <v>2309</v>
      </c>
      <c r="K2371" s="21">
        <v>82000</v>
      </c>
      <c r="L2371" s="21"/>
      <c r="M2371" s="22">
        <f>(PROVEEDORES[[#This Row],[SUBTOTAL]]-PROVEEDORES[[#This Row],[descuento sobre subtotal]])*VLOOKUP(PROVEEDORES[[#This Row],[PROVEEDOR]],TERCEROS_INFO[#All],3,FALSE)</f>
        <v>0</v>
      </c>
      <c r="N2371" s="23"/>
      <c r="O2371" s="22">
        <f>+PROVEEDORES[[#This Row],[Descuento sobre subtotal %]]*(PROVEEDORES[[#This Row],[SUBTOTAL]]-PROVEEDORES[[#This Row],[descuento sobre subtotal]])</f>
        <v>0</v>
      </c>
      <c r="P2371" s="74">
        <f>+IF(PROVEEDORES[[#This Row],[SUBTOTAL]]&lt;PROVEEDORES[[#This Row],[base retencion]],0,PROVEEDORES[[#This Row],[retención aplicada]])</f>
        <v>0</v>
      </c>
      <c r="Q2371" s="22">
        <f>+PROVEEDORES[[#This Row],[Rete Fuente %]]*(PROVEEDORES[[#This Row],[SUBTOTAL]]-PROVEEDORES[[#This Row],[descuento sobre subtotal]])</f>
        <v>0</v>
      </c>
      <c r="R2371" s="21">
        <f>+PROVEEDORES[[#This Row],[SUBTOTAL]]+PROVEEDORES[[#This Row],[IVA 19%]]-PROVEEDORES[[#This Row],[descuento sobre subtotal]]-PROVEEDORES[[#This Row],[Descuento sobre subtotal $2]]-PROVEEDORES[[#This Row],[Rete Fuente $]]</f>
        <v>82000</v>
      </c>
      <c r="S237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1" s="63">
        <f ca="1">IF(PROVEEDORES[[#This Row],[FECHA DE PAGO]]=0,TODAY()-PROVEEDORES[[#This Row],[FECHA DE FACTURACIÓN]]-PROVEEDORES[[#This Row],[PLAZO Días]],0)</f>
        <v>0</v>
      </c>
      <c r="U2371" s="104">
        <f>+VLOOKUP(PROVEEDORES[[#This Row],[PROVEEDOR]],Terceros!$A:$D,4,FALSE)</f>
        <v>0</v>
      </c>
      <c r="V2371" s="105">
        <f>+YEAR(PROVEEDORES[[#This Row],[FECHA DE FACTURACIÓN]])</f>
        <v>2023</v>
      </c>
      <c r="W2371" s="105">
        <f>+MATCH(PROVEEDORES[[#This Row],[año facturado]],Retenciones!$1:$1,0)</f>
        <v>6</v>
      </c>
      <c r="X2371" s="106">
        <f>+VLOOKUP(PROVEEDORES[[#This Row],[ID RETENCION]],Retenciones!$A$1:$O$25,PROVEEDORES[[#This Row],[indicador de columna]],FALSE)</f>
        <v>0</v>
      </c>
      <c r="Y2371" s="107">
        <f>+VLOOKUP(PROVEEDORES[[#This Row],[ID RETENCION]],Retenciones!$A$1:$O$25,2,FALSE)</f>
        <v>0</v>
      </c>
      <c r="Z2371" s="116" t="b">
        <f>OR(COUNTIF(PROVEEDORES[[#This Row],[PROVEEDOR]],"*"&amp;'Palabra no opera'!$A$2&amp;"*"))</f>
        <v>1</v>
      </c>
    </row>
    <row r="2372" spans="1:26" ht="22.35" customHeight="1" x14ac:dyDescent="0.3">
      <c r="A2372" s="67" t="str">
        <f>+IF(PROVEEDORES[[#This Row],[FECHA DE PAGO]]=PROVEEDORES[[#This Row],[FECHA DE FACTURACIÓN]],"DE CONTADO","CRÉDITO")</f>
        <v>CRÉDITO</v>
      </c>
      <c r="B2372" s="38" t="b">
        <f>+IF((PROVEEDORES[[#This Row],[FECHA DE PAGO]]-PROVEEDORES[[#This Row],[FECHA DE FACTURACIÓN]])&gt;PROVEEDORES[[#This Row],[PLAZO Días]],"PAGO VENCIDO")</f>
        <v>0</v>
      </c>
      <c r="C2372" s="20">
        <f>+VLOOKUP(PROVEEDORES[[#This Row],[PROVEEDOR]],TERCEROS_INFO[#All],2,FALSE)</f>
        <v>60</v>
      </c>
      <c r="D2372" s="25">
        <f>+SUMIFS(PROVEEDORES[Total],PROVEEDORES[PROVEEDOR],PROVEEDORES[[#This Row],[PROVEEDOR]],PROVEEDORES[FECHA DE PAGO],"")</f>
        <v>0</v>
      </c>
      <c r="E2372" s="25"/>
      <c r="F2372" s="56" t="str">
        <f>+VLOOKUP(PROVEEDORES[[#This Row],[PROVEEDOR]],
                       Terceros!$A:$F,
                       5,
                       FALSE)</f>
        <v>gloritasz@gmail.com;girlesa.ruiz@servipilas.com;joriescobar64@gmail.com</v>
      </c>
      <c r="G2372" s="68">
        <v>45262</v>
      </c>
      <c r="H2372" s="26" t="s">
        <v>377</v>
      </c>
      <c r="I2372" s="68">
        <v>45288</v>
      </c>
      <c r="J2372" s="35" t="s">
        <v>29</v>
      </c>
      <c r="K2372" s="21">
        <v>500000</v>
      </c>
      <c r="L2372" s="21"/>
      <c r="M2372" s="22">
        <f>(PROVEEDORES[[#This Row],[SUBTOTAL]]-PROVEEDORES[[#This Row],[descuento sobre subtotal]])*VLOOKUP(PROVEEDORES[[#This Row],[PROVEEDOR]],TERCEROS_INFO[#All],3,FALSE)</f>
        <v>0</v>
      </c>
      <c r="N2372" s="23"/>
      <c r="O2372" s="22">
        <f>+PROVEEDORES[[#This Row],[Descuento sobre subtotal %]]*(PROVEEDORES[[#This Row],[SUBTOTAL]]-PROVEEDORES[[#This Row],[descuento sobre subtotal]])</f>
        <v>0</v>
      </c>
      <c r="P2372" s="74">
        <f>+IF(PROVEEDORES[[#This Row],[SUBTOTAL]]&lt;PROVEEDORES[[#This Row],[base retencion]],0,PROVEEDORES[[#This Row],[retención aplicada]])</f>
        <v>0</v>
      </c>
      <c r="Q2372" s="22">
        <f>+PROVEEDORES[[#This Row],[Rete Fuente %]]*(PROVEEDORES[[#This Row],[SUBTOTAL]]-PROVEEDORES[[#This Row],[descuento sobre subtotal]])</f>
        <v>0</v>
      </c>
      <c r="R2372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37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2" s="63">
        <f ca="1">IF(PROVEEDORES[[#This Row],[FECHA DE PAGO]]=0,TODAY()-PROVEEDORES[[#This Row],[FECHA DE FACTURACIÓN]]-PROVEEDORES[[#This Row],[PLAZO Días]],0)</f>
        <v>0</v>
      </c>
      <c r="U2372" s="104">
        <f>+VLOOKUP(PROVEEDORES[[#This Row],[PROVEEDOR]],Terceros!$A:$D,4,FALSE)</f>
        <v>0</v>
      </c>
      <c r="V2372" s="105">
        <f>+YEAR(PROVEEDORES[[#This Row],[FECHA DE FACTURACIÓN]])</f>
        <v>2023</v>
      </c>
      <c r="W2372" s="105">
        <f>+MATCH(PROVEEDORES[[#This Row],[año facturado]],Retenciones!$1:$1,0)</f>
        <v>6</v>
      </c>
      <c r="X2372" s="106">
        <f>+VLOOKUP(PROVEEDORES[[#This Row],[ID RETENCION]],Retenciones!$A$1:$O$25,PROVEEDORES[[#This Row],[indicador de columna]],FALSE)</f>
        <v>0</v>
      </c>
      <c r="Y2372" s="107">
        <f>+VLOOKUP(PROVEEDORES[[#This Row],[ID RETENCION]],Retenciones!$A$1:$O$25,2,FALSE)</f>
        <v>0</v>
      </c>
      <c r="Z2372" s="116" t="b">
        <f>OR(COUNTIF(PROVEEDORES[[#This Row],[PROVEEDOR]],"*"&amp;'Palabra no opera'!$A$2&amp;"*"))</f>
        <v>0</v>
      </c>
    </row>
    <row r="2373" spans="1:26" ht="22.35" customHeight="1" x14ac:dyDescent="0.3">
      <c r="A2373" s="67" t="str">
        <f>+IF(PROVEEDORES[[#This Row],[FECHA DE PAGO]]=PROVEEDORES[[#This Row],[FECHA DE FACTURACIÓN]],"DE CONTADO","CRÉDITO")</f>
        <v>DE CONTADO</v>
      </c>
      <c r="B2373" s="38" t="b">
        <f>+IF((PROVEEDORES[[#This Row],[FECHA DE PAGO]]-PROVEEDORES[[#This Row],[FECHA DE FACTURACIÓN]])&gt;PROVEEDORES[[#This Row],[PLAZO Días]],"PAGO VENCIDO")</f>
        <v>0</v>
      </c>
      <c r="C2373" s="20">
        <f>+VLOOKUP(PROVEEDORES[[#This Row],[PROVEEDOR]],TERCEROS_INFO[#All],2,FALSE)</f>
        <v>30</v>
      </c>
      <c r="D2373" s="25">
        <f>+SUMIFS(PROVEEDORES[Total],PROVEEDORES[PROVEEDOR],PROVEEDORES[[#This Row],[PROVEEDOR]],PROVEEDORES[FECHA DE PAGO],"")</f>
        <v>0</v>
      </c>
      <c r="E2373" s="25"/>
      <c r="F2373" s="56">
        <f>+VLOOKUP(PROVEEDORES[[#This Row],[PROVEEDOR]],
                       Terceros!$A:$F,
                       5,
                       FALSE)</f>
        <v>0</v>
      </c>
      <c r="G2373" s="68">
        <v>45288</v>
      </c>
      <c r="H2373" s="26" t="s">
        <v>1736</v>
      </c>
      <c r="I2373" s="68">
        <v>45288</v>
      </c>
      <c r="J2373" s="35" t="s">
        <v>2310</v>
      </c>
      <c r="K2373" s="21">
        <v>248000</v>
      </c>
      <c r="L2373" s="21"/>
      <c r="M2373" s="22">
        <f>(PROVEEDORES[[#This Row],[SUBTOTAL]]-PROVEEDORES[[#This Row],[descuento sobre subtotal]])*VLOOKUP(PROVEEDORES[[#This Row],[PROVEEDOR]],TERCEROS_INFO[#All],3,FALSE)</f>
        <v>0</v>
      </c>
      <c r="N2373" s="23"/>
      <c r="O2373" s="22">
        <f>+PROVEEDORES[[#This Row],[Descuento sobre subtotal %]]*(PROVEEDORES[[#This Row],[SUBTOTAL]]-PROVEEDORES[[#This Row],[descuento sobre subtotal]])</f>
        <v>0</v>
      </c>
      <c r="P2373" s="74">
        <f>+IF(PROVEEDORES[[#This Row],[SUBTOTAL]]&lt;PROVEEDORES[[#This Row],[base retencion]],0,PROVEEDORES[[#This Row],[retención aplicada]])</f>
        <v>0</v>
      </c>
      <c r="Q2373" s="22">
        <f>+PROVEEDORES[[#This Row],[Rete Fuente %]]*(PROVEEDORES[[#This Row],[SUBTOTAL]]-PROVEEDORES[[#This Row],[descuento sobre subtotal]])</f>
        <v>0</v>
      </c>
      <c r="R2373" s="21">
        <f>+PROVEEDORES[[#This Row],[SUBTOTAL]]+PROVEEDORES[[#This Row],[IVA 19%]]-PROVEEDORES[[#This Row],[descuento sobre subtotal]]-PROVEEDORES[[#This Row],[Descuento sobre subtotal $2]]-PROVEEDORES[[#This Row],[Rete Fuente $]]</f>
        <v>248000</v>
      </c>
      <c r="S2373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3" s="63">
        <f ca="1">IF(PROVEEDORES[[#This Row],[FECHA DE PAGO]]=0,TODAY()-PROVEEDORES[[#This Row],[FECHA DE FACTURACIÓN]]-PROVEEDORES[[#This Row],[PLAZO Días]],0)</f>
        <v>0</v>
      </c>
      <c r="U2373" s="104">
        <f>+VLOOKUP(PROVEEDORES[[#This Row],[PROVEEDOR]],Terceros!$A:$D,4,FALSE)</f>
        <v>0</v>
      </c>
      <c r="V2373" s="105">
        <f>+YEAR(PROVEEDORES[[#This Row],[FECHA DE FACTURACIÓN]])</f>
        <v>2023</v>
      </c>
      <c r="W2373" s="105">
        <f>+MATCH(PROVEEDORES[[#This Row],[año facturado]],Retenciones!$1:$1,0)</f>
        <v>6</v>
      </c>
      <c r="X2373" s="106">
        <f>+VLOOKUP(PROVEEDORES[[#This Row],[ID RETENCION]],Retenciones!$A$1:$O$25,PROVEEDORES[[#This Row],[indicador de columna]],FALSE)</f>
        <v>0</v>
      </c>
      <c r="Y2373" s="107">
        <f>+VLOOKUP(PROVEEDORES[[#This Row],[ID RETENCION]],Retenciones!$A$1:$O$25,2,FALSE)</f>
        <v>0</v>
      </c>
      <c r="Z2373" s="116" t="b">
        <f>OR(COUNTIF(PROVEEDORES[[#This Row],[PROVEEDOR]],"*"&amp;'Palabra no opera'!$A$2&amp;"*"))</f>
        <v>0</v>
      </c>
    </row>
    <row r="2374" spans="1:26" ht="22.35" customHeight="1" x14ac:dyDescent="0.3">
      <c r="A2374" s="67" t="str">
        <f>+IF(PROVEEDORES[[#This Row],[FECHA DE PAGO]]=PROVEEDORES[[#This Row],[FECHA DE FACTURACIÓN]],"DE CONTADO","CRÉDITO")</f>
        <v>DE CONTADO</v>
      </c>
      <c r="B2374" s="38" t="b">
        <f>+IF((PROVEEDORES[[#This Row],[FECHA DE PAGO]]-PROVEEDORES[[#This Row],[FECHA DE FACTURACIÓN]])&gt;PROVEEDORES[[#This Row],[PLAZO Días]],"PAGO VENCIDO")</f>
        <v>0</v>
      </c>
      <c r="C2374" s="20">
        <f>+VLOOKUP(PROVEEDORES[[#This Row],[PROVEEDOR]],TERCEROS_INFO[#All],2,FALSE)</f>
        <v>30</v>
      </c>
      <c r="D2374" s="25">
        <f>+SUMIFS(PROVEEDORES[Total],PROVEEDORES[PROVEEDOR],PROVEEDORES[[#This Row],[PROVEEDOR]],PROVEEDORES[FECHA DE PAGO],"")</f>
        <v>0</v>
      </c>
      <c r="E2374" s="25"/>
      <c r="F2374" s="56" t="str">
        <f>+VLOOKUP(PROVEEDORES[[#This Row],[PROVEEDOR]],
                       Terceros!$A:$F,
                       5,
                       FALSE)</f>
        <v/>
      </c>
      <c r="G2374" s="68">
        <v>45288</v>
      </c>
      <c r="H2374" s="26" t="s">
        <v>390</v>
      </c>
      <c r="I2374" s="68">
        <v>45288</v>
      </c>
      <c r="J2374" s="35"/>
      <c r="K2374" s="21">
        <v>1303050</v>
      </c>
      <c r="L2374" s="21"/>
      <c r="M2374" s="22">
        <f>(PROVEEDORES[[#This Row],[SUBTOTAL]]-PROVEEDORES[[#This Row],[descuento sobre subtotal]])*VLOOKUP(PROVEEDORES[[#This Row],[PROVEEDOR]],TERCEROS_INFO[#All],3,FALSE)</f>
        <v>0</v>
      </c>
      <c r="N2374" s="23"/>
      <c r="O2374" s="22">
        <f>+PROVEEDORES[[#This Row],[Descuento sobre subtotal %]]*(PROVEEDORES[[#This Row],[SUBTOTAL]]-PROVEEDORES[[#This Row],[descuento sobre subtotal]])</f>
        <v>0</v>
      </c>
      <c r="P2374" s="74">
        <f>+IF(PROVEEDORES[[#This Row],[SUBTOTAL]]&lt;PROVEEDORES[[#This Row],[base retencion]],0,PROVEEDORES[[#This Row],[retención aplicada]])</f>
        <v>0</v>
      </c>
      <c r="Q2374" s="22">
        <f>+PROVEEDORES[[#This Row],[Rete Fuente %]]*(PROVEEDORES[[#This Row],[SUBTOTAL]]-PROVEEDORES[[#This Row],[descuento sobre subtotal]])</f>
        <v>0</v>
      </c>
      <c r="R2374" s="21">
        <f>+PROVEEDORES[[#This Row],[SUBTOTAL]]+PROVEEDORES[[#This Row],[IVA 19%]]-PROVEEDORES[[#This Row],[descuento sobre subtotal]]-PROVEEDORES[[#This Row],[Descuento sobre subtotal $2]]-PROVEEDORES[[#This Row],[Rete Fuente $]]</f>
        <v>1303050</v>
      </c>
      <c r="S237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4" s="63">
        <f ca="1">IF(PROVEEDORES[[#This Row],[FECHA DE PAGO]]=0,TODAY()-PROVEEDORES[[#This Row],[FECHA DE FACTURACIÓN]]-PROVEEDORES[[#This Row],[PLAZO Días]],0)</f>
        <v>0</v>
      </c>
      <c r="U2374" s="104">
        <f>+VLOOKUP(PROVEEDORES[[#This Row],[PROVEEDOR]],Terceros!$A:$D,4,FALSE)</f>
        <v>0</v>
      </c>
      <c r="V2374" s="105">
        <f>+YEAR(PROVEEDORES[[#This Row],[FECHA DE FACTURACIÓN]])</f>
        <v>2023</v>
      </c>
      <c r="W2374" s="105">
        <f>+MATCH(PROVEEDORES[[#This Row],[año facturado]],Retenciones!$1:$1,0)</f>
        <v>6</v>
      </c>
      <c r="X2374" s="106">
        <f>+VLOOKUP(PROVEEDORES[[#This Row],[ID RETENCION]],Retenciones!$A$1:$O$25,PROVEEDORES[[#This Row],[indicador de columna]],FALSE)</f>
        <v>0</v>
      </c>
      <c r="Y2374" s="107">
        <f>+VLOOKUP(PROVEEDORES[[#This Row],[ID RETENCION]],Retenciones!$A$1:$O$25,2,FALSE)</f>
        <v>0</v>
      </c>
      <c r="Z2374" s="116" t="b">
        <f>OR(COUNTIF(PROVEEDORES[[#This Row],[PROVEEDOR]],"*"&amp;'Palabra no opera'!$A$2&amp;"*"))</f>
        <v>0</v>
      </c>
    </row>
    <row r="2375" spans="1:26" ht="22.35" customHeight="1" x14ac:dyDescent="0.3">
      <c r="A2375" s="67" t="str">
        <f>+IF(PROVEEDORES[[#This Row],[FECHA DE PAGO]]=PROVEEDORES[[#This Row],[FECHA DE FACTURACIÓN]],"DE CONTADO","CRÉDITO")</f>
        <v>DE CONTADO</v>
      </c>
      <c r="B2375" s="38" t="b">
        <f>+IF((PROVEEDORES[[#This Row],[FECHA DE PAGO]]-PROVEEDORES[[#This Row],[FECHA DE FACTURACIÓN]])&gt;PROVEEDORES[[#This Row],[PLAZO Días]],"PAGO VENCIDO")</f>
        <v>0</v>
      </c>
      <c r="C2375" s="20">
        <f>+VLOOKUP(PROVEEDORES[[#This Row],[PROVEEDOR]],TERCEROS_INFO[#All],2,FALSE)</f>
        <v>0</v>
      </c>
      <c r="D2375" s="25">
        <f>+SUMIFS(PROVEEDORES[Total],PROVEEDORES[PROVEEDOR],PROVEEDORES[[#This Row],[PROVEEDOR]],PROVEEDORES[FECHA DE PAGO],"")</f>
        <v>0</v>
      </c>
      <c r="E2375" s="25"/>
      <c r="F2375" s="56">
        <f>+VLOOKUP(PROVEEDORES[[#This Row],[PROVEEDOR]],
                       Terceros!$A:$F,
                       5,
                       FALSE)</f>
        <v>0</v>
      </c>
      <c r="G2375" s="68">
        <v>45289</v>
      </c>
      <c r="H2375" s="26" t="s">
        <v>1083</v>
      </c>
      <c r="I2375" s="68">
        <v>45289</v>
      </c>
      <c r="J2375" s="35" t="s">
        <v>2210</v>
      </c>
      <c r="K2375" s="21">
        <v>245000</v>
      </c>
      <c r="L2375" s="21"/>
      <c r="M2375" s="22">
        <f>(PROVEEDORES[[#This Row],[SUBTOTAL]]-PROVEEDORES[[#This Row],[descuento sobre subtotal]])*VLOOKUP(PROVEEDORES[[#This Row],[PROVEEDOR]],TERCEROS_INFO[#All],3,FALSE)</f>
        <v>0</v>
      </c>
      <c r="N2375" s="23"/>
      <c r="O2375" s="22">
        <f>+PROVEEDORES[[#This Row],[Descuento sobre subtotal %]]*(PROVEEDORES[[#This Row],[SUBTOTAL]]-PROVEEDORES[[#This Row],[descuento sobre subtotal]])</f>
        <v>0</v>
      </c>
      <c r="P2375" s="74">
        <f>+IF(PROVEEDORES[[#This Row],[SUBTOTAL]]&lt;PROVEEDORES[[#This Row],[base retencion]],0,PROVEEDORES[[#This Row],[retención aplicada]])</f>
        <v>0</v>
      </c>
      <c r="Q2375" s="22">
        <f>+PROVEEDORES[[#This Row],[Rete Fuente %]]*(PROVEEDORES[[#This Row],[SUBTOTAL]]-PROVEEDORES[[#This Row],[descuento sobre subtotal]])</f>
        <v>0</v>
      </c>
      <c r="R2375" s="21">
        <f>+PROVEEDORES[[#This Row],[SUBTOTAL]]+PROVEEDORES[[#This Row],[IVA 19%]]-PROVEEDORES[[#This Row],[descuento sobre subtotal]]-PROVEEDORES[[#This Row],[Descuento sobre subtotal $2]]-PROVEEDORES[[#This Row],[Rete Fuente $]]</f>
        <v>245000</v>
      </c>
      <c r="S2375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5" s="63">
        <f ca="1">IF(PROVEEDORES[[#This Row],[FECHA DE PAGO]]=0,TODAY()-PROVEEDORES[[#This Row],[FECHA DE FACTURACIÓN]]-PROVEEDORES[[#This Row],[PLAZO Días]],0)</f>
        <v>0</v>
      </c>
      <c r="U2375" s="104">
        <f>+VLOOKUP(PROVEEDORES[[#This Row],[PROVEEDOR]],Terceros!$A:$D,4,FALSE)</f>
        <v>0</v>
      </c>
      <c r="V2375" s="105">
        <f>+YEAR(PROVEEDORES[[#This Row],[FECHA DE FACTURACIÓN]])</f>
        <v>2023</v>
      </c>
      <c r="W2375" s="105">
        <f>+MATCH(PROVEEDORES[[#This Row],[año facturado]],Retenciones!$1:$1,0)</f>
        <v>6</v>
      </c>
      <c r="X2375" s="106">
        <f>+VLOOKUP(PROVEEDORES[[#This Row],[ID RETENCION]],Retenciones!$A$1:$O$25,PROVEEDORES[[#This Row],[indicador de columna]],FALSE)</f>
        <v>0</v>
      </c>
      <c r="Y2375" s="107">
        <f>+VLOOKUP(PROVEEDORES[[#This Row],[ID RETENCION]],Retenciones!$A$1:$O$25,2,FALSE)</f>
        <v>0</v>
      </c>
      <c r="Z2375" s="116" t="b">
        <f>OR(COUNTIF(PROVEEDORES[[#This Row],[PROVEEDOR]],"*"&amp;'Palabra no opera'!$A$2&amp;"*"))</f>
        <v>1</v>
      </c>
    </row>
    <row r="2376" spans="1:26" ht="22.35" customHeight="1" x14ac:dyDescent="0.3">
      <c r="A2376" s="398" t="str">
        <f>+IF(PROVEEDORES[[#This Row],[FECHA DE PAGO]]=PROVEEDORES[[#This Row],[FECHA DE FACTURACIÓN]],"DE CONTADO","CRÉDITO")</f>
        <v>CRÉDITO</v>
      </c>
      <c r="B2376" s="38" t="b">
        <f>+IF((PROVEEDORES[[#This Row],[FECHA DE PAGO]]-PROVEEDORES[[#This Row],[FECHA DE FACTURACIÓN]])&gt;PROVEEDORES[[#This Row],[PLAZO Días]],"PAGO VENCIDO")</f>
        <v>0</v>
      </c>
      <c r="C2376" s="20">
        <f>+VLOOKUP(PROVEEDORES[[#This Row],[PROVEEDOR]],TERCEROS_INFO[#All],2,FALSE)</f>
        <v>30</v>
      </c>
      <c r="D2376" s="25">
        <f>+SUMIFS(PROVEEDORES[Total],PROVEEDORES[PROVEEDOR],PROVEEDORES[[#This Row],[PROVEEDOR]],PROVEEDORES[FECHA DE PAGO],"")</f>
        <v>559000</v>
      </c>
      <c r="E2376" s="25"/>
      <c r="F2376" s="56" t="str">
        <f>+VLOOKUP(PROVEEDORES[[#This Row],[PROVEEDOR]],
                       Terceros!$A:$F,
                       5,
                       FALSE)</f>
        <v/>
      </c>
      <c r="H2376" s="26" t="s">
        <v>1133</v>
      </c>
      <c r="I2376" s="68">
        <v>45289</v>
      </c>
      <c r="J2376" s="35" t="s">
        <v>2311</v>
      </c>
      <c r="K2376" s="21">
        <v>759000</v>
      </c>
      <c r="L2376" s="21">
        <v>200000</v>
      </c>
      <c r="M2376" s="22">
        <f>(PROVEEDORES[[#This Row],[SUBTOTAL]]-PROVEEDORES[[#This Row],[descuento sobre subtotal]])*VLOOKUP(PROVEEDORES[[#This Row],[PROVEEDOR]],TERCEROS_INFO[#All],3,FALSE)</f>
        <v>0</v>
      </c>
      <c r="N2376" s="23"/>
      <c r="O2376" s="22">
        <f>+PROVEEDORES[[#This Row],[Descuento sobre subtotal %]]*(PROVEEDORES[[#This Row],[SUBTOTAL]]-PROVEEDORES[[#This Row],[descuento sobre subtotal]])</f>
        <v>0</v>
      </c>
      <c r="P2376" s="74">
        <f>+IF(PROVEEDORES[[#This Row],[SUBTOTAL]]&lt;PROVEEDORES[[#This Row],[base retencion]],0,PROVEEDORES[[#This Row],[retención aplicada]])</f>
        <v>0</v>
      </c>
      <c r="Q2376" s="22">
        <f>+PROVEEDORES[[#This Row],[Rete Fuente %]]*(PROVEEDORES[[#This Row],[SUBTOTAL]]-PROVEEDORES[[#This Row],[descuento sobre subtotal]])</f>
        <v>0</v>
      </c>
      <c r="R2376" s="21">
        <f>+PROVEEDORES[[#This Row],[SUBTOTAL]]+PROVEEDORES[[#This Row],[IVA 19%]]-PROVEEDORES[[#This Row],[descuento sobre subtotal]]-PROVEEDORES[[#This Row],[Descuento sobre subtotal $2]]-PROVEEDORES[[#This Row],[Rete Fuente $]]</f>
        <v>559000</v>
      </c>
      <c r="S2376" s="39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76" s="63">
        <f ca="1">IF(PROVEEDORES[[#This Row],[FECHA DE PAGO]]=0,TODAY()-PROVEEDORES[[#This Row],[FECHA DE FACTURACIÓN]]-PROVEEDORES[[#This Row],[PLAZO Días]],0)</f>
        <v>-19</v>
      </c>
      <c r="U2376" s="104">
        <f>+VLOOKUP(PROVEEDORES[[#This Row],[PROVEEDOR]],Terceros!$A:$D,4,FALSE)</f>
        <v>0</v>
      </c>
      <c r="V2376" s="105">
        <f>+YEAR(PROVEEDORES[[#This Row],[FECHA DE FACTURACIÓN]])</f>
        <v>2023</v>
      </c>
      <c r="W2376" s="105">
        <f>+MATCH(PROVEEDORES[[#This Row],[año facturado]],Retenciones!$1:$1,0)</f>
        <v>6</v>
      </c>
      <c r="X2376" s="106">
        <f>+VLOOKUP(PROVEEDORES[[#This Row],[ID RETENCION]],Retenciones!$A$1:$O$25,PROVEEDORES[[#This Row],[indicador de columna]],FALSE)</f>
        <v>0</v>
      </c>
      <c r="Y2376" s="107">
        <f>+VLOOKUP(PROVEEDORES[[#This Row],[ID RETENCION]],Retenciones!$A$1:$O$25,2,FALSE)</f>
        <v>0</v>
      </c>
      <c r="Z2376" s="116" t="b">
        <f>OR(COUNTIF(PROVEEDORES[[#This Row],[PROVEEDOR]],"*"&amp;'Palabra no opera'!$A$2&amp;"*"))</f>
        <v>0</v>
      </c>
    </row>
    <row r="2377" spans="1:26" ht="22.35" customHeight="1" x14ac:dyDescent="0.3">
      <c r="A2377" s="398" t="str">
        <f>+IF(PROVEEDORES[[#This Row],[FECHA DE PAGO]]=PROVEEDORES[[#This Row],[FECHA DE FACTURACIÓN]],"DE CONTADO","CRÉDITO")</f>
        <v>CRÉDITO</v>
      </c>
      <c r="B2377" s="38" t="b">
        <f>+IF((PROVEEDORES[[#This Row],[FECHA DE PAGO]]-PROVEEDORES[[#This Row],[FECHA DE FACTURACIÓN]])&gt;PROVEEDORES[[#This Row],[PLAZO Días]],"PAGO VENCIDO")</f>
        <v>0</v>
      </c>
      <c r="C2377" s="20">
        <f>+VLOOKUP(PROVEEDORES[[#This Row],[PROVEEDOR]],TERCEROS_INFO[#All],2,FALSE)</f>
        <v>30</v>
      </c>
      <c r="D2377" s="25">
        <f>+SUMIFS(PROVEEDORES[Total],PROVEEDORES[PROVEEDOR],PROVEEDORES[[#This Row],[PROVEEDOR]],PROVEEDORES[FECHA DE PAGO],"")</f>
        <v>2950000</v>
      </c>
      <c r="E2377" s="25"/>
      <c r="F2377" s="56">
        <f>+VLOOKUP(PROVEEDORES[[#This Row],[PROVEEDOR]],
                       Terceros!$A:$F,
                       5,
                       FALSE)</f>
        <v>0</v>
      </c>
      <c r="H2377" s="26" t="s">
        <v>1152</v>
      </c>
      <c r="I2377" s="68">
        <v>45265</v>
      </c>
      <c r="J2377" s="35" t="s">
        <v>2312</v>
      </c>
      <c r="K2377" s="21">
        <v>250000</v>
      </c>
      <c r="L2377" s="21"/>
      <c r="M2377" s="22">
        <f>(PROVEEDORES[[#This Row],[SUBTOTAL]]-PROVEEDORES[[#This Row],[descuento sobre subtotal]])*VLOOKUP(PROVEEDORES[[#This Row],[PROVEEDOR]],TERCEROS_INFO[#All],3,FALSE)</f>
        <v>0</v>
      </c>
      <c r="N2377" s="23"/>
      <c r="O2377" s="22">
        <f>+PROVEEDORES[[#This Row],[Descuento sobre subtotal %]]*(PROVEEDORES[[#This Row],[SUBTOTAL]]-PROVEEDORES[[#This Row],[descuento sobre subtotal]])</f>
        <v>0</v>
      </c>
      <c r="P2377" s="74">
        <f>+IF(PROVEEDORES[[#This Row],[SUBTOTAL]]&lt;PROVEEDORES[[#This Row],[base retencion]],0,PROVEEDORES[[#This Row],[retención aplicada]])</f>
        <v>0</v>
      </c>
      <c r="Q2377" s="22">
        <f>+PROVEEDORES[[#This Row],[Rete Fuente %]]*(PROVEEDORES[[#This Row],[SUBTOTAL]]-PROVEEDORES[[#This Row],[descuento sobre subtotal]])</f>
        <v>0</v>
      </c>
      <c r="R2377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2377" s="39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77" s="63">
        <f ca="1">IF(PROVEEDORES[[#This Row],[FECHA DE PAGO]]=0,TODAY()-PROVEEDORES[[#This Row],[FECHA DE FACTURACIÓN]]-PROVEEDORES[[#This Row],[PLAZO Días]],0)</f>
        <v>5</v>
      </c>
      <c r="U2377" s="104">
        <f>+VLOOKUP(PROVEEDORES[[#This Row],[PROVEEDOR]],Terceros!$A:$D,4,FALSE)</f>
        <v>0</v>
      </c>
      <c r="V2377" s="105">
        <f>+YEAR(PROVEEDORES[[#This Row],[FECHA DE FACTURACIÓN]])</f>
        <v>2023</v>
      </c>
      <c r="W2377" s="105">
        <f>+MATCH(PROVEEDORES[[#This Row],[año facturado]],Retenciones!$1:$1,0)</f>
        <v>6</v>
      </c>
      <c r="X2377" s="106">
        <f>+VLOOKUP(PROVEEDORES[[#This Row],[ID RETENCION]],Retenciones!$A$1:$O$25,PROVEEDORES[[#This Row],[indicador de columna]],FALSE)</f>
        <v>0</v>
      </c>
      <c r="Y2377" s="107">
        <f>+VLOOKUP(PROVEEDORES[[#This Row],[ID RETENCION]],Retenciones!$A$1:$O$25,2,FALSE)</f>
        <v>0</v>
      </c>
      <c r="Z2377" s="116" t="b">
        <f>OR(COUNTIF(PROVEEDORES[[#This Row],[PROVEEDOR]],"*"&amp;'Palabra no opera'!$A$2&amp;"*"))</f>
        <v>0</v>
      </c>
    </row>
    <row r="2378" spans="1:26" ht="22.35" customHeight="1" x14ac:dyDescent="0.3">
      <c r="A2378" s="398" t="str">
        <f>+IF(PROVEEDORES[[#This Row],[FECHA DE PAGO]]=PROVEEDORES[[#This Row],[FECHA DE FACTURACIÓN]],"DE CONTADO","CRÉDITO")</f>
        <v>CRÉDITO</v>
      </c>
      <c r="B2378" s="38" t="b">
        <f>+IF((PROVEEDORES[[#This Row],[FECHA DE PAGO]]-PROVEEDORES[[#This Row],[FECHA DE FACTURACIÓN]])&gt;PROVEEDORES[[#This Row],[PLAZO Días]],"PAGO VENCIDO")</f>
        <v>0</v>
      </c>
      <c r="C2378" s="20">
        <f>+VLOOKUP(PROVEEDORES[[#This Row],[PROVEEDOR]],TERCEROS_INFO[#All],2,FALSE)</f>
        <v>30</v>
      </c>
      <c r="D2378" s="25">
        <f>+SUMIFS(PROVEEDORES[Total],PROVEEDORES[PROVEEDOR],PROVEEDORES[[#This Row],[PROVEEDOR]],PROVEEDORES[FECHA DE PAGO],"")</f>
        <v>5480000</v>
      </c>
      <c r="E2378" s="25"/>
      <c r="F2378" s="56" t="str">
        <f>+VLOOKUP(PROVEEDORES[[#This Row],[PROVEEDOR]],
                       Terceros!$A:$F,
                       5,
                       FALSE)</f>
        <v/>
      </c>
      <c r="H2378" s="26" t="s">
        <v>2057</v>
      </c>
      <c r="I2378" s="68">
        <v>45264</v>
      </c>
      <c r="J2378" s="35" t="s">
        <v>2313</v>
      </c>
      <c r="K2378" s="21">
        <v>5480000</v>
      </c>
      <c r="L2378" s="21"/>
      <c r="M2378" s="22">
        <f>(PROVEEDORES[[#This Row],[SUBTOTAL]]-PROVEEDORES[[#This Row],[descuento sobre subtotal]])*VLOOKUP(PROVEEDORES[[#This Row],[PROVEEDOR]],TERCEROS_INFO[#All],3,FALSE)</f>
        <v>0</v>
      </c>
      <c r="N2378" s="23"/>
      <c r="O2378" s="22">
        <f>+PROVEEDORES[[#This Row],[Descuento sobre subtotal %]]*(PROVEEDORES[[#This Row],[SUBTOTAL]]-PROVEEDORES[[#This Row],[descuento sobre subtotal]])</f>
        <v>0</v>
      </c>
      <c r="P2378" s="74">
        <f>+IF(PROVEEDORES[[#This Row],[SUBTOTAL]]&lt;PROVEEDORES[[#This Row],[base retencion]],0,PROVEEDORES[[#This Row],[retención aplicada]])</f>
        <v>0</v>
      </c>
      <c r="Q2378" s="22">
        <f>+PROVEEDORES[[#This Row],[Rete Fuente %]]*(PROVEEDORES[[#This Row],[SUBTOTAL]]-PROVEEDORES[[#This Row],[descuento sobre subtotal]])</f>
        <v>0</v>
      </c>
      <c r="R2378" s="21">
        <f>+PROVEEDORES[[#This Row],[SUBTOTAL]]+PROVEEDORES[[#This Row],[IVA 19%]]-PROVEEDORES[[#This Row],[descuento sobre subtotal]]-PROVEEDORES[[#This Row],[Descuento sobre subtotal $2]]-PROVEEDORES[[#This Row],[Rete Fuente $]]</f>
        <v>5480000</v>
      </c>
      <c r="S2378" s="39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78" s="63">
        <f ca="1">IF(PROVEEDORES[[#This Row],[FECHA DE PAGO]]=0,TODAY()-PROVEEDORES[[#This Row],[FECHA DE FACTURACIÓN]]-PROVEEDORES[[#This Row],[PLAZO Días]],0)</f>
        <v>6</v>
      </c>
      <c r="U2378" s="104">
        <f>+VLOOKUP(PROVEEDORES[[#This Row],[PROVEEDOR]],Terceros!$A:$D,4,FALSE)</f>
        <v>0</v>
      </c>
      <c r="V2378" s="105">
        <f>+YEAR(PROVEEDORES[[#This Row],[FECHA DE FACTURACIÓN]])</f>
        <v>2023</v>
      </c>
      <c r="W2378" s="105">
        <f>+MATCH(PROVEEDORES[[#This Row],[año facturado]],Retenciones!$1:$1,0)</f>
        <v>6</v>
      </c>
      <c r="X2378" s="106">
        <f>+VLOOKUP(PROVEEDORES[[#This Row],[ID RETENCION]],Retenciones!$A$1:$O$25,PROVEEDORES[[#This Row],[indicador de columna]],FALSE)</f>
        <v>0</v>
      </c>
      <c r="Y2378" s="107">
        <f>+VLOOKUP(PROVEEDORES[[#This Row],[ID RETENCION]],Retenciones!$A$1:$O$25,2,FALSE)</f>
        <v>0</v>
      </c>
      <c r="Z2378" s="116" t="b">
        <f>OR(COUNTIF(PROVEEDORES[[#This Row],[PROVEEDOR]],"*"&amp;'Palabra no opera'!$A$2&amp;"*"))</f>
        <v>0</v>
      </c>
    </row>
    <row r="2379" spans="1:26" ht="22.35" customHeight="1" x14ac:dyDescent="0.3">
      <c r="A2379" s="398" t="str">
        <f>+IF(PROVEEDORES[[#This Row],[FECHA DE PAGO]]=PROVEEDORES[[#This Row],[FECHA DE FACTURACIÓN]],"DE CONTADO","CRÉDITO")</f>
        <v>CRÉDITO</v>
      </c>
      <c r="B2379" s="38" t="str">
        <f>+IF((PROVEEDORES[[#This Row],[FECHA DE PAGO]]-PROVEEDORES[[#This Row],[FECHA DE FACTURACIÓN]])&gt;PROVEEDORES[[#This Row],[PLAZO Días]],"PAGO VENCIDO")</f>
        <v>PAGO VENCIDO</v>
      </c>
      <c r="C2379" s="20">
        <f>+VLOOKUP(PROVEEDORES[[#This Row],[PROVEEDOR]],TERCEROS_INFO[#All],2,FALSE)</f>
        <v>30</v>
      </c>
      <c r="D2379" s="25">
        <f>+SUMIFS(PROVEEDORES[Total],PROVEEDORES[PROVEEDOR],PROVEEDORES[[#This Row],[PROVEEDOR]],PROVEEDORES[FECHA DE PAGO],"")</f>
        <v>0</v>
      </c>
      <c r="E2379" s="25"/>
      <c r="F2379" s="56" t="str">
        <f>+VLOOKUP(PROVEEDORES[[#This Row],[PROVEEDOR]],
                       Terceros!$A:$F,
                       5,
                       FALSE)</f>
        <v/>
      </c>
      <c r="G2379" s="68">
        <v>45300</v>
      </c>
      <c r="H2379" s="26" t="s">
        <v>401</v>
      </c>
      <c r="I2379" s="68">
        <v>45261</v>
      </c>
      <c r="J2379" s="35" t="s">
        <v>2314</v>
      </c>
      <c r="K2379" s="21">
        <v>866000</v>
      </c>
      <c r="L2379" s="21"/>
      <c r="M2379" s="22">
        <f>(PROVEEDORES[[#This Row],[SUBTOTAL]]-PROVEEDORES[[#This Row],[descuento sobre subtotal]])*VLOOKUP(PROVEEDORES[[#This Row],[PROVEEDOR]],TERCEROS_INFO[#All],3,FALSE)</f>
        <v>0</v>
      </c>
      <c r="N2379" s="23"/>
      <c r="O2379" s="22">
        <f>+PROVEEDORES[[#This Row],[Descuento sobre subtotal %]]*(PROVEEDORES[[#This Row],[SUBTOTAL]]-PROVEEDORES[[#This Row],[descuento sobre subtotal]])</f>
        <v>0</v>
      </c>
      <c r="P2379" s="74">
        <f>+IF(PROVEEDORES[[#This Row],[SUBTOTAL]]&lt;PROVEEDORES[[#This Row],[base retencion]],0,PROVEEDORES[[#This Row],[retención aplicada]])</f>
        <v>0</v>
      </c>
      <c r="Q2379" s="22">
        <f>+PROVEEDORES[[#This Row],[Rete Fuente %]]*(PROVEEDORES[[#This Row],[SUBTOTAL]]-PROVEEDORES[[#This Row],[descuento sobre subtotal]])</f>
        <v>0</v>
      </c>
      <c r="R2379" s="21">
        <f>+PROVEEDORES[[#This Row],[SUBTOTAL]]+PROVEEDORES[[#This Row],[IVA 19%]]-PROVEEDORES[[#This Row],[descuento sobre subtotal]]-PROVEEDORES[[#This Row],[Descuento sobre subtotal $2]]-PROVEEDORES[[#This Row],[Rete Fuente $]]</f>
        <v>866000</v>
      </c>
      <c r="S2379" s="3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9" s="63">
        <f ca="1">IF(PROVEEDORES[[#This Row],[FECHA DE PAGO]]=0,TODAY()-PROVEEDORES[[#This Row],[FECHA DE FACTURACIÓN]]-PROVEEDORES[[#This Row],[PLAZO Días]],0)</f>
        <v>0</v>
      </c>
      <c r="U2379" s="104">
        <f>+VLOOKUP(PROVEEDORES[[#This Row],[PROVEEDOR]],Terceros!$A:$D,4,FALSE)</f>
        <v>0</v>
      </c>
      <c r="V2379" s="105">
        <f>+YEAR(PROVEEDORES[[#This Row],[FECHA DE FACTURACIÓN]])</f>
        <v>2023</v>
      </c>
      <c r="W2379" s="105">
        <f>+MATCH(PROVEEDORES[[#This Row],[año facturado]],Retenciones!$1:$1,0)</f>
        <v>6</v>
      </c>
      <c r="X2379" s="106">
        <f>+VLOOKUP(PROVEEDORES[[#This Row],[ID RETENCION]],Retenciones!$A$1:$O$25,PROVEEDORES[[#This Row],[indicador de columna]],FALSE)</f>
        <v>0</v>
      </c>
      <c r="Y2379" s="107">
        <f>+VLOOKUP(PROVEEDORES[[#This Row],[ID RETENCION]],Retenciones!$A$1:$O$25,2,FALSE)</f>
        <v>0</v>
      </c>
      <c r="Z2379" s="116" t="b">
        <f>OR(COUNTIF(PROVEEDORES[[#This Row],[PROVEEDOR]],"*"&amp;'Palabra no opera'!$A$2&amp;"*"))</f>
        <v>0</v>
      </c>
    </row>
    <row r="2380" spans="1:26" ht="22.35" customHeight="1" x14ac:dyDescent="0.3">
      <c r="A2380" s="398" t="str">
        <f>+IF(PROVEEDORES[[#This Row],[FECHA DE PAGO]]=PROVEEDORES[[#This Row],[FECHA DE FACTURACIÓN]],"DE CONTADO","CRÉDITO")</f>
        <v>CRÉDITO</v>
      </c>
      <c r="B2380" s="38" t="b">
        <f>+IF((PROVEEDORES[[#This Row],[FECHA DE PAGO]]-PROVEEDORES[[#This Row],[FECHA DE FACTURACIÓN]])&gt;PROVEEDORES[[#This Row],[PLAZO Días]],"PAGO VENCIDO")</f>
        <v>0</v>
      </c>
      <c r="C2380" s="20">
        <f>+VLOOKUP(PROVEEDORES[[#This Row],[PROVEEDOR]],TERCEROS_INFO[#All],2,FALSE)</f>
        <v>30</v>
      </c>
      <c r="D2380" s="25">
        <f>+SUMIFS(PROVEEDORES[Total],PROVEEDORES[PROVEEDOR],PROVEEDORES[[#This Row],[PROVEEDOR]],PROVEEDORES[FECHA DE PAGO],"")</f>
        <v>0</v>
      </c>
      <c r="E2380" s="25"/>
      <c r="F2380" s="56" t="str">
        <f>+VLOOKUP(PROVEEDORES[[#This Row],[PROVEEDOR]],
                       Terceros!$A:$F,
                       5,
                       FALSE)</f>
        <v/>
      </c>
      <c r="G2380" s="68">
        <v>45290</v>
      </c>
      <c r="H2380" s="26" t="s">
        <v>1194</v>
      </c>
      <c r="I2380" s="68">
        <v>45289</v>
      </c>
      <c r="J2380" s="35" t="s">
        <v>2315</v>
      </c>
      <c r="K2380" s="21">
        <v>1345000</v>
      </c>
      <c r="L2380" s="21"/>
      <c r="M2380" s="22">
        <f>(PROVEEDORES[[#This Row],[SUBTOTAL]]-PROVEEDORES[[#This Row],[descuento sobre subtotal]])*VLOOKUP(PROVEEDORES[[#This Row],[PROVEEDOR]],TERCEROS_INFO[#All],3,FALSE)</f>
        <v>0</v>
      </c>
      <c r="N2380" s="23"/>
      <c r="O2380" s="22">
        <f>+PROVEEDORES[[#This Row],[Descuento sobre subtotal %]]*(PROVEEDORES[[#This Row],[SUBTOTAL]]-PROVEEDORES[[#This Row],[descuento sobre subtotal]])</f>
        <v>0</v>
      </c>
      <c r="P2380" s="74">
        <f>+IF(PROVEEDORES[[#This Row],[SUBTOTAL]]&lt;PROVEEDORES[[#This Row],[base retencion]],0,PROVEEDORES[[#This Row],[retención aplicada]])</f>
        <v>0</v>
      </c>
      <c r="Q2380" s="22">
        <f>+PROVEEDORES[[#This Row],[Rete Fuente %]]*(PROVEEDORES[[#This Row],[SUBTOTAL]]-PROVEEDORES[[#This Row],[descuento sobre subtotal]])</f>
        <v>0</v>
      </c>
      <c r="R2380" s="21">
        <f>+PROVEEDORES[[#This Row],[SUBTOTAL]]+PROVEEDORES[[#This Row],[IVA 19%]]-PROVEEDORES[[#This Row],[descuento sobre subtotal]]-PROVEEDORES[[#This Row],[Descuento sobre subtotal $2]]-PROVEEDORES[[#This Row],[Rete Fuente $]]</f>
        <v>1345000</v>
      </c>
      <c r="S2380" s="3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0" s="63">
        <f ca="1">IF(PROVEEDORES[[#This Row],[FECHA DE PAGO]]=0,TODAY()-PROVEEDORES[[#This Row],[FECHA DE FACTURACIÓN]]-PROVEEDORES[[#This Row],[PLAZO Días]],0)</f>
        <v>0</v>
      </c>
      <c r="U2380" s="104">
        <f>+VLOOKUP(PROVEEDORES[[#This Row],[PROVEEDOR]],Terceros!$A:$D,4,FALSE)</f>
        <v>0</v>
      </c>
      <c r="V2380" s="105">
        <f>+YEAR(PROVEEDORES[[#This Row],[FECHA DE FACTURACIÓN]])</f>
        <v>2023</v>
      </c>
      <c r="W2380" s="105">
        <f>+MATCH(PROVEEDORES[[#This Row],[año facturado]],Retenciones!$1:$1,0)</f>
        <v>6</v>
      </c>
      <c r="X2380" s="106">
        <f>+VLOOKUP(PROVEEDORES[[#This Row],[ID RETENCION]],Retenciones!$A$1:$O$25,PROVEEDORES[[#This Row],[indicador de columna]],FALSE)</f>
        <v>0</v>
      </c>
      <c r="Y2380" s="107">
        <f>+VLOOKUP(PROVEEDORES[[#This Row],[ID RETENCION]],Retenciones!$A$1:$O$25,2,FALSE)</f>
        <v>0</v>
      </c>
      <c r="Z2380" s="116" t="b">
        <f>OR(COUNTIF(PROVEEDORES[[#This Row],[PROVEEDOR]],"*"&amp;'Palabra no opera'!$A$2&amp;"*"))</f>
        <v>0</v>
      </c>
    </row>
    <row r="2381" spans="1:26" ht="22.35" customHeight="1" x14ac:dyDescent="0.3">
      <c r="A2381" s="398" t="str">
        <f>+IF(PROVEEDORES[[#This Row],[FECHA DE PAGO]]=PROVEEDORES[[#This Row],[FECHA DE FACTURACIÓN]],"DE CONTADO","CRÉDITO")</f>
        <v>CRÉDITO</v>
      </c>
      <c r="B2381" s="38" t="b">
        <f>+IF((PROVEEDORES[[#This Row],[FECHA DE PAGO]]-PROVEEDORES[[#This Row],[FECHA DE FACTURACIÓN]])&gt;PROVEEDORES[[#This Row],[PLAZO Días]],"PAGO VENCIDO")</f>
        <v>0</v>
      </c>
      <c r="C2381" s="20">
        <f>+VLOOKUP(PROVEEDORES[[#This Row],[PROVEEDOR]],TERCEROS_INFO[#All],2,FALSE)</f>
        <v>30</v>
      </c>
      <c r="D2381" s="25">
        <f>+SUMIFS(PROVEEDORES[Total],PROVEEDORES[PROVEEDOR],PROVEEDORES[[#This Row],[PROVEEDOR]],PROVEEDORES[FECHA DE PAGO],"")</f>
        <v>0</v>
      </c>
      <c r="E2381" s="25"/>
      <c r="F2381" s="56" t="str">
        <f>+VLOOKUP(PROVEEDORES[[#This Row],[PROVEEDOR]],
                       Terceros!$A:$F,
                       5,
                       FALSE)</f>
        <v/>
      </c>
      <c r="G2381" s="68">
        <v>45291</v>
      </c>
      <c r="H2381" s="26" t="s">
        <v>1194</v>
      </c>
      <c r="I2381" s="68">
        <v>45290</v>
      </c>
      <c r="J2381" s="35" t="s">
        <v>2316</v>
      </c>
      <c r="K2381" s="21">
        <v>690000</v>
      </c>
      <c r="L2381" s="21"/>
      <c r="M2381" s="22">
        <f>(PROVEEDORES[[#This Row],[SUBTOTAL]]-PROVEEDORES[[#This Row],[descuento sobre subtotal]])*VLOOKUP(PROVEEDORES[[#This Row],[PROVEEDOR]],TERCEROS_INFO[#All],3,FALSE)</f>
        <v>0</v>
      </c>
      <c r="N2381" s="23"/>
      <c r="O2381" s="22">
        <f>+PROVEEDORES[[#This Row],[Descuento sobre subtotal %]]*(PROVEEDORES[[#This Row],[SUBTOTAL]]-PROVEEDORES[[#This Row],[descuento sobre subtotal]])</f>
        <v>0</v>
      </c>
      <c r="P2381" s="74">
        <f>+IF(PROVEEDORES[[#This Row],[SUBTOTAL]]&lt;PROVEEDORES[[#This Row],[base retencion]],0,PROVEEDORES[[#This Row],[retención aplicada]])</f>
        <v>0</v>
      </c>
      <c r="Q2381" s="22">
        <f>+PROVEEDORES[[#This Row],[Rete Fuente %]]*(PROVEEDORES[[#This Row],[SUBTOTAL]]-PROVEEDORES[[#This Row],[descuento sobre subtotal]])</f>
        <v>0</v>
      </c>
      <c r="R2381" s="21">
        <f>+PROVEEDORES[[#This Row],[SUBTOTAL]]+PROVEEDORES[[#This Row],[IVA 19%]]-PROVEEDORES[[#This Row],[descuento sobre subtotal]]-PROVEEDORES[[#This Row],[Descuento sobre subtotal $2]]-PROVEEDORES[[#This Row],[Rete Fuente $]]</f>
        <v>690000</v>
      </c>
      <c r="S2381" s="3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1" s="63">
        <f ca="1">IF(PROVEEDORES[[#This Row],[FECHA DE PAGO]]=0,TODAY()-PROVEEDORES[[#This Row],[FECHA DE FACTURACIÓN]]-PROVEEDORES[[#This Row],[PLAZO Días]],0)</f>
        <v>0</v>
      </c>
      <c r="U2381" s="104">
        <f>+VLOOKUP(PROVEEDORES[[#This Row],[PROVEEDOR]],Terceros!$A:$D,4,FALSE)</f>
        <v>0</v>
      </c>
      <c r="V2381" s="105">
        <f>+YEAR(PROVEEDORES[[#This Row],[FECHA DE FACTURACIÓN]])</f>
        <v>2023</v>
      </c>
      <c r="W2381" s="105">
        <f>+MATCH(PROVEEDORES[[#This Row],[año facturado]],Retenciones!$1:$1,0)</f>
        <v>6</v>
      </c>
      <c r="X2381" s="106">
        <f>+VLOOKUP(PROVEEDORES[[#This Row],[ID RETENCION]],Retenciones!$A$1:$O$25,PROVEEDORES[[#This Row],[indicador de columna]],FALSE)</f>
        <v>0</v>
      </c>
      <c r="Y2381" s="107">
        <f>+VLOOKUP(PROVEEDORES[[#This Row],[ID RETENCION]],Retenciones!$A$1:$O$25,2,FALSE)</f>
        <v>0</v>
      </c>
      <c r="Z2381" s="116" t="b">
        <f>OR(COUNTIF(PROVEEDORES[[#This Row],[PROVEEDOR]],"*"&amp;'Palabra no opera'!$A$2&amp;"*"))</f>
        <v>0</v>
      </c>
    </row>
    <row r="2382" spans="1:26" ht="22.35" customHeight="1" x14ac:dyDescent="0.3">
      <c r="A2382" s="398" t="str">
        <f>+IF(PROVEEDORES[[#This Row],[FECHA DE PAGO]]=PROVEEDORES[[#This Row],[FECHA DE FACTURACIÓN]],"DE CONTADO","CRÉDITO")</f>
        <v>DE CONTADO</v>
      </c>
      <c r="B2382" s="38" t="b">
        <f>+IF((PROVEEDORES[[#This Row],[FECHA DE PAGO]]-PROVEEDORES[[#This Row],[FECHA DE FACTURACIÓN]])&gt;PROVEEDORES[[#This Row],[PLAZO Días]],"PAGO VENCIDO")</f>
        <v>0</v>
      </c>
      <c r="C2382" s="20">
        <f>+VLOOKUP(PROVEEDORES[[#This Row],[PROVEEDOR]],TERCEROS_INFO[#All],2,FALSE)</f>
        <v>30</v>
      </c>
      <c r="D2382" s="25">
        <f>+SUMIFS(PROVEEDORES[Total],PROVEEDORES[PROVEEDOR],PROVEEDORES[[#This Row],[PROVEEDOR]],PROVEEDORES[FECHA DE PAGO],"")</f>
        <v>0</v>
      </c>
      <c r="E2382" s="25"/>
      <c r="F2382" s="56">
        <f>+VLOOKUP(PROVEEDORES[[#This Row],[PROVEEDOR]],
                       Terceros!$A:$F,
                       5,
                       FALSE)</f>
        <v>0</v>
      </c>
      <c r="G2382" s="68">
        <v>45289</v>
      </c>
      <c r="H2382" s="26" t="s">
        <v>2317</v>
      </c>
      <c r="I2382" s="68">
        <v>45289</v>
      </c>
      <c r="J2382" s="35" t="s">
        <v>2318</v>
      </c>
      <c r="K2382" s="21">
        <v>1981000</v>
      </c>
      <c r="L2382" s="21"/>
      <c r="M2382" s="22"/>
      <c r="N2382" s="23"/>
      <c r="O2382" s="22">
        <f>+PROVEEDORES[[#This Row],[Descuento sobre subtotal %]]*(PROVEEDORES[[#This Row],[SUBTOTAL]]-PROVEEDORES[[#This Row],[descuento sobre subtotal]])</f>
        <v>0</v>
      </c>
      <c r="P2382" s="74">
        <f>+IF(PROVEEDORES[[#This Row],[SUBTOTAL]]&lt;PROVEEDORES[[#This Row],[base retencion]],0,PROVEEDORES[[#This Row],[retención aplicada]])</f>
        <v>2.5000000000000001E-2</v>
      </c>
      <c r="Q2382" s="22">
        <f>+PROVEEDORES[[#This Row],[Rete Fuente %]]*(PROVEEDORES[[#This Row],[SUBTOTAL]]-PROVEEDORES[[#This Row],[descuento sobre subtotal]])</f>
        <v>49525</v>
      </c>
      <c r="R2382" s="21">
        <f>+PROVEEDORES[[#This Row],[SUBTOTAL]]+PROVEEDORES[[#This Row],[IVA 19%]]-PROVEEDORES[[#This Row],[descuento sobre subtotal]]-PROVEEDORES[[#This Row],[Descuento sobre subtotal $2]]-PROVEEDORES[[#This Row],[Rete Fuente $]]</f>
        <v>1931475</v>
      </c>
      <c r="S2382" s="3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2" s="63">
        <f ca="1">IF(PROVEEDORES[[#This Row],[FECHA DE PAGO]]=0,TODAY()-PROVEEDORES[[#This Row],[FECHA DE FACTURACIÓN]]-PROVEEDORES[[#This Row],[PLAZO Días]],0)</f>
        <v>0</v>
      </c>
      <c r="U2382" s="104" t="str">
        <f>+VLOOKUP(PROVEEDORES[[#This Row],[PROVEEDOR]],Terceros!$A:$D,4,FALSE)</f>
        <v>2,5% con base</v>
      </c>
      <c r="V2382" s="105">
        <f>+YEAR(PROVEEDORES[[#This Row],[FECHA DE FACTURACIÓN]])</f>
        <v>2023</v>
      </c>
      <c r="W2382" s="105">
        <f>+MATCH(PROVEEDORES[[#This Row],[año facturado]],Retenciones!$1:$1,0)</f>
        <v>6</v>
      </c>
      <c r="X2382" s="106">
        <f>+VLOOKUP(PROVEEDORES[[#This Row],[ID RETENCION]],Retenciones!$A$1:$O$25,PROVEEDORES[[#This Row],[indicador de columna]],FALSE)</f>
        <v>1145000</v>
      </c>
      <c r="Y2382" s="107">
        <f>+VLOOKUP(PROVEEDORES[[#This Row],[ID RETENCION]],Retenciones!$A$1:$O$25,2,FALSE)</f>
        <v>2.5000000000000001E-2</v>
      </c>
      <c r="Z2382" s="116" t="b">
        <f>OR(COUNTIF(PROVEEDORES[[#This Row],[PROVEEDOR]],"*"&amp;'Palabra no opera'!$A$2&amp;"*"))</f>
        <v>0</v>
      </c>
    </row>
    <row r="2383" spans="1:26" ht="22.35" customHeight="1" x14ac:dyDescent="0.3">
      <c r="A2383" s="398" t="str">
        <f>+IF(PROVEEDORES[[#This Row],[FECHA DE PAGO]]=PROVEEDORES[[#This Row],[FECHA DE FACTURACIÓN]],"DE CONTADO","CRÉDITO")</f>
        <v>CRÉDITO</v>
      </c>
      <c r="B2383" s="38" t="b">
        <f>+IF((PROVEEDORES[[#This Row],[FECHA DE PAGO]]-PROVEEDORES[[#This Row],[FECHA DE FACTURACIÓN]])&gt;PROVEEDORES[[#This Row],[PLAZO Días]],"PAGO VENCIDO")</f>
        <v>0</v>
      </c>
      <c r="C2383" s="20">
        <f>+VLOOKUP(PROVEEDORES[[#This Row],[PROVEEDOR]],TERCEROS_INFO[#All],2,FALSE)</f>
        <v>30</v>
      </c>
      <c r="D2383" s="25">
        <f>+SUMIFS(PROVEEDORES[Total],PROVEEDORES[PROVEEDOR],PROVEEDORES[[#This Row],[PROVEEDOR]],PROVEEDORES[FECHA DE PAGO],"")</f>
        <v>5537221.7000000002</v>
      </c>
      <c r="E2383" s="25"/>
      <c r="F2383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H2383" s="26" t="s">
        <v>293</v>
      </c>
      <c r="I2383" s="68">
        <v>45289</v>
      </c>
      <c r="J2383" s="35" t="s">
        <v>2319</v>
      </c>
      <c r="K2383" s="21">
        <v>1274790</v>
      </c>
      <c r="L2383" s="21"/>
      <c r="M2383" s="22">
        <f>(PROVEEDORES[[#This Row],[SUBTOTAL]]-PROVEEDORES[[#This Row],[descuento sobre subtotal]])*VLOOKUP(PROVEEDORES[[#This Row],[PROVEEDOR]],TERCEROS_INFO[#All],3,FALSE)</f>
        <v>242210.1</v>
      </c>
      <c r="N2383" s="23"/>
      <c r="O2383" s="22">
        <f>+PROVEEDORES[[#This Row],[Descuento sobre subtotal %]]*(PROVEEDORES[[#This Row],[SUBTOTAL]]-PROVEEDORES[[#This Row],[descuento sobre subtotal]])</f>
        <v>0</v>
      </c>
      <c r="P2383" s="74">
        <f>+IF(PROVEEDORES[[#This Row],[SUBTOTAL]]&lt;PROVEEDORES[[#This Row],[base retencion]],0,PROVEEDORES[[#This Row],[retención aplicada]])</f>
        <v>2.5000000000000001E-2</v>
      </c>
      <c r="Q2383" s="22">
        <f>+PROVEEDORES[[#This Row],[Rete Fuente %]]*(PROVEEDORES[[#This Row],[SUBTOTAL]]-PROVEEDORES[[#This Row],[descuento sobre subtotal]])</f>
        <v>31869.75</v>
      </c>
      <c r="R2383" s="21">
        <f>+PROVEEDORES[[#This Row],[SUBTOTAL]]+PROVEEDORES[[#This Row],[IVA 19%]]-PROVEEDORES[[#This Row],[descuento sobre subtotal]]-PROVEEDORES[[#This Row],[Descuento sobre subtotal $2]]-PROVEEDORES[[#This Row],[Rete Fuente $]]</f>
        <v>1485130.35</v>
      </c>
      <c r="S2383" s="39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83" s="63">
        <f ca="1">IF(PROVEEDORES[[#This Row],[FECHA DE PAGO]]=0,TODAY()-PROVEEDORES[[#This Row],[FECHA DE FACTURACIÓN]]-PROVEEDORES[[#This Row],[PLAZO Días]],0)</f>
        <v>-19</v>
      </c>
      <c r="U2383" s="104" t="str">
        <f>+VLOOKUP(PROVEEDORES[[#This Row],[PROVEEDOR]],Terceros!$A:$D,4,FALSE)</f>
        <v>2,5% con base</v>
      </c>
      <c r="V2383" s="105">
        <f>+YEAR(PROVEEDORES[[#This Row],[FECHA DE FACTURACIÓN]])</f>
        <v>2023</v>
      </c>
      <c r="W2383" s="105">
        <f>+MATCH(PROVEEDORES[[#This Row],[año facturado]],Retenciones!$1:$1,0)</f>
        <v>6</v>
      </c>
      <c r="X2383" s="106">
        <f>+VLOOKUP(PROVEEDORES[[#This Row],[ID RETENCION]],Retenciones!$A$1:$O$25,PROVEEDORES[[#This Row],[indicador de columna]],FALSE)</f>
        <v>1145000</v>
      </c>
      <c r="Y2383" s="107">
        <f>+VLOOKUP(PROVEEDORES[[#This Row],[ID RETENCION]],Retenciones!$A$1:$O$25,2,FALSE)</f>
        <v>2.5000000000000001E-2</v>
      </c>
      <c r="Z2383" s="116" t="b">
        <f>OR(COUNTIF(PROVEEDORES[[#This Row],[PROVEEDOR]],"*"&amp;'Palabra no opera'!$A$2&amp;"*"))</f>
        <v>0</v>
      </c>
    </row>
    <row r="2384" spans="1:26" ht="22.35" customHeight="1" x14ac:dyDescent="0.3">
      <c r="A2384" s="398" t="str">
        <f>+IF(PROVEEDORES[[#This Row],[FECHA DE PAGO]]=PROVEEDORES[[#This Row],[FECHA DE FACTURACIÓN]],"DE CONTADO","CRÉDITO")</f>
        <v>CRÉDITO</v>
      </c>
      <c r="B2384" s="38" t="b">
        <f>+IF((PROVEEDORES[[#This Row],[FECHA DE PAGO]]-PROVEEDORES[[#This Row],[FECHA DE FACTURACIÓN]])&gt;PROVEEDORES[[#This Row],[PLAZO Días]],"PAGO VENCIDO")</f>
        <v>0</v>
      </c>
      <c r="C2384" s="20">
        <f>+VLOOKUP(PROVEEDORES[[#This Row],[PROVEEDOR]],TERCEROS_INFO[#All],2,FALSE)</f>
        <v>30</v>
      </c>
      <c r="D2384" s="25">
        <f>+SUMIFS(PROVEEDORES[Total],PROVEEDORES[PROVEEDOR],PROVEEDORES[[#This Row],[PROVEEDOR]],PROVEEDORES[FECHA DE PAGO],"")</f>
        <v>27189617.395</v>
      </c>
      <c r="E2384" s="25"/>
      <c r="F2384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H2384" s="26" t="s">
        <v>77</v>
      </c>
      <c r="I2384" s="68">
        <v>45287</v>
      </c>
      <c r="J2384" s="35" t="s">
        <v>2320</v>
      </c>
      <c r="K2384" s="21">
        <v>18270200</v>
      </c>
      <c r="L2384" s="21"/>
      <c r="M2384" s="22">
        <f>(PROVEEDORES[[#This Row],[SUBTOTAL]]-PROVEEDORES[[#This Row],[descuento sobre subtotal]])*VLOOKUP(PROVEEDORES[[#This Row],[PROVEEDOR]],TERCEROS_INFO[#All],3,FALSE)</f>
        <v>3471338</v>
      </c>
      <c r="N2384" s="23"/>
      <c r="O2384" s="22">
        <v>6400000</v>
      </c>
      <c r="P2384" s="74">
        <f>+IF(PROVEEDORES[[#This Row],[SUBTOTAL]]&lt;PROVEEDORES[[#This Row],[base retencion]],0,PROVEEDORES[[#This Row],[retención aplicada]])</f>
        <v>2.5000000000000001E-2</v>
      </c>
      <c r="Q2384" s="22">
        <f>+PROVEEDORES[[#This Row],[Rete Fuente %]]*(PROVEEDORES[[#This Row],[SUBTOTAL]]-PROVEEDORES[[#This Row],[descuento sobre subtotal]])</f>
        <v>456755</v>
      </c>
      <c r="R2384" s="21">
        <f>+PROVEEDORES[[#This Row],[SUBTOTAL]]+PROVEEDORES[[#This Row],[IVA 19%]]-PROVEEDORES[[#This Row],[descuento sobre subtotal]]-PROVEEDORES[[#This Row],[Descuento sobre subtotal $2]]-PROVEEDORES[[#This Row],[Rete Fuente $]]</f>
        <v>14884783</v>
      </c>
      <c r="S2384" s="39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84" s="63">
        <f ca="1">IF(PROVEEDORES[[#This Row],[FECHA DE PAGO]]=0,TODAY()-PROVEEDORES[[#This Row],[FECHA DE FACTURACIÓN]]-PROVEEDORES[[#This Row],[PLAZO Días]],0)</f>
        <v>-17</v>
      </c>
      <c r="U2384" s="104" t="str">
        <f>+VLOOKUP(PROVEEDORES[[#This Row],[PROVEEDOR]],Terceros!$A:$D,4,FALSE)</f>
        <v>2,5% con base</v>
      </c>
      <c r="V2384" s="105">
        <f>+YEAR(PROVEEDORES[[#This Row],[FECHA DE FACTURACIÓN]])</f>
        <v>2023</v>
      </c>
      <c r="W2384" s="105">
        <f>+MATCH(PROVEEDORES[[#This Row],[año facturado]],Retenciones!$1:$1,0)</f>
        <v>6</v>
      </c>
      <c r="X2384" s="106">
        <f>+VLOOKUP(PROVEEDORES[[#This Row],[ID RETENCION]],Retenciones!$A$1:$O$25,PROVEEDORES[[#This Row],[indicador de columna]],FALSE)</f>
        <v>1145000</v>
      </c>
      <c r="Y2384" s="107">
        <f>+VLOOKUP(PROVEEDORES[[#This Row],[ID RETENCION]],Retenciones!$A$1:$O$25,2,FALSE)</f>
        <v>2.5000000000000001E-2</v>
      </c>
      <c r="Z2384" s="116" t="b">
        <f>OR(COUNTIF(PROVEEDORES[[#This Row],[PROVEEDOR]],"*"&amp;'Palabra no opera'!$A$2&amp;"*"))</f>
        <v>0</v>
      </c>
    </row>
    <row r="2385" spans="1:26" ht="22.35" customHeight="1" x14ac:dyDescent="0.3">
      <c r="A2385" s="67" t="str">
        <f>+IF(PROVEEDORES[[#This Row],[FECHA DE PAGO]]=PROVEEDORES[[#This Row],[FECHA DE FACTURACIÓN]],"DE CONTADO","CRÉDITO")</f>
        <v>CRÉDITO</v>
      </c>
      <c r="B2385" s="38" t="b">
        <f>+IF((PROVEEDORES[[#This Row],[FECHA DE PAGO]]-PROVEEDORES[[#This Row],[FECHA DE FACTURACIÓN]])&gt;PROVEEDORES[[#This Row],[PLAZO Días]],"PAGO VENCIDO")</f>
        <v>0</v>
      </c>
      <c r="C2385" s="20">
        <f>+VLOOKUP(PROVEEDORES[[#This Row],[PROVEEDOR]],TERCEROS_INFO[#All],2,FALSE)</f>
        <v>45</v>
      </c>
      <c r="D2385" s="25">
        <f>+SUMIFS(PROVEEDORES[Total],PROVEEDORES[PROVEEDOR],PROVEEDORES[[#This Row],[PROVEEDOR]],PROVEEDORES[FECHA DE PAGO],"")</f>
        <v>15770594</v>
      </c>
      <c r="E2385" s="25"/>
      <c r="F2385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2385" s="26" t="s">
        <v>19</v>
      </c>
      <c r="I2385" s="68">
        <v>45275</v>
      </c>
      <c r="J2385" s="35" t="s">
        <v>2322</v>
      </c>
      <c r="K2385" s="21">
        <v>13252600</v>
      </c>
      <c r="L2385" s="21"/>
      <c r="M2385" s="22">
        <f>(PROVEEDORES[[#This Row],[SUBTOTAL]]-PROVEEDORES[[#This Row],[descuento sobre subtotal]])*VLOOKUP(PROVEEDORES[[#This Row],[PROVEEDOR]],TERCEROS_INFO[#All],3,FALSE)</f>
        <v>2517994</v>
      </c>
      <c r="N2385" s="23"/>
      <c r="O2385" s="22">
        <f>+PROVEEDORES[[#This Row],[Descuento sobre subtotal %]]*(PROVEEDORES[[#This Row],[SUBTOTAL]]-PROVEEDORES[[#This Row],[descuento sobre subtotal]])</f>
        <v>0</v>
      </c>
      <c r="P2385" s="74">
        <f>+IF(PROVEEDORES[[#This Row],[SUBTOTAL]]&lt;PROVEEDORES[[#This Row],[base retencion]],0,PROVEEDORES[[#This Row],[retención aplicada]])</f>
        <v>0</v>
      </c>
      <c r="Q2385" s="22">
        <f>+PROVEEDORES[[#This Row],[Rete Fuente %]]*(PROVEEDORES[[#This Row],[SUBTOTAL]]-PROVEEDORES[[#This Row],[descuento sobre subtotal]])</f>
        <v>0</v>
      </c>
      <c r="R2385" s="21">
        <f>+PROVEEDORES[[#This Row],[SUBTOTAL]]+PROVEEDORES[[#This Row],[IVA 19%]]-PROVEEDORES[[#This Row],[descuento sobre subtotal]]-PROVEEDORES[[#This Row],[Descuento sobre subtotal $2]]-PROVEEDORES[[#This Row],[Rete Fuente $]]</f>
        <v>15770594</v>
      </c>
      <c r="S2385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85" s="63">
        <f ca="1">IF(PROVEEDORES[[#This Row],[FECHA DE PAGO]]=0,TODAY()-PROVEEDORES[[#This Row],[FECHA DE FACTURACIÓN]]-PROVEEDORES[[#This Row],[PLAZO Días]],0)</f>
        <v>-20</v>
      </c>
      <c r="U2385" s="104">
        <f>+VLOOKUP(PROVEEDORES[[#This Row],[PROVEEDOR]],Terceros!$A:$D,4,FALSE)</f>
        <v>0</v>
      </c>
      <c r="V2385" s="105">
        <f>+YEAR(PROVEEDORES[[#This Row],[FECHA DE FACTURACIÓN]])</f>
        <v>2023</v>
      </c>
      <c r="W2385" s="105">
        <f>+MATCH(PROVEEDORES[[#This Row],[año facturado]],Retenciones!$1:$1,0)</f>
        <v>6</v>
      </c>
      <c r="X2385" s="106">
        <f>+VLOOKUP(PROVEEDORES[[#This Row],[ID RETENCION]],Retenciones!$A$1:$O$25,PROVEEDORES[[#This Row],[indicador de columna]],FALSE)</f>
        <v>0</v>
      </c>
      <c r="Y2385" s="107">
        <f>+VLOOKUP(PROVEEDORES[[#This Row],[ID RETENCION]],Retenciones!$A$1:$O$25,2,FALSE)</f>
        <v>0</v>
      </c>
      <c r="Z2385" s="116" t="b">
        <f>OR(COUNTIF(PROVEEDORES[[#This Row],[PROVEEDOR]],"*"&amp;'Palabra no opera'!$A$2&amp;"*"))</f>
        <v>0</v>
      </c>
    </row>
    <row r="2386" spans="1:26" ht="22.35" customHeight="1" x14ac:dyDescent="0.3">
      <c r="A2386" s="67" t="str">
        <f>+IF(PROVEEDORES[[#This Row],[FECHA DE PAGO]]=PROVEEDORES[[#This Row],[FECHA DE FACTURACIÓN]],"DE CONTADO","CRÉDITO")</f>
        <v>DE CONTADO</v>
      </c>
      <c r="B2386" s="38" t="b">
        <f>+IF((PROVEEDORES[[#This Row],[FECHA DE PAGO]]-PROVEEDORES[[#This Row],[FECHA DE FACTURACIÓN]])&gt;PROVEEDORES[[#This Row],[PLAZO Días]],"PAGO VENCIDO")</f>
        <v>0</v>
      </c>
      <c r="C2386" s="20">
        <f>+VLOOKUP(PROVEEDORES[[#This Row],[PROVEEDOR]],TERCEROS_INFO[#All],2,FALSE)</f>
        <v>30</v>
      </c>
      <c r="D2386" s="25">
        <f>+SUMIFS(PROVEEDORES[Total],PROVEEDORES[PROVEEDOR],PROVEEDORES[[#This Row],[PROVEEDOR]],PROVEEDORES[FECHA DE PAGO],"")</f>
        <v>0</v>
      </c>
      <c r="E2386" s="25"/>
      <c r="F2386" s="56" t="str">
        <f>+VLOOKUP(PROVEEDORES[[#This Row],[PROVEEDOR]],
                       Terceros!$A:$F,
                       5,
                       FALSE)</f>
        <v/>
      </c>
      <c r="G2386" s="68">
        <v>45294</v>
      </c>
      <c r="H2386" s="26" t="s">
        <v>1401</v>
      </c>
      <c r="I2386" s="68">
        <v>45294</v>
      </c>
      <c r="J2386" s="35" t="s">
        <v>2323</v>
      </c>
      <c r="K2386" s="21">
        <v>5000000</v>
      </c>
      <c r="L2386" s="21"/>
      <c r="M2386" s="22">
        <f>(PROVEEDORES[[#This Row],[SUBTOTAL]]-PROVEEDORES[[#This Row],[descuento sobre subtotal]])*VLOOKUP(PROVEEDORES[[#This Row],[PROVEEDOR]],TERCEROS_INFO[#All],3,FALSE)</f>
        <v>0</v>
      </c>
      <c r="N2386" s="23"/>
      <c r="O2386" s="22">
        <f>+PROVEEDORES[[#This Row],[Descuento sobre subtotal %]]*(PROVEEDORES[[#This Row],[SUBTOTAL]]-PROVEEDORES[[#This Row],[descuento sobre subtotal]])</f>
        <v>0</v>
      </c>
      <c r="P2386" s="74">
        <f>+IF(PROVEEDORES[[#This Row],[SUBTOTAL]]&lt;PROVEEDORES[[#This Row],[base retencion]],0,PROVEEDORES[[#This Row],[retención aplicada]])</f>
        <v>0</v>
      </c>
      <c r="Q2386" s="22">
        <f>+PROVEEDORES[[#This Row],[Rete Fuente %]]*(PROVEEDORES[[#This Row],[SUBTOTAL]]-PROVEEDORES[[#This Row],[descuento sobre subtotal]])</f>
        <v>0</v>
      </c>
      <c r="R2386" s="21">
        <f>+PROVEEDORES[[#This Row],[SUBTOTAL]]+PROVEEDORES[[#This Row],[IVA 19%]]-PROVEEDORES[[#This Row],[descuento sobre subtotal]]-PROVEEDORES[[#This Row],[Descuento sobre subtotal $2]]-PROVEEDORES[[#This Row],[Rete Fuente $]]</f>
        <v>5000000</v>
      </c>
      <c r="S2386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6" s="63">
        <f ca="1">IF(PROVEEDORES[[#This Row],[FECHA DE PAGO]]=0,TODAY()-PROVEEDORES[[#This Row],[FECHA DE FACTURACIÓN]]-PROVEEDORES[[#This Row],[PLAZO Días]],0)</f>
        <v>0</v>
      </c>
      <c r="U2386" s="104">
        <f>+VLOOKUP(PROVEEDORES[[#This Row],[PROVEEDOR]],Terceros!$A:$D,4,FALSE)</f>
        <v>0</v>
      </c>
      <c r="V2386" s="105">
        <f>+YEAR(PROVEEDORES[[#This Row],[FECHA DE FACTURACIÓN]])</f>
        <v>2024</v>
      </c>
      <c r="W2386" s="105">
        <f>+MATCH(PROVEEDORES[[#This Row],[año facturado]],Retenciones!$1:$1,0)</f>
        <v>7</v>
      </c>
      <c r="X2386" s="106">
        <f>+VLOOKUP(PROVEEDORES[[#This Row],[ID RETENCION]],Retenciones!$A$1:$O$25,PROVEEDORES[[#This Row],[indicador de columna]],FALSE)</f>
        <v>0</v>
      </c>
      <c r="Y2386" s="107">
        <f>+VLOOKUP(PROVEEDORES[[#This Row],[ID RETENCION]],Retenciones!$A$1:$O$25,2,FALSE)</f>
        <v>0</v>
      </c>
      <c r="Z2386" s="116" t="b">
        <f>OR(COUNTIF(PROVEEDORES[[#This Row],[PROVEEDOR]],"*"&amp;'Palabra no opera'!$A$2&amp;"*"))</f>
        <v>0</v>
      </c>
    </row>
    <row r="2387" spans="1:26" ht="22.35" customHeight="1" x14ac:dyDescent="0.3">
      <c r="A2387" s="67" t="str">
        <f>+IF(PROVEEDORES[[#This Row],[FECHA DE PAGO]]=PROVEEDORES[[#This Row],[FECHA DE FACTURACIÓN]],"DE CONTADO","CRÉDITO")</f>
        <v>CRÉDITO</v>
      </c>
      <c r="B2387" s="38" t="b">
        <f>+IF((PROVEEDORES[[#This Row],[FECHA DE PAGO]]-PROVEEDORES[[#This Row],[FECHA DE FACTURACIÓN]])&gt;PROVEEDORES[[#This Row],[PLAZO Días]],"PAGO VENCIDO")</f>
        <v>0</v>
      </c>
      <c r="C2387" s="20">
        <f>+VLOOKUP(PROVEEDORES[[#This Row],[PROVEEDOR]],TERCEROS_INFO[#All],2,FALSE)</f>
        <v>30</v>
      </c>
      <c r="D2387" s="25">
        <f>+SUMIFS(PROVEEDORES[Total],PROVEEDORES[PROVEEDOR],PROVEEDORES[[#This Row],[PROVEEDOR]],PROVEEDORES[FECHA DE PAGO],"")</f>
        <v>0</v>
      </c>
      <c r="E2387" s="25"/>
      <c r="F2387" s="56" t="str">
        <f>+VLOOKUP(PROVEEDORES[[#This Row],[PROVEEDOR]],
                       Terceros!$A:$F,
                       5,
                       FALSE)</f>
        <v>PSE</v>
      </c>
      <c r="G2387" s="68">
        <v>45293</v>
      </c>
      <c r="H2387" s="26" t="s">
        <v>645</v>
      </c>
      <c r="I2387" s="68">
        <v>45292</v>
      </c>
      <c r="J2387" s="35"/>
      <c r="K2387" s="21">
        <v>611127</v>
      </c>
      <c r="L2387" s="21"/>
      <c r="M2387" s="22">
        <f>(PROVEEDORES[[#This Row],[SUBTOTAL]]-PROVEEDORES[[#This Row],[descuento sobre subtotal]])*VLOOKUP(PROVEEDORES[[#This Row],[PROVEEDOR]],TERCEROS_INFO[#All],3,FALSE)</f>
        <v>0</v>
      </c>
      <c r="N2387" s="23"/>
      <c r="O2387" s="22">
        <f>+PROVEEDORES[[#This Row],[Descuento sobre subtotal %]]*(PROVEEDORES[[#This Row],[SUBTOTAL]]-PROVEEDORES[[#This Row],[descuento sobre subtotal]])</f>
        <v>0</v>
      </c>
      <c r="P2387" s="74">
        <f>+IF(PROVEEDORES[[#This Row],[SUBTOTAL]]&lt;PROVEEDORES[[#This Row],[base retencion]],0,PROVEEDORES[[#This Row],[retención aplicada]])</f>
        <v>0</v>
      </c>
      <c r="Q2387" s="22">
        <f>+PROVEEDORES[[#This Row],[Rete Fuente %]]*(PROVEEDORES[[#This Row],[SUBTOTAL]]-PROVEEDORES[[#This Row],[descuento sobre subtotal]])</f>
        <v>0</v>
      </c>
      <c r="R2387" s="21">
        <f>+PROVEEDORES[[#This Row],[SUBTOTAL]]+PROVEEDORES[[#This Row],[IVA 19%]]-PROVEEDORES[[#This Row],[descuento sobre subtotal]]-PROVEEDORES[[#This Row],[Descuento sobre subtotal $2]]-PROVEEDORES[[#This Row],[Rete Fuente $]]</f>
        <v>611127</v>
      </c>
      <c r="S2387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7" s="63">
        <f ca="1">IF(PROVEEDORES[[#This Row],[FECHA DE PAGO]]=0,TODAY()-PROVEEDORES[[#This Row],[FECHA DE FACTURACIÓN]]-PROVEEDORES[[#This Row],[PLAZO Días]],0)</f>
        <v>0</v>
      </c>
      <c r="U2387" s="104">
        <f>+VLOOKUP(PROVEEDORES[[#This Row],[PROVEEDOR]],Terceros!$A:$D,4,FALSE)</f>
        <v>0</v>
      </c>
      <c r="V2387" s="105">
        <f>+YEAR(PROVEEDORES[[#This Row],[FECHA DE FACTURACIÓN]])</f>
        <v>2024</v>
      </c>
      <c r="W2387" s="105">
        <f>+MATCH(PROVEEDORES[[#This Row],[año facturado]],Retenciones!$1:$1,0)</f>
        <v>7</v>
      </c>
      <c r="X2387" s="106">
        <f>+VLOOKUP(PROVEEDORES[[#This Row],[ID RETENCION]],Retenciones!$A$1:$O$25,PROVEEDORES[[#This Row],[indicador de columna]],FALSE)</f>
        <v>0</v>
      </c>
      <c r="Y2387" s="107">
        <f>+VLOOKUP(PROVEEDORES[[#This Row],[ID RETENCION]],Retenciones!$A$1:$O$25,2,FALSE)</f>
        <v>0</v>
      </c>
      <c r="Z2387" s="116" t="b">
        <f>OR(COUNTIF(PROVEEDORES[[#This Row],[PROVEEDOR]],"*"&amp;'Palabra no opera'!$A$2&amp;"*"))</f>
        <v>1</v>
      </c>
    </row>
    <row r="2388" spans="1:26" ht="22.35" customHeight="1" x14ac:dyDescent="0.3">
      <c r="A2388" s="67" t="str">
        <f>+IF(PROVEEDORES[[#This Row],[FECHA DE PAGO]]=PROVEEDORES[[#This Row],[FECHA DE FACTURACIÓN]],"DE CONTADO","CRÉDITO")</f>
        <v>DE CONTADO</v>
      </c>
      <c r="B2388" s="38" t="e">
        <f>+IF((PROVEEDORES[[#This Row],[FECHA DE PAGO]]-PROVEEDORES[[#This Row],[FECHA DE FACTURACIÓN]])&gt;PROVEEDORES[[#This Row],[PLAZO Días]],"PAGO VENCIDO")</f>
        <v>#N/A</v>
      </c>
      <c r="C2388" s="20" t="e">
        <f>+VLOOKUP(PROVEEDORES[[#This Row],[PROVEEDOR]],TERCEROS_INFO[#All],2,FALSE)</f>
        <v>#N/A</v>
      </c>
      <c r="D2388" s="25">
        <f>+SUMIFS(PROVEEDORES[Total],PROVEEDORES[PROVEEDOR],PROVEEDORES[[#This Row],[PROVEEDOR]],PROVEEDORES[FECHA DE PAGO],"")</f>
        <v>0</v>
      </c>
      <c r="E2388" s="25"/>
      <c r="F2388" s="56" t="e">
        <f>+VLOOKUP(PROVEEDORES[[#This Row],[PROVEEDOR]],
                       Terceros!$A:$F,
                       5,
                       FALSE)</f>
        <v>#N/A</v>
      </c>
      <c r="H2388" s="26"/>
      <c r="J2388" s="35"/>
      <c r="K2388" s="21"/>
      <c r="L2388" s="21"/>
      <c r="M2388" s="22" t="e">
        <f>(PROVEEDORES[[#This Row],[SUBTOTAL]]-PROVEEDORES[[#This Row],[descuento sobre subtotal]])*VLOOKUP(PROVEEDORES[[#This Row],[PROVEEDOR]],TERCEROS_INFO[#All],3,FALSE)</f>
        <v>#N/A</v>
      </c>
      <c r="N2388" s="23"/>
      <c r="O2388" s="22">
        <f>+PROVEEDORES[[#This Row],[Descuento sobre subtotal %]]*(PROVEEDORES[[#This Row],[SUBTOTAL]]-PROVEEDORES[[#This Row],[descuento sobre subtotal]])</f>
        <v>0</v>
      </c>
      <c r="P2388" s="74" t="e">
        <f>+IF(PROVEEDORES[[#This Row],[SUBTOTAL]]&lt;PROVEEDORES[[#This Row],[base retencion]],0,PROVEEDORES[[#This Row],[retención aplicada]])</f>
        <v>#N/A</v>
      </c>
      <c r="Q2388" s="22" t="e">
        <f>+PROVEEDORES[[#This Row],[Rete Fuente %]]*(PROVEEDORES[[#This Row],[SUBTOTAL]]-PROVEEDORES[[#This Row],[descuento sobre subtotal]])</f>
        <v>#N/A</v>
      </c>
      <c r="R2388" s="21" t="e">
        <f>+PROVEEDORES[[#This Row],[SUBTOTAL]]+PROVEEDORES[[#This Row],[IVA 19%]]-PROVEEDORES[[#This Row],[descuento sobre subtotal]]-PROVEEDORES[[#This Row],[Descuento sobre subtotal $2]]-PROVEEDORES[[#This Row],[Rete Fuente $]]</f>
        <v>#N/A</v>
      </c>
      <c r="S2388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/>
      </c>
      <c r="T2388" s="63" t="e">
        <f ca="1">IF(PROVEEDORES[[#This Row],[FECHA DE PAGO]]=0,TODAY()-PROVEEDORES[[#This Row],[FECHA DE FACTURACIÓN]]-PROVEEDORES[[#This Row],[PLAZO Días]],0)</f>
        <v>#N/A</v>
      </c>
      <c r="U2388" s="104" t="e">
        <f>+VLOOKUP(PROVEEDORES[[#This Row],[PROVEEDOR]],Terceros!$A:$D,4,FALSE)</f>
        <v>#N/A</v>
      </c>
      <c r="V2388" s="105">
        <f>+YEAR(PROVEEDORES[[#This Row],[FECHA DE FACTURACIÓN]])</f>
        <v>1900</v>
      </c>
      <c r="W2388" s="105" t="e">
        <f>+MATCH(PROVEEDORES[[#This Row],[año facturado]],Retenciones!$1:$1,0)</f>
        <v>#N/A</v>
      </c>
      <c r="X2388" s="106" t="e">
        <f>+VLOOKUP(PROVEEDORES[[#This Row],[ID RETENCION]],Retenciones!$A$1:$O$25,PROVEEDORES[[#This Row],[indicador de columna]],FALSE)</f>
        <v>#N/A</v>
      </c>
      <c r="Y2388" s="107" t="e">
        <f>+VLOOKUP(PROVEEDORES[[#This Row],[ID RETENCION]],Retenciones!$A$1:$O$25,2,FALSE)</f>
        <v>#N/A</v>
      </c>
      <c r="Z2388" s="116" t="b">
        <f>OR(COUNTIF(PROVEEDORES[[#This Row],[PROVEEDOR]],"*"&amp;'Palabra no opera'!$A$2&amp;"*"))</f>
        <v>0</v>
      </c>
    </row>
    <row r="2389" spans="1:26" ht="22.35" customHeight="1" x14ac:dyDescent="0.3">
      <c r="A2389" s="398" t="str">
        <f>+IF(PROVEEDORES[[#This Row],[FECHA DE PAGO]]=PROVEEDORES[[#This Row],[FECHA DE FACTURACIÓN]],"DE CONTADO","CRÉDITO")</f>
        <v>DE CONTADO</v>
      </c>
      <c r="B2389" s="38" t="b">
        <f>+IF((PROVEEDORES[[#This Row],[FECHA DE PAGO]]-PROVEEDORES[[#This Row],[FECHA DE FACTURACIÓN]])&gt;PROVEEDORES[[#This Row],[PLAZO Días]],"PAGO VENCIDO")</f>
        <v>0</v>
      </c>
      <c r="C2389" s="20">
        <f>+VLOOKUP(PROVEEDORES[[#This Row],[PROVEEDOR]],TERCEROS_INFO[#All],2,FALSE)</f>
        <v>30</v>
      </c>
      <c r="D2389" s="25">
        <f>+SUMIFS(PROVEEDORES[Total],PROVEEDORES[PROVEEDOR],PROVEEDORES[[#This Row],[PROVEEDOR]],PROVEEDORES[FECHA DE PAGO],"")</f>
        <v>0</v>
      </c>
      <c r="E2389" s="25"/>
      <c r="F2389" s="56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389" s="68">
        <v>45293</v>
      </c>
      <c r="H2389" s="26" t="s">
        <v>227</v>
      </c>
      <c r="I2389" s="68">
        <v>45293</v>
      </c>
      <c r="J2389" s="35" t="s">
        <v>2325</v>
      </c>
      <c r="K2389" s="21">
        <v>1690000</v>
      </c>
      <c r="L2389" s="21"/>
      <c r="M2389" s="22">
        <f>(PROVEEDORES[[#This Row],[SUBTOTAL]]-PROVEEDORES[[#This Row],[descuento sobre subtotal]])*VLOOKUP(PROVEEDORES[[#This Row],[PROVEEDOR]],TERCEROS_INFO[#All],3,FALSE)</f>
        <v>0</v>
      </c>
      <c r="N2389" s="23"/>
      <c r="O2389" s="22">
        <f>+PROVEEDORES[[#This Row],[Descuento sobre subtotal %]]*(PROVEEDORES[[#This Row],[SUBTOTAL]]-PROVEEDORES[[#This Row],[descuento sobre subtotal]])</f>
        <v>0</v>
      </c>
      <c r="P2389" s="74">
        <f>+IF(PROVEEDORES[[#This Row],[SUBTOTAL]]&lt;PROVEEDORES[[#This Row],[base retencion]],0,PROVEEDORES[[#This Row],[retención aplicada]])</f>
        <v>0</v>
      </c>
      <c r="Q2389" s="22">
        <f>+PROVEEDORES[[#This Row],[Rete Fuente %]]*(PROVEEDORES[[#This Row],[SUBTOTAL]]-PROVEEDORES[[#This Row],[descuento sobre subtotal]])</f>
        <v>0</v>
      </c>
      <c r="R2389" s="21">
        <f>+PROVEEDORES[[#This Row],[SUBTOTAL]]+PROVEEDORES[[#This Row],[IVA 19%]]-PROVEEDORES[[#This Row],[descuento sobre subtotal]]-PROVEEDORES[[#This Row],[Descuento sobre subtotal $2]]-PROVEEDORES[[#This Row],[Rete Fuente $]]</f>
        <v>1690000</v>
      </c>
      <c r="S2389" s="3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9" s="63">
        <f ca="1">IF(PROVEEDORES[[#This Row],[FECHA DE PAGO]]=0,TODAY()-PROVEEDORES[[#This Row],[FECHA DE FACTURACIÓN]]-PROVEEDORES[[#This Row],[PLAZO Días]],0)</f>
        <v>0</v>
      </c>
      <c r="U2389" s="104">
        <f>+VLOOKUP(PROVEEDORES[[#This Row],[PROVEEDOR]],Terceros!$A:$D,4,FALSE)</f>
        <v>0</v>
      </c>
      <c r="V2389" s="105">
        <f>+YEAR(PROVEEDORES[[#This Row],[FECHA DE FACTURACIÓN]])</f>
        <v>2024</v>
      </c>
      <c r="W2389" s="105">
        <f>+MATCH(PROVEEDORES[[#This Row],[año facturado]],Retenciones!$1:$1,0)</f>
        <v>7</v>
      </c>
      <c r="X2389" s="106">
        <f>+VLOOKUP(PROVEEDORES[[#This Row],[ID RETENCION]],Retenciones!$A$1:$O$25,PROVEEDORES[[#This Row],[indicador de columna]],FALSE)</f>
        <v>0</v>
      </c>
      <c r="Y2389" s="107">
        <f>+VLOOKUP(PROVEEDORES[[#This Row],[ID RETENCION]],Retenciones!$A$1:$O$25,2,FALSE)</f>
        <v>0</v>
      </c>
      <c r="Z2389" s="116" t="b">
        <f>OR(COUNTIF(PROVEEDORES[[#This Row],[PROVEEDOR]],"*"&amp;'Palabra no opera'!$A$2&amp;"*"))</f>
        <v>0</v>
      </c>
    </row>
    <row r="2390" spans="1:26" ht="22.35" customHeight="1" x14ac:dyDescent="0.3">
      <c r="A2390" s="398" t="str">
        <f>+IF(PROVEEDORES[[#This Row],[FECHA DE PAGO]]=PROVEEDORES[[#This Row],[FECHA DE FACTURACIÓN]],"DE CONTADO","CRÉDITO")</f>
        <v>DE CONTADO</v>
      </c>
      <c r="B2390" s="38" t="b">
        <f>+IF((PROVEEDORES[[#This Row],[FECHA DE PAGO]]-PROVEEDORES[[#This Row],[FECHA DE FACTURACIÓN]])&gt;PROVEEDORES[[#This Row],[PLAZO Días]],"PAGO VENCIDO")</f>
        <v>0</v>
      </c>
      <c r="C2390" s="20">
        <f>+VLOOKUP(PROVEEDORES[[#This Row],[PROVEEDOR]],TERCEROS_INFO[#All],2,FALSE)</f>
        <v>30</v>
      </c>
      <c r="D2390" s="25">
        <f>+SUMIFS(PROVEEDORES[Total],PROVEEDORES[PROVEEDOR],PROVEEDORES[[#This Row],[PROVEEDOR]],PROVEEDORES[FECHA DE PAGO],"")</f>
        <v>0</v>
      </c>
      <c r="E2390" s="25"/>
      <c r="F2390" s="56" t="str">
        <f>+VLOOKUP(PROVEEDORES[[#This Row],[PROVEEDOR]],
                       Terceros!$A:$F,
                       5,
                       FALSE)</f>
        <v/>
      </c>
      <c r="G2390" s="68">
        <v>45293</v>
      </c>
      <c r="H2390" s="26" t="s">
        <v>53</v>
      </c>
      <c r="I2390" s="68">
        <v>45293</v>
      </c>
      <c r="J2390" s="35">
        <v>315688</v>
      </c>
      <c r="K2390" s="21">
        <v>3555000</v>
      </c>
      <c r="L2390" s="21"/>
      <c r="M2390" s="22">
        <f>(PROVEEDORES[[#This Row],[SUBTOTAL]]-PROVEEDORES[[#This Row],[descuento sobre subtotal]])*VLOOKUP(PROVEEDORES[[#This Row],[PROVEEDOR]],TERCEROS_INFO[#All],3,FALSE)</f>
        <v>0</v>
      </c>
      <c r="N2390" s="23"/>
      <c r="O2390" s="22">
        <f>+PROVEEDORES[[#This Row],[Descuento sobre subtotal %]]*(PROVEEDORES[[#This Row],[SUBTOTAL]]-PROVEEDORES[[#This Row],[descuento sobre subtotal]])</f>
        <v>0</v>
      </c>
      <c r="P2390" s="74">
        <f>+IF(PROVEEDORES[[#This Row],[SUBTOTAL]]&lt;PROVEEDORES[[#This Row],[base retencion]],0,PROVEEDORES[[#This Row],[retención aplicada]])</f>
        <v>0</v>
      </c>
      <c r="Q2390" s="22">
        <f>+PROVEEDORES[[#This Row],[Rete Fuente %]]*(PROVEEDORES[[#This Row],[SUBTOTAL]]-PROVEEDORES[[#This Row],[descuento sobre subtotal]])</f>
        <v>0</v>
      </c>
      <c r="R2390" s="21">
        <f>+PROVEEDORES[[#This Row],[SUBTOTAL]]+PROVEEDORES[[#This Row],[IVA 19%]]-PROVEEDORES[[#This Row],[descuento sobre subtotal]]-PROVEEDORES[[#This Row],[Descuento sobre subtotal $2]]-PROVEEDORES[[#This Row],[Rete Fuente $]]</f>
        <v>3555000</v>
      </c>
      <c r="S2390" s="3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0" s="63">
        <f ca="1">IF(PROVEEDORES[[#This Row],[FECHA DE PAGO]]=0,TODAY()-PROVEEDORES[[#This Row],[FECHA DE FACTURACIÓN]]-PROVEEDORES[[#This Row],[PLAZO Días]],0)</f>
        <v>0</v>
      </c>
      <c r="U2390" s="104">
        <f>+VLOOKUP(PROVEEDORES[[#This Row],[PROVEEDOR]],Terceros!$A:$D,4,FALSE)</f>
        <v>0</v>
      </c>
      <c r="V2390" s="105">
        <f>+YEAR(PROVEEDORES[[#This Row],[FECHA DE FACTURACIÓN]])</f>
        <v>2024</v>
      </c>
      <c r="W2390" s="105">
        <f>+MATCH(PROVEEDORES[[#This Row],[año facturado]],Retenciones!$1:$1,0)</f>
        <v>7</v>
      </c>
      <c r="X2390" s="106">
        <f>+VLOOKUP(PROVEEDORES[[#This Row],[ID RETENCION]],Retenciones!$A$1:$O$25,PROVEEDORES[[#This Row],[indicador de columna]],FALSE)</f>
        <v>0</v>
      </c>
      <c r="Y2390" s="107">
        <f>+VLOOKUP(PROVEEDORES[[#This Row],[ID RETENCION]],Retenciones!$A$1:$O$25,2,FALSE)</f>
        <v>0</v>
      </c>
      <c r="Z2390" s="116" t="b">
        <f>OR(COUNTIF(PROVEEDORES[[#This Row],[PROVEEDOR]],"*"&amp;'Palabra no opera'!$A$2&amp;"*"))</f>
        <v>0</v>
      </c>
    </row>
    <row r="2391" spans="1:26" ht="22.35" customHeight="1" x14ac:dyDescent="0.3">
      <c r="A2391" s="67" t="str">
        <f>+IF(PROVEEDORES[[#This Row],[FECHA DE PAGO]]=PROVEEDORES[[#This Row],[FECHA DE FACTURACIÓN]],"DE CONTADO","CRÉDITO")</f>
        <v>DE CONTADO</v>
      </c>
      <c r="B2391" s="38" t="b">
        <f>+IF((PROVEEDORES[[#This Row],[FECHA DE PAGO]]-PROVEEDORES[[#This Row],[FECHA DE FACTURACIÓN]])&gt;PROVEEDORES[[#This Row],[PLAZO Días]],"PAGO VENCIDO")</f>
        <v>0</v>
      </c>
      <c r="C2391" s="20">
        <f>+VLOOKUP(PROVEEDORES[[#This Row],[PROVEEDOR]],TERCEROS_INFO[#All],2,FALSE)</f>
        <v>30</v>
      </c>
      <c r="D2391" s="25">
        <f>+SUMIFS(PROVEEDORES[Total],PROVEEDORES[PROVEEDOR],PROVEEDORES[[#This Row],[PROVEEDOR]],PROVEEDORES[FECHA DE PAGO],"")</f>
        <v>0</v>
      </c>
      <c r="E2391" s="25"/>
      <c r="F2391" s="56" t="str">
        <f>+VLOOKUP(PROVEEDORES[[#This Row],[PROVEEDOR]],
                       Terceros!$A:$F,
                       5,
                       FALSE)</f>
        <v/>
      </c>
      <c r="G2391" s="68">
        <v>45296</v>
      </c>
      <c r="H2391" s="26" t="s">
        <v>1401</v>
      </c>
      <c r="I2391" s="68">
        <v>45296</v>
      </c>
      <c r="J2391" s="35" t="s">
        <v>2326</v>
      </c>
      <c r="K2391" s="21">
        <v>942000</v>
      </c>
      <c r="L2391" s="21"/>
      <c r="M2391" s="22">
        <f>(PROVEEDORES[[#This Row],[SUBTOTAL]]-PROVEEDORES[[#This Row],[descuento sobre subtotal]])*VLOOKUP(PROVEEDORES[[#This Row],[PROVEEDOR]],TERCEROS_INFO[#All],3,FALSE)</f>
        <v>0</v>
      </c>
      <c r="N2391" s="23"/>
      <c r="O2391" s="22">
        <f>+PROVEEDORES[[#This Row],[Descuento sobre subtotal %]]*(PROVEEDORES[[#This Row],[SUBTOTAL]]-PROVEEDORES[[#This Row],[descuento sobre subtotal]])</f>
        <v>0</v>
      </c>
      <c r="P2391" s="74">
        <f>+IF(PROVEEDORES[[#This Row],[SUBTOTAL]]&lt;PROVEEDORES[[#This Row],[base retencion]],0,PROVEEDORES[[#This Row],[retención aplicada]])</f>
        <v>0</v>
      </c>
      <c r="Q2391" s="22">
        <f>+PROVEEDORES[[#This Row],[Rete Fuente %]]*(PROVEEDORES[[#This Row],[SUBTOTAL]]-PROVEEDORES[[#This Row],[descuento sobre subtotal]])</f>
        <v>0</v>
      </c>
      <c r="R2391" s="21">
        <f>+PROVEEDORES[[#This Row],[SUBTOTAL]]+PROVEEDORES[[#This Row],[IVA 19%]]-PROVEEDORES[[#This Row],[descuento sobre subtotal]]-PROVEEDORES[[#This Row],[Descuento sobre subtotal $2]]-PROVEEDORES[[#This Row],[Rete Fuente $]]</f>
        <v>942000</v>
      </c>
      <c r="S2391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1" s="63">
        <f ca="1">IF(PROVEEDORES[[#This Row],[FECHA DE PAGO]]=0,TODAY()-PROVEEDORES[[#This Row],[FECHA DE FACTURACIÓN]]-PROVEEDORES[[#This Row],[PLAZO Días]],0)</f>
        <v>0</v>
      </c>
      <c r="U2391" s="104">
        <f>+VLOOKUP(PROVEEDORES[[#This Row],[PROVEEDOR]],Terceros!$A:$D,4,FALSE)</f>
        <v>0</v>
      </c>
      <c r="V2391" s="105">
        <f>+YEAR(PROVEEDORES[[#This Row],[FECHA DE FACTURACIÓN]])</f>
        <v>2024</v>
      </c>
      <c r="W2391" s="105">
        <f>+MATCH(PROVEEDORES[[#This Row],[año facturado]],Retenciones!$1:$1,0)</f>
        <v>7</v>
      </c>
      <c r="X2391" s="106">
        <f>+VLOOKUP(PROVEEDORES[[#This Row],[ID RETENCION]],Retenciones!$A$1:$O$25,PROVEEDORES[[#This Row],[indicador de columna]],FALSE)</f>
        <v>0</v>
      </c>
      <c r="Y2391" s="107">
        <f>+VLOOKUP(PROVEEDORES[[#This Row],[ID RETENCION]],Retenciones!$A$1:$O$25,2,FALSE)</f>
        <v>0</v>
      </c>
      <c r="Z2391" s="116" t="b">
        <f>OR(COUNTIF(PROVEEDORES[[#This Row],[PROVEEDOR]],"*"&amp;'Palabra no opera'!$A$2&amp;"*"))</f>
        <v>0</v>
      </c>
    </row>
    <row r="2392" spans="1:26" ht="22.35" customHeight="1" x14ac:dyDescent="0.3">
      <c r="A2392" s="67" t="str">
        <f>+IF(PROVEEDORES[[#This Row],[FECHA DE PAGO]]=PROVEEDORES[[#This Row],[FECHA DE FACTURACIÓN]],"DE CONTADO","CRÉDITO")</f>
        <v>DE CONTADO</v>
      </c>
      <c r="B2392" s="38" t="b">
        <f>+IF((PROVEEDORES[[#This Row],[FECHA DE PAGO]]-PROVEEDORES[[#This Row],[FECHA DE FACTURACIÓN]])&gt;PROVEEDORES[[#This Row],[PLAZO Días]],"PAGO VENCIDO")</f>
        <v>0</v>
      </c>
      <c r="C2392" s="20">
        <f>+VLOOKUP(PROVEEDORES[[#This Row],[PROVEEDOR]],TERCEROS_INFO[#All],2,FALSE)</f>
        <v>30</v>
      </c>
      <c r="D2392" s="25">
        <f>+SUMIFS(PROVEEDORES[Total],PROVEEDORES[PROVEEDOR],PROVEEDORES[[#This Row],[PROVEEDOR]],PROVEEDORES[FECHA DE PAGO],"")</f>
        <v>0</v>
      </c>
      <c r="E2392" s="25"/>
      <c r="F2392" s="56" t="str">
        <f>+VLOOKUP(PROVEEDORES[[#This Row],[PROVEEDOR]],
                       Terceros!$A:$F,
                       5,
                       FALSE)</f>
        <v/>
      </c>
      <c r="G2392" s="68">
        <v>45296</v>
      </c>
      <c r="H2392" s="26" t="s">
        <v>390</v>
      </c>
      <c r="I2392" s="68">
        <v>45296</v>
      </c>
      <c r="J2392" s="35"/>
      <c r="K2392" s="21">
        <v>1000000</v>
      </c>
      <c r="L2392" s="21"/>
      <c r="M2392" s="22">
        <f>(PROVEEDORES[[#This Row],[SUBTOTAL]]-PROVEEDORES[[#This Row],[descuento sobre subtotal]])*VLOOKUP(PROVEEDORES[[#This Row],[PROVEEDOR]],TERCEROS_INFO[#All],3,FALSE)</f>
        <v>0</v>
      </c>
      <c r="N2392" s="23"/>
      <c r="O2392" s="22">
        <f>+PROVEEDORES[[#This Row],[Descuento sobre subtotal %]]*(PROVEEDORES[[#This Row],[SUBTOTAL]]-PROVEEDORES[[#This Row],[descuento sobre subtotal]])</f>
        <v>0</v>
      </c>
      <c r="P2392" s="74">
        <f>+IF(PROVEEDORES[[#This Row],[SUBTOTAL]]&lt;PROVEEDORES[[#This Row],[base retencion]],0,PROVEEDORES[[#This Row],[retención aplicada]])</f>
        <v>0</v>
      </c>
      <c r="Q2392" s="22">
        <f>+PROVEEDORES[[#This Row],[Rete Fuente %]]*(PROVEEDORES[[#This Row],[SUBTOTAL]]-PROVEEDORES[[#This Row],[descuento sobre subtotal]])</f>
        <v>0</v>
      </c>
      <c r="R239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392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2" s="63">
        <f ca="1">IF(PROVEEDORES[[#This Row],[FECHA DE PAGO]]=0,TODAY()-PROVEEDORES[[#This Row],[FECHA DE FACTURACIÓN]]-PROVEEDORES[[#This Row],[PLAZO Días]],0)</f>
        <v>0</v>
      </c>
      <c r="U2392" s="104">
        <f>+VLOOKUP(PROVEEDORES[[#This Row],[PROVEEDOR]],Terceros!$A:$D,4,FALSE)</f>
        <v>0</v>
      </c>
      <c r="V2392" s="105">
        <f>+YEAR(PROVEEDORES[[#This Row],[FECHA DE FACTURACIÓN]])</f>
        <v>2024</v>
      </c>
      <c r="W2392" s="105">
        <f>+MATCH(PROVEEDORES[[#This Row],[año facturado]],Retenciones!$1:$1,0)</f>
        <v>7</v>
      </c>
      <c r="X2392" s="106">
        <f>+VLOOKUP(PROVEEDORES[[#This Row],[ID RETENCION]],Retenciones!$A$1:$O$25,PROVEEDORES[[#This Row],[indicador de columna]],FALSE)</f>
        <v>0</v>
      </c>
      <c r="Y2392" s="107">
        <f>+VLOOKUP(PROVEEDORES[[#This Row],[ID RETENCION]],Retenciones!$A$1:$O$25,2,FALSE)</f>
        <v>0</v>
      </c>
      <c r="Z2392" s="116" t="b">
        <f>OR(COUNTIF(PROVEEDORES[[#This Row],[PROVEEDOR]],"*"&amp;'Palabra no opera'!$A$2&amp;"*"))</f>
        <v>0</v>
      </c>
    </row>
    <row r="2393" spans="1:26" ht="22.35" customHeight="1" x14ac:dyDescent="0.3">
      <c r="A2393" s="67" t="str">
        <f>+IF(PROVEEDORES[[#This Row],[FECHA DE PAGO]]=PROVEEDORES[[#This Row],[FECHA DE FACTURACIÓN]],"DE CONTADO","CRÉDITO")</f>
        <v>CRÉDITO</v>
      </c>
      <c r="B2393" s="38" t="b">
        <f>+IF((PROVEEDORES[[#This Row],[FECHA DE PAGO]]-PROVEEDORES[[#This Row],[FECHA DE FACTURACIÓN]])&gt;PROVEEDORES[[#This Row],[PLAZO Días]],"PAGO VENCIDO")</f>
        <v>0</v>
      </c>
      <c r="C2393" s="20">
        <f>+VLOOKUP(PROVEEDORES[[#This Row],[PROVEEDOR]],TERCEROS_INFO[#All],2,FALSE)</f>
        <v>30</v>
      </c>
      <c r="D2393" s="25">
        <f>+SUMIFS(PROVEEDORES[Total],PROVEEDORES[PROVEEDOR],PROVEEDORES[[#This Row],[PROVEEDOR]],PROVEEDORES[FECHA DE PAGO],"")</f>
        <v>352505.48</v>
      </c>
      <c r="E2393" s="25"/>
      <c r="F2393" s="56" t="str">
        <f>+VLOOKUP(PROVEEDORES[[#This Row],[PROVEEDOR]],
                       Terceros!$A:$F,
                       5,
                       FALSE)</f>
        <v>facturacion@losmolinos.com.co</v>
      </c>
      <c r="H2393" s="26" t="s">
        <v>631</v>
      </c>
      <c r="I2393" s="68">
        <v>45292</v>
      </c>
      <c r="J2393" s="35" t="s">
        <v>2327</v>
      </c>
      <c r="K2393" s="21">
        <v>363203</v>
      </c>
      <c r="L2393" s="21">
        <v>10697.52</v>
      </c>
      <c r="M2393" s="22">
        <f>(PROVEEDORES[[#This Row],[SUBTOTAL]]-PROVEEDORES[[#This Row],[descuento sobre subtotal]])*VLOOKUP(PROVEEDORES[[#This Row],[PROVEEDOR]],TERCEROS_INFO[#All],3,FALSE)</f>
        <v>0</v>
      </c>
      <c r="N2393" s="23"/>
      <c r="O2393" s="22">
        <f>+PROVEEDORES[[#This Row],[Descuento sobre subtotal %]]*(PROVEEDORES[[#This Row],[SUBTOTAL]]-PROVEEDORES[[#This Row],[descuento sobre subtotal]])</f>
        <v>0</v>
      </c>
      <c r="P2393" s="74">
        <f>+IF(PROVEEDORES[[#This Row],[SUBTOTAL]]&lt;PROVEEDORES[[#This Row],[base retencion]],0,PROVEEDORES[[#This Row],[retención aplicada]])</f>
        <v>0</v>
      </c>
      <c r="Q2393" s="22">
        <f>+PROVEEDORES[[#This Row],[Rete Fuente %]]*(PROVEEDORES[[#This Row],[SUBTOTAL]]-PROVEEDORES[[#This Row],[descuento sobre subtotal]])</f>
        <v>0</v>
      </c>
      <c r="R2393" s="21">
        <f>+PROVEEDORES[[#This Row],[SUBTOTAL]]+PROVEEDORES[[#This Row],[IVA 19%]]-PROVEEDORES[[#This Row],[descuento sobre subtotal]]-PROVEEDORES[[#This Row],[Descuento sobre subtotal $2]]-PROVEEDORES[[#This Row],[Rete Fuente $]]</f>
        <v>352505.48</v>
      </c>
      <c r="S2393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93" s="63">
        <f ca="1">IF(PROVEEDORES[[#This Row],[FECHA DE PAGO]]=0,TODAY()-PROVEEDORES[[#This Row],[FECHA DE FACTURACIÓN]]-PROVEEDORES[[#This Row],[PLAZO Días]],0)</f>
        <v>-22</v>
      </c>
      <c r="U2393" s="104">
        <f>+VLOOKUP(PROVEEDORES[[#This Row],[PROVEEDOR]],Terceros!$A:$D,4,FALSE)</f>
        <v>0</v>
      </c>
      <c r="V2393" s="105">
        <f>+YEAR(PROVEEDORES[[#This Row],[FECHA DE FACTURACIÓN]])</f>
        <v>2024</v>
      </c>
      <c r="W2393" s="105">
        <f>+MATCH(PROVEEDORES[[#This Row],[año facturado]],Retenciones!$1:$1,0)</f>
        <v>7</v>
      </c>
      <c r="X2393" s="106">
        <f>+VLOOKUP(PROVEEDORES[[#This Row],[ID RETENCION]],Retenciones!$A$1:$O$25,PROVEEDORES[[#This Row],[indicador de columna]],FALSE)</f>
        <v>0</v>
      </c>
      <c r="Y2393" s="107">
        <f>+VLOOKUP(PROVEEDORES[[#This Row],[ID RETENCION]],Retenciones!$A$1:$O$25,2,FALSE)</f>
        <v>0</v>
      </c>
      <c r="Z2393" s="116" t="b">
        <f>OR(COUNTIF(PROVEEDORES[[#This Row],[PROVEEDOR]],"*"&amp;'Palabra no opera'!$A$2&amp;"*"))</f>
        <v>1</v>
      </c>
    </row>
    <row r="2394" spans="1:26" ht="22.35" customHeight="1" x14ac:dyDescent="0.3">
      <c r="A2394" s="67" t="str">
        <f>+IF(PROVEEDORES[[#This Row],[FECHA DE PAGO]]=PROVEEDORES[[#This Row],[FECHA DE FACTURACIÓN]],"DE CONTADO","CRÉDITO")</f>
        <v>CRÉDITO</v>
      </c>
      <c r="B2394" s="38" t="b">
        <f>+IF((PROVEEDORES[[#This Row],[FECHA DE PAGO]]-PROVEEDORES[[#This Row],[FECHA DE FACTURACIÓN]])&gt;PROVEEDORES[[#This Row],[PLAZO Días]],"PAGO VENCIDO")</f>
        <v>0</v>
      </c>
      <c r="C2394" s="20">
        <f>+VLOOKUP(PROVEEDORES[[#This Row],[PROVEEDOR]],TERCEROS_INFO[#All],2,FALSE)</f>
        <v>10</v>
      </c>
      <c r="D2394" s="25">
        <f>+SUMIFS(PROVEEDORES[Total],PROVEEDORES[PROVEEDOR],PROVEEDORES[[#This Row],[PROVEEDOR]],PROVEEDORES[FECHA DE PAGO],"")</f>
        <v>32849.949999999997</v>
      </c>
      <c r="E2394" s="25"/>
      <c r="F2394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2394" s="68">
        <v>45300</v>
      </c>
      <c r="H2394" s="26" t="s">
        <v>2330</v>
      </c>
      <c r="I2394" s="68">
        <v>45292</v>
      </c>
      <c r="J2394" s="35" t="s">
        <v>2328</v>
      </c>
      <c r="K2394" s="21">
        <v>4394976</v>
      </c>
      <c r="L2394" s="21"/>
      <c r="M2394" s="22">
        <v>752248</v>
      </c>
      <c r="N2394" s="23"/>
      <c r="O2394" s="22">
        <f>+PROVEEDORES[[#This Row],[Descuento sobre subtotal %]]*(PROVEEDORES[[#This Row],[SUBTOTAL]]-PROVEEDORES[[#This Row],[descuento sobre subtotal]])</f>
        <v>0</v>
      </c>
      <c r="P2394" s="74">
        <f>+IF(PROVEEDORES[[#This Row],[SUBTOTAL]]&lt;PROVEEDORES[[#This Row],[base retencion]],0,PROVEEDORES[[#This Row],[retención aplicada]])</f>
        <v>3.5000000000000003E-2</v>
      </c>
      <c r="Q2394" s="22">
        <v>138572</v>
      </c>
      <c r="R2394" s="21">
        <f>+PROVEEDORES[[#This Row],[SUBTOTAL]]+PROVEEDORES[[#This Row],[IVA 19%]]-PROVEEDORES[[#This Row],[descuento sobre subtotal]]-PROVEEDORES[[#This Row],[Descuento sobre subtotal $2]]-PROVEEDORES[[#This Row],[Rete Fuente $]]</f>
        <v>5008652</v>
      </c>
      <c r="S2394" s="12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4" s="63">
        <f ca="1">IF(PROVEEDORES[[#This Row],[FECHA DE PAGO]]=0,TODAY()-PROVEEDORES[[#This Row],[FECHA DE FACTURACIÓN]]-PROVEEDORES[[#This Row],[PLAZO Días]],0)</f>
        <v>0</v>
      </c>
      <c r="U2394" s="104" t="str">
        <f>+VLOOKUP(PROVEEDORES[[#This Row],[PROVEEDOR]],Terceros!$A:$D,4,FALSE)</f>
        <v>3,5% sin base</v>
      </c>
      <c r="V2394" s="105">
        <f>+YEAR(PROVEEDORES[[#This Row],[FECHA DE FACTURACIÓN]])</f>
        <v>2024</v>
      </c>
      <c r="W2394" s="105">
        <f>+MATCH(PROVEEDORES[[#This Row],[año facturado]],Retenciones!$1:$1,0)</f>
        <v>7</v>
      </c>
      <c r="X2394" s="106">
        <f>+VLOOKUP(PROVEEDORES[[#This Row],[ID RETENCION]],Retenciones!$A$1:$O$25,PROVEEDORES[[#This Row],[indicador de columna]],FALSE)</f>
        <v>0</v>
      </c>
      <c r="Y2394" s="107">
        <f>+VLOOKUP(PROVEEDORES[[#This Row],[ID RETENCION]],Retenciones!$A$1:$O$25,2,FALSE)</f>
        <v>3.5000000000000003E-2</v>
      </c>
      <c r="Z2394" s="116" t="b">
        <f>OR(COUNTIF(PROVEEDORES[[#This Row],[PROVEEDOR]],"*"&amp;'Palabra no opera'!$A$2&amp;"*"))</f>
        <v>0</v>
      </c>
    </row>
    <row r="2395" spans="1:26" ht="22.35" customHeight="1" x14ac:dyDescent="0.3">
      <c r="A2395" s="67" t="str">
        <f>+IF(PROVEEDORES[[#This Row],[FECHA DE PAGO]]=PROVEEDORES[[#This Row],[FECHA DE FACTURACIÓN]],"DE CONTADO","CRÉDITO")</f>
        <v>CRÉDITO</v>
      </c>
      <c r="B2395" s="38" t="b">
        <f>+IF((PROVEEDORES[[#This Row],[FECHA DE PAGO]]-PROVEEDORES[[#This Row],[FECHA DE FACTURACIÓN]])&gt;PROVEEDORES[[#This Row],[PLAZO Días]],"PAGO VENCIDO")</f>
        <v>0</v>
      </c>
      <c r="C2395" s="20">
        <f>+VLOOKUP(PROVEEDORES[[#This Row],[PROVEEDOR]],TERCEROS_INFO[#All],2,FALSE)</f>
        <v>10</v>
      </c>
      <c r="D2395" s="25">
        <f>+SUMIFS(PROVEEDORES[Total],PROVEEDORES[PROVEEDOR],PROVEEDORES[[#This Row],[PROVEEDOR]],PROVEEDORES[FECHA DE PAGO],"")</f>
        <v>32849.949999999997</v>
      </c>
      <c r="E2395" s="25"/>
      <c r="F2395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H2395" s="26" t="s">
        <v>2330</v>
      </c>
      <c r="I2395" s="68">
        <v>45292</v>
      </c>
      <c r="J2395" s="35" t="s">
        <v>2329</v>
      </c>
      <c r="K2395" s="21">
        <v>27605</v>
      </c>
      <c r="L2395" s="21"/>
      <c r="M2395" s="22">
        <f>(PROVEEDORES[[#This Row],[SUBTOTAL]]-PROVEEDORES[[#This Row],[descuento sobre subtotal]])*VLOOKUP(PROVEEDORES[[#This Row],[PROVEEDOR]],TERCEROS_INFO[#All],3,FALSE)</f>
        <v>5244.95</v>
      </c>
      <c r="N2395" s="23"/>
      <c r="O2395" s="22">
        <f>+PROVEEDORES[[#This Row],[Descuento sobre subtotal %]]*(PROVEEDORES[[#This Row],[SUBTOTAL]]-PROVEEDORES[[#This Row],[descuento sobre subtotal]])</f>
        <v>0</v>
      </c>
      <c r="P2395" s="74">
        <v>0</v>
      </c>
      <c r="Q2395" s="22">
        <f>+PROVEEDORES[[#This Row],[Rete Fuente %]]*(PROVEEDORES[[#This Row],[SUBTOTAL]]-PROVEEDORES[[#This Row],[descuento sobre subtotal]])</f>
        <v>0</v>
      </c>
      <c r="R2395" s="21">
        <f>+PROVEEDORES[[#This Row],[SUBTOTAL]]+PROVEEDORES[[#This Row],[IVA 19%]]-PROVEEDORES[[#This Row],[descuento sobre subtotal]]-PROVEEDORES[[#This Row],[Descuento sobre subtotal $2]]-PROVEEDORES[[#This Row],[Rete Fuente $]]</f>
        <v>32849.949999999997</v>
      </c>
      <c r="S2395" s="12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95" s="63">
        <f ca="1">IF(PROVEEDORES[[#This Row],[FECHA DE PAGO]]=0,TODAY()-PROVEEDORES[[#This Row],[FECHA DE FACTURACIÓN]]-PROVEEDORES[[#This Row],[PLAZO Días]],0)</f>
        <v>-2</v>
      </c>
      <c r="U2395" s="104" t="str">
        <f>+VLOOKUP(PROVEEDORES[[#This Row],[PROVEEDOR]],Terceros!$A:$D,4,FALSE)</f>
        <v>3,5% sin base</v>
      </c>
      <c r="V2395" s="105">
        <f>+YEAR(PROVEEDORES[[#This Row],[FECHA DE FACTURACIÓN]])</f>
        <v>2024</v>
      </c>
      <c r="W2395" s="105">
        <f>+MATCH(PROVEEDORES[[#This Row],[año facturado]],Retenciones!$1:$1,0)</f>
        <v>7</v>
      </c>
      <c r="X2395" s="106">
        <f>+VLOOKUP(PROVEEDORES[[#This Row],[ID RETENCION]],Retenciones!$A$1:$O$25,PROVEEDORES[[#This Row],[indicador de columna]],FALSE)</f>
        <v>0</v>
      </c>
      <c r="Y2395" s="107">
        <f>+VLOOKUP(PROVEEDORES[[#This Row],[ID RETENCION]],Retenciones!$A$1:$O$25,2,FALSE)</f>
        <v>3.5000000000000003E-2</v>
      </c>
      <c r="Z2395" s="116" t="b">
        <f>OR(COUNTIF(PROVEEDORES[[#This Row],[PROVEEDOR]],"*"&amp;'Palabra no opera'!$A$2&amp;"*"))</f>
        <v>0</v>
      </c>
    </row>
    <row r="2396" spans="1:26" ht="22.35" customHeight="1" x14ac:dyDescent="0.3">
      <c r="A2396" s="400" t="str">
        <f>+IF(PROVEEDORES[[#This Row],[FECHA DE PAGO]]=PROVEEDORES[[#This Row],[FECHA DE FACTURACIÓN]],"DE CONTADO","CRÉDITO")</f>
        <v>CRÉDITO</v>
      </c>
      <c r="B2396" s="38" t="b">
        <f>+IF((PROVEEDORES[[#This Row],[FECHA DE PAGO]]-PROVEEDORES[[#This Row],[FECHA DE FACTURACIÓN]])&gt;PROVEEDORES[[#This Row],[PLAZO Días]],"PAGO VENCIDO")</f>
        <v>0</v>
      </c>
      <c r="C2396" s="20">
        <f>+VLOOKUP(PROVEEDORES[[#This Row],[PROVEEDOR]],TERCEROS_INFO[#All],2,FALSE)</f>
        <v>10</v>
      </c>
      <c r="D2396" s="25">
        <f>+SUMIFS(PROVEEDORES[Total],PROVEEDORES[PROVEEDOR],PROVEEDORES[[#This Row],[PROVEEDOR]],PROVEEDORES[FECHA DE PAGO],"")</f>
        <v>0</v>
      </c>
      <c r="E2396" s="25"/>
      <c r="F2396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396" s="68">
        <v>45300</v>
      </c>
      <c r="H2396" s="26" t="s">
        <v>1202</v>
      </c>
      <c r="I2396" s="68">
        <v>45292</v>
      </c>
      <c r="J2396" s="35" t="s">
        <v>2331</v>
      </c>
      <c r="K2396" s="21">
        <v>5350576</v>
      </c>
      <c r="L2396" s="21"/>
      <c r="M2396" s="22">
        <v>1016609</v>
      </c>
      <c r="N2396" s="23"/>
      <c r="O2396" s="22">
        <f>+PROVEEDORES[[#This Row],[Descuento sobre subtotal %]]*(PROVEEDORES[[#This Row],[SUBTOTAL]]-PROVEEDORES[[#This Row],[descuento sobre subtotal]])</f>
        <v>0</v>
      </c>
      <c r="P2396" s="74">
        <f>+IF(PROVEEDORES[[#This Row],[SUBTOTAL]]&lt;PROVEEDORES[[#This Row],[base retencion]],0,PROVEEDORES[[#This Row],[retención aplicada]])</f>
        <v>0</v>
      </c>
      <c r="Q2396" s="22">
        <f>+PROVEEDORES[[#This Row],[Rete Fuente %]]*(PROVEEDORES[[#This Row],[SUBTOTAL]]-PROVEEDORES[[#This Row],[descuento sobre subtotal]])</f>
        <v>0</v>
      </c>
      <c r="R2396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2396" s="4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6" s="63">
        <f ca="1">IF(PROVEEDORES[[#This Row],[FECHA DE PAGO]]=0,TODAY()-PROVEEDORES[[#This Row],[FECHA DE FACTURACIÓN]]-PROVEEDORES[[#This Row],[PLAZO Días]],0)</f>
        <v>0</v>
      </c>
      <c r="U2396" s="104">
        <f>+VLOOKUP(PROVEEDORES[[#This Row],[PROVEEDOR]],Terceros!$A:$D,4,FALSE)</f>
        <v>0</v>
      </c>
      <c r="V2396" s="105">
        <f>+YEAR(PROVEEDORES[[#This Row],[FECHA DE FACTURACIÓN]])</f>
        <v>2024</v>
      </c>
      <c r="W2396" s="105">
        <f>+MATCH(PROVEEDORES[[#This Row],[año facturado]],Retenciones!$1:$1,0)</f>
        <v>7</v>
      </c>
      <c r="X2396" s="106">
        <f>+VLOOKUP(PROVEEDORES[[#This Row],[ID RETENCION]],Retenciones!$A$1:$O$25,PROVEEDORES[[#This Row],[indicador de columna]],FALSE)</f>
        <v>0</v>
      </c>
      <c r="Y2396" s="107">
        <f>+VLOOKUP(PROVEEDORES[[#This Row],[ID RETENCION]],Retenciones!$A$1:$O$25,2,FALSE)</f>
        <v>0</v>
      </c>
      <c r="Z2396" s="116" t="b">
        <f>OR(COUNTIF(PROVEEDORES[[#This Row],[PROVEEDOR]],"*"&amp;'Palabra no opera'!$A$2&amp;"*"))</f>
        <v>1</v>
      </c>
    </row>
    <row r="2397" spans="1:26" ht="22.35" customHeight="1" x14ac:dyDescent="0.3">
      <c r="A2397" s="400" t="str">
        <f>+IF(PROVEEDORES[[#This Row],[FECHA DE PAGO]]=PROVEEDORES[[#This Row],[FECHA DE FACTURACIÓN]],"DE CONTADO","CRÉDITO")</f>
        <v>CRÉDITO</v>
      </c>
      <c r="B2397" s="38" t="b">
        <f>+IF((PROVEEDORES[[#This Row],[FECHA DE PAGO]]-PROVEEDORES[[#This Row],[FECHA DE FACTURACIÓN]])&gt;PROVEEDORES[[#This Row],[PLAZO Días]],"PAGO VENCIDO")</f>
        <v>0</v>
      </c>
      <c r="C2397" s="20">
        <f>+VLOOKUP(PROVEEDORES[[#This Row],[PROVEEDOR]],TERCEROS_INFO[#All],2,FALSE)</f>
        <v>30</v>
      </c>
      <c r="D2397" s="25">
        <f>+SUMIFS(PROVEEDORES[Total],PROVEEDORES[PROVEEDOR],PROVEEDORES[[#This Row],[PROVEEDOR]],PROVEEDORES[FECHA DE PAGO],"")</f>
        <v>0</v>
      </c>
      <c r="E2397" s="25"/>
      <c r="F239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97" s="68">
        <v>45300</v>
      </c>
      <c r="H2397" s="26" t="s">
        <v>623</v>
      </c>
      <c r="I2397" s="68">
        <v>45292</v>
      </c>
      <c r="J2397" s="35" t="s">
        <v>2332</v>
      </c>
      <c r="K2397" s="21">
        <v>3792544</v>
      </c>
      <c r="L2397" s="21"/>
      <c r="M2397" s="22">
        <f>(PROVEEDORES[[#This Row],[SUBTOTAL]]-PROVEEDORES[[#This Row],[descuento sobre subtotal]])*VLOOKUP(PROVEEDORES[[#This Row],[PROVEEDOR]],TERCEROS_INFO[#All],3,FALSE)</f>
        <v>720583.36</v>
      </c>
      <c r="N2397" s="23"/>
      <c r="O2397" s="22">
        <f>+PROVEEDORES[[#This Row],[Descuento sobre subtotal %]]*(PROVEEDORES[[#This Row],[SUBTOTAL]]-PROVEEDORES[[#This Row],[descuento sobre subtotal]])</f>
        <v>0</v>
      </c>
      <c r="P2397" s="74">
        <f>+IF(PROVEEDORES[[#This Row],[SUBTOTAL]]&lt;PROVEEDORES[[#This Row],[base retencion]],0,PROVEEDORES[[#This Row],[retención aplicada]])</f>
        <v>0.04</v>
      </c>
      <c r="Q2397" s="22">
        <f>+PROVEEDORES[[#This Row],[Rete Fuente %]]*(PROVEEDORES[[#This Row],[SUBTOTAL]]-PROVEEDORES[[#This Row],[descuento sobre subtotal]])</f>
        <v>151701.76000000001</v>
      </c>
      <c r="R2397" s="21">
        <f>+PROVEEDORES[[#This Row],[SUBTOTAL]]+PROVEEDORES[[#This Row],[IVA 19%]]-PROVEEDORES[[#This Row],[descuento sobre subtotal]]-PROVEEDORES[[#This Row],[Descuento sobre subtotal $2]]-PROVEEDORES[[#This Row],[Rete Fuente $]]</f>
        <v>4361425.6000000006</v>
      </c>
      <c r="S2397" s="4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7" s="63">
        <f ca="1">IF(PROVEEDORES[[#This Row],[FECHA DE PAGO]]=0,TODAY()-PROVEEDORES[[#This Row],[FECHA DE FACTURACIÓN]]-PROVEEDORES[[#This Row],[PLAZO Días]],0)</f>
        <v>0</v>
      </c>
      <c r="U2397" s="104" t="str">
        <f>+VLOOKUP(PROVEEDORES[[#This Row],[PROVEEDOR]],Terceros!$A:$D,4,FALSE)</f>
        <v>4% sin base</v>
      </c>
      <c r="V2397" s="105">
        <f>+YEAR(PROVEEDORES[[#This Row],[FECHA DE FACTURACIÓN]])</f>
        <v>2024</v>
      </c>
      <c r="W2397" s="105">
        <f>+MATCH(PROVEEDORES[[#This Row],[año facturado]],Retenciones!$1:$1,0)</f>
        <v>7</v>
      </c>
      <c r="X2397" s="106">
        <f>+VLOOKUP(PROVEEDORES[[#This Row],[ID RETENCION]],Retenciones!$A$1:$O$25,PROVEEDORES[[#This Row],[indicador de columna]],FALSE)</f>
        <v>0</v>
      </c>
      <c r="Y2397" s="107">
        <f>+VLOOKUP(PROVEEDORES[[#This Row],[ID RETENCION]],Retenciones!$A$1:$O$25,2,FALSE)</f>
        <v>0.04</v>
      </c>
      <c r="Z2397" s="116" t="b">
        <f>OR(COUNTIF(PROVEEDORES[[#This Row],[PROVEEDOR]],"*"&amp;'Palabra no opera'!$A$2&amp;"*"))</f>
        <v>1</v>
      </c>
    </row>
    <row r="2398" spans="1:26" ht="22.35" customHeight="1" x14ac:dyDescent="0.3">
      <c r="A2398" s="400" t="str">
        <f>+IF(PROVEEDORES[[#This Row],[FECHA DE PAGO]]=PROVEEDORES[[#This Row],[FECHA DE FACTURACIÓN]],"DE CONTADO","CRÉDITO")</f>
        <v>CRÉDITO</v>
      </c>
      <c r="B2398" s="38" t="b">
        <f>+IF((PROVEEDORES[[#This Row],[FECHA DE PAGO]]-PROVEEDORES[[#This Row],[FECHA DE FACTURACIÓN]])&gt;PROVEEDORES[[#This Row],[PLAZO Días]],"PAGO VENCIDO")</f>
        <v>0</v>
      </c>
      <c r="C2398" s="20">
        <f>+VLOOKUP(PROVEEDORES[[#This Row],[PROVEEDOR]],TERCEROS_INFO[#All],2,FALSE)</f>
        <v>30</v>
      </c>
      <c r="D2398" s="25">
        <f>+SUMIFS(PROVEEDORES[Total],PROVEEDORES[PROVEEDOR],PROVEEDORES[[#This Row],[PROVEEDOR]],PROVEEDORES[FECHA DE PAGO],"")</f>
        <v>0</v>
      </c>
      <c r="E2398" s="25"/>
      <c r="F239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398" s="68">
        <v>45300</v>
      </c>
      <c r="H2398" s="26" t="s">
        <v>623</v>
      </c>
      <c r="I2398" s="68">
        <v>45292</v>
      </c>
      <c r="J2398" s="35"/>
      <c r="K2398" s="21"/>
      <c r="L2398" s="21"/>
      <c r="M2398" s="22">
        <f>(PROVEEDORES[[#This Row],[SUBTOTAL]]-PROVEEDORES[[#This Row],[descuento sobre subtotal]])*VLOOKUP(PROVEEDORES[[#This Row],[PROVEEDOR]],TERCEROS_INFO[#All],3,FALSE)</f>
        <v>0</v>
      </c>
      <c r="N2398" s="23"/>
      <c r="O2398" s="22">
        <f>+PROVEEDORES[[#This Row],[Descuento sobre subtotal %]]*(PROVEEDORES[[#This Row],[SUBTOTAL]]-PROVEEDORES[[#This Row],[descuento sobre subtotal]])</f>
        <v>0</v>
      </c>
      <c r="P2398" s="74">
        <f>+IF(PROVEEDORES[[#This Row],[SUBTOTAL]]&lt;PROVEEDORES[[#This Row],[base retencion]],0,PROVEEDORES[[#This Row],[retención aplicada]])</f>
        <v>0.04</v>
      </c>
      <c r="Q2398" s="22">
        <f>+PROVEEDORES[[#This Row],[Rete Fuente %]]*(PROVEEDORES[[#This Row],[SUBTOTAL]]-PROVEEDORES[[#This Row],[descuento sobre subtotal]])</f>
        <v>0</v>
      </c>
      <c r="R2398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2398" s="4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8" s="63">
        <f ca="1">IF(PROVEEDORES[[#This Row],[FECHA DE PAGO]]=0,TODAY()-PROVEEDORES[[#This Row],[FECHA DE FACTURACIÓN]]-PROVEEDORES[[#This Row],[PLAZO Días]],0)</f>
        <v>0</v>
      </c>
      <c r="U2398" s="104" t="str">
        <f>+VLOOKUP(PROVEEDORES[[#This Row],[PROVEEDOR]],Terceros!$A:$D,4,FALSE)</f>
        <v>4% sin base</v>
      </c>
      <c r="V2398" s="105">
        <f>+YEAR(PROVEEDORES[[#This Row],[FECHA DE FACTURACIÓN]])</f>
        <v>2024</v>
      </c>
      <c r="W2398" s="105">
        <f>+MATCH(PROVEEDORES[[#This Row],[año facturado]],Retenciones!$1:$1,0)</f>
        <v>7</v>
      </c>
      <c r="X2398" s="106">
        <f>+VLOOKUP(PROVEEDORES[[#This Row],[ID RETENCION]],Retenciones!$A$1:$O$25,PROVEEDORES[[#This Row],[indicador de columna]],FALSE)</f>
        <v>0</v>
      </c>
      <c r="Y2398" s="107">
        <f>+VLOOKUP(PROVEEDORES[[#This Row],[ID RETENCION]],Retenciones!$A$1:$O$25,2,FALSE)</f>
        <v>0.04</v>
      </c>
      <c r="Z2398" s="116" t="b">
        <f>OR(COUNTIF(PROVEEDORES[[#This Row],[PROVEEDOR]],"*"&amp;'Palabra no opera'!$A$2&amp;"*"))</f>
        <v>1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:Z2398">
    <cfRule type="expression" dxfId="197" priority="7" stopIfTrue="1">
      <formula>$S2="Por pagar"</formula>
    </cfRule>
    <cfRule type="expression" dxfId="196" priority="8" stopIfTrue="1">
      <formula>$S2="Vencida"</formula>
    </cfRule>
    <cfRule type="expression" dxfId="195" priority="9" stopIfTrue="1">
      <formula>$S2="Pagada"</formula>
    </cfRule>
  </conditionalFormatting>
  <conditionalFormatting sqref="H2382">
    <cfRule type="expression" dxfId="194" priority="4">
      <formula>$S2382="Por pagar"</formula>
    </cfRule>
    <cfRule type="expression" dxfId="193" priority="5">
      <formula>$S2382="Vencida"</formula>
    </cfRule>
    <cfRule type="expression" dxfId="192" priority="6">
      <formula>$S2382="Pagada"</formula>
    </cfRule>
  </conditionalFormatting>
  <conditionalFormatting sqref="H2398">
    <cfRule type="expression" dxfId="191" priority="1" stopIfTrue="1">
      <formula>$S2398="Por pagar"</formula>
    </cfRule>
    <cfRule type="expression" dxfId="190" priority="2" stopIfTrue="1">
      <formula>$S2398="Vencida"</formula>
    </cfRule>
    <cfRule type="expression" dxfId="189" priority="3" stopIfTrue="1">
      <formula>$S2398="Pagada"</formula>
    </cfRule>
  </conditionalFormatting>
  <dataValidations count="1">
    <dataValidation allowBlank="1" showInputMessage="1" showErrorMessage="1" error="Primero crea el proveedor en la hoja &quot;Proveedores&quot;." sqref="A1:XFD1" xr:uid="{EDB1D6F3-F86C-4FE1-B802-9AC34A2BA935}"/>
  </dataValidations>
  <pageMargins left="1.085" right="0.7" top="0.75" bottom="0.75" header="0.3" footer="0.3"/>
  <pageSetup scale="3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67DB6B-48E3-49D4-B8D1-D20D3D433F75}">
          <x14:formula1>
            <xm:f>Terceros!$A:$A</xm:f>
          </x14:formula1>
          <xm:sqref>H1609:H1690 H1692:H1743 H1745:H1816 H1818:H1848 H1850:H1853 H1855:H1876 H1878:H1896 H2088:H2098 H2100:H2122 H2:H1607 H2124:H2169 H2172:H2187 H2189:H2289 H2291:H2321 H1898:H2086 H2323:H2381 H2383:H1048576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XFC178"/>
  <sheetViews>
    <sheetView topLeftCell="C171" zoomScaleNormal="100" workbookViewId="0">
      <selection activeCell="I178" sqref="I178"/>
    </sheetView>
  </sheetViews>
  <sheetFormatPr defaultColWidth="0" defaultRowHeight="22.35" customHeight="1" x14ac:dyDescent="0.3"/>
  <cols>
    <col min="1" max="1" width="10" style="32" hidden="1" customWidth="1"/>
    <col min="2" max="2" width="15.5546875" style="38" hidden="1" customWidth="1"/>
    <col min="3" max="3" width="9.5546875" style="29" customWidth="1"/>
    <col min="4" max="4" width="13.77734375" style="68" customWidth="1"/>
    <col min="5" max="5" width="39.21875" style="29" customWidth="1"/>
    <col min="6" max="6" width="13.77734375" style="30" customWidth="1"/>
    <col min="7" max="7" width="17.21875" style="30" customWidth="1"/>
    <col min="8" max="8" width="17.77734375" style="30" customWidth="1"/>
    <col min="9" max="9" width="14.44140625" style="37" customWidth="1"/>
    <col min="10" max="10" width="15.77734375" style="71" hidden="1" customWidth="1"/>
    <col min="11" max="11" width="14.21875" style="71" hidden="1" customWidth="1"/>
    <col min="12" max="12" width="11.44140625" hidden="1" customWidth="1"/>
    <col min="13" max="13" width="11.44140625" style="66" hidden="1" customWidth="1"/>
    <col min="14" max="14" width="11.44140625" hidden="1" customWidth="1"/>
    <col min="15" max="16" width="11.44140625" style="27" hidden="1" customWidth="1"/>
    <col min="17" max="17" width="13.5546875" style="71" hidden="1" customWidth="1"/>
    <col min="18" max="18" width="11.44140625" style="24" hidden="1" customWidth="1"/>
    <col min="19" max="19" width="14.77734375" style="24" hidden="1" customWidth="1"/>
    <col min="20" max="20" width="23.77734375" style="24" hidden="1" customWidth="1"/>
    <col min="21" max="21" width="11.5546875" style="24" hidden="1" customWidth="1"/>
    <col min="22" max="22" width="12.44140625" style="71" hidden="1" customWidth="1"/>
    <col min="23" max="23" width="17.21875" style="72" hidden="1" customWidth="1"/>
    <col min="24" max="24" width="11.44140625" style="24" hidden="1" customWidth="1"/>
    <col min="25" max="26" width="17.21875" style="24" hidden="1" customWidth="1"/>
    <col min="27" max="27" width="11.44140625" style="24" hidden="1" customWidth="1"/>
    <col min="28" max="30" width="17.21875" style="24" hidden="1" customWidth="1"/>
    <col min="31" max="31" width="11.44140625" style="24" hidden="1" customWidth="1"/>
    <col min="32" max="33" width="17.21875" style="24" hidden="1" customWidth="1"/>
    <col min="34" max="34" width="11.44140625" style="24" hidden="1" customWidth="1"/>
    <col min="35" max="36" width="17.21875" style="24" hidden="1" customWidth="1"/>
    <col min="37" max="16383" width="11.44140625" style="24" hidden="1"/>
    <col min="16384" max="16384" width="1.44140625" style="24" hidden="1" customWidth="1"/>
  </cols>
  <sheetData>
    <row r="1" spans="1:23" s="19" customFormat="1" ht="62.25" customHeight="1" x14ac:dyDescent="0.3">
      <c r="A1" s="12" t="s">
        <v>8</v>
      </c>
      <c r="B1" s="12" t="s">
        <v>144</v>
      </c>
      <c r="C1" s="13" t="s">
        <v>102</v>
      </c>
      <c r="D1" s="14" t="s">
        <v>6</v>
      </c>
      <c r="E1" s="14" t="s">
        <v>3</v>
      </c>
      <c r="F1" s="65" t="s">
        <v>1</v>
      </c>
      <c r="G1" s="36" t="s">
        <v>2</v>
      </c>
      <c r="H1" s="14" t="s">
        <v>530</v>
      </c>
      <c r="I1" s="15" t="s">
        <v>564</v>
      </c>
      <c r="K1" s="66"/>
    </row>
    <row r="2" spans="1:23" ht="22.35" customHeight="1" x14ac:dyDescent="0.3">
      <c r="A2" s="67" t="str">
        <f>+IF(PROVEEDORES3[[#This Row],[FECHA DE PAGO]]=PROVEEDORES3[[#This Row],[FECHA DE FACTURACIÓN]],"DE CONTADO","CRÉDITO")</f>
        <v>CRÉDITO</v>
      </c>
      <c r="B2" s="38" t="e">
        <f>+IF((PROVEEDORES3[[#This Row],[FECHA DE PAGO]]-PROVEEDORES3[[#This Row],[FECHA DE FACTURACIÓN]])&gt;#REF!,"PAGO VENCIDO")</f>
        <v>#REF!</v>
      </c>
      <c r="C2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2" s="68">
        <v>44357</v>
      </c>
      <c r="E2" s="26" t="s">
        <v>38</v>
      </c>
      <c r="F2" s="69">
        <v>44257</v>
      </c>
      <c r="G2" s="35" t="s">
        <v>205</v>
      </c>
      <c r="H2" s="70">
        <f>2578.4</f>
        <v>2578.4</v>
      </c>
      <c r="I2" s="21"/>
      <c r="J2" s="27"/>
      <c r="K2" s="66"/>
      <c r="L2" s="24"/>
      <c r="M2" s="24"/>
      <c r="N2" s="24"/>
      <c r="O2" s="24"/>
      <c r="P2" s="71"/>
      <c r="Q2" s="72"/>
      <c r="V2" s="24"/>
      <c r="W2" s="24"/>
    </row>
    <row r="3" spans="1:23" ht="22.35" customHeight="1" x14ac:dyDescent="0.3">
      <c r="A3" s="67" t="str">
        <f>+IF(PROVEEDORES3[[#This Row],[FECHA DE PAGO]]=PROVEEDORES3[[#This Row],[FECHA DE FACTURACIÓN]],"DE CONTADO","CRÉDITO")</f>
        <v>CRÉDITO</v>
      </c>
      <c r="B3" s="38" t="e">
        <f>+IF((PROVEEDORES3[[#This Row],[FECHA DE PAGO]]-PROVEEDORES3[[#This Row],[FECHA DE FACTURACIÓN]])&gt;#REF!,"PAGO VENCIDO")</f>
        <v>#REF!</v>
      </c>
      <c r="C3" s="56" t="str">
        <f>+VLOOKUP(PROVEEDORES3[[#This Row],[PROVEEDOR]],TERCEROS_INFO[[PROVEEDOR]:[CORREO]],5,FALSE)</f>
        <v>jessica.barrios@carpainternacional.com;girlesa.ruiz@servipilas.com;joriescobar64@gmail.com</v>
      </c>
      <c r="D3" s="68">
        <v>44503</v>
      </c>
      <c r="E3" s="26" t="s">
        <v>287</v>
      </c>
      <c r="F3" s="69">
        <v>44470</v>
      </c>
      <c r="G3" s="35" t="s">
        <v>285</v>
      </c>
      <c r="H3" s="156">
        <f>48</f>
        <v>48</v>
      </c>
      <c r="I3" s="21"/>
      <c r="J3" s="27"/>
      <c r="K3" s="66"/>
      <c r="L3" s="24"/>
      <c r="M3" s="24"/>
      <c r="N3" s="24"/>
      <c r="O3" s="24"/>
      <c r="P3" s="71"/>
      <c r="Q3" s="72"/>
      <c r="V3" s="24"/>
      <c r="W3" s="24"/>
    </row>
    <row r="4" spans="1:23" ht="22.35" customHeight="1" x14ac:dyDescent="0.3">
      <c r="A4" s="67" t="str">
        <f>+IF(PROVEEDORES3[[#This Row],[FECHA DE PAGO]]=PROVEEDORES3[[#This Row],[FECHA DE FACTURACIÓN]],"DE CONTADO","CRÉDITO")</f>
        <v>CRÉDITO</v>
      </c>
      <c r="B4" s="38" t="e">
        <f>+IF((PROVEEDORES3[[#This Row],[FECHA DE PAGO]]-PROVEEDORES3[[#This Row],[FECHA DE FACTURACIÓN]])&gt;#REF!,"PAGO VENCIDO")</f>
        <v>#REF!</v>
      </c>
      <c r="C4" s="56" t="str">
        <f>+VLOOKUP(PROVEEDORES3[[#This Row],[PROVEEDOR]],TERCEROS_INFO[[PROVEEDOR]:[CORREO]],5,FALSE)</f>
        <v>jessica.barrios@carpainternacional.com;girlesa.ruiz@servipilas.com;joriescobar64@gmail.com</v>
      </c>
      <c r="D4" s="68">
        <v>44503</v>
      </c>
      <c r="E4" s="26" t="s">
        <v>289</v>
      </c>
      <c r="F4" s="69">
        <v>44490</v>
      </c>
      <c r="G4" s="35" t="s">
        <v>275</v>
      </c>
      <c r="H4" s="156">
        <f>425.14</f>
        <v>425.14</v>
      </c>
      <c r="I4" s="21"/>
      <c r="J4" s="27"/>
      <c r="K4" s="66"/>
      <c r="L4" s="24"/>
      <c r="M4" s="24"/>
      <c r="N4" s="24"/>
      <c r="O4" s="24"/>
      <c r="P4" s="71"/>
      <c r="Q4" s="72"/>
      <c r="V4" s="24"/>
      <c r="W4" s="24"/>
    </row>
    <row r="5" spans="1:23" ht="22.35" customHeight="1" x14ac:dyDescent="0.3">
      <c r="A5" s="67" t="str">
        <f>+IF(PROVEEDORES3[[#This Row],[FECHA DE PAGO]]=PROVEEDORES3[[#This Row],[FECHA DE FACTURACIÓN]],"DE CONTADO","CRÉDITO")</f>
        <v>CRÉDITO</v>
      </c>
      <c r="B5" s="38" t="e">
        <f>+IF((PROVEEDORES3[[#This Row],[FECHA DE PAGO]]-PROVEEDORES3[[#This Row],[FECHA DE FACTURACIÓN]])&gt;#REF!,"PAGO VENCIDO")</f>
        <v>#REF!</v>
      </c>
      <c r="C5" s="56" t="str">
        <f>+VLOOKUP(PROVEEDORES3[[#This Row],[PROVEEDOR]],TERCEROS_INFO[[PROVEEDOR]:[CORREO]],5,FALSE)</f>
        <v>jessica.barrios@carpainternacional.com;girlesa.ruiz@servipilas.com;joriescobar64@gmail.com</v>
      </c>
      <c r="D5" s="68">
        <v>44503</v>
      </c>
      <c r="E5" s="26" t="s">
        <v>289</v>
      </c>
      <c r="F5" s="69">
        <v>44495</v>
      </c>
      <c r="G5" s="35" t="s">
        <v>278</v>
      </c>
      <c r="H5" s="156">
        <f>630</f>
        <v>630</v>
      </c>
      <c r="I5" s="21"/>
      <c r="J5" s="27"/>
      <c r="K5" s="66"/>
      <c r="L5" s="24"/>
      <c r="M5" s="24"/>
      <c r="N5" s="24"/>
      <c r="O5" s="24"/>
      <c r="P5" s="71"/>
      <c r="Q5" s="72"/>
      <c r="V5" s="24"/>
      <c r="W5" s="24"/>
    </row>
    <row r="6" spans="1:23" ht="22.35" customHeight="1" x14ac:dyDescent="0.3">
      <c r="A6" s="67" t="str">
        <f>+IF(PROVEEDORES3[[#This Row],[FECHA DE PAGO]]=PROVEEDORES3[[#This Row],[FECHA DE FACTURACIÓN]],"DE CONTADO","CRÉDITO")</f>
        <v>CRÉDITO</v>
      </c>
      <c r="B6" s="38" t="e">
        <f>+IF((PROVEEDORES3[[#This Row],[FECHA DE PAGO]]-PROVEEDORES3[[#This Row],[FECHA DE FACTURACIÓN]])&gt;#REF!,"PAGO VENCIDO")</f>
        <v>#REF!</v>
      </c>
      <c r="C6" s="56" t="str">
        <f>+VLOOKUP(PROVEEDORES3[[#This Row],[PROVEEDOR]],TERCEROS_INFO[[PROVEEDOR]:[CORREO]],5,FALSE)</f>
        <v>jessica.barrios@carpainternacional.com;girlesa.ruiz@servipilas.com;joriescobar64@gmail.com</v>
      </c>
      <c r="D6" s="68">
        <v>44503</v>
      </c>
      <c r="E6" s="26" t="s">
        <v>287</v>
      </c>
      <c r="F6" s="69">
        <v>44500</v>
      </c>
      <c r="G6" s="35" t="s">
        <v>284</v>
      </c>
      <c r="H6" s="156">
        <f>148.6</f>
        <v>148.6</v>
      </c>
      <c r="I6" s="21"/>
      <c r="J6" s="27"/>
      <c r="K6" s="66"/>
      <c r="L6" s="24"/>
      <c r="M6" s="24"/>
      <c r="N6" s="24"/>
      <c r="O6" s="24"/>
      <c r="P6" s="71"/>
      <c r="Q6" s="72"/>
      <c r="V6" s="24"/>
      <c r="W6" s="24"/>
    </row>
    <row r="7" spans="1:23" ht="22.35" customHeight="1" x14ac:dyDescent="0.3">
      <c r="A7" s="67" t="str">
        <f>+IF(PROVEEDORES3[[#This Row],[FECHA DE PAGO]]=PROVEEDORES3[[#This Row],[FECHA DE FACTURACIÓN]],"DE CONTADO","CRÉDITO")</f>
        <v>CRÉDITO</v>
      </c>
      <c r="B7" s="38" t="e">
        <f>+IF((PROVEEDORES3[[#This Row],[FECHA DE PAGO]]-PROVEEDORES3[[#This Row],[FECHA DE FACTURACIÓN]])&gt;#REF!,"PAGO VENCIDO")</f>
        <v>#REF!</v>
      </c>
      <c r="C7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7" s="68">
        <v>44572</v>
      </c>
      <c r="E7" s="26" t="s">
        <v>38</v>
      </c>
      <c r="F7" s="69">
        <v>44531</v>
      </c>
      <c r="G7" s="35" t="s">
        <v>313</v>
      </c>
      <c r="H7" s="70">
        <f>1269.6</f>
        <v>1269.5999999999999</v>
      </c>
      <c r="I7" s="21"/>
      <c r="J7" s="27"/>
      <c r="K7" s="66"/>
      <c r="L7" s="24"/>
      <c r="M7" s="24"/>
      <c r="N7" s="24"/>
      <c r="O7" s="24"/>
      <c r="P7" s="71"/>
      <c r="Q7" s="72"/>
      <c r="V7" s="24"/>
      <c r="W7" s="24"/>
    </row>
    <row r="8" spans="1:23" ht="22.35" customHeight="1" x14ac:dyDescent="0.3">
      <c r="A8" s="67" t="str">
        <f>+IF(PROVEEDORES3[[#This Row],[FECHA DE PAGO]]=PROVEEDORES3[[#This Row],[FECHA DE FACTURACIÓN]],"DE CONTADO","CRÉDITO")</f>
        <v>CRÉDITO</v>
      </c>
      <c r="B8" s="38" t="e">
        <f>+IF((PROVEEDORES3[[#This Row],[FECHA DE PAGO]]-PROVEEDORES3[[#This Row],[FECHA DE FACTURACIÓN]])&gt;#REF!,"PAGO VENCIDO")</f>
        <v>#REF!</v>
      </c>
      <c r="C8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8" s="68">
        <v>44572</v>
      </c>
      <c r="E8" s="26" t="s">
        <v>38</v>
      </c>
      <c r="F8" s="69">
        <v>44531</v>
      </c>
      <c r="G8" s="35" t="s">
        <v>314</v>
      </c>
      <c r="H8" s="70">
        <f>5507.2</f>
        <v>5507.2</v>
      </c>
      <c r="I8" s="21"/>
      <c r="J8" s="27"/>
      <c r="K8" s="66"/>
      <c r="L8" s="24"/>
      <c r="M8" s="24"/>
      <c r="N8" s="24"/>
      <c r="O8" s="24"/>
      <c r="P8" s="71"/>
      <c r="Q8" s="72"/>
      <c r="V8" s="24"/>
      <c r="W8" s="24"/>
    </row>
    <row r="9" spans="1:23" ht="22.35" customHeight="1" x14ac:dyDescent="0.3">
      <c r="A9" s="67" t="str">
        <f>+IF(PROVEEDORES3[[#This Row],[FECHA DE PAGO]]=PROVEEDORES3[[#This Row],[FECHA DE FACTURACIÓN]],"DE CONTADO","CRÉDITO")</f>
        <v>CRÉDITO</v>
      </c>
      <c r="B9" s="38" t="e">
        <f>+IF((PROVEEDORES3[[#This Row],[FECHA DE PAGO]]-PROVEEDORES3[[#This Row],[FECHA DE FACTURACIÓN]])&gt;#REF!,"PAGO VENCIDO")</f>
        <v>#REF!</v>
      </c>
      <c r="C9" s="56" t="str">
        <f>+VLOOKUP(PROVEEDORES3[[#This Row],[PROVEEDOR]],TERCEROS_INFO[[PROVEEDOR]:[CORREO]],5,FALSE)</f>
        <v/>
      </c>
      <c r="D9" s="68">
        <v>44585</v>
      </c>
      <c r="E9" s="26" t="s">
        <v>27</v>
      </c>
      <c r="F9" s="69">
        <v>44580</v>
      </c>
      <c r="G9" s="35">
        <v>130713</v>
      </c>
      <c r="H9" s="70">
        <f>2216</f>
        <v>2216</v>
      </c>
      <c r="I9" s="21"/>
      <c r="J9" s="27"/>
      <c r="K9" s="66"/>
      <c r="L9" s="24"/>
      <c r="M9" s="24"/>
      <c r="N9" s="24"/>
      <c r="O9" s="24"/>
      <c r="P9" s="71"/>
      <c r="Q9" s="72"/>
      <c r="V9" s="24"/>
      <c r="W9" s="24"/>
    </row>
    <row r="10" spans="1:23" ht="22.35" customHeight="1" x14ac:dyDescent="0.3">
      <c r="A10" s="67" t="str">
        <f>+IF(PROVEEDORES3[[#This Row],[FECHA DE PAGO]]=PROVEEDORES3[[#This Row],[FECHA DE FACTURACIÓN]],"DE CONTADO","CRÉDITO")</f>
        <v>CRÉDITO</v>
      </c>
      <c r="B10" s="38" t="e">
        <f>+IF((PROVEEDORES3[[#This Row],[FECHA DE PAGO]]-PROVEEDORES3[[#This Row],[FECHA DE FACTURACIÓN]])&gt;#REF!,"PAGO VENCIDO")</f>
        <v>#REF!</v>
      </c>
      <c r="C10" s="56" t="str">
        <f>+VLOOKUP(PROVEEDORES3[[#This Row],[PROVEEDOR]],TERCEROS_INFO[[PROVEEDOR]:[CORREO]],5,FALSE)</f>
        <v>jessica.barrios@carpainternacional.com;girlesa.ruiz@servipilas.com;joriescobar64@gmail.com</v>
      </c>
      <c r="D10" s="68">
        <v>44586</v>
      </c>
      <c r="E10" s="26" t="s">
        <v>287</v>
      </c>
      <c r="F10" s="69">
        <v>44501</v>
      </c>
      <c r="G10" s="35" t="s">
        <v>303</v>
      </c>
      <c r="H10" s="156">
        <f>56</f>
        <v>56</v>
      </c>
      <c r="I10" s="21"/>
      <c r="J10" s="27"/>
      <c r="K10" s="66"/>
      <c r="L10" s="24"/>
      <c r="M10" s="24"/>
      <c r="N10" s="24"/>
      <c r="O10" s="24"/>
      <c r="P10" s="71"/>
      <c r="Q10" s="72"/>
      <c r="V10" s="24"/>
      <c r="W10" s="24"/>
    </row>
    <row r="11" spans="1:23" ht="22.35" customHeight="1" x14ac:dyDescent="0.3">
      <c r="A11" s="67" t="str">
        <f>+IF(PROVEEDORES3[[#This Row],[FECHA DE PAGO]]=PROVEEDORES3[[#This Row],[FECHA DE FACTURACIÓN]],"DE CONTADO","CRÉDITO")</f>
        <v>CRÉDITO</v>
      </c>
      <c r="B11" s="38" t="e">
        <f>+IF((PROVEEDORES3[[#This Row],[FECHA DE PAGO]]-PROVEEDORES3[[#This Row],[FECHA DE FACTURACIÓN]])&gt;#REF!,"PAGO VENCIDO")</f>
        <v>#REF!</v>
      </c>
      <c r="C11" s="56" t="str">
        <f>+VLOOKUP(PROVEEDORES3[[#This Row],[PROVEEDOR]],TERCEROS_INFO[[PROVEEDOR]:[CORREO]],5,FALSE)</f>
        <v>jessica.barrios@carpainternacional.com;girlesa.ruiz@servipilas.com;joriescobar64@gmail.com</v>
      </c>
      <c r="D11" s="68">
        <v>44586</v>
      </c>
      <c r="E11" s="26" t="s">
        <v>287</v>
      </c>
      <c r="F11" s="69">
        <v>44510</v>
      </c>
      <c r="G11" s="35" t="s">
        <v>286</v>
      </c>
      <c r="H11" s="156">
        <f>68</f>
        <v>68</v>
      </c>
      <c r="I11" s="21"/>
      <c r="J11" s="27"/>
      <c r="K11" s="66"/>
      <c r="L11" s="24"/>
      <c r="M11" s="24"/>
      <c r="N11" s="24"/>
      <c r="O11" s="24"/>
      <c r="P11" s="71"/>
      <c r="Q11" s="72"/>
      <c r="V11" s="24"/>
      <c r="W11" s="24"/>
    </row>
    <row r="12" spans="1:23" ht="22.35" customHeight="1" x14ac:dyDescent="0.3">
      <c r="A12" s="67" t="str">
        <f>+IF(PROVEEDORES3[[#This Row],[FECHA DE PAGO]]=PROVEEDORES3[[#This Row],[FECHA DE FACTURACIÓN]],"DE CONTADO","CRÉDITO")</f>
        <v>CRÉDITO</v>
      </c>
      <c r="B12" s="38" t="e">
        <f>+IF((PROVEEDORES3[[#This Row],[FECHA DE PAGO]]-PROVEEDORES3[[#This Row],[FECHA DE FACTURACIÓN]])&gt;#REF!,"PAGO VENCIDO")</f>
        <v>#REF!</v>
      </c>
      <c r="C12" s="56" t="str">
        <f>+VLOOKUP(PROVEEDORES3[[#This Row],[PROVEEDOR]],TERCEROS_INFO[[PROVEEDOR]:[CORREO]],5,FALSE)</f>
        <v>jessica.barrios@carpainternacional.com;girlesa.ruiz@servipilas.com;joriescobar64@gmail.com</v>
      </c>
      <c r="D12" s="68">
        <v>44586</v>
      </c>
      <c r="E12" s="26" t="s">
        <v>287</v>
      </c>
      <c r="F12" s="69">
        <v>44533</v>
      </c>
      <c r="G12" s="35" t="s">
        <v>305</v>
      </c>
      <c r="H12" s="156">
        <f>116</f>
        <v>116</v>
      </c>
      <c r="I12" s="21"/>
      <c r="J12" s="27"/>
      <c r="K12" s="66"/>
      <c r="L12" s="24"/>
      <c r="M12" s="24"/>
      <c r="N12" s="24"/>
      <c r="O12" s="24"/>
      <c r="P12" s="71"/>
      <c r="Q12" s="72"/>
      <c r="V12" s="24"/>
      <c r="W12" s="24"/>
    </row>
    <row r="13" spans="1:23" ht="22.35" customHeight="1" x14ac:dyDescent="0.3">
      <c r="A13" s="67" t="str">
        <f>+IF(PROVEEDORES3[[#This Row],[FECHA DE PAGO]]=PROVEEDORES3[[#This Row],[FECHA DE FACTURACIÓN]],"DE CONTADO","CRÉDITO")</f>
        <v>CRÉDITO</v>
      </c>
      <c r="B13" s="38" t="e">
        <f>+IF((PROVEEDORES3[[#This Row],[FECHA DE PAGO]]-PROVEEDORES3[[#This Row],[FECHA DE FACTURACIÓN]])&gt;#REF!,"PAGO VENCIDO")</f>
        <v>#REF!</v>
      </c>
      <c r="C13" s="56" t="str">
        <f>+VLOOKUP(PROVEEDORES3[[#This Row],[PROVEEDOR]],TERCEROS_INFO[[PROVEEDOR]:[CORREO]],5,FALSE)</f>
        <v>jessica.barrios@carpainternacional.com;girlesa.ruiz@servipilas.com;joriescobar64@gmail.com</v>
      </c>
      <c r="D13" s="68">
        <v>44586</v>
      </c>
      <c r="E13" s="26" t="s">
        <v>287</v>
      </c>
      <c r="F13" s="69">
        <v>44533</v>
      </c>
      <c r="G13" s="35" t="s">
        <v>304</v>
      </c>
      <c r="H13" s="156">
        <f>48</f>
        <v>48</v>
      </c>
      <c r="I13" s="21"/>
      <c r="J13" s="27"/>
      <c r="K13" s="66"/>
      <c r="L13" s="24"/>
      <c r="M13" s="24"/>
      <c r="N13" s="24"/>
      <c r="O13" s="24"/>
      <c r="P13" s="71"/>
      <c r="Q13" s="72"/>
      <c r="V13" s="24"/>
      <c r="W13" s="24"/>
    </row>
    <row r="14" spans="1:23" ht="22.35" customHeight="1" x14ac:dyDescent="0.3">
      <c r="A14" s="67" t="str">
        <f>+IF(PROVEEDORES3[[#This Row],[FECHA DE PAGO]]=PROVEEDORES3[[#This Row],[FECHA DE FACTURACIÓN]],"DE CONTADO","CRÉDITO")</f>
        <v>CRÉDITO</v>
      </c>
      <c r="B14" s="38" t="e">
        <f>+IF((PROVEEDORES3[[#This Row],[FECHA DE PAGO]]-PROVEEDORES3[[#This Row],[FECHA DE FACTURACIÓN]])&gt;#REF!,"PAGO VENCIDO")</f>
        <v>#REF!</v>
      </c>
      <c r="C14" s="56" t="str">
        <f>+VLOOKUP(PROVEEDORES3[[#This Row],[PROVEEDOR]],TERCEROS_INFO[[PROVEEDOR]:[CORREO]],5,FALSE)</f>
        <v>jessica.barrios@carpainternacional.com;girlesa.ruiz@servipilas.com;joriescobar64@gmail.com</v>
      </c>
      <c r="D14" s="68">
        <v>44586</v>
      </c>
      <c r="E14" s="26" t="s">
        <v>287</v>
      </c>
      <c r="F14" s="69">
        <v>44537</v>
      </c>
      <c r="G14" s="35" t="s">
        <v>306</v>
      </c>
      <c r="H14" s="156">
        <f>60</f>
        <v>60</v>
      </c>
      <c r="I14" s="21"/>
      <c r="J14" s="27"/>
      <c r="K14" s="66"/>
      <c r="L14" s="24"/>
      <c r="M14" s="24"/>
      <c r="N14" s="24"/>
      <c r="O14" s="24"/>
      <c r="P14" s="71"/>
      <c r="Q14" s="72"/>
      <c r="V14" s="24"/>
      <c r="W14" s="24"/>
    </row>
    <row r="15" spans="1:23" ht="22.35" customHeight="1" x14ac:dyDescent="0.3">
      <c r="A15" s="67" t="str">
        <f>+IF(PROVEEDORES3[[#This Row],[FECHA DE PAGO]]=PROVEEDORES3[[#This Row],[FECHA DE FACTURACIÓN]],"DE CONTADO","CRÉDITO")</f>
        <v>CRÉDITO</v>
      </c>
      <c r="B15" s="38" t="e">
        <f>+IF((PROVEEDORES3[[#This Row],[FECHA DE PAGO]]-PROVEEDORES3[[#This Row],[FECHA DE FACTURACIÓN]])&gt;#REF!,"PAGO VENCIDO")</f>
        <v>#REF!</v>
      </c>
      <c r="C15" s="56" t="str">
        <f>+VLOOKUP(PROVEEDORES3[[#This Row],[PROVEEDOR]],TERCEROS_INFO[[PROVEEDOR]:[CORREO]],5,FALSE)</f>
        <v>jessica.barrios@carpainternacional.com;girlesa.ruiz@servipilas.com;joriescobar64@gmail.com</v>
      </c>
      <c r="D15" s="68">
        <v>44586</v>
      </c>
      <c r="E15" s="26" t="s">
        <v>289</v>
      </c>
      <c r="F15" s="69">
        <v>44539</v>
      </c>
      <c r="G15" s="35" t="s">
        <v>302</v>
      </c>
      <c r="H15" s="156">
        <f>560</f>
        <v>560</v>
      </c>
      <c r="I15" s="21"/>
      <c r="J15" s="27"/>
      <c r="K15" s="66"/>
      <c r="L15" s="24"/>
      <c r="M15" s="24"/>
      <c r="N15" s="24"/>
      <c r="O15" s="24"/>
      <c r="P15" s="71"/>
      <c r="Q15" s="72"/>
      <c r="V15" s="24"/>
      <c r="W15" s="24"/>
    </row>
    <row r="16" spans="1:23" ht="22.35" customHeight="1" x14ac:dyDescent="0.3">
      <c r="A16" s="67" t="str">
        <f>+IF(PROVEEDORES3[[#This Row],[FECHA DE PAGO]]=PROVEEDORES3[[#This Row],[FECHA DE FACTURACIÓN]],"DE CONTADO","CRÉDITO")</f>
        <v>CRÉDITO</v>
      </c>
      <c r="B16" s="38" t="e">
        <f>+IF((PROVEEDORES3[[#This Row],[FECHA DE PAGO]]-PROVEEDORES3[[#This Row],[FECHA DE FACTURACIÓN]])&gt;#REF!,"PAGO VENCIDO")</f>
        <v>#REF!</v>
      </c>
      <c r="C16" s="56" t="str">
        <f>+VLOOKUP(PROVEEDORES3[[#This Row],[PROVEEDOR]],TERCEROS_INFO[[PROVEEDOR]:[CORREO]],5,FALSE)</f>
        <v>jessica.barrios@carpainternacional.com;girlesa.ruiz@servipilas.com;joriescobar64@gmail.com</v>
      </c>
      <c r="D16" s="68">
        <v>44623</v>
      </c>
      <c r="E16" s="26" t="s">
        <v>287</v>
      </c>
      <c r="F16" s="69">
        <v>44552</v>
      </c>
      <c r="G16" s="35" t="s">
        <v>309</v>
      </c>
      <c r="H16" s="156">
        <v>76</v>
      </c>
      <c r="I16" s="21">
        <f>+PROVEEDORES3[[#This Row],[Total USD]]*3828.5</f>
        <v>290966</v>
      </c>
      <c r="J16"/>
      <c r="K16" s="66"/>
      <c r="M16" s="27"/>
      <c r="N16" s="27"/>
      <c r="O16" s="71"/>
      <c r="P16" s="24"/>
      <c r="Q16" s="24"/>
      <c r="T16" s="71"/>
      <c r="U16" s="72"/>
      <c r="V16" s="24"/>
      <c r="W16" s="24"/>
    </row>
    <row r="17" spans="1:23" ht="22.35" customHeight="1" x14ac:dyDescent="0.3">
      <c r="A17" s="67" t="str">
        <f>+IF(PROVEEDORES3[[#This Row],[FECHA DE PAGO]]=PROVEEDORES3[[#This Row],[FECHA DE FACTURACIÓN]],"DE CONTADO","CRÉDITO")</f>
        <v>CRÉDITO</v>
      </c>
      <c r="B17" s="38" t="e">
        <f>+IF((PROVEEDORES3[[#This Row],[FECHA DE PAGO]]-PROVEEDORES3[[#This Row],[FECHA DE FACTURACIÓN]])&gt;#REF!,"PAGO VENCIDO")</f>
        <v>#REF!</v>
      </c>
      <c r="C17" s="56" t="str">
        <f>+VLOOKUP(PROVEEDORES3[[#This Row],[PROVEEDOR]],TERCEROS_INFO[[PROVEEDOR]:[CORREO]],5,FALSE)</f>
        <v>jessica.barrios@carpainternacional.com;girlesa.ruiz@servipilas.com;joriescobar64@gmail.com</v>
      </c>
      <c r="D17" s="68">
        <v>44623</v>
      </c>
      <c r="E17" s="26" t="s">
        <v>287</v>
      </c>
      <c r="F17" s="69">
        <v>44557</v>
      </c>
      <c r="G17" s="35">
        <v>1294</v>
      </c>
      <c r="H17" s="156">
        <f>60</f>
        <v>60</v>
      </c>
      <c r="I17" s="21">
        <f>+PROVEEDORES3[[#This Row],[Total USD]]*3828.5</f>
        <v>229710</v>
      </c>
      <c r="J17"/>
      <c r="K17" s="66"/>
      <c r="M17" s="27"/>
      <c r="N17" s="27"/>
      <c r="O17" s="71"/>
      <c r="P17" s="24"/>
      <c r="Q17" s="24"/>
      <c r="T17" s="71"/>
      <c r="U17" s="72"/>
      <c r="V17" s="24"/>
      <c r="W17" s="24"/>
    </row>
    <row r="18" spans="1:23" ht="22.35" customHeight="1" x14ac:dyDescent="0.3">
      <c r="A18" s="67" t="str">
        <f>+IF(PROVEEDORES3[[#This Row],[FECHA DE PAGO]]=PROVEEDORES3[[#This Row],[FECHA DE FACTURACIÓN]],"DE CONTADO","CRÉDITO")</f>
        <v>CRÉDITO</v>
      </c>
      <c r="B18" s="38" t="e">
        <f>+IF((PROVEEDORES3[[#This Row],[FECHA DE PAGO]]-PROVEEDORES3[[#This Row],[FECHA DE FACTURACIÓN]])&gt;#REF!,"PAGO VENCIDO")</f>
        <v>#REF!</v>
      </c>
      <c r="C18" s="56" t="str">
        <f>+VLOOKUP(PROVEEDORES3[[#This Row],[PROVEEDOR]],TERCEROS_INFO[[PROVEEDOR]:[CORREO]],5,FALSE)</f>
        <v>jessica.barrios@carpainternacional.com;girlesa.ruiz@servipilas.com;joriescobar64@gmail.com</v>
      </c>
      <c r="D18" s="68">
        <v>44623</v>
      </c>
      <c r="E18" s="26" t="s">
        <v>287</v>
      </c>
      <c r="F18" s="69">
        <v>44557</v>
      </c>
      <c r="G18" s="35">
        <v>1293</v>
      </c>
      <c r="H18" s="156">
        <f>56</f>
        <v>56</v>
      </c>
      <c r="I18" s="21">
        <f>+PROVEEDORES3[[#This Row],[Total USD]]*3828.5</f>
        <v>214396</v>
      </c>
      <c r="J18"/>
      <c r="K18" s="66"/>
      <c r="M18" s="27"/>
      <c r="N18" s="27"/>
      <c r="O18" s="71"/>
      <c r="P18" s="24"/>
      <c r="Q18" s="24"/>
      <c r="T18" s="71"/>
      <c r="U18" s="72"/>
      <c r="V18" s="24"/>
      <c r="W18" s="24"/>
    </row>
    <row r="19" spans="1:23" ht="22.35" customHeight="1" x14ac:dyDescent="0.3">
      <c r="A19" s="67" t="str">
        <f>+IF(PROVEEDORES3[[#This Row],[FECHA DE PAGO]]=PROVEEDORES3[[#This Row],[FECHA DE FACTURACIÓN]],"DE CONTADO","CRÉDITO")</f>
        <v>CRÉDITO</v>
      </c>
      <c r="B19" s="38" t="e">
        <f>+IF((PROVEEDORES3[[#This Row],[FECHA DE PAGO]]-PROVEEDORES3[[#This Row],[FECHA DE FACTURACIÓN]])&gt;#REF!,"PAGO VENCIDO")</f>
        <v>#REF!</v>
      </c>
      <c r="C19" s="56" t="str">
        <f>+VLOOKUP(PROVEEDORES3[[#This Row],[PROVEEDOR]],TERCEROS_INFO[[PROVEEDOR]:[CORREO]],5,FALSE)</f>
        <v>jessica.barrios@carpainternacional.com;girlesa.ruiz@servipilas.com;joriescobar64@gmail.com</v>
      </c>
      <c r="D19" s="68">
        <v>44623</v>
      </c>
      <c r="E19" s="26" t="s">
        <v>320</v>
      </c>
      <c r="F19" s="69">
        <v>44557</v>
      </c>
      <c r="G19" s="35" t="s">
        <v>321</v>
      </c>
      <c r="H19" s="156">
        <f>695</f>
        <v>695</v>
      </c>
      <c r="I19" s="21">
        <f>+PROVEEDORES3[[#This Row],[Total USD]]*3828.5</f>
        <v>2660807.5</v>
      </c>
    </row>
    <row r="20" spans="1:23" ht="22.35" customHeight="1" x14ac:dyDescent="0.3">
      <c r="A20" s="67" t="str">
        <f>+IF(PROVEEDORES3[[#This Row],[FECHA DE PAGO]]=PROVEEDORES3[[#This Row],[FECHA DE FACTURACIÓN]],"DE CONTADO","CRÉDITO")</f>
        <v>CRÉDITO</v>
      </c>
      <c r="B20" s="38" t="e">
        <f>+IF((PROVEEDORES3[[#This Row],[FECHA DE PAGO]]-PROVEEDORES3[[#This Row],[FECHA DE FACTURACIÓN]])&gt;#REF!,"PAGO VENCIDO")</f>
        <v>#REF!</v>
      </c>
      <c r="C20" s="56" t="str">
        <f>+VLOOKUP(PROVEEDORES3[[#This Row],[PROVEEDOR]],TERCEROS_INFO[[PROVEEDOR]:[CORREO]],5,FALSE)</f>
        <v>jessica.barrios@carpainternacional.com;girlesa.ruiz@servipilas.com;joriescobar64@gmail.com</v>
      </c>
      <c r="D20" s="68">
        <v>44623</v>
      </c>
      <c r="E20" s="26" t="s">
        <v>287</v>
      </c>
      <c r="F20" s="69">
        <v>44586</v>
      </c>
      <c r="G20" s="35" t="s">
        <v>417</v>
      </c>
      <c r="H20" s="156">
        <v>44</v>
      </c>
      <c r="I20" s="21">
        <f>+PROVEEDORES3[[#This Row],[Total USD]]*3828.5</f>
        <v>168454</v>
      </c>
    </row>
    <row r="21" spans="1:23" ht="22.35" customHeight="1" x14ac:dyDescent="0.3">
      <c r="A21" s="67" t="str">
        <f>+IF(PROVEEDORES3[[#This Row],[FECHA DE PAGO]]=PROVEEDORES3[[#This Row],[FECHA DE FACTURACIÓN]],"DE CONTADO","CRÉDITO")</f>
        <v>CRÉDITO</v>
      </c>
      <c r="B21" s="38" t="e">
        <f>+IF((PROVEEDORES3[[#This Row],[FECHA DE PAGO]]-PROVEEDORES3[[#This Row],[FECHA DE FACTURACIÓN]])&gt;#REF!,"PAGO VENCIDO")</f>
        <v>#REF!</v>
      </c>
      <c r="C21" s="56" t="str">
        <f>+VLOOKUP(PROVEEDORES3[[#This Row],[PROVEEDOR]],TERCEROS_INFO[[PROVEEDOR]:[CORREO]],5,FALSE)</f>
        <v>jessica.barrios@carpainternacional.com;girlesa.ruiz@servipilas.com;joriescobar64@gmail.com</v>
      </c>
      <c r="D21" s="68">
        <v>44623</v>
      </c>
      <c r="E21" s="26" t="s">
        <v>288</v>
      </c>
      <c r="F21" s="69">
        <v>44587</v>
      </c>
      <c r="G21" s="35" t="s">
        <v>419</v>
      </c>
      <c r="H21" s="156">
        <v>660</v>
      </c>
      <c r="I21" s="21">
        <f>+PROVEEDORES3[[#This Row],[Total USD]]*3828.5</f>
        <v>2526810</v>
      </c>
    </row>
    <row r="22" spans="1:23" ht="22.35" customHeight="1" x14ac:dyDescent="0.3">
      <c r="A22" s="67" t="str">
        <f>+IF(PROVEEDORES3[[#This Row],[FECHA DE PAGO]]=PROVEEDORES3[[#This Row],[FECHA DE FACTURACIÓN]],"DE CONTADO","CRÉDITO")</f>
        <v>CRÉDITO</v>
      </c>
      <c r="B22" s="38" t="e">
        <f>+IF((PROVEEDORES3[[#This Row],[FECHA DE PAGO]]-PROVEEDORES3[[#This Row],[FECHA DE FACTURACIÓN]])&gt;#REF!,"PAGO VENCIDO")</f>
        <v>#REF!</v>
      </c>
      <c r="C22" s="56" t="str">
        <f>+VLOOKUP(PROVEEDORES3[[#This Row],[PROVEEDOR]],TERCEROS_INFO[[PROVEEDOR]:[CORREO]],5,FALSE)</f>
        <v>mcastillo@kenextrading.com;agarcia@kenextrading.com;girlesa.ruiz@servipilas.com;joriescobar64@gmail.com</v>
      </c>
      <c r="D22" s="68">
        <v>44702</v>
      </c>
      <c r="E22" s="26" t="s">
        <v>31</v>
      </c>
      <c r="F22" s="69">
        <v>44629</v>
      </c>
      <c r="G22" s="35">
        <v>56143</v>
      </c>
      <c r="H22" s="70">
        <v>10278.61</v>
      </c>
      <c r="I22" s="21">
        <f>+PROVEEDORES3[[#This Row],[Total USD]]*3828.5</f>
        <v>39351658.385000005</v>
      </c>
    </row>
    <row r="23" spans="1:23" ht="22.35" customHeight="1" x14ac:dyDescent="0.3">
      <c r="A23" s="114" t="str">
        <f>+IF(PROVEEDORES3[[#This Row],[FECHA DE PAGO]]=PROVEEDORES3[[#This Row],[FECHA DE FACTURACIÓN]],"DE CONTADO","CRÉDITO")</f>
        <v>CRÉDITO</v>
      </c>
      <c r="B23" s="38" t="e">
        <f>+IF((PROVEEDORES3[[#This Row],[FECHA DE PAGO]]-PROVEEDORES3[[#This Row],[FECHA DE FACTURACIÓN]])&gt;#REF!,"PAGO VENCIDO")</f>
        <v>#REF!</v>
      </c>
      <c r="C23" s="56" t="str">
        <f>+VLOOKUP(PROVEEDORES3[[#This Row],[PROVEEDOR]],TERCEROS_INFO[[PROVEEDOR]:[CORREO]],5,FALSE)</f>
        <v>mcastillo@kenextrading.com;agarcia@kenextrading.com;girlesa.ruiz@servipilas.com;joriescobar64@gmail.com</v>
      </c>
      <c r="D23" s="68">
        <v>44750</v>
      </c>
      <c r="E23" s="26" t="s">
        <v>31</v>
      </c>
      <c r="F23" s="69">
        <v>44664</v>
      </c>
      <c r="G23" s="35">
        <v>56405</v>
      </c>
      <c r="H23" s="70">
        <f>16087.1</f>
        <v>16087.1</v>
      </c>
      <c r="I23" s="21">
        <f>+PROVEEDORES3[[#This Row],[Total USD]]*4000</f>
        <v>64348400</v>
      </c>
    </row>
    <row r="24" spans="1:23" ht="22.35" customHeight="1" x14ac:dyDescent="0.3">
      <c r="A24" s="67" t="str">
        <f>+IF(PROVEEDORES3[[#This Row],[FECHA DE PAGO]]=PROVEEDORES3[[#This Row],[FECHA DE FACTURACIÓN]],"DE CONTADO","CRÉDITO")</f>
        <v>CRÉDITO</v>
      </c>
      <c r="B24" s="38" t="e">
        <f>+IF((PROVEEDORES3[[#This Row],[FECHA DE PAGO]]-PROVEEDORES3[[#This Row],[FECHA DE FACTURACIÓN]])&gt;#REF!,"PAGO VENCIDO")</f>
        <v>#REF!</v>
      </c>
      <c r="C24" s="56" t="str">
        <f>+VLOOKUP(PROVEEDORES3[[#This Row],[PROVEEDOR]],TERCEROS_INFO[[PROVEEDOR]:[CORREO]],5,FALSE)</f>
        <v>jessica.barrios@carpainternacional.com;girlesa.ruiz@servipilas.com;joriescobar64@gmail.com</v>
      </c>
      <c r="D24" s="68">
        <v>44761</v>
      </c>
      <c r="E24" s="26" t="s">
        <v>287</v>
      </c>
      <c r="F24" s="69">
        <v>44539</v>
      </c>
      <c r="G24" s="35" t="s">
        <v>531</v>
      </c>
      <c r="H24" s="156">
        <v>57</v>
      </c>
      <c r="I24" s="21">
        <f>+PROVEEDORES3[[#This Row],[Total USD]]*4336.5</f>
        <v>247180.5</v>
      </c>
    </row>
    <row r="25" spans="1:23" ht="22.35" customHeight="1" x14ac:dyDescent="0.3">
      <c r="A25" s="67" t="str">
        <f>+IF(PROVEEDORES3[[#This Row],[FECHA DE PAGO]]=PROVEEDORES3[[#This Row],[FECHA DE FACTURACIÓN]],"DE CONTADO","CRÉDITO")</f>
        <v>CRÉDITO</v>
      </c>
      <c r="B25" s="38" t="e">
        <f>+IF((PROVEEDORES3[[#This Row],[FECHA DE PAGO]]-PROVEEDORES3[[#This Row],[FECHA DE FACTURACIÓN]])&gt;#REF!,"PAGO VENCIDO")</f>
        <v>#REF!</v>
      </c>
      <c r="C25" s="56" t="str">
        <f>+VLOOKUP(PROVEEDORES3[[#This Row],[PROVEEDOR]],TERCEROS_INFO[[PROVEEDOR]:[CORREO]],5,FALSE)</f>
        <v>jessica.barrios@carpainternacional.com;girlesa.ruiz@servipilas.com;joriescobar64@gmail.com</v>
      </c>
      <c r="D25" s="68">
        <v>44761</v>
      </c>
      <c r="E25" s="26" t="s">
        <v>287</v>
      </c>
      <c r="F25" s="69">
        <v>44607</v>
      </c>
      <c r="G25" s="35" t="s">
        <v>474</v>
      </c>
      <c r="H25" s="156">
        <v>48</v>
      </c>
      <c r="I25" s="21">
        <f>+PROVEEDORES3[[#This Row],[Total USD]]*4336.5</f>
        <v>208152</v>
      </c>
    </row>
    <row r="26" spans="1:23" ht="22.35" customHeight="1" x14ac:dyDescent="0.3">
      <c r="A26" s="67" t="str">
        <f>+IF(PROVEEDORES3[[#This Row],[FECHA DE PAGO]]=PROVEEDORES3[[#This Row],[FECHA DE FACTURACIÓN]],"DE CONTADO","CRÉDITO")</f>
        <v>CRÉDITO</v>
      </c>
      <c r="B26" s="38" t="e">
        <f>+IF((PROVEEDORES3[[#This Row],[FECHA DE PAGO]]-PROVEEDORES3[[#This Row],[FECHA DE FACTURACIÓN]])&gt;#REF!,"PAGO VENCIDO")</f>
        <v>#REF!</v>
      </c>
      <c r="C26" s="56" t="str">
        <f>+VLOOKUP(PROVEEDORES3[[#This Row],[PROVEEDOR]],TERCEROS_INFO[[PROVEEDOR]:[CORREO]],5,FALSE)</f>
        <v>jessica.barrios@carpainternacional.com;girlesa.ruiz@servipilas.com;joriescobar64@gmail.com</v>
      </c>
      <c r="D26" s="68">
        <v>44761</v>
      </c>
      <c r="E26" s="26" t="s">
        <v>287</v>
      </c>
      <c r="F26" s="69">
        <v>44617</v>
      </c>
      <c r="G26" s="35" t="s">
        <v>468</v>
      </c>
      <c r="H26" s="156">
        <v>52</v>
      </c>
      <c r="I26" s="21">
        <f>+PROVEEDORES3[[#This Row],[Total USD]]*4336.5</f>
        <v>225498</v>
      </c>
    </row>
    <row r="27" spans="1:23" ht="22.35" customHeight="1" x14ac:dyDescent="0.3">
      <c r="A27" s="67" t="str">
        <f>+IF(PROVEEDORES3[[#This Row],[FECHA DE PAGO]]=PROVEEDORES3[[#This Row],[FECHA DE FACTURACIÓN]],"DE CONTADO","CRÉDITO")</f>
        <v>CRÉDITO</v>
      </c>
      <c r="B27" s="38" t="e">
        <f>+IF((PROVEEDORES3[[#This Row],[FECHA DE PAGO]]-PROVEEDORES3[[#This Row],[FECHA DE FACTURACIÓN]])&gt;#REF!,"PAGO VENCIDO")</f>
        <v>#REF!</v>
      </c>
      <c r="C27" s="56" t="str">
        <f>+VLOOKUP(PROVEEDORES3[[#This Row],[PROVEEDOR]],TERCEROS_INFO[[PROVEEDOR]:[CORREO]],5,FALSE)</f>
        <v>jessica.barrios@carpainternacional.com;girlesa.ruiz@servipilas.com;joriescobar64@gmail.com</v>
      </c>
      <c r="D27" s="68">
        <v>44761</v>
      </c>
      <c r="E27" s="26" t="s">
        <v>287</v>
      </c>
      <c r="F27" s="69">
        <v>44643</v>
      </c>
      <c r="G27" s="35" t="s">
        <v>441</v>
      </c>
      <c r="H27" s="156">
        <v>112</v>
      </c>
      <c r="I27" s="21">
        <f>+PROVEEDORES3[[#This Row],[Total USD]]*4336.5</f>
        <v>485688</v>
      </c>
    </row>
    <row r="28" spans="1:23" ht="22.35" customHeight="1" x14ac:dyDescent="0.3">
      <c r="A28" s="67" t="str">
        <f>+IF(PROVEEDORES3[[#This Row],[FECHA DE PAGO]]=PROVEEDORES3[[#This Row],[FECHA DE FACTURACIÓN]],"DE CONTADO","CRÉDITO")</f>
        <v>CRÉDITO</v>
      </c>
      <c r="B28" s="38" t="e">
        <f>+IF((PROVEEDORES3[[#This Row],[FECHA DE PAGO]]-PROVEEDORES3[[#This Row],[FECHA DE FACTURACIÓN]])&gt;#REF!,"PAGO VENCIDO")</f>
        <v>#REF!</v>
      </c>
      <c r="C28" s="56" t="str">
        <f>+VLOOKUP(PROVEEDORES3[[#This Row],[PROVEEDOR]],TERCEROS_INFO[[PROVEEDOR]:[CORREO]],5,FALSE)</f>
        <v>jessica.barrios@carpainternacional.com;girlesa.ruiz@servipilas.com;joriescobar64@gmail.com</v>
      </c>
      <c r="D28" s="68">
        <v>44761</v>
      </c>
      <c r="E28" s="26" t="s">
        <v>289</v>
      </c>
      <c r="F28" s="69">
        <v>44656</v>
      </c>
      <c r="G28" s="35" t="s">
        <v>351</v>
      </c>
      <c r="H28" s="156">
        <v>349.5</v>
      </c>
      <c r="I28" s="21">
        <f>+PROVEEDORES3[[#This Row],[Total USD]]*4336.5</f>
        <v>1515606.75</v>
      </c>
    </row>
    <row r="29" spans="1:23" ht="22.35" customHeight="1" x14ac:dyDescent="0.3">
      <c r="A29" s="111" t="str">
        <f>+IF(PROVEEDORES3[[#This Row],[FECHA DE PAGO]]=PROVEEDORES3[[#This Row],[FECHA DE FACTURACIÓN]],"DE CONTADO","CRÉDITO")</f>
        <v>CRÉDITO</v>
      </c>
      <c r="B29" s="38" t="e">
        <f>+IF((PROVEEDORES3[[#This Row],[FECHA DE PAGO]]-PROVEEDORES3[[#This Row],[FECHA DE FACTURACIÓN]])&gt;#REF!,"PAGO VENCIDO")</f>
        <v>#REF!</v>
      </c>
      <c r="C29" s="56" t="str">
        <f>+VLOOKUP(PROVEEDORES3[[#This Row],[PROVEEDOR]],TERCEROS_INFO[[PROVEEDOR]:[CORREO]],5,FALSE)</f>
        <v>jessica.barrios@carpainternacional.com;girlesa.ruiz@servipilas.com;joriescobar64@gmail.com</v>
      </c>
      <c r="D29" s="68">
        <v>44761</v>
      </c>
      <c r="E29" s="26" t="s">
        <v>287</v>
      </c>
      <c r="F29" s="69">
        <v>44676</v>
      </c>
      <c r="G29" s="35" t="s">
        <v>603</v>
      </c>
      <c r="H29" s="156">
        <v>40</v>
      </c>
      <c r="I29" s="21">
        <f>+PROVEEDORES3[[#This Row],[Total USD]]*4336.5</f>
        <v>173460</v>
      </c>
    </row>
    <row r="30" spans="1:23" ht="22.35" customHeight="1" x14ac:dyDescent="0.3">
      <c r="A30" s="135" t="str">
        <f>+IF(PROVEEDORES3[[#This Row],[FECHA DE PAGO]]=PROVEEDORES3[[#This Row],[FECHA DE FACTURACIÓN]],"DE CONTADO","CRÉDITO")</f>
        <v>CRÉDITO</v>
      </c>
      <c r="B30" s="38" t="e">
        <f>+IF((PROVEEDORES3[[#This Row],[FECHA DE PAGO]]-PROVEEDORES3[[#This Row],[FECHA DE FACTURACIÓN]])&gt;#REF!,"PAGO VENCIDO")</f>
        <v>#REF!</v>
      </c>
      <c r="C30" s="56" t="str">
        <f>+VLOOKUP(PROVEEDORES3[[#This Row],[PROVEEDOR]],TERCEROS_INFO[[PROVEEDOR]:[CORREO]],5,FALSE)</f>
        <v>jessica.barrios@carpainternacional.com;girlesa.ruiz@servipilas.com;joriescobar64@gmail.com</v>
      </c>
      <c r="D30" s="68">
        <v>44761</v>
      </c>
      <c r="E30" s="26" t="s">
        <v>287</v>
      </c>
      <c r="F30" s="69">
        <v>44712</v>
      </c>
      <c r="G30" s="35" t="s">
        <v>716</v>
      </c>
      <c r="H30" s="156">
        <v>84</v>
      </c>
      <c r="I30" s="21">
        <f>+PROVEEDORES3[[#This Row],[Total USD]]*4336.5</f>
        <v>364266</v>
      </c>
    </row>
    <row r="31" spans="1:23" ht="22.35" customHeight="1" x14ac:dyDescent="0.3">
      <c r="A31" s="135" t="str">
        <f>+IF(PROVEEDORES3[[#This Row],[FECHA DE PAGO]]=PROVEEDORES3[[#This Row],[FECHA DE FACTURACIÓN]],"DE CONTADO","CRÉDITO")</f>
        <v>CRÉDITO</v>
      </c>
      <c r="B31" s="38" t="e">
        <f>+IF((PROVEEDORES3[[#This Row],[FECHA DE PAGO]]-PROVEEDORES3[[#This Row],[FECHA DE FACTURACIÓN]])&gt;#REF!,"PAGO VENCIDO")</f>
        <v>#REF!</v>
      </c>
      <c r="C31" s="56" t="str">
        <f>+VLOOKUP(PROVEEDORES3[[#This Row],[PROVEEDOR]],TERCEROS_INFO[[PROVEEDOR]:[CORREO]],5,FALSE)</f>
        <v>jessica.barrios@carpainternacional.com;girlesa.ruiz@servipilas.com;joriescobar64@gmail.com</v>
      </c>
      <c r="D31" s="68">
        <v>44761</v>
      </c>
      <c r="E31" s="26" t="s">
        <v>287</v>
      </c>
      <c r="F31" s="69">
        <v>44712</v>
      </c>
      <c r="G31" s="35" t="s">
        <v>717</v>
      </c>
      <c r="H31" s="156">
        <v>88</v>
      </c>
      <c r="I31" s="21">
        <f>+PROVEEDORES3[[#This Row],[Total USD]]*4336.5</f>
        <v>381612</v>
      </c>
    </row>
    <row r="32" spans="1:23" ht="22.35" customHeight="1" x14ac:dyDescent="0.3">
      <c r="A32" s="148" t="str">
        <f>+IF(PROVEEDORES3[[#This Row],[FECHA DE PAGO]]=PROVEEDORES3[[#This Row],[FECHA DE FACTURACIÓN]],"DE CONTADO","CRÉDITO")</f>
        <v>CRÉDITO</v>
      </c>
      <c r="B32" s="38" t="e">
        <f>+IF((PROVEEDORES3[[#This Row],[FECHA DE PAGO]]-PROVEEDORES3[[#This Row],[FECHA DE FACTURACIÓN]])&gt;#REF!,"PAGO VENCIDO")</f>
        <v>#REF!</v>
      </c>
      <c r="C32" s="56" t="str">
        <f>+VLOOKUP(PROVEEDORES3[[#This Row],[PROVEEDOR]],TERCEROS_INFO[[PROVEEDOR]:[CORREO]],5,FALSE)</f>
        <v>jessica.barrios@carpainternacional.com;girlesa.ruiz@servipilas.com;joriescobar64@gmail.com</v>
      </c>
      <c r="D32" s="68">
        <v>44761</v>
      </c>
      <c r="E32" s="26" t="s">
        <v>289</v>
      </c>
      <c r="F32" s="69">
        <v>44726</v>
      </c>
      <c r="G32" s="35" t="s">
        <v>735</v>
      </c>
      <c r="H32" s="156">
        <v>385.1</v>
      </c>
      <c r="I32" s="21">
        <f>+PROVEEDORES3[[#This Row],[Total USD]]*4336.5</f>
        <v>1669986.1500000001</v>
      </c>
    </row>
    <row r="33" spans="1:9" ht="22.35" customHeight="1" x14ac:dyDescent="0.3">
      <c r="A33" s="148" t="str">
        <f>+IF(PROVEEDORES3[[#This Row],[FECHA DE PAGO]]=PROVEEDORES3[[#This Row],[FECHA DE FACTURACIÓN]],"DE CONTADO","CRÉDITO")</f>
        <v>CRÉDITO</v>
      </c>
      <c r="B33" s="38" t="e">
        <f>+IF((PROVEEDORES3[[#This Row],[FECHA DE PAGO]]-PROVEEDORES3[[#This Row],[FECHA DE FACTURACIÓN]])&gt;#REF!,"PAGO VENCIDO")</f>
        <v>#REF!</v>
      </c>
      <c r="C33" s="56" t="str">
        <f>+VLOOKUP(PROVEEDORES3[[#This Row],[PROVEEDOR]],TERCEROS_INFO[[PROVEEDOR]:[CORREO]],5,FALSE)</f>
        <v>jessica.barrios@carpainternacional.com;girlesa.ruiz@servipilas.com;joriescobar64@gmail.com</v>
      </c>
      <c r="D33" s="68">
        <v>44761</v>
      </c>
      <c r="E33" s="26" t="s">
        <v>289</v>
      </c>
      <c r="F33" s="69">
        <v>44733</v>
      </c>
      <c r="G33" s="35" t="s">
        <v>770</v>
      </c>
      <c r="H33" s="156">
        <f>76</f>
        <v>76</v>
      </c>
      <c r="I33" s="21">
        <f>+PROVEEDORES3[[#This Row],[Total USD]]*4336.5</f>
        <v>329574</v>
      </c>
    </row>
    <row r="34" spans="1:9" ht="22.35" customHeight="1" x14ac:dyDescent="0.3">
      <c r="A34" s="148" t="str">
        <f>+IF(PROVEEDORES3[[#This Row],[FECHA DE PAGO]]=PROVEEDORES3[[#This Row],[FECHA DE FACTURACIÓN]],"DE CONTADO","CRÉDITO")</f>
        <v>CRÉDITO</v>
      </c>
      <c r="B34" s="38" t="e">
        <f>+IF((PROVEEDORES3[[#This Row],[FECHA DE PAGO]]-PROVEEDORES3[[#This Row],[FECHA DE FACTURACIÓN]])&gt;#REF!,"PAGO VENCIDO")</f>
        <v>#REF!</v>
      </c>
      <c r="C34" s="56" t="str">
        <f>+VLOOKUP(PROVEEDORES3[[#This Row],[PROVEEDOR]],TERCEROS_INFO[[PROVEEDOR]:[CORREO]],5,FALSE)</f>
        <v>jessica.barrios@carpainternacional.com;girlesa.ruiz@servipilas.com;joriescobar64@gmail.com</v>
      </c>
      <c r="D34" s="68">
        <v>44761</v>
      </c>
      <c r="E34" s="26" t="s">
        <v>289</v>
      </c>
      <c r="F34" s="69">
        <v>44733</v>
      </c>
      <c r="G34" s="35" t="s">
        <v>771</v>
      </c>
      <c r="H34" s="156">
        <f>740</f>
        <v>740</v>
      </c>
      <c r="I34" s="21">
        <f>+PROVEEDORES3[[#This Row],[Total USD]]*4336.5</f>
        <v>3209010</v>
      </c>
    </row>
    <row r="35" spans="1:9" ht="22.35" customHeight="1" x14ac:dyDescent="0.3">
      <c r="A35" s="148" t="str">
        <f>+IF(PROVEEDORES3[[#This Row],[FECHA DE PAGO]]=PROVEEDORES3[[#This Row],[FECHA DE FACTURACIÓN]],"DE CONTADO","CRÉDITO")</f>
        <v>CRÉDITO</v>
      </c>
      <c r="B35" s="38" t="e">
        <f>+IF((PROVEEDORES3[[#This Row],[FECHA DE PAGO]]-PROVEEDORES3[[#This Row],[FECHA DE FACTURACIÓN]])&gt;#REF!,"PAGO VENCIDO")</f>
        <v>#REF!</v>
      </c>
      <c r="C35" s="56" t="str">
        <f>+VLOOKUP(PROVEEDORES3[[#This Row],[PROVEEDOR]],TERCEROS_INFO[[PROVEEDOR]:[CORREO]],5,FALSE)</f>
        <v>jessica.barrios@carpainternacional.com;girlesa.ruiz@servipilas.com;joriescobar64@gmail.com</v>
      </c>
      <c r="D35" s="68">
        <v>44761</v>
      </c>
      <c r="E35" s="26" t="s">
        <v>287</v>
      </c>
      <c r="F35" s="69">
        <v>44742</v>
      </c>
      <c r="G35" s="35" t="s">
        <v>811</v>
      </c>
      <c r="H35" s="70">
        <v>48</v>
      </c>
      <c r="I35" s="21">
        <f>+PROVEEDORES3[[#This Row],[Total USD]]*4336.5</f>
        <v>208152</v>
      </c>
    </row>
    <row r="36" spans="1:9" ht="22.35" customHeight="1" x14ac:dyDescent="0.3">
      <c r="A36" s="163" t="str">
        <f>+IF(PROVEEDORES3[[#This Row],[FECHA DE PAGO]]=PROVEEDORES3[[#This Row],[FECHA DE FACTURACIÓN]],"DE CONTADO","CRÉDITO")</f>
        <v>CRÉDITO</v>
      </c>
      <c r="B36" s="38" t="e">
        <f>+IF((PROVEEDORES3[[#This Row],[FECHA DE PAGO]]-PROVEEDORES3[[#This Row],[FECHA DE FACTURACIÓN]])&gt;#REF!,"PAGO VENCIDO")</f>
        <v>#REF!</v>
      </c>
      <c r="C36" s="56" t="str">
        <f>+VLOOKUP(PROVEEDORES3[[#This Row],[PROVEEDOR]],TERCEROS_INFO[[PROVEEDOR]:[CORREO]],5,FALSE)</f>
        <v>jessica.barrios@carpainternacional.com;girlesa.ruiz@servipilas.com;joriescobar64@gmail.com</v>
      </c>
      <c r="D36" s="68">
        <v>44811</v>
      </c>
      <c r="E36" s="26" t="s">
        <v>287</v>
      </c>
      <c r="F36" s="69">
        <v>44757</v>
      </c>
      <c r="G36" s="35" t="s">
        <v>852</v>
      </c>
      <c r="H36" s="70">
        <v>96</v>
      </c>
      <c r="I36" s="21">
        <f>+PROVEEDORES3[[#This Row],[Total USD]]*4460.5</f>
        <v>428208</v>
      </c>
    </row>
    <row r="37" spans="1:9" ht="22.35" customHeight="1" x14ac:dyDescent="0.3">
      <c r="A37" s="171" t="str">
        <f>+IF(PROVEEDORES3[[#This Row],[FECHA DE PAGO]]=PROVEEDORES3[[#This Row],[FECHA DE FACTURACIÓN]],"DE CONTADO","CRÉDITO")</f>
        <v>CRÉDITO</v>
      </c>
      <c r="B37" s="38" t="e">
        <f>+IF((PROVEEDORES3[[#This Row],[FECHA DE PAGO]]-PROVEEDORES3[[#This Row],[FECHA DE FACTURACIÓN]])&gt;#REF!,"PAGO VENCIDO")</f>
        <v>#REF!</v>
      </c>
      <c r="C37" s="56" t="str">
        <f>+VLOOKUP(PROVEEDORES3[[#This Row],[PROVEEDOR]],TERCEROS_INFO[[PROVEEDOR]:[CORREO]],5,FALSE)</f>
        <v>jessica.barrios@carpainternacional.com;girlesa.ruiz@servipilas.com;joriescobar64@gmail.com</v>
      </c>
      <c r="D37" s="68">
        <v>44811</v>
      </c>
      <c r="E37" s="26" t="s">
        <v>287</v>
      </c>
      <c r="F37" s="69">
        <v>44757</v>
      </c>
      <c r="G37" s="35" t="s">
        <v>873</v>
      </c>
      <c r="H37" s="70">
        <v>72</v>
      </c>
      <c r="I37" s="21">
        <f>+PROVEEDORES3[[#This Row],[Total USD]]*4460.5</f>
        <v>321156</v>
      </c>
    </row>
    <row r="38" spans="1:9" ht="22.35" customHeight="1" x14ac:dyDescent="0.3">
      <c r="A38" s="182" t="str">
        <f>+IF(PROVEEDORES3[[#This Row],[FECHA DE PAGO]]=PROVEEDORES3[[#This Row],[FECHA DE FACTURACIÓN]],"DE CONTADO","CRÉDITO")</f>
        <v>CRÉDITO</v>
      </c>
      <c r="B38" s="38" t="e">
        <f>+IF((PROVEEDORES3[[#This Row],[FECHA DE PAGO]]-PROVEEDORES3[[#This Row],[FECHA DE FACTURACIÓN]])&gt;#REF!,"PAGO VENCIDO")</f>
        <v>#REF!</v>
      </c>
      <c r="C38" s="56" t="str">
        <f>+VLOOKUP(PROVEEDORES3[[#This Row],[PROVEEDOR]],TERCEROS_INFO[[PROVEEDOR]:[CORREO]],5,FALSE)</f>
        <v>jessica.barrios@carpainternacional.com;girlesa.ruiz@servipilas.com;joriescobar64@gmail.com</v>
      </c>
      <c r="D38" s="68">
        <v>44811</v>
      </c>
      <c r="E38" s="26" t="s">
        <v>287</v>
      </c>
      <c r="F38" s="69">
        <v>44785</v>
      </c>
      <c r="G38" s="35" t="s">
        <v>1058</v>
      </c>
      <c r="H38" s="70">
        <v>76</v>
      </c>
      <c r="I38" s="21">
        <f>+PROVEEDORES3[[#This Row],[Total USD]]*4460.5</f>
        <v>338998</v>
      </c>
    </row>
    <row r="39" spans="1:9" ht="22.35" customHeight="1" x14ac:dyDescent="0.3">
      <c r="A39" s="182" t="str">
        <f>+IF(PROVEEDORES3[[#This Row],[FECHA DE PAGO]]=PROVEEDORES3[[#This Row],[FECHA DE FACTURACIÓN]],"DE CONTADO","CRÉDITO")</f>
        <v>CRÉDITO</v>
      </c>
      <c r="B39" s="38" t="e">
        <f>+IF((PROVEEDORES3[[#This Row],[FECHA DE PAGO]]-PROVEEDORES3[[#This Row],[FECHA DE FACTURACIÓN]])&gt;#REF!,"PAGO VENCIDO")</f>
        <v>#REF!</v>
      </c>
      <c r="C39" s="56" t="str">
        <f>+VLOOKUP(PROVEEDORES3[[#This Row],[PROVEEDOR]],TERCEROS_INFO[[PROVEEDOR]:[CORREO]],5,FALSE)</f>
        <v>jessica.barrios@carpainternacional.com;girlesa.ruiz@servipilas.com;joriescobar64@gmail.com</v>
      </c>
      <c r="D39" s="68">
        <v>44811</v>
      </c>
      <c r="E39" s="26" t="s">
        <v>287</v>
      </c>
      <c r="F39" s="69">
        <v>44785</v>
      </c>
      <c r="G39" s="35" t="s">
        <v>1061</v>
      </c>
      <c r="H39" s="70">
        <v>80</v>
      </c>
      <c r="I39" s="21">
        <f>+PROVEEDORES3[[#This Row],[Total USD]]*4460.5</f>
        <v>356840</v>
      </c>
    </row>
    <row r="40" spans="1:9" ht="22.35" customHeight="1" x14ac:dyDescent="0.3">
      <c r="A40" s="182" t="str">
        <f>+IF(PROVEEDORES3[[#This Row],[FECHA DE PAGO]]=PROVEEDORES3[[#This Row],[FECHA DE FACTURACIÓN]],"DE CONTADO","CRÉDITO")</f>
        <v>CRÉDITO</v>
      </c>
      <c r="B40" s="38" t="e">
        <f>+IF((PROVEEDORES3[[#This Row],[FECHA DE PAGO]]-PROVEEDORES3[[#This Row],[FECHA DE FACTURACIÓN]])&gt;#REF!,"PAGO VENCIDO")</f>
        <v>#REF!</v>
      </c>
      <c r="C40" s="56" t="str">
        <f>+VLOOKUP(PROVEEDORES3[[#This Row],[PROVEEDOR]],TERCEROS_INFO[[PROVEEDOR]:[CORREO]],5,FALSE)</f>
        <v>jessica.barrios@carpainternacional.com;girlesa.ruiz@servipilas.com;joriescobar64@gmail.com</v>
      </c>
      <c r="D40" s="68">
        <v>44811</v>
      </c>
      <c r="E40" s="26" t="s">
        <v>287</v>
      </c>
      <c r="F40" s="69">
        <v>44792</v>
      </c>
      <c r="G40" s="35" t="s">
        <v>1060</v>
      </c>
      <c r="H40" s="70">
        <v>104</v>
      </c>
      <c r="I40" s="21">
        <f>+PROVEEDORES3[[#This Row],[Total USD]]*4460.5</f>
        <v>463892</v>
      </c>
    </row>
    <row r="41" spans="1:9" ht="22.35" customHeight="1" x14ac:dyDescent="0.3">
      <c r="A41" s="182" t="str">
        <f>+IF(PROVEEDORES3[[#This Row],[FECHA DE PAGO]]=PROVEEDORES3[[#This Row],[FECHA DE FACTURACIÓN]],"DE CONTADO","CRÉDITO")</f>
        <v>CRÉDITO</v>
      </c>
      <c r="B41" s="38" t="e">
        <f>+IF((PROVEEDORES3[[#This Row],[FECHA DE PAGO]]-PROVEEDORES3[[#This Row],[FECHA DE FACTURACIÓN]])&gt;#REF!,"PAGO VENCIDO")</f>
        <v>#REF!</v>
      </c>
      <c r="C41" s="56" t="str">
        <f>+VLOOKUP(PROVEEDORES3[[#This Row],[PROVEEDOR]],TERCEROS_INFO[[PROVEEDOR]:[CORREO]],5,FALSE)</f>
        <v>jessica.barrios@carpainternacional.com;girlesa.ruiz@servipilas.com;joriescobar64@gmail.com</v>
      </c>
      <c r="D41" s="68">
        <v>44811</v>
      </c>
      <c r="E41" s="26" t="s">
        <v>287</v>
      </c>
      <c r="F41" s="69">
        <v>44792</v>
      </c>
      <c r="G41" s="35" t="s">
        <v>1059</v>
      </c>
      <c r="H41" s="70">
        <v>212.3</v>
      </c>
      <c r="I41" s="21">
        <f>+PROVEEDORES3[[#This Row],[Total USD]]*4460.5</f>
        <v>946964.15</v>
      </c>
    </row>
    <row r="42" spans="1:9" ht="22.35" customHeight="1" x14ac:dyDescent="0.3">
      <c r="A42" s="67" t="str">
        <f>+IF(PROVEEDORES3[[#This Row],[FECHA DE PAGO]]=PROVEEDORES3[[#This Row],[FECHA DE FACTURACIÓN]],"DE CONTADO","CRÉDITO")</f>
        <v>CRÉDITO</v>
      </c>
      <c r="B42" s="38" t="e">
        <f>+IF((PROVEEDORES3[[#This Row],[FECHA DE PAGO]]-PROVEEDORES3[[#This Row],[FECHA DE FACTURACIÓN]])&gt;#REF!,"PAGO VENCIDO")</f>
        <v>#REF!</v>
      </c>
      <c r="C42" s="56" t="str">
        <f>+VLOOKUP(PROVEEDORES3[[#This Row],[PROVEEDOR]],TERCEROS_INFO[[PROVEEDOR]:[CORREO]],5,FALSE)</f>
        <v>jessica.barrios@carpainternacional.com;girlesa.ruiz@servipilas.com;joriescobar64@gmail.com</v>
      </c>
      <c r="D42" s="68">
        <v>44811</v>
      </c>
      <c r="E42" s="26" t="s">
        <v>287</v>
      </c>
      <c r="F42" s="69">
        <v>44803</v>
      </c>
      <c r="G42" s="35" t="s">
        <v>1099</v>
      </c>
      <c r="H42" s="70">
        <v>145.69999999999999</v>
      </c>
      <c r="I42" s="21">
        <f>+PROVEEDORES3[[#This Row],[Total USD]]*4460.5</f>
        <v>649894.85</v>
      </c>
    </row>
    <row r="43" spans="1:9" ht="22.35" customHeight="1" x14ac:dyDescent="0.3">
      <c r="A43" s="67" t="str">
        <f>+IF(PROVEEDORES3[[#This Row],[FECHA DE PAGO]]=PROVEEDORES3[[#This Row],[FECHA DE FACTURACIÓN]],"DE CONTADO","CRÉDITO")</f>
        <v>CRÉDITO</v>
      </c>
      <c r="B43" s="38" t="e">
        <f>+IF((PROVEEDORES3[[#This Row],[FECHA DE PAGO]]-PROVEEDORES3[[#This Row],[FECHA DE FACTURACIÓN]])&gt;#REF!,"PAGO VENCIDO")</f>
        <v>#REF!</v>
      </c>
      <c r="C43" s="56" t="str">
        <f>+VLOOKUP(PROVEEDORES3[[#This Row],[PROVEEDOR]],TERCEROS_INFO[[PROVEEDOR]:[CORREO]],5,FALSE)</f>
        <v>jessica.barrios@carpainternacional.com;girlesa.ruiz@servipilas.com;joriescobar64@gmail.com</v>
      </c>
      <c r="D43" s="68">
        <v>44811</v>
      </c>
      <c r="E43" s="26" t="s">
        <v>287</v>
      </c>
      <c r="F43" s="69">
        <v>44803</v>
      </c>
      <c r="G43" s="35" t="s">
        <v>1100</v>
      </c>
      <c r="H43" s="70">
        <v>147</v>
      </c>
      <c r="I43" s="21">
        <f>+PROVEEDORES3[[#This Row],[Total USD]]*4460.5</f>
        <v>655693.5</v>
      </c>
    </row>
    <row r="44" spans="1:9" ht="22.35" customHeight="1" x14ac:dyDescent="0.3">
      <c r="A44" s="67" t="str">
        <f>+IF(PROVEEDORES3[[#This Row],[FECHA DE PAGO]]=PROVEEDORES3[[#This Row],[FECHA DE FACTURACIÓN]],"DE CONTADO","CRÉDITO")</f>
        <v>CRÉDITO</v>
      </c>
      <c r="B44" s="38" t="e">
        <f>+IF((PROVEEDORES3[[#This Row],[FECHA DE PAGO]]-PROVEEDORES3[[#This Row],[FECHA DE FACTURACIÓN]])&gt;#REF!,"PAGO VENCIDO")</f>
        <v>#REF!</v>
      </c>
      <c r="C44" s="56" t="str">
        <f>+VLOOKUP(PROVEEDORES3[[#This Row],[PROVEEDOR]],TERCEROS_INFO[[PROVEEDOR]:[CORREO]],5,FALSE)</f>
        <v>jessica.barrios@carpainternacional.com;girlesa.ruiz@servipilas.com;joriescobar64@gmail.com</v>
      </c>
      <c r="D44" s="68">
        <v>44811</v>
      </c>
      <c r="E44" s="26" t="s">
        <v>289</v>
      </c>
      <c r="F44" s="69">
        <v>44803</v>
      </c>
      <c r="G44" s="35" t="s">
        <v>1075</v>
      </c>
      <c r="H44" s="70">
        <v>400.36</v>
      </c>
      <c r="I44" s="21">
        <f>+PROVEEDORES3[[#This Row],[Total USD]]*4460.5</f>
        <v>1785805.78</v>
      </c>
    </row>
    <row r="45" spans="1:9" ht="22.35" customHeight="1" x14ac:dyDescent="0.3">
      <c r="A45" s="67" t="str">
        <f>+IF(PROVEEDORES3[[#This Row],[FECHA DE PAGO]]=PROVEEDORES3[[#This Row],[FECHA DE FACTURACIÓN]],"DE CONTADO","CRÉDITO")</f>
        <v>CRÉDITO</v>
      </c>
      <c r="B45" s="38" t="e">
        <f>+IF((PROVEEDORES3[[#This Row],[FECHA DE PAGO]]-PROVEEDORES3[[#This Row],[FECHA DE FACTURACIÓN]])&gt;#REF!,"PAGO VENCIDO")</f>
        <v>#REF!</v>
      </c>
      <c r="C45" s="56" t="str">
        <f>+VLOOKUP(PROVEEDORES3[[#This Row],[PROVEEDOR]],TERCEROS_INFO[[PROVEEDOR]:[CORREO]],5,FALSE)</f>
        <v>mcastillo@kenextrading.com;agarcia@kenextrading.com;girlesa.ruiz@servipilas.com;joriescobar64@gmail.com</v>
      </c>
      <c r="D45" s="68">
        <v>44839</v>
      </c>
      <c r="E45" s="26" t="s">
        <v>31</v>
      </c>
      <c r="F45" s="69">
        <v>44761</v>
      </c>
      <c r="G45" s="35">
        <v>57126</v>
      </c>
      <c r="H45" s="70">
        <v>14678.73</v>
      </c>
      <c r="I45" s="21">
        <f>+PROVEEDORES3[[#This Row],[Total USD]]*4400</f>
        <v>64586412</v>
      </c>
    </row>
    <row r="46" spans="1:9" ht="22.35" customHeight="1" x14ac:dyDescent="0.3">
      <c r="A46" s="67" t="str">
        <f>+IF(PROVEEDORES3[[#This Row],[FECHA DE PAGO]]=PROVEEDORES3[[#This Row],[FECHA DE FACTURACIÓN]],"DE CONTADO","CRÉDITO")</f>
        <v>CRÉDITO</v>
      </c>
      <c r="B46" s="38" t="e">
        <f>+IF((PROVEEDORES3[[#This Row],[FECHA DE PAGO]]-PROVEEDORES3[[#This Row],[FECHA DE FACTURACIÓN]])&gt;#REF!,"PAGO VENCIDO")</f>
        <v>#REF!</v>
      </c>
      <c r="C46" s="56" t="str">
        <f>+VLOOKUP(PROVEEDORES3[[#This Row],[PROVEEDOR]],TERCEROS_INFO[[PROVEEDOR]:[CORREO]],5,FALSE)</f>
        <v>jessica.barrios@carpainternacional.com;girlesa.ruiz@servipilas.com;joriescobar64@gmail.com</v>
      </c>
      <c r="D46" s="68">
        <v>44870</v>
      </c>
      <c r="E46" s="26" t="s">
        <v>287</v>
      </c>
      <c r="F46" s="69">
        <v>37527</v>
      </c>
      <c r="G46" s="35">
        <v>1491</v>
      </c>
      <c r="H46" s="70">
        <v>56</v>
      </c>
      <c r="I46" s="21">
        <f>+PROVEEDORES3[[#This Row],[Total USD]]*5064.5</f>
        <v>283612</v>
      </c>
    </row>
    <row r="47" spans="1:9" ht="22.35" customHeight="1" x14ac:dyDescent="0.3">
      <c r="A47" s="67" t="str">
        <f>+IF(PROVEEDORES3[[#This Row],[FECHA DE PAGO]]=PROVEEDORES3[[#This Row],[FECHA DE FACTURACIÓN]],"DE CONTADO","CRÉDITO")</f>
        <v>CRÉDITO</v>
      </c>
      <c r="B47" s="38" t="e">
        <f>+IF((PROVEEDORES3[[#This Row],[FECHA DE PAGO]]-PROVEEDORES3[[#This Row],[FECHA DE FACTURACIÓN]])&gt;#REF!,"PAGO VENCIDO")</f>
        <v>#REF!</v>
      </c>
      <c r="C47" s="56" t="str">
        <f>+VLOOKUP(PROVEEDORES3[[#This Row],[PROVEEDOR]],TERCEROS_INFO[[PROVEEDOR]:[CORREO]],5,FALSE)</f>
        <v>jessica.barrios@carpainternacional.com;girlesa.ruiz@servipilas.com;joriescobar64@gmail.com</v>
      </c>
      <c r="D47" s="68">
        <v>44870</v>
      </c>
      <c r="E47" s="26" t="s">
        <v>287</v>
      </c>
      <c r="F47" s="69">
        <v>44824</v>
      </c>
      <c r="G47" s="35">
        <v>1483</v>
      </c>
      <c r="H47" s="70">
        <v>52</v>
      </c>
      <c r="I47" s="21">
        <f>+PROVEEDORES3[[#This Row],[Total USD]]*5064.5</f>
        <v>263354</v>
      </c>
    </row>
    <row r="48" spans="1:9" ht="22.35" customHeight="1" x14ac:dyDescent="0.3">
      <c r="A48" s="67" t="str">
        <f>+IF(PROVEEDORES3[[#This Row],[FECHA DE PAGO]]=PROVEEDORES3[[#This Row],[FECHA DE FACTURACIÓN]],"DE CONTADO","CRÉDITO")</f>
        <v>CRÉDITO</v>
      </c>
      <c r="B48" s="38" t="e">
        <f>+IF((PROVEEDORES3[[#This Row],[FECHA DE PAGO]]-PROVEEDORES3[[#This Row],[FECHA DE FACTURACIÓN]])&gt;#REF!,"PAGO VENCIDO")</f>
        <v>#REF!</v>
      </c>
      <c r="C48" s="56" t="str">
        <f>+VLOOKUP(PROVEEDORES3[[#This Row],[PROVEEDOR]],TERCEROS_INFO[[PROVEEDOR]:[CORREO]],5,FALSE)</f>
        <v>jessica.barrios@carpainternacional.com;girlesa.ruiz@servipilas.com;joriescobar64@gmail.com</v>
      </c>
      <c r="D48" s="68">
        <v>44870</v>
      </c>
      <c r="E48" s="26" t="s">
        <v>287</v>
      </c>
      <c r="F48" s="69">
        <v>44824</v>
      </c>
      <c r="G48" s="35">
        <v>1487</v>
      </c>
      <c r="H48" s="70">
        <v>92</v>
      </c>
      <c r="I48" s="21">
        <f>+PROVEEDORES3[[#This Row],[Total USD]]*5064.5</f>
        <v>465934</v>
      </c>
    </row>
    <row r="49" spans="1:9" ht="22.35" customHeight="1" x14ac:dyDescent="0.3">
      <c r="A49" s="67" t="str">
        <f>+IF(PROVEEDORES3[[#This Row],[FECHA DE PAGO]]=PROVEEDORES3[[#This Row],[FECHA DE FACTURACIÓN]],"DE CONTADO","CRÉDITO")</f>
        <v>CRÉDITO</v>
      </c>
      <c r="B49" s="38" t="e">
        <f>+IF((PROVEEDORES3[[#This Row],[FECHA DE PAGO]]-PROVEEDORES3[[#This Row],[FECHA DE FACTURACIÓN]])&gt;#REF!,"PAGO VENCIDO")</f>
        <v>#REF!</v>
      </c>
      <c r="C49" s="56" t="str">
        <f>+VLOOKUP(PROVEEDORES3[[#This Row],[PROVEEDOR]],TERCEROS_INFO[[PROVEEDOR]:[CORREO]],5,FALSE)</f>
        <v>jessica.barrios@carpainternacional.com;girlesa.ruiz@servipilas.com;joriescobar64@gmail.com</v>
      </c>
      <c r="D49" s="68">
        <v>44870</v>
      </c>
      <c r="E49" s="26" t="s">
        <v>287</v>
      </c>
      <c r="F49" s="69">
        <v>44832</v>
      </c>
      <c r="G49" s="35">
        <v>1492</v>
      </c>
      <c r="H49" s="70">
        <v>48</v>
      </c>
      <c r="I49" s="21">
        <f>+PROVEEDORES3[[#This Row],[Total USD]]*5064.5</f>
        <v>243096</v>
      </c>
    </row>
    <row r="50" spans="1:9" ht="22.35" customHeight="1" x14ac:dyDescent="0.3">
      <c r="A50" s="67" t="str">
        <f>+IF(PROVEEDORES3[[#This Row],[FECHA DE PAGO]]=PROVEEDORES3[[#This Row],[FECHA DE FACTURACIÓN]],"DE CONTADO","CRÉDITO")</f>
        <v>CRÉDITO</v>
      </c>
      <c r="B50" s="38" t="e">
        <f>+IF((PROVEEDORES3[[#This Row],[FECHA DE PAGO]]-PROVEEDORES3[[#This Row],[FECHA DE FACTURACIÓN]])&gt;#REF!,"PAGO VENCIDO")</f>
        <v>#REF!</v>
      </c>
      <c r="C50" s="56" t="str">
        <f>+VLOOKUP(PROVEEDORES3[[#This Row],[PROVEEDOR]],TERCEROS_INFO[[PROVEEDOR]:[CORREO]],5,FALSE)</f>
        <v>jessica.barrios@carpainternacional.com;girlesa.ruiz@servipilas.com;joriescobar64@gmail.com</v>
      </c>
      <c r="D50" s="68">
        <v>44870</v>
      </c>
      <c r="E50" s="26" t="s">
        <v>287</v>
      </c>
      <c r="F50" s="69">
        <v>44841</v>
      </c>
      <c r="G50" s="35">
        <v>1498</v>
      </c>
      <c r="H50" s="70">
        <v>60</v>
      </c>
      <c r="I50" s="21">
        <f>+PROVEEDORES3[[#This Row],[Total USD]]*5064.5</f>
        <v>303870</v>
      </c>
    </row>
    <row r="51" spans="1:9" ht="22.35" customHeight="1" x14ac:dyDescent="0.3">
      <c r="A51" s="67" t="str">
        <f>+IF(PROVEEDORES3[[#This Row],[FECHA DE PAGO]]=PROVEEDORES3[[#This Row],[FECHA DE FACTURACIÓN]],"DE CONTADO","CRÉDITO")</f>
        <v>CRÉDITO</v>
      </c>
      <c r="B51" s="38" t="e">
        <f>+IF((PROVEEDORES3[[#This Row],[FECHA DE PAGO]]-PROVEEDORES3[[#This Row],[FECHA DE FACTURACIÓN]])&gt;#REF!,"PAGO VENCIDO")</f>
        <v>#REF!</v>
      </c>
      <c r="C51" s="56" t="str">
        <f>+VLOOKUP(PROVEEDORES3[[#This Row],[PROVEEDOR]],TERCEROS_INFO[[PROVEEDOR]:[CORREO]],5,FALSE)</f>
        <v>jessica.barrios@carpainternacional.com;girlesa.ruiz@servipilas.com;joriescobar64@gmail.com</v>
      </c>
      <c r="D51" s="68">
        <v>44870</v>
      </c>
      <c r="E51" s="26" t="s">
        <v>287</v>
      </c>
      <c r="F51" s="69">
        <v>44841</v>
      </c>
      <c r="G51" s="35" t="s">
        <v>1207</v>
      </c>
      <c r="H51" s="70">
        <v>125.3</v>
      </c>
      <c r="I51" s="21">
        <f>+PROVEEDORES3[[#This Row],[Total USD]]*5064.5</f>
        <v>634581.85</v>
      </c>
    </row>
    <row r="52" spans="1:9" ht="22.35" customHeight="1" x14ac:dyDescent="0.3">
      <c r="A52" s="232" t="str">
        <f>+IF(PROVEEDORES3[[#This Row],[FECHA DE PAGO]]=PROVEEDORES3[[#This Row],[FECHA DE FACTURACIÓN]],"DE CONTADO","CRÉDITO")</f>
        <v>CRÉDITO</v>
      </c>
      <c r="B52" s="38" t="e">
        <f>+IF((PROVEEDORES3[[#This Row],[FECHA DE PAGO]]-PROVEEDORES3[[#This Row],[FECHA DE FACTURACIÓN]])&gt;#REF!,"PAGO VENCIDO")</f>
        <v>#REF!</v>
      </c>
      <c r="C52" s="56" t="str">
        <f>+VLOOKUP(PROVEEDORES3[[#This Row],[PROVEEDOR]],TERCEROS_INFO[[PROVEEDOR]:[CORREO]],5,FALSE)</f>
        <v>jessica.barrios@carpainternacional.com;girlesa.ruiz@servipilas.com;joriescobar64@gmail.com</v>
      </c>
      <c r="D52" s="68">
        <v>44870</v>
      </c>
      <c r="E52" s="26" t="s">
        <v>287</v>
      </c>
      <c r="F52" s="69">
        <v>44859</v>
      </c>
      <c r="G52" s="35">
        <v>1509</v>
      </c>
      <c r="H52" s="70">
        <v>52</v>
      </c>
      <c r="I52" s="21">
        <f>+PROVEEDORES3[[#This Row],[Total USD]]*5064.5</f>
        <v>263354</v>
      </c>
    </row>
    <row r="53" spans="1:9" ht="22.35" customHeight="1" x14ac:dyDescent="0.3">
      <c r="A53" s="232" t="str">
        <f>+IF(PROVEEDORES3[[#This Row],[FECHA DE PAGO]]=PROVEEDORES3[[#This Row],[FECHA DE FACTURACIÓN]],"DE CONTADO","CRÉDITO")</f>
        <v>CRÉDITO</v>
      </c>
      <c r="B53" s="38" t="e">
        <f>+IF((PROVEEDORES3[[#This Row],[FECHA DE PAGO]]-PROVEEDORES3[[#This Row],[FECHA DE FACTURACIÓN]])&gt;#REF!,"PAGO VENCIDO")</f>
        <v>#REF!</v>
      </c>
      <c r="C53" s="56" t="str">
        <f>+VLOOKUP(PROVEEDORES3[[#This Row],[PROVEEDOR]],TERCEROS_INFO[[PROVEEDOR]:[CORREO]],5,FALSE)</f>
        <v>jessica.barrios@carpainternacional.com;girlesa.ruiz@servipilas.com;joriescobar64@gmail.com</v>
      </c>
      <c r="D53" s="68">
        <v>44870</v>
      </c>
      <c r="E53" s="26" t="s">
        <v>287</v>
      </c>
      <c r="F53" s="69">
        <v>44859</v>
      </c>
      <c r="G53" s="35">
        <v>1510</v>
      </c>
      <c r="H53" s="70">
        <v>64</v>
      </c>
      <c r="I53" s="21">
        <f>+PROVEEDORES3[[#This Row],[Total USD]]*5064.5</f>
        <v>324128</v>
      </c>
    </row>
    <row r="54" spans="1:9" ht="22.35" customHeight="1" x14ac:dyDescent="0.3">
      <c r="A54" s="232" t="str">
        <f>+IF(PROVEEDORES3[[#This Row],[FECHA DE PAGO]]=PROVEEDORES3[[#This Row],[FECHA DE FACTURACIÓN]],"DE CONTADO","CRÉDITO")</f>
        <v>CRÉDITO</v>
      </c>
      <c r="B54" s="38" t="e">
        <f>+IF((PROVEEDORES3[[#This Row],[FECHA DE PAGO]]-PROVEEDORES3[[#This Row],[FECHA DE FACTURACIÓN]])&gt;#REF!,"PAGO VENCIDO")</f>
        <v>#REF!</v>
      </c>
      <c r="C54" s="56" t="str">
        <f>+VLOOKUP(PROVEEDORES3[[#This Row],[PROVEEDOR]],TERCEROS_INFO[[PROVEEDOR]:[CORREO]],5,FALSE)</f>
        <v>jessica.barrios@carpainternacional.com;girlesa.ruiz@servipilas.com;joriescobar64@gmail.com</v>
      </c>
      <c r="D54" s="68">
        <v>44870</v>
      </c>
      <c r="E54" s="26" t="s">
        <v>287</v>
      </c>
      <c r="F54" s="69">
        <v>44859</v>
      </c>
      <c r="G54" s="35">
        <v>1511</v>
      </c>
      <c r="H54" s="70">
        <v>68</v>
      </c>
      <c r="I54" s="21">
        <f>+PROVEEDORES3[[#This Row],[Total USD]]*5064.5</f>
        <v>344386</v>
      </c>
    </row>
    <row r="55" spans="1:9" ht="22.35" customHeight="1" x14ac:dyDescent="0.3">
      <c r="A55" s="232" t="str">
        <f>+IF(PROVEEDORES3[[#This Row],[FECHA DE PAGO]]=PROVEEDORES3[[#This Row],[FECHA DE FACTURACIÓN]],"DE CONTADO","CRÉDITO")</f>
        <v>CRÉDITO</v>
      </c>
      <c r="B55" s="38" t="e">
        <f>+IF((PROVEEDORES3[[#This Row],[FECHA DE PAGO]]-PROVEEDORES3[[#This Row],[FECHA DE FACTURACIÓN]])&gt;#REF!,"PAGO VENCIDO")</f>
        <v>#REF!</v>
      </c>
      <c r="C55" s="56" t="str">
        <f>+VLOOKUP(PROVEEDORES3[[#This Row],[PROVEEDOR]],TERCEROS_INFO[[PROVEEDOR]:[CORREO]],5,FALSE)</f>
        <v>jessica.barrios@carpainternacional.com;girlesa.ruiz@servipilas.com;joriescobar64@gmail.com</v>
      </c>
      <c r="D55" s="68">
        <v>44870</v>
      </c>
      <c r="E55" s="26" t="s">
        <v>287</v>
      </c>
      <c r="F55" s="69">
        <v>44859</v>
      </c>
      <c r="G55" s="35">
        <v>1512</v>
      </c>
      <c r="H55" s="70">
        <v>139.80000000000001</v>
      </c>
      <c r="I55" s="21">
        <f>+PROVEEDORES3[[#This Row],[Total USD]]*5064.5</f>
        <v>708017.10000000009</v>
      </c>
    </row>
    <row r="56" spans="1:9" ht="22.35" customHeight="1" x14ac:dyDescent="0.3">
      <c r="A56" s="67" t="str">
        <f>+IF(PROVEEDORES3[[#This Row],[FECHA DE PAGO]]=PROVEEDORES3[[#This Row],[FECHA DE FACTURACIÓN]],"DE CONTADO","CRÉDITO")</f>
        <v>CRÉDITO</v>
      </c>
      <c r="B56" s="38" t="e">
        <f>+IF((PROVEEDORES3[[#This Row],[FECHA DE PAGO]]-PROVEEDORES3[[#This Row],[FECHA DE FACTURACIÓN]])&gt;#REF!,"PAGO VENCIDO")</f>
        <v>#REF!</v>
      </c>
      <c r="C56" s="56" t="str">
        <f>+VLOOKUP(PROVEEDORES3[[#This Row],[PROVEEDOR]],TERCEROS_INFO[[PROVEEDOR]:[CORREO]],5,FALSE)</f>
        <v>jessica.barrios@carpainternacional.com;girlesa.ruiz@servipilas.com;joriescobar64@gmail.com</v>
      </c>
      <c r="D56" s="68">
        <v>44870</v>
      </c>
      <c r="E56" s="26" t="s">
        <v>289</v>
      </c>
      <c r="F56" s="69">
        <v>44861</v>
      </c>
      <c r="G56" s="35">
        <v>1513</v>
      </c>
      <c r="H56" s="70">
        <v>400</v>
      </c>
      <c r="I56" s="21">
        <f>+PROVEEDORES3[[#This Row],[Total USD]]*5064.5</f>
        <v>2025800</v>
      </c>
    </row>
    <row r="57" spans="1:9" ht="22.35" customHeight="1" x14ac:dyDescent="0.3">
      <c r="A57" s="67" t="str">
        <f>+IF(PROVEEDORES3[[#This Row],[FECHA DE PAGO]]=PROVEEDORES3[[#This Row],[FECHA DE FACTURACIÓN]],"DE CONTADO","CRÉDITO")</f>
        <v>CRÉDITO</v>
      </c>
      <c r="B57" s="38" t="e">
        <f>+IF((PROVEEDORES3[[#This Row],[FECHA DE PAGO]]-PROVEEDORES3[[#This Row],[FECHA DE FACTURACIÓN]])&gt;#REF!,"PAGO VENCIDO")</f>
        <v>#REF!</v>
      </c>
      <c r="C57" s="56" t="str">
        <f>+VLOOKUP(PROVEEDORES3[[#This Row],[PROVEEDOR]],TERCEROS_INFO[[PROVEEDOR]:[CORREO]],5,FALSE)</f>
        <v>jessica.barrios@carpainternacional.com;girlesa.ruiz@servipilas.com;joriescobar64@gmail.com</v>
      </c>
      <c r="D57" s="68">
        <v>44870</v>
      </c>
      <c r="E57" s="26" t="s">
        <v>287</v>
      </c>
      <c r="F57" s="69">
        <v>44865</v>
      </c>
      <c r="G57" s="35">
        <v>1522</v>
      </c>
      <c r="H57" s="70">
        <v>72</v>
      </c>
      <c r="I57" s="21">
        <f>+PROVEEDORES3[[#This Row],[Total USD]]*5064.5</f>
        <v>364644</v>
      </c>
    </row>
    <row r="58" spans="1:9" ht="22.35" customHeight="1" x14ac:dyDescent="0.3">
      <c r="A58" s="67" t="str">
        <f>+IF(PROVEEDORES3[[#This Row],[FECHA DE PAGO]]=PROVEEDORES3[[#This Row],[FECHA DE FACTURACIÓN]],"DE CONTADO","CRÉDITO")</f>
        <v>CRÉDITO</v>
      </c>
      <c r="B58" s="38" t="e">
        <f>+IF((PROVEEDORES3[[#This Row],[FECHA DE PAGO]]-PROVEEDORES3[[#This Row],[FECHA DE FACTURACIÓN]])&gt;#REF!,"PAGO VENCIDO")</f>
        <v>#REF!</v>
      </c>
      <c r="C58" s="56" t="str">
        <f>+VLOOKUP(PROVEEDORES3[[#This Row],[PROVEEDOR]],TERCEROS_INFO[[PROVEEDOR]:[CORREO]],5,FALSE)</f>
        <v>jessica.barrios@carpainternacional.com;girlesa.ruiz@servipilas.com;joriescobar64@gmail.com</v>
      </c>
      <c r="D58" s="68">
        <v>44870</v>
      </c>
      <c r="E58" s="26" t="s">
        <v>287</v>
      </c>
      <c r="F58" s="69">
        <v>44865</v>
      </c>
      <c r="G58" s="35">
        <v>1521</v>
      </c>
      <c r="H58" s="70">
        <v>64</v>
      </c>
      <c r="I58" s="21">
        <f>+PROVEEDORES3[[#This Row],[Total USD]]*5064.5</f>
        <v>324128</v>
      </c>
    </row>
    <row r="59" spans="1:9" ht="22.35" customHeight="1" x14ac:dyDescent="0.3">
      <c r="A59" s="67" t="str">
        <f>+IF(PROVEEDORES3[[#This Row],[FECHA DE PAGO]]=PROVEEDORES3[[#This Row],[FECHA DE FACTURACIÓN]],"DE CONTADO","CRÉDITO")</f>
        <v>CRÉDITO</v>
      </c>
      <c r="B59" s="38" t="e">
        <f>+IF((PROVEEDORES3[[#This Row],[FECHA DE PAGO]]-PROVEEDORES3[[#This Row],[FECHA DE FACTURACIÓN]])&gt;#REF!,"PAGO VENCIDO")</f>
        <v>#REF!</v>
      </c>
      <c r="C59" s="56" t="str">
        <f>+VLOOKUP(PROVEEDORES3[[#This Row],[PROVEEDOR]],TERCEROS_INFO[[PROVEEDOR]:[CORREO]],5,FALSE)</f>
        <v>jessica.barrios@carpainternacional.com;girlesa.ruiz@servipilas.com;joriescobar64@gmail.com</v>
      </c>
      <c r="D59" s="68">
        <v>44870</v>
      </c>
      <c r="E59" s="26" t="s">
        <v>287</v>
      </c>
      <c r="F59" s="69">
        <v>44865</v>
      </c>
      <c r="G59" s="35">
        <v>1519</v>
      </c>
      <c r="H59" s="70">
        <v>64</v>
      </c>
      <c r="I59" s="21">
        <f>+PROVEEDORES3[[#This Row],[Total USD]]*5064.5</f>
        <v>324128</v>
      </c>
    </row>
    <row r="60" spans="1:9" ht="22.35" customHeight="1" x14ac:dyDescent="0.3">
      <c r="A60" s="67" t="str">
        <f>+IF(PROVEEDORES3[[#This Row],[FECHA DE PAGO]]=PROVEEDORES3[[#This Row],[FECHA DE FACTURACIÓN]],"DE CONTADO","CRÉDITO")</f>
        <v>DE CONTADO</v>
      </c>
      <c r="B60" s="38" t="e">
        <f>+IF((PROVEEDORES3[[#This Row],[FECHA DE PAGO]]-PROVEEDORES3[[#This Row],[FECHA DE FACTURACIÓN]])&gt;#REF!,"PAGO VENCIDO")</f>
        <v>#REF!</v>
      </c>
      <c r="C60" s="56" t="str">
        <f>+VLOOKUP(PROVEEDORES3[[#This Row],[PROVEEDOR]],TERCEROS_INFO[[PROVEEDOR]:[CORREO]],5,FALSE)</f>
        <v>jessica.barrios@carpainternacional.com;girlesa.ruiz@servipilas.com;joriescobar64@gmail.com</v>
      </c>
      <c r="D60" s="68">
        <v>44907</v>
      </c>
      <c r="E60" s="26" t="s">
        <v>287</v>
      </c>
      <c r="F60" s="69">
        <v>44907</v>
      </c>
      <c r="G60" s="234" t="s">
        <v>1375</v>
      </c>
      <c r="H60" s="70"/>
      <c r="I60" s="21">
        <f>+PROVEEDORES3[[#This Row],[Total USD]]*3828.5</f>
        <v>0</v>
      </c>
    </row>
    <row r="61" spans="1:9" ht="22.35" customHeight="1" x14ac:dyDescent="0.3">
      <c r="A61" s="232" t="str">
        <f>+IF(PROVEEDORES3[[#This Row],[FECHA DE PAGO]]=PROVEEDORES3[[#This Row],[FECHA DE FACTURACIÓN]],"DE CONTADO","CRÉDITO")</f>
        <v>CRÉDITO</v>
      </c>
      <c r="B61" s="38" t="e">
        <f>+IF((PROVEEDORES3[[#This Row],[FECHA DE PAGO]]-PROVEEDORES3[[#This Row],[FECHA DE FACTURACIÓN]])&gt;#REF!,"PAGO VENCIDO")</f>
        <v>#REF!</v>
      </c>
      <c r="C61" s="56" t="str">
        <f>+VLOOKUP(PROVEEDORES3[[#This Row],[PROVEEDOR]],TERCEROS_INFO[[PROVEEDOR]:[CORREO]],5,FALSE)</f>
        <v>jessica.barrios@carpainternacional.com;girlesa.ruiz@servipilas.com;joriescobar64@gmail.com</v>
      </c>
      <c r="D61" s="68">
        <v>44915</v>
      </c>
      <c r="E61" s="26" t="s">
        <v>287</v>
      </c>
      <c r="F61" s="69">
        <v>44631</v>
      </c>
      <c r="G61" s="35">
        <v>1524</v>
      </c>
      <c r="H61" s="70">
        <v>148.1</v>
      </c>
      <c r="I61" s="21">
        <f>+PROVEEDORES3[[#This Row],[Total USD]]*5064.5</f>
        <v>750052.45</v>
      </c>
    </row>
    <row r="62" spans="1:9" ht="22.35" customHeight="1" x14ac:dyDescent="0.3">
      <c r="A62" s="232" t="str">
        <f>+IF(PROVEEDORES3[[#This Row],[FECHA DE PAGO]]=PROVEEDORES3[[#This Row],[FECHA DE FACTURACIÓN]],"DE CONTADO","CRÉDITO")</f>
        <v>CRÉDITO</v>
      </c>
      <c r="B62" s="38" t="e">
        <f>+IF((PROVEEDORES3[[#This Row],[FECHA DE PAGO]]-PROVEEDORES3[[#This Row],[FECHA DE FACTURACIÓN]])&gt;#REF!,"PAGO VENCIDO")</f>
        <v>#REF!</v>
      </c>
      <c r="C62" s="56" t="str">
        <f>+VLOOKUP(PROVEEDORES3[[#This Row],[PROVEEDOR]],TERCEROS_INFO[[PROVEEDOR]:[CORREO]],5,FALSE)</f>
        <v>jessica.barrios@carpainternacional.com;girlesa.ruiz@servipilas.com;joriescobar64@gmail.com</v>
      </c>
      <c r="D62" s="68">
        <v>44915</v>
      </c>
      <c r="E62" s="26" t="s">
        <v>287</v>
      </c>
      <c r="F62" s="69">
        <v>44868</v>
      </c>
      <c r="G62" s="35">
        <v>1525</v>
      </c>
      <c r="H62" s="70">
        <v>152.1</v>
      </c>
      <c r="I62" s="21">
        <f>+PROVEEDORES3[[#This Row],[Total USD]]*5064.5</f>
        <v>770310.45</v>
      </c>
    </row>
    <row r="63" spans="1:9" ht="22.35" customHeight="1" x14ac:dyDescent="0.3">
      <c r="A63" s="242" t="str">
        <f>+IF(PROVEEDORES3[[#This Row],[FECHA DE PAGO]]=PROVEEDORES3[[#This Row],[FECHA DE FACTURACIÓN]],"DE CONTADO","CRÉDITO")</f>
        <v>CRÉDITO</v>
      </c>
      <c r="B63" s="38" t="e">
        <f>+IF((PROVEEDORES3[[#This Row],[FECHA DE PAGO]]-PROVEEDORES3[[#This Row],[FECHA DE FACTURACIÓN]])&gt;#REF!,"PAGO VENCIDO")</f>
        <v>#REF!</v>
      </c>
      <c r="C63" s="56" t="str">
        <f>+VLOOKUP(PROVEEDORES3[[#This Row],[PROVEEDOR]],TERCEROS_INFO[[PROVEEDOR]:[CORREO]],5,FALSE)</f>
        <v>jessica.barrios@carpainternacional.com;girlesa.ruiz@servipilas.com;joriescobar64@gmail.com</v>
      </c>
      <c r="D63" s="68">
        <v>44915</v>
      </c>
      <c r="E63" s="26" t="s">
        <v>287</v>
      </c>
      <c r="F63" s="69">
        <v>44894</v>
      </c>
      <c r="G63" s="35">
        <v>1542</v>
      </c>
      <c r="H63" s="70">
        <v>48</v>
      </c>
      <c r="I63" s="21">
        <f>+PROVEEDORES3[[#This Row],[Total USD]]*4855</f>
        <v>233040</v>
      </c>
    </row>
    <row r="64" spans="1:9" ht="22.35" customHeight="1" x14ac:dyDescent="0.3">
      <c r="A64" s="242" t="str">
        <f>+IF(PROVEEDORES3[[#This Row],[FECHA DE PAGO]]=PROVEEDORES3[[#This Row],[FECHA DE FACTURACIÓN]],"DE CONTADO","CRÉDITO")</f>
        <v>CRÉDITO</v>
      </c>
      <c r="B64" s="38" t="e">
        <f>+IF((PROVEEDORES3[[#This Row],[FECHA DE PAGO]]-PROVEEDORES3[[#This Row],[FECHA DE FACTURACIÓN]])&gt;#REF!,"PAGO VENCIDO")</f>
        <v>#REF!</v>
      </c>
      <c r="C64" s="56" t="str">
        <f>+VLOOKUP(PROVEEDORES3[[#This Row],[PROVEEDOR]],TERCEROS_INFO[[PROVEEDOR]:[CORREO]],5,FALSE)</f>
        <v>jessica.barrios@carpainternacional.com;girlesa.ruiz@servipilas.com;joriescobar64@gmail.com</v>
      </c>
      <c r="D64" s="68">
        <v>44915</v>
      </c>
      <c r="E64" s="26" t="s">
        <v>287</v>
      </c>
      <c r="F64" s="69">
        <v>44895</v>
      </c>
      <c r="G64" s="35">
        <v>1543</v>
      </c>
      <c r="H64" s="70">
        <v>60</v>
      </c>
      <c r="I64" s="21">
        <f>+PROVEEDORES3[[#This Row],[Total USD]]*4855</f>
        <v>291300</v>
      </c>
    </row>
    <row r="65" spans="1:9" ht="22.35" customHeight="1" x14ac:dyDescent="0.3">
      <c r="A65" s="247" t="str">
        <f>+IF(PROVEEDORES3[[#This Row],[FECHA DE PAGO]]=PROVEEDORES3[[#This Row],[FECHA DE FACTURACIÓN]],"DE CONTADO","CRÉDITO")</f>
        <v>CRÉDITO</v>
      </c>
      <c r="B65" s="38" t="e">
        <f>+IF((PROVEEDORES3[[#This Row],[FECHA DE PAGO]]-PROVEEDORES3[[#This Row],[FECHA DE FACTURACIÓN]])&gt;#REF!,"PAGO VENCIDO")</f>
        <v>#REF!</v>
      </c>
      <c r="C65" s="56" t="str">
        <f>+VLOOKUP(PROVEEDORES3[[#This Row],[PROVEEDOR]],TERCEROS_INFO[[PROVEEDOR]:[CORREO]],5,FALSE)</f>
        <v>jessica.barrios@carpainternacional.com;girlesa.ruiz@servipilas.com;joriescobar64@gmail.com</v>
      </c>
      <c r="D65" s="68">
        <v>44915</v>
      </c>
      <c r="E65" s="26" t="s">
        <v>289</v>
      </c>
      <c r="F65" s="69">
        <v>44902</v>
      </c>
      <c r="G65" s="35">
        <v>1549</v>
      </c>
      <c r="H65" s="70">
        <v>695</v>
      </c>
      <c r="I65" s="21">
        <f>+PROVEEDORES3[[#This Row],[Total USD]]*4780</f>
        <v>3322100</v>
      </c>
    </row>
    <row r="66" spans="1:9" ht="22.35" customHeight="1" x14ac:dyDescent="0.3">
      <c r="A66" s="247" t="str">
        <f>+IF(PROVEEDORES3[[#This Row],[FECHA DE PAGO]]=PROVEEDORES3[[#This Row],[FECHA DE FACTURACIÓN]],"DE CONTADO","CRÉDITO")</f>
        <v>CRÉDITO</v>
      </c>
      <c r="B66" s="38" t="e">
        <f>+IF((PROVEEDORES3[[#This Row],[FECHA DE PAGO]]-PROVEEDORES3[[#This Row],[FECHA DE FACTURACIÓN]])&gt;#REF!,"PAGO VENCIDO")</f>
        <v>#REF!</v>
      </c>
      <c r="C66" s="56" t="str">
        <f>+VLOOKUP(PROVEEDORES3[[#This Row],[PROVEEDOR]],TERCEROS_INFO[[PROVEEDOR]:[CORREO]],5,FALSE)</f>
        <v>jessica.barrios@carpainternacional.com;girlesa.ruiz@servipilas.com;joriescobar64@gmail.com</v>
      </c>
      <c r="D66" s="68">
        <v>44915</v>
      </c>
      <c r="E66" s="26" t="s">
        <v>287</v>
      </c>
      <c r="F66" s="69">
        <v>44909</v>
      </c>
      <c r="G66" s="35">
        <v>1560</v>
      </c>
      <c r="H66" s="70">
        <v>146.9</v>
      </c>
      <c r="I66" s="21">
        <f>+PROVEEDORES3[[#This Row],[Total USD]]*4780</f>
        <v>702182</v>
      </c>
    </row>
    <row r="67" spans="1:9" ht="22.35" customHeight="1" x14ac:dyDescent="0.3">
      <c r="A67" s="247" t="str">
        <f>+IF(PROVEEDORES3[[#This Row],[FECHA DE PAGO]]=PROVEEDORES3[[#This Row],[FECHA DE FACTURACIÓN]],"DE CONTADO","CRÉDITO")</f>
        <v>CRÉDITO</v>
      </c>
      <c r="B67" s="38" t="e">
        <f>+IF((PROVEEDORES3[[#This Row],[FECHA DE PAGO]]-PROVEEDORES3[[#This Row],[FECHA DE FACTURACIÓN]])&gt;#REF!,"PAGO VENCIDO")</f>
        <v>#REF!</v>
      </c>
      <c r="C67" s="56" t="str">
        <f>+VLOOKUP(PROVEEDORES3[[#This Row],[PROVEEDOR]],TERCEROS_INFO[[PROVEEDOR]:[CORREO]],5,FALSE)</f>
        <v>jessica.barrios@carpainternacional.com;girlesa.ruiz@servipilas.com;joriescobar64@gmail.com</v>
      </c>
      <c r="D67" s="68">
        <v>44915</v>
      </c>
      <c r="E67" s="26" t="s">
        <v>287</v>
      </c>
      <c r="F67" s="69">
        <v>44909</v>
      </c>
      <c r="G67" s="35">
        <v>1559</v>
      </c>
      <c r="H67" s="70">
        <v>138.5</v>
      </c>
      <c r="I67" s="21">
        <f>+PROVEEDORES3[[#This Row],[Total USD]]*4780</f>
        <v>662030</v>
      </c>
    </row>
    <row r="68" spans="1:9" ht="22.35" customHeight="1" x14ac:dyDescent="0.3">
      <c r="A68" s="247" t="str">
        <f>+IF(PROVEEDORES3[[#This Row],[FECHA DE PAGO]]=PROVEEDORES3[[#This Row],[FECHA DE FACTURACIÓN]],"DE CONTADO","CRÉDITO")</f>
        <v>CRÉDITO</v>
      </c>
      <c r="B68" s="38" t="e">
        <f>+IF((PROVEEDORES3[[#This Row],[FECHA DE PAGO]]-PROVEEDORES3[[#This Row],[FECHA DE FACTURACIÓN]])&gt;#REF!,"PAGO VENCIDO")</f>
        <v>#REF!</v>
      </c>
      <c r="C68" s="56" t="str">
        <f>+VLOOKUP(PROVEEDORES3[[#This Row],[PROVEEDOR]],TERCEROS_INFO[[PROVEEDOR]:[CORREO]],5,FALSE)</f>
        <v>jessica.barrios@carpainternacional.com;girlesa.ruiz@servipilas.com;joriescobar64@gmail.com</v>
      </c>
      <c r="D68" s="68">
        <v>44915</v>
      </c>
      <c r="E68" s="26" t="s">
        <v>287</v>
      </c>
      <c r="F68" s="69">
        <v>44909</v>
      </c>
      <c r="G68" s="35">
        <v>1558</v>
      </c>
      <c r="H68" s="70">
        <v>56</v>
      </c>
      <c r="I68" s="21">
        <f>+PROVEEDORES3[[#This Row],[Total USD]]*4780</f>
        <v>267680</v>
      </c>
    </row>
    <row r="69" spans="1:9" ht="22.35" customHeight="1" x14ac:dyDescent="0.3">
      <c r="A69" s="247" t="str">
        <f>+IF(PROVEEDORES3[[#This Row],[FECHA DE PAGO]]=PROVEEDORES3[[#This Row],[FECHA DE FACTURACIÓN]],"DE CONTADO","CRÉDITO")</f>
        <v>CRÉDITO</v>
      </c>
      <c r="B69" s="38" t="e">
        <f>+IF((PROVEEDORES3[[#This Row],[FECHA DE PAGO]]-PROVEEDORES3[[#This Row],[FECHA DE FACTURACIÓN]])&gt;#REF!,"PAGO VENCIDO")</f>
        <v>#REF!</v>
      </c>
      <c r="C69" s="56" t="str">
        <f>+VLOOKUP(PROVEEDORES3[[#This Row],[PROVEEDOR]],TERCEROS_INFO[[PROVEEDOR]:[CORREO]],5,FALSE)</f>
        <v>jessica.barrios@carpainternacional.com;girlesa.ruiz@servipilas.com;joriescobar64@gmail.com</v>
      </c>
      <c r="D69" s="68">
        <v>44915</v>
      </c>
      <c r="E69" s="26" t="s">
        <v>287</v>
      </c>
      <c r="F69" s="69">
        <v>44914</v>
      </c>
      <c r="G69" s="35">
        <v>1561</v>
      </c>
      <c r="H69" s="70">
        <v>56</v>
      </c>
      <c r="I69" s="21">
        <f>+PROVEEDORES3[[#This Row],[Total USD]]*4780</f>
        <v>267680</v>
      </c>
    </row>
    <row r="70" spans="1:9" ht="22.35" customHeight="1" x14ac:dyDescent="0.3">
      <c r="A70" s="247" t="str">
        <f>+IF(PROVEEDORES3[[#This Row],[FECHA DE PAGO]]=PROVEEDORES3[[#This Row],[FECHA DE FACTURACIÓN]],"DE CONTADO","CRÉDITO")</f>
        <v>CRÉDITO</v>
      </c>
      <c r="B70" s="38" t="e">
        <f>+IF((PROVEEDORES3[[#This Row],[FECHA DE PAGO]]-PROVEEDORES3[[#This Row],[FECHA DE FACTURACIÓN]])&gt;#REF!,"PAGO VENCIDO")</f>
        <v>#REF!</v>
      </c>
      <c r="C70" s="56" t="str">
        <f>+VLOOKUP(PROVEEDORES3[[#This Row],[PROVEEDOR]],TERCEROS_INFO[[PROVEEDOR]:[CORREO]],5,FALSE)</f>
        <v>jessica.barrios@carpainternacional.com;girlesa.ruiz@servipilas.com;joriescobar64@gmail.com</v>
      </c>
      <c r="D70" s="68">
        <v>44915</v>
      </c>
      <c r="E70" s="26" t="s">
        <v>287</v>
      </c>
      <c r="F70" s="69">
        <v>44914</v>
      </c>
      <c r="G70" s="35">
        <v>1562</v>
      </c>
      <c r="H70" s="70">
        <v>52</v>
      </c>
      <c r="I70" s="21">
        <f>+PROVEEDORES3[[#This Row],[Total USD]]*4780</f>
        <v>248560</v>
      </c>
    </row>
    <row r="71" spans="1:9" ht="22.35" customHeight="1" x14ac:dyDescent="0.3">
      <c r="A71" s="249" t="str">
        <f>+IF(PROVEEDORES3[[#This Row],[FECHA DE PAGO]]=PROVEEDORES3[[#This Row],[FECHA DE FACTURACIÓN]],"DE CONTADO","CRÉDITO")</f>
        <v>CRÉDITO</v>
      </c>
      <c r="B71" s="38" t="e">
        <f>+IF((PROVEEDORES3[[#This Row],[FECHA DE PAGO]]-PROVEEDORES3[[#This Row],[FECHA DE FACTURACIÓN]])&gt;#REF!,"PAGO VENCIDO")</f>
        <v>#REF!</v>
      </c>
      <c r="C71" s="56" t="str">
        <f>+VLOOKUP(PROVEEDORES3[[#This Row],[PROVEEDOR]],TERCEROS_INFO[[PROVEEDOR]:[CORREO]],5,FALSE)</f>
        <v>mcastillo@kenextrading.com;agarcia@kenextrading.com;girlesa.ruiz@servipilas.com;joriescobar64@gmail.com</v>
      </c>
      <c r="D71" s="68">
        <v>44938</v>
      </c>
      <c r="E71" s="26" t="s">
        <v>31</v>
      </c>
      <c r="F71" s="69">
        <v>44865</v>
      </c>
      <c r="G71" s="35">
        <v>57910</v>
      </c>
      <c r="H71" s="70">
        <v>22863.35</v>
      </c>
      <c r="I71" s="21">
        <f>+PROVEEDORES3[[#This Row],[Total USD]]*4900</f>
        <v>112030415</v>
      </c>
    </row>
    <row r="72" spans="1:9" ht="22.35" customHeight="1" x14ac:dyDescent="0.3">
      <c r="A72" s="252" t="str">
        <f>+IF(PROVEEDORES3[[#This Row],[FECHA DE PAGO]]=PROVEEDORES3[[#This Row],[FECHA DE FACTURACIÓN]],"DE CONTADO","CRÉDITO")</f>
        <v>DE CONTADO</v>
      </c>
      <c r="B72" s="38" t="e">
        <f>+IF((PROVEEDORES3[[#This Row],[FECHA DE PAGO]]-PROVEEDORES3[[#This Row],[FECHA DE FACTURACIÓN]])&gt;#REF!,"PAGO VENCIDO")</f>
        <v>#REF!</v>
      </c>
      <c r="C72" s="56" t="str">
        <f>+VLOOKUP(PROVEEDORES3[[#This Row],[PROVEEDOR]],TERCEROS_INFO[[PROVEEDOR]:[CORREO]],5,FALSE)</f>
        <v>jessica.barrios@carpainternacional.com;girlesa.ruiz@servipilas.com;joriescobar64@gmail.com</v>
      </c>
      <c r="D72" s="69">
        <v>44938</v>
      </c>
      <c r="E72" s="26" t="s">
        <v>287</v>
      </c>
      <c r="F72" s="69">
        <v>44938</v>
      </c>
      <c r="G72" s="234" t="s">
        <v>1375</v>
      </c>
      <c r="H72" s="70">
        <v>0</v>
      </c>
      <c r="I72" s="21">
        <f>+PROVEEDORES3[[#This Row],[Total USD]]*5000</f>
        <v>0</v>
      </c>
    </row>
    <row r="73" spans="1:9" ht="22.35" customHeight="1" x14ac:dyDescent="0.3">
      <c r="A73" s="249" t="str">
        <f>+IF(PROVEEDORES3[[#This Row],[FECHA DE PAGO]]=PROVEEDORES3[[#This Row],[FECHA DE FACTURACIÓN]],"DE CONTADO","CRÉDITO")</f>
        <v>CRÉDITO</v>
      </c>
      <c r="B73" s="38" t="e">
        <f>+IF((PROVEEDORES3[[#This Row],[FECHA DE PAGO]]-PROVEEDORES3[[#This Row],[FECHA DE FACTURACIÓN]])&gt;#REF!,"PAGO VENCIDO")</f>
        <v>#REF!</v>
      </c>
      <c r="C73" s="56" t="str">
        <f>+VLOOKUP(PROVEEDORES3[[#This Row],[PROVEEDOR]],TERCEROS_INFO[[PROVEEDOR]:[CORREO]],5,FALSE)</f>
        <v>mcastillo@kenextrading.com;agarcia@kenextrading.com;girlesa.ruiz@servipilas.com;joriescobar64@gmail.com</v>
      </c>
      <c r="D73" s="68">
        <v>44971</v>
      </c>
      <c r="E73" s="26" t="s">
        <v>31</v>
      </c>
      <c r="F73" s="69">
        <v>44896</v>
      </c>
      <c r="G73" s="35">
        <v>58088</v>
      </c>
      <c r="H73" s="70">
        <v>13343</v>
      </c>
      <c r="I73" s="21">
        <f>+PROVEEDORES3[[#This Row],[Total USD]]*4900</f>
        <v>65380700</v>
      </c>
    </row>
    <row r="74" spans="1:9" ht="22.35" customHeight="1" x14ac:dyDescent="0.3">
      <c r="A74" s="252" t="str">
        <f>+IF(PROVEEDORES3[[#This Row],[FECHA DE PAGO]]=PROVEEDORES3[[#This Row],[FECHA DE FACTURACIÓN]],"DE CONTADO","CRÉDITO")</f>
        <v>CRÉDITO</v>
      </c>
      <c r="B74" s="38" t="e">
        <f>+IF((PROVEEDORES3[[#This Row],[FECHA DE PAGO]]-PROVEEDORES3[[#This Row],[FECHA DE FACTURACIÓN]])&gt;#REF!,"PAGO VENCIDO")</f>
        <v>#REF!</v>
      </c>
      <c r="C74" s="56" t="str">
        <f>+VLOOKUP(PROVEEDORES3[[#This Row],[PROVEEDOR]],TERCEROS_INFO[[PROVEEDOR]:[CORREO]],5,FALSE)</f>
        <v>jessica.barrios@carpainternacional.com;girlesa.ruiz@servipilas.com;joriescobar64@gmail.com</v>
      </c>
      <c r="D74" s="68">
        <v>44992</v>
      </c>
      <c r="E74" s="26" t="s">
        <v>287</v>
      </c>
      <c r="F74" s="69">
        <v>44914</v>
      </c>
      <c r="G74" s="35">
        <v>1566</v>
      </c>
      <c r="H74" s="70">
        <v>40</v>
      </c>
      <c r="I74" s="21">
        <f>+PROVEEDORES3[[#This Row],[Total USD]]*4800</f>
        <v>192000</v>
      </c>
    </row>
    <row r="75" spans="1:9" ht="22.35" customHeight="1" x14ac:dyDescent="0.3">
      <c r="A75" s="252" t="str">
        <f>+IF(PROVEEDORES3[[#This Row],[FECHA DE PAGO]]=PROVEEDORES3[[#This Row],[FECHA DE FACTURACIÓN]],"DE CONTADO","CRÉDITO")</f>
        <v>CRÉDITO</v>
      </c>
      <c r="B75" s="38" t="e">
        <f>+IF((PROVEEDORES3[[#This Row],[FECHA DE PAGO]]-PROVEEDORES3[[#This Row],[FECHA DE FACTURACIÓN]])&gt;#REF!,"PAGO VENCIDO")</f>
        <v>#REF!</v>
      </c>
      <c r="C75" s="56" t="str">
        <f>+VLOOKUP(PROVEEDORES3[[#This Row],[PROVEEDOR]],TERCEROS_INFO[[PROVEEDOR]:[CORREO]],5,FALSE)</f>
        <v>jessica.barrios@carpainternacional.com;girlesa.ruiz@servipilas.com;joriescobar64@gmail.com</v>
      </c>
      <c r="D75" s="68">
        <v>44992</v>
      </c>
      <c r="E75" s="26" t="s">
        <v>287</v>
      </c>
      <c r="F75" s="69">
        <v>44922</v>
      </c>
      <c r="G75" s="35">
        <v>1567</v>
      </c>
      <c r="H75" s="70">
        <v>40</v>
      </c>
      <c r="I75" s="21">
        <f>+PROVEEDORES3[[#This Row],[Total USD]]*4800</f>
        <v>192000</v>
      </c>
    </row>
    <row r="76" spans="1:9" ht="22.35" customHeight="1" x14ac:dyDescent="0.3">
      <c r="A76" s="252" t="str">
        <f>+IF(PROVEEDORES3[[#This Row],[FECHA DE PAGO]]=PROVEEDORES3[[#This Row],[FECHA DE FACTURACIÓN]],"DE CONTADO","CRÉDITO")</f>
        <v>CRÉDITO</v>
      </c>
      <c r="B76" s="38" t="e">
        <f>+IF((PROVEEDORES3[[#This Row],[FECHA DE PAGO]]-PROVEEDORES3[[#This Row],[FECHA DE FACTURACIÓN]])&gt;#REF!,"PAGO VENCIDO")</f>
        <v>#REF!</v>
      </c>
      <c r="C76" s="56" t="str">
        <f>+VLOOKUP(PROVEEDORES3[[#This Row],[PROVEEDOR]],TERCEROS_INFO[[PROVEEDOR]:[CORREO]],5,FALSE)</f>
        <v>jessica.barrios@carpainternacional.com;girlesa.ruiz@servipilas.com;joriescobar64@gmail.com</v>
      </c>
      <c r="D76" s="68">
        <v>44992</v>
      </c>
      <c r="E76" s="26" t="s">
        <v>287</v>
      </c>
      <c r="F76" s="69">
        <v>44922</v>
      </c>
      <c r="G76" s="35">
        <v>1568</v>
      </c>
      <c r="H76" s="70">
        <v>44</v>
      </c>
      <c r="I76" s="21">
        <f>+PROVEEDORES3[[#This Row],[Total USD]]*4800</f>
        <v>211200</v>
      </c>
    </row>
    <row r="77" spans="1:9" ht="22.35" customHeight="1" x14ac:dyDescent="0.3">
      <c r="A77" s="67" t="str">
        <f>+IF(PROVEEDORES3[[#This Row],[FECHA DE PAGO]]=PROVEEDORES3[[#This Row],[FECHA DE FACTURACIÓN]],"DE CONTADO","CRÉDITO")</f>
        <v>CRÉDITO</v>
      </c>
      <c r="B77" s="38" t="e">
        <f>+IF((PROVEEDORES3[[#This Row],[FECHA DE PAGO]]-PROVEEDORES3[[#This Row],[FECHA DE FACTURACIÓN]])&gt;#REF!,"PAGO VENCIDO")</f>
        <v>#REF!</v>
      </c>
      <c r="C77" s="56" t="str">
        <f>+VLOOKUP(PROVEEDORES3[[#This Row],[PROVEEDOR]],TERCEROS_INFO[[PROVEEDOR]:[CORREO]],5,FALSE)</f>
        <v>jessica.barrios@carpainternacional.com;girlesa.ruiz@servipilas.com;joriescobar64@gmail.com</v>
      </c>
      <c r="D77" s="68">
        <v>44992</v>
      </c>
      <c r="E77" s="26" t="s">
        <v>287</v>
      </c>
      <c r="F77" s="69">
        <v>44922</v>
      </c>
      <c r="G77" s="35">
        <v>1570</v>
      </c>
      <c r="H77" s="70">
        <v>40</v>
      </c>
      <c r="I77" s="21">
        <f>+PROVEEDORES3[[#This Row],[Total USD]]*4800</f>
        <v>192000</v>
      </c>
    </row>
    <row r="78" spans="1:9" ht="22.35" customHeight="1" x14ac:dyDescent="0.3">
      <c r="A78" s="67" t="str">
        <f>+IF(PROVEEDORES3[[#This Row],[FECHA DE PAGO]]=PROVEEDORES3[[#This Row],[FECHA DE FACTURACIÓN]],"DE CONTADO","CRÉDITO")</f>
        <v>CRÉDITO</v>
      </c>
      <c r="B78" s="38" t="e">
        <f>+IF((PROVEEDORES3[[#This Row],[FECHA DE PAGO]]-PROVEEDORES3[[#This Row],[FECHA DE FACTURACIÓN]])&gt;#REF!,"PAGO VENCIDO")</f>
        <v>#REF!</v>
      </c>
      <c r="C78" s="56" t="str">
        <f>+VLOOKUP(PROVEEDORES3[[#This Row],[PROVEEDOR]],TERCEROS_INFO[[PROVEEDOR]:[CORREO]],5,FALSE)</f>
        <v>jessica.barrios@carpainternacional.com;girlesa.ruiz@servipilas.com;joriescobar64@gmail.com</v>
      </c>
      <c r="D78" s="68">
        <v>44992</v>
      </c>
      <c r="E78" s="26" t="s">
        <v>287</v>
      </c>
      <c r="F78" s="69">
        <v>44924</v>
      </c>
      <c r="G78" s="35">
        <v>1575</v>
      </c>
      <c r="H78" s="70">
        <v>64</v>
      </c>
      <c r="I78" s="21">
        <f>+PROVEEDORES3[[#This Row],[Total USD]]*4800</f>
        <v>307200</v>
      </c>
    </row>
    <row r="79" spans="1:9" ht="22.35" customHeight="1" x14ac:dyDescent="0.3">
      <c r="A79" s="67" t="str">
        <f>+IF(PROVEEDORES3[[#This Row],[FECHA DE PAGO]]=PROVEEDORES3[[#This Row],[FECHA DE FACTURACIÓN]],"DE CONTADO","CRÉDITO")</f>
        <v>CRÉDITO</v>
      </c>
      <c r="B79" s="38" t="e">
        <f>+IF((PROVEEDORES3[[#This Row],[FECHA DE PAGO]]-PROVEEDORES3[[#This Row],[FECHA DE FACTURACIÓN]])&gt;#REF!,"PAGO VENCIDO")</f>
        <v>#REF!</v>
      </c>
      <c r="C79" s="56" t="str">
        <f>+VLOOKUP(PROVEEDORES3[[#This Row],[PROVEEDOR]],TERCEROS_INFO[[PROVEEDOR]:[CORREO]],5,FALSE)</f>
        <v>jessica.barrios@carpainternacional.com;girlesa.ruiz@servipilas.com;joriescobar64@gmail.com</v>
      </c>
      <c r="D79" s="68">
        <v>44992</v>
      </c>
      <c r="E79" s="26" t="s">
        <v>287</v>
      </c>
      <c r="F79" s="69">
        <v>44924</v>
      </c>
      <c r="G79" s="35">
        <v>1576</v>
      </c>
      <c r="H79" s="70">
        <v>52</v>
      </c>
      <c r="I79" s="21">
        <f>+PROVEEDORES3[[#This Row],[Total USD]]*4800</f>
        <v>249600</v>
      </c>
    </row>
    <row r="80" spans="1:9" ht="22.35" customHeight="1" x14ac:dyDescent="0.3">
      <c r="A80" s="257" t="str">
        <f>+IF(PROVEEDORES3[[#This Row],[FECHA DE PAGO]]=PROVEEDORES3[[#This Row],[FECHA DE FACTURACIÓN]],"DE CONTADO","CRÉDITO")</f>
        <v>CRÉDITO</v>
      </c>
      <c r="B80" s="38" t="e">
        <f>+IF((PROVEEDORES3[[#This Row],[FECHA DE PAGO]]-PROVEEDORES3[[#This Row],[FECHA DE FACTURACIÓN]])&gt;#REF!,"PAGO VENCIDO")</f>
        <v>#REF!</v>
      </c>
      <c r="C80" s="56" t="str">
        <f>+VLOOKUP(PROVEEDORES3[[#This Row],[PROVEEDOR]],TERCEROS_INFO[[PROVEEDOR]:[CORREO]],5,FALSE)</f>
        <v>jessica.barrios@carpainternacional.com;girlesa.ruiz@servipilas.com;joriescobar64@gmail.com</v>
      </c>
      <c r="D80" s="68">
        <v>44992</v>
      </c>
      <c r="E80" s="26" t="s">
        <v>287</v>
      </c>
      <c r="F80" s="69">
        <v>44927</v>
      </c>
      <c r="G80" s="35">
        <v>1585</v>
      </c>
      <c r="H80" s="70">
        <v>40</v>
      </c>
      <c r="I80" s="21">
        <f>+PROVEEDORES3[[#This Row],[Total USD]]*4800</f>
        <v>192000</v>
      </c>
    </row>
    <row r="81" spans="1:9" ht="22.35" customHeight="1" x14ac:dyDescent="0.3">
      <c r="A81" s="257" t="str">
        <f>+IF(PROVEEDORES3[[#This Row],[FECHA DE PAGO]]=PROVEEDORES3[[#This Row],[FECHA DE FACTURACIÓN]],"DE CONTADO","CRÉDITO")</f>
        <v>CRÉDITO</v>
      </c>
      <c r="B81" s="38" t="e">
        <f>+IF((PROVEEDORES3[[#This Row],[FECHA DE PAGO]]-PROVEEDORES3[[#This Row],[FECHA DE FACTURACIÓN]])&gt;#REF!,"PAGO VENCIDO")</f>
        <v>#REF!</v>
      </c>
      <c r="C81" s="56" t="str">
        <f>+VLOOKUP(PROVEEDORES3[[#This Row],[PROVEEDOR]],TERCEROS_INFO[[PROVEEDOR]:[CORREO]],5,FALSE)</f>
        <v>jessica.barrios@carpainternacional.com;girlesa.ruiz@servipilas.com;joriescobar64@gmail.com</v>
      </c>
      <c r="D81" s="68">
        <v>44992</v>
      </c>
      <c r="E81" s="26" t="s">
        <v>287</v>
      </c>
      <c r="F81" s="69">
        <v>44927</v>
      </c>
      <c r="G81" s="35">
        <v>1586</v>
      </c>
      <c r="H81" s="70">
        <v>40</v>
      </c>
      <c r="I81" s="21">
        <f>+PROVEEDORES3[[#This Row],[Total USD]]*4800</f>
        <v>192000</v>
      </c>
    </row>
    <row r="82" spans="1:9" ht="22.35" customHeight="1" x14ac:dyDescent="0.3">
      <c r="A82" s="67" t="str">
        <f>+IF(PROVEEDORES3[[#This Row],[FECHA DE PAGO]]=PROVEEDORES3[[#This Row],[FECHA DE FACTURACIÓN]],"DE CONTADO","CRÉDITO")</f>
        <v>CRÉDITO</v>
      </c>
      <c r="B82" s="38" t="e">
        <f>+IF((PROVEEDORES3[[#This Row],[FECHA DE PAGO]]-PROVEEDORES3[[#This Row],[FECHA DE FACTURACIÓN]])&gt;#REF!,"PAGO VENCIDO")</f>
        <v>#REF!</v>
      </c>
      <c r="C82" s="56" t="str">
        <f>+VLOOKUP(PROVEEDORES3[[#This Row],[PROVEEDOR]],TERCEROS_INFO[[PROVEEDOR]:[CORREO]],5,FALSE)</f>
        <v>jessica.barrios@carpainternacional.com;girlesa.ruiz@servipilas.com;joriescobar64@gmail.com</v>
      </c>
      <c r="D82" s="68">
        <v>44992</v>
      </c>
      <c r="E82" s="26" t="s">
        <v>287</v>
      </c>
      <c r="F82" s="69">
        <v>44949</v>
      </c>
      <c r="G82" s="35">
        <v>1591</v>
      </c>
      <c r="H82" s="70">
        <v>112.9</v>
      </c>
      <c r="I82" s="21">
        <f>+PROVEEDORES3[[#This Row],[Total USD]]*4600</f>
        <v>519340</v>
      </c>
    </row>
    <row r="83" spans="1:9" ht="22.35" customHeight="1" x14ac:dyDescent="0.3">
      <c r="A83" s="261" t="str">
        <f>+IF(PROVEEDORES3[[#This Row],[FECHA DE PAGO]]=PROVEEDORES3[[#This Row],[FECHA DE FACTURACIÓN]],"DE CONTADO","CRÉDITO")</f>
        <v>CRÉDITO</v>
      </c>
      <c r="B83" s="38" t="e">
        <f>+IF((PROVEEDORES3[[#This Row],[FECHA DE PAGO]]-PROVEEDORES3[[#This Row],[FECHA DE FACTURACIÓN]])&gt;#REF!,"PAGO VENCIDO")</f>
        <v>#REF!</v>
      </c>
      <c r="C83" s="56" t="str">
        <f>+VLOOKUP(PROVEEDORES3[[#This Row],[PROVEEDOR]],TERCEROS_INFO[[PROVEEDOR]:[CORREO]],5,FALSE)</f>
        <v>jessica.barrios@carpainternacional.com;girlesa.ruiz@servipilas.com;joriescobar64@gmail.com</v>
      </c>
      <c r="D83" s="68">
        <v>44992</v>
      </c>
      <c r="E83" s="26" t="s">
        <v>287</v>
      </c>
      <c r="F83" s="69">
        <v>44949</v>
      </c>
      <c r="G83" s="35">
        <v>1598</v>
      </c>
      <c r="H83" s="70">
        <v>40</v>
      </c>
      <c r="I83" s="21">
        <f>+PROVEEDORES3[[#This Row],[Total USD]]*4600</f>
        <v>184000</v>
      </c>
    </row>
    <row r="84" spans="1:9" ht="22.35" customHeight="1" x14ac:dyDescent="0.3">
      <c r="A84" s="67" t="str">
        <f>+IF(PROVEEDORES3[[#This Row],[FECHA DE PAGO]]=PROVEEDORES3[[#This Row],[FECHA DE FACTURACIÓN]],"DE CONTADO","CRÉDITO")</f>
        <v>CRÉDITO</v>
      </c>
      <c r="B84" s="38" t="e">
        <f>+IF((PROVEEDORES3[[#This Row],[FECHA DE PAGO]]-PROVEEDORES3[[#This Row],[FECHA DE FACTURACIÓN]])&gt;#REF!,"PAGO VENCIDO")</f>
        <v>#REF!</v>
      </c>
      <c r="C84" s="56" t="str">
        <f>+VLOOKUP(PROVEEDORES3[[#This Row],[PROVEEDOR]],TERCEROS_INFO[[PROVEEDOR]:[CORREO]],5,FALSE)</f>
        <v>jessica.barrios@carpainternacional.com;girlesa.ruiz@servipilas.com;joriescobar64@gmail.com</v>
      </c>
      <c r="D84" s="68">
        <v>44992</v>
      </c>
      <c r="E84" s="26" t="s">
        <v>289</v>
      </c>
      <c r="F84" s="69">
        <v>44949</v>
      </c>
      <c r="G84" s="35">
        <v>1589</v>
      </c>
      <c r="H84" s="70">
        <v>499.8</v>
      </c>
      <c r="I84" s="21">
        <f>+PROVEEDORES3[[#This Row],[Total USD]]*4600</f>
        <v>2299080</v>
      </c>
    </row>
    <row r="85" spans="1:9" ht="22.35" customHeight="1" x14ac:dyDescent="0.3">
      <c r="A85" s="265" t="str">
        <f>+IF(PROVEEDORES3[[#This Row],[FECHA DE PAGO]]=PROVEEDORES3[[#This Row],[FECHA DE FACTURACIÓN]],"DE CONTADO","CRÉDITO")</f>
        <v>CRÉDITO</v>
      </c>
      <c r="B85" s="38" t="e">
        <f>+IF((PROVEEDORES3[[#This Row],[FECHA DE PAGO]]-PROVEEDORES3[[#This Row],[FECHA DE FACTURACIÓN]])&gt;#REF!,"PAGO VENCIDO")</f>
        <v>#REF!</v>
      </c>
      <c r="C85" s="56" t="str">
        <f>+VLOOKUP(PROVEEDORES3[[#This Row],[PROVEEDOR]],TERCEROS_INFO[[PROVEEDOR]:[CORREO]],5,FALSE)</f>
        <v>jessica.barrios@carpainternacional.com;girlesa.ruiz@servipilas.com;joriescobar64@gmail.com</v>
      </c>
      <c r="D85" s="68">
        <v>44992</v>
      </c>
      <c r="E85" s="26" t="s">
        <v>287</v>
      </c>
      <c r="F85" s="69">
        <v>44963</v>
      </c>
      <c r="G85" s="35">
        <v>1607</v>
      </c>
      <c r="H85" s="70">
        <v>40</v>
      </c>
      <c r="I85" s="21">
        <f>+PROVEEDORES3[[#This Row],[Total USD]]*4780</f>
        <v>191200</v>
      </c>
    </row>
    <row r="86" spans="1:9" ht="22.35" customHeight="1" x14ac:dyDescent="0.3">
      <c r="A86" s="271" t="str">
        <f>+IF(PROVEEDORES3[[#This Row],[FECHA DE PAGO]]=PROVEEDORES3[[#This Row],[FECHA DE FACTURACIÓN]],"DE CONTADO","CRÉDITO")</f>
        <v>CRÉDITO</v>
      </c>
      <c r="B86" s="38" t="e">
        <f>+IF((PROVEEDORES3[[#This Row],[FECHA DE PAGO]]-PROVEEDORES3[[#This Row],[FECHA DE FACTURACIÓN]])&gt;#REF!,"PAGO VENCIDO")</f>
        <v>#REF!</v>
      </c>
      <c r="C86" s="56" t="str">
        <f>+VLOOKUP(PROVEEDORES3[[#This Row],[PROVEEDOR]],TERCEROS_INFO[[PROVEEDOR]:[CORREO]],5,FALSE)</f>
        <v>jessica.barrios@carpainternacional.com;girlesa.ruiz@servipilas.com;joriescobar64@gmail.com</v>
      </c>
      <c r="D86" s="68">
        <v>44992</v>
      </c>
      <c r="E86" s="26" t="s">
        <v>287</v>
      </c>
      <c r="F86" s="69">
        <v>44963</v>
      </c>
      <c r="G86" s="35">
        <v>1624</v>
      </c>
      <c r="H86" s="70">
        <v>242.4</v>
      </c>
      <c r="I86" s="21">
        <f>+PROVEEDORES3[[#This Row],[Total USD]]*4860</f>
        <v>1178064</v>
      </c>
    </row>
    <row r="87" spans="1:9" ht="22.35" customHeight="1" x14ac:dyDescent="0.3">
      <c r="A87" s="271" t="str">
        <f>+IF(PROVEEDORES3[[#This Row],[FECHA DE PAGO]]=PROVEEDORES3[[#This Row],[FECHA DE FACTURACIÓN]],"DE CONTADO","CRÉDITO")</f>
        <v>CRÉDITO</v>
      </c>
      <c r="B87" s="38" t="e">
        <f>+IF((PROVEEDORES3[[#This Row],[FECHA DE PAGO]]-PROVEEDORES3[[#This Row],[FECHA DE FACTURACIÓN]])&gt;#REF!,"PAGO VENCIDO")</f>
        <v>#REF!</v>
      </c>
      <c r="C87" s="56" t="str">
        <f>+VLOOKUP(PROVEEDORES3[[#This Row],[PROVEEDOR]],TERCEROS_INFO[[PROVEEDOR]:[CORREO]],5,FALSE)</f>
        <v>jessica.barrios@carpainternacional.com;girlesa.ruiz@servipilas.com;joriescobar64@gmail.com</v>
      </c>
      <c r="D87" s="68">
        <v>44992</v>
      </c>
      <c r="E87" s="26" t="s">
        <v>287</v>
      </c>
      <c r="F87" s="69">
        <v>44963</v>
      </c>
      <c r="G87" s="35">
        <v>1623</v>
      </c>
      <c r="H87" s="70">
        <v>72</v>
      </c>
      <c r="I87" s="21">
        <f>+PROVEEDORES3[[#This Row],[Total USD]]*4860</f>
        <v>349920</v>
      </c>
    </row>
    <row r="88" spans="1:9" ht="22.35" customHeight="1" x14ac:dyDescent="0.3">
      <c r="A88" s="265" t="str">
        <f>+IF(PROVEEDORES3[[#This Row],[FECHA DE PAGO]]=PROVEEDORES3[[#This Row],[FECHA DE FACTURACIÓN]],"DE CONTADO","CRÉDITO")</f>
        <v>CRÉDITO</v>
      </c>
      <c r="B88" s="38" t="e">
        <f>+IF((PROVEEDORES3[[#This Row],[FECHA DE PAGO]]-PROVEEDORES3[[#This Row],[FECHA DE FACTURACIÓN]])&gt;#REF!,"PAGO VENCIDO")</f>
        <v>#REF!</v>
      </c>
      <c r="C88" s="56" t="str">
        <f>+VLOOKUP(PROVEEDORES3[[#This Row],[PROVEEDOR]],TERCEROS_INFO[[PROVEEDOR]:[CORREO]],5,FALSE)</f>
        <v>jessica.barrios@carpainternacional.com;girlesa.ruiz@servipilas.com;joriescobar64@gmail.com</v>
      </c>
      <c r="D88" s="68">
        <v>44992</v>
      </c>
      <c r="E88" s="26" t="s">
        <v>287</v>
      </c>
      <c r="F88" s="69">
        <v>45079</v>
      </c>
      <c r="G88" s="35">
        <v>1608</v>
      </c>
      <c r="H88" s="70">
        <v>40</v>
      </c>
      <c r="I88" s="21">
        <f>+PROVEEDORES3[[#This Row],[Total USD]]*4780</f>
        <v>191200</v>
      </c>
    </row>
    <row r="89" spans="1:9" ht="22.35" customHeight="1" x14ac:dyDescent="0.3">
      <c r="A89" s="67" t="str">
        <f>+IF(PROVEEDORES3[[#This Row],[FECHA DE PAGO]]=PROVEEDORES3[[#This Row],[FECHA DE FACTURACIÓN]],"DE CONTADO","CRÉDITO")</f>
        <v>CRÉDITO</v>
      </c>
      <c r="B89" s="38" t="e">
        <f>+IF((PROVEEDORES3[[#This Row],[FECHA DE PAGO]]-PROVEEDORES3[[#This Row],[FECHA DE FACTURACIÓN]])&gt;#REF!,"PAGO VENCIDO")</f>
        <v>#REF!</v>
      </c>
      <c r="C89" s="56" t="str">
        <f>+VLOOKUP(PROVEEDORES3[[#This Row],[PROVEEDOR]],TERCEROS_INFO[[PROVEEDOR]:[CORREO]],5,FALSE)</f>
        <v>jessica.barrios@carpainternacional.com;girlesa.ruiz@servipilas.com;joriescobar64@gmail.com</v>
      </c>
      <c r="D89" s="68">
        <v>45026</v>
      </c>
      <c r="E89" s="26" t="s">
        <v>287</v>
      </c>
      <c r="F89" s="69">
        <v>44999</v>
      </c>
      <c r="G89" s="35">
        <v>1627</v>
      </c>
      <c r="H89" s="70">
        <v>64</v>
      </c>
      <c r="I89" s="21">
        <f>+PROVEEDORES3[[#This Row],[Total USD]]*4880</f>
        <v>312320</v>
      </c>
    </row>
    <row r="90" spans="1:9" ht="22.35" customHeight="1" x14ac:dyDescent="0.3">
      <c r="A90" s="67" t="str">
        <f>+IF(PROVEEDORES3[[#This Row],[FECHA DE PAGO]]=PROVEEDORES3[[#This Row],[FECHA DE FACTURACIÓN]],"DE CONTADO","CRÉDITO")</f>
        <v>CRÉDITO</v>
      </c>
      <c r="B90" s="38" t="e">
        <f>+IF((PROVEEDORES3[[#This Row],[FECHA DE PAGO]]-PROVEEDORES3[[#This Row],[FECHA DE FACTURACIÓN]])&gt;#REF!,"PAGO VENCIDO")</f>
        <v>#REF!</v>
      </c>
      <c r="C90" s="56" t="str">
        <f>+VLOOKUP(PROVEEDORES3[[#This Row],[PROVEEDOR]],TERCEROS_INFO[[PROVEEDOR]:[CORREO]],5,FALSE)</f>
        <v>jessica.barrios@carpainternacional.com;girlesa.ruiz@servipilas.com;joriescobar64@gmail.com</v>
      </c>
      <c r="D90" s="68">
        <v>45026</v>
      </c>
      <c r="E90" s="26" t="s">
        <v>287</v>
      </c>
      <c r="F90" s="69">
        <v>44999</v>
      </c>
      <c r="G90" s="35">
        <v>1628</v>
      </c>
      <c r="H90" s="70">
        <v>44</v>
      </c>
      <c r="I90" s="21">
        <f>+PROVEEDORES3[[#This Row],[Total USD]]*4880</f>
        <v>214720</v>
      </c>
    </row>
    <row r="91" spans="1:9" ht="22.35" customHeight="1" x14ac:dyDescent="0.3">
      <c r="A91" s="67" t="str">
        <f>+IF(PROVEEDORES3[[#This Row],[FECHA DE PAGO]]=PROVEEDORES3[[#This Row],[FECHA DE FACTURACIÓN]],"DE CONTADO","CRÉDITO")</f>
        <v>CRÉDITO</v>
      </c>
      <c r="B91" s="38" t="e">
        <f>+IF((PROVEEDORES3[[#This Row],[FECHA DE PAGO]]-PROVEEDORES3[[#This Row],[FECHA DE FACTURACIÓN]])&gt;#REF!,"PAGO VENCIDO")</f>
        <v>#REF!</v>
      </c>
      <c r="C91" s="56" t="str">
        <f>+VLOOKUP(PROVEEDORES3[[#This Row],[PROVEEDOR]],TERCEROS_INFO[[PROVEEDOR]:[CORREO]],5,FALSE)</f>
        <v>jessica.barrios@carpainternacional.com;girlesa.ruiz@servipilas.com;joriescobar64@gmail.com</v>
      </c>
      <c r="D91" s="68">
        <v>45026</v>
      </c>
      <c r="E91" s="26" t="s">
        <v>289</v>
      </c>
      <c r="F91" s="69">
        <v>44999</v>
      </c>
      <c r="G91" s="35">
        <v>1629</v>
      </c>
      <c r="H91" s="70">
        <v>745</v>
      </c>
      <c r="I91" s="21">
        <f>+PROVEEDORES3[[#This Row],[Total USD]]*4880</f>
        <v>3635600</v>
      </c>
    </row>
    <row r="92" spans="1:9" ht="22.35" customHeight="1" x14ac:dyDescent="0.3">
      <c r="A92" s="280" t="str">
        <f>+IF(PROVEEDORES3[[#This Row],[FECHA DE PAGO]]=PROVEEDORES3[[#This Row],[FECHA DE FACTURACIÓN]],"DE CONTADO","CRÉDITO")</f>
        <v>CRÉDITO</v>
      </c>
      <c r="B92" s="38" t="e">
        <f>+IF((PROVEEDORES3[[#This Row],[FECHA DE PAGO]]-PROVEEDORES3[[#This Row],[FECHA DE FACTURACIÓN]])&gt;#REF!,"PAGO VENCIDO")</f>
        <v>#REF!</v>
      </c>
      <c r="C92" s="56" t="str">
        <f>+VLOOKUP(PROVEEDORES3[[#This Row],[PROVEEDOR]],TERCEROS_INFO[[PROVEEDOR]:[CORREO]],5,FALSE)</f>
        <v>jessica.barrios@carpainternacional.com;girlesa.ruiz@servipilas.com;joriescobar64@gmail.com</v>
      </c>
      <c r="D92" s="68">
        <v>45026</v>
      </c>
      <c r="E92" s="26" t="s">
        <v>287</v>
      </c>
      <c r="F92" s="69">
        <v>44999</v>
      </c>
      <c r="G92" s="35">
        <v>1635</v>
      </c>
      <c r="H92" s="70">
        <v>40</v>
      </c>
      <c r="I92" s="21">
        <f>+PROVEEDORES3[[#This Row],[Total USD]]*4780</f>
        <v>191200</v>
      </c>
    </row>
    <row r="93" spans="1:9" ht="22.35" customHeight="1" x14ac:dyDescent="0.3">
      <c r="A93" s="280" t="str">
        <f>+IF(PROVEEDORES3[[#This Row],[FECHA DE PAGO]]=PROVEEDORES3[[#This Row],[FECHA DE FACTURACIÓN]],"DE CONTADO","CRÉDITO")</f>
        <v>CRÉDITO</v>
      </c>
      <c r="B93" s="38" t="e">
        <f>+IF((PROVEEDORES3[[#This Row],[FECHA DE PAGO]]-PROVEEDORES3[[#This Row],[FECHA DE FACTURACIÓN]])&gt;#REF!,"PAGO VENCIDO")</f>
        <v>#REF!</v>
      </c>
      <c r="C93" s="56" t="str">
        <f>+VLOOKUP(PROVEEDORES3[[#This Row],[PROVEEDOR]],TERCEROS_INFO[[PROVEEDOR]:[CORREO]],5,FALSE)</f>
        <v>jessica.barrios@carpainternacional.com;girlesa.ruiz@servipilas.com;joriescobar64@gmail.com</v>
      </c>
      <c r="D93" s="68">
        <v>45026</v>
      </c>
      <c r="E93" s="26" t="s">
        <v>287</v>
      </c>
      <c r="F93" s="69">
        <v>45002</v>
      </c>
      <c r="G93" s="35">
        <v>1634</v>
      </c>
      <c r="H93" s="70">
        <v>40</v>
      </c>
      <c r="I93" s="21">
        <f>+PROVEEDORES3[[#This Row],[Total USD]]*4780</f>
        <v>191200</v>
      </c>
    </row>
    <row r="94" spans="1:9" ht="22.35" customHeight="1" x14ac:dyDescent="0.3">
      <c r="A94" s="280" t="str">
        <f>+IF(PROVEEDORES3[[#This Row],[FECHA DE PAGO]]=PROVEEDORES3[[#This Row],[FECHA DE FACTURACIÓN]],"DE CONTADO","CRÉDITO")</f>
        <v>CRÉDITO</v>
      </c>
      <c r="B94" s="38" t="e">
        <f>+IF((PROVEEDORES3[[#This Row],[FECHA DE PAGO]]-PROVEEDORES3[[#This Row],[FECHA DE FACTURACIÓN]])&gt;#REF!,"PAGO VENCIDO")</f>
        <v>#REF!</v>
      </c>
      <c r="C94" s="56" t="str">
        <f>+VLOOKUP(PROVEEDORES3[[#This Row],[PROVEEDOR]],TERCEROS_INFO[[PROVEEDOR]:[CORREO]],5,FALSE)</f>
        <v>jessica.barrios@carpainternacional.com;girlesa.ruiz@servipilas.com;joriescobar64@gmail.com</v>
      </c>
      <c r="D94" s="68">
        <v>45026</v>
      </c>
      <c r="E94" s="26" t="s">
        <v>287</v>
      </c>
      <c r="F94" s="69">
        <v>45009</v>
      </c>
      <c r="G94" s="35">
        <v>1640</v>
      </c>
      <c r="H94" s="70">
        <v>44</v>
      </c>
      <c r="I94" s="21">
        <f>+PROVEEDORES3[[#This Row],[Total USD]]*4700</f>
        <v>206800</v>
      </c>
    </row>
    <row r="95" spans="1:9" ht="22.35" customHeight="1" x14ac:dyDescent="0.3">
      <c r="A95" s="67" t="str">
        <f>+IF(PROVEEDORES3[[#This Row],[FECHA DE PAGO]]=PROVEEDORES3[[#This Row],[FECHA DE FACTURACIÓN]],"DE CONTADO","CRÉDITO")</f>
        <v>DE CONTADO</v>
      </c>
      <c r="B95" s="38" t="e">
        <f>+IF((PROVEEDORES3[[#This Row],[FECHA DE PAGO]]-PROVEEDORES3[[#This Row],[FECHA DE FACTURACIÓN]])&gt;#REF!,"PAGO VENCIDO")</f>
        <v>#REF!</v>
      </c>
      <c r="C95" s="56" t="str">
        <f>+VLOOKUP(PROVEEDORES3[[#This Row],[PROVEEDOR]],TERCEROS_INFO[[PROVEEDOR]:[CORREO]],5,FALSE)</f>
        <v>jessica.barrios@carpainternacional.com;girlesa.ruiz@servipilas.com;joriescobar64@gmail.com</v>
      </c>
      <c r="D95" s="68">
        <v>45029</v>
      </c>
      <c r="E95" s="26" t="s">
        <v>287</v>
      </c>
      <c r="F95" s="69">
        <v>45029</v>
      </c>
      <c r="G95" s="234" t="s">
        <v>1581</v>
      </c>
      <c r="H95" s="70"/>
      <c r="I95" s="21">
        <f>+PROVEEDORES3[[#This Row],[Total USD]]*3828.5</f>
        <v>0</v>
      </c>
    </row>
    <row r="96" spans="1:9" ht="22.35" customHeight="1" x14ac:dyDescent="0.3">
      <c r="A96" s="67" t="str">
        <f>+IF(PROVEEDORES3[[#This Row],[FECHA DE PAGO]]=PROVEEDORES3[[#This Row],[FECHA DE FACTURACIÓN]],"DE CONTADO","CRÉDITO")</f>
        <v>CRÉDITO</v>
      </c>
      <c r="B96" s="38" t="e">
        <f>+IF((PROVEEDORES3[[#This Row],[FECHA DE PAGO]]-PROVEEDORES3[[#This Row],[FECHA DE FACTURACIÓN]])&gt;#REF!,"PAGO VENCIDO")</f>
        <v>#REF!</v>
      </c>
      <c r="C96" s="56" t="str">
        <f>+VLOOKUP(PROVEEDORES3[[#This Row],[PROVEEDOR]],TERCEROS_INFO[[PROVEEDOR]:[CORREO]],5,FALSE)</f>
        <v>jessica.barrios@carpainternacional.com;girlesa.ruiz@servipilas.com;joriescobar64@gmail.com</v>
      </c>
      <c r="D96" s="68">
        <v>45051</v>
      </c>
      <c r="E96" s="26" t="s">
        <v>287</v>
      </c>
      <c r="F96" s="69">
        <v>45017</v>
      </c>
      <c r="G96" s="234" t="s">
        <v>1573</v>
      </c>
      <c r="H96" s="70">
        <v>36.1</v>
      </c>
      <c r="I96" s="21">
        <f>+PROVEEDORES3[[#This Row],[Total USD]]*4700</f>
        <v>169670</v>
      </c>
    </row>
    <row r="97" spans="1:9" ht="22.35" customHeight="1" x14ac:dyDescent="0.3">
      <c r="A97" s="67" t="str">
        <f>+IF(PROVEEDORES3[[#This Row],[FECHA DE PAGO]]=PROVEEDORES3[[#This Row],[FECHA DE FACTURACIÓN]],"DE CONTADO","CRÉDITO")</f>
        <v>CRÉDITO</v>
      </c>
      <c r="B97" s="38" t="e">
        <f>+IF((PROVEEDORES3[[#This Row],[FECHA DE PAGO]]-PROVEEDORES3[[#This Row],[FECHA DE FACTURACIÓN]])&gt;#REF!,"PAGO VENCIDO")</f>
        <v>#REF!</v>
      </c>
      <c r="C97" s="56" t="str">
        <f>+VLOOKUP(PROVEEDORES3[[#This Row],[PROVEEDOR]],TERCEROS_INFO[[PROVEEDOR]:[CORREO]],5,FALSE)</f>
        <v>jessica.barrios@carpainternacional.com;girlesa.ruiz@servipilas.com;joriescobar64@gmail.com</v>
      </c>
      <c r="D97" s="68">
        <v>45051</v>
      </c>
      <c r="E97" s="26" t="s">
        <v>289</v>
      </c>
      <c r="F97" s="69">
        <v>45017</v>
      </c>
      <c r="G97" s="35">
        <v>1647</v>
      </c>
      <c r="H97" s="70">
        <v>394.4</v>
      </c>
      <c r="I97" s="21">
        <f>+PROVEEDORES3[[#This Row],[Total USD]]*4700</f>
        <v>1853680</v>
      </c>
    </row>
    <row r="98" spans="1:9" ht="22.35" customHeight="1" x14ac:dyDescent="0.3">
      <c r="A98" s="67" t="str">
        <f>+IF(PROVEEDORES3[[#This Row],[FECHA DE PAGO]]=PROVEEDORES3[[#This Row],[FECHA DE FACTURACIÓN]],"DE CONTADO","CRÉDITO")</f>
        <v>CRÉDITO</v>
      </c>
      <c r="B98" s="38" t="e">
        <f>+IF((PROVEEDORES3[[#This Row],[FECHA DE PAGO]]-PROVEEDORES3[[#This Row],[FECHA DE FACTURACIÓN]])&gt;#REF!,"PAGO VENCIDO")</f>
        <v>#REF!</v>
      </c>
      <c r="C98" s="56" t="str">
        <f>+VLOOKUP(PROVEEDORES3[[#This Row],[PROVEEDOR]],TERCEROS_INFO[[PROVEEDOR]:[CORREO]],5,FALSE)</f>
        <v>jessica.barrios@carpainternacional.com;girlesa.ruiz@servipilas.com;joriescobar64@gmail.com</v>
      </c>
      <c r="D98" s="68">
        <v>45051</v>
      </c>
      <c r="E98" s="26" t="s">
        <v>287</v>
      </c>
      <c r="F98" s="69">
        <v>45022</v>
      </c>
      <c r="G98" s="35">
        <v>1649</v>
      </c>
      <c r="H98" s="70">
        <v>68</v>
      </c>
      <c r="I98" s="21">
        <f>+PROVEEDORES3[[#This Row],[Total USD]]*4700</f>
        <v>319600</v>
      </c>
    </row>
    <row r="99" spans="1:9" ht="22.35" customHeight="1" x14ac:dyDescent="0.3">
      <c r="A99" s="67" t="str">
        <f>+IF(PROVEEDORES3[[#This Row],[FECHA DE PAGO]]=PROVEEDORES3[[#This Row],[FECHA DE FACTURACIÓN]],"DE CONTADO","CRÉDITO")</f>
        <v>CRÉDITO</v>
      </c>
      <c r="B99" s="38" t="e">
        <f>+IF((PROVEEDORES3[[#This Row],[FECHA DE PAGO]]-PROVEEDORES3[[#This Row],[FECHA DE FACTURACIÓN]])&gt;#REF!,"PAGO VENCIDO")</f>
        <v>#REF!</v>
      </c>
      <c r="C99" s="56" t="str">
        <f>+VLOOKUP(PROVEEDORES3[[#This Row],[PROVEEDOR]],TERCEROS_INFO[[PROVEEDOR]:[CORREO]],5,FALSE)</f>
        <v>jessica.barrios@carpainternacional.com;girlesa.ruiz@servipilas.com;joriescobar64@gmail.com</v>
      </c>
      <c r="D99" s="68">
        <v>45051</v>
      </c>
      <c r="E99" s="26" t="s">
        <v>287</v>
      </c>
      <c r="F99" s="69">
        <v>45022</v>
      </c>
      <c r="G99" s="35">
        <v>1650</v>
      </c>
      <c r="H99" s="70">
        <v>72</v>
      </c>
      <c r="I99" s="21">
        <f>+PROVEEDORES3[[#This Row],[Total USD]]*4700</f>
        <v>338400</v>
      </c>
    </row>
    <row r="100" spans="1:9" ht="22.35" customHeight="1" x14ac:dyDescent="0.3">
      <c r="A100" s="67" t="str">
        <f>+IF(PROVEEDORES3[[#This Row],[FECHA DE PAGO]]=PROVEEDORES3[[#This Row],[FECHA DE FACTURACIÓN]],"DE CONTADO","CRÉDITO")</f>
        <v>CRÉDITO</v>
      </c>
      <c r="B100" s="38" t="e">
        <f>+IF((PROVEEDORES3[[#This Row],[FECHA DE PAGO]]-PROVEEDORES3[[#This Row],[FECHA DE FACTURACIÓN]])&gt;#REF!,"PAGO VENCIDO")</f>
        <v>#REF!</v>
      </c>
      <c r="C100" s="56" t="str">
        <f>+VLOOKUP(PROVEEDORES3[[#This Row],[PROVEEDOR]],TERCEROS_INFO[[PROVEEDOR]:[CORREO]],5,FALSE)</f>
        <v>jessica.barrios@carpainternacional.com;girlesa.ruiz@servipilas.com;joriescobar64@gmail.com</v>
      </c>
      <c r="D100" s="68">
        <v>45051</v>
      </c>
      <c r="E100" s="26" t="s">
        <v>287</v>
      </c>
      <c r="F100" s="69">
        <v>45022</v>
      </c>
      <c r="G100" s="35">
        <v>1651</v>
      </c>
      <c r="H100" s="70">
        <v>160.69999999999999</v>
      </c>
      <c r="I100" s="21">
        <f>+PROVEEDORES3[[#This Row],[Total USD]]*4700</f>
        <v>755290</v>
      </c>
    </row>
    <row r="101" spans="1:9" ht="22.35" customHeight="1" x14ac:dyDescent="0.3">
      <c r="A101" s="310" t="str">
        <f>+IF(PROVEEDORES3[[#This Row],[FECHA DE PAGO]]=PROVEEDORES3[[#This Row],[FECHA DE FACTURACIÓN]],"DE CONTADO","CRÉDITO")</f>
        <v>CRÉDITO</v>
      </c>
      <c r="B101" s="38" t="e">
        <f>+IF((PROVEEDORES3[[#This Row],[FECHA DE PAGO]]-PROVEEDORES3[[#This Row],[FECHA DE FACTURACIÓN]])&gt;#REF!,"PAGO VENCIDO")</f>
        <v>#REF!</v>
      </c>
      <c r="C101" s="56" t="str">
        <f>+VLOOKUP(PROVEEDORES3[[#This Row],[PROVEEDOR]],TERCEROS_INFO[[PROVEEDOR]:[CORREO]],5,FALSE)</f>
        <v>jessica.barrios@carpainternacional.com;girlesa.ruiz@servipilas.com;joriescobar64@gmail.com</v>
      </c>
      <c r="D101" s="68">
        <v>45051</v>
      </c>
      <c r="E101" s="26" t="s">
        <v>287</v>
      </c>
      <c r="F101" s="69">
        <v>45037</v>
      </c>
      <c r="G101" s="35">
        <v>1663</v>
      </c>
      <c r="H101" s="70">
        <v>40</v>
      </c>
      <c r="I101" s="21">
        <f>+PROVEEDORES3[[#This Row],[Total USD]]*4705</f>
        <v>188200</v>
      </c>
    </row>
    <row r="102" spans="1:9" ht="22.35" customHeight="1" x14ac:dyDescent="0.3">
      <c r="A102" s="310" t="str">
        <f>+IF(PROVEEDORES3[[#This Row],[FECHA DE PAGO]]=PROVEEDORES3[[#This Row],[FECHA DE FACTURACIÓN]],"DE CONTADO","CRÉDITO")</f>
        <v>CRÉDITO</v>
      </c>
      <c r="B102" s="38" t="e">
        <f>+IF((PROVEEDORES3[[#This Row],[FECHA DE PAGO]]-PROVEEDORES3[[#This Row],[FECHA DE FACTURACIÓN]])&gt;#REF!,"PAGO VENCIDO")</f>
        <v>#REF!</v>
      </c>
      <c r="C102" s="56" t="str">
        <f>+VLOOKUP(PROVEEDORES3[[#This Row],[PROVEEDOR]],TERCEROS_INFO[[PROVEEDOR]:[CORREO]],5,FALSE)</f>
        <v>jessica.barrios@carpainternacional.com;girlesa.ruiz@servipilas.com;joriescobar64@gmail.com</v>
      </c>
      <c r="D102" s="68">
        <v>45051</v>
      </c>
      <c r="E102" s="26" t="s">
        <v>287</v>
      </c>
      <c r="F102" s="69">
        <v>45037</v>
      </c>
      <c r="G102" s="35">
        <v>1662</v>
      </c>
      <c r="H102" s="70">
        <v>40</v>
      </c>
      <c r="I102" s="21">
        <f>+PROVEEDORES3[[#This Row],[Total USD]]*4705</f>
        <v>188200</v>
      </c>
    </row>
    <row r="103" spans="1:9" ht="22.35" customHeight="1" x14ac:dyDescent="0.3">
      <c r="A103" s="310" t="str">
        <f>+IF(PROVEEDORES3[[#This Row],[FECHA DE PAGO]]=PROVEEDORES3[[#This Row],[FECHA DE FACTURACIÓN]],"DE CONTADO","CRÉDITO")</f>
        <v>CRÉDITO</v>
      </c>
      <c r="B103" s="38" t="e">
        <f>+IF((PROVEEDORES3[[#This Row],[FECHA DE PAGO]]-PROVEEDORES3[[#This Row],[FECHA DE FACTURACIÓN]])&gt;#REF!,"PAGO VENCIDO")</f>
        <v>#REF!</v>
      </c>
      <c r="C103" s="56" t="str">
        <f>+VLOOKUP(PROVEEDORES3[[#This Row],[PROVEEDOR]],TERCEROS_INFO[[PROVEEDOR]:[CORREO]],5,FALSE)</f>
        <v>jessica.barrios@carpainternacional.com;girlesa.ruiz@servipilas.com;joriescobar64@gmail.com</v>
      </c>
      <c r="D103" s="68">
        <v>45051</v>
      </c>
      <c r="E103" s="26" t="s">
        <v>289</v>
      </c>
      <c r="F103" s="69">
        <v>45044</v>
      </c>
      <c r="G103" s="35">
        <v>1666</v>
      </c>
      <c r="H103" s="70">
        <v>665</v>
      </c>
      <c r="I103" s="21">
        <f>+PROVEEDORES3[[#This Row],[Total USD]]*4700</f>
        <v>3125500</v>
      </c>
    </row>
    <row r="104" spans="1:9" ht="22.35" customHeight="1" x14ac:dyDescent="0.3">
      <c r="A104" s="310" t="str">
        <f>+IF(PROVEEDORES3[[#This Row],[FECHA DE PAGO]]=PROVEEDORES3[[#This Row],[FECHA DE FACTURACIÓN]],"DE CONTADO","CRÉDITO")</f>
        <v>CRÉDITO</v>
      </c>
      <c r="B104" s="38" t="e">
        <f>+IF((PROVEEDORES3[[#This Row],[FECHA DE PAGO]]-PROVEEDORES3[[#This Row],[FECHA DE FACTURACIÓN]])&gt;#REF!,"PAGO VENCIDO")</f>
        <v>#REF!</v>
      </c>
      <c r="C104" s="56" t="str">
        <f>+VLOOKUP(PROVEEDORES3[[#This Row],[PROVEEDOR]],TERCEROS_INFO[[PROVEEDOR]:[CORREO]],5,FALSE)</f>
        <v>jessica.barrios@carpainternacional.com;girlesa.ruiz@servipilas.com;joriescobar64@gmail.com</v>
      </c>
      <c r="D104" s="68">
        <v>45051</v>
      </c>
      <c r="E104" s="26" t="s">
        <v>289</v>
      </c>
      <c r="F104" s="69">
        <v>45046</v>
      </c>
      <c r="G104" s="35">
        <v>1668</v>
      </c>
      <c r="H104" s="70">
        <v>400</v>
      </c>
      <c r="I104" s="21">
        <f>+PROVEEDORES3[[#This Row],[Total USD]]*4700</f>
        <v>1880000</v>
      </c>
    </row>
    <row r="105" spans="1:9" ht="22.35" customHeight="1" x14ac:dyDescent="0.3">
      <c r="A105" s="67" t="str">
        <f>+IF(PROVEEDORES3[[#This Row],[FECHA DE PAGO]]=PROVEEDORES3[[#This Row],[FECHA DE FACTURACIÓN]],"DE CONTADO","CRÉDITO")</f>
        <v>CRÉDITO</v>
      </c>
      <c r="B105" s="38" t="e">
        <f>+IF((PROVEEDORES3[[#This Row],[FECHA DE PAGO]]-PROVEEDORES3[[#This Row],[FECHA DE FACTURACIÓN]])&gt;#REF!,"PAGO VENCIDO")</f>
        <v>#REF!</v>
      </c>
      <c r="C105" s="56" t="str">
        <f>+VLOOKUP(PROVEEDORES3[[#This Row],[PROVEEDOR]],TERCEROS_INFO[[PROVEEDOR]:[CORREO]],5,FALSE)</f>
        <v>mcastillo@kenextrading.com;agarcia@kenextrading.com;girlesa.ruiz@servipilas.com;joriescobar64@gmail.com</v>
      </c>
      <c r="D105" s="68">
        <v>45071</v>
      </c>
      <c r="E105" s="26" t="s">
        <v>31</v>
      </c>
      <c r="F105" s="69">
        <v>45002</v>
      </c>
      <c r="G105" s="35">
        <v>58569</v>
      </c>
      <c r="H105" s="70">
        <v>11166.41</v>
      </c>
      <c r="I105" s="21">
        <f>+PROVEEDORES3[[#This Row],[Total USD]]*4880</f>
        <v>54492080.799999997</v>
      </c>
    </row>
    <row r="106" spans="1:9" ht="22.35" customHeight="1" x14ac:dyDescent="0.3">
      <c r="A106" s="321" t="str">
        <f>+IF(PROVEEDORES3[[#This Row],[FECHA DE PAGO]]=PROVEEDORES3[[#This Row],[FECHA DE FACTURACIÓN]],"DE CONTADO","CRÉDITO")</f>
        <v>DE CONTADO</v>
      </c>
      <c r="B106" s="38" t="e">
        <f>+IF((PROVEEDORES3[[#This Row],[FECHA DE PAGO]]-PROVEEDORES3[[#This Row],[FECHA DE FACTURACIÓN]])&gt;#REF!,"PAGO VENCIDO")</f>
        <v>#REF!</v>
      </c>
      <c r="C106" s="56" t="str">
        <f>+VLOOKUP(PROVEEDORES3[[#This Row],[PROVEEDOR]],TERCEROS_INFO[[PROVEEDOR]:[CORREO]],5,FALSE)</f>
        <v>jessica.barrios@carpainternacional.com;girlesa.ruiz@servipilas.com;joriescobar64@gmail.com</v>
      </c>
      <c r="D106" s="68">
        <v>45091</v>
      </c>
      <c r="E106" s="26" t="s">
        <v>287</v>
      </c>
      <c r="F106" s="69">
        <v>45091</v>
      </c>
      <c r="G106" s="234" t="s">
        <v>1724</v>
      </c>
      <c r="H106" s="70"/>
      <c r="I106" s="21">
        <f>+PROVEEDORES3[[#This Row],[Total USD]]*3828.5</f>
        <v>0</v>
      </c>
    </row>
    <row r="107" spans="1:9" ht="22.35" customHeight="1" x14ac:dyDescent="0.3">
      <c r="A107" s="67" t="str">
        <f>+IF(PROVEEDORES3[[#This Row],[FECHA DE PAGO]]=PROVEEDORES3[[#This Row],[FECHA DE FACTURACIÓN]],"DE CONTADO","CRÉDITO")</f>
        <v>CRÉDITO</v>
      </c>
      <c r="B107" s="38" t="e">
        <f>+IF((PROVEEDORES3[[#This Row],[FECHA DE PAGO]]-PROVEEDORES3[[#This Row],[FECHA DE FACTURACIÓN]])&gt;#REF!,"PAGO VENCIDO")</f>
        <v>#REF!</v>
      </c>
      <c r="C107" s="56" t="str">
        <f>+VLOOKUP(PROVEEDORES3[[#This Row],[PROVEEDOR]],TERCEROS_INFO[[PROVEEDOR]:[CORREO]],5,FALSE)</f>
        <v>jessica.barrios@carpainternacional.com;girlesa.ruiz@servipilas.com;joriescobar64@gmail.com</v>
      </c>
      <c r="D107" s="68">
        <v>45124</v>
      </c>
      <c r="E107" s="26" t="s">
        <v>287</v>
      </c>
      <c r="F107" s="69">
        <v>45051</v>
      </c>
      <c r="G107" s="35">
        <v>1672</v>
      </c>
      <c r="H107" s="70">
        <v>48</v>
      </c>
      <c r="I107" s="21">
        <f>+PROVEEDORES3[[#This Row],[Total USD]]*4680</f>
        <v>224640</v>
      </c>
    </row>
    <row r="108" spans="1:9" ht="22.35" customHeight="1" x14ac:dyDescent="0.3">
      <c r="A108" s="67" t="str">
        <f>+IF(PROVEEDORES3[[#This Row],[FECHA DE PAGO]]=PROVEEDORES3[[#This Row],[FECHA DE FACTURACIÓN]],"DE CONTADO","CRÉDITO")</f>
        <v>CRÉDITO</v>
      </c>
      <c r="B108" s="38" t="e">
        <f>+IF((PROVEEDORES3[[#This Row],[FECHA DE PAGO]]-PROVEEDORES3[[#This Row],[FECHA DE FACTURACIÓN]])&gt;#REF!,"PAGO VENCIDO")</f>
        <v>#REF!</v>
      </c>
      <c r="C108" s="56" t="str">
        <f>+VLOOKUP(PROVEEDORES3[[#This Row],[PROVEEDOR]],TERCEROS_INFO[[PROVEEDOR]:[CORREO]],5,FALSE)</f>
        <v>jessica.barrios@carpainternacional.com;girlesa.ruiz@servipilas.com;joriescobar64@gmail.com</v>
      </c>
      <c r="D108" s="68">
        <v>45124</v>
      </c>
      <c r="E108" s="26" t="s">
        <v>287</v>
      </c>
      <c r="F108" s="69">
        <v>45051</v>
      </c>
      <c r="G108" s="35">
        <v>1673</v>
      </c>
      <c r="H108" s="70">
        <v>40</v>
      </c>
      <c r="I108" s="21">
        <f>+PROVEEDORES3[[#This Row],[Total USD]]*4680</f>
        <v>187200</v>
      </c>
    </row>
    <row r="109" spans="1:9" ht="22.35" customHeight="1" x14ac:dyDescent="0.3">
      <c r="A109" s="67" t="str">
        <f>+IF(PROVEEDORES3[[#This Row],[FECHA DE PAGO]]=PROVEEDORES3[[#This Row],[FECHA DE FACTURACIÓN]],"DE CONTADO","CRÉDITO")</f>
        <v>CRÉDITO</v>
      </c>
      <c r="B109" s="38" t="e">
        <f>+IF((PROVEEDORES3[[#This Row],[FECHA DE PAGO]]-PROVEEDORES3[[#This Row],[FECHA DE FACTURACIÓN]])&gt;#REF!,"PAGO VENCIDO")</f>
        <v>#REF!</v>
      </c>
      <c r="C109" s="56" t="str">
        <f>+VLOOKUP(PROVEEDORES3[[#This Row],[PROVEEDOR]],TERCEROS_INFO[[PROVEEDOR]:[CORREO]],5,FALSE)</f>
        <v>jessica.barrios@carpainternacional.com;girlesa.ruiz@servipilas.com;joriescobar64@gmail.com</v>
      </c>
      <c r="D109" s="68">
        <v>45124</v>
      </c>
      <c r="E109" s="26" t="s">
        <v>287</v>
      </c>
      <c r="F109" s="69">
        <v>45051</v>
      </c>
      <c r="G109" s="35">
        <v>1681</v>
      </c>
      <c r="H109" s="70">
        <v>76</v>
      </c>
      <c r="I109" s="21">
        <f>+PROVEEDORES3[[#This Row],[Total USD]]*4680</f>
        <v>355680</v>
      </c>
    </row>
    <row r="110" spans="1:9" ht="22.35" customHeight="1" x14ac:dyDescent="0.3">
      <c r="A110" s="67" t="str">
        <f>+IF(PROVEEDORES3[[#This Row],[FECHA DE PAGO]]=PROVEEDORES3[[#This Row],[FECHA DE FACTURACIÓN]],"DE CONTADO","CRÉDITO")</f>
        <v>CRÉDITO</v>
      </c>
      <c r="B110" s="38" t="e">
        <f>+IF((PROVEEDORES3[[#This Row],[FECHA DE PAGO]]-PROVEEDORES3[[#This Row],[FECHA DE FACTURACIÓN]])&gt;#REF!,"PAGO VENCIDO")</f>
        <v>#REF!</v>
      </c>
      <c r="C110" s="56" t="str">
        <f>+VLOOKUP(PROVEEDORES3[[#This Row],[PROVEEDOR]],TERCEROS_INFO[[PROVEEDOR]:[CORREO]],5,FALSE)</f>
        <v>jessica.barrios@carpainternacional.com;girlesa.ruiz@servipilas.com;joriescobar64@gmail.com</v>
      </c>
      <c r="D110" s="68">
        <v>45124</v>
      </c>
      <c r="E110" s="26" t="s">
        <v>287</v>
      </c>
      <c r="F110" s="69">
        <v>45051</v>
      </c>
      <c r="G110" s="35">
        <v>1682</v>
      </c>
      <c r="H110" s="70">
        <v>88</v>
      </c>
      <c r="I110" s="21">
        <f>+PROVEEDORES3[[#This Row],[Total USD]]*4680</f>
        <v>411840</v>
      </c>
    </row>
    <row r="111" spans="1:9" ht="22.35" customHeight="1" x14ac:dyDescent="0.3">
      <c r="A111" s="67" t="str">
        <f>+IF(PROVEEDORES3[[#This Row],[FECHA DE PAGO]]=PROVEEDORES3[[#This Row],[FECHA DE FACTURACIÓN]],"DE CONTADO","CRÉDITO")</f>
        <v>CRÉDITO</v>
      </c>
      <c r="B111" s="38" t="e">
        <f>+IF((PROVEEDORES3[[#This Row],[FECHA DE PAGO]]-PROVEEDORES3[[#This Row],[FECHA DE FACTURACIÓN]])&gt;#REF!,"PAGO VENCIDO")</f>
        <v>#REF!</v>
      </c>
      <c r="C111" s="56" t="str">
        <f>+VLOOKUP(PROVEEDORES3[[#This Row],[PROVEEDOR]],TERCEROS_INFO[[PROVEEDOR]:[CORREO]],5,FALSE)</f>
        <v>jessica.barrios@carpainternacional.com;girlesa.ruiz@servipilas.com;joriescobar64@gmail.com</v>
      </c>
      <c r="D111" s="68">
        <v>45124</v>
      </c>
      <c r="E111" s="26" t="s">
        <v>287</v>
      </c>
      <c r="F111" s="69">
        <v>45051</v>
      </c>
      <c r="G111" s="35">
        <v>1683</v>
      </c>
      <c r="H111" s="70">
        <v>92</v>
      </c>
      <c r="I111" s="21">
        <f>+PROVEEDORES3[[#This Row],[Total USD]]*4680</f>
        <v>430560</v>
      </c>
    </row>
    <row r="112" spans="1:9" ht="22.35" customHeight="1" x14ac:dyDescent="0.3">
      <c r="A112" s="316" t="str">
        <f>+IF(PROVEEDORES3[[#This Row],[FECHA DE PAGO]]=PROVEEDORES3[[#This Row],[FECHA DE FACTURACIÓN]],"DE CONTADO","CRÉDITO")</f>
        <v>CRÉDITO</v>
      </c>
      <c r="B112" s="38" t="e">
        <f>+IF((PROVEEDORES3[[#This Row],[FECHA DE PAGO]]-PROVEEDORES3[[#This Row],[FECHA DE FACTURACIÓN]])&gt;#REF!,"PAGO VENCIDO")</f>
        <v>#REF!</v>
      </c>
      <c r="C112" s="56" t="str">
        <f>+VLOOKUP(PROVEEDORES3[[#This Row],[PROVEEDOR]],TERCEROS_INFO[[PROVEEDOR]:[CORREO]],5,FALSE)</f>
        <v>jessica.barrios@carpainternacional.com;girlesa.ruiz@servipilas.com;joriescobar64@gmail.com</v>
      </c>
      <c r="D112" s="68">
        <v>45124</v>
      </c>
      <c r="E112" s="26" t="s">
        <v>287</v>
      </c>
      <c r="F112" s="69">
        <v>45076</v>
      </c>
      <c r="G112" s="35">
        <v>1687</v>
      </c>
      <c r="H112" s="70">
        <v>40</v>
      </c>
      <c r="I112" s="21">
        <f>+PROVEEDORES3[[#This Row],[Total USD]]*4500</f>
        <v>180000</v>
      </c>
    </row>
    <row r="113" spans="1:9" ht="22.35" customHeight="1" x14ac:dyDescent="0.3">
      <c r="A113" s="316" t="str">
        <f>+IF(PROVEEDORES3[[#This Row],[FECHA DE PAGO]]=PROVEEDORES3[[#This Row],[FECHA DE FACTURACIÓN]],"DE CONTADO","CRÉDITO")</f>
        <v>CRÉDITO</v>
      </c>
      <c r="B113" s="38" t="e">
        <f>+IF((PROVEEDORES3[[#This Row],[FECHA DE PAGO]]-PROVEEDORES3[[#This Row],[FECHA DE FACTURACIÓN]])&gt;#REF!,"PAGO VENCIDO")</f>
        <v>#REF!</v>
      </c>
      <c r="C113" s="56" t="str">
        <f>+VLOOKUP(PROVEEDORES3[[#This Row],[PROVEEDOR]],TERCEROS_INFO[[PROVEEDOR]:[CORREO]],5,FALSE)</f>
        <v>jessica.barrios@carpainternacional.com;girlesa.ruiz@servipilas.com;joriescobar64@gmail.com</v>
      </c>
      <c r="D113" s="68">
        <v>45124</v>
      </c>
      <c r="E113" s="26" t="s">
        <v>287</v>
      </c>
      <c r="F113" s="69">
        <v>45076</v>
      </c>
      <c r="G113" s="35">
        <v>1688</v>
      </c>
      <c r="H113" s="70">
        <v>40</v>
      </c>
      <c r="I113" s="21">
        <f>+PROVEEDORES3[[#This Row],[Total USD]]*4500</f>
        <v>180000</v>
      </c>
    </row>
    <row r="114" spans="1:9" ht="22.35" customHeight="1" x14ac:dyDescent="0.3">
      <c r="A114" s="325" t="str">
        <f>+IF(PROVEEDORES3[[#This Row],[FECHA DE PAGO]]=PROVEEDORES3[[#This Row],[FECHA DE FACTURACIÓN]],"DE CONTADO","CRÉDITO")</f>
        <v>CRÉDITO</v>
      </c>
      <c r="B114" s="38" t="e">
        <f>+IF((PROVEEDORES3[[#This Row],[FECHA DE PAGO]]-PROVEEDORES3[[#This Row],[FECHA DE FACTURACIÓN]])&gt;#REF!,"PAGO VENCIDO")</f>
        <v>#REF!</v>
      </c>
      <c r="C114" s="56" t="str">
        <f>+VLOOKUP(PROVEEDORES3[[#This Row],[PROVEEDOR]],TERCEROS_INFO[[PROVEEDOR]:[CORREO]],5,FALSE)</f>
        <v>jessica.barrios@carpainternacional.com;girlesa.ruiz@servipilas.com;joriescobar64@gmail.com</v>
      </c>
      <c r="D114" s="68">
        <v>45124</v>
      </c>
      <c r="E114" s="26" t="s">
        <v>287</v>
      </c>
      <c r="F114" s="69">
        <v>45096</v>
      </c>
      <c r="G114" s="35">
        <v>1698</v>
      </c>
      <c r="H114" s="70">
        <v>40</v>
      </c>
      <c r="I114" s="21">
        <f>+PROVEEDORES3[[#This Row],[Total USD]]*4350</f>
        <v>174000</v>
      </c>
    </row>
    <row r="115" spans="1:9" ht="22.35" customHeight="1" x14ac:dyDescent="0.3">
      <c r="A115" s="325" t="str">
        <f>+IF(PROVEEDORES3[[#This Row],[FECHA DE PAGO]]=PROVEEDORES3[[#This Row],[FECHA DE FACTURACIÓN]],"DE CONTADO","CRÉDITO")</f>
        <v>CRÉDITO</v>
      </c>
      <c r="B115" s="38" t="e">
        <f>+IF((PROVEEDORES3[[#This Row],[FECHA DE PAGO]]-PROVEEDORES3[[#This Row],[FECHA DE FACTURACIÓN]])&gt;#REF!,"PAGO VENCIDO")</f>
        <v>#REF!</v>
      </c>
      <c r="C115" s="56" t="str">
        <f>+VLOOKUP(PROVEEDORES3[[#This Row],[PROVEEDOR]],TERCEROS_INFO[[PROVEEDOR]:[CORREO]],5,FALSE)</f>
        <v>jessica.barrios@carpainternacional.com;girlesa.ruiz@servipilas.com;joriescobar64@gmail.com</v>
      </c>
      <c r="D115" s="68">
        <v>45124</v>
      </c>
      <c r="E115" s="26" t="s">
        <v>287</v>
      </c>
      <c r="F115" s="69">
        <v>45096</v>
      </c>
      <c r="G115" s="35">
        <v>1699</v>
      </c>
      <c r="H115" s="70">
        <v>40</v>
      </c>
      <c r="I115" s="21">
        <f>+PROVEEDORES3[[#This Row],[Total USD]]*4350</f>
        <v>174000</v>
      </c>
    </row>
    <row r="116" spans="1:9" ht="22.35" customHeight="1" x14ac:dyDescent="0.3">
      <c r="A116" s="325" t="str">
        <f>+IF(PROVEEDORES3[[#This Row],[FECHA DE PAGO]]=PROVEEDORES3[[#This Row],[FECHA DE FACTURACIÓN]],"DE CONTADO","CRÉDITO")</f>
        <v>CRÉDITO</v>
      </c>
      <c r="B116" s="38" t="e">
        <f>+IF((PROVEEDORES3[[#This Row],[FECHA DE PAGO]]-PROVEEDORES3[[#This Row],[FECHA DE FACTURACIÓN]])&gt;#REF!,"PAGO VENCIDO")</f>
        <v>#REF!</v>
      </c>
      <c r="C116" s="56" t="str">
        <f>+VLOOKUP(PROVEEDORES3[[#This Row],[PROVEEDOR]],TERCEROS_INFO[[PROVEEDOR]:[CORREO]],5,FALSE)</f>
        <v>jessica.barrios@carpainternacional.com;girlesa.ruiz@servipilas.com;joriescobar64@gmail.com</v>
      </c>
      <c r="D116" s="68">
        <v>45124</v>
      </c>
      <c r="E116" s="26" t="s">
        <v>287</v>
      </c>
      <c r="F116" s="69">
        <v>45096</v>
      </c>
      <c r="G116" s="35">
        <v>1700</v>
      </c>
      <c r="H116" s="70">
        <v>44</v>
      </c>
      <c r="I116" s="21">
        <f>+PROVEEDORES3[[#This Row],[Total USD]]*4350</f>
        <v>191400</v>
      </c>
    </row>
    <row r="117" spans="1:9" ht="22.35" customHeight="1" x14ac:dyDescent="0.3">
      <c r="A117" s="325" t="str">
        <f>+IF(PROVEEDORES3[[#This Row],[FECHA DE PAGO]]=PROVEEDORES3[[#This Row],[FECHA DE FACTURACIÓN]],"DE CONTADO","CRÉDITO")</f>
        <v>CRÉDITO</v>
      </c>
      <c r="B117" s="38" t="e">
        <f>+IF((PROVEEDORES3[[#This Row],[FECHA DE PAGO]]-PROVEEDORES3[[#This Row],[FECHA DE FACTURACIÓN]])&gt;#REF!,"PAGO VENCIDO")</f>
        <v>#REF!</v>
      </c>
      <c r="C117" s="56" t="str">
        <f>+VLOOKUP(PROVEEDORES3[[#This Row],[PROVEEDOR]],TERCEROS_INFO[[PROVEEDOR]:[CORREO]],5,FALSE)</f>
        <v>jessica.barrios@carpainternacional.com;girlesa.ruiz@servipilas.com;joriescobar64@gmail.com</v>
      </c>
      <c r="D117" s="68">
        <v>45124</v>
      </c>
      <c r="E117" s="26" t="s">
        <v>287</v>
      </c>
      <c r="F117" s="69">
        <v>45096</v>
      </c>
      <c r="G117" s="35">
        <v>1701</v>
      </c>
      <c r="H117" s="70">
        <v>44</v>
      </c>
      <c r="I117" s="21">
        <f>+PROVEEDORES3[[#This Row],[Total USD]]*4350</f>
        <v>191400</v>
      </c>
    </row>
    <row r="118" spans="1:9" ht="22.35" customHeight="1" x14ac:dyDescent="0.3">
      <c r="A118" s="325" t="str">
        <f>+IF(PROVEEDORES3[[#This Row],[FECHA DE PAGO]]=PROVEEDORES3[[#This Row],[FECHA DE FACTURACIÓN]],"DE CONTADO","CRÉDITO")</f>
        <v>CRÉDITO</v>
      </c>
      <c r="B118" s="38" t="e">
        <f>+IF((PROVEEDORES3[[#This Row],[FECHA DE PAGO]]-PROVEEDORES3[[#This Row],[FECHA DE FACTURACIÓN]])&gt;#REF!,"PAGO VENCIDO")</f>
        <v>#REF!</v>
      </c>
      <c r="C118" s="56" t="str">
        <f>+VLOOKUP(PROVEEDORES3[[#This Row],[PROVEEDOR]],TERCEROS_INFO[[PROVEEDOR]:[CORREO]],5,FALSE)</f>
        <v>jessica.barrios@carpainternacional.com;girlesa.ruiz@servipilas.com;joriescobar64@gmail.com</v>
      </c>
      <c r="D118" s="68">
        <v>45124</v>
      </c>
      <c r="E118" s="26" t="s">
        <v>289</v>
      </c>
      <c r="F118" s="69">
        <v>45100</v>
      </c>
      <c r="G118" s="35">
        <v>1706</v>
      </c>
      <c r="H118" s="70">
        <v>639.4</v>
      </c>
      <c r="I118" s="21">
        <f>+PROVEEDORES3[[#This Row],[Total USD]]*4350</f>
        <v>2781390</v>
      </c>
    </row>
    <row r="119" spans="1:9" ht="22.35" customHeight="1" x14ac:dyDescent="0.3">
      <c r="A119" s="325" t="str">
        <f>+IF(PROVEEDORES3[[#This Row],[FECHA DE PAGO]]=PROVEEDORES3[[#This Row],[FECHA DE FACTURACIÓN]],"DE CONTADO","CRÉDITO")</f>
        <v>CRÉDITO</v>
      </c>
      <c r="B119" s="38" t="e">
        <f>+IF((PROVEEDORES3[[#This Row],[FECHA DE PAGO]]-PROVEEDORES3[[#This Row],[FECHA DE FACTURACIÓN]])&gt;#REF!,"PAGO VENCIDO")</f>
        <v>#REF!</v>
      </c>
      <c r="C119" s="56" t="str">
        <f>+VLOOKUP(PROVEEDORES3[[#This Row],[PROVEEDOR]],TERCEROS_INFO[[PROVEEDOR]:[CORREO]],5,FALSE)</f>
        <v>jessica.barrios@carpainternacional.com;girlesa.ruiz@servipilas.com;joriescobar64@gmail.com</v>
      </c>
      <c r="D119" s="68">
        <v>45124</v>
      </c>
      <c r="E119" s="26" t="s">
        <v>287</v>
      </c>
      <c r="F119" s="69">
        <v>45107</v>
      </c>
      <c r="G119" s="35">
        <v>1715</v>
      </c>
      <c r="H119" s="70">
        <v>52</v>
      </c>
      <c r="I119" s="21">
        <f>+PROVEEDORES3[[#This Row],[Total USD]]*4350</f>
        <v>226200</v>
      </c>
    </row>
    <row r="120" spans="1:9" ht="22.35" customHeight="1" x14ac:dyDescent="0.3">
      <c r="A120" s="325" t="str">
        <f>+IF(PROVEEDORES3[[#This Row],[FECHA DE PAGO]]=PROVEEDORES3[[#This Row],[FECHA DE FACTURACIÓN]],"DE CONTADO","CRÉDITO")</f>
        <v>CRÉDITO</v>
      </c>
      <c r="B120" s="38" t="e">
        <f>+IF((PROVEEDORES3[[#This Row],[FECHA DE PAGO]]-PROVEEDORES3[[#This Row],[FECHA DE FACTURACIÓN]])&gt;#REF!,"PAGO VENCIDO")</f>
        <v>#REF!</v>
      </c>
      <c r="C120" s="56" t="str">
        <f>+VLOOKUP(PROVEEDORES3[[#This Row],[PROVEEDOR]],TERCEROS_INFO[[PROVEEDOR]:[CORREO]],5,FALSE)</f>
        <v>jessica.barrios@carpainternacional.com;girlesa.ruiz@servipilas.com;joriescobar64@gmail.com</v>
      </c>
      <c r="D120" s="68">
        <v>45124</v>
      </c>
      <c r="E120" s="26" t="s">
        <v>287</v>
      </c>
      <c r="F120" s="69">
        <v>45107</v>
      </c>
      <c r="G120" s="35">
        <v>1716</v>
      </c>
      <c r="H120" s="70">
        <v>52</v>
      </c>
      <c r="I120" s="21">
        <f>+PROVEEDORES3[[#This Row],[Total USD]]*4350</f>
        <v>226200</v>
      </c>
    </row>
    <row r="121" spans="1:9" ht="22.35" customHeight="1" x14ac:dyDescent="0.3">
      <c r="A121" s="331" t="str">
        <f>+IF(PROVEEDORES3[[#This Row],[FECHA DE PAGO]]=PROVEEDORES3[[#This Row],[FECHA DE FACTURACIÓN]],"DE CONTADO","CRÉDITO")</f>
        <v>DE CONTADO</v>
      </c>
      <c r="B121" s="38" t="e">
        <f>+IF((PROVEEDORES3[[#This Row],[FECHA DE PAGO]]-PROVEEDORES3[[#This Row],[FECHA DE FACTURACIÓN]])&gt;#REF!,"PAGO VENCIDO")</f>
        <v>#REF!</v>
      </c>
      <c r="C121" s="56" t="str">
        <f>+VLOOKUP(PROVEEDORES3[[#This Row],[PROVEEDOR]],TERCEROS_INFO[[PROVEEDOR]:[CORREO]],5,FALSE)</f>
        <v>jessica.barrios@carpainternacional.com;girlesa.ruiz@servipilas.com;joriescobar64@gmail.com</v>
      </c>
      <c r="D121" s="68">
        <v>45132</v>
      </c>
      <c r="E121" s="26" t="s">
        <v>287</v>
      </c>
      <c r="F121" s="69">
        <v>45132</v>
      </c>
      <c r="G121" s="234" t="s">
        <v>1804</v>
      </c>
      <c r="H121" s="70"/>
      <c r="I121" s="21">
        <f>+PROVEEDORES3[[#This Row],[Total USD]]*3828.5</f>
        <v>0</v>
      </c>
    </row>
    <row r="122" spans="1:9" ht="22.35" customHeight="1" x14ac:dyDescent="0.3">
      <c r="A122" s="67" t="str">
        <f>+IF(PROVEEDORES3[[#This Row],[FECHA DE PAGO]]=PROVEEDORES3[[#This Row],[FECHA DE FACTURACIÓN]],"DE CONTADO","CRÉDITO")</f>
        <v>CRÉDITO</v>
      </c>
      <c r="B122" s="38" t="e">
        <f>+IF((PROVEEDORES3[[#This Row],[FECHA DE PAGO]]-PROVEEDORES3[[#This Row],[FECHA DE FACTURACIÓN]])&gt;#REF!,"PAGO VENCIDO")</f>
        <v>#REF!</v>
      </c>
      <c r="C122" s="56" t="str">
        <f>+VLOOKUP(PROVEEDORES3[[#This Row],[PROVEEDOR]],TERCEROS_INFO[[PROVEEDOR]:[CORREO]],5,FALSE)</f>
        <v>jessica.barrios@carpainternacional.com;girlesa.ruiz@servipilas.com;joriescobar64@gmail.com</v>
      </c>
      <c r="D122" s="68">
        <v>45152</v>
      </c>
      <c r="E122" s="26" t="s">
        <v>289</v>
      </c>
      <c r="F122" s="69">
        <v>45120</v>
      </c>
      <c r="G122" s="35">
        <v>1718</v>
      </c>
      <c r="H122" s="70">
        <v>665</v>
      </c>
      <c r="I122" s="21">
        <f>+PROVEEDORES3[[#This Row],[Total USD]]*4150</f>
        <v>2759750</v>
      </c>
    </row>
    <row r="123" spans="1:9" ht="22.35" customHeight="1" x14ac:dyDescent="0.3">
      <c r="A123" s="67" t="str">
        <f>+IF(PROVEEDORES3[[#This Row],[FECHA DE PAGO]]=PROVEEDORES3[[#This Row],[FECHA DE FACTURACIÓN]],"DE CONTADO","CRÉDITO")</f>
        <v>CRÉDITO</v>
      </c>
      <c r="B123" s="38" t="e">
        <f>+IF((PROVEEDORES3[[#This Row],[FECHA DE PAGO]]-PROVEEDORES3[[#This Row],[FECHA DE FACTURACIÓN]])&gt;#REF!,"PAGO VENCIDO")</f>
        <v>#REF!</v>
      </c>
      <c r="C123" s="56" t="str">
        <f>+VLOOKUP(PROVEEDORES3[[#This Row],[PROVEEDOR]],TERCEROS_INFO[[PROVEEDOR]:[CORREO]],5,FALSE)</f>
        <v>jessica.barrios@carpainternacional.com;girlesa.ruiz@servipilas.com;joriescobar64@gmail.com</v>
      </c>
      <c r="D123" s="68">
        <v>45152</v>
      </c>
      <c r="E123" s="26" t="s">
        <v>287</v>
      </c>
      <c r="F123" s="69">
        <v>45124</v>
      </c>
      <c r="G123" s="35">
        <v>1729</v>
      </c>
      <c r="H123" s="70">
        <v>92</v>
      </c>
      <c r="I123" s="21">
        <f>+PROVEEDORES3[[#This Row],[Total USD]]*4150</f>
        <v>381800</v>
      </c>
    </row>
    <row r="124" spans="1:9" ht="22.35" customHeight="1" x14ac:dyDescent="0.3">
      <c r="A124" s="67" t="str">
        <f>+IF(PROVEEDORES3[[#This Row],[FECHA DE PAGO]]=PROVEEDORES3[[#This Row],[FECHA DE FACTURACIÓN]],"DE CONTADO","CRÉDITO")</f>
        <v>CRÉDITO</v>
      </c>
      <c r="B124" s="38" t="e">
        <f>+IF((PROVEEDORES3[[#This Row],[FECHA DE PAGO]]-PROVEEDORES3[[#This Row],[FECHA DE FACTURACIÓN]])&gt;#REF!,"PAGO VENCIDO")</f>
        <v>#REF!</v>
      </c>
      <c r="C124" s="56" t="str">
        <f>+VLOOKUP(PROVEEDORES3[[#This Row],[PROVEEDOR]],TERCEROS_INFO[[PROVEEDOR]:[CORREO]],5,FALSE)</f>
        <v>jessica.barrios@carpainternacional.com;girlesa.ruiz@servipilas.com;joriescobar64@gmail.com</v>
      </c>
      <c r="D124" s="68">
        <v>45152</v>
      </c>
      <c r="E124" s="26" t="s">
        <v>287</v>
      </c>
      <c r="F124" s="69">
        <v>45124</v>
      </c>
      <c r="G124" s="35">
        <v>1730</v>
      </c>
      <c r="H124" s="70">
        <v>52</v>
      </c>
      <c r="I124" s="21">
        <f>+PROVEEDORES3[[#This Row],[Total USD]]*4150</f>
        <v>215800</v>
      </c>
    </row>
    <row r="125" spans="1:9" ht="22.35" customHeight="1" x14ac:dyDescent="0.3">
      <c r="A125" s="67" t="str">
        <f>+IF(PROVEEDORES3[[#This Row],[FECHA DE PAGO]]=PROVEEDORES3[[#This Row],[FECHA DE FACTURACIÓN]],"DE CONTADO","CRÉDITO")</f>
        <v>CRÉDITO</v>
      </c>
      <c r="B125" s="38" t="e">
        <f>+IF((PROVEEDORES3[[#This Row],[FECHA DE PAGO]]-PROVEEDORES3[[#This Row],[FECHA DE FACTURACIÓN]])&gt;#REF!,"PAGO VENCIDO")</f>
        <v>#REF!</v>
      </c>
      <c r="C125" s="56" t="str">
        <f>+VLOOKUP(PROVEEDORES3[[#This Row],[PROVEEDOR]],TERCEROS_INFO[[PROVEEDOR]:[CORREO]],5,FALSE)</f>
        <v>jessica.barrios@carpainternacional.com;girlesa.ruiz@servipilas.com;joriescobar64@gmail.com</v>
      </c>
      <c r="D125" s="68">
        <v>45152</v>
      </c>
      <c r="E125" s="26" t="s">
        <v>287</v>
      </c>
      <c r="F125" s="69">
        <v>45124</v>
      </c>
      <c r="G125" s="35">
        <v>1731</v>
      </c>
      <c r="H125" s="70">
        <v>76</v>
      </c>
      <c r="I125" s="21">
        <f>+PROVEEDORES3[[#This Row],[Total USD]]*4150</f>
        <v>315400</v>
      </c>
    </row>
    <row r="126" spans="1:9" ht="22.35" customHeight="1" x14ac:dyDescent="0.3">
      <c r="A126" s="67" t="str">
        <f>+IF(PROVEEDORES3[[#This Row],[FECHA DE PAGO]]=PROVEEDORES3[[#This Row],[FECHA DE FACTURACIÓN]],"DE CONTADO","CRÉDITO")</f>
        <v>CRÉDITO</v>
      </c>
      <c r="B126" s="38" t="e">
        <f>+IF((PROVEEDORES3[[#This Row],[FECHA DE PAGO]]-PROVEEDORES3[[#This Row],[FECHA DE FACTURACIÓN]])&gt;#REF!,"PAGO VENCIDO")</f>
        <v>#REF!</v>
      </c>
      <c r="C126" s="56" t="str">
        <f>+VLOOKUP(PROVEEDORES3[[#This Row],[PROVEEDOR]],TERCEROS_INFO[[PROVEEDOR]:[CORREO]],5,FALSE)</f>
        <v>jessica.barrios@carpainternacional.com;girlesa.ruiz@servipilas.com;joriescobar64@gmail.com</v>
      </c>
      <c r="D126" s="68">
        <v>45152</v>
      </c>
      <c r="E126" s="26" t="s">
        <v>287</v>
      </c>
      <c r="F126" s="69">
        <v>45124</v>
      </c>
      <c r="G126" s="35">
        <v>1732</v>
      </c>
      <c r="H126" s="70">
        <v>56</v>
      </c>
      <c r="I126" s="21">
        <f>+PROVEEDORES3[[#This Row],[Total USD]]*4150</f>
        <v>232400</v>
      </c>
    </row>
    <row r="127" spans="1:9" ht="22.35" customHeight="1" x14ac:dyDescent="0.3">
      <c r="A127" s="67" t="str">
        <f>+IF(PROVEEDORES3[[#This Row],[FECHA DE PAGO]]=PROVEEDORES3[[#This Row],[FECHA DE FACTURACIÓN]],"DE CONTADO","CRÉDITO")</f>
        <v>CRÉDITO</v>
      </c>
      <c r="B127" s="38" t="e">
        <f>+IF((PROVEEDORES3[[#This Row],[FECHA DE PAGO]]-PROVEEDORES3[[#This Row],[FECHA DE FACTURACIÓN]])&gt;#REF!,"PAGO VENCIDO")</f>
        <v>#REF!</v>
      </c>
      <c r="C127" s="56" t="str">
        <f>+VLOOKUP(PROVEEDORES3[[#This Row],[PROVEEDOR]],TERCEROS_INFO[[PROVEEDOR]:[CORREO]],5,FALSE)</f>
        <v>jessica.barrios@carpainternacional.com;girlesa.ruiz@servipilas.com;joriescobar64@gmail.com</v>
      </c>
      <c r="D127" s="68">
        <v>45152</v>
      </c>
      <c r="E127" s="26" t="s">
        <v>287</v>
      </c>
      <c r="F127" s="69">
        <v>45126</v>
      </c>
      <c r="G127" s="35">
        <v>1735</v>
      </c>
      <c r="H127" s="70">
        <v>60</v>
      </c>
      <c r="I127" s="21">
        <f>+PROVEEDORES3[[#This Row],[Total USD]]*4150</f>
        <v>249000</v>
      </c>
    </row>
    <row r="128" spans="1:9" ht="22.35" customHeight="1" x14ac:dyDescent="0.3">
      <c r="A128" s="67" t="str">
        <f>+IF(PROVEEDORES3[[#This Row],[FECHA DE PAGO]]=PROVEEDORES3[[#This Row],[FECHA DE FACTURACIÓN]],"DE CONTADO","CRÉDITO")</f>
        <v>CRÉDITO</v>
      </c>
      <c r="B128" s="38" t="e">
        <f>+IF((PROVEEDORES3[[#This Row],[FECHA DE PAGO]]-PROVEEDORES3[[#This Row],[FECHA DE FACTURACIÓN]])&gt;#REF!,"PAGO VENCIDO")</f>
        <v>#REF!</v>
      </c>
      <c r="C128" s="56" t="str">
        <f>+VLOOKUP(PROVEEDORES3[[#This Row],[PROVEEDOR]],TERCEROS_INFO[[PROVEEDOR]:[CORREO]],5,FALSE)</f>
        <v>jessica.barrios@carpainternacional.com;girlesa.ruiz@servipilas.com;joriescobar64@gmail.com</v>
      </c>
      <c r="D128" s="68">
        <v>45152</v>
      </c>
      <c r="E128" s="26" t="s">
        <v>287</v>
      </c>
      <c r="F128" s="69">
        <v>45126</v>
      </c>
      <c r="G128" s="35">
        <v>1736</v>
      </c>
      <c r="H128" s="70">
        <v>56</v>
      </c>
      <c r="I128" s="21">
        <f>+PROVEEDORES3[[#This Row],[Total USD]]*4150</f>
        <v>232400</v>
      </c>
    </row>
    <row r="129" spans="1:9" ht="22.35" customHeight="1" x14ac:dyDescent="0.3">
      <c r="A129" s="67" t="str">
        <f>+IF(PROVEEDORES3[[#This Row],[FECHA DE PAGO]]=PROVEEDORES3[[#This Row],[FECHA DE FACTURACIÓN]],"DE CONTADO","CRÉDITO")</f>
        <v>CRÉDITO</v>
      </c>
      <c r="B129" s="38" t="e">
        <f>+IF((PROVEEDORES3[[#This Row],[FECHA DE PAGO]]-PROVEEDORES3[[#This Row],[FECHA DE FACTURACIÓN]])&gt;#REF!,"PAGO VENCIDO")</f>
        <v>#REF!</v>
      </c>
      <c r="C129" s="56" t="str">
        <f>+VLOOKUP(PROVEEDORES3[[#This Row],[PROVEEDOR]],TERCEROS_INFO[[PROVEEDOR]:[CORREO]],5,FALSE)</f>
        <v>jessica.barrios@carpainternacional.com;girlesa.ruiz@servipilas.com;joriescobar64@gmail.com</v>
      </c>
      <c r="D129" s="68">
        <v>45152</v>
      </c>
      <c r="E129" s="26" t="s">
        <v>287</v>
      </c>
      <c r="F129" s="69">
        <v>45126</v>
      </c>
      <c r="G129" s="35">
        <v>1737</v>
      </c>
      <c r="H129" s="70">
        <v>56</v>
      </c>
      <c r="I129" s="21">
        <f>+PROVEEDORES3[[#This Row],[Total USD]]*4150</f>
        <v>232400</v>
      </c>
    </row>
    <row r="130" spans="1:9" ht="22.35" customHeight="1" x14ac:dyDescent="0.3">
      <c r="A130" s="67" t="str">
        <f>+IF(PROVEEDORES3[[#This Row],[FECHA DE PAGO]]=PROVEEDORES3[[#This Row],[FECHA DE FACTURACIÓN]],"DE CONTADO","CRÉDITO")</f>
        <v>CRÉDITO</v>
      </c>
      <c r="B130" s="38" t="e">
        <f>+IF((PROVEEDORES3[[#This Row],[FECHA DE PAGO]]-PROVEEDORES3[[#This Row],[FECHA DE FACTURACIÓN]])&gt;#REF!,"PAGO VENCIDO")</f>
        <v>#REF!</v>
      </c>
      <c r="C130" s="56" t="str">
        <f>+VLOOKUP(PROVEEDORES3[[#This Row],[PROVEEDOR]],TERCEROS_INFO[[PROVEEDOR]:[CORREO]],5,FALSE)</f>
        <v>jessica.barrios@carpainternacional.com;girlesa.ruiz@servipilas.com;joriescobar64@gmail.com</v>
      </c>
      <c r="D130" s="68">
        <v>45152</v>
      </c>
      <c r="E130" s="26" t="s">
        <v>287</v>
      </c>
      <c r="F130" s="69">
        <v>45126</v>
      </c>
      <c r="G130" s="35">
        <v>1738</v>
      </c>
      <c r="H130" s="70">
        <v>56</v>
      </c>
      <c r="I130" s="21">
        <f>+PROVEEDORES3[[#This Row],[Total USD]]*4150</f>
        <v>232400</v>
      </c>
    </row>
    <row r="131" spans="1:9" ht="22.35" customHeight="1" x14ac:dyDescent="0.3">
      <c r="A131" s="67" t="str">
        <f>+IF(PROVEEDORES3[[#This Row],[FECHA DE PAGO]]=PROVEEDORES3[[#This Row],[FECHA DE FACTURACIÓN]],"DE CONTADO","CRÉDITO")</f>
        <v>CRÉDITO</v>
      </c>
      <c r="B131" s="38" t="e">
        <f>+IF((PROVEEDORES3[[#This Row],[FECHA DE PAGO]]-PROVEEDORES3[[#This Row],[FECHA DE FACTURACIÓN]])&gt;#REF!,"PAGO VENCIDO")</f>
        <v>#REF!</v>
      </c>
      <c r="C131" s="56" t="str">
        <f>+VLOOKUP(PROVEEDORES3[[#This Row],[PROVEEDOR]],TERCEROS_INFO[[PROVEEDOR]:[CORREO]],5,FALSE)</f>
        <v>jessica.barrios@carpainternacional.com;girlesa.ruiz@servipilas.com;joriescobar64@gmail.com</v>
      </c>
      <c r="D131" s="68">
        <v>45152</v>
      </c>
      <c r="E131" s="26" t="s">
        <v>287</v>
      </c>
      <c r="F131" s="69">
        <v>45134</v>
      </c>
      <c r="G131" s="35">
        <v>1741</v>
      </c>
      <c r="H131" s="70">
        <v>92</v>
      </c>
      <c r="I131" s="21">
        <f>+PROVEEDORES3[[#This Row],[Total USD]]*4150</f>
        <v>381800</v>
      </c>
    </row>
    <row r="132" spans="1:9" ht="22.35" customHeight="1" x14ac:dyDescent="0.3">
      <c r="A132" s="67" t="str">
        <f>+IF(PROVEEDORES3[[#This Row],[FECHA DE PAGO]]=PROVEEDORES3[[#This Row],[FECHA DE FACTURACIÓN]],"DE CONTADO","CRÉDITO")</f>
        <v>CRÉDITO</v>
      </c>
      <c r="B132" s="38" t="e">
        <f>+IF((PROVEEDORES3[[#This Row],[FECHA DE PAGO]]-PROVEEDORES3[[#This Row],[FECHA DE FACTURACIÓN]])&gt;#REF!,"PAGO VENCIDO")</f>
        <v>#REF!</v>
      </c>
      <c r="C132" s="56" t="str">
        <f>+VLOOKUP(PROVEEDORES3[[#This Row],[PROVEEDOR]],TERCEROS_INFO[[PROVEEDOR]:[CORREO]],5,FALSE)</f>
        <v>jessica.barrios@carpainternacional.com;girlesa.ruiz@servipilas.com;joriescobar64@gmail.com</v>
      </c>
      <c r="D132" s="68">
        <v>45152</v>
      </c>
      <c r="E132" s="26" t="s">
        <v>287</v>
      </c>
      <c r="F132" s="69">
        <v>45134</v>
      </c>
      <c r="G132" s="35">
        <v>1742</v>
      </c>
      <c r="H132" s="70">
        <v>92</v>
      </c>
      <c r="I132" s="21">
        <f>+PROVEEDORES3[[#This Row],[Total USD]]*4150</f>
        <v>381800</v>
      </c>
    </row>
    <row r="133" spans="1:9" ht="22.35" customHeight="1" x14ac:dyDescent="0.3">
      <c r="A133" s="67" t="str">
        <f>+IF(PROVEEDORES3[[#This Row],[FECHA DE PAGO]]=PROVEEDORES3[[#This Row],[FECHA DE FACTURACIÓN]],"DE CONTADO","CRÉDITO")</f>
        <v>CRÉDITO</v>
      </c>
      <c r="B133" s="38" t="e">
        <f>+IF((PROVEEDORES3[[#This Row],[FECHA DE PAGO]]-PROVEEDORES3[[#This Row],[FECHA DE FACTURACIÓN]])&gt;#REF!,"PAGO VENCIDO")</f>
        <v>#REF!</v>
      </c>
      <c r="C133" s="56" t="str">
        <f>+VLOOKUP(PROVEEDORES3[[#This Row],[PROVEEDOR]],TERCEROS_INFO[[PROVEEDOR]:[CORREO]],5,FALSE)</f>
        <v>jessica.barrios@carpainternacional.com;girlesa.ruiz@servipilas.com;joriescobar64@gmail.com</v>
      </c>
      <c r="D133" s="68">
        <v>45152</v>
      </c>
      <c r="E133" s="26" t="s">
        <v>287</v>
      </c>
      <c r="F133" s="69">
        <v>45134</v>
      </c>
      <c r="G133" s="35">
        <v>1743</v>
      </c>
      <c r="H133" s="70">
        <v>40</v>
      </c>
      <c r="I133" s="21">
        <f>+PROVEEDORES3[[#This Row],[Total USD]]*4150</f>
        <v>166000</v>
      </c>
    </row>
    <row r="134" spans="1:9" ht="22.35" customHeight="1" x14ac:dyDescent="0.3">
      <c r="A134" s="67" t="str">
        <f>+IF(PROVEEDORES3[[#This Row],[FECHA DE PAGO]]=PROVEEDORES3[[#This Row],[FECHA DE FACTURACIÓN]],"DE CONTADO","CRÉDITO")</f>
        <v>CRÉDITO</v>
      </c>
      <c r="B134" s="38" t="e">
        <f>+IF((PROVEEDORES3[[#This Row],[FECHA DE PAGO]]-PROVEEDORES3[[#This Row],[FECHA DE FACTURACIÓN]])&gt;#REF!,"PAGO VENCIDO")</f>
        <v>#REF!</v>
      </c>
      <c r="C134" s="56" t="str">
        <f>+VLOOKUP(PROVEEDORES3[[#This Row],[PROVEEDOR]],TERCEROS_INFO[[PROVEEDOR]:[CORREO]],5,FALSE)</f>
        <v>jessica.barrios@carpainternacional.com;girlesa.ruiz@servipilas.com;joriescobar64@gmail.com</v>
      </c>
      <c r="D134" s="68">
        <v>45152</v>
      </c>
      <c r="E134" s="26" t="s">
        <v>287</v>
      </c>
      <c r="F134" s="69">
        <v>45134</v>
      </c>
      <c r="G134" s="35">
        <v>1744</v>
      </c>
      <c r="H134" s="70">
        <v>40</v>
      </c>
      <c r="I134" s="21">
        <f>+PROVEEDORES3[[#This Row],[Total USD]]*4150</f>
        <v>166000</v>
      </c>
    </row>
    <row r="135" spans="1:9" ht="22.35" customHeight="1" x14ac:dyDescent="0.3">
      <c r="A135" s="67" t="str">
        <f>+IF(PROVEEDORES3[[#This Row],[FECHA DE PAGO]]=PROVEEDORES3[[#This Row],[FECHA DE FACTURACIÓN]],"DE CONTADO","CRÉDITO")</f>
        <v>CRÉDITO</v>
      </c>
      <c r="B135" s="38" t="e">
        <f>+IF((PROVEEDORES3[[#This Row],[FECHA DE PAGO]]-PROVEEDORES3[[#This Row],[FECHA DE FACTURACIÓN]])&gt;#REF!,"PAGO VENCIDO")</f>
        <v>#REF!</v>
      </c>
      <c r="C135" s="56" t="str">
        <f>+VLOOKUP(PROVEEDORES3[[#This Row],[PROVEEDOR]],TERCEROS_INFO[[PROVEEDOR]:[CORREO]],5,FALSE)</f>
        <v>jessica.barrios@carpainternacional.com;girlesa.ruiz@servipilas.com;joriescobar64@gmail.com</v>
      </c>
      <c r="D135" s="68">
        <v>45152</v>
      </c>
      <c r="E135" s="26" t="s">
        <v>287</v>
      </c>
      <c r="F135" s="69">
        <v>45207</v>
      </c>
      <c r="G135" s="35">
        <v>1755</v>
      </c>
      <c r="H135" s="70">
        <v>48</v>
      </c>
      <c r="I135" s="21">
        <f>+PROVEEDORES3[[#This Row],[Total USD]]*4150</f>
        <v>199200</v>
      </c>
    </row>
    <row r="136" spans="1:9" ht="22.35" customHeight="1" x14ac:dyDescent="0.3">
      <c r="A136" s="67" t="str">
        <f>+IF(PROVEEDORES3[[#This Row],[FECHA DE PAGO]]=PROVEEDORES3[[#This Row],[FECHA DE FACTURACIÓN]],"DE CONTADO","CRÉDITO")</f>
        <v>CRÉDITO</v>
      </c>
      <c r="B136" s="38" t="e">
        <f>+IF((PROVEEDORES3[[#This Row],[FECHA DE PAGO]]-PROVEEDORES3[[#This Row],[FECHA DE FACTURACIÓN]])&gt;#REF!,"PAGO VENCIDO")</f>
        <v>#REF!</v>
      </c>
      <c r="C136" s="56" t="str">
        <f>+VLOOKUP(PROVEEDORES3[[#This Row],[PROVEEDOR]],TERCEROS_INFO[[PROVEEDOR]:[CORREO]],5,FALSE)</f>
        <v>jessica.barrios@carpainternacional.com;girlesa.ruiz@servipilas.com;joriescobar64@gmail.com</v>
      </c>
      <c r="D136" s="68">
        <v>45152</v>
      </c>
      <c r="E136" s="26" t="s">
        <v>287</v>
      </c>
      <c r="F136" s="69">
        <v>45207</v>
      </c>
      <c r="G136" s="35">
        <v>1756</v>
      </c>
      <c r="H136" s="70">
        <v>40</v>
      </c>
      <c r="I136" s="21">
        <f>+PROVEEDORES3[[#This Row],[Total USD]]*4150</f>
        <v>166000</v>
      </c>
    </row>
    <row r="137" spans="1:9" ht="22.35" customHeight="1" x14ac:dyDescent="0.3">
      <c r="A137" s="67" t="str">
        <f>+IF(PROVEEDORES3[[#This Row],[FECHA DE PAGO]]=PROVEEDORES3[[#This Row],[FECHA DE FACTURACIÓN]],"DE CONTADO","CRÉDITO")</f>
        <v>CRÉDITO</v>
      </c>
      <c r="B137" s="38" t="e">
        <f>+IF((PROVEEDORES3[[#This Row],[FECHA DE PAGO]]-PROVEEDORES3[[#This Row],[FECHA DE FACTURACIÓN]])&gt;#REF!,"PAGO VENCIDO")</f>
        <v>#REF!</v>
      </c>
      <c r="C137" s="56" t="str">
        <f>+VLOOKUP(PROVEEDORES3[[#This Row],[PROVEEDOR]],TERCEROS_INFO[[PROVEEDOR]:[CORREO]],5,FALSE)</f>
        <v>jessica.barrios@carpainternacional.com;girlesa.ruiz@servipilas.com;joriescobar64@gmail.com</v>
      </c>
      <c r="D137" s="68">
        <v>45152</v>
      </c>
      <c r="E137" s="26" t="s">
        <v>287</v>
      </c>
      <c r="F137" s="69">
        <v>45207</v>
      </c>
      <c r="G137" s="35">
        <v>1757</v>
      </c>
      <c r="H137" s="70">
        <v>40</v>
      </c>
      <c r="I137" s="21">
        <f>+PROVEEDORES3[[#This Row],[Total USD]]*4150</f>
        <v>166000</v>
      </c>
    </row>
    <row r="138" spans="1:9" ht="22.35" customHeight="1" x14ac:dyDescent="0.3">
      <c r="A138" s="67" t="str">
        <f>+IF(PROVEEDORES3[[#This Row],[FECHA DE PAGO]]=PROVEEDORES3[[#This Row],[FECHA DE FACTURACIÓN]],"DE CONTADO","CRÉDITO")</f>
        <v>CRÉDITO</v>
      </c>
      <c r="B138" s="38" t="e">
        <f>+IF((PROVEEDORES3[[#This Row],[FECHA DE PAGO]]-PROVEEDORES3[[#This Row],[FECHA DE FACTURACIÓN]])&gt;#REF!,"PAGO VENCIDO")</f>
        <v>#REF!</v>
      </c>
      <c r="C138" s="56" t="str">
        <f>+VLOOKUP(PROVEEDORES3[[#This Row],[PROVEEDOR]],TERCEROS_INFO[[PROVEEDOR]:[CORREO]],5,FALSE)</f>
        <v>jessica.barrios@carpainternacional.com;girlesa.ruiz@servipilas.com;joriescobar64@gmail.com</v>
      </c>
      <c r="D138" s="68">
        <v>45152</v>
      </c>
      <c r="E138" s="26" t="s">
        <v>287</v>
      </c>
      <c r="F138" s="69">
        <v>45207</v>
      </c>
      <c r="G138" s="35">
        <v>1758</v>
      </c>
      <c r="H138" s="70">
        <v>40</v>
      </c>
      <c r="I138" s="21">
        <f>+PROVEEDORES3[[#This Row],[Total USD]]*4150</f>
        <v>166000</v>
      </c>
    </row>
    <row r="139" spans="1:9" ht="22.35" customHeight="1" x14ac:dyDescent="0.3">
      <c r="A139" s="67" t="str">
        <f>+IF(PROVEEDORES3[[#This Row],[FECHA DE PAGO]]=PROVEEDORES3[[#This Row],[FECHA DE FACTURACIÓN]],"DE CONTADO","CRÉDITO")</f>
        <v>CRÉDITO</v>
      </c>
      <c r="B139" s="38" t="e">
        <f>+IF((PROVEEDORES3[[#This Row],[FECHA DE PAGO]]-PROVEEDORES3[[#This Row],[FECHA DE FACTURACIÓN]])&gt;#REF!,"PAGO VENCIDO")</f>
        <v>#REF!</v>
      </c>
      <c r="C139" s="56" t="str">
        <f>+VLOOKUP(PROVEEDORES3[[#This Row],[PROVEEDOR]],TERCEROS_INFO[[PROVEEDOR]:[CORREO]],5,FALSE)</f>
        <v>jessica.barrios@carpainternacional.com;girlesa.ruiz@servipilas.com;joriescobar64@gmail.com</v>
      </c>
      <c r="D139" s="68">
        <v>45152</v>
      </c>
      <c r="E139" s="26" t="s">
        <v>287</v>
      </c>
      <c r="F139" s="69">
        <v>45207</v>
      </c>
      <c r="G139" s="35">
        <v>1759</v>
      </c>
      <c r="H139" s="70">
        <v>40</v>
      </c>
      <c r="I139" s="21">
        <f>+PROVEEDORES3[[#This Row],[Total USD]]*4150</f>
        <v>166000</v>
      </c>
    </row>
    <row r="140" spans="1:9" ht="22.35" customHeight="1" x14ac:dyDescent="0.3">
      <c r="A140" s="67" t="str">
        <f>+IF(PROVEEDORES3[[#This Row],[FECHA DE PAGO]]=PROVEEDORES3[[#This Row],[FECHA DE FACTURACIÓN]],"DE CONTADO","CRÉDITO")</f>
        <v>CRÉDITO</v>
      </c>
      <c r="B140" s="38" t="e">
        <f>+IF((PROVEEDORES3[[#This Row],[FECHA DE PAGO]]-PROVEEDORES3[[#This Row],[FECHA DE FACTURACIÓN]])&gt;#REF!,"PAGO VENCIDO")</f>
        <v>#REF!</v>
      </c>
      <c r="C140" s="56" t="str">
        <f>+VLOOKUP(PROVEEDORES3[[#This Row],[PROVEEDOR]],TERCEROS_INFO[[PROVEEDOR]:[CORREO]],5,FALSE)</f>
        <v>jessica.barrios@carpainternacional.com;girlesa.ruiz@servipilas.com;joriescobar64@gmail.com</v>
      </c>
      <c r="D140" s="68">
        <v>45152</v>
      </c>
      <c r="E140" s="26" t="s">
        <v>287</v>
      </c>
      <c r="F140" s="69">
        <v>45207</v>
      </c>
      <c r="G140" s="35">
        <v>1760</v>
      </c>
      <c r="H140" s="70">
        <v>40</v>
      </c>
      <c r="I140" s="21">
        <f>+PROVEEDORES3[[#This Row],[Total USD]]*4150</f>
        <v>166000</v>
      </c>
    </row>
    <row r="141" spans="1:9" ht="22.35" customHeight="1" x14ac:dyDescent="0.3">
      <c r="A141" s="345" t="str">
        <f>+IF(PROVEEDORES3[[#This Row],[FECHA DE PAGO]]=PROVEEDORES3[[#This Row],[FECHA DE FACTURACIÓN]],"DE CONTADO","CRÉDITO")</f>
        <v>DE CONTADO</v>
      </c>
      <c r="B141" s="38" t="e">
        <f>+IF((PROVEEDORES3[[#This Row],[FECHA DE PAGO]]-PROVEEDORES3[[#This Row],[FECHA DE FACTURACIÓN]])&gt;#REF!,"PAGO VENCIDO")</f>
        <v>#REF!</v>
      </c>
      <c r="C141" s="56" t="str">
        <f>+VLOOKUP(PROVEEDORES3[[#This Row],[PROVEEDOR]],TERCEROS_INFO[[PROVEEDOR]:[CORREO]],5,FALSE)</f>
        <v>jessica.barrios@carpainternacional.com;girlesa.ruiz@servipilas.com;joriescobar64@gmail.com</v>
      </c>
      <c r="D141" s="68">
        <v>45154</v>
      </c>
      <c r="E141" s="26" t="s">
        <v>287</v>
      </c>
      <c r="F141" s="69">
        <v>45154</v>
      </c>
      <c r="G141" s="234" t="s">
        <v>1881</v>
      </c>
      <c r="H141" s="70"/>
      <c r="I141" s="21">
        <f>+PROVEEDORES3[[#This Row],[Total USD]]*3828.5</f>
        <v>0</v>
      </c>
    </row>
    <row r="142" spans="1:9" ht="22.35" customHeight="1" x14ac:dyDescent="0.3">
      <c r="A142" s="349" t="str">
        <f>+IF(PROVEEDORES3[[#This Row],[FECHA DE PAGO]]=PROVEEDORES3[[#This Row],[FECHA DE FACTURACIÓN]],"DE CONTADO","CRÉDITO")</f>
        <v>CRÉDITO</v>
      </c>
      <c r="B142" s="38" t="e">
        <f>+IF((PROVEEDORES3[[#This Row],[FECHA DE PAGO]]-PROVEEDORES3[[#This Row],[FECHA DE FACTURACIÓN]])&gt;#REF!,"PAGO VENCIDO")</f>
        <v>#REF!</v>
      </c>
      <c r="C142" s="56" t="str">
        <f>+VLOOKUP(PROVEEDORES3[[#This Row],[PROVEEDOR]],TERCEROS_INFO[[PROVEEDOR]:[CORREO]],5,FALSE)</f>
        <v/>
      </c>
      <c r="D142" s="68">
        <v>45155</v>
      </c>
      <c r="E142" s="26" t="s">
        <v>23</v>
      </c>
      <c r="F142" s="69">
        <v>45145</v>
      </c>
      <c r="G142" s="35">
        <v>310046</v>
      </c>
      <c r="H142" s="70">
        <v>12248.65</v>
      </c>
      <c r="I142" s="21">
        <f>+PROVEEDORES3[[#This Row],[Total USD]]*4106</f>
        <v>50292956.899999999</v>
      </c>
    </row>
    <row r="143" spans="1:9" ht="22.35" customHeight="1" x14ac:dyDescent="0.3">
      <c r="A143" s="67" t="str">
        <f>+IF(PROVEEDORES3[[#This Row],[FECHA DE PAGO]]=PROVEEDORES3[[#This Row],[FECHA DE FACTURACIÓN]],"DE CONTADO","CRÉDITO")</f>
        <v>CRÉDITO</v>
      </c>
      <c r="B143" s="38" t="e">
        <f>+IF((PROVEEDORES3[[#This Row],[FECHA DE PAGO]]-PROVEEDORES3[[#This Row],[FECHA DE FACTURACIÓN]])&gt;#REF!,"PAGO VENCIDO")</f>
        <v>#REF!</v>
      </c>
      <c r="C143" s="56" t="str">
        <f>+VLOOKUP(PROVEEDORES3[[#This Row],[PROVEEDOR]],TERCEROS_INFO[[PROVEEDOR]:[CORREO]],5,FALSE)</f>
        <v>mcastillo@kenextrading.com;agarcia@kenextrading.com;girlesa.ruiz@servipilas.com;joriescobar64@gmail.com</v>
      </c>
      <c r="D143" s="68">
        <v>45175</v>
      </c>
      <c r="E143" s="26" t="s">
        <v>31</v>
      </c>
      <c r="F143" s="69">
        <v>45082</v>
      </c>
      <c r="G143" s="35">
        <v>59276</v>
      </c>
      <c r="H143" s="70">
        <v>6223.59</v>
      </c>
      <c r="I143" s="21">
        <f>+PROVEEDORES3[[#This Row],[Total USD]]*4350</f>
        <v>27072616.5</v>
      </c>
    </row>
    <row r="144" spans="1:9" ht="22.35" customHeight="1" x14ac:dyDescent="0.3">
      <c r="A144" s="343" t="str">
        <f>+IF(PROVEEDORES3[[#This Row],[FECHA DE PAGO]]=PROVEEDORES3[[#This Row],[FECHA DE FACTURACIÓN]],"DE CONTADO","CRÉDITO")</f>
        <v>CRÉDITO</v>
      </c>
      <c r="B144" s="38" t="e">
        <f>+IF((PROVEEDORES3[[#This Row],[FECHA DE PAGO]]-PROVEEDORES3[[#This Row],[FECHA DE FACTURACIÓN]])&gt;#REF!,"PAGO VENCIDO")</f>
        <v>#REF!</v>
      </c>
      <c r="C144" s="56" t="str">
        <f>+VLOOKUP(PROVEEDORES3[[#This Row],[PROVEEDOR]],TERCEROS_INFO[[PROVEEDOR]:[CORREO]],5,FALSE)</f>
        <v>jessica.barrios@carpainternacional.com;girlesa.ruiz@servipilas.com;joriescobar64@gmail.com</v>
      </c>
      <c r="D144" s="68">
        <v>45205</v>
      </c>
      <c r="E144" s="26" t="s">
        <v>287</v>
      </c>
      <c r="F144" s="69">
        <v>45126</v>
      </c>
      <c r="G144" s="35">
        <v>1738</v>
      </c>
      <c r="H144" s="156">
        <v>8</v>
      </c>
      <c r="I144" s="21">
        <f>+PROVEEDORES3[[#This Row],[Total USD]]*4150</f>
        <v>33200</v>
      </c>
    </row>
    <row r="145" spans="1:9" ht="22.35" customHeight="1" x14ac:dyDescent="0.3">
      <c r="A145" s="349" t="str">
        <f>+IF(PROVEEDORES3[[#This Row],[FECHA DE PAGO]]=PROVEEDORES3[[#This Row],[FECHA DE FACTURACIÓN]],"DE CONTADO","CRÉDITO")</f>
        <v>CRÉDITO</v>
      </c>
      <c r="B145" s="38" t="e">
        <f>+IF((PROVEEDORES3[[#This Row],[FECHA DE PAGO]]-PROVEEDORES3[[#This Row],[FECHA DE FACTURACIÓN]])&gt;#REF!,"PAGO VENCIDO")</f>
        <v>#REF!</v>
      </c>
      <c r="C145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45" s="68">
        <v>45203</v>
      </c>
      <c r="E145" s="26" t="s">
        <v>38</v>
      </c>
      <c r="F145" s="69">
        <v>45147</v>
      </c>
      <c r="G145" s="35">
        <v>90276</v>
      </c>
      <c r="H145" s="156">
        <v>537.78</v>
      </c>
      <c r="I145" s="21">
        <f>+PROVEEDORES3[[#This Row],[Total USD]]*4106</f>
        <v>2208124.6799999997</v>
      </c>
    </row>
    <row r="146" spans="1:9" ht="22.35" customHeight="1" x14ac:dyDescent="0.3">
      <c r="A146" s="349" t="str">
        <f>+IF(PROVEEDORES3[[#This Row],[FECHA DE PAGO]]=PROVEEDORES3[[#This Row],[FECHA DE FACTURACIÓN]],"DE CONTADO","CRÉDITO")</f>
        <v>CRÉDITO</v>
      </c>
      <c r="B146" s="38" t="e">
        <f>+IF((PROVEEDORES3[[#This Row],[FECHA DE PAGO]]-PROVEEDORES3[[#This Row],[FECHA DE FACTURACIÓN]])&gt;#REF!,"PAGO VENCIDO")</f>
        <v>#REF!</v>
      </c>
      <c r="C146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46" s="68">
        <v>45203</v>
      </c>
      <c r="E146" s="26" t="s">
        <v>38</v>
      </c>
      <c r="F146" s="69">
        <v>45147</v>
      </c>
      <c r="G146" s="35">
        <v>90700</v>
      </c>
      <c r="H146" s="156">
        <v>905</v>
      </c>
      <c r="I146" s="21">
        <f>+PROVEEDORES3[[#This Row],[Total USD]]*4106</f>
        <v>3715930</v>
      </c>
    </row>
    <row r="147" spans="1:9" ht="22.35" customHeight="1" x14ac:dyDescent="0.3">
      <c r="A147" s="349" t="str">
        <f>+IF(PROVEEDORES3[[#This Row],[FECHA DE PAGO]]=PROVEEDORES3[[#This Row],[FECHA DE FACTURACIÓN]],"DE CONTADO","CRÉDITO")</f>
        <v>CRÉDITO</v>
      </c>
      <c r="B147" s="38" t="e">
        <f>+IF((PROVEEDORES3[[#This Row],[FECHA DE PAGO]]-PROVEEDORES3[[#This Row],[FECHA DE FACTURACIÓN]])&gt;#REF!,"PAGO VENCIDO")</f>
        <v>#REF!</v>
      </c>
      <c r="C147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47" s="68">
        <v>45203</v>
      </c>
      <c r="E147" s="26" t="s">
        <v>38</v>
      </c>
      <c r="F147" s="69">
        <v>45147</v>
      </c>
      <c r="G147" s="35">
        <v>90105</v>
      </c>
      <c r="H147" s="156">
        <v>836.14</v>
      </c>
      <c r="I147" s="21">
        <f>+PROVEEDORES3[[#This Row],[Total USD]]*4106</f>
        <v>3433190.84</v>
      </c>
    </row>
    <row r="148" spans="1:9" ht="22.35" customHeight="1" x14ac:dyDescent="0.3">
      <c r="A148" s="349" t="str">
        <f>+IF(PROVEEDORES3[[#This Row],[FECHA DE PAGO]]=PROVEEDORES3[[#This Row],[FECHA DE FACTURACIÓN]],"DE CONTADO","CRÉDITO")</f>
        <v>CRÉDITO</v>
      </c>
      <c r="B148" s="38" t="e">
        <f>+IF((PROVEEDORES3[[#This Row],[FECHA DE PAGO]]-PROVEEDORES3[[#This Row],[FECHA DE FACTURACIÓN]])&gt;#REF!,"PAGO VENCIDO")</f>
        <v>#REF!</v>
      </c>
      <c r="C148" s="56" t="str">
        <f>+VLOOKUP(PROVEEDORES3[[#This Row],[PROVEEDOR]],TERCEROS_INFO[[PROVEEDOR]:[CORREO]],5,FALSE)</f>
        <v>jessica.barrios@carpainternacional.com;girlesa.ruiz@servipilas.com;joriescobar64@gmail.com</v>
      </c>
      <c r="D148" s="68">
        <v>45205</v>
      </c>
      <c r="E148" s="26" t="s">
        <v>287</v>
      </c>
      <c r="F148" s="69">
        <v>45169</v>
      </c>
      <c r="G148" s="35">
        <v>1770</v>
      </c>
      <c r="H148" s="156">
        <v>244</v>
      </c>
      <c r="I148" s="21">
        <f>+PROVEEDORES3[[#This Row],[Total USD]]*4200</f>
        <v>1024800</v>
      </c>
    </row>
    <row r="149" spans="1:9" ht="22.35" customHeight="1" x14ac:dyDescent="0.3">
      <c r="A149" s="349" t="str">
        <f>+IF(PROVEEDORES3[[#This Row],[FECHA DE PAGO]]=PROVEEDORES3[[#This Row],[FECHA DE FACTURACIÓN]],"DE CONTADO","CRÉDITO")</f>
        <v>CRÉDITO</v>
      </c>
      <c r="B149" s="38" t="e">
        <f>+IF((PROVEEDORES3[[#This Row],[FECHA DE PAGO]]-PROVEEDORES3[[#This Row],[FECHA DE FACTURACIÓN]])&gt;#REF!,"PAGO VENCIDO")</f>
        <v>#REF!</v>
      </c>
      <c r="C149" s="56" t="str">
        <f>+VLOOKUP(PROVEEDORES3[[#This Row],[PROVEEDOR]],TERCEROS_INFO[[PROVEEDOR]:[CORREO]],5,FALSE)</f>
        <v>jessica.barrios@carpainternacional.com;girlesa.ruiz@servipilas.com;joriescobar64@gmail.com</v>
      </c>
      <c r="D149" s="68">
        <v>45205</v>
      </c>
      <c r="E149" s="26" t="s">
        <v>289</v>
      </c>
      <c r="F149" s="69">
        <v>45169</v>
      </c>
      <c r="G149" s="35">
        <v>1771</v>
      </c>
      <c r="H149" s="156">
        <v>665</v>
      </c>
      <c r="I149" s="21">
        <f>+PROVEEDORES3[[#This Row],[Total USD]]*4200</f>
        <v>2793000</v>
      </c>
    </row>
    <row r="150" spans="1:9" ht="22.35" customHeight="1" x14ac:dyDescent="0.3">
      <c r="A150" s="349" t="str">
        <f>+IF(PROVEEDORES3[[#This Row],[FECHA DE PAGO]]=PROVEEDORES3[[#This Row],[FECHA DE FACTURACIÓN]],"DE CONTADO","CRÉDITO")</f>
        <v>CRÉDITO</v>
      </c>
      <c r="B150" s="38" t="e">
        <f>+IF((PROVEEDORES3[[#This Row],[FECHA DE PAGO]]-PROVEEDORES3[[#This Row],[FECHA DE FACTURACIÓN]])&gt;#REF!,"PAGO VENCIDO")</f>
        <v>#REF!</v>
      </c>
      <c r="C150" s="56" t="str">
        <f>+VLOOKUP(PROVEEDORES3[[#This Row],[PROVEEDOR]],TERCEROS_INFO[[PROVEEDOR]:[CORREO]],5,FALSE)</f>
        <v>jessica.barrios@carpainternacional.com;girlesa.ruiz@servipilas.com;joriescobar64@gmail.com</v>
      </c>
      <c r="D150" s="68">
        <v>45205</v>
      </c>
      <c r="E150" s="26" t="s">
        <v>289</v>
      </c>
      <c r="F150" s="69">
        <v>45169</v>
      </c>
      <c r="G150" s="35">
        <v>1773</v>
      </c>
      <c r="H150" s="156">
        <v>360.1</v>
      </c>
      <c r="I150" s="21">
        <f>+PROVEEDORES3[[#This Row],[Total USD]]*4200</f>
        <v>1512420</v>
      </c>
    </row>
    <row r="151" spans="1:9" ht="22.35" customHeight="1" x14ac:dyDescent="0.3">
      <c r="A151" s="349" t="str">
        <f>+IF(PROVEEDORES3[[#This Row],[FECHA DE PAGO]]=PROVEEDORES3[[#This Row],[FECHA DE FACTURACIÓN]],"DE CONTADO","CRÉDITO")</f>
        <v>CRÉDITO</v>
      </c>
      <c r="B151" s="38" t="e">
        <f>+IF((PROVEEDORES3[[#This Row],[FECHA DE PAGO]]-PROVEEDORES3[[#This Row],[FECHA DE FACTURACIÓN]])&gt;#REF!,"PAGO VENCIDO")</f>
        <v>#REF!</v>
      </c>
      <c r="C151" s="56" t="str">
        <f>+VLOOKUP(PROVEEDORES3[[#This Row],[PROVEEDOR]],TERCEROS_INFO[[PROVEEDOR]:[CORREO]],5,FALSE)</f>
        <v>jessica.barrios@carpainternacional.com;girlesa.ruiz@servipilas.com;joriescobar64@gmail.com</v>
      </c>
      <c r="D151" s="68">
        <v>45205</v>
      </c>
      <c r="E151" s="26" t="s">
        <v>320</v>
      </c>
      <c r="F151" s="69">
        <v>45169</v>
      </c>
      <c r="G151" s="35">
        <v>1772</v>
      </c>
      <c r="H151" s="156">
        <v>1216.05</v>
      </c>
      <c r="I151" s="21">
        <f>+PROVEEDORES3[[#This Row],[Total USD]]*4200</f>
        <v>5107410</v>
      </c>
    </row>
    <row r="152" spans="1:9" ht="22.35" customHeight="1" x14ac:dyDescent="0.3">
      <c r="A152" s="355" t="str">
        <f>+IF(PROVEEDORES3[[#This Row],[FECHA DE PAGO]]=PROVEEDORES3[[#This Row],[FECHA DE FACTURACIÓN]],"DE CONTADO","CRÉDITO")</f>
        <v>CRÉDITO</v>
      </c>
      <c r="B152" s="38" t="e">
        <f>+IF((PROVEEDORES3[[#This Row],[FECHA DE PAGO]]-PROVEEDORES3[[#This Row],[FECHA DE FACTURACIÓN]])&gt;#REF!,"PAGO VENCIDO")</f>
        <v>#REF!</v>
      </c>
      <c r="C152" s="56" t="str">
        <f>+VLOOKUP(PROVEEDORES3[[#This Row],[PROVEEDOR]],TERCEROS_INFO[[PROVEEDOR]:[CORREO]],5,FALSE)</f>
        <v>jessica.barrios@carpainternacional.com;girlesa.ruiz@servipilas.com;joriescobar64@gmail.com</v>
      </c>
      <c r="D152" s="68">
        <v>45205</v>
      </c>
      <c r="E152" s="26" t="s">
        <v>289</v>
      </c>
      <c r="F152" s="69">
        <v>45116</v>
      </c>
      <c r="G152" s="35">
        <v>1776</v>
      </c>
      <c r="H152" s="156">
        <v>357.4</v>
      </c>
      <c r="I152" s="21">
        <f>+PROVEEDORES3[[#This Row],[Total USD]]*4200</f>
        <v>1501080</v>
      </c>
    </row>
    <row r="153" spans="1:9" ht="22.35" customHeight="1" x14ac:dyDescent="0.3">
      <c r="A153" s="355" t="str">
        <f>+IF(PROVEEDORES3[[#This Row],[FECHA DE PAGO]]=PROVEEDORES3[[#This Row],[FECHA DE FACTURACIÓN]],"DE CONTADO","CRÉDITO")</f>
        <v>CRÉDITO</v>
      </c>
      <c r="B153" s="38" t="e">
        <f>+IF((PROVEEDORES3[[#This Row],[FECHA DE PAGO]]-PROVEEDORES3[[#This Row],[FECHA DE FACTURACIÓN]])&gt;#REF!,"PAGO VENCIDO")</f>
        <v>#REF!</v>
      </c>
      <c r="C153" s="56" t="str">
        <f>+VLOOKUP(PROVEEDORES3[[#This Row],[PROVEEDOR]],TERCEROS_INFO[[PROVEEDOR]:[CORREO]],5,FALSE)</f>
        <v>jessica.barrios@carpainternacional.com;girlesa.ruiz@servipilas.com;joriescobar64@gmail.com</v>
      </c>
      <c r="D153" s="68">
        <v>45205</v>
      </c>
      <c r="E153" s="26" t="s">
        <v>289</v>
      </c>
      <c r="F153" s="69">
        <v>45189</v>
      </c>
      <c r="G153" s="35">
        <v>1793</v>
      </c>
      <c r="H153" s="156">
        <v>665</v>
      </c>
      <c r="I153" s="21">
        <f>+PROVEEDORES3[[#This Row],[Total USD]]*4200</f>
        <v>2793000</v>
      </c>
    </row>
    <row r="154" spans="1:9" ht="22.35" customHeight="1" x14ac:dyDescent="0.3">
      <c r="A154" s="67" t="str">
        <f>+IF(PROVEEDORES3[[#This Row],[FECHA DE PAGO]]=PROVEEDORES3[[#This Row],[FECHA DE FACTURACIÓN]],"DE CONTADO","CRÉDITO")</f>
        <v>CRÉDITO</v>
      </c>
      <c r="B154" s="38" t="e">
        <f>+IF((PROVEEDORES3[[#This Row],[FECHA DE PAGO]]-PROVEEDORES3[[#This Row],[FECHA DE FACTURACIÓN]])&gt;#REF!,"PAGO VENCIDO")</f>
        <v>#REF!</v>
      </c>
      <c r="C154" s="56" t="str">
        <f>+VLOOKUP(PROVEEDORES3[[#This Row],[PROVEEDOR]],TERCEROS_INFO[[PROVEEDOR]:[CORREO]],5,FALSE)</f>
        <v>jessica.barrios@carpainternacional.com;girlesa.ruiz@servipilas.com;joriescobar64@gmail.com</v>
      </c>
      <c r="D154" s="68">
        <v>45205</v>
      </c>
      <c r="E154" s="26" t="s">
        <v>287</v>
      </c>
      <c r="F154" s="69">
        <v>45190</v>
      </c>
      <c r="G154" s="35">
        <v>1794</v>
      </c>
      <c r="H154" s="156">
        <v>60</v>
      </c>
      <c r="I154" s="21">
        <f>+PROVEEDORES3[[#This Row],[Total USD]]*4200</f>
        <v>252000</v>
      </c>
    </row>
    <row r="155" spans="1:9" ht="22.35" customHeight="1" x14ac:dyDescent="0.3">
      <c r="A155" s="67" t="str">
        <f>+IF(PROVEEDORES3[[#This Row],[FECHA DE PAGO]]=PROVEEDORES3[[#This Row],[FECHA DE FACTURACIÓN]],"DE CONTADO","CRÉDITO")</f>
        <v>CRÉDITO</v>
      </c>
      <c r="B155" s="38" t="e">
        <f>+IF((PROVEEDORES3[[#This Row],[FECHA DE PAGO]]-PROVEEDORES3[[#This Row],[FECHA DE FACTURACIÓN]])&gt;#REF!,"PAGO VENCIDO")</f>
        <v>#REF!</v>
      </c>
      <c r="C155" s="56" t="e">
        <f>+VLOOKUP(PROVEEDORES3[[#This Row],[PROVEEDOR]],TERCEROS_INFO[[PROVEEDOR]:[CORREO]],5,FALSE)</f>
        <v>#N/A</v>
      </c>
      <c r="D155" s="68">
        <v>45205</v>
      </c>
      <c r="E155" s="26"/>
      <c r="F155" s="69">
        <v>45188</v>
      </c>
      <c r="G155" s="35">
        <v>1795</v>
      </c>
      <c r="H155" s="156">
        <v>335.6</v>
      </c>
      <c r="I155" s="21">
        <f>+PROVEEDORES3[[#This Row],[Total USD]]*4200</f>
        <v>1409520</v>
      </c>
    </row>
    <row r="156" spans="1:9" ht="22.35" customHeight="1" x14ac:dyDescent="0.3">
      <c r="A156" s="366" t="str">
        <f>+IF(PROVEEDORES3[[#This Row],[FECHA DE PAGO]]=PROVEEDORES3[[#This Row],[FECHA DE FACTURACIÓN]],"DE CONTADO","CRÉDITO")</f>
        <v>DE CONTADO</v>
      </c>
      <c r="B156" s="38" t="e">
        <f>+IF((PROVEEDORES3[[#This Row],[FECHA DE PAGO]]-PROVEEDORES3[[#This Row],[FECHA DE FACTURACIÓN]])&gt;#REF!,"PAGO VENCIDO")</f>
        <v>#REF!</v>
      </c>
      <c r="C156" s="56" t="str">
        <f>+VLOOKUP(PROVEEDORES3[[#This Row],[PROVEEDOR]],TERCEROS_INFO[[PROVEEDOR]:[CORREO]],5,FALSE)</f>
        <v>jessica.barrios@carpainternacional.com;girlesa.ruiz@servipilas.com;joriescobar64@gmail.com</v>
      </c>
      <c r="D156" s="68">
        <v>45205</v>
      </c>
      <c r="E156" s="26" t="s">
        <v>287</v>
      </c>
      <c r="F156" s="69">
        <v>45205</v>
      </c>
      <c r="G156" s="234" t="s">
        <v>1977</v>
      </c>
      <c r="H156" s="70"/>
      <c r="I156" s="21"/>
    </row>
    <row r="157" spans="1:9" ht="22.35" customHeight="1" x14ac:dyDescent="0.3">
      <c r="A157" s="67" t="str">
        <f>+IF(PROVEEDORES3[[#This Row],[FECHA DE PAGO]]=PROVEEDORES3[[#This Row],[FECHA DE FACTURACIÓN]],"DE CONTADO","CRÉDITO")</f>
        <v>CRÉDITO</v>
      </c>
      <c r="B157" s="38" t="e">
        <f>+IF((PROVEEDORES3[[#This Row],[FECHA DE PAGO]]-PROVEEDORES3[[#This Row],[FECHA DE FACTURACIÓN]])&gt;#REF!,"PAGO VENCIDO")</f>
        <v>#REF!</v>
      </c>
      <c r="C157" s="56" t="str">
        <f>+VLOOKUP(PROVEEDORES3[[#This Row],[PROVEEDOR]],TERCEROS_INFO[[PROVEEDOR]:[CORREO]],5,FALSE)</f>
        <v>jessica.barrios@carpainternacional.com;girlesa.ruiz@servipilas.com;joriescobar64@gmail.com</v>
      </c>
      <c r="D157" s="68">
        <v>45251</v>
      </c>
      <c r="E157" s="26" t="s">
        <v>287</v>
      </c>
      <c r="F157" s="69">
        <v>45215</v>
      </c>
      <c r="G157" s="35">
        <v>1805</v>
      </c>
      <c r="H157" s="70">
        <v>144</v>
      </c>
      <c r="I157" s="21">
        <f>+PROVEEDORES3[[#This Row],[Total USD]]*4300</f>
        <v>619200</v>
      </c>
    </row>
    <row r="158" spans="1:9" ht="22.35" customHeight="1" x14ac:dyDescent="0.3">
      <c r="A158" s="67" t="str">
        <f>+IF(PROVEEDORES3[[#This Row],[FECHA DE PAGO]]=PROVEEDORES3[[#This Row],[FECHA DE FACTURACIÓN]],"DE CONTADO","CRÉDITO")</f>
        <v>CRÉDITO</v>
      </c>
      <c r="B158" s="38" t="e">
        <f>+IF((PROVEEDORES3[[#This Row],[FECHA DE PAGO]]-PROVEEDORES3[[#This Row],[FECHA DE FACTURACIÓN]])&gt;#REF!,"PAGO VENCIDO")</f>
        <v>#REF!</v>
      </c>
      <c r="C158" s="56" t="str">
        <f>+VLOOKUP(PROVEEDORES3[[#This Row],[PROVEEDOR]],TERCEROS_INFO[[PROVEEDOR]:[CORREO]],5,FALSE)</f>
        <v>jessica.barrios@carpainternacional.com;girlesa.ruiz@servipilas.com;joriescobar64@gmail.com</v>
      </c>
      <c r="D158" s="68">
        <v>45251</v>
      </c>
      <c r="E158" s="26" t="s">
        <v>287</v>
      </c>
      <c r="F158" s="69">
        <v>45217</v>
      </c>
      <c r="G158" s="35">
        <v>1812</v>
      </c>
      <c r="H158" s="70">
        <v>124</v>
      </c>
      <c r="I158" s="21">
        <f>+PROVEEDORES3[[#This Row],[Total USD]]*4300</f>
        <v>533200</v>
      </c>
    </row>
    <row r="159" spans="1:9" ht="22.35" customHeight="1" x14ac:dyDescent="0.3">
      <c r="A159" s="67" t="str">
        <f>+IF(PROVEEDORES3[[#This Row],[FECHA DE PAGO]]=PROVEEDORES3[[#This Row],[FECHA DE FACTURACIÓN]],"DE CONTADO","CRÉDITO")</f>
        <v>CRÉDITO</v>
      </c>
      <c r="B159" s="38" t="e">
        <f>+IF((PROVEEDORES3[[#This Row],[FECHA DE PAGO]]-PROVEEDORES3[[#This Row],[FECHA DE FACTURACIÓN]])&gt;#REF!,"PAGO VENCIDO")</f>
        <v>#REF!</v>
      </c>
      <c r="C159" s="56" t="str">
        <f>+VLOOKUP(PROVEEDORES3[[#This Row],[PROVEEDOR]],TERCEROS_INFO[[PROVEEDOR]:[CORREO]],5,FALSE)</f>
        <v>jessica.barrios@carpainternacional.com;girlesa.ruiz@servipilas.com;joriescobar64@gmail.com</v>
      </c>
      <c r="D159" s="68">
        <v>45251</v>
      </c>
      <c r="E159" s="26" t="s">
        <v>287</v>
      </c>
      <c r="F159" s="69">
        <v>45226</v>
      </c>
      <c r="G159" s="35">
        <v>1814</v>
      </c>
      <c r="H159" s="70">
        <v>100</v>
      </c>
      <c r="I159" s="21">
        <f>+PROVEEDORES3[[#This Row],[Total USD]]*4300</f>
        <v>430000</v>
      </c>
    </row>
    <row r="160" spans="1:9" ht="22.35" customHeight="1" x14ac:dyDescent="0.3">
      <c r="A160" s="67" t="str">
        <f>+IF(PROVEEDORES3[[#This Row],[FECHA DE PAGO]]=PROVEEDORES3[[#This Row],[FECHA DE FACTURACIÓN]],"DE CONTADO","CRÉDITO")</f>
        <v>CRÉDITO</v>
      </c>
      <c r="B160" s="38" t="e">
        <f>+IF((PROVEEDORES3[[#This Row],[FECHA DE PAGO]]-PROVEEDORES3[[#This Row],[FECHA DE FACTURACIÓN]])&gt;#REF!,"PAGO VENCIDO")</f>
        <v>#REF!</v>
      </c>
      <c r="C160" s="56" t="str">
        <f>+VLOOKUP(PROVEEDORES3[[#This Row],[PROVEEDOR]],TERCEROS_INFO[[PROVEEDOR]:[CORREO]],5,FALSE)</f>
        <v>jessica.barrios@carpainternacional.com;girlesa.ruiz@servipilas.com;joriescobar64@gmail.com</v>
      </c>
      <c r="D160" s="68">
        <v>45251</v>
      </c>
      <c r="E160" s="26" t="s">
        <v>289</v>
      </c>
      <c r="F160" s="69">
        <v>45230</v>
      </c>
      <c r="G160" s="35">
        <v>1819</v>
      </c>
      <c r="H160" s="70">
        <v>715</v>
      </c>
      <c r="I160" s="21">
        <f>+PROVEEDORES3[[#This Row],[Total USD]]*4300</f>
        <v>3074500</v>
      </c>
    </row>
    <row r="161" spans="1:9" ht="22.35" customHeight="1" x14ac:dyDescent="0.3">
      <c r="A161" s="67" t="str">
        <f>+IF(PROVEEDORES3[[#This Row],[FECHA DE PAGO]]=PROVEEDORES3[[#This Row],[FECHA DE FACTURACIÓN]],"DE CONTADO","CRÉDITO")</f>
        <v>CRÉDITO</v>
      </c>
      <c r="B161" s="38" t="e">
        <f>+IF((PROVEEDORES3[[#This Row],[FECHA DE PAGO]]-PROVEEDORES3[[#This Row],[FECHA DE FACTURACIÓN]])&gt;#REF!,"PAGO VENCIDO")</f>
        <v>#REF!</v>
      </c>
      <c r="C161" s="56" t="str">
        <f>+VLOOKUP(PROVEEDORES3[[#This Row],[PROVEEDOR]],TERCEROS_INFO[[PROVEEDOR]:[CORREO]],5,FALSE)</f>
        <v>jessica.barrios@carpainternacional.com;girlesa.ruiz@servipilas.com;joriescobar64@gmail.com</v>
      </c>
      <c r="D161" s="68">
        <v>45251</v>
      </c>
      <c r="E161" s="26" t="s">
        <v>289</v>
      </c>
      <c r="F161" s="69">
        <v>45237</v>
      </c>
      <c r="G161" s="35">
        <v>1827</v>
      </c>
      <c r="H161" s="70">
        <v>438.5</v>
      </c>
      <c r="I161" s="21">
        <f>+PROVEEDORES3[[#This Row],[Total USD]]*4300</f>
        <v>1885550</v>
      </c>
    </row>
    <row r="162" spans="1:9" ht="22.35" customHeight="1" x14ac:dyDescent="0.3">
      <c r="A162" s="67" t="str">
        <f>+IF(PROVEEDORES3[[#This Row],[FECHA DE PAGO]]=PROVEEDORES3[[#This Row],[FECHA DE FACTURACIÓN]],"DE CONTADO","CRÉDITO")</f>
        <v>CRÉDITO</v>
      </c>
      <c r="B162" s="38" t="e">
        <f>+IF((PROVEEDORES3[[#This Row],[FECHA DE PAGO]]-PROVEEDORES3[[#This Row],[FECHA DE FACTURACIÓN]])&gt;#REF!,"PAGO VENCIDO")</f>
        <v>#REF!</v>
      </c>
      <c r="C162" s="56" t="str">
        <f>+VLOOKUP(PROVEEDORES3[[#This Row],[PROVEEDOR]],TERCEROS_INFO[[PROVEEDOR]:[CORREO]],5,FALSE)</f>
        <v>jessica.barrios@carpainternacional.com;girlesa.ruiz@servipilas.com;joriescobar64@gmail.com</v>
      </c>
      <c r="D162" s="68">
        <v>45251</v>
      </c>
      <c r="E162" s="26" t="s">
        <v>287</v>
      </c>
      <c r="F162" s="69">
        <v>45233</v>
      </c>
      <c r="G162" s="35">
        <v>1822</v>
      </c>
      <c r="H162" s="70">
        <v>80</v>
      </c>
      <c r="I162" s="21">
        <f>+PROVEEDORES3[[#This Row],[Total USD]]*4300</f>
        <v>344000</v>
      </c>
    </row>
    <row r="163" spans="1:9" ht="22.35" customHeight="1" x14ac:dyDescent="0.3">
      <c r="A163" s="381" t="str">
        <f>+IF(PROVEEDORES3[[#This Row],[FECHA DE PAGO]]=PROVEEDORES3[[#This Row],[FECHA DE FACTURACIÓN]],"DE CONTADO","CRÉDITO")</f>
        <v>CRÉDITO</v>
      </c>
      <c r="B163" s="38" t="e">
        <f>+IF((PROVEEDORES3[[#This Row],[FECHA DE PAGO]]-PROVEEDORES3[[#This Row],[FECHA DE FACTURACIÓN]])&gt;#REF!,"PAGO VENCIDO")</f>
        <v>#REF!</v>
      </c>
      <c r="C163" s="56" t="str">
        <f>+VLOOKUP(PROVEEDORES3[[#This Row],[PROVEEDOR]],TERCEROS_INFO[[PROVEEDOR]:[CORREO]],5,FALSE)</f>
        <v>jessica.barrios@carpainternacional.com;girlesa.ruiz@servipilas.com;joriescobar64@gmail.com</v>
      </c>
      <c r="D163" s="68">
        <v>45251</v>
      </c>
      <c r="E163" s="26" t="s">
        <v>287</v>
      </c>
      <c r="F163" s="69">
        <v>45233</v>
      </c>
      <c r="G163" s="35">
        <v>1826</v>
      </c>
      <c r="H163" s="70">
        <v>92</v>
      </c>
      <c r="I163" s="21">
        <f>+PROVEEDORES3[[#This Row],[Total USD]]*4300</f>
        <v>395600</v>
      </c>
    </row>
    <row r="164" spans="1:9" ht="22.35" customHeight="1" x14ac:dyDescent="0.3">
      <c r="A164" s="67" t="str">
        <f>+IF(PROVEEDORES3[[#This Row],[FECHA DE PAGO]]=PROVEEDORES3[[#This Row],[FECHA DE FACTURACIÓN]],"DE CONTADO","CRÉDITO")</f>
        <v>CRÉDITO</v>
      </c>
      <c r="B164" s="38" t="e">
        <f>+IF((PROVEEDORES3[[#This Row],[FECHA DE PAGO]]-PROVEEDORES3[[#This Row],[FECHA DE FACTURACIÓN]])&gt;#REF!,"PAGO VENCIDO")</f>
        <v>#REF!</v>
      </c>
      <c r="C164" s="56" t="str">
        <f>+VLOOKUP(PROVEEDORES3[[#This Row],[PROVEEDOR]],TERCEROS_INFO[[PROVEEDOR]:[CORREO]],5,FALSE)</f>
        <v>jessica.barrios@carpainternacional.com;girlesa.ruiz@servipilas.com;joriescobar64@gmail.com</v>
      </c>
      <c r="D164" s="68">
        <v>45278</v>
      </c>
      <c r="E164" s="26" t="s">
        <v>287</v>
      </c>
      <c r="F164" s="69">
        <v>45251</v>
      </c>
      <c r="G164" s="35" t="s">
        <v>2151</v>
      </c>
      <c r="H164" s="70">
        <v>140</v>
      </c>
      <c r="I164" s="21">
        <f>+PROVEEDORES3[[#This Row],[Total USD]]*4300</f>
        <v>602000</v>
      </c>
    </row>
    <row r="165" spans="1:9" ht="22.35" customHeight="1" x14ac:dyDescent="0.3">
      <c r="A165" s="67" t="str">
        <f>+IF(PROVEEDORES3[[#This Row],[FECHA DE PAGO]]=PROVEEDORES3[[#This Row],[FECHA DE FACTURACIÓN]],"DE CONTADO","CRÉDITO")</f>
        <v>CRÉDITO</v>
      </c>
      <c r="B165" s="38" t="e">
        <f>+IF((PROVEEDORES3[[#This Row],[FECHA DE PAGO]]-PROVEEDORES3[[#This Row],[FECHA DE FACTURACIÓN]])&gt;#REF!,"PAGO VENCIDO")</f>
        <v>#REF!</v>
      </c>
      <c r="C165" s="56" t="str">
        <f>+VLOOKUP(PROVEEDORES3[[#This Row],[PROVEEDOR]],TERCEROS_INFO[[PROVEEDOR]:[CORREO]],5,FALSE)</f>
        <v>jessica.barrios@carpainternacional.com;girlesa.ruiz@servipilas.com;joriescobar64@gmail.com</v>
      </c>
      <c r="D165" s="68">
        <v>45278</v>
      </c>
      <c r="E165" s="26" t="s">
        <v>287</v>
      </c>
      <c r="F165" s="69">
        <v>45252</v>
      </c>
      <c r="G165" s="35" t="s">
        <v>2152</v>
      </c>
      <c r="H165" s="70">
        <v>136</v>
      </c>
      <c r="I165" s="21">
        <f>+PROVEEDORES3[[#This Row],[Total USD]]*4300</f>
        <v>584800</v>
      </c>
    </row>
    <row r="166" spans="1:9" ht="22.35" customHeight="1" x14ac:dyDescent="0.3">
      <c r="A166" s="387" t="str">
        <f>+IF(PROVEEDORES3[[#This Row],[FECHA DE PAGO]]=PROVEEDORES3[[#This Row],[FECHA DE FACTURACIÓN]],"DE CONTADO","CRÉDITO")</f>
        <v>CRÉDITO</v>
      </c>
      <c r="B166" s="38" t="e">
        <f>+IF((PROVEEDORES3[[#This Row],[FECHA DE PAGO]]-PROVEEDORES3[[#This Row],[FECHA DE FACTURACIÓN]])&gt;#REF!,"PAGO VENCIDO")</f>
        <v>#REF!</v>
      </c>
      <c r="C166" s="56" t="str">
        <f>+VLOOKUP(PROVEEDORES3[[#This Row],[PROVEEDOR]],TERCEROS_INFO[[PROVEEDOR]:[CORREO]],5,FALSE)</f>
        <v>mcastillo@kenextrading.com;agarcia@kenextrading.com;girlesa.ruiz@servipilas.com;joriescobar64@gmail.com</v>
      </c>
      <c r="E166" s="26" t="s">
        <v>31</v>
      </c>
      <c r="F166" s="69">
        <v>45247</v>
      </c>
      <c r="G166" s="35">
        <v>60425</v>
      </c>
      <c r="H166" s="70">
        <v>3664.24</v>
      </c>
      <c r="I166" s="21">
        <f>+PROVEEDORES3[[#This Row],[Total USD]]*4300</f>
        <v>15756231.999999998</v>
      </c>
    </row>
    <row r="167" spans="1:9" ht="22.35" customHeight="1" x14ac:dyDescent="0.3">
      <c r="A167" s="387" t="str">
        <f>+IF(PROVEEDORES3[[#This Row],[FECHA DE PAGO]]=PROVEEDORES3[[#This Row],[FECHA DE FACTURACIÓN]],"DE CONTADO","CRÉDITO")</f>
        <v>CRÉDITO</v>
      </c>
      <c r="B167" s="38" t="e">
        <f>+IF((PROVEEDORES3[[#This Row],[FECHA DE PAGO]]-PROVEEDORES3[[#This Row],[FECHA DE FACTURACIÓN]])&gt;#REF!,"PAGO VENCIDO")</f>
        <v>#REF!</v>
      </c>
      <c r="C167" s="56" t="str">
        <f>+VLOOKUP(PROVEEDORES3[[#This Row],[PROVEEDOR]],TERCEROS_INFO[[PROVEEDOR]:[CORREO]],5,FALSE)</f>
        <v>mcastillo@kenextrading.com;agarcia@kenextrading.com;girlesa.ruiz@servipilas.com;joriescobar64@gmail.com</v>
      </c>
      <c r="E167" s="26" t="s">
        <v>31</v>
      </c>
      <c r="F167" s="69">
        <v>45250</v>
      </c>
      <c r="G167" s="35">
        <v>60426</v>
      </c>
      <c r="H167" s="70">
        <v>24518.81</v>
      </c>
      <c r="I167" s="21">
        <f>+PROVEEDORES3[[#This Row],[Total USD]]*4300</f>
        <v>105430883</v>
      </c>
    </row>
    <row r="168" spans="1:9" ht="22.35" customHeight="1" x14ac:dyDescent="0.3">
      <c r="A168" s="67" t="str">
        <f>+IF(PROVEEDORES3[[#This Row],[FECHA DE PAGO]]=PROVEEDORES3[[#This Row],[FECHA DE FACTURACIÓN]],"DE CONTADO","CRÉDITO")</f>
        <v>CRÉDITO</v>
      </c>
      <c r="B168" s="38" t="e">
        <f>+IF((PROVEEDORES3[[#This Row],[FECHA DE PAGO]]-PROVEEDORES3[[#This Row],[FECHA DE FACTURACIÓN]])&gt;#REF!,"PAGO VENCIDO")</f>
        <v>#REF!</v>
      </c>
      <c r="C168" s="56" t="str">
        <f>+VLOOKUP(PROVEEDORES3[[#This Row],[PROVEEDOR]],TERCEROS_INFO[[PROVEEDOR]:[CORREO]],5,FALSE)</f>
        <v>jessica.barrios@carpainternacional.com;girlesa.ruiz@servipilas.com;joriescobar64@gmail.com</v>
      </c>
      <c r="D168" s="68">
        <v>45278</v>
      </c>
      <c r="E168" s="26" t="s">
        <v>287</v>
      </c>
      <c r="F168" s="69">
        <v>45260</v>
      </c>
      <c r="G168" s="35" t="s">
        <v>2214</v>
      </c>
      <c r="H168" s="70">
        <v>40</v>
      </c>
      <c r="I168" s="21">
        <f>+PROVEEDORES3[[#This Row],[Total USD]]*4300</f>
        <v>172000</v>
      </c>
    </row>
    <row r="169" spans="1:9" ht="22.35" customHeight="1" x14ac:dyDescent="0.3">
      <c r="A169" s="67" t="str">
        <f>+IF(PROVEEDORES3[[#This Row],[FECHA DE PAGO]]=PROVEEDORES3[[#This Row],[FECHA DE FACTURACIÓN]],"DE CONTADO","CRÉDITO")</f>
        <v>CRÉDITO</v>
      </c>
      <c r="B169" s="38" t="e">
        <f>+IF((PROVEEDORES3[[#This Row],[FECHA DE PAGO]]-PROVEEDORES3[[#This Row],[FECHA DE FACTURACIÓN]])&gt;#REF!,"PAGO VENCIDO")</f>
        <v>#REF!</v>
      </c>
      <c r="C169" s="56" t="str">
        <f>+VLOOKUP(PROVEEDORES3[[#This Row],[PROVEEDOR]],TERCEROS_INFO[[PROVEEDOR]:[CORREO]],5,FALSE)</f>
        <v>jessica.barrios@carpainternacional.com;girlesa.ruiz@servipilas.com;joriescobar64@gmail.com</v>
      </c>
      <c r="D169" s="68">
        <v>45278</v>
      </c>
      <c r="E169" s="26" t="s">
        <v>287</v>
      </c>
      <c r="F169" s="69">
        <v>45260</v>
      </c>
      <c r="G169" s="35" t="s">
        <v>2215</v>
      </c>
      <c r="H169" s="70">
        <v>104</v>
      </c>
      <c r="I169" s="21">
        <f>+PROVEEDORES3[[#This Row],[Total USD]]*4300</f>
        <v>447200</v>
      </c>
    </row>
    <row r="170" spans="1:9" ht="22.35" customHeight="1" x14ac:dyDescent="0.3">
      <c r="A170" s="67" t="str">
        <f>+IF(PROVEEDORES3[[#This Row],[FECHA DE PAGO]]=PROVEEDORES3[[#This Row],[FECHA DE FACTURACIÓN]],"DE CONTADO","CRÉDITO")</f>
        <v>CRÉDITO</v>
      </c>
      <c r="B170" s="38" t="e">
        <f>+IF((PROVEEDORES3[[#This Row],[FECHA DE PAGO]]-PROVEEDORES3[[#This Row],[FECHA DE FACTURACIÓN]])&gt;#REF!,"PAGO VENCIDO")</f>
        <v>#REF!</v>
      </c>
      <c r="C170" s="56" t="str">
        <f>+VLOOKUP(PROVEEDORES3[[#This Row],[PROVEEDOR]],TERCEROS_INFO[[PROVEEDOR]:[CORREO]],5,FALSE)</f>
        <v>jessica.barrios@carpainternacional.com;girlesa.ruiz@servipilas.com;joriescobar64@gmail.com</v>
      </c>
      <c r="D170" s="68">
        <v>45278</v>
      </c>
      <c r="E170" s="26" t="s">
        <v>287</v>
      </c>
      <c r="F170" s="69">
        <v>45260</v>
      </c>
      <c r="G170" s="35" t="s">
        <v>2216</v>
      </c>
      <c r="H170" s="70">
        <v>120</v>
      </c>
      <c r="I170" s="21">
        <f>+PROVEEDORES3[[#This Row],[Total USD]]*4300</f>
        <v>516000</v>
      </c>
    </row>
    <row r="171" spans="1:9" ht="22.35" customHeight="1" x14ac:dyDescent="0.3">
      <c r="A171" s="67" t="str">
        <f>+IF(PROVEEDORES3[[#This Row],[FECHA DE PAGO]]=PROVEEDORES3[[#This Row],[FECHA DE FACTURACIÓN]],"DE CONTADO","CRÉDITO")</f>
        <v>CRÉDITO</v>
      </c>
      <c r="B171" s="38" t="e">
        <f>+IF((PROVEEDORES3[[#This Row],[FECHA DE PAGO]]-PROVEEDORES3[[#This Row],[FECHA DE FACTURACIÓN]])&gt;#REF!,"PAGO VENCIDO")</f>
        <v>#REF!</v>
      </c>
      <c r="C171" s="56" t="str">
        <f>+VLOOKUP(PROVEEDORES3[[#This Row],[PROVEEDOR]],TERCEROS_INFO[[PROVEEDOR]:[CORREO]],5,FALSE)</f>
        <v>jessica.barrios@carpainternacional.com;girlesa.ruiz@servipilas.com;joriescobar64@gmail.com</v>
      </c>
      <c r="D171" s="68">
        <v>45278</v>
      </c>
      <c r="E171" s="26" t="s">
        <v>287</v>
      </c>
      <c r="F171" s="69">
        <v>45260</v>
      </c>
      <c r="G171" s="35" t="s">
        <v>2217</v>
      </c>
      <c r="H171" s="70">
        <v>255.3</v>
      </c>
      <c r="I171" s="21">
        <f>+PROVEEDORES3[[#This Row],[Total USD]]*4300</f>
        <v>1097790</v>
      </c>
    </row>
    <row r="172" spans="1:9" ht="22.35" customHeight="1" x14ac:dyDescent="0.3">
      <c r="A172" s="392" t="str">
        <f>+IF(PROVEEDORES3[[#This Row],[FECHA DE PAGO]]=PROVEEDORES3[[#This Row],[FECHA DE FACTURACIÓN]],"DE CONTADO","CRÉDITO")</f>
        <v>CRÉDITO</v>
      </c>
      <c r="B172" s="38" t="e">
        <f>+IF((PROVEEDORES3[[#This Row],[FECHA DE PAGO]]-PROVEEDORES3[[#This Row],[FECHA DE FACTURACIÓN]])&gt;#REF!,"PAGO VENCIDO")</f>
        <v>#REF!</v>
      </c>
      <c r="C172" s="56" t="str">
        <f>+VLOOKUP(PROVEEDORES3[[#This Row],[PROVEEDOR]],TERCEROS_INFO[[PROVEEDOR]:[CORREO]],5,FALSE)</f>
        <v>jessica.barrios@carpainternacional.com;girlesa.ruiz@servipilas.com;joriescobar64@gmail.com</v>
      </c>
      <c r="D172" s="68">
        <v>45278</v>
      </c>
      <c r="E172" s="26" t="s">
        <v>287</v>
      </c>
      <c r="F172" s="69">
        <v>45260</v>
      </c>
      <c r="G172" s="35" t="s">
        <v>2220</v>
      </c>
      <c r="H172" s="70">
        <v>176</v>
      </c>
      <c r="I172" s="21">
        <f>+PROVEEDORES3[[#This Row],[Total USD]]*4300</f>
        <v>756800</v>
      </c>
    </row>
    <row r="173" spans="1:9" ht="22.35" customHeight="1" x14ac:dyDescent="0.3">
      <c r="A173" s="392" t="str">
        <f>+IF(PROVEEDORES3[[#This Row],[FECHA DE PAGO]]=PROVEEDORES3[[#This Row],[FECHA DE FACTURACIÓN]],"DE CONTADO","CRÉDITO")</f>
        <v>CRÉDITO</v>
      </c>
      <c r="B173" s="38" t="e">
        <f>+IF((PROVEEDORES3[[#This Row],[FECHA DE PAGO]]-PROVEEDORES3[[#This Row],[FECHA DE FACTURACIÓN]])&gt;#REF!,"PAGO VENCIDO")</f>
        <v>#REF!</v>
      </c>
      <c r="C173" s="56" t="str">
        <f>+VLOOKUP(PROVEEDORES3[[#This Row],[PROVEEDOR]],TERCEROS_INFO[[PROVEEDOR]:[CORREO]],5,FALSE)</f>
        <v>jessica.barrios@carpainternacional.com;girlesa.ruiz@servipilas.com;joriescobar64@gmail.com</v>
      </c>
      <c r="D173" s="68">
        <v>45278</v>
      </c>
      <c r="E173" s="26" t="s">
        <v>287</v>
      </c>
      <c r="F173" s="69">
        <v>45260</v>
      </c>
      <c r="G173" s="35" t="s">
        <v>2221</v>
      </c>
      <c r="H173" s="70">
        <v>273.89999999999998</v>
      </c>
      <c r="I173" s="21">
        <f>+PROVEEDORES3[[#This Row],[Total USD]]*4300</f>
        <v>1177770</v>
      </c>
    </row>
    <row r="174" spans="1:9" ht="22.35" customHeight="1" x14ac:dyDescent="0.3">
      <c r="A174" s="392" t="str">
        <f>+IF(PROVEEDORES3[[#This Row],[FECHA DE PAGO]]=PROVEEDORES3[[#This Row],[FECHA DE FACTURACIÓN]],"DE CONTADO","CRÉDITO")</f>
        <v>CRÉDITO</v>
      </c>
      <c r="B174" s="38" t="e">
        <f>+IF((PROVEEDORES3[[#This Row],[FECHA DE PAGO]]-PROVEEDORES3[[#This Row],[FECHA DE FACTURACIÓN]])&gt;#REF!,"PAGO VENCIDO")</f>
        <v>#REF!</v>
      </c>
      <c r="C174" s="56" t="str">
        <f>+VLOOKUP(PROVEEDORES3[[#This Row],[PROVEEDOR]],TERCEROS_INFO[[PROVEEDOR]:[CORREO]],5,FALSE)</f>
        <v>jessica.barrios@carpainternacional.com;girlesa.ruiz@servipilas.com;joriescobar64@gmail.com</v>
      </c>
      <c r="D174" s="68">
        <v>45278</v>
      </c>
      <c r="E174" s="26" t="s">
        <v>287</v>
      </c>
      <c r="F174" s="69">
        <v>45264</v>
      </c>
      <c r="G174" s="35" t="s">
        <v>2222</v>
      </c>
      <c r="H174" s="70">
        <v>144</v>
      </c>
      <c r="I174" s="21">
        <f>+PROVEEDORES3[[#This Row],[Total USD]]*4300</f>
        <v>619200</v>
      </c>
    </row>
    <row r="175" spans="1:9" ht="22.35" customHeight="1" x14ac:dyDescent="0.3">
      <c r="A175" s="392" t="str">
        <f>+IF(PROVEEDORES3[[#This Row],[FECHA DE PAGO]]=PROVEEDORES3[[#This Row],[FECHA DE FACTURACIÓN]],"DE CONTADO","CRÉDITO")</f>
        <v>CRÉDITO</v>
      </c>
      <c r="B175" s="38" t="e">
        <f>+IF((PROVEEDORES3[[#This Row],[FECHA DE PAGO]]-PROVEEDORES3[[#This Row],[FECHA DE FACTURACIÓN]])&gt;#REF!,"PAGO VENCIDO")</f>
        <v>#REF!</v>
      </c>
      <c r="C175" s="56" t="str">
        <f>+VLOOKUP(PROVEEDORES3[[#This Row],[PROVEEDOR]],TERCEROS_INFO[[PROVEEDOR]:[CORREO]],5,FALSE)</f>
        <v>jessica.barrios@carpainternacional.com;girlesa.ruiz@servipilas.com;joriescobar64@gmail.com</v>
      </c>
      <c r="D175" s="68">
        <v>45278</v>
      </c>
      <c r="E175" s="26" t="s">
        <v>287</v>
      </c>
      <c r="F175" s="69">
        <v>45267</v>
      </c>
      <c r="G175" s="35" t="s">
        <v>2223</v>
      </c>
      <c r="H175" s="70">
        <v>80</v>
      </c>
      <c r="I175" s="21">
        <f>+PROVEEDORES3[[#This Row],[Total USD]]*4300</f>
        <v>344000</v>
      </c>
    </row>
    <row r="176" spans="1:9" ht="22.35" customHeight="1" x14ac:dyDescent="0.3">
      <c r="A176" s="67" t="str">
        <f>+IF(PROVEEDORES3[[#This Row],[FECHA DE PAGO]]=PROVEEDORES3[[#This Row],[FECHA DE FACTURACIÓN]],"DE CONTADO","CRÉDITO")</f>
        <v>CRÉDITO</v>
      </c>
      <c r="B176" s="38" t="e">
        <f>+IF((PROVEEDORES3[[#This Row],[FECHA DE PAGO]]-PROVEEDORES3[[#This Row],[FECHA DE FACTURACIÓN]])&gt;#REF!,"PAGO VENCIDO")</f>
        <v>#REF!</v>
      </c>
      <c r="C176" s="56" t="str">
        <f>+VLOOKUP(PROVEEDORES3[[#This Row],[PROVEEDOR]],TERCEROS_INFO[[PROVEEDOR]:[CORREO]],5,FALSE)</f>
        <v>jessica.barrios@carpainternacional.com;girlesa.ruiz@servipilas.com;joriescobar64@gmail.com</v>
      </c>
      <c r="D176" s="68">
        <v>45278</v>
      </c>
      <c r="E176" s="26" t="s">
        <v>287</v>
      </c>
      <c r="F176" s="69">
        <v>45267</v>
      </c>
      <c r="G176" s="35" t="s">
        <v>2256</v>
      </c>
      <c r="H176" s="70">
        <v>100</v>
      </c>
      <c r="I176" s="21">
        <f>+PROVEEDORES3[[#This Row],[Total USD]]*4300</f>
        <v>430000</v>
      </c>
    </row>
    <row r="177" spans="1:9" ht="22.35" customHeight="1" x14ac:dyDescent="0.3">
      <c r="A177" s="67" t="str">
        <f>+IF(PROVEEDORES3[[#This Row],[FECHA DE PAGO]]=PROVEEDORES3[[#This Row],[FECHA DE FACTURACIÓN]],"DE CONTADO","CRÉDITO")</f>
        <v>CRÉDITO</v>
      </c>
      <c r="B177" s="38" t="e">
        <f>+IF((PROVEEDORES3[[#This Row],[FECHA DE PAGO]]-PROVEEDORES3[[#This Row],[FECHA DE FACTURACIÓN]])&gt;#REF!,"PAGO VENCIDO")</f>
        <v>#REF!</v>
      </c>
      <c r="C177" s="56" t="str">
        <f>+VLOOKUP(PROVEEDORES3[[#This Row],[PROVEEDOR]],TERCEROS_INFO[[PROVEEDOR]:[CORREO]],5,FALSE)</f>
        <v>jessica.barrios@carpainternacional.com;girlesa.ruiz@servipilas.com;joriescobar64@gmail.com</v>
      </c>
      <c r="E177" s="26" t="s">
        <v>287</v>
      </c>
      <c r="F177" s="69">
        <v>45282</v>
      </c>
      <c r="G177" s="35">
        <v>1873</v>
      </c>
      <c r="H177" s="70">
        <v>92</v>
      </c>
      <c r="I177" s="21">
        <f>+PROVEEDORES3[[#This Row],[Total USD]]*4300</f>
        <v>395600</v>
      </c>
    </row>
    <row r="178" spans="1:9" ht="22.35" customHeight="1" x14ac:dyDescent="0.3">
      <c r="A178" s="67" t="str">
        <f>+IF(PROVEEDORES3[[#This Row],[FECHA DE PAGO]]=PROVEEDORES3[[#This Row],[FECHA DE FACTURACIÓN]],"DE CONTADO","CRÉDITO")</f>
        <v>CRÉDITO</v>
      </c>
      <c r="B178" s="38" t="e">
        <f>+IF((PROVEEDORES3[[#This Row],[FECHA DE PAGO]]-PROVEEDORES3[[#This Row],[FECHA DE FACTURACIÓN]])&gt;#REF!,"PAGO VENCIDO")</f>
        <v>#REF!</v>
      </c>
      <c r="C178" s="56" t="str">
        <f>+VLOOKUP(PROVEEDORES3[[#This Row],[PROVEEDOR]],TERCEROS_INFO[[PROVEEDOR]:[CORREO]],5,FALSE)</f>
        <v>jessica.barrios@carpainternacional.com;girlesa.ruiz@servipilas.com;joriescobar64@gmail.com</v>
      </c>
      <c r="E178" s="26" t="s">
        <v>289</v>
      </c>
      <c r="F178" s="69">
        <v>45288</v>
      </c>
      <c r="G178" s="35">
        <v>1882</v>
      </c>
      <c r="H178" s="70">
        <v>715</v>
      </c>
      <c r="I178" s="21">
        <f>+PROVEEDORES3[[#This Row],[Total USD]]*4300</f>
        <v>3074500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E27:E28 G23:G34 C1:I25 I27:I28 I30:I35">
    <cfRule type="expression" dxfId="133" priority="40">
      <formula>#REF!="Por pagar"</formula>
    </cfRule>
    <cfRule type="expression" dxfId="132" priority="41">
      <formula>#REF!="Vencida"</formula>
    </cfRule>
    <cfRule type="expression" dxfId="131" priority="42">
      <formula>#REF!="Pagada"</formula>
    </cfRule>
  </conditionalFormatting>
  <conditionalFormatting sqref="E24:F24 E25">
    <cfRule type="expression" dxfId="130" priority="43" stopIfTrue="1">
      <formula>#REF!="Por pagar"</formula>
    </cfRule>
    <cfRule type="expression" dxfId="129" priority="44" stopIfTrue="1">
      <formula>#REF!="Vencida"</formula>
    </cfRule>
    <cfRule type="expression" dxfId="128" priority="45" stopIfTrue="1">
      <formula>#REF!="Pagada"</formula>
    </cfRule>
  </conditionalFormatting>
  <conditionalFormatting sqref="E28">
    <cfRule type="expression" dxfId="127" priority="37" stopIfTrue="1">
      <formula>#REF!="Por pagar"</formula>
    </cfRule>
    <cfRule type="expression" dxfId="126" priority="38" stopIfTrue="1">
      <formula>#REF!="Vencida"</formula>
    </cfRule>
    <cfRule type="expression" dxfId="125" priority="39" stopIfTrue="1">
      <formula>#REF!="Pagada"</formula>
    </cfRule>
  </conditionalFormatting>
  <conditionalFormatting sqref="E29:H29">
    <cfRule type="expression" dxfId="124" priority="34" stopIfTrue="1">
      <formula>$S29="Por pagar"</formula>
    </cfRule>
    <cfRule type="expression" dxfId="123" priority="35" stopIfTrue="1">
      <formula>$S29="Vencida"</formula>
    </cfRule>
    <cfRule type="expression" dxfId="122" priority="36" stopIfTrue="1">
      <formula>$S29="Pagada"</formula>
    </cfRule>
  </conditionalFormatting>
  <conditionalFormatting sqref="E29">
    <cfRule type="expression" dxfId="121" priority="31" stopIfTrue="1">
      <formula>$S29="Por pagar"</formula>
    </cfRule>
    <cfRule type="expression" dxfId="120" priority="32" stopIfTrue="1">
      <formula>$S29="Vencida"</formula>
    </cfRule>
    <cfRule type="expression" dxfId="119" priority="33" stopIfTrue="1">
      <formula>$S29="Pagada"</formula>
    </cfRule>
  </conditionalFormatting>
  <conditionalFormatting sqref="E30">
    <cfRule type="expression" dxfId="118" priority="28">
      <formula>$S30="Por pagar"</formula>
    </cfRule>
    <cfRule type="expression" dxfId="117" priority="29">
      <formula>$S30="Vencida"</formula>
    </cfRule>
    <cfRule type="expression" dxfId="116" priority="30">
      <formula>$S30="Pagada"</formula>
    </cfRule>
  </conditionalFormatting>
  <conditionalFormatting sqref="E30">
    <cfRule type="expression" dxfId="115" priority="25">
      <formula>$S30="Por pagar"</formula>
    </cfRule>
    <cfRule type="expression" dxfId="114" priority="26">
      <formula>$S30="Vencida"</formula>
    </cfRule>
    <cfRule type="expression" dxfId="113" priority="27">
      <formula>$S30="Pagada"</formula>
    </cfRule>
  </conditionalFormatting>
  <conditionalFormatting sqref="E31">
    <cfRule type="expression" dxfId="112" priority="22">
      <formula>$S31="Por pagar"</formula>
    </cfRule>
    <cfRule type="expression" dxfId="111" priority="23">
      <formula>$S31="Vencida"</formula>
    </cfRule>
    <cfRule type="expression" dxfId="110" priority="24">
      <formula>$S31="Pagada"</formula>
    </cfRule>
  </conditionalFormatting>
  <conditionalFormatting sqref="E31">
    <cfRule type="expression" dxfId="109" priority="19">
      <formula>$S31="Por pagar"</formula>
    </cfRule>
    <cfRule type="expression" dxfId="108" priority="20">
      <formula>$S31="Vencida"</formula>
    </cfRule>
    <cfRule type="expression" dxfId="107" priority="21">
      <formula>$S31="Pagada"</formula>
    </cfRule>
  </conditionalFormatting>
  <conditionalFormatting sqref="H33:H34">
    <cfRule type="expression" dxfId="106" priority="16" stopIfTrue="1">
      <formula>$S33="Por pagar"</formula>
    </cfRule>
    <cfRule type="expression" dxfId="105" priority="17" stopIfTrue="1">
      <formula>$S33="Vencida"</formula>
    </cfRule>
    <cfRule type="expression" dxfId="104" priority="18" stopIfTrue="1">
      <formula>$S33="Pagada"</formula>
    </cfRule>
  </conditionalFormatting>
  <conditionalFormatting sqref="E35">
    <cfRule type="expression" dxfId="103" priority="13">
      <formula>$S35="Por pagar"</formula>
    </cfRule>
    <cfRule type="expression" dxfId="102" priority="14">
      <formula>$S35="Vencida"</formula>
    </cfRule>
    <cfRule type="expression" dxfId="101" priority="15">
      <formula>$S35="Pagada"</formula>
    </cfRule>
  </conditionalFormatting>
  <conditionalFormatting sqref="E35">
    <cfRule type="expression" dxfId="100" priority="10">
      <formula>$S35="Por pagar"</formula>
    </cfRule>
    <cfRule type="expression" dxfId="99" priority="11">
      <formula>$S35="Vencida"</formula>
    </cfRule>
    <cfRule type="expression" dxfId="98" priority="12">
      <formula>$S35="Pagada"</formula>
    </cfRule>
  </conditionalFormatting>
  <conditionalFormatting sqref="D30:D35 D27:D28">
    <cfRule type="expression" dxfId="97" priority="7">
      <formula>#REF!="Por pagar"</formula>
    </cfRule>
    <cfRule type="expression" dxfId="96" priority="8">
      <formula>#REF!="Vencida"</formula>
    </cfRule>
    <cfRule type="expression" dxfId="95" priority="9">
      <formula>#REF!="Pagada"</formula>
    </cfRule>
  </conditionalFormatting>
  <conditionalFormatting sqref="G36">
    <cfRule type="expression" dxfId="94" priority="4" stopIfTrue="1">
      <formula>$S36="Por pagar"</formula>
    </cfRule>
    <cfRule type="expression" dxfId="93" priority="5" stopIfTrue="1">
      <formula>$S36="Vencida"</formula>
    </cfRule>
    <cfRule type="expression" dxfId="92" priority="6" stopIfTrue="1">
      <formula>$S36="Pagada"</formula>
    </cfRule>
  </conditionalFormatting>
  <conditionalFormatting sqref="G43:G44">
    <cfRule type="expression" dxfId="91" priority="1" stopIfTrue="1">
      <formula>$S43="Por pagar"</formula>
    </cfRule>
    <cfRule type="expression" dxfId="90" priority="2" stopIfTrue="1">
      <formula>$S43="Vencida"</formula>
    </cfRule>
    <cfRule type="expression" dxfId="89" priority="3" stopIfTrue="1">
      <formula>$S43="Pagada"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Y28"/>
  <sheetViews>
    <sheetView topLeftCell="A11" zoomScale="115" zoomScaleNormal="115" workbookViewId="0">
      <pane xSplit="13" topLeftCell="R1" activePane="topRight" state="frozen"/>
      <selection pane="topRight" activeCell="Y16" sqref="Y16"/>
    </sheetView>
  </sheetViews>
  <sheetFormatPr defaultColWidth="14.44140625" defaultRowHeight="14.4" x14ac:dyDescent="0.3"/>
  <cols>
    <col min="1" max="1" width="31.5546875" style="41" customWidth="1"/>
    <col min="2" max="3" width="15.44140625" style="41" hidden="1" customWidth="1"/>
    <col min="4" max="6" width="15.77734375" style="41" hidden="1" customWidth="1"/>
    <col min="7" max="7" width="15.44140625" style="41" hidden="1" customWidth="1"/>
    <col min="8" max="10" width="16.77734375" style="41" hidden="1" customWidth="1"/>
    <col min="11" max="12" width="15.77734375" style="41" hidden="1" customWidth="1"/>
    <col min="13" max="13" width="0" style="41" hidden="1" customWidth="1"/>
    <col min="14" max="14" width="15.44140625" style="41" customWidth="1"/>
    <col min="15" max="15" width="16.77734375" style="41" customWidth="1"/>
    <col min="16" max="16" width="16.44140625" style="41" customWidth="1"/>
    <col min="17" max="25" width="16" style="41" customWidth="1"/>
    <col min="26" max="16384" width="14.44140625" style="41"/>
  </cols>
  <sheetData>
    <row r="1" spans="1:25" s="58" customFormat="1" x14ac:dyDescent="0.3">
      <c r="A1" s="277" t="s">
        <v>123</v>
      </c>
      <c r="B1" s="58">
        <v>44562</v>
      </c>
      <c r="C1" s="58">
        <v>44593</v>
      </c>
      <c r="D1" s="58">
        <v>44621</v>
      </c>
      <c r="E1" s="58">
        <v>44652</v>
      </c>
      <c r="F1" s="58">
        <v>44682</v>
      </c>
      <c r="G1" s="58">
        <v>44713</v>
      </c>
      <c r="H1" s="58">
        <v>44743</v>
      </c>
      <c r="I1" s="58">
        <v>44774</v>
      </c>
      <c r="J1" s="58">
        <v>44805</v>
      </c>
      <c r="K1" s="58">
        <v>44835</v>
      </c>
      <c r="L1" s="58">
        <v>44866</v>
      </c>
      <c r="M1" s="58">
        <v>44896</v>
      </c>
      <c r="N1" s="58">
        <v>44927</v>
      </c>
      <c r="O1" s="58">
        <v>44958</v>
      </c>
      <c r="P1" s="58">
        <v>44986</v>
      </c>
      <c r="Q1" s="58">
        <v>45017</v>
      </c>
      <c r="R1" s="58">
        <v>45047</v>
      </c>
      <c r="S1" s="58">
        <v>45078</v>
      </c>
      <c r="T1" s="58">
        <v>45108</v>
      </c>
      <c r="U1" s="58">
        <v>45139</v>
      </c>
      <c r="V1" s="58">
        <v>45170</v>
      </c>
      <c r="W1" s="58">
        <v>45200</v>
      </c>
      <c r="X1" s="58">
        <v>45231</v>
      </c>
      <c r="Y1" s="58">
        <v>45261</v>
      </c>
    </row>
    <row r="2" spans="1:25" x14ac:dyDescent="0.3">
      <c r="A2" s="44" t="s">
        <v>158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</row>
    <row r="3" spans="1:25" x14ac:dyDescent="0.3">
      <c r="A3" s="45" t="s">
        <v>159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</row>
    <row r="4" spans="1:25" x14ac:dyDescent="0.3">
      <c r="A4" s="44" t="s">
        <v>160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</row>
    <row r="5" spans="1:25" ht="26.4" x14ac:dyDescent="0.3">
      <c r="A5" s="39" t="s">
        <v>130</v>
      </c>
      <c r="B5" s="48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312283855.01405001</v>
      </c>
      <c r="C5" s="48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150298274.52320001</v>
      </c>
      <c r="D5" s="48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346147510.37814999</v>
      </c>
      <c r="E5" s="48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188477963.89120001</v>
      </c>
      <c r="F5" s="48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306473533.54900008</v>
      </c>
      <c r="G5" s="48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325824807.56049997</v>
      </c>
      <c r="H5" s="48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369276068.90109998</v>
      </c>
      <c r="I5" s="48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250540999.9436</v>
      </c>
      <c r="J5" s="48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187015555.84720004</v>
      </c>
      <c r="K5" s="48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361297229.22520006</v>
      </c>
      <c r="L5" s="48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212248874.80899999</v>
      </c>
      <c r="M5" s="48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440772476.05190009</v>
      </c>
      <c r="N5" s="48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337074651.52212</v>
      </c>
      <c r="O5" s="48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252753645.48212004</v>
      </c>
      <c r="P5" s="48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322272752.2050001</v>
      </c>
      <c r="Q5" s="48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153727103.68000001</v>
      </c>
      <c r="R5" s="48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207657654.42999998</v>
      </c>
      <c r="S5" s="48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223227921.85499999</v>
      </c>
      <c r="T5" s="48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259110100.22</v>
      </c>
      <c r="U5" s="48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251874017.53499997</v>
      </c>
      <c r="V5" s="48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282660703.62</v>
      </c>
      <c r="W5" s="48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282304895.43900001</v>
      </c>
      <c r="X5" s="48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387496002.21500003</v>
      </c>
      <c r="Y5" s="48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391868563.96499997</v>
      </c>
    </row>
    <row r="6" spans="1:25" x14ac:dyDescent="0.3">
      <c r="A6" s="40" t="s">
        <v>110</v>
      </c>
      <c r="B6" s="49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4184461.6</v>
      </c>
      <c r="C6" s="49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9832092</v>
      </c>
      <c r="D6" s="49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14208615.33</v>
      </c>
      <c r="E6" s="49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9544800.3900000006</v>
      </c>
      <c r="F6" s="49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9609696</v>
      </c>
      <c r="G6" s="49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12601519.475299999</v>
      </c>
      <c r="H6" s="49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15284362.289999999</v>
      </c>
      <c r="I6" s="49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23091049.997400001</v>
      </c>
      <c r="J6" s="49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3891112</v>
      </c>
      <c r="K6" s="49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12052954</v>
      </c>
      <c r="L6" s="49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19982808</v>
      </c>
      <c r="M6" s="49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21712944.630000003</v>
      </c>
      <c r="N6" s="49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15609369</v>
      </c>
      <c r="O6" s="49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8269944.7249999996</v>
      </c>
      <c r="P6" s="49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28480013.094999999</v>
      </c>
      <c r="Q6" s="49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7822792.6400000006</v>
      </c>
      <c r="R6" s="49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11670395.344999999</v>
      </c>
      <c r="S6" s="49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7638191.9699999997</v>
      </c>
      <c r="T6" s="49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10909909.074999999</v>
      </c>
      <c r="U6" s="49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20145275.810000002</v>
      </c>
      <c r="V6" s="49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21269219.27</v>
      </c>
      <c r="W6" s="49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22572731.934</v>
      </c>
      <c r="X6" s="49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60311997.719999999</v>
      </c>
      <c r="Y6" s="49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19327397.880000003</v>
      </c>
    </row>
    <row r="7" spans="1:25" x14ac:dyDescent="0.3">
      <c r="A7" s="39" t="s">
        <v>113</v>
      </c>
      <c r="B7" s="48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177773066.2543</v>
      </c>
      <c r="C7" s="48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102540526.97070001</v>
      </c>
      <c r="D7" s="48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275574335.68774992</v>
      </c>
      <c r="E7" s="48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169277532.47659999</v>
      </c>
      <c r="F7" s="48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196307899.47924998</v>
      </c>
      <c r="G7" s="48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186545468.16034997</v>
      </c>
      <c r="H7" s="48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272928528.71934998</v>
      </c>
      <c r="I7" s="48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178001686.27200001</v>
      </c>
      <c r="J7" s="48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217925067.00590003</v>
      </c>
      <c r="K7" s="48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266362560.18000004</v>
      </c>
      <c r="L7" s="48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201102716.95999998</v>
      </c>
      <c r="M7" s="48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255255235.24000004</v>
      </c>
      <c r="N7" s="48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78304055.762119994</v>
      </c>
      <c r="O7" s="48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122267126.77711999</v>
      </c>
      <c r="P7" s="48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186902716.77500001</v>
      </c>
      <c r="Q7" s="48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212311222.745</v>
      </c>
      <c r="R7" s="48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88215514.609999999</v>
      </c>
      <c r="S7" s="48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180439517.63999999</v>
      </c>
      <c r="T7" s="48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132849638.595</v>
      </c>
      <c r="U7" s="48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341026159.94499999</v>
      </c>
      <c r="V7" s="48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148732256.76500002</v>
      </c>
      <c r="W7" s="48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163891900.255</v>
      </c>
      <c r="X7" s="48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347835920.29499996</v>
      </c>
      <c r="Y7" s="48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241901246.42999992</v>
      </c>
    </row>
    <row r="8" spans="1:25" x14ac:dyDescent="0.3">
      <c r="A8" s="40" t="s">
        <v>114</v>
      </c>
      <c r="B8" s="49">
        <f t="shared" ref="B8:K8" si="0">B6+B7</f>
        <v>181957527.85429999</v>
      </c>
      <c r="C8" s="49">
        <f t="shared" si="0"/>
        <v>112372618.97070001</v>
      </c>
      <c r="D8" s="49">
        <f t="shared" si="0"/>
        <v>289782951.01774991</v>
      </c>
      <c r="E8" s="49">
        <f t="shared" si="0"/>
        <v>178822332.86659998</v>
      </c>
      <c r="F8" s="49">
        <f t="shared" si="0"/>
        <v>205917595.47924998</v>
      </c>
      <c r="G8" s="49">
        <f t="shared" si="0"/>
        <v>199146987.63564998</v>
      </c>
      <c r="H8" s="49">
        <f t="shared" si="0"/>
        <v>288212891.00935</v>
      </c>
      <c r="I8" s="49">
        <f t="shared" si="0"/>
        <v>201092736.2694</v>
      </c>
      <c r="J8" s="49">
        <f t="shared" si="0"/>
        <v>221816179.00590003</v>
      </c>
      <c r="K8" s="49">
        <f t="shared" si="0"/>
        <v>278415514.18000007</v>
      </c>
      <c r="L8" s="49">
        <f t="shared" ref="L8" si="1">L6+L7</f>
        <v>221085524.95999998</v>
      </c>
      <c r="M8" s="49">
        <f t="shared" ref="M8:N8" si="2">M6+M7</f>
        <v>276968179.87000006</v>
      </c>
      <c r="N8" s="49">
        <f t="shared" si="2"/>
        <v>93913424.762119994</v>
      </c>
      <c r="O8" s="49">
        <f t="shared" ref="O8:P8" si="3">O6+O7</f>
        <v>130537071.50211999</v>
      </c>
      <c r="P8" s="49">
        <f t="shared" si="3"/>
        <v>215382729.87</v>
      </c>
      <c r="Q8" s="49">
        <f t="shared" ref="Q8" si="4">Q6+Q7</f>
        <v>220134015.38499999</v>
      </c>
      <c r="R8" s="49">
        <f t="shared" ref="R8" si="5">R6+R7</f>
        <v>99885909.954999998</v>
      </c>
      <c r="S8" s="49">
        <f t="shared" ref="S8:T8" si="6">S6+S7</f>
        <v>188077709.60999998</v>
      </c>
      <c r="T8" s="49">
        <f t="shared" si="6"/>
        <v>143759547.66999999</v>
      </c>
      <c r="U8" s="49">
        <f t="shared" ref="U8:V8" si="7">U6+U7</f>
        <v>361171435.755</v>
      </c>
      <c r="V8" s="49">
        <f t="shared" si="7"/>
        <v>170001476.03500003</v>
      </c>
      <c r="W8" s="49">
        <f t="shared" ref="W8:X8" si="8">W6+W7</f>
        <v>186464632.18900001</v>
      </c>
      <c r="X8" s="49">
        <f t="shared" si="8"/>
        <v>408147918.01499999</v>
      </c>
      <c r="Y8" s="49">
        <f t="shared" ref="Y8" si="9">Y6+Y7</f>
        <v>261228644.30999991</v>
      </c>
    </row>
    <row r="9" spans="1:25" ht="26.4" x14ac:dyDescent="0.3">
      <c r="A9" s="39" t="s">
        <v>137</v>
      </c>
      <c r="B9" s="48">
        <f t="shared" ref="B9:K9" si="10">B10+B11</f>
        <v>1549867506.3784723</v>
      </c>
      <c r="C9" s="48">
        <f t="shared" si="10"/>
        <v>1547002572.5498474</v>
      </c>
      <c r="D9" s="48">
        <f t="shared" si="10"/>
        <v>1599857669.7732105</v>
      </c>
      <c r="E9" s="48">
        <f t="shared" si="10"/>
        <v>1603242795.3276258</v>
      </c>
      <c r="F9" s="48">
        <f t="shared" si="10"/>
        <v>1552548698.6299815</v>
      </c>
      <c r="G9" s="48">
        <f t="shared" si="10"/>
        <v>1530630497.4136586</v>
      </c>
      <c r="H9" s="48">
        <f t="shared" si="10"/>
        <v>1534596315.9920204</v>
      </c>
      <c r="I9" s="48">
        <f t="shared" si="10"/>
        <v>1519913912.914474</v>
      </c>
      <c r="J9" s="48">
        <f t="shared" si="10"/>
        <v>1570670051.7131739</v>
      </c>
      <c r="K9" s="48">
        <f t="shared" si="10"/>
        <v>1614330802.2279735</v>
      </c>
      <c r="L9" s="48">
        <f t="shared" ref="L9" si="11">L10+L11</f>
        <v>1634503844.1901736</v>
      </c>
      <c r="M9" s="48">
        <f t="shared" ref="M9:N9" si="12">M10+M11</f>
        <v>1488078684.6982737</v>
      </c>
      <c r="N9" s="48">
        <f t="shared" si="12"/>
        <v>1369594132.5682735</v>
      </c>
      <c r="O9" s="48">
        <f t="shared" ref="O9:P9" si="13">O10+O11</f>
        <v>1341944063.1802711</v>
      </c>
      <c r="P9" s="48">
        <f t="shared" si="13"/>
        <v>1420492181.0352712</v>
      </c>
      <c r="Q9" s="48">
        <f t="shared" ref="Q9" si="14">Q10+Q11</f>
        <v>1502113610.7402711</v>
      </c>
      <c r="R9" s="48">
        <f t="shared" ref="R9" si="15">R10+R11</f>
        <v>1421131610.705271</v>
      </c>
      <c r="S9" s="48">
        <f t="shared" ref="S9:T9" si="16">S10+S11</f>
        <v>1406781677.4602709</v>
      </c>
      <c r="T9" s="48">
        <f t="shared" si="16"/>
        <v>1346194257.3202713</v>
      </c>
      <c r="U9" s="48">
        <f t="shared" ref="U9" si="17">U10+U11</f>
        <v>1481361594.8602712</v>
      </c>
      <c r="V9" s="48">
        <f>V10+V11</f>
        <v>1449420679.7652712</v>
      </c>
      <c r="W9" s="48">
        <f>W10+W11</f>
        <v>1358964043.3752713</v>
      </c>
      <c r="X9" s="48">
        <f>X10+X11</f>
        <v>1521779095.2052712</v>
      </c>
      <c r="Y9" s="48">
        <f>Y10+Y11</f>
        <v>1399404615.0002711</v>
      </c>
    </row>
    <row r="10" spans="1:25" x14ac:dyDescent="0.3">
      <c r="A10" s="40" t="s">
        <v>115</v>
      </c>
      <c r="B10" s="49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241456477.41099998</v>
      </c>
      <c r="C10" s="49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239184418.23850003</v>
      </c>
      <c r="D10" s="49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315600022.22164994</v>
      </c>
      <c r="E10" s="49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339938998.42704999</v>
      </c>
      <c r="F10" s="49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280486863.98729998</v>
      </c>
      <c r="G10" s="49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299248500.30245006</v>
      </c>
      <c r="H10" s="49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303946756.57660002</v>
      </c>
      <c r="I10" s="49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306239691.34740001</v>
      </c>
      <c r="J10" s="49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382402780.92610002</v>
      </c>
      <c r="K10" s="49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394540914.88090003</v>
      </c>
      <c r="L10" s="49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443523320.84310001</v>
      </c>
      <c r="M10" s="49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391726564.3512001</v>
      </c>
      <c r="N10" s="49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285468039.22119993</v>
      </c>
      <c r="O10" s="49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249481521.12120005</v>
      </c>
      <c r="P10" s="49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180108645.97619998</v>
      </c>
      <c r="Q10" s="49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284852156.68120009</v>
      </c>
      <c r="R10" s="49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226739769.64619994</v>
      </c>
      <c r="S10" s="49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243634627.40119994</v>
      </c>
      <c r="T10" s="49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216698269.8612</v>
      </c>
      <c r="U10" s="49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336065389.39120001</v>
      </c>
      <c r="V10" s="49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317719589.29620004</v>
      </c>
      <c r="W10" s="49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241258873.90620005</v>
      </c>
      <c r="X10" s="49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381074270.73619998</v>
      </c>
      <c r="Y10" s="49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329282530.53119999</v>
      </c>
    </row>
    <row r="11" spans="1:25" x14ac:dyDescent="0.3">
      <c r="A11" s="39" t="s">
        <v>116</v>
      </c>
      <c r="B11" s="48">
        <f>ABS(SUMIFS(FINANCIACION[$ CAPITAL],
FINANCIACION[Fecha],"&lt;="&amp;EOMONTH(B$1,0)))</f>
        <v>1308411028.9674723</v>
      </c>
      <c r="C11" s="48">
        <f>ABS(SUMIFS(FINANCIACION[$ CAPITAL],
FINANCIACION[Fecha],"&lt;="&amp;EOMONTH(C$1,0)))</f>
        <v>1307818154.3113472</v>
      </c>
      <c r="D11" s="48">
        <f>ABS(SUMIFS(FINANCIACION[$ CAPITAL],
FINANCIACION[Fecha],"&lt;="&amp;EOMONTH(D$1,0)))</f>
        <v>1284257647.5515606</v>
      </c>
      <c r="E11" s="48">
        <f>ABS(SUMIFS(FINANCIACION[$ CAPITAL],
FINANCIACION[Fecha],"&lt;="&amp;EOMONTH(E$1,0)))</f>
        <v>1263303796.9005759</v>
      </c>
      <c r="F11" s="48">
        <f>ABS(SUMIFS(FINANCIACION[$ CAPITAL],
FINANCIACION[Fecha],"&lt;="&amp;EOMONTH(F$1,0)))</f>
        <v>1272061834.6426816</v>
      </c>
      <c r="G11" s="48">
        <f>ABS(SUMIFS(FINANCIACION[$ CAPITAL],
FINANCIACION[Fecha],"&lt;="&amp;EOMONTH(G$1,0)))</f>
        <v>1231381997.1112087</v>
      </c>
      <c r="H11" s="48">
        <f>ABS(SUMIFS(FINANCIACION[$ CAPITAL],
FINANCIACION[Fecha],"&lt;="&amp;EOMONTH(H$1,0)))</f>
        <v>1230649559.4154203</v>
      </c>
      <c r="I11" s="48">
        <f>ABS(SUMIFS(FINANCIACION[$ CAPITAL],
FINANCIACION[Fecha],"&lt;="&amp;EOMONTH(I$1,0)))</f>
        <v>1213674221.5670741</v>
      </c>
      <c r="J11" s="48">
        <f>ABS(SUMIFS(FINANCIACION[$ CAPITAL],
FINANCIACION[Fecha],"&lt;="&amp;EOMONTH(J$1,0)))</f>
        <v>1188267270.7870739</v>
      </c>
      <c r="K11" s="48">
        <f>ABS(SUMIFS(FINANCIACION[$ CAPITAL],
FINANCIACION[Fecha],"&lt;="&amp;EOMONTH(K$1,0)))</f>
        <v>1219789887.3470736</v>
      </c>
      <c r="L11" s="48">
        <f>ABS(SUMIFS(FINANCIACION[$ CAPITAL],
FINANCIACION[Fecha],"&lt;="&amp;EOMONTH(L$1,0)))</f>
        <v>1190980523.3470736</v>
      </c>
      <c r="M11" s="48">
        <f>ABS(SUMIFS(FINANCIACION[$ CAPITAL],
FINANCIACION[Fecha],"&lt;="&amp;EOMONTH(M$1,0)))</f>
        <v>1096352120.3470736</v>
      </c>
      <c r="N11" s="48">
        <f>ABS(SUMIFS(FINANCIACION[$ CAPITAL],
FINANCIACION[Fecha],"&lt;="&amp;EOMONTH(N$1,0)))</f>
        <v>1084126093.3470736</v>
      </c>
      <c r="O11" s="48">
        <f>ABS(SUMIFS(FINANCIACION[$ CAPITAL],
FINANCIACION[Fecha],"&lt;="&amp;EOMONTH(O$1,0)))</f>
        <v>1092462542.0590711</v>
      </c>
      <c r="P11" s="48">
        <f>ABS(SUMIFS(FINANCIACION[$ CAPITAL],
FINANCIACION[Fecha],"&lt;="&amp;EOMONTH(P$1,0)))</f>
        <v>1240383535.0590711</v>
      </c>
      <c r="Q11" s="48">
        <f>ABS(SUMIFS(FINANCIACION[$ CAPITAL],
FINANCIACION[Fecha],"&lt;="&amp;EOMONTH(Q$1,0)))</f>
        <v>1217261454.0590711</v>
      </c>
      <c r="R11" s="48">
        <f>ABS(SUMIFS(FINANCIACION[$ CAPITAL],
FINANCIACION[Fecha],"&lt;="&amp;EOMONTH(R$1,0)))</f>
        <v>1194391841.0590711</v>
      </c>
      <c r="S11" s="48">
        <f>ABS(SUMIFS(FINANCIACION[$ CAPITAL],
FINANCIACION[Fecha],"&lt;="&amp;EOMONTH(S$1,0)))</f>
        <v>1163147050.0590711</v>
      </c>
      <c r="T11" s="48">
        <f>ABS(SUMIFS(FINANCIACION[$ CAPITAL],
FINANCIACION[Fecha],"&lt;="&amp;EOMONTH(T$1,0)))</f>
        <v>1129495987.4590712</v>
      </c>
      <c r="U11" s="48">
        <f>ABS(SUMIFS(FINANCIACION[$ CAPITAL],
FINANCIACION[Fecha],"&lt;="&amp;EOMONTH(U$1,0)))</f>
        <v>1145296205.4690711</v>
      </c>
      <c r="V11" s="48">
        <f>ABS(SUMIFS(FINANCIACION[$ CAPITAL],
FINANCIACION[Fecha],"&lt;="&amp;EOMONTH(V$1,0)))</f>
        <v>1131701090.4690711</v>
      </c>
      <c r="W11" s="48">
        <f>ABS(SUMIFS(FINANCIACION[$ CAPITAL],
FINANCIACION[Fecha],"&lt;="&amp;EOMONTH(W$1,0)))</f>
        <v>1117705169.4690711</v>
      </c>
      <c r="X11" s="48">
        <f>ABS(SUMIFS(FINANCIACION[$ CAPITAL],
FINANCIACION[Fecha],"&lt;="&amp;EOMONTH(X$1,0)))</f>
        <v>1140704824.4690711</v>
      </c>
      <c r="Y11" s="48">
        <f>ABS(SUMIFS(FINANCIACION[$ CAPITAL],
FINANCIACION[Fecha],"&lt;="&amp;EOMONTH(Y$1,0)))</f>
        <v>1070122084.4690711</v>
      </c>
    </row>
    <row r="12" spans="1:25" x14ac:dyDescent="0.3">
      <c r="A12" s="40" t="s">
        <v>117</v>
      </c>
      <c r="B12" s="49">
        <f t="shared" ref="B12:K12" si="18">SUM(B20:B25)</f>
        <v>59937241.790000007</v>
      </c>
      <c r="C12" s="49">
        <f t="shared" si="18"/>
        <v>3835756.7000000007</v>
      </c>
      <c r="D12" s="49">
        <f t="shared" si="18"/>
        <v>623916.10000000056</v>
      </c>
      <c r="E12" s="49">
        <f t="shared" si="18"/>
        <v>-10513873.280000001</v>
      </c>
      <c r="F12" s="49">
        <f t="shared" si="18"/>
        <v>-7113805.6800000034</v>
      </c>
      <c r="G12" s="49">
        <f t="shared" si="18"/>
        <v>15916510.66</v>
      </c>
      <c r="H12" s="49">
        <f t="shared" si="18"/>
        <v>-23940205.870000005</v>
      </c>
      <c r="I12" s="49">
        <f t="shared" si="18"/>
        <v>-5293760</v>
      </c>
      <c r="J12" s="49">
        <f t="shared" si="18"/>
        <v>-3666495</v>
      </c>
      <c r="K12" s="49">
        <f t="shared" si="18"/>
        <v>-18499262</v>
      </c>
      <c r="L12" s="49">
        <f t="shared" ref="L12:Q12" si="19">SUM(L20:L25)</f>
        <v>-5464801</v>
      </c>
      <c r="M12" s="49">
        <f t="shared" si="19"/>
        <v>17844809</v>
      </c>
      <c r="N12" s="49">
        <f t="shared" si="19"/>
        <v>-17656086</v>
      </c>
      <c r="O12" s="49">
        <f t="shared" si="19"/>
        <v>-27059222</v>
      </c>
      <c r="P12" s="49">
        <f t="shared" si="19"/>
        <v>-8370371</v>
      </c>
      <c r="Q12" s="49">
        <f t="shared" si="19"/>
        <v>-3283281</v>
      </c>
      <c r="R12" s="49">
        <f t="shared" ref="R12" si="20">SUM(R20:R25)</f>
        <v>-23655533</v>
      </c>
      <c r="S12" s="49">
        <f t="shared" ref="S12:T12" si="21">SUM(S20:S25)</f>
        <v>213861</v>
      </c>
      <c r="T12" s="49">
        <f t="shared" si="21"/>
        <v>-21709980</v>
      </c>
      <c r="U12" s="49">
        <f t="shared" ref="U12:V12" si="22">SUM(U20:U25)</f>
        <v>-20351798</v>
      </c>
      <c r="V12" s="49">
        <f t="shared" si="22"/>
        <v>15363744</v>
      </c>
      <c r="W12" s="49">
        <f t="shared" ref="W12:X12" si="23">SUM(W20:W25)</f>
        <v>-24896302</v>
      </c>
      <c r="X12" s="49">
        <f t="shared" si="23"/>
        <v>30298340</v>
      </c>
      <c r="Y12" s="49">
        <f t="shared" ref="Y12" si="24">SUM(Y20:Y25)</f>
        <v>25430800</v>
      </c>
    </row>
    <row r="13" spans="1:25" x14ac:dyDescent="0.3">
      <c r="A13" s="39" t="s">
        <v>118</v>
      </c>
      <c r="B13" s="48">
        <f t="shared" ref="B13:J13" si="25">SUM(B20:B28)</f>
        <v>104524152.60000001</v>
      </c>
      <c r="C13" s="48">
        <f t="shared" si="25"/>
        <v>12127469.700000001</v>
      </c>
      <c r="D13" s="48">
        <f t="shared" si="25"/>
        <v>14816629.98</v>
      </c>
      <c r="E13" s="48">
        <f t="shared" si="25"/>
        <v>7163500.2799999993</v>
      </c>
      <c r="F13" s="48">
        <f t="shared" si="25"/>
        <v>3642217.7899999963</v>
      </c>
      <c r="G13" s="48">
        <f t="shared" si="25"/>
        <v>28821322.48</v>
      </c>
      <c r="H13" s="48">
        <f t="shared" si="25"/>
        <v>1587227.9899999946</v>
      </c>
      <c r="I13" s="48">
        <f t="shared" si="25"/>
        <v>4166485</v>
      </c>
      <c r="J13" s="48">
        <f t="shared" si="25"/>
        <v>10036513</v>
      </c>
      <c r="K13" s="48">
        <f t="shared" ref="K13:P13" si="26">SUM(K20:K28)</f>
        <v>-2485094</v>
      </c>
      <c r="L13" s="48">
        <f t="shared" si="26"/>
        <v>7654935</v>
      </c>
      <c r="M13" s="48">
        <f t="shared" si="26"/>
        <v>22030173</v>
      </c>
      <c r="N13" s="48">
        <f t="shared" si="26"/>
        <v>-10277875</v>
      </c>
      <c r="O13" s="48">
        <f t="shared" si="26"/>
        <v>-11623329</v>
      </c>
      <c r="P13" s="48">
        <f t="shared" si="26"/>
        <v>-149755</v>
      </c>
      <c r="Q13" s="48">
        <f t="shared" ref="Q13" si="27">SUM(Q20:Q28)</f>
        <v>11029119</v>
      </c>
      <c r="R13" s="48">
        <f t="shared" ref="R13" si="28">SUM(R20:R28)</f>
        <v>-4591533</v>
      </c>
      <c r="S13" s="48">
        <f t="shared" ref="S13:T13" si="29">SUM(S20:S28)</f>
        <v>8871803</v>
      </c>
      <c r="T13" s="48">
        <f t="shared" si="29"/>
        <v>-12032074</v>
      </c>
      <c r="U13" s="48">
        <f t="shared" ref="U13:V13" si="30">SUM(U20:U28)</f>
        <v>-11226798</v>
      </c>
      <c r="V13" s="48">
        <f t="shared" si="30"/>
        <v>26958744</v>
      </c>
      <c r="W13" s="48">
        <f t="shared" ref="W13:X13" si="31">SUM(W20:W28)</f>
        <v>-16451102</v>
      </c>
      <c r="X13" s="48">
        <f t="shared" si="31"/>
        <v>37505340</v>
      </c>
      <c r="Y13" s="48">
        <f t="shared" ref="Y13" si="32">SUM(Y20:Y28)</f>
        <v>57840858</v>
      </c>
    </row>
    <row r="14" spans="1:25" x14ac:dyDescent="0.3">
      <c r="A14" s="40" t="s">
        <v>119</v>
      </c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39" t="s">
        <v>120</v>
      </c>
      <c r="B15" s="48">
        <f xml:space="preserve">
SUMIFS(PROVEEDORES[[#All],[Descuento sobre subtotal $2]],
PROVEEDORES[[#All],[FECHA DE PAGO]],"&gt;="&amp;B$1,
PROVEEDORES[[#All],[FECHA DE PAGO]],"&lt;="&amp;EOMONTH(B$1,0))</f>
        <v>3153470</v>
      </c>
      <c r="C15" s="48">
        <f xml:space="preserve">
SUMIFS(PROVEEDORES[[#All],[Descuento sobre subtotal $2]],
PROVEEDORES[[#All],[FECHA DE PAGO]],"&gt;="&amp;C$1,
PROVEEDORES[[#All],[FECHA DE PAGO]],"&lt;="&amp;EOMONTH(C$1,0))</f>
        <v>10185</v>
      </c>
      <c r="D15" s="48">
        <f xml:space="preserve">
SUMIFS(PROVEEDORES[[#All],[Descuento sobre subtotal $2]],
PROVEEDORES[[#All],[FECHA DE PAGO]],"&gt;="&amp;D$1,
PROVEEDORES[[#All],[FECHA DE PAGO]],"&lt;="&amp;EOMONTH(D$1,0))</f>
        <v>0</v>
      </c>
      <c r="E15" s="48">
        <f xml:space="preserve">
SUMIFS(PROVEEDORES[[#All],[Descuento sobre subtotal $2]],
PROVEEDORES[[#All],[FECHA DE PAGO]],"&gt;="&amp;E$1,
PROVEEDORES[[#All],[FECHA DE PAGO]],"&lt;="&amp;EOMONTH(E$1,0))</f>
        <v>0</v>
      </c>
      <c r="F15" s="48">
        <f xml:space="preserve">
SUMIFS(PROVEEDORES[[#All],[Descuento sobre subtotal $2]],
PROVEEDORES[[#All],[FECHA DE PAGO]],"&gt;="&amp;F$1,
PROVEEDORES[[#All],[FECHA DE PAGO]],"&lt;="&amp;EOMONTH(F$1,0))</f>
        <v>1203989.3999999999</v>
      </c>
      <c r="G15" s="48">
        <f xml:space="preserve">
SUMIFS(PROVEEDORES[[#All],[Descuento sobre subtotal $2]],
PROVEEDORES[[#All],[FECHA DE PAGO]],"&gt;="&amp;G$1,
PROVEEDORES[[#All],[FECHA DE PAGO]],"&lt;="&amp;EOMONTH(G$1,0))</f>
        <v>0</v>
      </c>
      <c r="H15" s="48">
        <f xml:space="preserve">
SUMIFS(PROVEEDORES[[#All],[Descuento sobre subtotal $2]],
PROVEEDORES[[#All],[FECHA DE PAGO]],"&gt;="&amp;H$1,
PROVEEDORES[[#All],[FECHA DE PAGO]],"&lt;="&amp;EOMONTH(H$1,0))</f>
        <v>469090</v>
      </c>
      <c r="I15" s="48">
        <f xml:space="preserve">
SUMIFS(PROVEEDORES[[#All],[Descuento sobre subtotal $2]],
PROVEEDORES[[#All],[FECHA DE PAGO]],"&gt;="&amp;I$1,
PROVEEDORES[[#All],[FECHA DE PAGO]],"&lt;="&amp;EOMONTH(I$1,0))</f>
        <v>280853.67</v>
      </c>
      <c r="J15" s="48">
        <f xml:space="preserve">
SUMIFS(PROVEEDORES[[#All],[Descuento sobre subtotal $2]],
PROVEEDORES[[#All],[FECHA DE PAGO]],"&gt;="&amp;J$1,
PROVEEDORES[[#All],[FECHA DE PAGO]],"&lt;="&amp;EOMONTH(J$1,0))</f>
        <v>1368309.3399999999</v>
      </c>
      <c r="K15" s="48">
        <f xml:space="preserve">
SUMIFS(PROVEEDORES[[#All],[Descuento sobre subtotal $2]],
PROVEEDORES[[#All],[FECHA DE PAGO]],"&gt;="&amp;K$1,
PROVEEDORES[[#All],[FECHA DE PAGO]],"&lt;="&amp;EOMONTH(K$1,0))</f>
        <v>86440</v>
      </c>
      <c r="L15" s="48">
        <f xml:space="preserve">
SUMIFS(PROVEEDORES[[#All],[Descuento sobre subtotal $2]],
PROVEEDORES[[#All],[FECHA DE PAGO]],"&gt;="&amp;L$1,
PROVEEDORES[[#All],[FECHA DE PAGO]],"&lt;="&amp;EOMONTH(L$1,0))</f>
        <v>1024437.6000000001</v>
      </c>
      <c r="M15" s="48">
        <f xml:space="preserve">
SUMIFS(PROVEEDORES[[#All],[Descuento sobre subtotal $2]],
PROVEEDORES[[#All],[FECHA DE PAGO]],"&gt;="&amp;M$1,
PROVEEDORES[[#All],[FECHA DE PAGO]],"&lt;="&amp;EOMONTH(M$1,0))</f>
        <v>2735823.22</v>
      </c>
      <c r="N15" s="48">
        <f xml:space="preserve">
SUMIFS(PROVEEDORES[[#All],[Descuento sobre subtotal $2]],
PROVEEDORES[[#All],[FECHA DE PAGO]],"&gt;="&amp;N$1,
PROVEEDORES[[#All],[FECHA DE PAGO]],"&lt;="&amp;EOMONTH(N$1,0))</f>
        <v>91209.857879999996</v>
      </c>
      <c r="O15" s="48">
        <f xml:space="preserve">
SUMIFS(PROVEEDORES[[#All],[Descuento sobre subtotal $2]],
PROVEEDORES[[#All],[FECHA DE PAGO]],"&gt;="&amp;O$1,
PROVEEDORES[[#All],[FECHA DE PAGO]],"&lt;="&amp;EOMONTH(O$1,0))</f>
        <v>101095.85788</v>
      </c>
      <c r="P15" s="48">
        <f xml:space="preserve">
SUMIFS(PROVEEDORES[[#All],[Descuento sobre subtotal $2]],
PROVEEDORES[[#All],[FECHA DE PAGO]],"&gt;="&amp;P$1,
PROVEEDORES[[#All],[FECHA DE PAGO]],"&lt;="&amp;EOMONTH(P$1,0))</f>
        <v>509980</v>
      </c>
      <c r="Q15" s="48">
        <f xml:space="preserve">
SUMIFS(PROVEEDORES[[#All],[Descuento sobre subtotal $2]],
PROVEEDORES[[#All],[FECHA DE PAGO]],"&gt;="&amp;Q$1,
PROVEEDORES[[#All],[FECHA DE PAGO]],"&lt;="&amp;EOMONTH(Q$1,0))</f>
        <v>291459</v>
      </c>
      <c r="R15" s="48">
        <f xml:space="preserve">
SUMIFS(PROVEEDORES[[#All],[Descuento sobre subtotal $2]],
PROVEEDORES[[#All],[FECHA DE PAGO]],"&gt;="&amp;R$1,
PROVEEDORES[[#All],[FECHA DE PAGO]],"&lt;="&amp;EOMONTH(R$1,0))</f>
        <v>105097</v>
      </c>
      <c r="S15" s="48">
        <f xml:space="preserve">
SUMIFS(PROVEEDORES[[#All],[Descuento sobre subtotal $2]],
PROVEEDORES[[#All],[FECHA DE PAGO]],"&gt;="&amp;S$1,
PROVEEDORES[[#All],[FECHA DE PAGO]],"&lt;="&amp;EOMONTH(S$1,0))</f>
        <v>293326</v>
      </c>
      <c r="T15" s="48">
        <f xml:space="preserve">
SUMIFS(PROVEEDORES[[#All],[Descuento sobre subtotal $2]],
PROVEEDORES[[#All],[FECHA DE PAGO]],"&gt;="&amp;T$1,
PROVEEDORES[[#All],[FECHA DE PAGO]],"&lt;="&amp;EOMONTH(T$1,0))</f>
        <v>382432</v>
      </c>
      <c r="U15" s="48">
        <f xml:space="preserve">
SUMIFS(PROVEEDORES[[#All],[Descuento sobre subtotal $2]],
PROVEEDORES[[#All],[FECHA DE PAGO]],"&gt;="&amp;U$1,
PROVEEDORES[[#All],[FECHA DE PAGO]],"&lt;="&amp;EOMONTH(U$1,0))</f>
        <v>105097</v>
      </c>
      <c r="V15" s="48">
        <f xml:space="preserve">
SUMIFS(PROVEEDORES[[#All],[Descuento sobre subtotal $2]],
PROVEEDORES[[#All],[FECHA DE PAGO]],"&gt;="&amp;V$1,
PROVEEDORES[[#All],[FECHA DE PAGO]],"&lt;="&amp;EOMONTH(V$1,0))</f>
        <v>192097</v>
      </c>
      <c r="W15" s="48">
        <f xml:space="preserve">
SUMIFS(PROVEEDORES[[#All],[Descuento sobre subtotal $2]],
PROVEEDORES[[#All],[FECHA DE PAGO]],"&gt;="&amp;W$1,
PROVEEDORES[[#All],[FECHA DE PAGO]],"&lt;="&amp;EOMONTH(W$1,0))</f>
        <v>284697</v>
      </c>
      <c r="X15" s="48">
        <f xml:space="preserve">
SUMIFS(PROVEEDORES[[#All],[Descuento sobre subtotal $2]],
PROVEEDORES[[#All],[FECHA DE PAGO]],"&gt;="&amp;X$1,
PROVEEDORES[[#All],[FECHA DE PAGO]],"&lt;="&amp;EOMONTH(X$1,0))</f>
        <v>300967</v>
      </c>
      <c r="Y15" s="48">
        <f xml:space="preserve">
SUMIFS(PROVEEDORES[[#All],[Descuento sobre subtotal $2]],
PROVEEDORES[[#All],[FECHA DE PAGO]],"&gt;="&amp;Y$1,
PROVEEDORES[[#All],[FECHA DE PAGO]],"&lt;="&amp;EOMONTH(Y$1,0))</f>
        <v>4187935.46</v>
      </c>
    </row>
    <row r="16" spans="1:25" x14ac:dyDescent="0.3">
      <c r="A16" s="173" t="s">
        <v>121</v>
      </c>
      <c r="B16" s="174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223621821.78100002</v>
      </c>
      <c r="C16" s="174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231230961.18850002</v>
      </c>
      <c r="D16" s="174">
        <v>72439084.636200011</v>
      </c>
      <c r="E16" s="174">
        <v>83377115.95220001</v>
      </c>
      <c r="F16" s="174">
        <v>34566240.334799998</v>
      </c>
      <c r="G16" s="174">
        <f>+'facturas vencidas'!$W$3</f>
        <v>0</v>
      </c>
      <c r="H16" s="174">
        <v>60913776.174149998</v>
      </c>
      <c r="I16" s="174">
        <v>89862531.876199976</v>
      </c>
      <c r="J16" s="174">
        <v>124195626.27019998</v>
      </c>
      <c r="K16" s="174">
        <v>46011799.757399999</v>
      </c>
      <c r="L16" s="174">
        <v>43832273.996900007</v>
      </c>
      <c r="M16" s="174">
        <v>167491285.8362</v>
      </c>
      <c r="N16" s="174">
        <v>236322584</v>
      </c>
      <c r="O16" s="174">
        <v>148178514.62119997</v>
      </c>
      <c r="P16" s="174">
        <v>184832074</v>
      </c>
      <c r="Q16" s="174">
        <v>120041678</v>
      </c>
      <c r="R16" s="174">
        <v>152853180.12120003</v>
      </c>
      <c r="S16" s="174">
        <v>95445926</v>
      </c>
      <c r="T16" s="174">
        <v>125692557</v>
      </c>
      <c r="U16" s="174">
        <v>106030942</v>
      </c>
      <c r="V16" s="174">
        <v>193172861</v>
      </c>
      <c r="W16" s="174">
        <v>82113993.456200004</v>
      </c>
      <c r="X16" s="174">
        <v>141094217.935</v>
      </c>
      <c r="Y16" s="174">
        <v>36383327.946199998</v>
      </c>
    </row>
    <row r="17" spans="1:25" x14ac:dyDescent="0.3">
      <c r="A17" s="39" t="s">
        <v>122</v>
      </c>
      <c r="B17" s="48">
        <f t="shared" ref="B17:K17" si="33">B10-B16</f>
        <v>17834655.629999965</v>
      </c>
      <c r="C17" s="48">
        <f t="shared" si="33"/>
        <v>7953457.0500000119</v>
      </c>
      <c r="D17" s="48">
        <f t="shared" si="33"/>
        <v>243160937.58544993</v>
      </c>
      <c r="E17" s="48">
        <f t="shared" si="33"/>
        <v>256561882.47485</v>
      </c>
      <c r="F17" s="48">
        <f t="shared" si="33"/>
        <v>245920623.65249997</v>
      </c>
      <c r="G17" s="48">
        <f t="shared" si="33"/>
        <v>299248500.30245006</v>
      </c>
      <c r="H17" s="48">
        <f t="shared" si="33"/>
        <v>243032980.40245003</v>
      </c>
      <c r="I17" s="48">
        <f t="shared" si="33"/>
        <v>216377159.47120005</v>
      </c>
      <c r="J17" s="48">
        <f t="shared" si="33"/>
        <v>258207154.65590003</v>
      </c>
      <c r="K17" s="48">
        <f t="shared" si="33"/>
        <v>348529115.12350005</v>
      </c>
      <c r="L17" s="48">
        <f t="shared" ref="L17" si="34">L10-L16</f>
        <v>399691046.84619999</v>
      </c>
      <c r="M17" s="48">
        <f t="shared" ref="M17:N17" si="35">M10-M16</f>
        <v>224235278.5150001</v>
      </c>
      <c r="N17" s="48">
        <f t="shared" si="35"/>
        <v>49145455.22119993</v>
      </c>
      <c r="O17" s="48">
        <f t="shared" ref="O17:P17" si="36">O10-O16</f>
        <v>101303006.50000009</v>
      </c>
      <c r="P17" s="48">
        <f t="shared" si="36"/>
        <v>-4723428.0238000154</v>
      </c>
      <c r="Q17" s="48">
        <f t="shared" ref="Q17" si="37">Q10-Q16</f>
        <v>164810478.68120009</v>
      </c>
      <c r="R17" s="48">
        <f t="shared" ref="R17" si="38">R10-R16</f>
        <v>73886589.524999917</v>
      </c>
      <c r="S17" s="48">
        <f t="shared" ref="S17:T17" si="39">S10-S16</f>
        <v>148188701.40119994</v>
      </c>
      <c r="T17" s="48">
        <f t="shared" si="39"/>
        <v>91005712.861200005</v>
      </c>
      <c r="U17" s="48">
        <f>U10-U16</f>
        <v>230034447.39120001</v>
      </c>
      <c r="V17" s="48">
        <f>V10-V16</f>
        <v>124546728.29620004</v>
      </c>
      <c r="W17" s="48">
        <f>W10-W16</f>
        <v>159144880.45000005</v>
      </c>
      <c r="X17" s="48">
        <f>X10-X16</f>
        <v>239980052.80119997</v>
      </c>
      <c r="Y17" s="48">
        <f>Y10-Y16</f>
        <v>292899202.58499998</v>
      </c>
    </row>
    <row r="18" spans="1:25" x14ac:dyDescent="0.3">
      <c r="A18" s="43" t="s">
        <v>157</v>
      </c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5" x14ac:dyDescent="0.3">
      <c r="A19" s="39" t="s">
        <v>161</v>
      </c>
      <c r="B19" s="48">
        <f>SUMIFS(FINANCIACION[[#All],[$ INTERESES]],
FINANCIACION[[#All],[Fecha]],"&gt;="&amp;B$1,
FINANCIACION[[#All],[Fecha]],"&lt;="&amp;EOMONTH(B$1,0))</f>
        <v>13334929.005717564</v>
      </c>
      <c r="C19" s="48">
        <f>SUMIFS(FINANCIACION[[#All],[$ INTERESES]],
FINANCIACION[[#All],[Fecha]],"&gt;="&amp;C$1,
FINANCIACION[[#All],[Fecha]],"&lt;="&amp;EOMONTH(C$1,0))</f>
        <v>6087159.7638747338</v>
      </c>
      <c r="D19" s="48">
        <f>SUMIFS(FINANCIACION[[#All],[$ INTERESES]],
FINANCIACION[[#All],[Fecha]],"&gt;="&amp;D$1,
FINANCIACION[[#All],[Fecha]],"&lt;="&amp;EOMONTH(D$1,0))</f>
        <v>8051339.7602134952</v>
      </c>
      <c r="E19" s="48">
        <f>SUMIFS(FINANCIACION[[#All],[$ INTERESES]],
FINANCIACION[[#All],[Fecha]],"&gt;="&amp;E$1,
FINANCIACION[[#All],[Fecha]],"&lt;="&amp;EOMONTH(E$1,0))</f>
        <v>4992257.5790156256</v>
      </c>
      <c r="F19" s="48">
        <f>SUMIFS(FINANCIACION[[#All],[$ INTERESES]],
FINANCIACION[[#All],[Fecha]],"&gt;="&amp;F$1,
FINANCIACION[[#All],[Fecha]],"&lt;="&amp;EOMONTH(F$1,0))</f>
        <v>5456902.2221057862</v>
      </c>
      <c r="G19" s="48">
        <f>SUMIFS(FINANCIACION[[#All],[$ INTERESES]],
FINANCIACION[[#All],[Fecha]],"&gt;="&amp;G$1,
FINANCIACION[[#All],[Fecha]],"&lt;="&amp;EOMONTH(G$1,0))</f>
        <v>13716587.908526836</v>
      </c>
      <c r="H19" s="48">
        <f>SUMIFS(FINANCIACION[[#All],[$ INTERESES]],
FINANCIACION[[#All],[Fecha]],"&gt;="&amp;H$1,
FINANCIACION[[#All],[Fecha]],"&lt;="&amp;EOMONTH(H$1,0))</f>
        <v>11798205.294212103</v>
      </c>
      <c r="I19" s="48">
        <f>SUMIFS(FINANCIACION[[#All],[$ INTERESES]],
FINANCIACION[[#All],[Fecha]],"&gt;="&amp;I$1,
FINANCIACION[[#All],[Fecha]],"&lt;="&amp;EOMONTH(I$1,0))</f>
        <v>13332676.351654222</v>
      </c>
      <c r="J19" s="48">
        <f>SUMIFS(FINANCIACION[[#All],[$ INTERESES]],
FINANCIACION[[#All],[Fecha]],"&gt;="&amp;J$1,
FINANCIACION[[#All],[Fecha]],"&lt;="&amp;EOMONTH(J$1,0))</f>
        <v>13546117.77</v>
      </c>
      <c r="K19" s="48">
        <f>SUMIFS(FINANCIACION[[#All],[$ INTERESES]],
FINANCIACION[[#All],[Fecha]],"&gt;="&amp;K$1,
FINANCIACION[[#All],[Fecha]],"&lt;="&amp;EOMONTH(K$1,0))</f>
        <v>11893381.560000001</v>
      </c>
      <c r="L19" s="48">
        <f>SUMIFS(FINANCIACION[[#All],[$ INTERESES]],
FINANCIACION[[#All],[Fecha]],"&gt;="&amp;L$1,
FINANCIACION[[#All],[Fecha]],"&lt;="&amp;EOMONTH(L$1,0))</f>
        <v>13888096</v>
      </c>
      <c r="M19" s="48">
        <f>SUMIFS(FINANCIACION[[#All],[$ INTERESES]],
FINANCIACION[[#All],[Fecha]],"&gt;="&amp;M$1,
FINANCIACION[[#All],[Fecha]],"&lt;="&amp;EOMONTH(M$1,0))</f>
        <v>21789479</v>
      </c>
      <c r="N19" s="48">
        <f>SUMIFS(FINANCIACION[[#All],[$ INTERESES]],
FINANCIACION[[#All],[Fecha]],"&gt;="&amp;N$1,
FINANCIACION[[#All],[Fecha]],"&lt;="&amp;EOMONTH(N$1,0))</f>
        <v>13637065</v>
      </c>
      <c r="O19" s="48">
        <f>SUMIFS(FINANCIACION[[#All],[$ INTERESES]],
FINANCIACION[[#All],[Fecha]],"&gt;="&amp;O$1,
FINANCIACION[[#All],[Fecha]],"&lt;="&amp;EOMONTH(O$1,0))</f>
        <v>13605978.711997621</v>
      </c>
      <c r="P19" s="48">
        <f>SUMIFS(FINANCIACION[[#All],[$ INTERESES]],
FINANCIACION[[#All],[Fecha]],"&gt;="&amp;P$1,
FINANCIACION[[#All],[Fecha]],"&lt;="&amp;EOMONTH(P$1,0))</f>
        <v>19833342</v>
      </c>
      <c r="Q19" s="48">
        <f>SUMIFS(FINANCIACION[[#All],[$ INTERESES]],
FINANCIACION[[#All],[Fecha]],"&gt;="&amp;Q$1,
FINANCIACION[[#All],[Fecha]],"&lt;="&amp;EOMONTH(Q$1,0))</f>
        <v>13671629</v>
      </c>
      <c r="R19" s="48">
        <f>SUMIFS(FINANCIACION[[#All],[$ INTERESES]],
FINANCIACION[[#All],[Fecha]],"&gt;="&amp;R$1,
FINANCIACION[[#All],[Fecha]],"&lt;="&amp;EOMONTH(R$1,0))</f>
        <v>19677273</v>
      </c>
      <c r="S19" s="48">
        <f>SUMIFS(FINANCIACION[[#All],[$ INTERESES]],
FINANCIACION[[#All],[Fecha]],"&gt;="&amp;S$1,
FINANCIACION[[#All],[Fecha]],"&lt;="&amp;EOMONTH(S$1,0))</f>
        <v>17840488</v>
      </c>
      <c r="T19" s="48">
        <f>SUMIFS(FINANCIACION[[#All],[$ INTERESES]],
FINANCIACION[[#All],[Fecha]],"&gt;="&amp;T$1,
FINANCIACION[[#All],[Fecha]],"&lt;="&amp;EOMONTH(T$1,0))</f>
        <v>18312010</v>
      </c>
      <c r="U19" s="48">
        <f>SUMIFS(FINANCIACION[[#All],[$ INTERESES]],
FINANCIACION[[#All],[Fecha]],"&gt;="&amp;U$1,
FINANCIACION[[#All],[Fecha]],"&lt;="&amp;EOMONTH(U$1,0))</f>
        <v>13513892.010000002</v>
      </c>
      <c r="V19" s="48">
        <f>SUMIFS(FINANCIACION[[#All],[$ INTERESES]],
FINANCIACION[[#All],[Fecha]],"&gt;="&amp;V$1,
FINANCIACION[[#All],[Fecha]],"&lt;="&amp;EOMONTH(V$1,0))</f>
        <v>15024604</v>
      </c>
      <c r="W19" s="48">
        <f>SUMIFS(FINANCIACION[[#All],[$ INTERESES]],
FINANCIACION[[#All],[Fecha]],"&gt;="&amp;W$1,
FINANCIACION[[#All],[Fecha]],"&lt;="&amp;EOMONTH(W$1,0))</f>
        <v>14476596</v>
      </c>
      <c r="X19" s="48">
        <f>SUMIFS(FINANCIACION[[#All],[$ INTERESES]],
FINANCIACION[[#All],[Fecha]],"&gt;="&amp;X$1,
FINANCIACION[[#All],[Fecha]],"&lt;="&amp;EOMONTH(X$1,0))</f>
        <v>14138271</v>
      </c>
      <c r="Y19" s="48">
        <f>SUMIFS(FINANCIACION[[#All],[$ INTERESES]],
FINANCIACION[[#All],[Fecha]],"&gt;="&amp;Y$1,
FINANCIACION[[#All],[Fecha]],"&lt;="&amp;EOMONTH(Y$1,0))</f>
        <v>15997880</v>
      </c>
    </row>
    <row r="20" spans="1:25" x14ac:dyDescent="0.3">
      <c r="A20" s="55" t="s">
        <v>263</v>
      </c>
      <c r="B20" s="42">
        <f>3472901.51+2254545.81</f>
        <v>5727447.3200000003</v>
      </c>
      <c r="C20" s="42">
        <f>735574.84+3099503.02</f>
        <v>3835077.86</v>
      </c>
      <c r="D20" s="42">
        <f>12153685.67+1185504.04</f>
        <v>13339189.710000001</v>
      </c>
      <c r="E20" s="42">
        <f>-3988467.75+3433743.46</f>
        <v>-554724.29</v>
      </c>
      <c r="F20" s="42">
        <f>-3408875.7+563070.32</f>
        <v>-2845805.3800000004</v>
      </c>
      <c r="G20" s="42">
        <f>12174579.06+1314532.76</f>
        <v>13489111.82</v>
      </c>
      <c r="H20" s="42">
        <f>6841090.13+2790184.35</f>
        <v>9631274.4800000004</v>
      </c>
      <c r="I20" s="42">
        <f>1090983+6668001</f>
        <v>7758984</v>
      </c>
      <c r="J20" s="42">
        <f>715555+17963365</f>
        <v>18678920</v>
      </c>
      <c r="K20" s="42">
        <f>7240132+(-3058218)</f>
        <v>4181914</v>
      </c>
      <c r="L20" s="42">
        <f>3499794+3349690</f>
        <v>6849484</v>
      </c>
      <c r="M20" s="42">
        <f>1375054+10882800</f>
        <v>12257854</v>
      </c>
      <c r="N20" s="42">
        <f>-10249172+1124769</f>
        <v>-9124403</v>
      </c>
      <c r="O20" s="42">
        <f>-10436904+1770962</f>
        <v>-8665942</v>
      </c>
      <c r="P20" s="42">
        <f>8840330+1302635</f>
        <v>10142965</v>
      </c>
      <c r="Q20" s="42">
        <f>2836800+3199400</f>
        <v>6036200</v>
      </c>
      <c r="R20" s="42">
        <f>9530064+2432000</f>
        <v>11962064</v>
      </c>
      <c r="S20" s="42">
        <f>8506800+6541600+125800</f>
        <v>15174200</v>
      </c>
      <c r="T20" s="42">
        <f>5700000-2294000</f>
        <v>3406000</v>
      </c>
      <c r="U20" s="42">
        <f>3548000-6678000</f>
        <v>-3130000</v>
      </c>
      <c r="V20" s="42">
        <f>6300000+2368000</f>
        <v>8668000</v>
      </c>
      <c r="W20" s="42">
        <f>2904300-13944400</f>
        <v>-11040100</v>
      </c>
      <c r="X20" s="42">
        <f>3761800+1812767</f>
        <v>5574567</v>
      </c>
      <c r="Y20" s="42">
        <f>14792000+10633000</f>
        <v>25425000</v>
      </c>
    </row>
    <row r="21" spans="1:25" x14ac:dyDescent="0.3">
      <c r="A21" s="55" t="s">
        <v>127</v>
      </c>
      <c r="B21" s="42">
        <v>458702.35</v>
      </c>
      <c r="C21" s="42">
        <v>469386.64</v>
      </c>
      <c r="D21" s="42">
        <v>462465.85</v>
      </c>
      <c r="E21" s="42">
        <v>462465.85</v>
      </c>
      <c r="F21" s="42">
        <v>464811.91</v>
      </c>
      <c r="G21" s="42">
        <v>466477.36</v>
      </c>
      <c r="H21" s="42">
        <v>477914.03</v>
      </c>
      <c r="I21" s="42">
        <v>481265</v>
      </c>
      <c r="J21" s="42">
        <v>482365</v>
      </c>
      <c r="K21" s="42">
        <v>488921</v>
      </c>
      <c r="L21" s="42">
        <v>492792</v>
      </c>
      <c r="M21" s="42">
        <v>499059</v>
      </c>
      <c r="N21" s="42">
        <v>505600</v>
      </c>
      <c r="O21" s="42">
        <v>515147</v>
      </c>
      <c r="P21" s="42">
        <v>524838</v>
      </c>
      <c r="Q21" s="42">
        <v>529087</v>
      </c>
      <c r="R21" s="42">
        <v>533343</v>
      </c>
      <c r="S21" s="42">
        <v>538195</v>
      </c>
      <c r="T21" s="42">
        <v>541020</v>
      </c>
      <c r="U21" s="42">
        <v>549023</v>
      </c>
      <c r="V21" s="42">
        <v>555730</v>
      </c>
      <c r="W21" s="42">
        <v>560358</v>
      </c>
      <c r="X21" s="42">
        <v>568775</v>
      </c>
      <c r="Y21" s="42">
        <v>577665</v>
      </c>
    </row>
    <row r="22" spans="1:25" x14ac:dyDescent="0.3">
      <c r="A22" s="55" t="s">
        <v>162</v>
      </c>
      <c r="B22" s="42">
        <f>62122289.9-16700231.76</f>
        <v>45422058.140000001</v>
      </c>
      <c r="C22" s="42">
        <f>-8000000+5232008.78</f>
        <v>-2767991.2199999997</v>
      </c>
      <c r="D22" s="42">
        <f>-200000-15419000</f>
        <v>-15619000</v>
      </c>
      <c r="E22" s="42">
        <f>-40000000+1077399.3+24246206.91</f>
        <v>-14676393.790000003</v>
      </c>
      <c r="F22" s="42">
        <f>2641817.05-16233663.49</f>
        <v>-13591846.440000001</v>
      </c>
      <c r="G22" s="42">
        <f>-7664683.05+3164876.51</f>
        <v>-4499806.54</v>
      </c>
      <c r="H22" s="42">
        <f>-7123410.64+-36588741.17</f>
        <v>-43712151.810000002</v>
      </c>
      <c r="I22" s="42">
        <f>-10000000+4545744-15780117</f>
        <v>-21234373</v>
      </c>
      <c r="J22" s="42">
        <f>-19914+(-24437458)</f>
        <v>-24457372</v>
      </c>
      <c r="K22" s="42">
        <f>-2285193+(-20158226)</f>
        <v>-22443419</v>
      </c>
      <c r="L22" s="42">
        <f>7076524+(-18781589)</f>
        <v>-11705065</v>
      </c>
      <c r="M22" s="42">
        <f>10388572+(-14363883)</f>
        <v>-3975311</v>
      </c>
      <c r="N22" s="42">
        <f>-1913000-1413099</f>
        <v>-3326099</v>
      </c>
      <c r="O22" s="42">
        <f>-4934439-15124326</f>
        <v>-20058765</v>
      </c>
      <c r="P22" s="42">
        <f>-3689824-17069368</f>
        <v>-20759192</v>
      </c>
      <c r="Q22" s="42">
        <f>-588000-3406994</f>
        <v>-3994994</v>
      </c>
      <c r="R22" s="42">
        <f>-5155200-21430800</f>
        <v>-26586000</v>
      </c>
      <c r="S22" s="42">
        <f>-5278300-5270300</f>
        <v>-10548600</v>
      </c>
      <c r="T22" s="42">
        <f>-1145000-17018000</f>
        <v>-18163000</v>
      </c>
      <c r="U22" s="42">
        <f>2145000-12876000</f>
        <v>-10731000</v>
      </c>
      <c r="V22" s="42">
        <f>6600000-11160000</f>
        <v>-4560000</v>
      </c>
      <c r="W22" s="42">
        <f>-20271300+2392000</f>
        <v>-17879300</v>
      </c>
      <c r="X22" s="42">
        <f>34355000-12527000</f>
        <v>21828000</v>
      </c>
      <c r="Y22" s="42">
        <f>1599000-6198000</f>
        <v>-4599000</v>
      </c>
    </row>
    <row r="23" spans="1:25" x14ac:dyDescent="0.3">
      <c r="A23" s="55" t="s">
        <v>128</v>
      </c>
      <c r="B23" s="42">
        <v>309965.84999999998</v>
      </c>
      <c r="C23" s="42">
        <v>310608.23</v>
      </c>
      <c r="D23" s="42">
        <v>311775</v>
      </c>
      <c r="E23" s="42">
        <v>312850.49</v>
      </c>
      <c r="F23" s="42">
        <v>313742.78999999998</v>
      </c>
      <c r="G23" s="42">
        <v>314772.36</v>
      </c>
      <c r="H23" s="42">
        <v>315815.28999999998</v>
      </c>
      <c r="I23" s="42">
        <v>317723</v>
      </c>
      <c r="J23" s="42">
        <v>320339</v>
      </c>
      <c r="K23" s="42">
        <v>322192</v>
      </c>
      <c r="L23" s="42">
        <v>324497</v>
      </c>
      <c r="M23" s="42">
        <v>328220</v>
      </c>
      <c r="N23" s="42">
        <v>332140</v>
      </c>
      <c r="O23" s="42">
        <v>338069</v>
      </c>
      <c r="P23" s="42">
        <v>343706</v>
      </c>
      <c r="Q23" s="42">
        <v>346426</v>
      </c>
      <c r="R23" s="42">
        <v>349060</v>
      </c>
      <c r="S23" s="42">
        <v>352066</v>
      </c>
      <c r="T23" s="42">
        <v>354000</v>
      </c>
      <c r="U23" s="42">
        <v>359179</v>
      </c>
      <c r="V23" s="42">
        <v>363014</v>
      </c>
      <c r="W23" s="42">
        <v>365740</v>
      </c>
      <c r="X23" s="42">
        <v>370998</v>
      </c>
      <c r="Y23" s="42">
        <v>376846</v>
      </c>
    </row>
    <row r="24" spans="1:25" x14ac:dyDescent="0.3">
      <c r="A24" s="55" t="s">
        <v>131</v>
      </c>
      <c r="B24" s="42">
        <v>2352095.9700000002</v>
      </c>
      <c r="C24" s="42">
        <v>-2462073.42</v>
      </c>
      <c r="D24" s="42">
        <v>1709000</v>
      </c>
      <c r="E24" s="42">
        <v>1761405.65</v>
      </c>
      <c r="F24" s="42">
        <v>3574248.11</v>
      </c>
      <c r="G24" s="42">
        <v>4025658.77</v>
      </c>
      <c r="H24" s="42">
        <v>6129804.25</v>
      </c>
      <c r="I24" s="42">
        <v>4202841</v>
      </c>
      <c r="J24" s="42">
        <v>9253</v>
      </c>
      <c r="K24" s="42">
        <v>-1548870</v>
      </c>
      <c r="L24" s="42">
        <v>-1426509</v>
      </c>
      <c r="M24" s="42">
        <v>8734987</v>
      </c>
      <c r="N24" s="42">
        <v>-6043324</v>
      </c>
      <c r="O24" s="42">
        <v>812269</v>
      </c>
      <c r="P24" s="42">
        <v>1377312</v>
      </c>
      <c r="Q24" s="42">
        <v>-6200000</v>
      </c>
      <c r="R24" s="42">
        <v>-9914000</v>
      </c>
      <c r="S24" s="42">
        <v>-5302000</v>
      </c>
      <c r="T24" s="42">
        <v>-7848000</v>
      </c>
      <c r="U24" s="42">
        <v>-7399000</v>
      </c>
      <c r="V24" s="42">
        <v>10337000</v>
      </c>
      <c r="W24" s="42">
        <v>3097000</v>
      </c>
      <c r="X24" s="42">
        <v>1956000</v>
      </c>
      <c r="Y24" s="42">
        <v>3650289</v>
      </c>
    </row>
    <row r="25" spans="1:25" x14ac:dyDescent="0.3">
      <c r="A25" s="55" t="s">
        <v>132</v>
      </c>
      <c r="B25" s="42">
        <v>5666972.1600000001</v>
      </c>
      <c r="C25" s="42">
        <v>4450748.6100000003</v>
      </c>
      <c r="D25" s="42">
        <v>420485.54</v>
      </c>
      <c r="E25" s="42">
        <v>2180522.81</v>
      </c>
      <c r="F25" s="42">
        <v>4971043.33</v>
      </c>
      <c r="G25" s="42">
        <v>2120296.89</v>
      </c>
      <c r="H25" s="42">
        <v>3217137.89</v>
      </c>
      <c r="I25" s="42">
        <v>3179800</v>
      </c>
      <c r="J25" s="42">
        <v>1300000</v>
      </c>
      <c r="K25" s="42">
        <v>500000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</row>
    <row r="26" spans="1:25" x14ac:dyDescent="0.3">
      <c r="A26" s="55" t="s">
        <v>129</v>
      </c>
      <c r="B26" s="42">
        <v>2567860.81</v>
      </c>
      <c r="C26" s="42">
        <v>437413</v>
      </c>
      <c r="D26" s="42">
        <v>688713.88</v>
      </c>
      <c r="E26" s="42">
        <v>1344723.56</v>
      </c>
      <c r="F26" s="42">
        <v>1246578.47</v>
      </c>
      <c r="G26" s="42">
        <v>368311.82</v>
      </c>
      <c r="H26" s="42">
        <v>683068.86</v>
      </c>
      <c r="I26" s="42">
        <v>979724</v>
      </c>
      <c r="J26" s="42">
        <v>809741</v>
      </c>
      <c r="K26" s="42">
        <v>1155840</v>
      </c>
      <c r="L26" s="42">
        <v>915216</v>
      </c>
      <c r="M26" s="42">
        <v>2213000</v>
      </c>
      <c r="N26" s="42">
        <v>811211</v>
      </c>
      <c r="O26" s="42">
        <v>1860893</v>
      </c>
      <c r="P26" s="42">
        <v>548716</v>
      </c>
      <c r="Q26" s="42">
        <v>90200</v>
      </c>
      <c r="R26" s="42">
        <v>1542000</v>
      </c>
      <c r="S26" s="42">
        <v>915942</v>
      </c>
      <c r="T26" s="42">
        <v>1483715</v>
      </c>
      <c r="U26" s="42">
        <v>591000</v>
      </c>
      <c r="V26" s="42">
        <v>2221000</v>
      </c>
      <c r="W26" s="42">
        <v>1341000</v>
      </c>
      <c r="X26" s="42">
        <v>343000</v>
      </c>
      <c r="Y26" s="42">
        <v>2673694</v>
      </c>
    </row>
    <row r="27" spans="1:25" x14ac:dyDescent="0.3">
      <c r="A27" s="55" t="s">
        <v>707</v>
      </c>
      <c r="B27" s="42"/>
      <c r="C27" s="42"/>
      <c r="D27" s="42"/>
      <c r="E27" s="42"/>
      <c r="F27" s="42">
        <v>97745</v>
      </c>
      <c r="G27" s="42">
        <v>0</v>
      </c>
      <c r="H27" s="42">
        <v>261111</v>
      </c>
      <c r="I27" s="42">
        <v>98521</v>
      </c>
      <c r="J27" s="42">
        <v>518367</v>
      </c>
      <c r="K27" s="42">
        <v>228478</v>
      </c>
      <c r="L27" s="42">
        <v>494020</v>
      </c>
      <c r="M27" s="42">
        <v>1169364</v>
      </c>
      <c r="N27" s="42">
        <v>290000</v>
      </c>
      <c r="O27" s="42">
        <v>1059000</v>
      </c>
      <c r="P27" s="42">
        <v>372200</v>
      </c>
      <c r="Q27" s="42">
        <v>528200</v>
      </c>
      <c r="R27" s="42">
        <v>695000</v>
      </c>
      <c r="S27" s="42">
        <v>116000</v>
      </c>
      <c r="T27" s="42">
        <v>2426191</v>
      </c>
      <c r="U27" s="42">
        <v>2579000</v>
      </c>
      <c r="V27" s="42">
        <v>634000</v>
      </c>
      <c r="W27" s="42">
        <v>244000</v>
      </c>
      <c r="X27" s="42">
        <v>291000</v>
      </c>
      <c r="Y27" s="42">
        <v>746464</v>
      </c>
    </row>
    <row r="28" spans="1:25" x14ac:dyDescent="0.3">
      <c r="A28" s="55" t="s">
        <v>1254</v>
      </c>
      <c r="B28" s="42">
        <f>40373050+1646000</f>
        <v>42019050</v>
      </c>
      <c r="C28" s="42">
        <v>7854300</v>
      </c>
      <c r="D28" s="42">
        <f>8962000+4542000</f>
        <v>13504000</v>
      </c>
      <c r="E28" s="42">
        <v>16332650</v>
      </c>
      <c r="F28" s="42">
        <v>9411700</v>
      </c>
      <c r="G28" s="42">
        <v>12536500</v>
      </c>
      <c r="H28" s="42">
        <v>24583254</v>
      </c>
      <c r="I28" s="42">
        <f>+(564+207+770+898+1143+4800)*1000</f>
        <v>8382000</v>
      </c>
      <c r="J28" s="42">
        <f>1020000+1358000+858000+1040000+275000+6913900+910000</f>
        <v>12374900</v>
      </c>
      <c r="K28" s="42">
        <f>1716250+662000+612600+480000+411500+10427500+320000</f>
        <v>14629850</v>
      </c>
      <c r="L28" s="42">
        <f>1309000+1114000+1620500+80000+925000+5862000+800000</f>
        <v>11710500</v>
      </c>
      <c r="M28" s="42">
        <v>803000</v>
      </c>
      <c r="N28" s="42">
        <f>972000+2075000+1557000+922000+751000</f>
        <v>6277000</v>
      </c>
      <c r="O28" s="42">
        <f>280000+652000+1132000+1103000+240000+313000+8796000</f>
        <v>12516000</v>
      </c>
      <c r="P28" s="42">
        <f>700000+27500+147000+167000+177000+105000+802000+1256000+408000+380000+408000+2722200</f>
        <v>7299700</v>
      </c>
      <c r="Q28" s="42">
        <v>13694000</v>
      </c>
      <c r="R28" s="42">
        <f>1824000+100000+2126000+1615000+1143000+604000+414000+538000+8463000</f>
        <v>16827000</v>
      </c>
      <c r="S28" s="42">
        <f>902000+350000+1442000+1163000+1560000+1292000+849000+68000</f>
        <v>7626000</v>
      </c>
      <c r="T28" s="42">
        <f>916000+109000+147000+38000+15000+138000+234000+1732000+1152000+1165000+122000</f>
        <v>5768000</v>
      </c>
      <c r="U28" s="42">
        <f>408000+375000+245000+108000+170000+240000+1680000+473000+364000+1138000+754000</f>
        <v>5955000</v>
      </c>
      <c r="V28" s="42">
        <f>2029000+1162000+1256000+157000+356000+3311000+112000+357000</f>
        <v>8740000</v>
      </c>
      <c r="W28" s="42">
        <f>187000+1778000+890000+1837000+1400000+345000+30000+68000+120000+74000+113000+18200</f>
        <v>6860200</v>
      </c>
      <c r="X28" s="42">
        <v>6573000</v>
      </c>
      <c r="Y28" s="42">
        <f>1772000+1173400+6500+7023000+4888000+7893000+6234000</f>
        <v>28989900</v>
      </c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K1686"/>
  <sheetViews>
    <sheetView topLeftCell="A1646" zoomScale="115" zoomScaleNormal="115" workbookViewId="0">
      <selection activeCell="A1654" sqref="A1654:F1656"/>
    </sheetView>
  </sheetViews>
  <sheetFormatPr defaultColWidth="11.44140625" defaultRowHeight="24" customHeight="1" x14ac:dyDescent="0.3"/>
  <cols>
    <col min="1" max="1" width="14.5546875" style="132" customWidth="1"/>
    <col min="2" max="2" width="35.5546875" style="51" customWidth="1"/>
    <col min="3" max="3" width="18.5546875" style="6" customWidth="1"/>
    <col min="4" max="4" width="16.44140625" style="6" customWidth="1"/>
    <col min="5" max="5" width="18.21875" style="6" customWidth="1"/>
    <col min="6" max="6" width="15.77734375" style="6" customWidth="1"/>
    <col min="7" max="7" width="13.77734375" style="9" customWidth="1"/>
    <col min="8" max="8" width="15.44140625" style="6" customWidth="1"/>
    <col min="9" max="9" width="18.21875" style="6" hidden="1" customWidth="1"/>
    <col min="10" max="10" width="26.21875" style="10" hidden="1" customWidth="1"/>
    <col min="11" max="11" width="43" style="6" hidden="1" customWidth="1"/>
    <col min="12" max="12" width="16.44140625" style="6" hidden="1" customWidth="1"/>
    <col min="13" max="13" width="13.5546875" style="6" hidden="1" customWidth="1"/>
    <col min="14" max="14" width="14.5546875" style="9" hidden="1" customWidth="1"/>
    <col min="15" max="15" width="28.77734375" style="8" hidden="1" customWidth="1"/>
    <col min="16" max="16" width="15.5546875" style="6" hidden="1" customWidth="1"/>
    <col min="17" max="17" width="14.21875" style="6" hidden="1" customWidth="1"/>
    <col min="18" max="18" width="28" style="6" hidden="1" customWidth="1"/>
    <col min="19" max="19" width="12.21875" style="6" hidden="1" customWidth="1"/>
    <col min="20" max="20" width="8.44140625" style="6" hidden="1" customWidth="1"/>
    <col min="21" max="21" width="28" style="6" hidden="1" customWidth="1"/>
    <col min="22" max="22" width="13.21875" style="6" hidden="1" customWidth="1"/>
    <col min="23" max="23" width="18.21875" style="6" hidden="1" customWidth="1"/>
    <col min="24" max="24" width="19.5546875" style="6" hidden="1" customWidth="1"/>
    <col min="25" max="25" width="5.21875" style="6" hidden="1" customWidth="1"/>
    <col min="26" max="26" width="9.44140625" style="6" hidden="1" customWidth="1"/>
    <col min="27" max="27" width="14.21875" style="6" hidden="1" customWidth="1"/>
    <col min="28" max="28" width="16.5546875" style="6" hidden="1" customWidth="1"/>
    <col min="29" max="29" width="9.77734375" style="6" hidden="1" customWidth="1"/>
    <col min="30" max="34" width="12.5546875" style="6" hidden="1" customWidth="1"/>
    <col min="35" max="35" width="11.44140625" style="6"/>
    <col min="36" max="36" width="16.21875" style="6" bestFit="1" customWidth="1"/>
    <col min="37" max="37" width="14.44140625" style="6" bestFit="1" customWidth="1"/>
    <col min="38" max="16384" width="11.44140625" style="6"/>
  </cols>
  <sheetData>
    <row r="1" spans="1:15" ht="30.75" customHeight="1" x14ac:dyDescent="0.3">
      <c r="A1" s="131" t="s">
        <v>250</v>
      </c>
      <c r="B1" s="4" t="s">
        <v>167</v>
      </c>
      <c r="C1" s="4" t="s">
        <v>79</v>
      </c>
      <c r="D1" s="4" t="s">
        <v>36</v>
      </c>
      <c r="E1" s="4" t="s">
        <v>82</v>
      </c>
      <c r="F1" s="5" t="s">
        <v>80</v>
      </c>
      <c r="G1" s="4" t="s">
        <v>81</v>
      </c>
      <c r="H1" s="54" t="s">
        <v>40</v>
      </c>
      <c r="I1" s="34" t="s">
        <v>35</v>
      </c>
      <c r="J1" s="3" t="s">
        <v>41</v>
      </c>
      <c r="N1" s="6"/>
      <c r="O1" s="6"/>
    </row>
    <row r="2" spans="1:15" ht="24" hidden="1" customHeight="1" x14ac:dyDescent="0.3">
      <c r="A2" s="131">
        <v>43074</v>
      </c>
      <c r="B2" s="50" t="s">
        <v>532</v>
      </c>
      <c r="C2" s="5">
        <v>-94935167</v>
      </c>
      <c r="D2" s="5"/>
      <c r="E2" s="5" t="str">
        <f>+IF(FINANCIACION[[#This Row],[$ CAPITAL]]&gt;=0,FINANCIACION[[#This Row],[$ CAPITAL]]+FINANCIACION[[#This Row],[$ INTERESES]],"")</f>
        <v/>
      </c>
      <c r="F2" s="5">
        <f>+SUMIFS(FINANCIACION[$ CAPITAL],FINANCIACION[Fecha],"&lt;="&amp;FINANCIACION[[#This Row],[Fecha]],FINANCIACION[PRESTAMO],FINANCIACION[[#This Row],[PRESTAMO]])</f>
        <v>-94935167</v>
      </c>
      <c r="G2" s="53"/>
      <c r="H2" s="53"/>
      <c r="I2" s="5" t="b">
        <f>IF(FINANCIACION[[#This Row],[$ CAPITAL]]&gt;0,FINANCIACION[[#This Row],[$ CAPITAL]])</f>
        <v>0</v>
      </c>
      <c r="J2" s="33">
        <f>IF(FINANCIACION[[#This Row],[$ CAPITAL]]&gt;=0,FINANCIACION[[#This Row],[$ CAPITAL]]+FINANCIACION[[#This Row],[$ INTERESES]],0)</f>
        <v>0</v>
      </c>
    </row>
    <row r="3" spans="1:15" ht="24" hidden="1" customHeight="1" x14ac:dyDescent="0.3">
      <c r="A3" s="131">
        <v>43084</v>
      </c>
      <c r="B3" s="50" t="s">
        <v>533</v>
      </c>
      <c r="C3" s="5">
        <v>-61629154</v>
      </c>
      <c r="D3" s="5"/>
      <c r="E3" s="5" t="str">
        <f>+IF(FINANCIACION[[#This Row],[$ CAPITAL]]&gt;=0,FINANCIACION[[#This Row],[$ CAPITAL]]+FINANCIACION[[#This Row],[$ INTERESES]],"")</f>
        <v/>
      </c>
      <c r="F3" s="5">
        <f>+SUMIFS(FINANCIACION[$ CAPITAL],FINANCIACION[Fecha],"&lt;="&amp;FINANCIACION[[#This Row],[Fecha]],FINANCIACION[PRESTAMO],FINANCIACION[[#This Row],[PRESTAMO]])</f>
        <v>-61629154</v>
      </c>
      <c r="G3" s="53"/>
      <c r="H3" s="53"/>
      <c r="I3" s="5" t="b">
        <f>IF(FINANCIACION[[#This Row],[$ CAPITAL]]&gt;0,FINANCIACION[[#This Row],[$ CAPITAL]])</f>
        <v>0</v>
      </c>
      <c r="J3" s="33">
        <f>IF(FINANCIACION[[#This Row],[$ CAPITAL]]&gt;=0,FINANCIACION[[#This Row],[$ CAPITAL]]+FINANCIACION[[#This Row],[$ INTERESES]],0)</f>
        <v>0</v>
      </c>
    </row>
    <row r="4" spans="1:15" ht="24" hidden="1" customHeight="1" x14ac:dyDescent="0.3">
      <c r="A4" s="131">
        <v>43118</v>
      </c>
      <c r="B4" s="50" t="s">
        <v>534</v>
      </c>
      <c r="C4" s="5">
        <v>-382491081</v>
      </c>
      <c r="D4" s="5"/>
      <c r="E4" s="5" t="str">
        <f>+IF(FINANCIACION[[#This Row],[$ CAPITAL]]&gt;=0,FINANCIACION[[#This Row],[$ CAPITAL]]+FINANCIACION[[#This Row],[$ INTERESES]],"")</f>
        <v/>
      </c>
      <c r="F4" s="5">
        <f>+SUMIFS(FINANCIACION[$ CAPITAL],FINANCIACION[Fecha],"&lt;="&amp;FINANCIACION[[#This Row],[Fecha]],FINANCIACION[PRESTAMO],FINANCIACION[[#This Row],[PRESTAMO]])</f>
        <v>-382491081</v>
      </c>
      <c r="G4" s="53"/>
      <c r="H4" s="53"/>
      <c r="I4" s="5" t="b">
        <f>IF(FINANCIACION[[#This Row],[$ CAPITAL]]&gt;0,FINANCIACION[[#This Row],[$ CAPITAL]])</f>
        <v>0</v>
      </c>
      <c r="J4" s="33">
        <f>IF(FINANCIACION[[#This Row],[$ CAPITAL]]&gt;=0,FINANCIACION[[#This Row],[$ CAPITAL]]+FINANCIACION[[#This Row],[$ INTERESES]],0)</f>
        <v>0</v>
      </c>
    </row>
    <row r="5" spans="1:15" ht="24" hidden="1" customHeight="1" x14ac:dyDescent="0.3">
      <c r="A5" s="131">
        <v>43346</v>
      </c>
      <c r="B5" s="50" t="s">
        <v>150</v>
      </c>
      <c r="C5" s="5">
        <v>-150000000</v>
      </c>
      <c r="D5" s="5"/>
      <c r="E5" s="5" t="str">
        <f>+IF(FINANCIACION[[#This Row],[$ CAPITAL]]&gt;=0,FINANCIACION[[#This Row],[$ CAPITAL]]+FINANCIACION[[#This Row],[$ INTERESES]],"")</f>
        <v/>
      </c>
      <c r="F5" s="5">
        <f>+SUMIFS(FINANCIACION[$ CAPITAL],FINANCIACION[Fecha],"&lt;="&amp;FINANCIACION[[#This Row],[Fecha]],FINANCIACION[PRESTAMO],FINANCIACION[[#This Row],[PRESTAMO]])</f>
        <v>-150000000</v>
      </c>
      <c r="G5" s="53"/>
      <c r="H5" s="53"/>
      <c r="I5" s="5" t="b">
        <f>IF(FINANCIACION[[#This Row],[$ CAPITAL]]&gt;0,FINANCIACION[[#This Row],[$ CAPITAL]])</f>
        <v>0</v>
      </c>
      <c r="J5" s="33">
        <f>IF(FINANCIACION[[#This Row],[$ CAPITAL]]&gt;=0,FINANCIACION[[#This Row],[$ CAPITAL]]+FINANCIACION[[#This Row],[$ INTERESES]],0)</f>
        <v>0</v>
      </c>
    </row>
    <row r="6" spans="1:15" ht="24" hidden="1" customHeight="1" x14ac:dyDescent="0.3">
      <c r="A6" s="131">
        <v>43398</v>
      </c>
      <c r="B6" s="50" t="s">
        <v>146</v>
      </c>
      <c r="C6" s="5">
        <v>-45000000</v>
      </c>
      <c r="D6" s="5"/>
      <c r="E6" s="5" t="str">
        <f>+IF(FINANCIACION[[#This Row],[$ CAPITAL]]&gt;=0,FINANCIACION[[#This Row],[$ CAPITAL]]+FINANCIACION[[#This Row],[$ INTERESES]],"")</f>
        <v/>
      </c>
      <c r="F6" s="5">
        <f>+SUMIFS(FINANCIACION[$ CAPITAL],FINANCIACION[Fecha],"&lt;="&amp;FINANCIACION[[#This Row],[Fecha]],FINANCIACION[PRESTAMO],FINANCIACION[[#This Row],[PRESTAMO]])</f>
        <v>-45000000</v>
      </c>
      <c r="G6" s="53"/>
      <c r="H6" s="53"/>
      <c r="I6" s="5" t="b">
        <f>IF(FINANCIACION[[#This Row],[$ CAPITAL]]&gt;0,FINANCIACION[[#This Row],[$ CAPITAL]])</f>
        <v>0</v>
      </c>
      <c r="J6" s="33">
        <f>IF(FINANCIACION[[#This Row],[$ CAPITAL]]&gt;=0,FINANCIACION[[#This Row],[$ CAPITAL]]+FINANCIACION[[#This Row],[$ INTERESES]],0)</f>
        <v>0</v>
      </c>
    </row>
    <row r="7" spans="1:15" ht="24" hidden="1" customHeight="1" x14ac:dyDescent="0.3">
      <c r="A7" s="131">
        <v>43465</v>
      </c>
      <c r="B7" s="50" t="s">
        <v>146</v>
      </c>
      <c r="C7" s="5">
        <v>2500000</v>
      </c>
      <c r="D7" s="5"/>
      <c r="E7" s="5">
        <f>+IF(FINANCIACION[[#This Row],[$ CAPITAL]]&gt;=0,FINANCIACION[[#This Row],[$ CAPITAL]]+FINANCIACION[[#This Row],[$ INTERESES]],"")</f>
        <v>2500000</v>
      </c>
      <c r="F7" s="5">
        <f>+SUMIFS(FINANCIACION[$ CAPITAL],FINANCIACION[Fecha],"&lt;="&amp;FINANCIACION[[#This Row],[Fecha]],FINANCIACION[PRESTAMO],FINANCIACION[[#This Row],[PRESTAMO]])</f>
        <v>-42500000</v>
      </c>
      <c r="G7" s="53"/>
      <c r="H7" s="53"/>
      <c r="I7" s="5">
        <f>IF(FINANCIACION[[#This Row],[$ CAPITAL]]&gt;0,FINANCIACION[[#This Row],[$ CAPITAL]])</f>
        <v>2500000</v>
      </c>
      <c r="J7" s="33">
        <f>IF(FINANCIACION[[#This Row],[$ CAPITAL]]&gt;=0,FINANCIACION[[#This Row],[$ CAPITAL]]+FINANCIACION[[#This Row],[$ INTERESES]],0)</f>
        <v>2500000</v>
      </c>
    </row>
    <row r="8" spans="1:15" ht="24" hidden="1" customHeight="1" x14ac:dyDescent="0.3">
      <c r="A8" s="131">
        <v>43465</v>
      </c>
      <c r="B8" s="50" t="s">
        <v>150</v>
      </c>
      <c r="C8" s="5">
        <v>17500000</v>
      </c>
      <c r="D8" s="5"/>
      <c r="E8" s="5">
        <f>+IF(FINANCIACION[[#This Row],[$ CAPITAL]]&gt;=0,FINANCIACION[[#This Row],[$ CAPITAL]]+FINANCIACION[[#This Row],[$ INTERESES]],"")</f>
        <v>17500000</v>
      </c>
      <c r="F8" s="5">
        <f>+SUMIFS(FINANCIACION[$ CAPITAL],FINANCIACION[Fecha],"&lt;="&amp;FINANCIACION[[#This Row],[Fecha]],FINANCIACION[PRESTAMO],FINANCIACION[[#This Row],[PRESTAMO]])</f>
        <v>-132500000</v>
      </c>
      <c r="G8" s="53"/>
      <c r="H8" s="53"/>
      <c r="I8" s="5">
        <f>IF(FINANCIACION[[#This Row],[$ CAPITAL]]&gt;0,FINANCIACION[[#This Row],[$ CAPITAL]])</f>
        <v>17500000</v>
      </c>
      <c r="J8" s="33">
        <f>IF(FINANCIACION[[#This Row],[$ CAPITAL]]&gt;=0,FINANCIACION[[#This Row],[$ CAPITAL]]+FINANCIACION[[#This Row],[$ INTERESES]],0)</f>
        <v>17500000</v>
      </c>
    </row>
    <row r="9" spans="1:15" ht="24" hidden="1" customHeight="1" x14ac:dyDescent="0.3">
      <c r="A9" s="131">
        <v>43468</v>
      </c>
      <c r="B9" s="50" t="s">
        <v>147</v>
      </c>
      <c r="C9" s="5">
        <v>-125000000</v>
      </c>
      <c r="D9" s="5"/>
      <c r="E9" s="5" t="str">
        <f>+IF(FINANCIACION[[#This Row],[$ CAPITAL]]&gt;=0,FINANCIACION[[#This Row],[$ CAPITAL]]+FINANCIACION[[#This Row],[$ INTERESES]],"")</f>
        <v/>
      </c>
      <c r="F9" s="5">
        <f>+SUMIFS(FINANCIACION[$ CAPITAL],FINANCIACION[Fecha],"&lt;="&amp;FINANCIACION[[#This Row],[Fecha]],FINANCIACION[PRESTAMO],FINANCIACION[[#This Row],[PRESTAMO]])</f>
        <v>-125000000</v>
      </c>
      <c r="G9" s="53"/>
      <c r="H9" s="53"/>
      <c r="I9" s="5" t="b">
        <f>IF(FINANCIACION[[#This Row],[$ CAPITAL]]&gt;0,FINANCIACION[[#This Row],[$ CAPITAL]])</f>
        <v>0</v>
      </c>
      <c r="J9" s="33">
        <f>IF(FINANCIACION[[#This Row],[$ CAPITAL]]&gt;=0,FINANCIACION[[#This Row],[$ CAPITAL]]+FINANCIACION[[#This Row],[$ INTERESES]],0)</f>
        <v>0</v>
      </c>
    </row>
    <row r="10" spans="1:15" ht="24" hidden="1" customHeight="1" x14ac:dyDescent="0.3">
      <c r="A10" s="131">
        <v>43468</v>
      </c>
      <c r="B10" s="50" t="s">
        <v>150</v>
      </c>
      <c r="C10" s="5">
        <v>6250000</v>
      </c>
      <c r="D10" s="5">
        <v>1204483.46</v>
      </c>
      <c r="E10" s="5">
        <f>+IF(FINANCIACION[[#This Row],[$ CAPITAL]]&gt;=0,FINANCIACION[[#This Row],[$ CAPITAL]]+FINANCIACION[[#This Row],[$ INTERESES]],"")</f>
        <v>7454483.46</v>
      </c>
      <c r="F10" s="5">
        <f>+SUMIFS(FINANCIACION[$ CAPITAL],FINANCIACION[Fecha],"&lt;="&amp;FINANCIACION[[#This Row],[Fecha]],FINANCIACION[PRESTAMO],FINANCIACION[[#This Row],[PRESTAMO]])</f>
        <v>-126250000</v>
      </c>
      <c r="G10" s="53"/>
      <c r="H10" s="53"/>
      <c r="I10" s="5">
        <f>IF(FINANCIACION[[#This Row],[$ CAPITAL]]&gt;0,FINANCIACION[[#This Row],[$ CAPITAL]])</f>
        <v>6250000</v>
      </c>
      <c r="J10" s="33">
        <f>IF(FINANCIACION[[#This Row],[$ CAPITAL]]&gt;=0,FINANCIACION[[#This Row],[$ CAPITAL]]+FINANCIACION[[#This Row],[$ INTERESES]],0)</f>
        <v>7454483.46</v>
      </c>
    </row>
    <row r="11" spans="1:15" ht="24" hidden="1" customHeight="1" x14ac:dyDescent="0.3">
      <c r="A11" s="131">
        <v>43475</v>
      </c>
      <c r="B11" s="50" t="s">
        <v>532</v>
      </c>
      <c r="C11" s="5"/>
      <c r="D11" s="5">
        <v>950000</v>
      </c>
      <c r="E11" s="5">
        <f>+IF(FINANCIACION[[#This Row],[$ CAPITAL]]&gt;=0,FINANCIACION[[#This Row],[$ CAPITAL]]+FINANCIACION[[#This Row],[$ INTERESES]],"")</f>
        <v>950000</v>
      </c>
      <c r="F11" s="5">
        <f>+SUMIFS(FINANCIACION[$ CAPITAL],FINANCIACION[Fecha],"&lt;="&amp;FINANCIACION[[#This Row],[Fecha]],FINANCIACION[PRESTAMO],FINANCIACION[[#This Row],[PRESTAMO]])</f>
        <v>-94935167</v>
      </c>
      <c r="G11" s="7"/>
      <c r="H11" s="53"/>
      <c r="I11" s="5" t="b">
        <f>IF(FINANCIACION[[#This Row],[$ CAPITAL]]&gt;0,FINANCIACION[[#This Row],[$ CAPITAL]])</f>
        <v>0</v>
      </c>
      <c r="J11" s="33">
        <f>IF(FINANCIACION[[#This Row],[$ CAPITAL]]&gt;=0,FINANCIACION[[#This Row],[$ CAPITAL]]+FINANCIACION[[#This Row],[$ INTERESES]],0)</f>
        <v>950000</v>
      </c>
    </row>
    <row r="12" spans="1:15" ht="24" hidden="1" customHeight="1" x14ac:dyDescent="0.3">
      <c r="A12" s="131">
        <v>43483</v>
      </c>
      <c r="B12" s="50" t="s">
        <v>534</v>
      </c>
      <c r="C12" s="5">
        <v>1268533</v>
      </c>
      <c r="D12" s="5">
        <v>12694590</v>
      </c>
      <c r="E12" s="5">
        <f>+IF(FINANCIACION[[#This Row],[$ CAPITAL]]&gt;=0,FINANCIACION[[#This Row],[$ CAPITAL]]+FINANCIACION[[#This Row],[$ INTERESES]],"")</f>
        <v>13963123</v>
      </c>
      <c r="F12" s="5">
        <f>+SUMIFS(FINANCIACION[$ CAPITAL],FINANCIACION[Fecha],"&lt;="&amp;FINANCIACION[[#This Row],[Fecha]],FINANCIACION[PRESTAMO],FINANCIACION[[#This Row],[PRESTAMO]])</f>
        <v>-381222548</v>
      </c>
      <c r="G12" s="7"/>
      <c r="H12" s="53"/>
      <c r="I12" s="5">
        <f>IF(FINANCIACION[[#This Row],[$ CAPITAL]]&gt;0,FINANCIACION[[#This Row],[$ CAPITAL]])</f>
        <v>1268533</v>
      </c>
      <c r="J12" s="33">
        <f>IF(FINANCIACION[[#This Row],[$ CAPITAL]]&gt;=0,FINANCIACION[[#This Row],[$ CAPITAL]]+FINANCIACION[[#This Row],[$ INTERESES]],0)</f>
        <v>13963123</v>
      </c>
    </row>
    <row r="13" spans="1:15" ht="24" hidden="1" customHeight="1" x14ac:dyDescent="0.3">
      <c r="A13" s="131">
        <v>43485</v>
      </c>
      <c r="B13" s="50" t="s">
        <v>533</v>
      </c>
      <c r="C13" s="5">
        <v>260000</v>
      </c>
      <c r="D13" s="5">
        <v>740000</v>
      </c>
      <c r="E13" s="5">
        <f>+IF(FINANCIACION[[#This Row],[$ CAPITAL]]&gt;=0,FINANCIACION[[#This Row],[$ CAPITAL]]+FINANCIACION[[#This Row],[$ INTERESES]],"")</f>
        <v>1000000</v>
      </c>
      <c r="F13" s="5">
        <f>+SUMIFS(FINANCIACION[$ CAPITAL],FINANCIACION[Fecha],"&lt;="&amp;FINANCIACION[[#This Row],[Fecha]],FINANCIACION[PRESTAMO],FINANCIACION[[#This Row],[PRESTAMO]])</f>
        <v>-61369154</v>
      </c>
      <c r="G13" s="53"/>
      <c r="H13" s="53"/>
      <c r="I13" s="5">
        <f>IF(FINANCIACION[[#This Row],[$ CAPITAL]]&gt;0,FINANCIACION[[#This Row],[$ CAPITAL]])</f>
        <v>260000</v>
      </c>
      <c r="J13" s="33">
        <f>IF(FINANCIACION[[#This Row],[$ CAPITAL]]&gt;=0,FINANCIACION[[#This Row],[$ CAPITAL]]+FINANCIACION[[#This Row],[$ INTERESES]],0)</f>
        <v>1000000</v>
      </c>
    </row>
    <row r="14" spans="1:15" ht="24" hidden="1" customHeight="1" x14ac:dyDescent="0.3">
      <c r="A14" s="131">
        <v>43485</v>
      </c>
      <c r="B14" s="50" t="s">
        <v>534</v>
      </c>
      <c r="C14" s="5">
        <v>1482486.9681818199</v>
      </c>
      <c r="D14" s="5">
        <v>4603361.0318181803</v>
      </c>
      <c r="E14" s="5">
        <f>+IF(FINANCIACION[[#This Row],[$ CAPITAL]]&gt;=0,FINANCIACION[[#This Row],[$ CAPITAL]]+FINANCIACION[[#This Row],[$ INTERESES]],"")</f>
        <v>6085848</v>
      </c>
      <c r="F14" s="5">
        <f>+SUMIFS(FINANCIACION[$ CAPITAL],FINANCIACION[Fecha],"&lt;="&amp;FINANCIACION[[#This Row],[Fecha]],FINANCIACION[PRESTAMO],FINANCIACION[[#This Row],[PRESTAMO]])</f>
        <v>-379740061.03181815</v>
      </c>
      <c r="G14" s="57"/>
      <c r="H14" s="53"/>
      <c r="I14" s="5">
        <f>IF(FINANCIACION[[#This Row],[$ CAPITAL]]&gt;0,FINANCIACION[[#This Row],[$ CAPITAL]])</f>
        <v>1482486.9681818199</v>
      </c>
      <c r="J14" s="33">
        <f>IF(FINANCIACION[[#This Row],[$ CAPITAL]]&gt;=0,FINANCIACION[[#This Row],[$ CAPITAL]]+FINANCIACION[[#This Row],[$ INTERESES]],0)</f>
        <v>6085848</v>
      </c>
    </row>
    <row r="15" spans="1:15" ht="24" hidden="1" customHeight="1" x14ac:dyDescent="0.3">
      <c r="A15" s="131">
        <v>43490</v>
      </c>
      <c r="B15" s="50" t="s">
        <v>146</v>
      </c>
      <c r="C15" s="5">
        <v>1250000</v>
      </c>
      <c r="D15" s="5">
        <v>522218</v>
      </c>
      <c r="E15" s="5">
        <f>+IF(FINANCIACION[[#This Row],[$ CAPITAL]]&gt;=0,FINANCIACION[[#This Row],[$ CAPITAL]]+FINANCIACION[[#This Row],[$ INTERESES]],"")</f>
        <v>1772218</v>
      </c>
      <c r="F15" s="5">
        <f>+SUMIFS(FINANCIACION[$ CAPITAL],FINANCIACION[Fecha],"&lt;="&amp;FINANCIACION[[#This Row],[Fecha]],FINANCIACION[PRESTAMO],FINANCIACION[[#This Row],[PRESTAMO]])</f>
        <v>-41250000</v>
      </c>
      <c r="G15" s="53"/>
      <c r="H15" s="53"/>
      <c r="I15" s="5">
        <f>IF(FINANCIACION[[#This Row],[$ CAPITAL]]&gt;0,FINANCIACION[[#This Row],[$ CAPITAL]])</f>
        <v>1250000</v>
      </c>
      <c r="J15" s="33">
        <f>IF(FINANCIACION[[#This Row],[$ CAPITAL]]&gt;=0,FINANCIACION[[#This Row],[$ CAPITAL]]+FINANCIACION[[#This Row],[$ INTERESES]],0)</f>
        <v>1772218</v>
      </c>
    </row>
    <row r="16" spans="1:15" ht="24" hidden="1" customHeight="1" x14ac:dyDescent="0.3">
      <c r="A16" s="131">
        <v>43499</v>
      </c>
      <c r="B16" s="50" t="s">
        <v>147</v>
      </c>
      <c r="C16" s="5">
        <v>3472222</v>
      </c>
      <c r="D16" s="5">
        <v>1364677</v>
      </c>
      <c r="E16" s="5">
        <f>+IF(FINANCIACION[[#This Row],[$ CAPITAL]]&gt;=0,FINANCIACION[[#This Row],[$ CAPITAL]]+FINANCIACION[[#This Row],[$ INTERESES]],"")</f>
        <v>4836899</v>
      </c>
      <c r="F16" s="5">
        <f>+SUMIFS(FINANCIACION[$ CAPITAL],FINANCIACION[Fecha],"&lt;="&amp;FINANCIACION[[#This Row],[Fecha]],FINANCIACION[PRESTAMO],FINANCIACION[[#This Row],[PRESTAMO]])</f>
        <v>-121527778</v>
      </c>
      <c r="G16" s="53"/>
      <c r="H16" s="53"/>
      <c r="I16" s="5">
        <f>IF(FINANCIACION[[#This Row],[$ CAPITAL]]&gt;0,FINANCIACION[[#This Row],[$ CAPITAL]])</f>
        <v>3472222</v>
      </c>
      <c r="J16" s="33">
        <f>IF(FINANCIACION[[#This Row],[$ CAPITAL]]&gt;=0,FINANCIACION[[#This Row],[$ CAPITAL]]+FINANCIACION[[#This Row],[$ INTERESES]],0)</f>
        <v>4836899</v>
      </c>
    </row>
    <row r="17" spans="1:10" ht="24" hidden="1" customHeight="1" x14ac:dyDescent="0.3">
      <c r="A17" s="131">
        <v>43499</v>
      </c>
      <c r="B17" s="50" t="s">
        <v>150</v>
      </c>
      <c r="C17" s="5">
        <v>6250000</v>
      </c>
      <c r="D17" s="5">
        <v>1157485.2</v>
      </c>
      <c r="E17" s="5">
        <f>+IF(FINANCIACION[[#This Row],[$ CAPITAL]]&gt;=0,FINANCIACION[[#This Row],[$ CAPITAL]]+FINANCIACION[[#This Row],[$ INTERESES]],"")</f>
        <v>7407485.2000000002</v>
      </c>
      <c r="F17" s="5">
        <f>+SUMIFS(FINANCIACION[$ CAPITAL],FINANCIACION[Fecha],"&lt;="&amp;FINANCIACION[[#This Row],[Fecha]],FINANCIACION[PRESTAMO],FINANCIACION[[#This Row],[PRESTAMO]])</f>
        <v>-120000000</v>
      </c>
      <c r="G17" s="53"/>
      <c r="H17" s="53"/>
      <c r="I17" s="5">
        <f>IF(FINANCIACION[[#This Row],[$ CAPITAL]]&gt;0,FINANCIACION[[#This Row],[$ CAPITAL]])</f>
        <v>6250000</v>
      </c>
      <c r="J17" s="33">
        <f>IF(FINANCIACION[[#This Row],[$ CAPITAL]]&gt;=0,FINANCIACION[[#This Row],[$ CAPITAL]]+FINANCIACION[[#This Row],[$ INTERESES]],0)</f>
        <v>7407485.2000000002</v>
      </c>
    </row>
    <row r="18" spans="1:10" ht="24" hidden="1" customHeight="1" x14ac:dyDescent="0.3">
      <c r="A18" s="131">
        <v>43506</v>
      </c>
      <c r="B18" s="50" t="s">
        <v>532</v>
      </c>
      <c r="C18" s="5"/>
      <c r="D18" s="5">
        <v>950000</v>
      </c>
      <c r="E18" s="5">
        <f>+IF(FINANCIACION[[#This Row],[$ CAPITAL]]&gt;=0,FINANCIACION[[#This Row],[$ CAPITAL]]+FINANCIACION[[#This Row],[$ INTERESES]],"")</f>
        <v>950000</v>
      </c>
      <c r="F18" s="5">
        <f>+SUMIFS(FINANCIACION[$ CAPITAL],FINANCIACION[Fecha],"&lt;="&amp;FINANCIACION[[#This Row],[Fecha]],FINANCIACION[PRESTAMO],FINANCIACION[[#This Row],[PRESTAMO]])</f>
        <v>-94935167</v>
      </c>
      <c r="G18" s="53"/>
      <c r="H18" s="53"/>
      <c r="I18" s="5" t="b">
        <f>IF(FINANCIACION[[#This Row],[$ CAPITAL]]&gt;0,FINANCIACION[[#This Row],[$ CAPITAL]])</f>
        <v>0</v>
      </c>
      <c r="J18" s="33">
        <f>IF(FINANCIACION[[#This Row],[$ CAPITAL]]&gt;=0,FINANCIACION[[#This Row],[$ CAPITAL]]+FINANCIACION[[#This Row],[$ INTERESES]],0)</f>
        <v>950000</v>
      </c>
    </row>
    <row r="19" spans="1:10" ht="24" hidden="1" customHeight="1" x14ac:dyDescent="0.3">
      <c r="A19" s="131">
        <v>43514</v>
      </c>
      <c r="B19" s="50" t="s">
        <v>534</v>
      </c>
      <c r="C19" s="5">
        <v>1286844</v>
      </c>
      <c r="D19" s="5">
        <v>4795368</v>
      </c>
      <c r="E19" s="5">
        <f>+IF(FINANCIACION[[#This Row],[$ CAPITAL]]&gt;=0,FINANCIACION[[#This Row],[$ CAPITAL]]+FINANCIACION[[#This Row],[$ INTERESES]],"")</f>
        <v>6082212</v>
      </c>
      <c r="F19" s="5">
        <f>+SUMIFS(FINANCIACION[$ CAPITAL],FINANCIACION[Fecha],"&lt;="&amp;FINANCIACION[[#This Row],[Fecha]],FINANCIACION[PRESTAMO],FINANCIACION[[#This Row],[PRESTAMO]])</f>
        <v>-378453217.03181815</v>
      </c>
      <c r="G19" s="7"/>
      <c r="H19" s="53"/>
      <c r="I19" s="5">
        <f>IF(FINANCIACION[[#This Row],[$ CAPITAL]]&gt;0,FINANCIACION[[#This Row],[$ CAPITAL]])</f>
        <v>1286844</v>
      </c>
      <c r="J19" s="33">
        <f>IF(FINANCIACION[[#This Row],[$ CAPITAL]]&gt;=0,FINANCIACION[[#This Row],[$ CAPITAL]]+FINANCIACION[[#This Row],[$ INTERESES]],0)</f>
        <v>6082212</v>
      </c>
    </row>
    <row r="20" spans="1:10" ht="24" hidden="1" customHeight="1" x14ac:dyDescent="0.3">
      <c r="A20" s="131">
        <v>43516</v>
      </c>
      <c r="B20" s="50" t="s">
        <v>533</v>
      </c>
      <c r="C20" s="5">
        <v>260000</v>
      </c>
      <c r="D20" s="5">
        <v>740000</v>
      </c>
      <c r="E20" s="5">
        <f>+IF(FINANCIACION[[#This Row],[$ CAPITAL]]&gt;=0,FINANCIACION[[#This Row],[$ CAPITAL]]+FINANCIACION[[#This Row],[$ INTERESES]],"")</f>
        <v>1000000</v>
      </c>
      <c r="F20" s="5">
        <f>+SUMIFS(FINANCIACION[$ CAPITAL],FINANCIACION[Fecha],"&lt;="&amp;FINANCIACION[[#This Row],[Fecha]],FINANCIACION[PRESTAMO],FINANCIACION[[#This Row],[PRESTAMO]])</f>
        <v>-61109154</v>
      </c>
      <c r="G20" s="7"/>
      <c r="H20" s="53"/>
      <c r="I20" s="5">
        <f>IF(FINANCIACION[[#This Row],[$ CAPITAL]]&gt;0,FINANCIACION[[#This Row],[$ CAPITAL]])</f>
        <v>260000</v>
      </c>
      <c r="J20" s="33">
        <f>IF(FINANCIACION[[#This Row],[$ CAPITAL]]&gt;=0,FINANCIACION[[#This Row],[$ CAPITAL]]+FINANCIACION[[#This Row],[$ INTERESES]],0)</f>
        <v>1000000</v>
      </c>
    </row>
    <row r="21" spans="1:10" ht="24" hidden="1" customHeight="1" x14ac:dyDescent="0.3">
      <c r="A21" s="131">
        <v>43521</v>
      </c>
      <c r="B21" s="50" t="s">
        <v>146</v>
      </c>
      <c r="C21" s="5">
        <v>1250000</v>
      </c>
      <c r="D21" s="5">
        <v>508307</v>
      </c>
      <c r="E21" s="5">
        <f>+IF(FINANCIACION[[#This Row],[$ CAPITAL]]&gt;=0,FINANCIACION[[#This Row],[$ CAPITAL]]+FINANCIACION[[#This Row],[$ INTERESES]],"")</f>
        <v>1758307</v>
      </c>
      <c r="F21" s="5">
        <f>+SUMIFS(FINANCIACION[$ CAPITAL],FINANCIACION[Fecha],"&lt;="&amp;FINANCIACION[[#This Row],[Fecha]],FINANCIACION[PRESTAMO],FINANCIACION[[#This Row],[PRESTAMO]])</f>
        <v>-40000000</v>
      </c>
      <c r="G21" s="7"/>
      <c r="H21" s="53"/>
      <c r="I21" s="5">
        <f>IF(FINANCIACION[[#This Row],[$ CAPITAL]]&gt;0,FINANCIACION[[#This Row],[$ CAPITAL]])</f>
        <v>1250000</v>
      </c>
      <c r="J21" s="33">
        <f>IF(FINANCIACION[[#This Row],[$ CAPITAL]]&gt;=0,FINANCIACION[[#This Row],[$ CAPITAL]]+FINANCIACION[[#This Row],[$ INTERESES]],0)</f>
        <v>1758307</v>
      </c>
    </row>
    <row r="22" spans="1:10" ht="24" hidden="1" customHeight="1" x14ac:dyDescent="0.3">
      <c r="A22" s="131">
        <v>43527</v>
      </c>
      <c r="B22" s="50" t="s">
        <v>147</v>
      </c>
      <c r="C22" s="5">
        <v>3472222</v>
      </c>
      <c r="D22" s="5">
        <v>1334182</v>
      </c>
      <c r="E22" s="5">
        <f>+IF(FINANCIACION[[#This Row],[$ CAPITAL]]&gt;=0,FINANCIACION[[#This Row],[$ CAPITAL]]+FINANCIACION[[#This Row],[$ INTERESES]],"")</f>
        <v>4806404</v>
      </c>
      <c r="F22" s="5">
        <f>+SUMIFS(FINANCIACION[$ CAPITAL],FINANCIACION[Fecha],"&lt;="&amp;FINANCIACION[[#This Row],[Fecha]],FINANCIACION[PRESTAMO],FINANCIACION[[#This Row],[PRESTAMO]])</f>
        <v>-118055556</v>
      </c>
      <c r="G22" s="7"/>
      <c r="H22" s="53"/>
      <c r="I22" s="5">
        <f>IF(FINANCIACION[[#This Row],[$ CAPITAL]]&gt;0,FINANCIACION[[#This Row],[$ CAPITAL]])</f>
        <v>3472222</v>
      </c>
      <c r="J22" s="33">
        <f>IF(FINANCIACION[[#This Row],[$ CAPITAL]]&gt;=0,FINANCIACION[[#This Row],[$ CAPITAL]]+FINANCIACION[[#This Row],[$ INTERESES]],0)</f>
        <v>4806404</v>
      </c>
    </row>
    <row r="23" spans="1:10" ht="24" hidden="1" customHeight="1" x14ac:dyDescent="0.3">
      <c r="A23" s="131">
        <v>43527</v>
      </c>
      <c r="B23" s="50" t="s">
        <v>150</v>
      </c>
      <c r="C23" s="5">
        <v>6250000</v>
      </c>
      <c r="D23" s="5">
        <v>1106761.69</v>
      </c>
      <c r="E23" s="5">
        <f>+IF(FINANCIACION[[#This Row],[$ CAPITAL]]&gt;=0,FINANCIACION[[#This Row],[$ CAPITAL]]+FINANCIACION[[#This Row],[$ INTERESES]],"")</f>
        <v>7356761.6899999995</v>
      </c>
      <c r="F23" s="5">
        <f>+SUMIFS(FINANCIACION[$ CAPITAL],FINANCIACION[Fecha],"&lt;="&amp;FINANCIACION[[#This Row],[Fecha]],FINANCIACION[PRESTAMO],FINANCIACION[[#This Row],[PRESTAMO]])</f>
        <v>-113750000</v>
      </c>
      <c r="G23" s="7"/>
      <c r="H23" s="53"/>
      <c r="I23" s="5">
        <f>IF(FINANCIACION[[#This Row],[$ CAPITAL]]&gt;0,FINANCIACION[[#This Row],[$ CAPITAL]])</f>
        <v>6250000</v>
      </c>
      <c r="J23" s="33">
        <f>IF(FINANCIACION[[#This Row],[$ CAPITAL]]&gt;=0,FINANCIACION[[#This Row],[$ CAPITAL]]+FINANCIACION[[#This Row],[$ INTERESES]],0)</f>
        <v>7356761.6899999995</v>
      </c>
    </row>
    <row r="24" spans="1:10" ht="24" hidden="1" customHeight="1" x14ac:dyDescent="0.3">
      <c r="A24" s="131">
        <v>43534</v>
      </c>
      <c r="B24" s="50" t="s">
        <v>532</v>
      </c>
      <c r="C24" s="5"/>
      <c r="D24" s="5">
        <v>950000</v>
      </c>
      <c r="E24" s="5">
        <f>+IF(FINANCIACION[[#This Row],[$ CAPITAL]]&gt;=0,FINANCIACION[[#This Row],[$ CAPITAL]]+FINANCIACION[[#This Row],[$ INTERESES]],"")</f>
        <v>950000</v>
      </c>
      <c r="F24" s="5">
        <f>+SUMIFS(FINANCIACION[$ CAPITAL],FINANCIACION[Fecha],"&lt;="&amp;FINANCIACION[[#This Row],[Fecha]],FINANCIACION[PRESTAMO],FINANCIACION[[#This Row],[PRESTAMO]])</f>
        <v>-94935167</v>
      </c>
      <c r="G24" s="7"/>
      <c r="H24" s="53"/>
      <c r="I24" s="5" t="b">
        <f>IF(FINANCIACION[[#This Row],[$ CAPITAL]]&gt;0,FINANCIACION[[#This Row],[$ CAPITAL]])</f>
        <v>0</v>
      </c>
      <c r="J24" s="33">
        <f>IF(FINANCIACION[[#This Row],[$ CAPITAL]]&gt;=0,FINANCIACION[[#This Row],[$ CAPITAL]]+FINANCIACION[[#This Row],[$ INTERESES]],0)</f>
        <v>950000</v>
      </c>
    </row>
    <row r="25" spans="1:10" ht="24" hidden="1" customHeight="1" x14ac:dyDescent="0.3">
      <c r="A25" s="131">
        <v>43542</v>
      </c>
      <c r="B25" s="50" t="s">
        <v>534</v>
      </c>
      <c r="C25" s="5">
        <v>1302644</v>
      </c>
      <c r="D25" s="5">
        <v>4779568</v>
      </c>
      <c r="E25" s="5">
        <f>+IF(FINANCIACION[[#This Row],[$ CAPITAL]]&gt;=0,FINANCIACION[[#This Row],[$ CAPITAL]]+FINANCIACION[[#This Row],[$ INTERESES]],"")</f>
        <v>6082212</v>
      </c>
      <c r="F25" s="5">
        <f>+SUMIFS(FINANCIACION[$ CAPITAL],FINANCIACION[Fecha],"&lt;="&amp;FINANCIACION[[#This Row],[Fecha]],FINANCIACION[PRESTAMO],FINANCIACION[[#This Row],[PRESTAMO]])</f>
        <v>-377150573.03181815</v>
      </c>
      <c r="G25" s="7"/>
      <c r="H25" s="53"/>
      <c r="I25" s="5">
        <f>IF(FINANCIACION[[#This Row],[$ CAPITAL]]&gt;0,FINANCIACION[[#This Row],[$ CAPITAL]])</f>
        <v>1302644</v>
      </c>
      <c r="J25" s="33">
        <f>IF(FINANCIACION[[#This Row],[$ CAPITAL]]&gt;=0,FINANCIACION[[#This Row],[$ CAPITAL]]+FINANCIACION[[#This Row],[$ INTERESES]],0)</f>
        <v>6082212</v>
      </c>
    </row>
    <row r="26" spans="1:10" ht="24" hidden="1" customHeight="1" x14ac:dyDescent="0.3">
      <c r="A26" s="131">
        <v>43544</v>
      </c>
      <c r="B26" s="50" t="s">
        <v>533</v>
      </c>
      <c r="C26" s="5">
        <v>260000</v>
      </c>
      <c r="D26" s="5">
        <v>740000</v>
      </c>
      <c r="E26" s="5">
        <f>+IF(FINANCIACION[[#This Row],[$ CAPITAL]]&gt;=0,FINANCIACION[[#This Row],[$ CAPITAL]]+FINANCIACION[[#This Row],[$ INTERESES]],"")</f>
        <v>1000000</v>
      </c>
      <c r="F26" s="5">
        <f>+SUMIFS(FINANCIACION[$ CAPITAL],FINANCIACION[Fecha],"&lt;="&amp;FINANCIACION[[#This Row],[Fecha]],FINANCIACION[PRESTAMO],FINANCIACION[[#This Row],[PRESTAMO]])</f>
        <v>-60849154</v>
      </c>
      <c r="G26" s="7"/>
      <c r="H26" s="53"/>
      <c r="I26" s="5">
        <f>IF(FINANCIACION[[#This Row],[$ CAPITAL]]&gt;0,FINANCIACION[[#This Row],[$ CAPITAL]])</f>
        <v>260000</v>
      </c>
      <c r="J26" s="33">
        <f>IF(FINANCIACION[[#This Row],[$ CAPITAL]]&gt;=0,FINANCIACION[[#This Row],[$ CAPITAL]]+FINANCIACION[[#This Row],[$ INTERESES]],0)</f>
        <v>1000000</v>
      </c>
    </row>
    <row r="27" spans="1:10" ht="24" hidden="1" customHeight="1" x14ac:dyDescent="0.3">
      <c r="A27" s="131">
        <v>43549</v>
      </c>
      <c r="B27" s="50" t="s">
        <v>146</v>
      </c>
      <c r="C27" s="5">
        <v>1250000</v>
      </c>
      <c r="D27" s="5">
        <v>493253</v>
      </c>
      <c r="E27" s="5">
        <f>+IF(FINANCIACION[[#This Row],[$ CAPITAL]]&gt;=0,FINANCIACION[[#This Row],[$ CAPITAL]]+FINANCIACION[[#This Row],[$ INTERESES]],"")</f>
        <v>1743253</v>
      </c>
      <c r="F27" s="5">
        <f>+SUMIFS(FINANCIACION[$ CAPITAL],FINANCIACION[Fecha],"&lt;="&amp;FINANCIACION[[#This Row],[Fecha]],FINANCIACION[PRESTAMO],FINANCIACION[[#This Row],[PRESTAMO]])</f>
        <v>-38750000</v>
      </c>
      <c r="G27" s="7"/>
      <c r="H27" s="53"/>
      <c r="I27" s="5">
        <f>IF(FINANCIACION[[#This Row],[$ CAPITAL]]&gt;0,FINANCIACION[[#This Row],[$ CAPITAL]])</f>
        <v>1250000</v>
      </c>
      <c r="J27" s="33">
        <f>IF(FINANCIACION[[#This Row],[$ CAPITAL]]&gt;=0,FINANCIACION[[#This Row],[$ CAPITAL]]+FINANCIACION[[#This Row],[$ INTERESES]],0)</f>
        <v>1743253</v>
      </c>
    </row>
    <row r="28" spans="1:10" ht="24" hidden="1" customHeight="1" x14ac:dyDescent="0.3">
      <c r="A28" s="131">
        <v>43558</v>
      </c>
      <c r="B28" s="50" t="s">
        <v>150</v>
      </c>
      <c r="C28" s="5">
        <v>6250000</v>
      </c>
      <c r="D28" s="5">
        <v>1043853.64</v>
      </c>
      <c r="E28" s="5">
        <f>+IF(FINANCIACION[[#This Row],[$ CAPITAL]]&gt;=0,FINANCIACION[[#This Row],[$ CAPITAL]]+FINANCIACION[[#This Row],[$ INTERESES]],"")</f>
        <v>7293853.6399999997</v>
      </c>
      <c r="F28" s="5">
        <f>+SUMIFS(FINANCIACION[$ CAPITAL],FINANCIACION[Fecha],"&lt;="&amp;FINANCIACION[[#This Row],[Fecha]],FINANCIACION[PRESTAMO],FINANCIACION[[#This Row],[PRESTAMO]])</f>
        <v>-107500000</v>
      </c>
      <c r="G28" s="7"/>
      <c r="H28" s="53"/>
      <c r="I28" s="5">
        <f>IF(FINANCIACION[[#This Row],[$ CAPITAL]]&gt;0,FINANCIACION[[#This Row],[$ CAPITAL]])</f>
        <v>6250000</v>
      </c>
      <c r="J28" s="33">
        <f>IF(FINANCIACION[[#This Row],[$ CAPITAL]]&gt;=0,FINANCIACION[[#This Row],[$ CAPITAL]]+FINANCIACION[[#This Row],[$ INTERESES]],0)</f>
        <v>7293853.6399999997</v>
      </c>
    </row>
    <row r="29" spans="1:10" ht="24" hidden="1" customHeight="1" x14ac:dyDescent="0.3">
      <c r="A29" s="131">
        <v>43563</v>
      </c>
      <c r="B29" s="50" t="s">
        <v>147</v>
      </c>
      <c r="C29" s="5">
        <v>3472222</v>
      </c>
      <c r="D29" s="5">
        <v>1290918</v>
      </c>
      <c r="E29" s="5">
        <f>+IF(FINANCIACION[[#This Row],[$ CAPITAL]]&gt;=0,FINANCIACION[[#This Row],[$ CAPITAL]]+FINANCIACION[[#This Row],[$ INTERESES]],"")</f>
        <v>4763140</v>
      </c>
      <c r="F29" s="5">
        <f>+SUMIFS(FINANCIACION[$ CAPITAL],FINANCIACION[Fecha],"&lt;="&amp;FINANCIACION[[#This Row],[Fecha]],FINANCIACION[PRESTAMO],FINANCIACION[[#This Row],[PRESTAMO]])</f>
        <v>-114583334</v>
      </c>
      <c r="G29" s="7"/>
      <c r="H29" s="53"/>
      <c r="I29" s="5">
        <f>IF(FINANCIACION[[#This Row],[$ CAPITAL]]&gt;0,FINANCIACION[[#This Row],[$ CAPITAL]])</f>
        <v>3472222</v>
      </c>
      <c r="J29" s="33">
        <f>IF(FINANCIACION[[#This Row],[$ CAPITAL]]&gt;=0,FINANCIACION[[#This Row],[$ CAPITAL]]+FINANCIACION[[#This Row],[$ INTERESES]],0)</f>
        <v>4763140</v>
      </c>
    </row>
    <row r="30" spans="1:10" ht="24" hidden="1" customHeight="1" x14ac:dyDescent="0.3">
      <c r="A30" s="131">
        <v>43565</v>
      </c>
      <c r="B30" s="50" t="s">
        <v>532</v>
      </c>
      <c r="C30" s="5"/>
      <c r="D30" s="5">
        <v>950000</v>
      </c>
      <c r="E30" s="5">
        <f>+IF(FINANCIACION[[#This Row],[$ CAPITAL]]&gt;=0,FINANCIACION[[#This Row],[$ CAPITAL]]+FINANCIACION[[#This Row],[$ INTERESES]],"")</f>
        <v>950000</v>
      </c>
      <c r="F30" s="5">
        <f>+SUMIFS(FINANCIACION[$ CAPITAL],FINANCIACION[Fecha],"&lt;="&amp;FINANCIACION[[#This Row],[Fecha]],FINANCIACION[PRESTAMO],FINANCIACION[[#This Row],[PRESTAMO]])</f>
        <v>-94935167</v>
      </c>
      <c r="G30" s="7"/>
      <c r="H30" s="53"/>
      <c r="I30" s="5" t="b">
        <f>IF(FINANCIACION[[#This Row],[$ CAPITAL]]&gt;0,FINANCIACION[[#This Row],[$ CAPITAL]])</f>
        <v>0</v>
      </c>
      <c r="J30" s="33">
        <f>IF(FINANCIACION[[#This Row],[$ CAPITAL]]&gt;=0,FINANCIACION[[#This Row],[$ CAPITAL]]+FINANCIACION[[#This Row],[$ INTERESES]],0)</f>
        <v>950000</v>
      </c>
    </row>
    <row r="31" spans="1:10" ht="24" hidden="1" customHeight="1" x14ac:dyDescent="0.3">
      <c r="A31" s="131">
        <v>43575</v>
      </c>
      <c r="B31" s="50" t="s">
        <v>533</v>
      </c>
      <c r="C31" s="5">
        <v>260000</v>
      </c>
      <c r="D31" s="5">
        <v>740000</v>
      </c>
      <c r="E31" s="5">
        <f>+IF(FINANCIACION[[#This Row],[$ CAPITAL]]&gt;=0,FINANCIACION[[#This Row],[$ CAPITAL]]+FINANCIACION[[#This Row],[$ INTERESES]],"")</f>
        <v>1000000</v>
      </c>
      <c r="F31" s="5">
        <f>+SUMIFS(FINANCIACION[$ CAPITAL],FINANCIACION[Fecha],"&lt;="&amp;FINANCIACION[[#This Row],[Fecha]],FINANCIACION[PRESTAMO],FINANCIACION[[#This Row],[PRESTAMO]])</f>
        <v>-60589154</v>
      </c>
      <c r="G31" s="7"/>
      <c r="H31" s="53"/>
      <c r="I31" s="5">
        <f>IF(FINANCIACION[[#This Row],[$ CAPITAL]]&gt;0,FINANCIACION[[#This Row],[$ CAPITAL]])</f>
        <v>260000</v>
      </c>
      <c r="J31" s="33">
        <f>IF(FINANCIACION[[#This Row],[$ CAPITAL]]&gt;=0,FINANCIACION[[#This Row],[$ CAPITAL]]+FINANCIACION[[#This Row],[$ INTERESES]],0)</f>
        <v>1000000</v>
      </c>
    </row>
    <row r="32" spans="1:10" ht="24" hidden="1" customHeight="1" x14ac:dyDescent="0.3">
      <c r="A32" s="131">
        <v>43577</v>
      </c>
      <c r="B32" s="50" t="s">
        <v>534</v>
      </c>
      <c r="C32" s="5">
        <v>1302644</v>
      </c>
      <c r="D32" s="5">
        <v>4779568</v>
      </c>
      <c r="E32" s="5">
        <f>+IF(FINANCIACION[[#This Row],[$ CAPITAL]]&gt;=0,FINANCIACION[[#This Row],[$ CAPITAL]]+FINANCIACION[[#This Row],[$ INTERESES]],"")</f>
        <v>6082212</v>
      </c>
      <c r="F32" s="5">
        <f>+SUMIFS(FINANCIACION[$ CAPITAL],FINANCIACION[Fecha],"&lt;="&amp;FINANCIACION[[#This Row],[Fecha]],FINANCIACION[PRESTAMO],FINANCIACION[[#This Row],[PRESTAMO]])</f>
        <v>-375847929.03181815</v>
      </c>
      <c r="G32" s="7"/>
      <c r="H32" s="53"/>
      <c r="I32" s="5">
        <f>IF(FINANCIACION[[#This Row],[$ CAPITAL]]&gt;0,FINANCIACION[[#This Row],[$ CAPITAL]])</f>
        <v>1302644</v>
      </c>
      <c r="J32" s="33">
        <f>IF(FINANCIACION[[#This Row],[$ CAPITAL]]&gt;=0,FINANCIACION[[#This Row],[$ CAPITAL]]+FINANCIACION[[#This Row],[$ INTERESES]],0)</f>
        <v>6082212</v>
      </c>
    </row>
    <row r="33" spans="1:10" ht="24" hidden="1" customHeight="1" x14ac:dyDescent="0.3">
      <c r="A33" s="131">
        <v>43580</v>
      </c>
      <c r="B33" s="50" t="s">
        <v>146</v>
      </c>
      <c r="C33" s="5">
        <v>1250000</v>
      </c>
      <c r="D33" s="5">
        <v>476141</v>
      </c>
      <c r="E33" s="5">
        <f>+IF(FINANCIACION[[#This Row],[$ CAPITAL]]&gt;=0,FINANCIACION[[#This Row],[$ CAPITAL]]+FINANCIACION[[#This Row],[$ INTERESES]],"")</f>
        <v>1726141</v>
      </c>
      <c r="F33" s="5">
        <f>+SUMIFS(FINANCIACION[$ CAPITAL],FINANCIACION[Fecha],"&lt;="&amp;FINANCIACION[[#This Row],[Fecha]],FINANCIACION[PRESTAMO],FINANCIACION[[#This Row],[PRESTAMO]])</f>
        <v>-37500000</v>
      </c>
      <c r="G33" s="7"/>
      <c r="H33" s="53"/>
      <c r="I33" s="5">
        <f>IF(FINANCIACION[[#This Row],[$ CAPITAL]]&gt;0,FINANCIACION[[#This Row],[$ CAPITAL]])</f>
        <v>1250000</v>
      </c>
      <c r="J33" s="33">
        <f>IF(FINANCIACION[[#This Row],[$ CAPITAL]]&gt;=0,FINANCIACION[[#This Row],[$ CAPITAL]]+FINANCIACION[[#This Row],[$ INTERESES]],0)</f>
        <v>1726141</v>
      </c>
    </row>
    <row r="34" spans="1:10" ht="24" hidden="1" customHeight="1" x14ac:dyDescent="0.3">
      <c r="A34" s="131">
        <v>43588</v>
      </c>
      <c r="B34" s="50" t="s">
        <v>150</v>
      </c>
      <c r="C34" s="5">
        <v>6250000</v>
      </c>
      <c r="D34" s="5">
        <v>987761.26</v>
      </c>
      <c r="E34" s="5">
        <f>+IF(FINANCIACION[[#This Row],[$ CAPITAL]]&gt;=0,FINANCIACION[[#This Row],[$ CAPITAL]]+FINANCIACION[[#This Row],[$ INTERESES]],"")</f>
        <v>7237761.2599999998</v>
      </c>
      <c r="F34" s="5">
        <f>+SUMIFS(FINANCIACION[$ CAPITAL],FINANCIACION[Fecha],"&lt;="&amp;FINANCIACION[[#This Row],[Fecha]],FINANCIACION[PRESTAMO],FINANCIACION[[#This Row],[PRESTAMO]])</f>
        <v>-101250000</v>
      </c>
      <c r="G34" s="7"/>
      <c r="H34" s="53"/>
      <c r="I34" s="5">
        <f>IF(FINANCIACION[[#This Row],[$ CAPITAL]]&gt;0,FINANCIACION[[#This Row],[$ CAPITAL]])</f>
        <v>6250000</v>
      </c>
      <c r="J34" s="33">
        <f>IF(FINANCIACION[[#This Row],[$ CAPITAL]]&gt;=0,FINANCIACION[[#This Row],[$ CAPITAL]]+FINANCIACION[[#This Row],[$ INTERESES]],0)</f>
        <v>7237761.2599999998</v>
      </c>
    </row>
    <row r="35" spans="1:10" ht="24" hidden="1" customHeight="1" x14ac:dyDescent="0.3">
      <c r="A35" s="131">
        <v>43593</v>
      </c>
      <c r="B35" s="50" t="s">
        <v>146</v>
      </c>
      <c r="C35" s="5">
        <v>7500000</v>
      </c>
      <c r="D35" s="5"/>
      <c r="E35" s="5">
        <f>+IF(FINANCIACION[[#This Row],[$ CAPITAL]]&gt;=0,FINANCIACION[[#This Row],[$ CAPITAL]]+FINANCIACION[[#This Row],[$ INTERESES]],"")</f>
        <v>7500000</v>
      </c>
      <c r="F35" s="5">
        <f>+SUMIFS(FINANCIACION[$ CAPITAL],FINANCIACION[Fecha],"&lt;="&amp;FINANCIACION[[#This Row],[Fecha]],FINANCIACION[PRESTAMO],FINANCIACION[[#This Row],[PRESTAMO]])</f>
        <v>-30000000</v>
      </c>
      <c r="G35" s="7"/>
      <c r="H35" s="53"/>
      <c r="I35" s="5">
        <f>IF(FINANCIACION[[#This Row],[$ CAPITAL]]&gt;0,FINANCIACION[[#This Row],[$ CAPITAL]])</f>
        <v>7500000</v>
      </c>
      <c r="J35" s="33">
        <f>IF(FINANCIACION[[#This Row],[$ CAPITAL]]&gt;=0,FINANCIACION[[#This Row],[$ CAPITAL]]+FINANCIACION[[#This Row],[$ INTERESES]],0)</f>
        <v>7500000</v>
      </c>
    </row>
    <row r="36" spans="1:10" ht="24" hidden="1" customHeight="1" x14ac:dyDescent="0.3">
      <c r="A36" s="131">
        <v>43593</v>
      </c>
      <c r="B36" s="50" t="s">
        <v>147</v>
      </c>
      <c r="C36" s="5">
        <v>3472222</v>
      </c>
      <c r="D36" s="5">
        <v>1254945</v>
      </c>
      <c r="E36" s="5">
        <f>+IF(FINANCIACION[[#This Row],[$ CAPITAL]]&gt;=0,FINANCIACION[[#This Row],[$ CAPITAL]]+FINANCIACION[[#This Row],[$ INTERESES]],"")</f>
        <v>4727167</v>
      </c>
      <c r="F36" s="5">
        <f>+SUMIFS(FINANCIACION[$ CAPITAL],FINANCIACION[Fecha],"&lt;="&amp;FINANCIACION[[#This Row],[Fecha]],FINANCIACION[PRESTAMO],FINANCIACION[[#This Row],[PRESTAMO]])</f>
        <v>-111111112</v>
      </c>
      <c r="G36" s="7"/>
      <c r="H36" s="53"/>
      <c r="I36" s="5">
        <f>IF(FINANCIACION[[#This Row],[$ CAPITAL]]&gt;0,FINANCIACION[[#This Row],[$ CAPITAL]])</f>
        <v>3472222</v>
      </c>
      <c r="J36" s="33">
        <f>IF(FINANCIACION[[#This Row],[$ CAPITAL]]&gt;=0,FINANCIACION[[#This Row],[$ CAPITAL]]+FINANCIACION[[#This Row],[$ INTERESES]],0)</f>
        <v>4727167</v>
      </c>
    </row>
    <row r="37" spans="1:10" ht="24" hidden="1" customHeight="1" x14ac:dyDescent="0.3">
      <c r="A37" s="131">
        <v>43595</v>
      </c>
      <c r="B37" s="50" t="s">
        <v>532</v>
      </c>
      <c r="C37" s="5"/>
      <c r="D37" s="5">
        <v>950000</v>
      </c>
      <c r="E37" s="5">
        <f>+IF(FINANCIACION[[#This Row],[$ CAPITAL]]&gt;=0,FINANCIACION[[#This Row],[$ CAPITAL]]+FINANCIACION[[#This Row],[$ INTERESES]],"")</f>
        <v>950000</v>
      </c>
      <c r="F37" s="5">
        <f>+SUMIFS(FINANCIACION[$ CAPITAL],FINANCIACION[Fecha],"&lt;="&amp;FINANCIACION[[#This Row],[Fecha]],FINANCIACION[PRESTAMO],FINANCIACION[[#This Row],[PRESTAMO]])</f>
        <v>-94935167</v>
      </c>
      <c r="G37" s="7"/>
      <c r="H37" s="53"/>
      <c r="I37" s="5" t="b">
        <f>IF(FINANCIACION[[#This Row],[$ CAPITAL]]&gt;0,FINANCIACION[[#This Row],[$ CAPITAL]])</f>
        <v>0</v>
      </c>
      <c r="J37" s="33">
        <f>IF(FINANCIACION[[#This Row],[$ CAPITAL]]&gt;=0,FINANCIACION[[#This Row],[$ CAPITAL]]+FINANCIACION[[#This Row],[$ INTERESES]],0)</f>
        <v>950000</v>
      </c>
    </row>
    <row r="38" spans="1:10" ht="24" hidden="1" customHeight="1" x14ac:dyDescent="0.3">
      <c r="A38" s="131">
        <v>43605</v>
      </c>
      <c r="B38" s="50" t="s">
        <v>533</v>
      </c>
      <c r="C38" s="5">
        <v>260000</v>
      </c>
      <c r="D38" s="5">
        <v>740000</v>
      </c>
      <c r="E38" s="5">
        <f>+IF(FINANCIACION[[#This Row],[$ CAPITAL]]&gt;=0,FINANCIACION[[#This Row],[$ CAPITAL]]+FINANCIACION[[#This Row],[$ INTERESES]],"")</f>
        <v>1000000</v>
      </c>
      <c r="F38" s="5">
        <f>+SUMIFS(FINANCIACION[$ CAPITAL],FINANCIACION[Fecha],"&lt;="&amp;FINANCIACION[[#This Row],[Fecha]],FINANCIACION[PRESTAMO],FINANCIACION[[#This Row],[PRESTAMO]])</f>
        <v>-60329154</v>
      </c>
      <c r="G38" s="7"/>
      <c r="H38" s="53"/>
      <c r="I38" s="5">
        <f>IF(FINANCIACION[[#This Row],[$ CAPITAL]]&gt;0,FINANCIACION[[#This Row],[$ CAPITAL]])</f>
        <v>260000</v>
      </c>
      <c r="J38" s="33">
        <f>IF(FINANCIACION[[#This Row],[$ CAPITAL]]&gt;=0,FINANCIACION[[#This Row],[$ CAPITAL]]+FINANCIACION[[#This Row],[$ INTERESES]],0)</f>
        <v>1000000</v>
      </c>
    </row>
    <row r="39" spans="1:10" ht="24" hidden="1" customHeight="1" x14ac:dyDescent="0.3">
      <c r="A39" s="131">
        <v>43605</v>
      </c>
      <c r="B39" s="50" t="s">
        <v>534</v>
      </c>
      <c r="C39" s="5">
        <v>1334827</v>
      </c>
      <c r="D39" s="5">
        <v>4747385</v>
      </c>
      <c r="E39" s="5">
        <f>+IF(FINANCIACION[[#This Row],[$ CAPITAL]]&gt;=0,FINANCIACION[[#This Row],[$ CAPITAL]]+FINANCIACION[[#This Row],[$ INTERESES]],"")</f>
        <v>6082212</v>
      </c>
      <c r="F39" s="5">
        <f>+SUMIFS(FINANCIACION[$ CAPITAL],FINANCIACION[Fecha],"&lt;="&amp;FINANCIACION[[#This Row],[Fecha]],FINANCIACION[PRESTAMO],FINANCIACION[[#This Row],[PRESTAMO]])</f>
        <v>-374513102.03181815</v>
      </c>
      <c r="G39" s="7"/>
      <c r="H39" s="53"/>
      <c r="I39" s="5">
        <f>IF(FINANCIACION[[#This Row],[$ CAPITAL]]&gt;0,FINANCIACION[[#This Row],[$ CAPITAL]])</f>
        <v>1334827</v>
      </c>
      <c r="J39" s="33">
        <f>IF(FINANCIACION[[#This Row],[$ CAPITAL]]&gt;=0,FINANCIACION[[#This Row],[$ CAPITAL]]+FINANCIACION[[#This Row],[$ INTERESES]],0)</f>
        <v>6082212</v>
      </c>
    </row>
    <row r="40" spans="1:10" ht="24" hidden="1" customHeight="1" x14ac:dyDescent="0.3">
      <c r="A40" s="131">
        <v>43612</v>
      </c>
      <c r="B40" s="50" t="s">
        <v>146</v>
      </c>
      <c r="C40" s="5">
        <v>1250000</v>
      </c>
      <c r="D40" s="5">
        <v>461769</v>
      </c>
      <c r="E40" s="5">
        <f>+IF(FINANCIACION[[#This Row],[$ CAPITAL]]&gt;=0,FINANCIACION[[#This Row],[$ CAPITAL]]+FINANCIACION[[#This Row],[$ INTERESES]],"")</f>
        <v>1711769</v>
      </c>
      <c r="F40" s="5">
        <f>+SUMIFS(FINANCIACION[$ CAPITAL],FINANCIACION[Fecha],"&lt;="&amp;FINANCIACION[[#This Row],[Fecha]],FINANCIACION[PRESTAMO],FINANCIACION[[#This Row],[PRESTAMO]])</f>
        <v>-28750000</v>
      </c>
      <c r="G40" s="7"/>
      <c r="H40" s="53"/>
      <c r="I40" s="5">
        <f>IF(FINANCIACION[[#This Row],[$ CAPITAL]]&gt;0,FINANCIACION[[#This Row],[$ CAPITAL]])</f>
        <v>1250000</v>
      </c>
      <c r="J40" s="33">
        <f>IF(FINANCIACION[[#This Row],[$ CAPITAL]]&gt;=0,FINANCIACION[[#This Row],[$ CAPITAL]]+FINANCIACION[[#This Row],[$ INTERESES]],0)</f>
        <v>1711769</v>
      </c>
    </row>
    <row r="41" spans="1:10" ht="24" hidden="1" customHeight="1" x14ac:dyDescent="0.3">
      <c r="A41" s="131">
        <v>43619</v>
      </c>
      <c r="B41" s="50" t="s">
        <v>147</v>
      </c>
      <c r="C41" s="5">
        <v>3472222</v>
      </c>
      <c r="D41" s="5">
        <v>1213047</v>
      </c>
      <c r="E41" s="5">
        <f>+IF(FINANCIACION[[#This Row],[$ CAPITAL]]&gt;=0,FINANCIACION[[#This Row],[$ CAPITAL]]+FINANCIACION[[#This Row],[$ INTERESES]],"")</f>
        <v>4685269</v>
      </c>
      <c r="F41" s="5">
        <f>+SUMIFS(FINANCIACION[$ CAPITAL],FINANCIACION[Fecha],"&lt;="&amp;FINANCIACION[[#This Row],[Fecha]],FINANCIACION[PRESTAMO],FINANCIACION[[#This Row],[PRESTAMO]])</f>
        <v>-107638890</v>
      </c>
      <c r="G41" s="7"/>
      <c r="H41" s="53"/>
      <c r="I41" s="5">
        <f>IF(FINANCIACION[[#This Row],[$ CAPITAL]]&gt;0,FINANCIACION[[#This Row],[$ CAPITAL]])</f>
        <v>3472222</v>
      </c>
      <c r="J41" s="8">
        <f>IF(FINANCIACION[[#This Row],[$ CAPITAL]]&gt;=0,FINANCIACION[[#This Row],[$ CAPITAL]]+FINANCIACION[[#This Row],[$ INTERESES]],0)</f>
        <v>4685269</v>
      </c>
    </row>
    <row r="42" spans="1:10" ht="24" hidden="1" customHeight="1" x14ac:dyDescent="0.3">
      <c r="A42" s="131">
        <v>43619</v>
      </c>
      <c r="B42" s="50" t="s">
        <v>150</v>
      </c>
      <c r="C42" s="5">
        <v>6250000</v>
      </c>
      <c r="D42" s="5">
        <v>925893.52</v>
      </c>
      <c r="E42" s="5">
        <f>+IF(FINANCIACION[[#This Row],[$ CAPITAL]]&gt;=0,FINANCIACION[[#This Row],[$ CAPITAL]]+FINANCIACION[[#This Row],[$ INTERESES]],"")</f>
        <v>7175893.5199999996</v>
      </c>
      <c r="F42" s="5">
        <f>+SUMIFS(FINANCIACION[$ CAPITAL],FINANCIACION[Fecha],"&lt;="&amp;FINANCIACION[[#This Row],[Fecha]],FINANCIACION[PRESTAMO],FINANCIACION[[#This Row],[PRESTAMO]])</f>
        <v>-95000000</v>
      </c>
      <c r="G42" s="7"/>
      <c r="H42" s="53"/>
      <c r="I42" s="5">
        <f>IF(FINANCIACION[[#This Row],[$ CAPITAL]]&gt;0,FINANCIACION[[#This Row],[$ CAPITAL]])</f>
        <v>6250000</v>
      </c>
      <c r="J42" s="8">
        <f>IF(FINANCIACION[[#This Row],[$ CAPITAL]]&gt;=0,FINANCIACION[[#This Row],[$ CAPITAL]]+FINANCIACION[[#This Row],[$ INTERESES]],0)</f>
        <v>7175893.5199999996</v>
      </c>
    </row>
    <row r="43" spans="1:10" ht="24" hidden="1" customHeight="1" x14ac:dyDescent="0.3">
      <c r="A43" s="131">
        <v>43620</v>
      </c>
      <c r="B43" s="50" t="s">
        <v>535</v>
      </c>
      <c r="C43" s="5">
        <v>-2426470</v>
      </c>
      <c r="D43" s="5"/>
      <c r="E43" s="5" t="str">
        <f>+IF(FINANCIACION[[#This Row],[$ CAPITAL]]&gt;=0,FINANCIACION[[#This Row],[$ CAPITAL]]+FINANCIACION[[#This Row],[$ INTERESES]],"")</f>
        <v/>
      </c>
      <c r="F43" s="5">
        <f>+SUMIFS(FINANCIACION[$ CAPITAL],FINANCIACION[Fecha],"&lt;="&amp;FINANCIACION[[#This Row],[Fecha]],FINANCIACION[PRESTAMO],FINANCIACION[[#This Row],[PRESTAMO]])</f>
        <v>-2426470</v>
      </c>
      <c r="G43" s="53"/>
      <c r="H43" s="53"/>
      <c r="I43" s="5" t="b">
        <f>IF(FINANCIACION[[#This Row],[$ CAPITAL]]&gt;0,FINANCIACION[[#This Row],[$ CAPITAL]])</f>
        <v>0</v>
      </c>
      <c r="J43" s="33">
        <f>IF(FINANCIACION[[#This Row],[$ CAPITAL]]&gt;=0,FINANCIACION[[#This Row],[$ CAPITAL]]+FINANCIACION[[#This Row],[$ INTERESES]],0)</f>
        <v>0</v>
      </c>
    </row>
    <row r="44" spans="1:10" ht="24" hidden="1" customHeight="1" x14ac:dyDescent="0.3">
      <c r="A44" s="131">
        <v>43626</v>
      </c>
      <c r="B44" s="50" t="s">
        <v>532</v>
      </c>
      <c r="C44" s="5"/>
      <c r="D44" s="5">
        <v>950000</v>
      </c>
      <c r="E44" s="5">
        <f>+IF(FINANCIACION[[#This Row],[$ CAPITAL]]&gt;=0,FINANCIACION[[#This Row],[$ CAPITAL]]+FINANCIACION[[#This Row],[$ INTERESES]],"")</f>
        <v>950000</v>
      </c>
      <c r="F44" s="5">
        <f>+SUMIFS(FINANCIACION[$ CAPITAL],FINANCIACION[Fecha],"&lt;="&amp;FINANCIACION[[#This Row],[Fecha]],FINANCIACION[PRESTAMO],FINANCIACION[[#This Row],[PRESTAMO]])</f>
        <v>-94935167</v>
      </c>
      <c r="G44" s="53"/>
      <c r="H44" s="53"/>
      <c r="I44" s="5" t="b">
        <f>IF(FINANCIACION[[#This Row],[$ CAPITAL]]&gt;0,FINANCIACION[[#This Row],[$ CAPITAL]])</f>
        <v>0</v>
      </c>
      <c r="J44" s="33">
        <f>IF(FINANCIACION[[#This Row],[$ CAPITAL]]&gt;=0,FINANCIACION[[#This Row],[$ CAPITAL]]+FINANCIACION[[#This Row],[$ INTERESES]],0)</f>
        <v>950000</v>
      </c>
    </row>
    <row r="45" spans="1:10" ht="24" hidden="1" customHeight="1" x14ac:dyDescent="0.3">
      <c r="A45" s="131">
        <v>43634</v>
      </c>
      <c r="B45" s="50" t="s">
        <v>150</v>
      </c>
      <c r="C45" s="5">
        <v>-55000000</v>
      </c>
      <c r="D45" s="5"/>
      <c r="E45" s="5" t="str">
        <f>+IF(FINANCIACION[[#This Row],[$ CAPITAL]]&gt;=0,FINANCIACION[[#This Row],[$ CAPITAL]]+FINANCIACION[[#This Row],[$ INTERESES]],"")</f>
        <v/>
      </c>
      <c r="F45" s="5">
        <f>+SUMIFS(FINANCIACION[$ CAPITAL],FINANCIACION[Fecha],"&lt;="&amp;FINANCIACION[[#This Row],[Fecha]],FINANCIACION[PRESTAMO],FINANCIACION[[#This Row],[PRESTAMO]])</f>
        <v>-150000000</v>
      </c>
      <c r="G45" s="53"/>
      <c r="H45" s="53"/>
      <c r="I45" s="5" t="b">
        <f>IF(FINANCIACION[[#This Row],[$ CAPITAL]]&gt;0,FINANCIACION[[#This Row],[$ CAPITAL]])</f>
        <v>0</v>
      </c>
      <c r="J45" s="33">
        <f>IF(FINANCIACION[[#This Row],[$ CAPITAL]]&gt;=0,FINANCIACION[[#This Row],[$ CAPITAL]]+FINANCIACION[[#This Row],[$ INTERESES]],0)</f>
        <v>0</v>
      </c>
    </row>
    <row r="46" spans="1:10" ht="24" hidden="1" customHeight="1" x14ac:dyDescent="0.3">
      <c r="A46" s="131">
        <v>43634</v>
      </c>
      <c r="B46" s="50" t="s">
        <v>534</v>
      </c>
      <c r="C46" s="5">
        <v>1351215</v>
      </c>
      <c r="D46" s="5">
        <v>4730997</v>
      </c>
      <c r="E46" s="5">
        <f>+IF(FINANCIACION[[#This Row],[$ CAPITAL]]&gt;=0,FINANCIACION[[#This Row],[$ CAPITAL]]+FINANCIACION[[#This Row],[$ INTERESES]],"")</f>
        <v>6082212</v>
      </c>
      <c r="F46" s="5">
        <f>+SUMIFS(FINANCIACION[$ CAPITAL],FINANCIACION[Fecha],"&lt;="&amp;FINANCIACION[[#This Row],[Fecha]],FINANCIACION[PRESTAMO],FINANCIACION[[#This Row],[PRESTAMO]])</f>
        <v>-373161887.03181815</v>
      </c>
      <c r="G46" s="53"/>
      <c r="H46" s="53"/>
      <c r="I46" s="5">
        <f>IF(FINANCIACION[[#This Row],[$ CAPITAL]]&gt;0,FINANCIACION[[#This Row],[$ CAPITAL]])</f>
        <v>1351215</v>
      </c>
      <c r="J46" s="33">
        <f>IF(FINANCIACION[[#This Row],[$ CAPITAL]]&gt;=0,FINANCIACION[[#This Row],[$ CAPITAL]]+FINANCIACION[[#This Row],[$ INTERESES]],0)</f>
        <v>6082212</v>
      </c>
    </row>
    <row r="47" spans="1:10" ht="24" hidden="1" customHeight="1" x14ac:dyDescent="0.3">
      <c r="A47" s="131">
        <v>43636</v>
      </c>
      <c r="B47" s="50" t="s">
        <v>533</v>
      </c>
      <c r="C47" s="5">
        <v>260000</v>
      </c>
      <c r="D47" s="5">
        <v>740000</v>
      </c>
      <c r="E47" s="5">
        <f>+IF(FINANCIACION[[#This Row],[$ CAPITAL]]&gt;=0,FINANCIACION[[#This Row],[$ CAPITAL]]+FINANCIACION[[#This Row],[$ INTERESES]],"")</f>
        <v>1000000</v>
      </c>
      <c r="F47" s="5">
        <f>+SUMIFS(FINANCIACION[$ CAPITAL],FINANCIACION[Fecha],"&lt;="&amp;FINANCIACION[[#This Row],[Fecha]],FINANCIACION[PRESTAMO],FINANCIACION[[#This Row],[PRESTAMO]])</f>
        <v>-60069154</v>
      </c>
      <c r="G47" s="53"/>
      <c r="H47" s="53"/>
      <c r="I47" s="5">
        <f>IF(FINANCIACION[[#This Row],[$ CAPITAL]]&gt;0,FINANCIACION[[#This Row],[$ CAPITAL]])</f>
        <v>260000</v>
      </c>
      <c r="J47" s="33">
        <f>IF(FINANCIACION[[#This Row],[$ CAPITAL]]&gt;=0,FINANCIACION[[#This Row],[$ CAPITAL]]+FINANCIACION[[#This Row],[$ INTERESES]],0)</f>
        <v>1000000</v>
      </c>
    </row>
    <row r="48" spans="1:10" ht="24" hidden="1" customHeight="1" x14ac:dyDescent="0.3">
      <c r="A48" s="131">
        <v>43640</v>
      </c>
      <c r="B48" s="50" t="s">
        <v>535</v>
      </c>
      <c r="C48" s="5">
        <v>-1017880</v>
      </c>
      <c r="D48" s="5"/>
      <c r="E48" s="5" t="str">
        <f>+IF(FINANCIACION[[#This Row],[$ CAPITAL]]&gt;=0,FINANCIACION[[#This Row],[$ CAPITAL]]+FINANCIACION[[#This Row],[$ INTERESES]],"")</f>
        <v/>
      </c>
      <c r="F48" s="5">
        <f>+SUMIFS(FINANCIACION[$ CAPITAL],FINANCIACION[Fecha],"&lt;="&amp;FINANCIACION[[#This Row],[Fecha]],FINANCIACION[PRESTAMO],FINANCIACION[[#This Row],[PRESTAMO]])</f>
        <v>-3444350</v>
      </c>
      <c r="G48" s="53"/>
      <c r="H48" s="53"/>
      <c r="I48" s="5" t="b">
        <f>IF(FINANCIACION[[#This Row],[$ CAPITAL]]&gt;0,FINANCIACION[[#This Row],[$ CAPITAL]])</f>
        <v>0</v>
      </c>
      <c r="J48" s="33">
        <f>IF(FINANCIACION[[#This Row],[$ CAPITAL]]&gt;=0,FINANCIACION[[#This Row],[$ CAPITAL]]+FINANCIACION[[#This Row],[$ INTERESES]],0)</f>
        <v>0</v>
      </c>
    </row>
    <row r="49" spans="1:10" ht="24" hidden="1" customHeight="1" x14ac:dyDescent="0.3">
      <c r="A49" s="131">
        <v>43641</v>
      </c>
      <c r="B49" s="50" t="s">
        <v>146</v>
      </c>
      <c r="C49" s="5">
        <v>1250000</v>
      </c>
      <c r="D49" s="5">
        <v>353517</v>
      </c>
      <c r="E49" s="5">
        <f>+IF(FINANCIACION[[#This Row],[$ CAPITAL]]&gt;=0,FINANCIACION[[#This Row],[$ CAPITAL]]+FINANCIACION[[#This Row],[$ INTERESES]],"")</f>
        <v>1603517</v>
      </c>
      <c r="F49" s="5">
        <f>+SUMIFS(FINANCIACION[$ CAPITAL],FINANCIACION[Fecha],"&lt;="&amp;FINANCIACION[[#This Row],[Fecha]],FINANCIACION[PRESTAMO],FINANCIACION[[#This Row],[PRESTAMO]])</f>
        <v>-27500000</v>
      </c>
      <c r="G49" s="53"/>
      <c r="H49" s="53"/>
      <c r="I49" s="5">
        <f>IF(FINANCIACION[[#This Row],[$ CAPITAL]]&gt;0,FINANCIACION[[#This Row],[$ CAPITAL]])</f>
        <v>1250000</v>
      </c>
      <c r="J49" s="33">
        <f>IF(FINANCIACION[[#This Row],[$ CAPITAL]]&gt;=0,FINANCIACION[[#This Row],[$ CAPITAL]]+FINANCIACION[[#This Row],[$ INTERESES]],0)</f>
        <v>1603517</v>
      </c>
    </row>
    <row r="50" spans="1:10" ht="24" hidden="1" customHeight="1" x14ac:dyDescent="0.3">
      <c r="A50" s="131">
        <v>43642</v>
      </c>
      <c r="B50" s="50" t="s">
        <v>536</v>
      </c>
      <c r="C50" s="5">
        <v>-28000000</v>
      </c>
      <c r="D50" s="5"/>
      <c r="E50" s="5" t="str">
        <f>+IF(FINANCIACION[[#This Row],[$ CAPITAL]]&gt;=0,FINANCIACION[[#This Row],[$ CAPITAL]]+FINANCIACION[[#This Row],[$ INTERESES]],"")</f>
        <v/>
      </c>
      <c r="F50" s="5">
        <f>+SUMIFS(FINANCIACION[$ CAPITAL],FINANCIACION[Fecha],"&lt;="&amp;FINANCIACION[[#This Row],[Fecha]],FINANCIACION[PRESTAMO],FINANCIACION[[#This Row],[PRESTAMO]])</f>
        <v>-28000000</v>
      </c>
      <c r="G50" s="53"/>
      <c r="H50" s="53"/>
      <c r="I50" s="5" t="b">
        <f>IF(FINANCIACION[[#This Row],[$ CAPITAL]]&gt;0,FINANCIACION[[#This Row],[$ CAPITAL]])</f>
        <v>0</v>
      </c>
      <c r="J50" s="33">
        <f>IF(FINANCIACION[[#This Row],[$ CAPITAL]]&gt;=0,FINANCIACION[[#This Row],[$ CAPITAL]]+FINANCIACION[[#This Row],[$ INTERESES]],0)</f>
        <v>0</v>
      </c>
    </row>
    <row r="51" spans="1:10" ht="24" hidden="1" customHeight="1" x14ac:dyDescent="0.3">
      <c r="A51" s="131">
        <v>43643</v>
      </c>
      <c r="B51" s="50" t="s">
        <v>536</v>
      </c>
      <c r="C51" s="5">
        <v>-10000000</v>
      </c>
      <c r="D51" s="5"/>
      <c r="E51" s="5" t="str">
        <f>+IF(FINANCIACION[[#This Row],[$ CAPITAL]]&gt;=0,FINANCIACION[[#This Row],[$ CAPITAL]]+FINANCIACION[[#This Row],[$ INTERESES]],"")</f>
        <v/>
      </c>
      <c r="F51" s="5">
        <f>+SUMIFS(FINANCIACION[$ CAPITAL],FINANCIACION[Fecha],"&lt;="&amp;FINANCIACION[[#This Row],[Fecha]],FINANCIACION[PRESTAMO],FINANCIACION[[#This Row],[PRESTAMO]])</f>
        <v>-48000000</v>
      </c>
      <c r="G51" s="53"/>
      <c r="H51" s="53"/>
      <c r="I51" s="5" t="b">
        <f>IF(FINANCIACION[[#This Row],[$ CAPITAL]]&gt;0,FINANCIACION[[#This Row],[$ CAPITAL]])</f>
        <v>0</v>
      </c>
      <c r="J51" s="33">
        <f>IF(FINANCIACION[[#This Row],[$ CAPITAL]]&gt;=0,FINANCIACION[[#This Row],[$ CAPITAL]]+FINANCIACION[[#This Row],[$ INTERESES]],0)</f>
        <v>0</v>
      </c>
    </row>
    <row r="52" spans="1:10" ht="24" hidden="1" customHeight="1" x14ac:dyDescent="0.3">
      <c r="A52" s="131">
        <v>43643</v>
      </c>
      <c r="B52" s="50" t="s">
        <v>536</v>
      </c>
      <c r="C52" s="5">
        <v>-5000000</v>
      </c>
      <c r="D52" s="5"/>
      <c r="E52" s="5" t="str">
        <f>+IF(FINANCIACION[[#This Row],[$ CAPITAL]]&gt;=0,FINANCIACION[[#This Row],[$ CAPITAL]]+FINANCIACION[[#This Row],[$ INTERESES]],"")</f>
        <v/>
      </c>
      <c r="F52" s="5">
        <f>+SUMIFS(FINANCIACION[$ CAPITAL],FINANCIACION[Fecha],"&lt;="&amp;FINANCIACION[[#This Row],[Fecha]],FINANCIACION[PRESTAMO],FINANCIACION[[#This Row],[PRESTAMO]])</f>
        <v>-48000000</v>
      </c>
      <c r="G52" s="53"/>
      <c r="H52" s="53"/>
      <c r="I52" s="5" t="b">
        <f>IF(FINANCIACION[[#This Row],[$ CAPITAL]]&gt;0,FINANCIACION[[#This Row],[$ CAPITAL]])</f>
        <v>0</v>
      </c>
      <c r="J52" s="33">
        <f>IF(FINANCIACION[[#This Row],[$ CAPITAL]]&gt;=0,FINANCIACION[[#This Row],[$ CAPITAL]]+FINANCIACION[[#This Row],[$ INTERESES]],0)</f>
        <v>0</v>
      </c>
    </row>
    <row r="53" spans="1:10" ht="24" hidden="1" customHeight="1" x14ac:dyDescent="0.3">
      <c r="A53" s="131">
        <v>43643</v>
      </c>
      <c r="B53" s="50" t="s">
        <v>536</v>
      </c>
      <c r="C53" s="5">
        <v>-5000000</v>
      </c>
      <c r="D53" s="5"/>
      <c r="E53" s="5" t="str">
        <f>+IF(FINANCIACION[[#This Row],[$ CAPITAL]]&gt;=0,FINANCIACION[[#This Row],[$ CAPITAL]]+FINANCIACION[[#This Row],[$ INTERESES]],"")</f>
        <v/>
      </c>
      <c r="F53" s="5">
        <f>+SUMIFS(FINANCIACION[$ CAPITAL],FINANCIACION[Fecha],"&lt;="&amp;FINANCIACION[[#This Row],[Fecha]],FINANCIACION[PRESTAMO],FINANCIACION[[#This Row],[PRESTAMO]])</f>
        <v>-48000000</v>
      </c>
      <c r="G53" s="7"/>
      <c r="H53" s="53"/>
      <c r="I53" s="5" t="b">
        <f>IF(FINANCIACION[[#This Row],[$ CAPITAL]]&gt;0,FINANCIACION[[#This Row],[$ CAPITAL]])</f>
        <v>0</v>
      </c>
      <c r="J53" s="33">
        <f>IF(FINANCIACION[[#This Row],[$ CAPITAL]]&gt;=0,FINANCIACION[[#This Row],[$ CAPITAL]]+FINANCIACION[[#This Row],[$ INTERESES]],0)</f>
        <v>0</v>
      </c>
    </row>
    <row r="54" spans="1:10" ht="24" hidden="1" customHeight="1" x14ac:dyDescent="0.3">
      <c r="A54" s="131">
        <v>43649</v>
      </c>
      <c r="B54" s="50" t="s">
        <v>147</v>
      </c>
      <c r="C54" s="5">
        <v>3472222</v>
      </c>
      <c r="D54" s="5">
        <v>1171398</v>
      </c>
      <c r="E54" s="5">
        <f>+IF(FINANCIACION[[#This Row],[$ CAPITAL]]&gt;=0,FINANCIACION[[#This Row],[$ CAPITAL]]+FINANCIACION[[#This Row],[$ INTERESES]],"")</f>
        <v>4643620</v>
      </c>
      <c r="F54" s="5">
        <f>+SUMIFS(FINANCIACION[$ CAPITAL],FINANCIACION[Fecha],"&lt;="&amp;FINANCIACION[[#This Row],[Fecha]],FINANCIACION[PRESTAMO],FINANCIACION[[#This Row],[PRESTAMO]])</f>
        <v>-104166668</v>
      </c>
      <c r="G54" s="7"/>
      <c r="H54" s="53"/>
      <c r="I54" s="5">
        <f>IF(FINANCIACION[[#This Row],[$ CAPITAL]]&gt;0,FINANCIACION[[#This Row],[$ CAPITAL]])</f>
        <v>3472222</v>
      </c>
      <c r="J54" s="33">
        <f>IF(FINANCIACION[[#This Row],[$ CAPITAL]]&gt;=0,FINANCIACION[[#This Row],[$ CAPITAL]]+FINANCIACION[[#This Row],[$ INTERESES]],0)</f>
        <v>4643620</v>
      </c>
    </row>
    <row r="55" spans="1:10" ht="24" hidden="1" customHeight="1" x14ac:dyDescent="0.3">
      <c r="A55" s="131">
        <v>43650</v>
      </c>
      <c r="B55" s="50" t="s">
        <v>536</v>
      </c>
      <c r="C55" s="5">
        <v>-3000000</v>
      </c>
      <c r="D55" s="5"/>
      <c r="E55" s="5" t="str">
        <f>+IF(FINANCIACION[[#This Row],[$ CAPITAL]]&gt;=0,FINANCIACION[[#This Row],[$ CAPITAL]]+FINANCIACION[[#This Row],[$ INTERESES]],"")</f>
        <v/>
      </c>
      <c r="F55" s="5">
        <f>+SUMIFS(FINANCIACION[$ CAPITAL],FINANCIACION[Fecha],"&lt;="&amp;FINANCIACION[[#This Row],[Fecha]],FINANCIACION[PRESTAMO],FINANCIACION[[#This Row],[PRESTAMO]])</f>
        <v>-51000000</v>
      </c>
      <c r="G55" s="7"/>
      <c r="H55" s="53"/>
      <c r="I55" s="5" t="b">
        <f>IF(FINANCIACION[[#This Row],[$ CAPITAL]]&gt;0,FINANCIACION[[#This Row],[$ CAPITAL]])</f>
        <v>0</v>
      </c>
      <c r="J55" s="33">
        <f>IF(FINANCIACION[[#This Row],[$ CAPITAL]]&gt;=0,FINANCIACION[[#This Row],[$ CAPITAL]]+FINANCIACION[[#This Row],[$ INTERESES]],0)</f>
        <v>0</v>
      </c>
    </row>
    <row r="56" spans="1:10" ht="24" hidden="1" customHeight="1" x14ac:dyDescent="0.3">
      <c r="A56" s="131">
        <v>43651</v>
      </c>
      <c r="B56" s="50" t="s">
        <v>536</v>
      </c>
      <c r="C56" s="5">
        <v>-5000000</v>
      </c>
      <c r="D56" s="5"/>
      <c r="E56" s="5" t="str">
        <f>+IF(FINANCIACION[[#This Row],[$ CAPITAL]]&gt;=0,FINANCIACION[[#This Row],[$ CAPITAL]]+FINANCIACION[[#This Row],[$ INTERESES]],"")</f>
        <v/>
      </c>
      <c r="F56" s="5">
        <f>+SUMIFS(FINANCIACION[$ CAPITAL],FINANCIACION[Fecha],"&lt;="&amp;FINANCIACION[[#This Row],[Fecha]],FINANCIACION[PRESTAMO],FINANCIACION[[#This Row],[PRESTAMO]])</f>
        <v>-61000000</v>
      </c>
      <c r="G56" s="7"/>
      <c r="H56" s="53"/>
      <c r="I56" s="5" t="b">
        <f>IF(FINANCIACION[[#This Row],[$ CAPITAL]]&gt;0,FINANCIACION[[#This Row],[$ CAPITAL]])</f>
        <v>0</v>
      </c>
      <c r="J56" s="33">
        <f>IF(FINANCIACION[[#This Row],[$ CAPITAL]]&gt;=0,FINANCIACION[[#This Row],[$ CAPITAL]]+FINANCIACION[[#This Row],[$ INTERESES]],0)</f>
        <v>0</v>
      </c>
    </row>
    <row r="57" spans="1:10" ht="24" hidden="1" customHeight="1" x14ac:dyDescent="0.3">
      <c r="A57" s="131">
        <v>43651</v>
      </c>
      <c r="B57" s="50" t="s">
        <v>536</v>
      </c>
      <c r="C57" s="5">
        <v>-5000000</v>
      </c>
      <c r="D57" s="5"/>
      <c r="E57" s="5" t="str">
        <f>+IF(FINANCIACION[[#This Row],[$ CAPITAL]]&gt;=0,FINANCIACION[[#This Row],[$ CAPITAL]]+FINANCIACION[[#This Row],[$ INTERESES]],"")</f>
        <v/>
      </c>
      <c r="F57" s="5">
        <f>+SUMIFS(FINANCIACION[$ CAPITAL],FINANCIACION[Fecha],"&lt;="&amp;FINANCIACION[[#This Row],[Fecha]],FINANCIACION[PRESTAMO],FINANCIACION[[#This Row],[PRESTAMO]])</f>
        <v>-61000000</v>
      </c>
      <c r="G57" s="7"/>
      <c r="H57" s="53"/>
      <c r="I57" s="5" t="b">
        <f>IF(FINANCIACION[[#This Row],[$ CAPITAL]]&gt;0,FINANCIACION[[#This Row],[$ CAPITAL]])</f>
        <v>0</v>
      </c>
      <c r="J57" s="33">
        <f>IF(FINANCIACION[[#This Row],[$ CAPITAL]]&gt;=0,FINANCIACION[[#This Row],[$ CAPITAL]]+FINANCIACION[[#This Row],[$ INTERESES]],0)</f>
        <v>0</v>
      </c>
    </row>
    <row r="58" spans="1:10" ht="24" hidden="1" customHeight="1" x14ac:dyDescent="0.3">
      <c r="A58" s="131">
        <v>43654</v>
      </c>
      <c r="B58" s="50" t="s">
        <v>536</v>
      </c>
      <c r="C58" s="5">
        <v>-5000000</v>
      </c>
      <c r="D58" s="5"/>
      <c r="E58" s="5" t="str">
        <f>+IF(FINANCIACION[[#This Row],[$ CAPITAL]]&gt;=0,FINANCIACION[[#This Row],[$ CAPITAL]]+FINANCIACION[[#This Row],[$ INTERESES]],"")</f>
        <v/>
      </c>
      <c r="F58" s="5">
        <f>+SUMIFS(FINANCIACION[$ CAPITAL],FINANCIACION[Fecha],"&lt;="&amp;FINANCIACION[[#This Row],[Fecha]],FINANCIACION[PRESTAMO],FINANCIACION[[#This Row],[PRESTAMO]])</f>
        <v>-66000000</v>
      </c>
      <c r="G58" s="7"/>
      <c r="H58" s="53"/>
      <c r="I58" s="5" t="b">
        <f>IF(FINANCIACION[[#This Row],[$ CAPITAL]]&gt;0,FINANCIACION[[#This Row],[$ CAPITAL]])</f>
        <v>0</v>
      </c>
      <c r="J58" s="33">
        <f>IF(FINANCIACION[[#This Row],[$ CAPITAL]]&gt;=0,FINANCIACION[[#This Row],[$ CAPITAL]]+FINANCIACION[[#This Row],[$ INTERESES]],0)</f>
        <v>0</v>
      </c>
    </row>
    <row r="59" spans="1:10" ht="24" hidden="1" customHeight="1" x14ac:dyDescent="0.3">
      <c r="A59" s="131">
        <v>43656</v>
      </c>
      <c r="B59" s="50" t="s">
        <v>532</v>
      </c>
      <c r="C59" s="5"/>
      <c r="D59" s="5">
        <v>950000</v>
      </c>
      <c r="E59" s="5">
        <f>+IF(FINANCIACION[[#This Row],[$ CAPITAL]]&gt;=0,FINANCIACION[[#This Row],[$ CAPITAL]]+FINANCIACION[[#This Row],[$ INTERESES]],"")</f>
        <v>950000</v>
      </c>
      <c r="F59" s="5">
        <f>+SUMIFS(FINANCIACION[$ CAPITAL],FINANCIACION[Fecha],"&lt;="&amp;FINANCIACION[[#This Row],[Fecha]],FINANCIACION[PRESTAMO],FINANCIACION[[#This Row],[PRESTAMO]])</f>
        <v>-94935167</v>
      </c>
      <c r="G59" s="7"/>
      <c r="H59" s="53"/>
      <c r="I59" s="5" t="b">
        <f>IF(FINANCIACION[[#This Row],[$ CAPITAL]]&gt;0,FINANCIACION[[#This Row],[$ CAPITAL]])</f>
        <v>0</v>
      </c>
      <c r="J59" s="33">
        <f>IF(FINANCIACION[[#This Row],[$ CAPITAL]]&gt;=0,FINANCIACION[[#This Row],[$ CAPITAL]]+FINANCIACION[[#This Row],[$ INTERESES]],0)</f>
        <v>950000</v>
      </c>
    </row>
    <row r="60" spans="1:10" ht="24" hidden="1" customHeight="1" x14ac:dyDescent="0.3">
      <c r="A60" s="131">
        <v>43664</v>
      </c>
      <c r="B60" s="50" t="s">
        <v>150</v>
      </c>
      <c r="C60" s="5">
        <v>6250000</v>
      </c>
      <c r="D60" s="5">
        <v>1351023.03</v>
      </c>
      <c r="E60" s="5">
        <f>+IF(FINANCIACION[[#This Row],[$ CAPITAL]]&gt;=0,FINANCIACION[[#This Row],[$ CAPITAL]]+FINANCIACION[[#This Row],[$ INTERESES]],"")</f>
        <v>7601023.0300000003</v>
      </c>
      <c r="F60" s="5">
        <f>+SUMIFS(FINANCIACION[$ CAPITAL],FINANCIACION[Fecha],"&lt;="&amp;FINANCIACION[[#This Row],[Fecha]],FINANCIACION[PRESTAMO],FINANCIACION[[#This Row],[PRESTAMO]])</f>
        <v>-143750000</v>
      </c>
      <c r="G60" s="7"/>
      <c r="H60" s="53"/>
      <c r="I60" s="5">
        <f>IF(FINANCIACION[[#This Row],[$ CAPITAL]]&gt;0,FINANCIACION[[#This Row],[$ CAPITAL]])</f>
        <v>6250000</v>
      </c>
      <c r="J60" s="33">
        <f>IF(FINANCIACION[[#This Row],[$ CAPITAL]]&gt;=0,FINANCIACION[[#This Row],[$ CAPITAL]]+FINANCIACION[[#This Row],[$ INTERESES]],0)</f>
        <v>7601023.0300000003</v>
      </c>
    </row>
    <row r="61" spans="1:10" ht="24" hidden="1" customHeight="1" x14ac:dyDescent="0.3">
      <c r="A61" s="131">
        <v>43664</v>
      </c>
      <c r="B61" s="50" t="s">
        <v>534</v>
      </c>
      <c r="C61" s="5">
        <v>1367805</v>
      </c>
      <c r="D61" s="5">
        <v>4714407</v>
      </c>
      <c r="E61" s="5">
        <f>+IF(FINANCIACION[[#This Row],[$ CAPITAL]]&gt;=0,FINANCIACION[[#This Row],[$ CAPITAL]]+FINANCIACION[[#This Row],[$ INTERESES]],"")</f>
        <v>6082212</v>
      </c>
      <c r="F61" s="5">
        <f>+SUMIFS(FINANCIACION[$ CAPITAL],FINANCIACION[Fecha],"&lt;="&amp;FINANCIACION[[#This Row],[Fecha]],FINANCIACION[PRESTAMO],FINANCIACION[[#This Row],[PRESTAMO]])</f>
        <v>-371794082.03181815</v>
      </c>
      <c r="G61" s="7"/>
      <c r="H61" s="53"/>
      <c r="I61" s="5">
        <f>IF(FINANCIACION[[#This Row],[$ CAPITAL]]&gt;0,FINANCIACION[[#This Row],[$ CAPITAL]])</f>
        <v>1367805</v>
      </c>
      <c r="J61" s="33">
        <f>IF(FINANCIACION[[#This Row],[$ CAPITAL]]&gt;=0,FINANCIACION[[#This Row],[$ CAPITAL]]+FINANCIACION[[#This Row],[$ INTERESES]],0)</f>
        <v>6082212</v>
      </c>
    </row>
    <row r="62" spans="1:10" ht="24" hidden="1" customHeight="1" x14ac:dyDescent="0.3">
      <c r="A62" s="131">
        <v>43666</v>
      </c>
      <c r="B62" s="50" t="s">
        <v>533</v>
      </c>
      <c r="C62" s="5">
        <v>260000</v>
      </c>
      <c r="D62" s="5">
        <v>740000</v>
      </c>
      <c r="E62" s="5">
        <f>+IF(FINANCIACION[[#This Row],[$ CAPITAL]]&gt;=0,FINANCIACION[[#This Row],[$ CAPITAL]]+FINANCIACION[[#This Row],[$ INTERESES]],"")</f>
        <v>1000000</v>
      </c>
      <c r="F62" s="5">
        <f>+SUMIFS(FINANCIACION[$ CAPITAL],FINANCIACION[Fecha],"&lt;="&amp;FINANCIACION[[#This Row],[Fecha]],FINANCIACION[PRESTAMO],FINANCIACION[[#This Row],[PRESTAMO]])</f>
        <v>-59809154</v>
      </c>
      <c r="G62" s="7"/>
      <c r="H62" s="53"/>
      <c r="I62" s="5">
        <f>IF(FINANCIACION[[#This Row],[$ CAPITAL]]&gt;0,FINANCIACION[[#This Row],[$ CAPITAL]])</f>
        <v>260000</v>
      </c>
      <c r="J62" s="33">
        <f>IF(FINANCIACION[[#This Row],[$ CAPITAL]]&gt;=0,FINANCIACION[[#This Row],[$ CAPITAL]]+FINANCIACION[[#This Row],[$ INTERESES]],0)</f>
        <v>1000000</v>
      </c>
    </row>
    <row r="63" spans="1:10" ht="24" hidden="1" customHeight="1" x14ac:dyDescent="0.3">
      <c r="A63" s="131">
        <v>43671</v>
      </c>
      <c r="B63" s="50" t="s">
        <v>146</v>
      </c>
      <c r="C63" s="5">
        <v>1250000</v>
      </c>
      <c r="D63" s="5">
        <v>335262</v>
      </c>
      <c r="E63" s="5">
        <f>+IF(FINANCIACION[[#This Row],[$ CAPITAL]]&gt;=0,FINANCIACION[[#This Row],[$ CAPITAL]]+FINANCIACION[[#This Row],[$ INTERESES]],"")</f>
        <v>1585262</v>
      </c>
      <c r="F63" s="5">
        <f>+SUMIFS(FINANCIACION[$ CAPITAL],FINANCIACION[Fecha],"&lt;="&amp;FINANCIACION[[#This Row],[Fecha]],FINANCIACION[PRESTAMO],FINANCIACION[[#This Row],[PRESTAMO]])</f>
        <v>-26250000</v>
      </c>
      <c r="G63" s="7"/>
      <c r="H63" s="53"/>
      <c r="I63" s="5">
        <f>IF(FINANCIACION[[#This Row],[$ CAPITAL]]&gt;0,FINANCIACION[[#This Row],[$ CAPITAL]])</f>
        <v>1250000</v>
      </c>
      <c r="J63" s="33">
        <f>IF(FINANCIACION[[#This Row],[$ CAPITAL]]&gt;=0,FINANCIACION[[#This Row],[$ CAPITAL]]+FINANCIACION[[#This Row],[$ INTERESES]],0)</f>
        <v>1585262</v>
      </c>
    </row>
    <row r="64" spans="1:10" ht="24" hidden="1" customHeight="1" x14ac:dyDescent="0.3">
      <c r="A64" s="131">
        <v>43672</v>
      </c>
      <c r="B64" s="50" t="s">
        <v>535</v>
      </c>
      <c r="C64" s="5">
        <v>-1150527.75</v>
      </c>
      <c r="D64" s="5"/>
      <c r="E64" s="5" t="str">
        <f>+IF(FINANCIACION[[#This Row],[$ CAPITAL]]&gt;=0,FINANCIACION[[#This Row],[$ CAPITAL]]+FINANCIACION[[#This Row],[$ INTERESES]],"")</f>
        <v/>
      </c>
      <c r="F64" s="5">
        <f>+SUMIFS(FINANCIACION[$ CAPITAL],FINANCIACION[Fecha],"&lt;="&amp;FINANCIACION[[#This Row],[Fecha]],FINANCIACION[PRESTAMO],FINANCIACION[[#This Row],[PRESTAMO]])</f>
        <v>-4594877.75</v>
      </c>
      <c r="G64" s="7"/>
      <c r="H64" s="53"/>
      <c r="I64" s="5" t="b">
        <f>IF(FINANCIACION[[#This Row],[$ CAPITAL]]&gt;0,FINANCIACION[[#This Row],[$ CAPITAL]])</f>
        <v>0</v>
      </c>
      <c r="J64" s="33">
        <f>IF(FINANCIACION[[#This Row],[$ CAPITAL]]&gt;=0,FINANCIACION[[#This Row],[$ CAPITAL]]+FINANCIACION[[#This Row],[$ INTERESES]],0)</f>
        <v>0</v>
      </c>
    </row>
    <row r="65" spans="1:10" ht="24" hidden="1" customHeight="1" x14ac:dyDescent="0.3">
      <c r="A65" s="131">
        <v>43677</v>
      </c>
      <c r="B65" s="50" t="s">
        <v>536</v>
      </c>
      <c r="C65" s="5">
        <v>-8000000</v>
      </c>
      <c r="D65" s="5"/>
      <c r="E65" s="5" t="str">
        <f>+IF(FINANCIACION[[#This Row],[$ CAPITAL]]&gt;=0,FINANCIACION[[#This Row],[$ CAPITAL]]+FINANCIACION[[#This Row],[$ INTERESES]],"")</f>
        <v/>
      </c>
      <c r="F65" s="5">
        <f>+SUMIFS(FINANCIACION[$ CAPITAL],FINANCIACION[Fecha],"&lt;="&amp;FINANCIACION[[#This Row],[Fecha]],FINANCIACION[PRESTAMO],FINANCIACION[[#This Row],[PRESTAMO]])</f>
        <v>-74000000</v>
      </c>
      <c r="G65" s="7"/>
      <c r="H65" s="53"/>
      <c r="I65" s="5" t="b">
        <f>IF(FINANCIACION[[#This Row],[$ CAPITAL]]&gt;0,FINANCIACION[[#This Row],[$ CAPITAL]])</f>
        <v>0</v>
      </c>
      <c r="J65" s="33">
        <f>IF(FINANCIACION[[#This Row],[$ CAPITAL]]&gt;=0,FINANCIACION[[#This Row],[$ CAPITAL]]+FINANCIACION[[#This Row],[$ INTERESES]],0)</f>
        <v>0</v>
      </c>
    </row>
    <row r="66" spans="1:10" ht="24" hidden="1" customHeight="1" x14ac:dyDescent="0.3">
      <c r="A66" s="131">
        <v>43680</v>
      </c>
      <c r="B66" s="50" t="s">
        <v>147</v>
      </c>
      <c r="C66" s="5">
        <v>3472222</v>
      </c>
      <c r="D66" s="5">
        <v>1136328</v>
      </c>
      <c r="E66" s="5">
        <f>+IF(FINANCIACION[[#This Row],[$ CAPITAL]]&gt;=0,FINANCIACION[[#This Row],[$ CAPITAL]]+FINANCIACION[[#This Row],[$ INTERESES]],"")</f>
        <v>4608550</v>
      </c>
      <c r="F66" s="5">
        <f>+SUMIFS(FINANCIACION[$ CAPITAL],FINANCIACION[Fecha],"&lt;="&amp;FINANCIACION[[#This Row],[Fecha]],FINANCIACION[PRESTAMO],FINANCIACION[[#This Row],[PRESTAMO]])</f>
        <v>-100694446</v>
      </c>
      <c r="G66" s="7"/>
      <c r="H66" s="53"/>
      <c r="I66" s="5">
        <f>IF(FINANCIACION[[#This Row],[$ CAPITAL]]&gt;0,FINANCIACION[[#This Row],[$ CAPITAL]])</f>
        <v>3472222</v>
      </c>
      <c r="J66" s="33">
        <f>IF(FINANCIACION[[#This Row],[$ CAPITAL]]&gt;=0,FINANCIACION[[#This Row],[$ CAPITAL]]+FINANCIACION[[#This Row],[$ INTERESES]],0)</f>
        <v>4608550</v>
      </c>
    </row>
    <row r="67" spans="1:10" ht="24" hidden="1" customHeight="1" x14ac:dyDescent="0.3">
      <c r="A67" s="131">
        <v>43682</v>
      </c>
      <c r="B67" s="50" t="s">
        <v>535</v>
      </c>
      <c r="C67" s="5">
        <v>-187636</v>
      </c>
      <c r="D67" s="5"/>
      <c r="E67" s="5" t="str">
        <f>+IF(FINANCIACION[[#This Row],[$ CAPITAL]]&gt;=0,FINANCIACION[[#This Row],[$ CAPITAL]]+FINANCIACION[[#This Row],[$ INTERESES]],"")</f>
        <v/>
      </c>
      <c r="F67" s="5">
        <f>+SUMIFS(FINANCIACION[$ CAPITAL],FINANCIACION[Fecha],"&lt;="&amp;FINANCIACION[[#This Row],[Fecha]],FINANCIACION[PRESTAMO],FINANCIACION[[#This Row],[PRESTAMO]])</f>
        <v>-4782513.75</v>
      </c>
      <c r="G67" s="7"/>
      <c r="H67" s="53"/>
      <c r="I67" s="5" t="b">
        <f>IF(FINANCIACION[[#This Row],[$ CAPITAL]]&gt;0,FINANCIACION[[#This Row],[$ CAPITAL]])</f>
        <v>0</v>
      </c>
      <c r="J67" s="33">
        <f>IF(FINANCIACION[[#This Row],[$ CAPITAL]]&gt;=0,FINANCIACION[[#This Row],[$ CAPITAL]]+FINANCIACION[[#This Row],[$ INTERESES]],0)</f>
        <v>0</v>
      </c>
    </row>
    <row r="68" spans="1:10" ht="24" hidden="1" customHeight="1" x14ac:dyDescent="0.3">
      <c r="A68" s="131">
        <v>43687</v>
      </c>
      <c r="B68" s="50" t="s">
        <v>532</v>
      </c>
      <c r="C68" s="5"/>
      <c r="D68" s="5">
        <v>950000</v>
      </c>
      <c r="E68" s="5">
        <f>+IF(FINANCIACION[[#This Row],[$ CAPITAL]]&gt;=0,FINANCIACION[[#This Row],[$ CAPITAL]]+FINANCIACION[[#This Row],[$ INTERESES]],"")</f>
        <v>950000</v>
      </c>
      <c r="F68" s="5">
        <f>+SUMIFS(FINANCIACION[$ CAPITAL],FINANCIACION[Fecha],"&lt;="&amp;FINANCIACION[[#This Row],[Fecha]],FINANCIACION[PRESTAMO],FINANCIACION[[#This Row],[PRESTAMO]])</f>
        <v>-94935167</v>
      </c>
      <c r="G68" s="7"/>
      <c r="H68" s="53"/>
      <c r="I68" s="5" t="b">
        <f>IF(FINANCIACION[[#This Row],[$ CAPITAL]]&gt;0,FINANCIACION[[#This Row],[$ CAPITAL]])</f>
        <v>0</v>
      </c>
      <c r="J68" s="33">
        <f>IF(FINANCIACION[[#This Row],[$ CAPITAL]]&gt;=0,FINANCIACION[[#This Row],[$ CAPITAL]]+FINANCIACION[[#This Row],[$ INTERESES]],0)</f>
        <v>950000</v>
      </c>
    </row>
    <row r="69" spans="1:10" ht="24" hidden="1" customHeight="1" x14ac:dyDescent="0.3">
      <c r="A69" s="131">
        <v>43697</v>
      </c>
      <c r="B69" s="50" t="s">
        <v>533</v>
      </c>
      <c r="C69" s="5">
        <v>260000</v>
      </c>
      <c r="D69" s="5">
        <v>740000</v>
      </c>
      <c r="E69" s="5">
        <f>+IF(FINANCIACION[[#This Row],[$ CAPITAL]]&gt;=0,FINANCIACION[[#This Row],[$ CAPITAL]]+FINANCIACION[[#This Row],[$ INTERESES]],"")</f>
        <v>1000000</v>
      </c>
      <c r="F69" s="5">
        <f>+SUMIFS(FINANCIACION[$ CAPITAL],FINANCIACION[Fecha],"&lt;="&amp;FINANCIACION[[#This Row],[Fecha]],FINANCIACION[PRESTAMO],FINANCIACION[[#This Row],[PRESTAMO]])</f>
        <v>-59549154</v>
      </c>
      <c r="G69" s="7"/>
      <c r="H69" s="53"/>
      <c r="I69" s="5">
        <f>IF(FINANCIACION[[#This Row],[$ CAPITAL]]&gt;0,FINANCIACION[[#This Row],[$ CAPITAL]])</f>
        <v>260000</v>
      </c>
      <c r="J69" s="33">
        <f>IF(FINANCIACION[[#This Row],[$ CAPITAL]]&gt;=0,FINANCIACION[[#This Row],[$ CAPITAL]]+FINANCIACION[[#This Row],[$ INTERESES]],0)</f>
        <v>1000000</v>
      </c>
    </row>
    <row r="70" spans="1:10" ht="24" hidden="1" customHeight="1" x14ac:dyDescent="0.3">
      <c r="A70" s="131">
        <v>43697</v>
      </c>
      <c r="B70" s="50" t="s">
        <v>150</v>
      </c>
      <c r="C70" s="5">
        <v>6250000</v>
      </c>
      <c r="D70" s="5">
        <v>1284958.1299999999</v>
      </c>
      <c r="E70" s="5">
        <f>+IF(FINANCIACION[[#This Row],[$ CAPITAL]]&gt;=0,FINANCIACION[[#This Row],[$ CAPITAL]]+FINANCIACION[[#This Row],[$ INTERESES]],"")</f>
        <v>7534958.1299999999</v>
      </c>
      <c r="F70" s="5">
        <f>+SUMIFS(FINANCIACION[$ CAPITAL],FINANCIACION[Fecha],"&lt;="&amp;FINANCIACION[[#This Row],[Fecha]],FINANCIACION[PRESTAMO],FINANCIACION[[#This Row],[PRESTAMO]])</f>
        <v>-137500000</v>
      </c>
      <c r="G70" s="7"/>
      <c r="H70" s="53"/>
      <c r="I70" s="5">
        <f>IF(FINANCIACION[[#This Row],[$ CAPITAL]]&gt;0,FINANCIACION[[#This Row],[$ CAPITAL]])</f>
        <v>6250000</v>
      </c>
      <c r="J70" s="33">
        <f>IF(FINANCIACION[[#This Row],[$ CAPITAL]]&gt;=0,FINANCIACION[[#This Row],[$ CAPITAL]]+FINANCIACION[[#This Row],[$ INTERESES]],0)</f>
        <v>7534958.1299999999</v>
      </c>
    </row>
    <row r="71" spans="1:10" ht="24" hidden="1" customHeight="1" x14ac:dyDescent="0.3">
      <c r="A71" s="131">
        <v>43697</v>
      </c>
      <c r="B71" s="50" t="s">
        <v>534</v>
      </c>
      <c r="C71" s="5">
        <v>1392137</v>
      </c>
      <c r="D71" s="5">
        <v>4667683</v>
      </c>
      <c r="E71" s="5">
        <f>+IF(FINANCIACION[[#This Row],[$ CAPITAL]]&gt;=0,FINANCIACION[[#This Row],[$ CAPITAL]]+FINANCIACION[[#This Row],[$ INTERESES]],"")</f>
        <v>6059820</v>
      </c>
      <c r="F71" s="5">
        <f>+SUMIFS(FINANCIACION[$ CAPITAL],FINANCIACION[Fecha],"&lt;="&amp;FINANCIACION[[#This Row],[Fecha]],FINANCIACION[PRESTAMO],FINANCIACION[[#This Row],[PRESTAMO]])</f>
        <v>-370401945.03181815</v>
      </c>
      <c r="G71" s="7"/>
      <c r="H71" s="53"/>
      <c r="I71" s="5">
        <f>IF(FINANCIACION[[#This Row],[$ CAPITAL]]&gt;0,FINANCIACION[[#This Row],[$ CAPITAL]])</f>
        <v>1392137</v>
      </c>
      <c r="J71" s="33">
        <f>IF(FINANCIACION[[#This Row],[$ CAPITAL]]&gt;=0,FINANCIACION[[#This Row],[$ CAPITAL]]+FINANCIACION[[#This Row],[$ INTERESES]],0)</f>
        <v>6059820</v>
      </c>
    </row>
    <row r="72" spans="1:10" ht="24" hidden="1" customHeight="1" x14ac:dyDescent="0.3">
      <c r="A72" s="131">
        <v>43703</v>
      </c>
      <c r="B72" s="50" t="s">
        <v>146</v>
      </c>
      <c r="C72" s="5">
        <v>1250000</v>
      </c>
      <c r="D72" s="5">
        <v>320711</v>
      </c>
      <c r="E72" s="5">
        <f>+IF(FINANCIACION[[#This Row],[$ CAPITAL]]&gt;=0,FINANCIACION[[#This Row],[$ CAPITAL]]+FINANCIACION[[#This Row],[$ INTERESES]],"")</f>
        <v>1570711</v>
      </c>
      <c r="F72" s="5">
        <f>+SUMIFS(FINANCIACION[$ CAPITAL],FINANCIACION[Fecha],"&lt;="&amp;FINANCIACION[[#This Row],[Fecha]],FINANCIACION[PRESTAMO],FINANCIACION[[#This Row],[PRESTAMO]])</f>
        <v>-25000000</v>
      </c>
      <c r="G72" s="7"/>
      <c r="H72" s="53"/>
      <c r="I72" s="5">
        <f>IF(FINANCIACION[[#This Row],[$ CAPITAL]]&gt;0,FINANCIACION[[#This Row],[$ CAPITAL]])</f>
        <v>1250000</v>
      </c>
      <c r="J72" s="33">
        <f>IF(FINANCIACION[[#This Row],[$ CAPITAL]]&gt;=0,FINANCIACION[[#This Row],[$ CAPITAL]]+FINANCIACION[[#This Row],[$ INTERESES]],0)</f>
        <v>1570711</v>
      </c>
    </row>
    <row r="73" spans="1:10" ht="24" hidden="1" customHeight="1" x14ac:dyDescent="0.3">
      <c r="A73" s="131">
        <v>43703</v>
      </c>
      <c r="B73" s="50" t="s">
        <v>535</v>
      </c>
      <c r="C73" s="5">
        <v>-3381228.82</v>
      </c>
      <c r="D73" s="5"/>
      <c r="E73" s="5" t="str">
        <f>+IF(FINANCIACION[[#This Row],[$ CAPITAL]]&gt;=0,FINANCIACION[[#This Row],[$ CAPITAL]]+FINANCIACION[[#This Row],[$ INTERESES]],"")</f>
        <v/>
      </c>
      <c r="F73" s="5">
        <f>+SUMIFS(FINANCIACION[$ CAPITAL],FINANCIACION[Fecha],"&lt;="&amp;FINANCIACION[[#This Row],[Fecha]],FINANCIACION[PRESTAMO],FINANCIACION[[#This Row],[PRESTAMO]])</f>
        <v>-8163742.5700000003</v>
      </c>
      <c r="G73" s="7"/>
      <c r="H73" s="53"/>
      <c r="I73" s="5" t="b">
        <f>IF(FINANCIACION[[#This Row],[$ CAPITAL]]&gt;0,FINANCIACION[[#This Row],[$ CAPITAL]])</f>
        <v>0</v>
      </c>
      <c r="J73" s="33">
        <f>IF(FINANCIACION[[#This Row],[$ CAPITAL]]&gt;=0,FINANCIACION[[#This Row],[$ CAPITAL]]+FINANCIACION[[#This Row],[$ INTERESES]],0)</f>
        <v>0</v>
      </c>
    </row>
    <row r="74" spans="1:10" ht="24" hidden="1" customHeight="1" x14ac:dyDescent="0.3">
      <c r="A74" s="131">
        <v>43705</v>
      </c>
      <c r="B74" s="50" t="s">
        <v>536</v>
      </c>
      <c r="C74" s="5"/>
      <c r="D74" s="5">
        <v>740000</v>
      </c>
      <c r="E74" s="5">
        <f>+IF(FINANCIACION[[#This Row],[$ CAPITAL]]&gt;=0,FINANCIACION[[#This Row],[$ CAPITAL]]+FINANCIACION[[#This Row],[$ INTERESES]],"")</f>
        <v>740000</v>
      </c>
      <c r="F74" s="5">
        <f>+SUMIFS(FINANCIACION[$ CAPITAL],FINANCIACION[Fecha],"&lt;="&amp;FINANCIACION[[#This Row],[Fecha]],FINANCIACION[PRESTAMO],FINANCIACION[[#This Row],[PRESTAMO]])</f>
        <v>-74000000</v>
      </c>
      <c r="G74" s="7"/>
      <c r="H74" s="53"/>
      <c r="I74" s="5" t="b">
        <f>IF(FINANCIACION[[#This Row],[$ CAPITAL]]&gt;0,FINANCIACION[[#This Row],[$ CAPITAL]])</f>
        <v>0</v>
      </c>
      <c r="J74" s="33">
        <f>IF(FINANCIACION[[#This Row],[$ CAPITAL]]&gt;=0,FINANCIACION[[#This Row],[$ CAPITAL]]+FINANCIACION[[#This Row],[$ INTERESES]],0)</f>
        <v>740000</v>
      </c>
    </row>
    <row r="75" spans="1:10" ht="24" hidden="1" customHeight="1" x14ac:dyDescent="0.3">
      <c r="A75" s="131">
        <v>43707</v>
      </c>
      <c r="B75" s="50" t="s">
        <v>535</v>
      </c>
      <c r="C75" s="5">
        <v>-1123154</v>
      </c>
      <c r="D75" s="5"/>
      <c r="E75" s="5" t="str">
        <f>+IF(FINANCIACION[[#This Row],[$ CAPITAL]]&gt;=0,FINANCIACION[[#This Row],[$ CAPITAL]]+FINANCIACION[[#This Row],[$ INTERESES]],"")</f>
        <v/>
      </c>
      <c r="F75" s="5">
        <f>+SUMIFS(FINANCIACION[$ CAPITAL],FINANCIACION[Fecha],"&lt;="&amp;FINANCIACION[[#This Row],[Fecha]],FINANCIACION[PRESTAMO],FINANCIACION[[#This Row],[PRESTAMO]])</f>
        <v>-9286896.5700000003</v>
      </c>
      <c r="G75" s="7"/>
      <c r="H75" s="53"/>
      <c r="I75" s="5" t="b">
        <f>IF(FINANCIACION[[#This Row],[$ CAPITAL]]&gt;0,FINANCIACION[[#This Row],[$ CAPITAL]])</f>
        <v>0</v>
      </c>
      <c r="J75" s="33">
        <f>IF(FINANCIACION[[#This Row],[$ CAPITAL]]&gt;=0,FINANCIACION[[#This Row],[$ CAPITAL]]+FINANCIACION[[#This Row],[$ INTERESES]],0)</f>
        <v>0</v>
      </c>
    </row>
    <row r="76" spans="1:10" ht="24" hidden="1" customHeight="1" x14ac:dyDescent="0.3">
      <c r="A76" s="131">
        <v>43710</v>
      </c>
      <c r="B76" s="50" t="s">
        <v>535</v>
      </c>
      <c r="C76" s="5">
        <v>2500000</v>
      </c>
      <c r="D76" s="5"/>
      <c r="E76" s="5">
        <f>+IF(FINANCIACION[[#This Row],[$ CAPITAL]]&gt;=0,FINANCIACION[[#This Row],[$ CAPITAL]]+FINANCIACION[[#This Row],[$ INTERESES]],"")</f>
        <v>2500000</v>
      </c>
      <c r="F76" s="5">
        <f>+SUMIFS(FINANCIACION[$ CAPITAL],FINANCIACION[Fecha],"&lt;="&amp;FINANCIACION[[#This Row],[Fecha]],FINANCIACION[PRESTAMO],FINANCIACION[[#This Row],[PRESTAMO]])</f>
        <v>213103.4299999997</v>
      </c>
      <c r="G76" s="7"/>
      <c r="H76" s="53"/>
      <c r="I76" s="5">
        <f>IF(FINANCIACION[[#This Row],[$ CAPITAL]]&gt;0,FINANCIACION[[#This Row],[$ CAPITAL]])</f>
        <v>2500000</v>
      </c>
      <c r="J76" s="33">
        <f>IF(FINANCIACION[[#This Row],[$ CAPITAL]]&gt;=0,FINANCIACION[[#This Row],[$ CAPITAL]]+FINANCIACION[[#This Row],[$ INTERESES]],0)</f>
        <v>2500000</v>
      </c>
    </row>
    <row r="77" spans="1:10" ht="24" hidden="1" customHeight="1" x14ac:dyDescent="0.3">
      <c r="A77" s="131">
        <v>43710</v>
      </c>
      <c r="B77" s="50" t="s">
        <v>535</v>
      </c>
      <c r="C77" s="5">
        <v>7000000</v>
      </c>
      <c r="D77" s="5"/>
      <c r="E77" s="5">
        <f>+IF(FINANCIACION[[#This Row],[$ CAPITAL]]&gt;=0,FINANCIACION[[#This Row],[$ CAPITAL]]+FINANCIACION[[#This Row],[$ INTERESES]],"")</f>
        <v>7000000</v>
      </c>
      <c r="F77" s="5">
        <f>+SUMIFS(FINANCIACION[$ CAPITAL],FINANCIACION[Fecha],"&lt;="&amp;FINANCIACION[[#This Row],[Fecha]],FINANCIACION[PRESTAMO],FINANCIACION[[#This Row],[PRESTAMO]])</f>
        <v>213103.4299999997</v>
      </c>
      <c r="G77" s="7"/>
      <c r="H77" s="53"/>
      <c r="I77" s="5">
        <f>IF(FINANCIACION[[#This Row],[$ CAPITAL]]&gt;0,FINANCIACION[[#This Row],[$ CAPITAL]])</f>
        <v>7000000</v>
      </c>
      <c r="J77" s="33">
        <f>IF(FINANCIACION[[#This Row],[$ CAPITAL]]&gt;=0,FINANCIACION[[#This Row],[$ CAPITAL]]+FINANCIACION[[#This Row],[$ INTERESES]],0)</f>
        <v>7000000</v>
      </c>
    </row>
    <row r="78" spans="1:10" ht="24" hidden="1" customHeight="1" x14ac:dyDescent="0.3">
      <c r="A78" s="131">
        <v>43711</v>
      </c>
      <c r="B78" s="50" t="s">
        <v>147</v>
      </c>
      <c r="C78" s="5">
        <v>3472222</v>
      </c>
      <c r="D78" s="5">
        <v>1096697</v>
      </c>
      <c r="E78" s="5">
        <f>+IF(FINANCIACION[[#This Row],[$ CAPITAL]]&gt;=0,FINANCIACION[[#This Row],[$ CAPITAL]]+FINANCIACION[[#This Row],[$ INTERESES]],"")</f>
        <v>4568919</v>
      </c>
      <c r="F78" s="5">
        <f>+SUMIFS(FINANCIACION[$ CAPITAL],FINANCIACION[Fecha],"&lt;="&amp;FINANCIACION[[#This Row],[Fecha]],FINANCIACION[PRESTAMO],FINANCIACION[[#This Row],[PRESTAMO]])</f>
        <v>-97222224</v>
      </c>
      <c r="G78" s="7"/>
      <c r="H78" s="53"/>
      <c r="I78" s="5">
        <f>IF(FINANCIACION[[#This Row],[$ CAPITAL]]&gt;0,FINANCIACION[[#This Row],[$ CAPITAL]])</f>
        <v>3472222</v>
      </c>
      <c r="J78" s="33">
        <f>IF(FINANCIACION[[#This Row],[$ CAPITAL]]&gt;=0,FINANCIACION[[#This Row],[$ CAPITAL]]+FINANCIACION[[#This Row],[$ INTERESES]],0)</f>
        <v>4568919</v>
      </c>
    </row>
    <row r="79" spans="1:10" ht="24" hidden="1" customHeight="1" x14ac:dyDescent="0.3">
      <c r="A79" s="131">
        <v>43714</v>
      </c>
      <c r="B79" s="50" t="s">
        <v>535</v>
      </c>
      <c r="C79" s="5">
        <v>-1036207.93</v>
      </c>
      <c r="D79" s="5"/>
      <c r="E79" s="5" t="str">
        <f>+IF(FINANCIACION[[#This Row],[$ CAPITAL]]&gt;=0,FINANCIACION[[#This Row],[$ CAPITAL]]+FINANCIACION[[#This Row],[$ INTERESES]],"")</f>
        <v/>
      </c>
      <c r="F79" s="5">
        <f>+SUMIFS(FINANCIACION[$ CAPITAL],FINANCIACION[Fecha],"&lt;="&amp;FINANCIACION[[#This Row],[Fecha]],FINANCIACION[PRESTAMO],FINANCIACION[[#This Row],[PRESTAMO]])</f>
        <v>-823104.50000000035</v>
      </c>
      <c r="G79" s="7"/>
      <c r="H79" s="53"/>
      <c r="I79" s="5" t="b">
        <f>IF(FINANCIACION[[#This Row],[$ CAPITAL]]&gt;0,FINANCIACION[[#This Row],[$ CAPITAL]])</f>
        <v>0</v>
      </c>
      <c r="J79" s="33">
        <f>IF(FINANCIACION[[#This Row],[$ CAPITAL]]&gt;=0,FINANCIACION[[#This Row],[$ CAPITAL]]+FINANCIACION[[#This Row],[$ INTERESES]],0)</f>
        <v>0</v>
      </c>
    </row>
    <row r="80" spans="1:10" ht="24" hidden="1" customHeight="1" x14ac:dyDescent="0.3">
      <c r="A80" s="131">
        <v>43717</v>
      </c>
      <c r="B80" s="50" t="s">
        <v>536</v>
      </c>
      <c r="C80" s="5">
        <v>-10000000</v>
      </c>
      <c r="D80" s="5"/>
      <c r="E80" s="5" t="str">
        <f>+IF(FINANCIACION[[#This Row],[$ CAPITAL]]&gt;=0,FINANCIACION[[#This Row],[$ CAPITAL]]+FINANCIACION[[#This Row],[$ INTERESES]],"")</f>
        <v/>
      </c>
      <c r="F80" s="5">
        <f>+SUMIFS(FINANCIACION[$ CAPITAL],FINANCIACION[Fecha],"&lt;="&amp;FINANCIACION[[#This Row],[Fecha]],FINANCIACION[PRESTAMO],FINANCIACION[[#This Row],[PRESTAMO]])</f>
        <v>-84000000</v>
      </c>
      <c r="G80" s="7"/>
      <c r="H80" s="53"/>
      <c r="I80" s="5" t="b">
        <f>IF(FINANCIACION[[#This Row],[$ CAPITAL]]&gt;0,FINANCIACION[[#This Row],[$ CAPITAL]])</f>
        <v>0</v>
      </c>
      <c r="J80" s="8">
        <f>IF(FINANCIACION[[#This Row],[$ CAPITAL]]&gt;=0,FINANCIACION[[#This Row],[$ CAPITAL]]+FINANCIACION[[#This Row],[$ INTERESES]],0)</f>
        <v>0</v>
      </c>
    </row>
    <row r="81" spans="1:10" ht="24" hidden="1" customHeight="1" x14ac:dyDescent="0.3">
      <c r="A81" s="131">
        <v>43718</v>
      </c>
      <c r="B81" s="50" t="s">
        <v>532</v>
      </c>
      <c r="C81" s="5"/>
      <c r="D81" s="5">
        <v>950000</v>
      </c>
      <c r="E81" s="5">
        <f>+IF(FINANCIACION[[#This Row],[$ CAPITAL]]&gt;=0,FINANCIACION[[#This Row],[$ CAPITAL]]+FINANCIACION[[#This Row],[$ INTERESES]],"")</f>
        <v>950000</v>
      </c>
      <c r="F81" s="5">
        <f>+SUMIFS(FINANCIACION[$ CAPITAL],FINANCIACION[Fecha],"&lt;="&amp;FINANCIACION[[#This Row],[Fecha]],FINANCIACION[PRESTAMO],FINANCIACION[[#This Row],[PRESTAMO]])</f>
        <v>-94935167</v>
      </c>
      <c r="G81" s="7"/>
      <c r="H81" s="53"/>
      <c r="I81" s="5" t="b">
        <f>IF(FINANCIACION[[#This Row],[$ CAPITAL]]&gt;0,FINANCIACION[[#This Row],[$ CAPITAL]])</f>
        <v>0</v>
      </c>
      <c r="J81" s="8">
        <f>IF(FINANCIACION[[#This Row],[$ CAPITAL]]&gt;=0,FINANCIACION[[#This Row],[$ CAPITAL]]+FINANCIACION[[#This Row],[$ INTERESES]],0)</f>
        <v>950000</v>
      </c>
    </row>
    <row r="82" spans="1:10" ht="24" hidden="1" customHeight="1" x14ac:dyDescent="0.3">
      <c r="A82" s="131">
        <v>43718</v>
      </c>
      <c r="B82" s="50" t="s">
        <v>535</v>
      </c>
      <c r="C82" s="5">
        <v>-2626534</v>
      </c>
      <c r="D82" s="5"/>
      <c r="E82" s="5" t="str">
        <f>+IF(FINANCIACION[[#This Row],[$ CAPITAL]]&gt;=0,FINANCIACION[[#This Row],[$ CAPITAL]]+FINANCIACION[[#This Row],[$ INTERESES]],"")</f>
        <v/>
      </c>
      <c r="F82" s="5">
        <f>+SUMIFS(FINANCIACION[$ CAPITAL],FINANCIACION[Fecha],"&lt;="&amp;FINANCIACION[[#This Row],[Fecha]],FINANCIACION[PRESTAMO],FINANCIACION[[#This Row],[PRESTAMO]])</f>
        <v>-3449638.5000000005</v>
      </c>
      <c r="G82" s="7"/>
      <c r="H82" s="53"/>
      <c r="I82" s="5" t="b">
        <f>IF(FINANCIACION[[#This Row],[$ CAPITAL]]&gt;0,FINANCIACION[[#This Row],[$ CAPITAL]])</f>
        <v>0</v>
      </c>
      <c r="J82" s="8">
        <f>IF(FINANCIACION[[#This Row],[$ CAPITAL]]&gt;=0,FINANCIACION[[#This Row],[$ CAPITAL]]+FINANCIACION[[#This Row],[$ INTERESES]],0)</f>
        <v>0</v>
      </c>
    </row>
    <row r="83" spans="1:10" ht="24" hidden="1" customHeight="1" x14ac:dyDescent="0.3">
      <c r="A83" s="131">
        <v>43719</v>
      </c>
      <c r="B83" s="50" t="s">
        <v>535</v>
      </c>
      <c r="C83" s="5">
        <v>-244800</v>
      </c>
      <c r="D83" s="5"/>
      <c r="E83" s="5" t="str">
        <f>+IF(FINANCIACION[[#This Row],[$ CAPITAL]]&gt;=0,FINANCIACION[[#This Row],[$ CAPITAL]]+FINANCIACION[[#This Row],[$ INTERESES]],"")</f>
        <v/>
      </c>
      <c r="F83" s="5">
        <f>+SUMIFS(FINANCIACION[$ CAPITAL],FINANCIACION[Fecha],"&lt;="&amp;FINANCIACION[[#This Row],[Fecha]],FINANCIACION[PRESTAMO],FINANCIACION[[#This Row],[PRESTAMO]])</f>
        <v>-8239721.3200000003</v>
      </c>
      <c r="G83" s="7"/>
      <c r="H83" s="53"/>
      <c r="I83" s="5" t="b">
        <f>IF(FINANCIACION[[#This Row],[$ CAPITAL]]&gt;0,FINANCIACION[[#This Row],[$ CAPITAL]])</f>
        <v>0</v>
      </c>
      <c r="J83" s="8">
        <f>IF(FINANCIACION[[#This Row],[$ CAPITAL]]&gt;=0,FINANCIACION[[#This Row],[$ CAPITAL]]+FINANCIACION[[#This Row],[$ INTERESES]],0)</f>
        <v>0</v>
      </c>
    </row>
    <row r="84" spans="1:10" ht="24" hidden="1" customHeight="1" x14ac:dyDescent="0.3">
      <c r="A84" s="131">
        <v>43719</v>
      </c>
      <c r="B84" s="50" t="s">
        <v>535</v>
      </c>
      <c r="C84" s="5">
        <v>-4545282.82</v>
      </c>
      <c r="D84" s="5"/>
      <c r="E84" s="5" t="str">
        <f>+IF(FINANCIACION[[#This Row],[$ CAPITAL]]&gt;=0,FINANCIACION[[#This Row],[$ CAPITAL]]+FINANCIACION[[#This Row],[$ INTERESES]],"")</f>
        <v/>
      </c>
      <c r="F84" s="5">
        <f>+SUMIFS(FINANCIACION[$ CAPITAL],FINANCIACION[Fecha],"&lt;="&amp;FINANCIACION[[#This Row],[Fecha]],FINANCIACION[PRESTAMO],FINANCIACION[[#This Row],[PRESTAMO]])</f>
        <v>-8239721.3200000003</v>
      </c>
      <c r="G84" s="53"/>
      <c r="H84" s="53"/>
      <c r="I84" s="5" t="b">
        <f>IF(FINANCIACION[[#This Row],[$ CAPITAL]]&gt;0,FINANCIACION[[#This Row],[$ CAPITAL]])</f>
        <v>0</v>
      </c>
      <c r="J84" s="33">
        <f>IF(FINANCIACION[[#This Row],[$ CAPITAL]]&gt;=0,FINANCIACION[[#This Row],[$ CAPITAL]]+FINANCIACION[[#This Row],[$ INTERESES]],0)</f>
        <v>0</v>
      </c>
    </row>
    <row r="85" spans="1:10" ht="24" hidden="1" customHeight="1" x14ac:dyDescent="0.3">
      <c r="A85" s="131">
        <v>43723</v>
      </c>
      <c r="B85" s="50" t="s">
        <v>535</v>
      </c>
      <c r="C85" s="5">
        <v>-97324.79</v>
      </c>
      <c r="D85" s="5">
        <v>97324.790000000008</v>
      </c>
      <c r="E85" s="5" t="str">
        <f>+IF(FINANCIACION[[#This Row],[$ CAPITAL]]&gt;=0,FINANCIACION[[#This Row],[$ CAPITAL]]+FINANCIACION[[#This Row],[$ INTERESES]],"")</f>
        <v/>
      </c>
      <c r="F85" s="5">
        <f>+SUMIFS(FINANCIACION[$ CAPITAL],FINANCIACION[Fecha],"&lt;="&amp;FINANCIACION[[#This Row],[Fecha]],FINANCIACION[PRESTAMO],FINANCIACION[[#This Row],[PRESTAMO]])</f>
        <v>-8337046.1100000003</v>
      </c>
      <c r="G85" s="53"/>
      <c r="H85" s="53"/>
      <c r="I85" s="5" t="b">
        <f>IF(FINANCIACION[[#This Row],[$ CAPITAL]]&gt;0,FINANCIACION[[#This Row],[$ CAPITAL]])</f>
        <v>0</v>
      </c>
      <c r="J85" s="33">
        <f>IF(FINANCIACION[[#This Row],[$ CAPITAL]]&gt;=0,FINANCIACION[[#This Row],[$ CAPITAL]]+FINANCIACION[[#This Row],[$ INTERESES]],0)</f>
        <v>0</v>
      </c>
    </row>
    <row r="86" spans="1:10" ht="24" hidden="1" customHeight="1" x14ac:dyDescent="0.3">
      <c r="A86" s="131">
        <v>43726</v>
      </c>
      <c r="B86" s="50" t="s">
        <v>150</v>
      </c>
      <c r="C86" s="5">
        <v>6250000</v>
      </c>
      <c r="D86" s="5">
        <v>1234283.98</v>
      </c>
      <c r="E86" s="5">
        <f>+IF(FINANCIACION[[#This Row],[$ CAPITAL]]&gt;=0,FINANCIACION[[#This Row],[$ CAPITAL]]+FINANCIACION[[#This Row],[$ INTERESES]],"")</f>
        <v>7484283.9800000004</v>
      </c>
      <c r="F86" s="5">
        <f>+SUMIFS(FINANCIACION[$ CAPITAL],FINANCIACION[Fecha],"&lt;="&amp;FINANCIACION[[#This Row],[Fecha]],FINANCIACION[PRESTAMO],FINANCIACION[[#This Row],[PRESTAMO]])</f>
        <v>-131250000</v>
      </c>
      <c r="G86" s="53"/>
      <c r="H86" s="53"/>
      <c r="I86" s="5">
        <f>IF(FINANCIACION[[#This Row],[$ CAPITAL]]&gt;0,FINANCIACION[[#This Row],[$ CAPITAL]])</f>
        <v>6250000</v>
      </c>
      <c r="J86" s="33">
        <f>IF(FINANCIACION[[#This Row],[$ CAPITAL]]&gt;=0,FINANCIACION[[#This Row],[$ CAPITAL]]+FINANCIACION[[#This Row],[$ INTERESES]],0)</f>
        <v>7484283.9800000004</v>
      </c>
    </row>
    <row r="87" spans="1:10" ht="24" hidden="1" customHeight="1" x14ac:dyDescent="0.3">
      <c r="A87" s="131">
        <v>43726</v>
      </c>
      <c r="B87" s="50" t="s">
        <v>534</v>
      </c>
      <c r="C87" s="5">
        <v>1409118</v>
      </c>
      <c r="D87" s="5">
        <v>4650702</v>
      </c>
      <c r="E87" s="5">
        <f>+IF(FINANCIACION[[#This Row],[$ CAPITAL]]&gt;=0,FINANCIACION[[#This Row],[$ CAPITAL]]+FINANCIACION[[#This Row],[$ INTERESES]],"")</f>
        <v>6059820</v>
      </c>
      <c r="F87" s="5">
        <f>+SUMIFS(FINANCIACION[$ CAPITAL],FINANCIACION[Fecha],"&lt;="&amp;FINANCIACION[[#This Row],[Fecha]],FINANCIACION[PRESTAMO],FINANCIACION[[#This Row],[PRESTAMO]])</f>
        <v>-368992827.03181815</v>
      </c>
      <c r="G87" s="53"/>
      <c r="H87" s="53"/>
      <c r="I87" s="5">
        <f>IF(FINANCIACION[[#This Row],[$ CAPITAL]]&gt;0,FINANCIACION[[#This Row],[$ CAPITAL]])</f>
        <v>1409118</v>
      </c>
      <c r="J87" s="33">
        <f>IF(FINANCIACION[[#This Row],[$ CAPITAL]]&gt;=0,FINANCIACION[[#This Row],[$ CAPITAL]]+FINANCIACION[[#This Row],[$ INTERESES]],0)</f>
        <v>6059820</v>
      </c>
    </row>
    <row r="88" spans="1:10" ht="24" hidden="1" customHeight="1" x14ac:dyDescent="0.3">
      <c r="A88" s="131">
        <v>43727</v>
      </c>
      <c r="B88" s="50" t="s">
        <v>535</v>
      </c>
      <c r="C88" s="5">
        <v>6000000</v>
      </c>
      <c r="D88" s="5"/>
      <c r="E88" s="5">
        <f>+IF(FINANCIACION[[#This Row],[$ CAPITAL]]&gt;=0,FINANCIACION[[#This Row],[$ CAPITAL]]+FINANCIACION[[#This Row],[$ INTERESES]],"")</f>
        <v>6000000</v>
      </c>
      <c r="F88" s="5">
        <f>+SUMIFS(FINANCIACION[$ CAPITAL],FINANCIACION[Fecha],"&lt;="&amp;FINANCIACION[[#This Row],[Fecha]],FINANCIACION[PRESTAMO],FINANCIACION[[#This Row],[PRESTAMO]])</f>
        <v>-4000433.1100000003</v>
      </c>
      <c r="G88" s="53"/>
      <c r="H88" s="53"/>
      <c r="I88" s="5">
        <f>IF(FINANCIACION[[#This Row],[$ CAPITAL]]&gt;0,FINANCIACION[[#This Row],[$ CAPITAL]])</f>
        <v>6000000</v>
      </c>
      <c r="J88" s="33">
        <f>IF(FINANCIACION[[#This Row],[$ CAPITAL]]&gt;=0,FINANCIACION[[#This Row],[$ CAPITAL]]+FINANCIACION[[#This Row],[$ INTERESES]],0)</f>
        <v>6000000</v>
      </c>
    </row>
    <row r="89" spans="1:10" ht="24" hidden="1" customHeight="1" x14ac:dyDescent="0.3">
      <c r="A89" s="131">
        <v>43727</v>
      </c>
      <c r="B89" s="50" t="s">
        <v>535</v>
      </c>
      <c r="C89" s="5">
        <v>-1398740</v>
      </c>
      <c r="D89" s="5"/>
      <c r="E89" s="5" t="str">
        <f>+IF(FINANCIACION[[#This Row],[$ CAPITAL]]&gt;=0,FINANCIACION[[#This Row],[$ CAPITAL]]+FINANCIACION[[#This Row],[$ INTERESES]],"")</f>
        <v/>
      </c>
      <c r="F89" s="5">
        <f>+SUMIFS(FINANCIACION[$ CAPITAL],FINANCIACION[Fecha],"&lt;="&amp;FINANCIACION[[#This Row],[Fecha]],FINANCIACION[PRESTAMO],FINANCIACION[[#This Row],[PRESTAMO]])</f>
        <v>-4000433.1100000003</v>
      </c>
      <c r="G89" s="53"/>
      <c r="H89" s="53"/>
      <c r="I89" s="5" t="b">
        <f>IF(FINANCIACION[[#This Row],[$ CAPITAL]]&gt;0,FINANCIACION[[#This Row],[$ CAPITAL]])</f>
        <v>0</v>
      </c>
      <c r="J89" s="33">
        <f>IF(FINANCIACION[[#This Row],[$ CAPITAL]]&gt;=0,FINANCIACION[[#This Row],[$ CAPITAL]]+FINANCIACION[[#This Row],[$ INTERESES]],0)</f>
        <v>0</v>
      </c>
    </row>
    <row r="90" spans="1:10" ht="24" hidden="1" customHeight="1" x14ac:dyDescent="0.3">
      <c r="A90" s="131">
        <v>43727</v>
      </c>
      <c r="B90" s="50" t="s">
        <v>535</v>
      </c>
      <c r="C90" s="5">
        <v>-179647</v>
      </c>
      <c r="D90" s="5"/>
      <c r="E90" s="5" t="str">
        <f>+IF(FINANCIACION[[#This Row],[$ CAPITAL]]&gt;=0,FINANCIACION[[#This Row],[$ CAPITAL]]+FINANCIACION[[#This Row],[$ INTERESES]],"")</f>
        <v/>
      </c>
      <c r="F90" s="5">
        <f>+SUMIFS(FINANCIACION[$ CAPITAL],FINANCIACION[Fecha],"&lt;="&amp;FINANCIACION[[#This Row],[Fecha]],FINANCIACION[PRESTAMO],FINANCIACION[[#This Row],[PRESTAMO]])</f>
        <v>-4000433.1100000003</v>
      </c>
      <c r="G90" s="53"/>
      <c r="H90" s="53"/>
      <c r="I90" s="5" t="b">
        <f>IF(FINANCIACION[[#This Row],[$ CAPITAL]]&gt;0,FINANCIACION[[#This Row],[$ CAPITAL]])</f>
        <v>0</v>
      </c>
      <c r="J90" s="33">
        <f>IF(FINANCIACION[[#This Row],[$ CAPITAL]]&gt;=0,FINANCIACION[[#This Row],[$ CAPITAL]]+FINANCIACION[[#This Row],[$ INTERESES]],0)</f>
        <v>0</v>
      </c>
    </row>
    <row r="91" spans="1:10" ht="24" hidden="1" customHeight="1" x14ac:dyDescent="0.3">
      <c r="A91" s="131">
        <v>43727</v>
      </c>
      <c r="B91" s="50" t="s">
        <v>535</v>
      </c>
      <c r="C91" s="5">
        <v>-85000</v>
      </c>
      <c r="D91" s="5"/>
      <c r="E91" s="5" t="str">
        <f>+IF(FINANCIACION[[#This Row],[$ CAPITAL]]&gt;=0,FINANCIACION[[#This Row],[$ CAPITAL]]+FINANCIACION[[#This Row],[$ INTERESES]],"")</f>
        <v/>
      </c>
      <c r="F91" s="5">
        <f>+SUMIFS(FINANCIACION[$ CAPITAL],FINANCIACION[Fecha],"&lt;="&amp;FINANCIACION[[#This Row],[Fecha]],FINANCIACION[PRESTAMO],FINANCIACION[[#This Row],[PRESTAMO]])</f>
        <v>-4000433.1100000003</v>
      </c>
      <c r="G91" s="53"/>
      <c r="H91" s="53"/>
      <c r="I91" s="5" t="b">
        <f>IF(FINANCIACION[[#This Row],[$ CAPITAL]]&gt;0,FINANCIACION[[#This Row],[$ CAPITAL]])</f>
        <v>0</v>
      </c>
      <c r="J91" s="33">
        <f>IF(FINANCIACION[[#This Row],[$ CAPITAL]]&gt;=0,FINANCIACION[[#This Row],[$ CAPITAL]]+FINANCIACION[[#This Row],[$ INTERESES]],0)</f>
        <v>0</v>
      </c>
    </row>
    <row r="92" spans="1:10" ht="24" hidden="1" customHeight="1" x14ac:dyDescent="0.3">
      <c r="A92" s="131">
        <v>43728</v>
      </c>
      <c r="B92" s="50" t="s">
        <v>533</v>
      </c>
      <c r="C92" s="5">
        <v>260000</v>
      </c>
      <c r="D92" s="5">
        <v>740000</v>
      </c>
      <c r="E92" s="5">
        <f>+IF(FINANCIACION[[#This Row],[$ CAPITAL]]&gt;=0,FINANCIACION[[#This Row],[$ CAPITAL]]+FINANCIACION[[#This Row],[$ INTERESES]],"")</f>
        <v>1000000</v>
      </c>
      <c r="F92" s="5">
        <f>+SUMIFS(FINANCIACION[$ CAPITAL],FINANCIACION[Fecha],"&lt;="&amp;FINANCIACION[[#This Row],[Fecha]],FINANCIACION[PRESTAMO],FINANCIACION[[#This Row],[PRESTAMO]])</f>
        <v>-59289154</v>
      </c>
      <c r="G92" s="7"/>
      <c r="H92" s="53"/>
      <c r="I92" s="5">
        <f>IF(FINANCIACION[[#This Row],[$ CAPITAL]]&gt;0,FINANCIACION[[#This Row],[$ CAPITAL]])</f>
        <v>260000</v>
      </c>
      <c r="J92" s="33">
        <f>IF(FINANCIACION[[#This Row],[$ CAPITAL]]&gt;=0,FINANCIACION[[#This Row],[$ CAPITAL]]+FINANCIACION[[#This Row],[$ INTERESES]],0)</f>
        <v>1000000</v>
      </c>
    </row>
    <row r="93" spans="1:10" ht="24" hidden="1" customHeight="1" x14ac:dyDescent="0.3">
      <c r="A93" s="131">
        <v>43731</v>
      </c>
      <c r="B93" s="50" t="s">
        <v>535</v>
      </c>
      <c r="C93" s="5">
        <v>-153982.59</v>
      </c>
      <c r="D93" s="5"/>
      <c r="E93" s="5" t="str">
        <f>+IF(FINANCIACION[[#This Row],[$ CAPITAL]]&gt;=0,FINANCIACION[[#This Row],[$ CAPITAL]]+FINANCIACION[[#This Row],[$ INTERESES]],"")</f>
        <v/>
      </c>
      <c r="F93" s="5">
        <f>+SUMIFS(FINANCIACION[$ CAPITAL],FINANCIACION[Fecha],"&lt;="&amp;FINANCIACION[[#This Row],[Fecha]],FINANCIACION[PRESTAMO],FINANCIACION[[#This Row],[PRESTAMO]])</f>
        <v>-4154415.7</v>
      </c>
      <c r="G93" s="7"/>
      <c r="H93" s="53"/>
      <c r="I93" s="5" t="b">
        <f>IF(FINANCIACION[[#This Row],[$ CAPITAL]]&gt;0,FINANCIACION[[#This Row],[$ CAPITAL]])</f>
        <v>0</v>
      </c>
      <c r="J93" s="33">
        <f>IF(FINANCIACION[[#This Row],[$ CAPITAL]]&gt;=0,FINANCIACION[[#This Row],[$ CAPITAL]]+FINANCIACION[[#This Row],[$ INTERESES]],0)</f>
        <v>0</v>
      </c>
    </row>
    <row r="94" spans="1:10" ht="24" hidden="1" customHeight="1" x14ac:dyDescent="0.3">
      <c r="A94" s="131">
        <v>43733</v>
      </c>
      <c r="B94" s="50" t="s">
        <v>146</v>
      </c>
      <c r="C94" s="5">
        <v>1250000</v>
      </c>
      <c r="D94" s="5">
        <v>305659</v>
      </c>
      <c r="E94" s="5">
        <f>+IF(FINANCIACION[[#This Row],[$ CAPITAL]]&gt;=0,FINANCIACION[[#This Row],[$ CAPITAL]]+FINANCIACION[[#This Row],[$ INTERESES]],"")</f>
        <v>1555659</v>
      </c>
      <c r="F94" s="5">
        <f>+SUMIFS(FINANCIACION[$ CAPITAL],FINANCIACION[Fecha],"&lt;="&amp;FINANCIACION[[#This Row],[Fecha]],FINANCIACION[PRESTAMO],FINANCIACION[[#This Row],[PRESTAMO]])</f>
        <v>-23750000</v>
      </c>
      <c r="G94" s="7"/>
      <c r="H94" s="53"/>
      <c r="I94" s="5">
        <f>IF(FINANCIACION[[#This Row],[$ CAPITAL]]&gt;0,FINANCIACION[[#This Row],[$ CAPITAL]])</f>
        <v>1250000</v>
      </c>
      <c r="J94" s="33">
        <f>IF(FINANCIACION[[#This Row],[$ CAPITAL]]&gt;=0,FINANCIACION[[#This Row],[$ CAPITAL]]+FINANCIACION[[#This Row],[$ INTERESES]],0)</f>
        <v>1555659</v>
      </c>
    </row>
    <row r="95" spans="1:10" ht="24" hidden="1" customHeight="1" x14ac:dyDescent="0.3">
      <c r="A95" s="131">
        <v>43734</v>
      </c>
      <c r="B95" s="50" t="s">
        <v>535</v>
      </c>
      <c r="C95" s="5">
        <v>-27977629</v>
      </c>
      <c r="D95" s="5"/>
      <c r="E95" s="5" t="str">
        <f>+IF(FINANCIACION[[#This Row],[$ CAPITAL]]&gt;=0,FINANCIACION[[#This Row],[$ CAPITAL]]+FINANCIACION[[#This Row],[$ INTERESES]],"")</f>
        <v/>
      </c>
      <c r="F95" s="5">
        <f>+SUMIFS(FINANCIACION[$ CAPITAL],FINANCIACION[Fecha],"&lt;="&amp;FINANCIACION[[#This Row],[Fecha]],FINANCIACION[PRESTAMO],FINANCIACION[[#This Row],[PRESTAMO]])</f>
        <v>-32132044.699999999</v>
      </c>
      <c r="G95" s="7"/>
      <c r="H95" s="53"/>
      <c r="I95" s="5" t="b">
        <f>IF(FINANCIACION[[#This Row],[$ CAPITAL]]&gt;0,FINANCIACION[[#This Row],[$ CAPITAL]])</f>
        <v>0</v>
      </c>
      <c r="J95" s="33">
        <f>IF(FINANCIACION[[#This Row],[$ CAPITAL]]&gt;=0,FINANCIACION[[#This Row],[$ CAPITAL]]+FINANCIACION[[#This Row],[$ INTERESES]],0)</f>
        <v>0</v>
      </c>
    </row>
    <row r="96" spans="1:10" ht="24" hidden="1" customHeight="1" x14ac:dyDescent="0.3">
      <c r="A96" s="131">
        <v>43738</v>
      </c>
      <c r="B96" s="50" t="s">
        <v>535</v>
      </c>
      <c r="C96" s="5">
        <v>-2074108</v>
      </c>
      <c r="D96" s="5"/>
      <c r="E96" s="5" t="str">
        <f>+IF(FINANCIACION[[#This Row],[$ CAPITAL]]&gt;=0,FINANCIACION[[#This Row],[$ CAPITAL]]+FINANCIACION[[#This Row],[$ INTERESES]],"")</f>
        <v/>
      </c>
      <c r="F96" s="5">
        <f>+SUMIFS(FINANCIACION[$ CAPITAL],FINANCIACION[Fecha],"&lt;="&amp;FINANCIACION[[#This Row],[Fecha]],FINANCIACION[PRESTAMO],FINANCIACION[[#This Row],[PRESTAMO]])</f>
        <v>-34206152.700000003</v>
      </c>
      <c r="G96" s="7"/>
      <c r="H96" s="53"/>
      <c r="I96" s="5" t="b">
        <f>IF(FINANCIACION[[#This Row],[$ CAPITAL]]&gt;0,FINANCIACION[[#This Row],[$ CAPITAL]])</f>
        <v>0</v>
      </c>
      <c r="J96" s="33">
        <f>IF(FINANCIACION[[#This Row],[$ CAPITAL]]&gt;=0,FINANCIACION[[#This Row],[$ CAPITAL]]+FINANCIACION[[#This Row],[$ INTERESES]],0)</f>
        <v>0</v>
      </c>
    </row>
    <row r="97" spans="1:10" ht="24" hidden="1" customHeight="1" x14ac:dyDescent="0.3">
      <c r="A97" s="131">
        <v>43740</v>
      </c>
      <c r="B97" s="50" t="s">
        <v>535</v>
      </c>
      <c r="C97" s="5">
        <v>2000000</v>
      </c>
      <c r="D97" s="5"/>
      <c r="E97" s="5">
        <f>+IF(FINANCIACION[[#This Row],[$ CAPITAL]]&gt;=0,FINANCIACION[[#This Row],[$ CAPITAL]]+FINANCIACION[[#This Row],[$ INTERESES]],"")</f>
        <v>2000000</v>
      </c>
      <c r="F97" s="5">
        <f>+SUMIFS(FINANCIACION[$ CAPITAL],FINANCIACION[Fecha],"&lt;="&amp;FINANCIACION[[#This Row],[Fecha]],FINANCIACION[PRESTAMO],FINANCIACION[[#This Row],[PRESTAMO]])</f>
        <v>-32206152.700000003</v>
      </c>
      <c r="G97" s="7"/>
      <c r="H97" s="53"/>
      <c r="I97" s="5">
        <f>IF(FINANCIACION[[#This Row],[$ CAPITAL]]&gt;0,FINANCIACION[[#This Row],[$ CAPITAL]])</f>
        <v>2000000</v>
      </c>
      <c r="J97" s="33">
        <f>IF(FINANCIACION[[#This Row],[$ CAPITAL]]&gt;=0,FINANCIACION[[#This Row],[$ CAPITAL]]+FINANCIACION[[#This Row],[$ INTERESES]],0)</f>
        <v>2000000</v>
      </c>
    </row>
    <row r="98" spans="1:10" ht="24" hidden="1" customHeight="1" x14ac:dyDescent="0.3">
      <c r="A98" s="131">
        <v>43741</v>
      </c>
      <c r="B98" s="50" t="s">
        <v>147</v>
      </c>
      <c r="C98" s="5">
        <v>3472222</v>
      </c>
      <c r="D98" s="5">
        <v>1053808</v>
      </c>
      <c r="E98" s="5">
        <f>+IF(FINANCIACION[[#This Row],[$ CAPITAL]]&gt;=0,FINANCIACION[[#This Row],[$ CAPITAL]]+FINANCIACION[[#This Row],[$ INTERESES]],"")</f>
        <v>4526030</v>
      </c>
      <c r="F98" s="5">
        <f>+SUMIFS(FINANCIACION[$ CAPITAL],FINANCIACION[Fecha],"&lt;="&amp;FINANCIACION[[#This Row],[Fecha]],FINANCIACION[PRESTAMO],FINANCIACION[[#This Row],[PRESTAMO]])</f>
        <v>-93750002</v>
      </c>
      <c r="G98" s="7"/>
      <c r="H98" s="53"/>
      <c r="I98" s="5">
        <f>IF(FINANCIACION[[#This Row],[$ CAPITAL]]&gt;0,FINANCIACION[[#This Row],[$ CAPITAL]])</f>
        <v>3472222</v>
      </c>
      <c r="J98" s="33">
        <f>IF(FINANCIACION[[#This Row],[$ CAPITAL]]&gt;=0,FINANCIACION[[#This Row],[$ CAPITAL]]+FINANCIACION[[#This Row],[$ INTERESES]],0)</f>
        <v>4526030</v>
      </c>
    </row>
    <row r="99" spans="1:10" ht="24" hidden="1" customHeight="1" x14ac:dyDescent="0.3">
      <c r="A99" s="131">
        <v>43742</v>
      </c>
      <c r="B99" s="50" t="s">
        <v>535</v>
      </c>
      <c r="C99" s="5">
        <v>2500000</v>
      </c>
      <c r="D99" s="5">
        <v>470066.66000000015</v>
      </c>
      <c r="E99" s="5">
        <f>+IF(FINANCIACION[[#This Row],[$ CAPITAL]]&gt;=0,FINANCIACION[[#This Row],[$ CAPITAL]]+FINANCIACION[[#This Row],[$ INTERESES]],"")</f>
        <v>2970066.66</v>
      </c>
      <c r="F99" s="5">
        <f>+SUMIFS(FINANCIACION[$ CAPITAL],FINANCIACION[Fecha],"&lt;="&amp;FINANCIACION[[#This Row],[Fecha]],FINANCIACION[PRESTAMO],FINANCIACION[[#This Row],[PRESTAMO]])</f>
        <v>-29706152.700000003</v>
      </c>
      <c r="G99" s="7"/>
      <c r="H99" s="53"/>
      <c r="I99" s="5">
        <f>IF(FINANCIACION[[#This Row],[$ CAPITAL]]&gt;0,FINANCIACION[[#This Row],[$ CAPITAL]])</f>
        <v>2500000</v>
      </c>
      <c r="J99" s="33">
        <f>IF(FINANCIACION[[#This Row],[$ CAPITAL]]&gt;=0,FINANCIACION[[#This Row],[$ CAPITAL]]+FINANCIACION[[#This Row],[$ INTERESES]],0)</f>
        <v>2970066.66</v>
      </c>
    </row>
    <row r="100" spans="1:10" ht="24" hidden="1" customHeight="1" x14ac:dyDescent="0.3">
      <c r="A100" s="131">
        <v>43748</v>
      </c>
      <c r="B100" s="50" t="s">
        <v>532</v>
      </c>
      <c r="C100" s="5"/>
      <c r="D100" s="5">
        <v>950000</v>
      </c>
      <c r="E100" s="5">
        <f>+IF(FINANCIACION[[#This Row],[$ CAPITAL]]&gt;=0,FINANCIACION[[#This Row],[$ CAPITAL]]+FINANCIACION[[#This Row],[$ INTERESES]],"")</f>
        <v>950000</v>
      </c>
      <c r="F100" s="5">
        <f>+SUMIFS(FINANCIACION[$ CAPITAL],FINANCIACION[Fecha],"&lt;="&amp;FINANCIACION[[#This Row],[Fecha]],FINANCIACION[PRESTAMO],FINANCIACION[[#This Row],[PRESTAMO]])</f>
        <v>-94935167</v>
      </c>
      <c r="G100" s="7"/>
      <c r="H100" s="53"/>
      <c r="I100" s="5" t="b">
        <f>IF(FINANCIACION[[#This Row],[$ CAPITAL]]&gt;0,FINANCIACION[[#This Row],[$ CAPITAL]])</f>
        <v>0</v>
      </c>
      <c r="J100" s="33">
        <f>IF(FINANCIACION[[#This Row],[$ CAPITAL]]&gt;=0,FINANCIACION[[#This Row],[$ CAPITAL]]+FINANCIACION[[#This Row],[$ INTERESES]],0)</f>
        <v>950000</v>
      </c>
    </row>
    <row r="101" spans="1:10" ht="24" hidden="1" customHeight="1" x14ac:dyDescent="0.3">
      <c r="A101" s="131">
        <v>43748</v>
      </c>
      <c r="B101" s="50" t="s">
        <v>535</v>
      </c>
      <c r="C101" s="5">
        <v>3000000</v>
      </c>
      <c r="D101" s="5"/>
      <c r="E101" s="5">
        <f>+IF(FINANCIACION[[#This Row],[$ CAPITAL]]&gt;=0,FINANCIACION[[#This Row],[$ CAPITAL]]+FINANCIACION[[#This Row],[$ INTERESES]],"")</f>
        <v>3000000</v>
      </c>
      <c r="F101" s="5">
        <f>+SUMIFS(FINANCIACION[$ CAPITAL],FINANCIACION[Fecha],"&lt;="&amp;FINANCIACION[[#This Row],[Fecha]],FINANCIACION[PRESTAMO],FINANCIACION[[#This Row],[PRESTAMO]])</f>
        <v>-26706152.700000003</v>
      </c>
      <c r="G101" s="7"/>
      <c r="H101" s="53"/>
      <c r="I101" s="5">
        <f>IF(FINANCIACION[[#This Row],[$ CAPITAL]]&gt;0,FINANCIACION[[#This Row],[$ CAPITAL]])</f>
        <v>3000000</v>
      </c>
      <c r="J101" s="33">
        <f>IF(FINANCIACION[[#This Row],[$ CAPITAL]]&gt;=0,FINANCIACION[[#This Row],[$ CAPITAL]]+FINANCIACION[[#This Row],[$ INTERESES]],0)</f>
        <v>3000000</v>
      </c>
    </row>
    <row r="102" spans="1:10" ht="24" hidden="1" customHeight="1" x14ac:dyDescent="0.3">
      <c r="A102" s="131">
        <v>43753</v>
      </c>
      <c r="B102" s="50" t="s">
        <v>535</v>
      </c>
      <c r="C102" s="5">
        <v>-92202</v>
      </c>
      <c r="D102" s="5"/>
      <c r="E102" s="5" t="str">
        <f>+IF(FINANCIACION[[#This Row],[$ CAPITAL]]&gt;=0,FINANCIACION[[#This Row],[$ CAPITAL]]+FINANCIACION[[#This Row],[$ INTERESES]],"")</f>
        <v/>
      </c>
      <c r="F102" s="5">
        <f>+SUMIFS(FINANCIACION[$ CAPITAL],FINANCIACION[Fecha],"&lt;="&amp;FINANCIACION[[#This Row],[Fecha]],FINANCIACION[PRESTAMO],FINANCIACION[[#This Row],[PRESTAMO]])</f>
        <v>-26798354.700000003</v>
      </c>
      <c r="G102" s="7"/>
      <c r="H102" s="53"/>
      <c r="I102" s="5" t="b">
        <f>IF(FINANCIACION[[#This Row],[$ CAPITAL]]&gt;0,FINANCIACION[[#This Row],[$ CAPITAL]])</f>
        <v>0</v>
      </c>
      <c r="J102" s="33">
        <f>IF(FINANCIACION[[#This Row],[$ CAPITAL]]&gt;=0,FINANCIACION[[#This Row],[$ CAPITAL]]+FINANCIACION[[#This Row],[$ INTERESES]],0)</f>
        <v>0</v>
      </c>
    </row>
    <row r="103" spans="1:10" ht="24" hidden="1" customHeight="1" x14ac:dyDescent="0.3">
      <c r="A103" s="131">
        <v>43754</v>
      </c>
      <c r="B103" s="50" t="s">
        <v>535</v>
      </c>
      <c r="C103" s="5">
        <v>-5877675.5300000003</v>
      </c>
      <c r="D103" s="5"/>
      <c r="E103" s="5" t="str">
        <f>+IF(FINANCIACION[[#This Row],[$ CAPITAL]]&gt;=0,FINANCIACION[[#This Row],[$ CAPITAL]]+FINANCIACION[[#This Row],[$ INTERESES]],"")</f>
        <v/>
      </c>
      <c r="F103" s="5">
        <f>+SUMIFS(FINANCIACION[$ CAPITAL],FINANCIACION[Fecha],"&lt;="&amp;FINANCIACION[[#This Row],[Fecha]],FINANCIACION[PRESTAMO],FINANCIACION[[#This Row],[PRESTAMO]])</f>
        <v>-34784152.560000002</v>
      </c>
      <c r="G103" s="7"/>
      <c r="H103" s="53"/>
      <c r="I103" s="5" t="b">
        <f>IF(FINANCIACION[[#This Row],[$ CAPITAL]]&gt;0,FINANCIACION[[#This Row],[$ CAPITAL]])</f>
        <v>0</v>
      </c>
      <c r="J103" s="33">
        <f>IF(FINANCIACION[[#This Row],[$ CAPITAL]]&gt;=0,FINANCIACION[[#This Row],[$ CAPITAL]]+FINANCIACION[[#This Row],[$ INTERESES]],0)</f>
        <v>0</v>
      </c>
    </row>
    <row r="104" spans="1:10" ht="24" hidden="1" customHeight="1" x14ac:dyDescent="0.3">
      <c r="A104" s="131">
        <v>43754</v>
      </c>
      <c r="B104" s="50" t="s">
        <v>535</v>
      </c>
      <c r="C104" s="5">
        <v>-2108122.33</v>
      </c>
      <c r="D104" s="5"/>
      <c r="E104" s="5" t="str">
        <f>+IF(FINANCIACION[[#This Row],[$ CAPITAL]]&gt;=0,FINANCIACION[[#This Row],[$ CAPITAL]]+FINANCIACION[[#This Row],[$ INTERESES]],"")</f>
        <v/>
      </c>
      <c r="F104" s="5">
        <f>+SUMIFS(FINANCIACION[$ CAPITAL],FINANCIACION[Fecha],"&lt;="&amp;FINANCIACION[[#This Row],[Fecha]],FINANCIACION[PRESTAMO],FINANCIACION[[#This Row],[PRESTAMO]])</f>
        <v>-34784152.560000002</v>
      </c>
      <c r="G104" s="7"/>
      <c r="H104" s="53"/>
      <c r="I104" s="5" t="b">
        <f>IF(FINANCIACION[[#This Row],[$ CAPITAL]]&gt;0,FINANCIACION[[#This Row],[$ CAPITAL]])</f>
        <v>0</v>
      </c>
      <c r="J104" s="33">
        <f>IF(FINANCIACION[[#This Row],[$ CAPITAL]]&gt;=0,FINANCIACION[[#This Row],[$ CAPITAL]]+FINANCIACION[[#This Row],[$ INTERESES]],0)</f>
        <v>0</v>
      </c>
    </row>
    <row r="105" spans="1:10" ht="24" hidden="1" customHeight="1" x14ac:dyDescent="0.3">
      <c r="A105" s="131">
        <v>43756</v>
      </c>
      <c r="B105" s="50" t="s">
        <v>150</v>
      </c>
      <c r="C105" s="5">
        <v>6250000</v>
      </c>
      <c r="D105" s="5">
        <v>1184067.07</v>
      </c>
      <c r="E105" s="5">
        <f>+IF(FINANCIACION[[#This Row],[$ CAPITAL]]&gt;=0,FINANCIACION[[#This Row],[$ CAPITAL]]+FINANCIACION[[#This Row],[$ INTERESES]],"")</f>
        <v>7434067.0700000003</v>
      </c>
      <c r="F105" s="5">
        <f>+SUMIFS(FINANCIACION[$ CAPITAL],FINANCIACION[Fecha],"&lt;="&amp;FINANCIACION[[#This Row],[Fecha]],FINANCIACION[PRESTAMO],FINANCIACION[[#This Row],[PRESTAMO]])</f>
        <v>-125000000</v>
      </c>
      <c r="G105" s="7"/>
      <c r="H105" s="53"/>
      <c r="I105" s="5">
        <f>IF(FINANCIACION[[#This Row],[$ CAPITAL]]&gt;0,FINANCIACION[[#This Row],[$ CAPITAL]])</f>
        <v>6250000</v>
      </c>
      <c r="J105" s="33">
        <f>IF(FINANCIACION[[#This Row],[$ CAPITAL]]&gt;=0,FINANCIACION[[#This Row],[$ CAPITAL]]+FINANCIACION[[#This Row],[$ INTERESES]],0)</f>
        <v>7434067.0700000003</v>
      </c>
    </row>
    <row r="106" spans="1:10" ht="24" hidden="1" customHeight="1" x14ac:dyDescent="0.3">
      <c r="A106" s="131">
        <v>43756</v>
      </c>
      <c r="B106" s="50" t="s">
        <v>534</v>
      </c>
      <c r="C106" s="5">
        <v>1426306</v>
      </c>
      <c r="D106" s="5">
        <v>4592899</v>
      </c>
      <c r="E106" s="5">
        <f>+IF(FINANCIACION[[#This Row],[$ CAPITAL]]&gt;=0,FINANCIACION[[#This Row],[$ CAPITAL]]+FINANCIACION[[#This Row],[$ INTERESES]],"")</f>
        <v>6019205</v>
      </c>
      <c r="F106" s="5">
        <f>+SUMIFS(FINANCIACION[$ CAPITAL],FINANCIACION[Fecha],"&lt;="&amp;FINANCIACION[[#This Row],[Fecha]],FINANCIACION[PRESTAMO],FINANCIACION[[#This Row],[PRESTAMO]])</f>
        <v>-367566521.03181815</v>
      </c>
      <c r="G106" s="7"/>
      <c r="H106" s="53"/>
      <c r="I106" s="5">
        <f>IF(FINANCIACION[[#This Row],[$ CAPITAL]]&gt;0,FINANCIACION[[#This Row],[$ CAPITAL]])</f>
        <v>1426306</v>
      </c>
      <c r="J106" s="33">
        <f>IF(FINANCIACION[[#This Row],[$ CAPITAL]]&gt;=0,FINANCIACION[[#This Row],[$ CAPITAL]]+FINANCIACION[[#This Row],[$ INTERESES]],0)</f>
        <v>6019205</v>
      </c>
    </row>
    <row r="107" spans="1:10" ht="24" hidden="1" customHeight="1" x14ac:dyDescent="0.3">
      <c r="A107" s="131">
        <v>43758</v>
      </c>
      <c r="B107" s="50" t="s">
        <v>535</v>
      </c>
      <c r="C107" s="5">
        <v>-89902</v>
      </c>
      <c r="D107" s="5"/>
      <c r="E107" s="5" t="str">
        <f>+IF(FINANCIACION[[#This Row],[$ CAPITAL]]&gt;=0,FINANCIACION[[#This Row],[$ CAPITAL]]+FINANCIACION[[#This Row],[$ INTERESES]],"")</f>
        <v/>
      </c>
      <c r="F107" s="5">
        <f>+SUMIFS(FINANCIACION[$ CAPITAL],FINANCIACION[Fecha],"&lt;="&amp;FINANCIACION[[#This Row],[Fecha]],FINANCIACION[PRESTAMO],FINANCIACION[[#This Row],[PRESTAMO]])</f>
        <v>-34874054.560000002</v>
      </c>
      <c r="G107" s="7"/>
      <c r="H107" s="53"/>
      <c r="I107" s="5" t="b">
        <f>IF(FINANCIACION[[#This Row],[$ CAPITAL]]&gt;0,FINANCIACION[[#This Row],[$ CAPITAL]])</f>
        <v>0</v>
      </c>
      <c r="J107" s="33">
        <f>IF(FINANCIACION[[#This Row],[$ CAPITAL]]&gt;=0,FINANCIACION[[#This Row],[$ CAPITAL]]+FINANCIACION[[#This Row],[$ INTERESES]],0)</f>
        <v>0</v>
      </c>
    </row>
    <row r="108" spans="1:10" ht="24" hidden="1" customHeight="1" x14ac:dyDescent="0.3">
      <c r="A108" s="131">
        <v>43759</v>
      </c>
      <c r="B108" s="50" t="s">
        <v>533</v>
      </c>
      <c r="C108" s="5">
        <v>260000</v>
      </c>
      <c r="D108" s="5">
        <v>740000</v>
      </c>
      <c r="E108" s="5">
        <f>+IF(FINANCIACION[[#This Row],[$ CAPITAL]]&gt;=0,FINANCIACION[[#This Row],[$ CAPITAL]]+FINANCIACION[[#This Row],[$ INTERESES]],"")</f>
        <v>1000000</v>
      </c>
      <c r="F108" s="5">
        <f>+SUMIFS(FINANCIACION[$ CAPITAL],FINANCIACION[Fecha],"&lt;="&amp;FINANCIACION[[#This Row],[Fecha]],FINANCIACION[PRESTAMO],FINANCIACION[[#This Row],[PRESTAMO]])</f>
        <v>-59029154</v>
      </c>
      <c r="G108" s="7"/>
      <c r="H108" s="53"/>
      <c r="I108" s="5">
        <f>IF(FINANCIACION[[#This Row],[$ CAPITAL]]&gt;0,FINANCIACION[[#This Row],[$ CAPITAL]])</f>
        <v>260000</v>
      </c>
      <c r="J108" s="33">
        <f>IF(FINANCIACION[[#This Row],[$ CAPITAL]]&gt;=0,FINANCIACION[[#This Row],[$ CAPITAL]]+FINANCIACION[[#This Row],[$ INTERESES]],0)</f>
        <v>1000000</v>
      </c>
    </row>
    <row r="109" spans="1:10" ht="24" hidden="1" customHeight="1" x14ac:dyDescent="0.3">
      <c r="A109" s="131">
        <v>43760</v>
      </c>
      <c r="B109" s="50" t="s">
        <v>535</v>
      </c>
      <c r="C109" s="5">
        <v>-1837182.36</v>
      </c>
      <c r="D109" s="5"/>
      <c r="E109" s="5" t="str">
        <f>+IF(FINANCIACION[[#This Row],[$ CAPITAL]]&gt;=0,FINANCIACION[[#This Row],[$ CAPITAL]]+FINANCIACION[[#This Row],[$ INTERESES]],"")</f>
        <v/>
      </c>
      <c r="F109" s="5">
        <f>+SUMIFS(FINANCIACION[$ CAPITAL],FINANCIACION[Fecha],"&lt;="&amp;FINANCIACION[[#This Row],[Fecha]],FINANCIACION[PRESTAMO],FINANCIACION[[#This Row],[PRESTAMO]])</f>
        <v>-36711236.920000002</v>
      </c>
      <c r="G109" s="7"/>
      <c r="H109" s="53"/>
      <c r="I109" s="5" t="b">
        <f>IF(FINANCIACION[[#This Row],[$ CAPITAL]]&gt;0,FINANCIACION[[#This Row],[$ CAPITAL]])</f>
        <v>0</v>
      </c>
      <c r="J109" s="33">
        <f>IF(FINANCIACION[[#This Row],[$ CAPITAL]]&gt;=0,FINANCIACION[[#This Row],[$ CAPITAL]]+FINANCIACION[[#This Row],[$ INTERESES]],0)</f>
        <v>0</v>
      </c>
    </row>
    <row r="110" spans="1:10" ht="24" hidden="1" customHeight="1" x14ac:dyDescent="0.3">
      <c r="A110" s="131">
        <v>43761</v>
      </c>
      <c r="B110" s="50" t="s">
        <v>535</v>
      </c>
      <c r="C110" s="5">
        <v>2000000</v>
      </c>
      <c r="D110" s="5"/>
      <c r="E110" s="5">
        <f>+IF(FINANCIACION[[#This Row],[$ CAPITAL]]&gt;=0,FINANCIACION[[#This Row],[$ CAPITAL]]+FINANCIACION[[#This Row],[$ INTERESES]],"")</f>
        <v>2000000</v>
      </c>
      <c r="F110" s="5">
        <f>+SUMIFS(FINANCIACION[$ CAPITAL],FINANCIACION[Fecha],"&lt;="&amp;FINANCIACION[[#This Row],[Fecha]],FINANCIACION[PRESTAMO],FINANCIACION[[#This Row],[PRESTAMO]])</f>
        <v>-32927774.380000003</v>
      </c>
      <c r="G110" s="7"/>
      <c r="H110" s="53"/>
      <c r="I110" s="5">
        <f>IF(FINANCIACION[[#This Row],[$ CAPITAL]]&gt;0,FINANCIACION[[#This Row],[$ CAPITAL]])</f>
        <v>2000000</v>
      </c>
      <c r="J110" s="33">
        <f>IF(FINANCIACION[[#This Row],[$ CAPITAL]]&gt;=0,FINANCIACION[[#This Row],[$ CAPITAL]]+FINANCIACION[[#This Row],[$ INTERESES]],0)</f>
        <v>2000000</v>
      </c>
    </row>
    <row r="111" spans="1:10" ht="24" hidden="1" customHeight="1" x14ac:dyDescent="0.3">
      <c r="A111" s="131">
        <v>43761</v>
      </c>
      <c r="B111" s="50" t="s">
        <v>535</v>
      </c>
      <c r="C111" s="5">
        <v>2000000</v>
      </c>
      <c r="D111" s="5"/>
      <c r="E111" s="5">
        <f>+IF(FINANCIACION[[#This Row],[$ CAPITAL]]&gt;=0,FINANCIACION[[#This Row],[$ CAPITAL]]+FINANCIACION[[#This Row],[$ INTERESES]],"")</f>
        <v>2000000</v>
      </c>
      <c r="F111" s="5">
        <f>+SUMIFS(FINANCIACION[$ CAPITAL],FINANCIACION[Fecha],"&lt;="&amp;FINANCIACION[[#This Row],[Fecha]],FINANCIACION[PRESTAMO],FINANCIACION[[#This Row],[PRESTAMO]])</f>
        <v>-32927774.380000003</v>
      </c>
      <c r="G111" s="7"/>
      <c r="H111" s="53"/>
      <c r="I111" s="5">
        <f>IF(FINANCIACION[[#This Row],[$ CAPITAL]]&gt;0,FINANCIACION[[#This Row],[$ CAPITAL]])</f>
        <v>2000000</v>
      </c>
      <c r="J111" s="33">
        <f>IF(FINANCIACION[[#This Row],[$ CAPITAL]]&gt;=0,FINANCIACION[[#This Row],[$ CAPITAL]]+FINANCIACION[[#This Row],[$ INTERESES]],0)</f>
        <v>2000000</v>
      </c>
    </row>
    <row r="112" spans="1:10" ht="24" hidden="1" customHeight="1" x14ac:dyDescent="0.3">
      <c r="A112" s="131">
        <v>43761</v>
      </c>
      <c r="B112" s="50" t="s">
        <v>535</v>
      </c>
      <c r="C112" s="5">
        <v>-216537.46</v>
      </c>
      <c r="D112" s="5"/>
      <c r="E112" s="5" t="str">
        <f>+IF(FINANCIACION[[#This Row],[$ CAPITAL]]&gt;=0,FINANCIACION[[#This Row],[$ CAPITAL]]+FINANCIACION[[#This Row],[$ INTERESES]],"")</f>
        <v/>
      </c>
      <c r="F112" s="5">
        <f>+SUMIFS(FINANCIACION[$ CAPITAL],FINANCIACION[Fecha],"&lt;="&amp;FINANCIACION[[#This Row],[Fecha]],FINANCIACION[PRESTAMO],FINANCIACION[[#This Row],[PRESTAMO]])</f>
        <v>-32927774.380000003</v>
      </c>
      <c r="G112" s="7"/>
      <c r="H112" s="53"/>
      <c r="I112" s="5" t="b">
        <f>IF(FINANCIACION[[#This Row],[$ CAPITAL]]&gt;0,FINANCIACION[[#This Row],[$ CAPITAL]])</f>
        <v>0</v>
      </c>
      <c r="J112" s="33">
        <f>IF(FINANCIACION[[#This Row],[$ CAPITAL]]&gt;=0,FINANCIACION[[#This Row],[$ CAPITAL]]+FINANCIACION[[#This Row],[$ INTERESES]],0)</f>
        <v>0</v>
      </c>
    </row>
    <row r="113" spans="1:10" ht="24" hidden="1" customHeight="1" x14ac:dyDescent="0.3">
      <c r="A113" s="131">
        <v>43762</v>
      </c>
      <c r="B113" s="50" t="s">
        <v>535</v>
      </c>
      <c r="C113" s="5">
        <v>-371885.62</v>
      </c>
      <c r="D113" s="5"/>
      <c r="E113" s="5" t="str">
        <f>+IF(FINANCIACION[[#This Row],[$ CAPITAL]]&gt;=0,FINANCIACION[[#This Row],[$ CAPITAL]]+FINANCIACION[[#This Row],[$ INTERESES]],"")</f>
        <v/>
      </c>
      <c r="F113" s="5">
        <f>+SUMIFS(FINANCIACION[$ CAPITAL],FINANCIACION[Fecha],"&lt;="&amp;FINANCIACION[[#This Row],[Fecha]],FINANCIACION[PRESTAMO],FINANCIACION[[#This Row],[PRESTAMO]])</f>
        <v>-33299660.000000004</v>
      </c>
      <c r="G113" s="7"/>
      <c r="H113" s="53"/>
      <c r="I113" s="5" t="b">
        <f>IF(FINANCIACION[[#This Row],[$ CAPITAL]]&gt;0,FINANCIACION[[#This Row],[$ CAPITAL]])</f>
        <v>0</v>
      </c>
      <c r="J113" s="33">
        <f>IF(FINANCIACION[[#This Row],[$ CAPITAL]]&gt;=0,FINANCIACION[[#This Row],[$ CAPITAL]]+FINANCIACION[[#This Row],[$ INTERESES]],0)</f>
        <v>0</v>
      </c>
    </row>
    <row r="114" spans="1:10" ht="24" hidden="1" customHeight="1" x14ac:dyDescent="0.3">
      <c r="A114" s="131">
        <v>43763</v>
      </c>
      <c r="B114" s="50" t="s">
        <v>146</v>
      </c>
      <c r="C114" s="5">
        <v>1250000</v>
      </c>
      <c r="D114" s="5">
        <v>289544</v>
      </c>
      <c r="E114" s="5">
        <f>+IF(FINANCIACION[[#This Row],[$ CAPITAL]]&gt;=0,FINANCIACION[[#This Row],[$ CAPITAL]]+FINANCIACION[[#This Row],[$ INTERESES]],"")</f>
        <v>1539544</v>
      </c>
      <c r="F114" s="5">
        <f>+SUMIFS(FINANCIACION[$ CAPITAL],FINANCIACION[Fecha],"&lt;="&amp;FINANCIACION[[#This Row],[Fecha]],FINANCIACION[PRESTAMO],FINANCIACION[[#This Row],[PRESTAMO]])</f>
        <v>-22500000</v>
      </c>
      <c r="G114" s="7"/>
      <c r="H114" s="53"/>
      <c r="I114" s="5">
        <f>IF(FINANCIACION[[#This Row],[$ CAPITAL]]&gt;0,FINANCIACION[[#This Row],[$ CAPITAL]])</f>
        <v>1250000</v>
      </c>
      <c r="J114" s="33">
        <f>IF(FINANCIACION[[#This Row],[$ CAPITAL]]&gt;=0,FINANCIACION[[#This Row],[$ CAPITAL]]+FINANCIACION[[#This Row],[$ INTERESES]],0)</f>
        <v>1539544</v>
      </c>
    </row>
    <row r="115" spans="1:10" ht="24" hidden="1" customHeight="1" x14ac:dyDescent="0.3">
      <c r="A115" s="131">
        <v>43768</v>
      </c>
      <c r="B115" s="50" t="s">
        <v>535</v>
      </c>
      <c r="C115" s="5">
        <v>-1673208.71</v>
      </c>
      <c r="D115" s="5"/>
      <c r="E115" s="5" t="str">
        <f>+IF(FINANCIACION[[#This Row],[$ CAPITAL]]&gt;=0,FINANCIACION[[#This Row],[$ CAPITAL]]+FINANCIACION[[#This Row],[$ INTERESES]],"")</f>
        <v/>
      </c>
      <c r="F115" s="5">
        <f>+SUMIFS(FINANCIACION[$ CAPITAL],FINANCIACION[Fecha],"&lt;="&amp;FINANCIACION[[#This Row],[Fecha]],FINANCIACION[PRESTAMO],FINANCIACION[[#This Row],[PRESTAMO]])</f>
        <v>-35675757.710000001</v>
      </c>
      <c r="G115" s="7"/>
      <c r="H115" s="53"/>
      <c r="I115" s="5" t="b">
        <f>IF(FINANCIACION[[#This Row],[$ CAPITAL]]&gt;0,FINANCIACION[[#This Row],[$ CAPITAL]])</f>
        <v>0</v>
      </c>
      <c r="J115" s="33">
        <f>IF(FINANCIACION[[#This Row],[$ CAPITAL]]&gt;=0,FINANCIACION[[#This Row],[$ CAPITAL]]+FINANCIACION[[#This Row],[$ INTERESES]],0)</f>
        <v>0</v>
      </c>
    </row>
    <row r="116" spans="1:10" ht="24" hidden="1" customHeight="1" x14ac:dyDescent="0.3">
      <c r="A116" s="131">
        <v>43768</v>
      </c>
      <c r="B116" s="50" t="s">
        <v>535</v>
      </c>
      <c r="C116" s="5">
        <v>-702889</v>
      </c>
      <c r="D116" s="5"/>
      <c r="E116" s="5" t="str">
        <f>+IF(FINANCIACION[[#This Row],[$ CAPITAL]]&gt;=0,FINANCIACION[[#This Row],[$ CAPITAL]]+FINANCIACION[[#This Row],[$ INTERESES]],"")</f>
        <v/>
      </c>
      <c r="F116" s="5">
        <f>+SUMIFS(FINANCIACION[$ CAPITAL],FINANCIACION[Fecha],"&lt;="&amp;FINANCIACION[[#This Row],[Fecha]],FINANCIACION[PRESTAMO],FINANCIACION[[#This Row],[PRESTAMO]])</f>
        <v>-35675757.710000001</v>
      </c>
      <c r="G116" s="7"/>
      <c r="H116" s="53"/>
      <c r="I116" s="5" t="b">
        <f>IF(FINANCIACION[[#This Row],[$ CAPITAL]]&gt;0,FINANCIACION[[#This Row],[$ CAPITAL]])</f>
        <v>0</v>
      </c>
      <c r="J116" s="33">
        <f>IF(FINANCIACION[[#This Row],[$ CAPITAL]]&gt;=0,FINANCIACION[[#This Row],[$ CAPITAL]]+FINANCIACION[[#This Row],[$ INTERESES]],0)</f>
        <v>0</v>
      </c>
    </row>
    <row r="117" spans="1:10" ht="24" hidden="1" customHeight="1" x14ac:dyDescent="0.3">
      <c r="A117" s="131">
        <v>43769</v>
      </c>
      <c r="B117" s="50" t="s">
        <v>536</v>
      </c>
      <c r="C117" s="5"/>
      <c r="D117" s="5">
        <v>840000</v>
      </c>
      <c r="E117" s="5">
        <f>+IF(FINANCIACION[[#This Row],[$ CAPITAL]]&gt;=0,FINANCIACION[[#This Row],[$ CAPITAL]]+FINANCIACION[[#This Row],[$ INTERESES]],"")</f>
        <v>840000</v>
      </c>
      <c r="F117" s="5">
        <f>+SUMIFS(FINANCIACION[$ CAPITAL],FINANCIACION[Fecha],"&lt;="&amp;FINANCIACION[[#This Row],[Fecha]],FINANCIACION[PRESTAMO],FINANCIACION[[#This Row],[PRESTAMO]])</f>
        <v>-84000000</v>
      </c>
      <c r="G117" s="7"/>
      <c r="H117" s="53"/>
      <c r="I117" s="5" t="b">
        <f>IF(FINANCIACION[[#This Row],[$ CAPITAL]]&gt;0,FINANCIACION[[#This Row],[$ CAPITAL]])</f>
        <v>0</v>
      </c>
      <c r="J117" s="8">
        <f>IF(FINANCIACION[[#This Row],[$ CAPITAL]]&gt;=0,FINANCIACION[[#This Row],[$ CAPITAL]]+FINANCIACION[[#This Row],[$ INTERESES]],0)</f>
        <v>840000</v>
      </c>
    </row>
    <row r="118" spans="1:10" ht="24" hidden="1" customHeight="1" x14ac:dyDescent="0.3">
      <c r="A118" s="131">
        <v>43769</v>
      </c>
      <c r="B118" s="50" t="s">
        <v>535</v>
      </c>
      <c r="C118" s="5">
        <v>-17400</v>
      </c>
      <c r="D118" s="5"/>
      <c r="E118" s="5" t="str">
        <f>+IF(FINANCIACION[[#This Row],[$ CAPITAL]]&gt;=0,FINANCIACION[[#This Row],[$ CAPITAL]]+FINANCIACION[[#This Row],[$ INTERESES]],"")</f>
        <v/>
      </c>
      <c r="F118" s="5">
        <f>+SUMIFS(FINANCIACION[$ CAPITAL],FINANCIACION[Fecha],"&lt;="&amp;FINANCIACION[[#This Row],[Fecha]],FINANCIACION[PRESTAMO],FINANCIACION[[#This Row],[PRESTAMO]])</f>
        <v>-35693157.710000001</v>
      </c>
      <c r="G118" s="7"/>
      <c r="H118" s="53"/>
      <c r="I118" s="5" t="b">
        <f>IF(FINANCIACION[[#This Row],[$ CAPITAL]]&gt;0,FINANCIACION[[#This Row],[$ CAPITAL]])</f>
        <v>0</v>
      </c>
      <c r="J118" s="33">
        <f>IF(FINANCIACION[[#This Row],[$ CAPITAL]]&gt;=0,FINANCIACION[[#This Row],[$ CAPITAL]]+FINANCIACION[[#This Row],[$ INTERESES]],0)</f>
        <v>0</v>
      </c>
    </row>
    <row r="119" spans="1:10" ht="24" hidden="1" customHeight="1" x14ac:dyDescent="0.3">
      <c r="A119" s="131">
        <v>43772</v>
      </c>
      <c r="B119" s="50" t="s">
        <v>147</v>
      </c>
      <c r="C119" s="5">
        <v>3472222</v>
      </c>
      <c r="D119" s="5">
        <v>1021062</v>
      </c>
      <c r="E119" s="5">
        <f>+IF(FINANCIACION[[#This Row],[$ CAPITAL]]&gt;=0,FINANCIACION[[#This Row],[$ CAPITAL]]+FINANCIACION[[#This Row],[$ INTERESES]],"")</f>
        <v>4493284</v>
      </c>
      <c r="F119" s="5">
        <f>+SUMIFS(FINANCIACION[$ CAPITAL],FINANCIACION[Fecha],"&lt;="&amp;FINANCIACION[[#This Row],[Fecha]],FINANCIACION[PRESTAMO],FINANCIACION[[#This Row],[PRESTAMO]])</f>
        <v>-90277780</v>
      </c>
      <c r="G119" s="53"/>
      <c r="H119" s="53"/>
      <c r="I119" s="5">
        <f>IF(FINANCIACION[[#This Row],[$ CAPITAL]]&gt;0,FINANCIACION[[#This Row],[$ CAPITAL]])</f>
        <v>3472222</v>
      </c>
      <c r="J119" s="33">
        <f>IF(FINANCIACION[[#This Row],[$ CAPITAL]]&gt;=0,FINANCIACION[[#This Row],[$ CAPITAL]]+FINANCIACION[[#This Row],[$ INTERESES]],0)</f>
        <v>4493284</v>
      </c>
    </row>
    <row r="120" spans="1:10" ht="24" hidden="1" customHeight="1" x14ac:dyDescent="0.3">
      <c r="A120" s="131">
        <v>43774</v>
      </c>
      <c r="B120" s="50" t="s">
        <v>535</v>
      </c>
      <c r="C120" s="5">
        <v>2500000</v>
      </c>
      <c r="D120" s="5">
        <v>440687.5</v>
      </c>
      <c r="E120" s="5">
        <f>+IF(FINANCIACION[[#This Row],[$ CAPITAL]]&gt;=0,FINANCIACION[[#This Row],[$ CAPITAL]]+FINANCIACION[[#This Row],[$ INTERESES]],"")</f>
        <v>2940687.5</v>
      </c>
      <c r="F120" s="5">
        <f>+SUMIFS(FINANCIACION[$ CAPITAL],FINANCIACION[Fecha],"&lt;="&amp;FINANCIACION[[#This Row],[Fecha]],FINANCIACION[PRESTAMO],FINANCIACION[[#This Row],[PRESTAMO]])</f>
        <v>-33193157.710000001</v>
      </c>
      <c r="G120" s="7"/>
      <c r="H120" s="53"/>
      <c r="I120" s="5">
        <f>IF(FINANCIACION[[#This Row],[$ CAPITAL]]&gt;0,FINANCIACION[[#This Row],[$ CAPITAL]])</f>
        <v>2500000</v>
      </c>
      <c r="J120" s="8">
        <f>IF(FINANCIACION[[#This Row],[$ CAPITAL]]&gt;=0,FINANCIACION[[#This Row],[$ CAPITAL]]+FINANCIACION[[#This Row],[$ INTERESES]],0)</f>
        <v>2940687.5</v>
      </c>
    </row>
    <row r="121" spans="1:10" ht="24" hidden="1" customHeight="1" x14ac:dyDescent="0.3">
      <c r="A121" s="131">
        <v>43779</v>
      </c>
      <c r="B121" s="50" t="s">
        <v>532</v>
      </c>
      <c r="C121" s="5"/>
      <c r="D121" s="5">
        <v>950000</v>
      </c>
      <c r="E121" s="5">
        <f>+IF(FINANCIACION[[#This Row],[$ CAPITAL]]&gt;=0,FINANCIACION[[#This Row],[$ CAPITAL]]+FINANCIACION[[#This Row],[$ INTERESES]],"")</f>
        <v>950000</v>
      </c>
      <c r="F121" s="5">
        <f>+SUMIFS(FINANCIACION[$ CAPITAL],FINANCIACION[Fecha],"&lt;="&amp;FINANCIACION[[#This Row],[Fecha]],FINANCIACION[PRESTAMO],FINANCIACION[[#This Row],[PRESTAMO]])</f>
        <v>-94935167</v>
      </c>
      <c r="G121" s="7"/>
      <c r="H121" s="53"/>
      <c r="I121" s="5" t="b">
        <f>IF(FINANCIACION[[#This Row],[$ CAPITAL]]&gt;0,FINANCIACION[[#This Row],[$ CAPITAL]])</f>
        <v>0</v>
      </c>
      <c r="J121" s="8">
        <f>IF(FINANCIACION[[#This Row],[$ CAPITAL]]&gt;=0,FINANCIACION[[#This Row],[$ CAPITAL]]+FINANCIACION[[#This Row],[$ INTERESES]],0)</f>
        <v>950000</v>
      </c>
    </row>
    <row r="122" spans="1:10" ht="24" hidden="1" customHeight="1" x14ac:dyDescent="0.3">
      <c r="A122" s="131">
        <v>43781</v>
      </c>
      <c r="B122" s="50" t="s">
        <v>535</v>
      </c>
      <c r="C122" s="5">
        <v>2384506</v>
      </c>
      <c r="D122" s="5"/>
      <c r="E122" s="5">
        <f>+IF(FINANCIACION[[#This Row],[$ CAPITAL]]&gt;=0,FINANCIACION[[#This Row],[$ CAPITAL]]+FINANCIACION[[#This Row],[$ INTERESES]],"")</f>
        <v>2384506</v>
      </c>
      <c r="F122" s="5">
        <f>+SUMIFS(FINANCIACION[$ CAPITAL],FINANCIACION[Fecha],"&lt;="&amp;FINANCIACION[[#This Row],[Fecha]],FINANCIACION[PRESTAMO],FINANCIACION[[#This Row],[PRESTAMO]])</f>
        <v>-30808651.710000001</v>
      </c>
      <c r="G122" s="53"/>
      <c r="H122" s="53"/>
      <c r="I122" s="5">
        <f>IF(FINANCIACION[[#This Row],[$ CAPITAL]]&gt;0,FINANCIACION[[#This Row],[$ CAPITAL]])</f>
        <v>2384506</v>
      </c>
      <c r="J122" s="33">
        <f>IF(FINANCIACION[[#This Row],[$ CAPITAL]]&gt;=0,FINANCIACION[[#This Row],[$ CAPITAL]]+FINANCIACION[[#This Row],[$ INTERESES]],0)</f>
        <v>2384506</v>
      </c>
    </row>
    <row r="123" spans="1:10" ht="24" hidden="1" customHeight="1" x14ac:dyDescent="0.3">
      <c r="A123" s="131">
        <v>43783</v>
      </c>
      <c r="B123" s="50" t="s">
        <v>535</v>
      </c>
      <c r="C123" s="5">
        <v>-201556.42</v>
      </c>
      <c r="D123" s="5"/>
      <c r="E123" s="5" t="str">
        <f>+IF(FINANCIACION[[#This Row],[$ CAPITAL]]&gt;=0,FINANCIACION[[#This Row],[$ CAPITAL]]+FINANCIACION[[#This Row],[$ INTERESES]],"")</f>
        <v/>
      </c>
      <c r="F123" s="5">
        <f>+SUMIFS(FINANCIACION[$ CAPITAL],FINANCIACION[Fecha],"&lt;="&amp;FINANCIACION[[#This Row],[Fecha]],FINANCIACION[PRESTAMO],FINANCIACION[[#This Row],[PRESTAMO]])</f>
        <v>-31010208.130000003</v>
      </c>
      <c r="G123" s="53"/>
      <c r="H123" s="53"/>
      <c r="I123" s="5" t="b">
        <f>IF(FINANCIACION[[#This Row],[$ CAPITAL]]&gt;0,FINANCIACION[[#This Row],[$ CAPITAL]])</f>
        <v>0</v>
      </c>
      <c r="J123" s="33">
        <f>IF(FINANCIACION[[#This Row],[$ CAPITAL]]&gt;=0,FINANCIACION[[#This Row],[$ CAPITAL]]+FINANCIACION[[#This Row],[$ INTERESES]],0)</f>
        <v>0</v>
      </c>
    </row>
    <row r="124" spans="1:10" ht="24" hidden="1" customHeight="1" x14ac:dyDescent="0.3">
      <c r="A124" s="131">
        <v>43784</v>
      </c>
      <c r="B124" s="50" t="s">
        <v>535</v>
      </c>
      <c r="C124" s="5">
        <v>-202187.61</v>
      </c>
      <c r="D124" s="5"/>
      <c r="E124" s="5" t="str">
        <f>+IF(FINANCIACION[[#This Row],[$ CAPITAL]]&gt;=0,FINANCIACION[[#This Row],[$ CAPITAL]]+FINANCIACION[[#This Row],[$ INTERESES]],"")</f>
        <v/>
      </c>
      <c r="F124" s="5">
        <f>+SUMIFS(FINANCIACION[$ CAPITAL],FINANCIACION[Fecha],"&lt;="&amp;FINANCIACION[[#This Row],[Fecha]],FINANCIACION[PRESTAMO],FINANCIACION[[#This Row],[PRESTAMO]])</f>
        <v>-31212395.740000002</v>
      </c>
      <c r="G124" s="53"/>
      <c r="H124" s="53"/>
      <c r="I124" s="5" t="b">
        <f>IF(FINANCIACION[[#This Row],[$ CAPITAL]]&gt;0,FINANCIACION[[#This Row],[$ CAPITAL]])</f>
        <v>0</v>
      </c>
      <c r="J124" s="33">
        <f>IF(FINANCIACION[[#This Row],[$ CAPITAL]]&gt;=0,FINANCIACION[[#This Row],[$ CAPITAL]]+FINANCIACION[[#This Row],[$ INTERESES]],0)</f>
        <v>0</v>
      </c>
    </row>
    <row r="125" spans="1:10" ht="24" hidden="1" customHeight="1" x14ac:dyDescent="0.3">
      <c r="A125" s="131">
        <v>43786</v>
      </c>
      <c r="B125" s="50" t="s">
        <v>535</v>
      </c>
      <c r="C125" s="5">
        <v>-36552.420000000006</v>
      </c>
      <c r="D125" s="5"/>
      <c r="E125" s="5" t="str">
        <f>+IF(FINANCIACION[[#This Row],[$ CAPITAL]]&gt;=0,FINANCIACION[[#This Row],[$ CAPITAL]]+FINANCIACION[[#This Row],[$ INTERESES]],"")</f>
        <v/>
      </c>
      <c r="F125" s="5">
        <f>+SUMIFS(FINANCIACION[$ CAPITAL],FINANCIACION[Fecha],"&lt;="&amp;FINANCIACION[[#This Row],[Fecha]],FINANCIACION[PRESTAMO],FINANCIACION[[#This Row],[PRESTAMO]])</f>
        <v>-31248948.160000004</v>
      </c>
      <c r="G125" s="53"/>
      <c r="H125" s="53"/>
      <c r="I125" s="5" t="b">
        <f>IF(FINANCIACION[[#This Row],[$ CAPITAL]]&gt;0,FINANCIACION[[#This Row],[$ CAPITAL]])</f>
        <v>0</v>
      </c>
      <c r="J125" s="33">
        <f>IF(FINANCIACION[[#This Row],[$ CAPITAL]]&gt;=0,FINANCIACION[[#This Row],[$ CAPITAL]]+FINANCIACION[[#This Row],[$ INTERESES]],0)</f>
        <v>0</v>
      </c>
    </row>
    <row r="126" spans="1:10" ht="24" hidden="1" customHeight="1" x14ac:dyDescent="0.3">
      <c r="A126" s="131">
        <v>43787</v>
      </c>
      <c r="B126" s="50" t="s">
        <v>150</v>
      </c>
      <c r="C126" s="5">
        <v>6250000</v>
      </c>
      <c r="D126" s="5">
        <v>1114463.76</v>
      </c>
      <c r="E126" s="5">
        <f>+IF(FINANCIACION[[#This Row],[$ CAPITAL]]&gt;=0,FINANCIACION[[#This Row],[$ CAPITAL]]+FINANCIACION[[#This Row],[$ INTERESES]],"")</f>
        <v>7364463.7599999998</v>
      </c>
      <c r="F126" s="5">
        <f>+SUMIFS(FINANCIACION[$ CAPITAL],FINANCIACION[Fecha],"&lt;="&amp;FINANCIACION[[#This Row],[Fecha]],FINANCIACION[PRESTAMO],FINANCIACION[[#This Row],[PRESTAMO]])</f>
        <v>-118750000</v>
      </c>
      <c r="G126" s="53"/>
      <c r="H126" s="53"/>
      <c r="I126" s="5">
        <f>IF(FINANCIACION[[#This Row],[$ CAPITAL]]&gt;0,FINANCIACION[[#This Row],[$ CAPITAL]])</f>
        <v>6250000</v>
      </c>
      <c r="J126" s="33">
        <f>IF(FINANCIACION[[#This Row],[$ CAPITAL]]&gt;=0,FINANCIACION[[#This Row],[$ CAPITAL]]+FINANCIACION[[#This Row],[$ INTERESES]],0)</f>
        <v>7364463.7599999998</v>
      </c>
    </row>
    <row r="127" spans="1:10" ht="24" hidden="1" customHeight="1" x14ac:dyDescent="0.3">
      <c r="A127" s="131">
        <v>43787</v>
      </c>
      <c r="B127" s="50" t="s">
        <v>534</v>
      </c>
      <c r="C127" s="5">
        <v>1442047.66666667</v>
      </c>
      <c r="D127" s="5">
        <v>4639789.3333333302</v>
      </c>
      <c r="E127" s="5">
        <f>+IF(FINANCIACION[[#This Row],[$ CAPITAL]]&gt;=0,FINANCIACION[[#This Row],[$ CAPITAL]]+FINANCIACION[[#This Row],[$ INTERESES]],"")</f>
        <v>6081837</v>
      </c>
      <c r="F127" s="5">
        <f>+SUMIFS(FINANCIACION[$ CAPITAL],FINANCIACION[Fecha],"&lt;="&amp;FINANCIACION[[#This Row],[Fecha]],FINANCIACION[PRESTAMO],FINANCIACION[[#This Row],[PRESTAMO]])</f>
        <v>-366124473.36515146</v>
      </c>
      <c r="G127" s="53"/>
      <c r="H127" s="53"/>
      <c r="I127" s="5">
        <f>IF(FINANCIACION[[#This Row],[$ CAPITAL]]&gt;0,FINANCIACION[[#This Row],[$ CAPITAL]])</f>
        <v>1442047.66666667</v>
      </c>
      <c r="J127" s="33">
        <f>IF(FINANCIACION[[#This Row],[$ CAPITAL]]&gt;=0,FINANCIACION[[#This Row],[$ CAPITAL]]+FINANCIACION[[#This Row],[$ INTERESES]],0)</f>
        <v>6081837</v>
      </c>
    </row>
    <row r="128" spans="1:10" ht="24" hidden="1" customHeight="1" x14ac:dyDescent="0.3">
      <c r="A128" s="131">
        <v>43789</v>
      </c>
      <c r="B128" s="50" t="s">
        <v>533</v>
      </c>
      <c r="C128" s="5">
        <v>260000</v>
      </c>
      <c r="D128" s="5">
        <v>740000</v>
      </c>
      <c r="E128" s="5">
        <f>+IF(FINANCIACION[[#This Row],[$ CAPITAL]]&gt;=0,FINANCIACION[[#This Row],[$ CAPITAL]]+FINANCIACION[[#This Row],[$ INTERESES]],"")</f>
        <v>1000000</v>
      </c>
      <c r="F128" s="5">
        <f>+SUMIFS(FINANCIACION[$ CAPITAL],FINANCIACION[Fecha],"&lt;="&amp;FINANCIACION[[#This Row],[Fecha]],FINANCIACION[PRESTAMO],FINANCIACION[[#This Row],[PRESTAMO]])</f>
        <v>-58769154</v>
      </c>
      <c r="G128" s="53"/>
      <c r="H128" s="53"/>
      <c r="I128" s="5">
        <f>IF(FINANCIACION[[#This Row],[$ CAPITAL]]&gt;0,FINANCIACION[[#This Row],[$ CAPITAL]])</f>
        <v>260000</v>
      </c>
      <c r="J128" s="33">
        <f>IF(FINANCIACION[[#This Row],[$ CAPITAL]]&gt;=0,FINANCIACION[[#This Row],[$ CAPITAL]]+FINANCIACION[[#This Row],[$ INTERESES]],0)</f>
        <v>1000000</v>
      </c>
    </row>
    <row r="129" spans="1:10" ht="24" hidden="1" customHeight="1" x14ac:dyDescent="0.3">
      <c r="A129" s="131">
        <v>43791</v>
      </c>
      <c r="B129" s="50" t="s">
        <v>535</v>
      </c>
      <c r="C129" s="5">
        <v>-52091.23</v>
      </c>
      <c r="D129" s="5"/>
      <c r="E129" s="5" t="str">
        <f>+IF(FINANCIACION[[#This Row],[$ CAPITAL]]&gt;=0,FINANCIACION[[#This Row],[$ CAPITAL]]+FINANCIACION[[#This Row],[$ INTERESES]],"")</f>
        <v/>
      </c>
      <c r="F129" s="5">
        <f>+SUMIFS(FINANCIACION[$ CAPITAL],FINANCIACION[Fecha],"&lt;="&amp;FINANCIACION[[#This Row],[Fecha]],FINANCIACION[PRESTAMO],FINANCIACION[[#This Row],[PRESTAMO]])</f>
        <v>-31301039.390000004</v>
      </c>
      <c r="G129" s="53"/>
      <c r="H129" s="53"/>
      <c r="I129" s="5" t="b">
        <f>IF(FINANCIACION[[#This Row],[$ CAPITAL]]&gt;0,FINANCIACION[[#This Row],[$ CAPITAL]])</f>
        <v>0</v>
      </c>
      <c r="J129" s="33">
        <f>IF(FINANCIACION[[#This Row],[$ CAPITAL]]&gt;=0,FINANCIACION[[#This Row],[$ CAPITAL]]+FINANCIACION[[#This Row],[$ INTERESES]],0)</f>
        <v>0</v>
      </c>
    </row>
    <row r="130" spans="1:10" ht="24" hidden="1" customHeight="1" x14ac:dyDescent="0.3">
      <c r="A130" s="131">
        <v>43794</v>
      </c>
      <c r="B130" s="50" t="s">
        <v>146</v>
      </c>
      <c r="C130" s="5">
        <v>1250000</v>
      </c>
      <c r="D130" s="5">
        <v>1130711</v>
      </c>
      <c r="E130" s="5">
        <f>+IF(FINANCIACION[[#This Row],[$ CAPITAL]]&gt;=0,FINANCIACION[[#This Row],[$ CAPITAL]]+FINANCIACION[[#This Row],[$ INTERESES]],"")</f>
        <v>2380711</v>
      </c>
      <c r="F130" s="5">
        <f>+SUMIFS(FINANCIACION[$ CAPITAL],FINANCIACION[Fecha],"&lt;="&amp;FINANCIACION[[#This Row],[Fecha]],FINANCIACION[PRESTAMO],FINANCIACION[[#This Row],[PRESTAMO]])</f>
        <v>-21250000</v>
      </c>
      <c r="G130" s="53"/>
      <c r="H130" s="53"/>
      <c r="I130" s="5">
        <f>IF(FINANCIACION[[#This Row],[$ CAPITAL]]&gt;0,FINANCIACION[[#This Row],[$ CAPITAL]])</f>
        <v>1250000</v>
      </c>
      <c r="J130" s="33">
        <f>IF(FINANCIACION[[#This Row],[$ CAPITAL]]&gt;=0,FINANCIACION[[#This Row],[$ CAPITAL]]+FINANCIACION[[#This Row],[$ INTERESES]],0)</f>
        <v>2380711</v>
      </c>
    </row>
    <row r="131" spans="1:10" ht="24" hidden="1" customHeight="1" x14ac:dyDescent="0.3">
      <c r="A131" s="131">
        <v>43799</v>
      </c>
      <c r="B131" s="50" t="s">
        <v>536</v>
      </c>
      <c r="C131" s="5"/>
      <c r="D131" s="5">
        <v>840000</v>
      </c>
      <c r="E131" s="5">
        <f>+IF(FINANCIACION[[#This Row],[$ CAPITAL]]&gt;=0,FINANCIACION[[#This Row],[$ CAPITAL]]+FINANCIACION[[#This Row],[$ INTERESES]],"")</f>
        <v>840000</v>
      </c>
      <c r="F131" s="5">
        <f>+SUMIFS(FINANCIACION[$ CAPITAL],FINANCIACION[Fecha],"&lt;="&amp;FINANCIACION[[#This Row],[Fecha]],FINANCIACION[PRESTAMO],FINANCIACION[[#This Row],[PRESTAMO]])</f>
        <v>-84000000</v>
      </c>
      <c r="G131" s="53"/>
      <c r="H131" s="53"/>
      <c r="I131" s="5" t="b">
        <f>IF(FINANCIACION[[#This Row],[$ CAPITAL]]&gt;0,FINANCIACION[[#This Row],[$ CAPITAL]])</f>
        <v>0</v>
      </c>
      <c r="J131" s="33">
        <f>IF(FINANCIACION[[#This Row],[$ CAPITAL]]&gt;=0,FINANCIACION[[#This Row],[$ CAPITAL]]+FINANCIACION[[#This Row],[$ INTERESES]],0)</f>
        <v>840000</v>
      </c>
    </row>
    <row r="132" spans="1:10" ht="24" hidden="1" customHeight="1" x14ac:dyDescent="0.3">
      <c r="A132" s="131">
        <v>43799</v>
      </c>
      <c r="B132" s="50" t="s">
        <v>535</v>
      </c>
      <c r="C132" s="5">
        <v>104672.72000000067</v>
      </c>
      <c r="D132" s="5"/>
      <c r="E132" s="5">
        <f>+IF(FINANCIACION[[#This Row],[$ CAPITAL]]&gt;=0,FINANCIACION[[#This Row],[$ CAPITAL]]+FINANCIACION[[#This Row],[$ INTERESES]],"")</f>
        <v>104672.72000000067</v>
      </c>
      <c r="F132" s="5">
        <f>+SUMIFS(FINANCIACION[$ CAPITAL],FINANCIACION[Fecha],"&lt;="&amp;FINANCIACION[[#This Row],[Fecha]],FINANCIACION[PRESTAMO],FINANCIACION[[#This Row],[PRESTAMO]])</f>
        <v>-31196366.670000002</v>
      </c>
      <c r="G132" s="7"/>
      <c r="H132" s="53"/>
      <c r="I132" s="5">
        <f>IF(FINANCIACION[[#This Row],[$ CAPITAL]]&gt;0,FINANCIACION[[#This Row],[$ CAPITAL]])</f>
        <v>104672.72000000067</v>
      </c>
      <c r="J132" s="33">
        <f>IF(FINANCIACION[[#This Row],[$ CAPITAL]]&gt;=0,FINANCIACION[[#This Row],[$ CAPITAL]]+FINANCIACION[[#This Row],[$ INTERESES]],0)</f>
        <v>104672.72000000067</v>
      </c>
    </row>
    <row r="133" spans="1:10" ht="24" hidden="1" customHeight="1" x14ac:dyDescent="0.3">
      <c r="A133" s="131">
        <v>43801</v>
      </c>
      <c r="B133" s="50" t="s">
        <v>535</v>
      </c>
      <c r="C133" s="5">
        <v>2000000</v>
      </c>
      <c r="D133" s="5"/>
      <c r="E133" s="5">
        <f>+IF(FINANCIACION[[#This Row],[$ CAPITAL]]&gt;=0,FINANCIACION[[#This Row],[$ CAPITAL]]+FINANCIACION[[#This Row],[$ INTERESES]],"")</f>
        <v>2000000</v>
      </c>
      <c r="F133" s="5">
        <f>+SUMIFS(FINANCIACION[$ CAPITAL],FINANCIACION[Fecha],"&lt;="&amp;FINANCIACION[[#This Row],[Fecha]],FINANCIACION[PRESTAMO],FINANCIACION[[#This Row],[PRESTAMO]])</f>
        <v>-26683131.670000002</v>
      </c>
      <c r="G133" s="7"/>
      <c r="H133" s="53"/>
      <c r="I133" s="5">
        <f>IF(FINANCIACION[[#This Row],[$ CAPITAL]]&gt;0,FINANCIACION[[#This Row],[$ CAPITAL]])</f>
        <v>2000000</v>
      </c>
      <c r="J133" s="33">
        <f>IF(FINANCIACION[[#This Row],[$ CAPITAL]]&gt;=0,FINANCIACION[[#This Row],[$ CAPITAL]]+FINANCIACION[[#This Row],[$ INTERESES]],0)</f>
        <v>2000000</v>
      </c>
    </row>
    <row r="134" spans="1:10" ht="24" hidden="1" customHeight="1" x14ac:dyDescent="0.3">
      <c r="A134" s="131">
        <v>43801</v>
      </c>
      <c r="B134" s="50" t="s">
        <v>535</v>
      </c>
      <c r="C134" s="5">
        <v>2513235</v>
      </c>
      <c r="D134" s="5"/>
      <c r="E134" s="5">
        <f>+IF(FINANCIACION[[#This Row],[$ CAPITAL]]&gt;=0,FINANCIACION[[#This Row],[$ CAPITAL]]+FINANCIACION[[#This Row],[$ INTERESES]],"")</f>
        <v>2513235</v>
      </c>
      <c r="F134" s="5">
        <f>+SUMIFS(FINANCIACION[$ CAPITAL],FINANCIACION[Fecha],"&lt;="&amp;FINANCIACION[[#This Row],[Fecha]],FINANCIACION[PRESTAMO],FINANCIACION[[#This Row],[PRESTAMO]])</f>
        <v>-26683131.670000002</v>
      </c>
      <c r="G134" s="7"/>
      <c r="H134" s="53"/>
      <c r="I134" s="5">
        <f>IF(FINANCIACION[[#This Row],[$ CAPITAL]]&gt;0,FINANCIACION[[#This Row],[$ CAPITAL]])</f>
        <v>2513235</v>
      </c>
      <c r="J134" s="8">
        <f>IF(FINANCIACION[[#This Row],[$ CAPITAL]]&gt;=0,FINANCIACION[[#This Row],[$ CAPITAL]]+FINANCIACION[[#This Row],[$ INTERESES]],0)</f>
        <v>2513235</v>
      </c>
    </row>
    <row r="135" spans="1:10" ht="24" hidden="1" customHeight="1" x14ac:dyDescent="0.3">
      <c r="A135" s="131">
        <v>43802</v>
      </c>
      <c r="B135" s="50" t="s">
        <v>147</v>
      </c>
      <c r="C135" s="5">
        <v>3472222</v>
      </c>
      <c r="D135" s="5">
        <v>979318</v>
      </c>
      <c r="E135" s="5">
        <f>+IF(FINANCIACION[[#This Row],[$ CAPITAL]]&gt;=0,FINANCIACION[[#This Row],[$ CAPITAL]]+FINANCIACION[[#This Row],[$ INTERESES]],"")</f>
        <v>4451540</v>
      </c>
      <c r="F135" s="5">
        <f>+SUMIFS(FINANCIACION[$ CAPITAL],FINANCIACION[Fecha],"&lt;="&amp;FINANCIACION[[#This Row],[Fecha]],FINANCIACION[PRESTAMO],FINANCIACION[[#This Row],[PRESTAMO]])</f>
        <v>-86805558</v>
      </c>
      <c r="G135" s="53"/>
      <c r="H135" s="53"/>
      <c r="I135" s="5">
        <f>IF(FINANCIACION[[#This Row],[$ CAPITAL]]&gt;0,FINANCIACION[[#This Row],[$ CAPITAL]])</f>
        <v>3472222</v>
      </c>
      <c r="J135" s="33">
        <f>IF(FINANCIACION[[#This Row],[$ CAPITAL]]&gt;=0,FINANCIACION[[#This Row],[$ CAPITAL]]+FINANCIACION[[#This Row],[$ INTERESES]],0)</f>
        <v>4451540</v>
      </c>
    </row>
    <row r="136" spans="1:10" ht="24" hidden="1" customHeight="1" x14ac:dyDescent="0.3">
      <c r="A136" s="131">
        <v>43802</v>
      </c>
      <c r="B136" s="50" t="s">
        <v>535</v>
      </c>
      <c r="C136" s="5">
        <v>-1222427.73</v>
      </c>
      <c r="D136" s="5"/>
      <c r="E136" s="5" t="str">
        <f>+IF(FINANCIACION[[#This Row],[$ CAPITAL]]&gt;=0,FINANCIACION[[#This Row],[$ CAPITAL]]+FINANCIACION[[#This Row],[$ INTERESES]],"")</f>
        <v/>
      </c>
      <c r="F136" s="5">
        <f>+SUMIFS(FINANCIACION[$ CAPITAL],FINANCIACION[Fecha],"&lt;="&amp;FINANCIACION[[#This Row],[Fecha]],FINANCIACION[PRESTAMO],FINANCIACION[[#This Row],[PRESTAMO]])</f>
        <v>-19405559.400000002</v>
      </c>
      <c r="G136" s="53"/>
      <c r="H136" s="53"/>
      <c r="I136" s="5" t="b">
        <f>IF(FINANCIACION[[#This Row],[$ CAPITAL]]&gt;0,FINANCIACION[[#This Row],[$ CAPITAL]])</f>
        <v>0</v>
      </c>
      <c r="J136" s="33">
        <f>IF(FINANCIACION[[#This Row],[$ CAPITAL]]&gt;=0,FINANCIACION[[#This Row],[$ CAPITAL]]+FINANCIACION[[#This Row],[$ INTERESES]],0)</f>
        <v>0</v>
      </c>
    </row>
    <row r="137" spans="1:10" ht="24" hidden="1" customHeight="1" x14ac:dyDescent="0.3">
      <c r="A137" s="131">
        <v>43802</v>
      </c>
      <c r="B137" s="50" t="s">
        <v>535</v>
      </c>
      <c r="C137" s="5">
        <v>8500000</v>
      </c>
      <c r="D137" s="5"/>
      <c r="E137" s="5">
        <f>+IF(FINANCIACION[[#This Row],[$ CAPITAL]]&gt;=0,FINANCIACION[[#This Row],[$ CAPITAL]]+FINANCIACION[[#This Row],[$ INTERESES]],"")</f>
        <v>8500000</v>
      </c>
      <c r="F137" s="5">
        <f>+SUMIFS(FINANCIACION[$ CAPITAL],FINANCIACION[Fecha],"&lt;="&amp;FINANCIACION[[#This Row],[Fecha]],FINANCIACION[PRESTAMO],FINANCIACION[[#This Row],[PRESTAMO]])</f>
        <v>-19405559.400000002</v>
      </c>
      <c r="G137" s="53"/>
      <c r="H137" s="53"/>
      <c r="I137" s="5">
        <f>IF(FINANCIACION[[#This Row],[$ CAPITAL]]&gt;0,FINANCIACION[[#This Row],[$ CAPITAL]])</f>
        <v>8500000</v>
      </c>
      <c r="J137" s="33">
        <f>IF(FINANCIACION[[#This Row],[$ CAPITAL]]&gt;=0,FINANCIACION[[#This Row],[$ CAPITAL]]+FINANCIACION[[#This Row],[$ INTERESES]],0)</f>
        <v>8500000</v>
      </c>
    </row>
    <row r="138" spans="1:10" ht="24" hidden="1" customHeight="1" x14ac:dyDescent="0.3">
      <c r="A138" s="131">
        <v>43803</v>
      </c>
      <c r="B138" s="50" t="s">
        <v>535</v>
      </c>
      <c r="C138" s="5">
        <v>2500000</v>
      </c>
      <c r="D138" s="5">
        <v>411308.33000000007</v>
      </c>
      <c r="E138" s="5">
        <f>+IF(FINANCIACION[[#This Row],[$ CAPITAL]]&gt;=0,FINANCIACION[[#This Row],[$ CAPITAL]]+FINANCIACION[[#This Row],[$ INTERESES]],"")</f>
        <v>2911308.33</v>
      </c>
      <c r="F138" s="5">
        <f>+SUMIFS(FINANCIACION[$ CAPITAL],FINANCIACION[Fecha],"&lt;="&amp;FINANCIACION[[#This Row],[Fecha]],FINANCIACION[PRESTAMO],FINANCIACION[[#This Row],[PRESTAMO]])</f>
        <v>-17478237.280000001</v>
      </c>
      <c r="G138" s="53"/>
      <c r="H138" s="53"/>
      <c r="I138" s="5">
        <f>IF(FINANCIACION[[#This Row],[$ CAPITAL]]&gt;0,FINANCIACION[[#This Row],[$ CAPITAL]])</f>
        <v>2500000</v>
      </c>
      <c r="J138" s="33">
        <f>IF(FINANCIACION[[#This Row],[$ CAPITAL]]&gt;=0,FINANCIACION[[#This Row],[$ CAPITAL]]+FINANCIACION[[#This Row],[$ INTERESES]],0)</f>
        <v>2911308.33</v>
      </c>
    </row>
    <row r="139" spans="1:10" ht="24" hidden="1" customHeight="1" x14ac:dyDescent="0.3">
      <c r="A139" s="131">
        <v>43803</v>
      </c>
      <c r="B139" s="50" t="s">
        <v>535</v>
      </c>
      <c r="C139" s="5">
        <v>-572677.88</v>
      </c>
      <c r="D139" s="5"/>
      <c r="E139" s="5" t="str">
        <f>+IF(FINANCIACION[[#This Row],[$ CAPITAL]]&gt;=0,FINANCIACION[[#This Row],[$ CAPITAL]]+FINANCIACION[[#This Row],[$ INTERESES]],"")</f>
        <v/>
      </c>
      <c r="F139" s="5">
        <f>+SUMIFS(FINANCIACION[$ CAPITAL],FINANCIACION[Fecha],"&lt;="&amp;FINANCIACION[[#This Row],[Fecha]],FINANCIACION[PRESTAMO],FINANCIACION[[#This Row],[PRESTAMO]])</f>
        <v>-17478237.280000001</v>
      </c>
      <c r="G139" s="53"/>
      <c r="H139" s="53"/>
      <c r="I139" s="5" t="b">
        <f>IF(FINANCIACION[[#This Row],[$ CAPITAL]]&gt;0,FINANCIACION[[#This Row],[$ CAPITAL]])</f>
        <v>0</v>
      </c>
      <c r="J139" s="33">
        <f>IF(FINANCIACION[[#This Row],[$ CAPITAL]]&gt;=0,FINANCIACION[[#This Row],[$ CAPITAL]]+FINANCIACION[[#This Row],[$ INTERESES]],0)</f>
        <v>0</v>
      </c>
    </row>
    <row r="140" spans="1:10" ht="24" hidden="1" customHeight="1" x14ac:dyDescent="0.3">
      <c r="A140" s="131">
        <v>43804</v>
      </c>
      <c r="B140" s="50" t="s">
        <v>535</v>
      </c>
      <c r="C140" s="5">
        <v>-961006.19</v>
      </c>
      <c r="D140" s="5"/>
      <c r="E140" s="5" t="str">
        <f>+IF(FINANCIACION[[#This Row],[$ CAPITAL]]&gt;=0,FINANCIACION[[#This Row],[$ CAPITAL]]+FINANCIACION[[#This Row],[$ INTERESES]],"")</f>
        <v/>
      </c>
      <c r="F140" s="5">
        <f>+SUMIFS(FINANCIACION[$ CAPITAL],FINANCIACION[Fecha],"&lt;="&amp;FINANCIACION[[#This Row],[Fecha]],FINANCIACION[PRESTAMO],FINANCIACION[[#This Row],[PRESTAMO]])</f>
        <v>-18439243.470000003</v>
      </c>
      <c r="G140" s="53"/>
      <c r="H140" s="53"/>
      <c r="I140" s="5" t="b">
        <f>IF(FINANCIACION[[#This Row],[$ CAPITAL]]&gt;0,FINANCIACION[[#This Row],[$ CAPITAL]])</f>
        <v>0</v>
      </c>
      <c r="J140" s="33">
        <f>IF(FINANCIACION[[#This Row],[$ CAPITAL]]&gt;=0,FINANCIACION[[#This Row],[$ CAPITAL]]+FINANCIACION[[#This Row],[$ INTERESES]],0)</f>
        <v>0</v>
      </c>
    </row>
    <row r="141" spans="1:10" ht="24" hidden="1" customHeight="1" x14ac:dyDescent="0.3">
      <c r="A141" s="131">
        <v>43805</v>
      </c>
      <c r="B141" s="50" t="s">
        <v>533</v>
      </c>
      <c r="C141" s="5">
        <v>-9000000</v>
      </c>
      <c r="D141" s="5"/>
      <c r="E141" s="5" t="str">
        <f>+IF(FINANCIACION[[#This Row],[$ CAPITAL]]&gt;=0,FINANCIACION[[#This Row],[$ CAPITAL]]+FINANCIACION[[#This Row],[$ INTERESES]],"")</f>
        <v/>
      </c>
      <c r="F141" s="5">
        <f>+SUMIFS(FINANCIACION[$ CAPITAL],FINANCIACION[Fecha],"&lt;="&amp;FINANCIACION[[#This Row],[Fecha]],FINANCIACION[PRESTAMO],FINANCIACION[[#This Row],[PRESTAMO]])</f>
        <v>-67769154</v>
      </c>
      <c r="G141" s="53"/>
      <c r="H141" s="53"/>
      <c r="I141" s="5" t="b">
        <f>IF(FINANCIACION[[#This Row],[$ CAPITAL]]&gt;0,FINANCIACION[[#This Row],[$ CAPITAL]])</f>
        <v>0</v>
      </c>
      <c r="J141" s="33">
        <f>IF(FINANCIACION[[#This Row],[$ CAPITAL]]&gt;=0,FINANCIACION[[#This Row],[$ CAPITAL]]+FINANCIACION[[#This Row],[$ INTERESES]],0)</f>
        <v>0</v>
      </c>
    </row>
    <row r="142" spans="1:10" ht="24" hidden="1" customHeight="1" x14ac:dyDescent="0.3">
      <c r="A142" s="131">
        <v>43805</v>
      </c>
      <c r="B142" s="50" t="s">
        <v>150</v>
      </c>
      <c r="C142" s="5">
        <v>-31250000</v>
      </c>
      <c r="D142" s="5"/>
      <c r="E142" s="5" t="str">
        <f>+IF(FINANCIACION[[#This Row],[$ CAPITAL]]&gt;=0,FINANCIACION[[#This Row],[$ CAPITAL]]+FINANCIACION[[#This Row],[$ INTERESES]],"")</f>
        <v/>
      </c>
      <c r="F142" s="5">
        <f>+SUMIFS(FINANCIACION[$ CAPITAL],FINANCIACION[Fecha],"&lt;="&amp;FINANCIACION[[#This Row],[Fecha]],FINANCIACION[PRESTAMO],FINANCIACION[[#This Row],[PRESTAMO]])</f>
        <v>-150000000</v>
      </c>
      <c r="G142" s="53"/>
      <c r="H142" s="53"/>
      <c r="I142" s="5" t="b">
        <f>IF(FINANCIACION[[#This Row],[$ CAPITAL]]&gt;0,FINANCIACION[[#This Row],[$ CAPITAL]])</f>
        <v>0</v>
      </c>
      <c r="J142" s="33">
        <f>IF(FINANCIACION[[#This Row],[$ CAPITAL]]&gt;=0,FINANCIACION[[#This Row],[$ CAPITAL]]+FINANCIACION[[#This Row],[$ INTERESES]],0)</f>
        <v>0</v>
      </c>
    </row>
    <row r="143" spans="1:10" ht="24" hidden="1" customHeight="1" x14ac:dyDescent="0.3">
      <c r="A143" s="131">
        <v>43805</v>
      </c>
      <c r="B143" s="50" t="s">
        <v>535</v>
      </c>
      <c r="C143" s="5">
        <v>-87634.19</v>
      </c>
      <c r="D143" s="5"/>
      <c r="E143" s="5" t="str">
        <f>+IF(FINANCIACION[[#This Row],[$ CAPITAL]]&gt;=0,FINANCIACION[[#This Row],[$ CAPITAL]]+FINANCIACION[[#This Row],[$ INTERESES]],"")</f>
        <v/>
      </c>
      <c r="F143" s="5">
        <f>+SUMIFS(FINANCIACION[$ CAPITAL],FINANCIACION[Fecha],"&lt;="&amp;FINANCIACION[[#This Row],[Fecha]],FINANCIACION[PRESTAMO],FINANCIACION[[#This Row],[PRESTAMO]])</f>
        <v>-18526877.660000004</v>
      </c>
      <c r="G143" s="7"/>
      <c r="H143" s="53"/>
      <c r="I143" s="5" t="b">
        <f>IF(FINANCIACION[[#This Row],[$ CAPITAL]]&gt;0,FINANCIACION[[#This Row],[$ CAPITAL]])</f>
        <v>0</v>
      </c>
      <c r="J143" s="33">
        <f>IF(FINANCIACION[[#This Row],[$ CAPITAL]]&gt;=0,FINANCIACION[[#This Row],[$ CAPITAL]]+FINANCIACION[[#This Row],[$ INTERESES]],0)</f>
        <v>0</v>
      </c>
    </row>
    <row r="144" spans="1:10" ht="24" hidden="1" customHeight="1" x14ac:dyDescent="0.3">
      <c r="A144" s="131">
        <v>43809</v>
      </c>
      <c r="B144" s="50" t="s">
        <v>532</v>
      </c>
      <c r="C144" s="5"/>
      <c r="D144" s="5">
        <v>950000</v>
      </c>
      <c r="E144" s="5">
        <f>+IF(FINANCIACION[[#This Row],[$ CAPITAL]]&gt;=0,FINANCIACION[[#This Row],[$ CAPITAL]]+FINANCIACION[[#This Row],[$ INTERESES]],"")</f>
        <v>950000</v>
      </c>
      <c r="F144" s="5">
        <f>+SUMIFS(FINANCIACION[$ CAPITAL],FINANCIACION[Fecha],"&lt;="&amp;FINANCIACION[[#This Row],[Fecha]],FINANCIACION[PRESTAMO],FINANCIACION[[#This Row],[PRESTAMO]])</f>
        <v>-94935167</v>
      </c>
      <c r="G144" s="7"/>
      <c r="H144" s="53"/>
      <c r="I144" s="5" t="b">
        <f>IF(FINANCIACION[[#This Row],[$ CAPITAL]]&gt;0,FINANCIACION[[#This Row],[$ CAPITAL]])</f>
        <v>0</v>
      </c>
      <c r="J144" s="33">
        <f>IF(FINANCIACION[[#This Row],[$ CAPITAL]]&gt;=0,FINANCIACION[[#This Row],[$ CAPITAL]]+FINANCIACION[[#This Row],[$ INTERESES]],0)</f>
        <v>950000</v>
      </c>
    </row>
    <row r="145" spans="1:10" ht="24" hidden="1" customHeight="1" x14ac:dyDescent="0.3">
      <c r="A145" s="131">
        <v>43809</v>
      </c>
      <c r="B145" s="50" t="s">
        <v>147</v>
      </c>
      <c r="C145" s="5">
        <v>42000000</v>
      </c>
      <c r="D145" s="5"/>
      <c r="E145" s="5">
        <f>+IF(FINANCIACION[[#This Row],[$ CAPITAL]]&gt;=0,FINANCIACION[[#This Row],[$ CAPITAL]]+FINANCIACION[[#This Row],[$ INTERESES]],"")</f>
        <v>42000000</v>
      </c>
      <c r="F145" s="5">
        <f>+SUMIFS(FINANCIACION[$ CAPITAL],FINANCIACION[Fecha],"&lt;="&amp;FINANCIACION[[#This Row],[Fecha]],FINANCIACION[PRESTAMO],FINANCIACION[[#This Row],[PRESTAMO]])</f>
        <v>-44805558</v>
      </c>
      <c r="G145" s="7"/>
      <c r="H145" s="53"/>
      <c r="I145" s="5">
        <f>IF(FINANCIACION[[#This Row],[$ CAPITAL]]&gt;0,FINANCIACION[[#This Row],[$ CAPITAL]])</f>
        <v>42000000</v>
      </c>
      <c r="J145" s="33">
        <f>IF(FINANCIACION[[#This Row],[$ CAPITAL]]&gt;=0,FINANCIACION[[#This Row],[$ CAPITAL]]+FINANCIACION[[#This Row],[$ INTERESES]],0)</f>
        <v>42000000</v>
      </c>
    </row>
    <row r="146" spans="1:10" ht="24" hidden="1" customHeight="1" x14ac:dyDescent="0.3">
      <c r="A146" s="131">
        <v>43809</v>
      </c>
      <c r="B146" s="50" t="s">
        <v>535</v>
      </c>
      <c r="C146" s="5">
        <v>-875903.97</v>
      </c>
      <c r="D146" s="5"/>
      <c r="E146" s="5" t="str">
        <f>+IF(FINANCIACION[[#This Row],[$ CAPITAL]]&gt;=0,FINANCIACION[[#This Row],[$ CAPITAL]]+FINANCIACION[[#This Row],[$ INTERESES]],"")</f>
        <v/>
      </c>
      <c r="F146" s="5">
        <f>+SUMIFS(FINANCIACION[$ CAPITAL],FINANCIACION[Fecha],"&lt;="&amp;FINANCIACION[[#This Row],[Fecha]],FINANCIACION[PRESTAMO],FINANCIACION[[#This Row],[PRESTAMO]])</f>
        <v>-24930475.09</v>
      </c>
      <c r="G146" s="7"/>
      <c r="H146" s="53"/>
      <c r="I146" s="5" t="b">
        <f>IF(FINANCIACION[[#This Row],[$ CAPITAL]]&gt;0,FINANCIACION[[#This Row],[$ CAPITAL]])</f>
        <v>0</v>
      </c>
      <c r="J146" s="33">
        <f>IF(FINANCIACION[[#This Row],[$ CAPITAL]]&gt;=0,FINANCIACION[[#This Row],[$ CAPITAL]]+FINANCIACION[[#This Row],[$ INTERESES]],0)</f>
        <v>0</v>
      </c>
    </row>
    <row r="147" spans="1:10" ht="24" hidden="1" customHeight="1" x14ac:dyDescent="0.3">
      <c r="A147" s="131">
        <v>43809</v>
      </c>
      <c r="B147" s="50" t="s">
        <v>535</v>
      </c>
      <c r="C147" s="5">
        <v>-322754.74</v>
      </c>
      <c r="D147" s="5"/>
      <c r="E147" s="5" t="str">
        <f>+IF(FINANCIACION[[#This Row],[$ CAPITAL]]&gt;=0,FINANCIACION[[#This Row],[$ CAPITAL]]+FINANCIACION[[#This Row],[$ INTERESES]],"")</f>
        <v/>
      </c>
      <c r="F147" s="5">
        <f>+SUMIFS(FINANCIACION[$ CAPITAL],FINANCIACION[Fecha],"&lt;="&amp;FINANCIACION[[#This Row],[Fecha]],FINANCIACION[PRESTAMO],FINANCIACION[[#This Row],[PRESTAMO]])</f>
        <v>-24930475.09</v>
      </c>
      <c r="G147" s="7"/>
      <c r="H147" s="53"/>
      <c r="I147" s="5" t="b">
        <f>IF(FINANCIACION[[#This Row],[$ CAPITAL]]&gt;0,FINANCIACION[[#This Row],[$ CAPITAL]])</f>
        <v>0</v>
      </c>
      <c r="J147" s="33">
        <f>IF(FINANCIACION[[#This Row],[$ CAPITAL]]&gt;=0,FINANCIACION[[#This Row],[$ CAPITAL]]+FINANCIACION[[#This Row],[$ INTERESES]],0)</f>
        <v>0</v>
      </c>
    </row>
    <row r="148" spans="1:10" ht="24" hidden="1" customHeight="1" x14ac:dyDescent="0.3">
      <c r="A148" s="131">
        <v>43809</v>
      </c>
      <c r="B148" s="50" t="s">
        <v>535</v>
      </c>
      <c r="C148" s="5">
        <v>-69021.289999999994</v>
      </c>
      <c r="D148" s="5"/>
      <c r="E148" s="5" t="str">
        <f>+IF(FINANCIACION[[#This Row],[$ CAPITAL]]&gt;=0,FINANCIACION[[#This Row],[$ CAPITAL]]+FINANCIACION[[#This Row],[$ INTERESES]],"")</f>
        <v/>
      </c>
      <c r="F148" s="5">
        <f>+SUMIFS(FINANCIACION[$ CAPITAL],FINANCIACION[Fecha],"&lt;="&amp;FINANCIACION[[#This Row],[Fecha]],FINANCIACION[PRESTAMO],FINANCIACION[[#This Row],[PRESTAMO]])</f>
        <v>-24930475.09</v>
      </c>
      <c r="G148" s="7"/>
      <c r="H148" s="53"/>
      <c r="I148" s="5" t="b">
        <f>IF(FINANCIACION[[#This Row],[$ CAPITAL]]&gt;0,FINANCIACION[[#This Row],[$ CAPITAL]])</f>
        <v>0</v>
      </c>
      <c r="J148" s="33">
        <f>IF(FINANCIACION[[#This Row],[$ CAPITAL]]&gt;=0,FINANCIACION[[#This Row],[$ CAPITAL]]+FINANCIACION[[#This Row],[$ INTERESES]],0)</f>
        <v>0</v>
      </c>
    </row>
    <row r="149" spans="1:10" ht="24" hidden="1" customHeight="1" x14ac:dyDescent="0.3">
      <c r="A149" s="131">
        <v>43809</v>
      </c>
      <c r="B149" s="50" t="s">
        <v>535</v>
      </c>
      <c r="C149" s="5">
        <v>-82794.81</v>
      </c>
      <c r="D149" s="5"/>
      <c r="E149" s="5" t="str">
        <f>+IF(FINANCIACION[[#This Row],[$ CAPITAL]]&gt;=0,FINANCIACION[[#This Row],[$ CAPITAL]]+FINANCIACION[[#This Row],[$ INTERESES]],"")</f>
        <v/>
      </c>
      <c r="F149" s="5">
        <f>+SUMIFS(FINANCIACION[$ CAPITAL],FINANCIACION[Fecha],"&lt;="&amp;FINANCIACION[[#This Row],[Fecha]],FINANCIACION[PRESTAMO],FINANCIACION[[#This Row],[PRESTAMO]])</f>
        <v>-24930475.09</v>
      </c>
      <c r="G149" s="7"/>
      <c r="H149" s="53"/>
      <c r="I149" s="5" t="b">
        <f>IF(FINANCIACION[[#This Row],[$ CAPITAL]]&gt;0,FINANCIACION[[#This Row],[$ CAPITAL]])</f>
        <v>0</v>
      </c>
      <c r="J149" s="33">
        <f>IF(FINANCIACION[[#This Row],[$ CAPITAL]]&gt;=0,FINANCIACION[[#This Row],[$ CAPITAL]]+FINANCIACION[[#This Row],[$ INTERESES]],0)</f>
        <v>0</v>
      </c>
    </row>
    <row r="150" spans="1:10" ht="24" hidden="1" customHeight="1" x14ac:dyDescent="0.3">
      <c r="A150" s="131">
        <v>43809</v>
      </c>
      <c r="B150" s="50" t="s">
        <v>535</v>
      </c>
      <c r="C150" s="5">
        <v>-57245.120000000003</v>
      </c>
      <c r="D150" s="5"/>
      <c r="E150" s="5" t="str">
        <f>+IF(FINANCIACION[[#This Row],[$ CAPITAL]]&gt;=0,FINANCIACION[[#This Row],[$ CAPITAL]]+FINANCIACION[[#This Row],[$ INTERESES]],"")</f>
        <v/>
      </c>
      <c r="F150" s="5">
        <f>+SUMIFS(FINANCIACION[$ CAPITAL],FINANCIACION[Fecha],"&lt;="&amp;FINANCIACION[[#This Row],[Fecha]],FINANCIACION[PRESTAMO],FINANCIACION[[#This Row],[PRESTAMO]])</f>
        <v>-24930475.09</v>
      </c>
      <c r="G150" s="7"/>
      <c r="H150" s="53"/>
      <c r="I150" s="5" t="b">
        <f>IF(FINANCIACION[[#This Row],[$ CAPITAL]]&gt;0,FINANCIACION[[#This Row],[$ CAPITAL]])</f>
        <v>0</v>
      </c>
      <c r="J150" s="33">
        <f>IF(FINANCIACION[[#This Row],[$ CAPITAL]]&gt;=0,FINANCIACION[[#This Row],[$ CAPITAL]]+FINANCIACION[[#This Row],[$ INTERESES]],0)</f>
        <v>0</v>
      </c>
    </row>
    <row r="151" spans="1:10" ht="24" hidden="1" customHeight="1" x14ac:dyDescent="0.3">
      <c r="A151" s="131">
        <v>43809</v>
      </c>
      <c r="B151" s="50" t="s">
        <v>535</v>
      </c>
      <c r="C151" s="5">
        <v>-4995877.5</v>
      </c>
      <c r="D151" s="5"/>
      <c r="E151" s="5" t="str">
        <f>+IF(FINANCIACION[[#This Row],[$ CAPITAL]]&gt;=0,FINANCIACION[[#This Row],[$ CAPITAL]]+FINANCIACION[[#This Row],[$ INTERESES]],"")</f>
        <v/>
      </c>
      <c r="F151" s="5">
        <f>+SUMIFS(FINANCIACION[$ CAPITAL],FINANCIACION[Fecha],"&lt;="&amp;FINANCIACION[[#This Row],[Fecha]],FINANCIACION[PRESTAMO],FINANCIACION[[#This Row],[PRESTAMO]])</f>
        <v>-24930475.09</v>
      </c>
      <c r="G151" s="7"/>
      <c r="H151" s="53"/>
      <c r="I151" s="5" t="b">
        <f>IF(FINANCIACION[[#This Row],[$ CAPITAL]]&gt;0,FINANCIACION[[#This Row],[$ CAPITAL]])</f>
        <v>0</v>
      </c>
      <c r="J151" s="33">
        <f>IF(FINANCIACION[[#This Row],[$ CAPITAL]]&gt;=0,FINANCIACION[[#This Row],[$ CAPITAL]]+FINANCIACION[[#This Row],[$ INTERESES]],0)</f>
        <v>0</v>
      </c>
    </row>
    <row r="152" spans="1:10" ht="24" hidden="1" customHeight="1" x14ac:dyDescent="0.3">
      <c r="A152" s="131">
        <v>43810</v>
      </c>
      <c r="B152" s="50" t="s">
        <v>535</v>
      </c>
      <c r="C152" s="5">
        <v>-6179068.2499999898</v>
      </c>
      <c r="D152" s="5"/>
      <c r="E152" s="5" t="str">
        <f>+IF(FINANCIACION[[#This Row],[$ CAPITAL]]&gt;=0,FINANCIACION[[#This Row],[$ CAPITAL]]+FINANCIACION[[#This Row],[$ INTERESES]],"")</f>
        <v/>
      </c>
      <c r="F152" s="5">
        <f>+SUMIFS(FINANCIACION[$ CAPITAL],FINANCIACION[Fecha],"&lt;="&amp;FINANCIACION[[#This Row],[Fecha]],FINANCIACION[PRESTAMO],FINANCIACION[[#This Row],[PRESTAMO]])</f>
        <v>-31109543.339999989</v>
      </c>
      <c r="G152" s="7"/>
      <c r="H152" s="53"/>
      <c r="I152" s="5" t="b">
        <f>IF(FINANCIACION[[#This Row],[$ CAPITAL]]&gt;0,FINANCIACION[[#This Row],[$ CAPITAL]])</f>
        <v>0</v>
      </c>
      <c r="J152" s="33">
        <f>IF(FINANCIACION[[#This Row],[$ CAPITAL]]&gt;=0,FINANCIACION[[#This Row],[$ CAPITAL]]+FINANCIACION[[#This Row],[$ INTERESES]],0)</f>
        <v>0</v>
      </c>
    </row>
    <row r="153" spans="1:10" ht="24" hidden="1" customHeight="1" x14ac:dyDescent="0.3">
      <c r="A153" s="131">
        <v>43811</v>
      </c>
      <c r="B153" s="50" t="s">
        <v>535</v>
      </c>
      <c r="C153" s="5">
        <v>7000000</v>
      </c>
      <c r="D153" s="5"/>
      <c r="E153" s="5">
        <f>+IF(FINANCIACION[[#This Row],[$ CAPITAL]]&gt;=0,FINANCIACION[[#This Row],[$ CAPITAL]]+FINANCIACION[[#This Row],[$ INTERESES]],"")</f>
        <v>7000000</v>
      </c>
      <c r="F153" s="5">
        <f>+SUMIFS(FINANCIACION[$ CAPITAL],FINANCIACION[Fecha],"&lt;="&amp;FINANCIACION[[#This Row],[Fecha]],FINANCIACION[PRESTAMO],FINANCIACION[[#This Row],[PRESTAMO]])</f>
        <v>-29858218.229999989</v>
      </c>
      <c r="G153" s="7"/>
      <c r="H153" s="53"/>
      <c r="I153" s="5">
        <f>IF(FINANCIACION[[#This Row],[$ CAPITAL]]&gt;0,FINANCIACION[[#This Row],[$ CAPITAL]])</f>
        <v>7000000</v>
      </c>
      <c r="J153" s="33">
        <f>IF(FINANCIACION[[#This Row],[$ CAPITAL]]&gt;=0,FINANCIACION[[#This Row],[$ CAPITAL]]+FINANCIACION[[#This Row],[$ INTERESES]],0)</f>
        <v>7000000</v>
      </c>
    </row>
    <row r="154" spans="1:10" ht="24" hidden="1" customHeight="1" x14ac:dyDescent="0.3">
      <c r="A154" s="131">
        <v>43811</v>
      </c>
      <c r="B154" s="50" t="s">
        <v>535</v>
      </c>
      <c r="C154" s="5">
        <v>-5748674.8899999997</v>
      </c>
      <c r="D154" s="5"/>
      <c r="E154" s="5" t="str">
        <f>+IF(FINANCIACION[[#This Row],[$ CAPITAL]]&gt;=0,FINANCIACION[[#This Row],[$ CAPITAL]]+FINANCIACION[[#This Row],[$ INTERESES]],"")</f>
        <v/>
      </c>
      <c r="F154" s="5">
        <f>+SUMIFS(FINANCIACION[$ CAPITAL],FINANCIACION[Fecha],"&lt;="&amp;FINANCIACION[[#This Row],[Fecha]],FINANCIACION[PRESTAMO],FINANCIACION[[#This Row],[PRESTAMO]])</f>
        <v>-29858218.229999989</v>
      </c>
      <c r="G154" s="7"/>
      <c r="H154" s="53"/>
      <c r="I154" s="5" t="b">
        <f>IF(FINANCIACION[[#This Row],[$ CAPITAL]]&gt;0,FINANCIACION[[#This Row],[$ CAPITAL]])</f>
        <v>0</v>
      </c>
      <c r="J154" s="33">
        <f>IF(FINANCIACION[[#This Row],[$ CAPITAL]]&gt;=0,FINANCIACION[[#This Row],[$ CAPITAL]]+FINANCIACION[[#This Row],[$ INTERESES]],0)</f>
        <v>0</v>
      </c>
    </row>
    <row r="155" spans="1:10" ht="24" hidden="1" customHeight="1" x14ac:dyDescent="0.3">
      <c r="A155" s="131">
        <v>43817</v>
      </c>
      <c r="B155" s="50" t="s">
        <v>534</v>
      </c>
      <c r="C155" s="5">
        <v>1459836.82424242</v>
      </c>
      <c r="D155" s="5">
        <v>4622000.1757575795</v>
      </c>
      <c r="E155" s="5">
        <f>+IF(FINANCIACION[[#This Row],[$ CAPITAL]]&gt;=0,FINANCIACION[[#This Row],[$ CAPITAL]]+FINANCIACION[[#This Row],[$ INTERESES]],"")</f>
        <v>6081837</v>
      </c>
      <c r="F155" s="5">
        <f>+SUMIFS(FINANCIACION[$ CAPITAL],FINANCIACION[Fecha],"&lt;="&amp;FINANCIACION[[#This Row],[Fecha]],FINANCIACION[PRESTAMO],FINANCIACION[[#This Row],[PRESTAMO]])</f>
        <v>-364664636.54090905</v>
      </c>
      <c r="G155" s="7"/>
      <c r="H155" s="53"/>
      <c r="I155" s="5">
        <f>IF(FINANCIACION[[#This Row],[$ CAPITAL]]&gt;0,FINANCIACION[[#This Row],[$ CAPITAL]])</f>
        <v>1459836.82424242</v>
      </c>
      <c r="J155" s="33">
        <f>IF(FINANCIACION[[#This Row],[$ CAPITAL]]&gt;=0,FINANCIACION[[#This Row],[$ CAPITAL]]+FINANCIACION[[#This Row],[$ INTERESES]],0)</f>
        <v>6081837</v>
      </c>
    </row>
    <row r="156" spans="1:10" ht="24" hidden="1" customHeight="1" x14ac:dyDescent="0.3">
      <c r="A156" s="131">
        <v>43819</v>
      </c>
      <c r="B156" s="50" t="s">
        <v>533</v>
      </c>
      <c r="C156" s="5">
        <v>260000</v>
      </c>
      <c r="D156" s="5">
        <v>740000</v>
      </c>
      <c r="E156" s="5">
        <f>+IF(FINANCIACION[[#This Row],[$ CAPITAL]]&gt;=0,FINANCIACION[[#This Row],[$ CAPITAL]]+FINANCIACION[[#This Row],[$ INTERESES]],"")</f>
        <v>1000000</v>
      </c>
      <c r="F156" s="5">
        <f>+SUMIFS(FINANCIACION[$ CAPITAL],FINANCIACION[Fecha],"&lt;="&amp;FINANCIACION[[#This Row],[Fecha]],FINANCIACION[PRESTAMO],FINANCIACION[[#This Row],[PRESTAMO]])</f>
        <v>-67509154</v>
      </c>
      <c r="G156" s="7"/>
      <c r="H156" s="53"/>
      <c r="I156" s="5">
        <f>IF(FINANCIACION[[#This Row],[$ CAPITAL]]&gt;0,FINANCIACION[[#This Row],[$ CAPITAL]])</f>
        <v>260000</v>
      </c>
      <c r="J156" s="33">
        <f>IF(FINANCIACION[[#This Row],[$ CAPITAL]]&gt;=0,FINANCIACION[[#This Row],[$ CAPITAL]]+FINANCIACION[[#This Row],[$ INTERESES]],0)</f>
        <v>1000000</v>
      </c>
    </row>
    <row r="157" spans="1:10" ht="24" hidden="1" customHeight="1" x14ac:dyDescent="0.3">
      <c r="A157" s="131">
        <v>43822</v>
      </c>
      <c r="B157" s="50" t="s">
        <v>535</v>
      </c>
      <c r="C157" s="5">
        <v>3000000</v>
      </c>
      <c r="D157" s="5"/>
      <c r="E157" s="5">
        <f>+IF(FINANCIACION[[#This Row],[$ CAPITAL]]&gt;=0,FINANCIACION[[#This Row],[$ CAPITAL]]+FINANCIACION[[#This Row],[$ INTERESES]],"")</f>
        <v>3000000</v>
      </c>
      <c r="F157" s="5">
        <f>+SUMIFS(FINANCIACION[$ CAPITAL],FINANCIACION[Fecha],"&lt;="&amp;FINANCIACION[[#This Row],[Fecha]],FINANCIACION[PRESTAMO],FINANCIACION[[#This Row],[PRESTAMO]])</f>
        <v>-20307307.229999989</v>
      </c>
      <c r="G157" s="7"/>
      <c r="H157" s="53"/>
      <c r="I157" s="5">
        <f>IF(FINANCIACION[[#This Row],[$ CAPITAL]]&gt;0,FINANCIACION[[#This Row],[$ CAPITAL]])</f>
        <v>3000000</v>
      </c>
      <c r="J157" s="33">
        <f>IF(FINANCIACION[[#This Row],[$ CAPITAL]]&gt;=0,FINANCIACION[[#This Row],[$ CAPITAL]]+FINANCIACION[[#This Row],[$ INTERESES]],0)</f>
        <v>3000000</v>
      </c>
    </row>
    <row r="158" spans="1:10" ht="24" hidden="1" customHeight="1" x14ac:dyDescent="0.3">
      <c r="A158" s="131">
        <v>43822</v>
      </c>
      <c r="B158" s="50" t="s">
        <v>535</v>
      </c>
      <c r="C158" s="5">
        <v>7000000</v>
      </c>
      <c r="D158" s="5"/>
      <c r="E158" s="5">
        <f>+IF(FINANCIACION[[#This Row],[$ CAPITAL]]&gt;=0,FINANCIACION[[#This Row],[$ CAPITAL]]+FINANCIACION[[#This Row],[$ INTERESES]],"")</f>
        <v>7000000</v>
      </c>
      <c r="F158" s="5">
        <f>+SUMIFS(FINANCIACION[$ CAPITAL],FINANCIACION[Fecha],"&lt;="&amp;FINANCIACION[[#This Row],[Fecha]],FINANCIACION[PRESTAMO],FINANCIACION[[#This Row],[PRESTAMO]])</f>
        <v>-20307307.229999989</v>
      </c>
      <c r="G158" s="7"/>
      <c r="H158" s="53"/>
      <c r="I158" s="5">
        <f>IF(FINANCIACION[[#This Row],[$ CAPITAL]]&gt;0,FINANCIACION[[#This Row],[$ CAPITAL]])</f>
        <v>7000000</v>
      </c>
      <c r="J158" s="33">
        <f>IF(FINANCIACION[[#This Row],[$ CAPITAL]]&gt;=0,FINANCIACION[[#This Row],[$ CAPITAL]]+FINANCIACION[[#This Row],[$ INTERESES]],0)</f>
        <v>7000000</v>
      </c>
    </row>
    <row r="159" spans="1:10" ht="24" hidden="1" customHeight="1" x14ac:dyDescent="0.3">
      <c r="A159" s="131">
        <v>43822</v>
      </c>
      <c r="B159" s="50" t="s">
        <v>535</v>
      </c>
      <c r="C159" s="5">
        <v>1307962</v>
      </c>
      <c r="D159" s="5"/>
      <c r="E159" s="5">
        <f>+IF(FINANCIACION[[#This Row],[$ CAPITAL]]&gt;=0,FINANCIACION[[#This Row],[$ CAPITAL]]+FINANCIACION[[#This Row],[$ INTERESES]],"")</f>
        <v>1307962</v>
      </c>
      <c r="F159" s="5">
        <f>+SUMIFS(FINANCIACION[$ CAPITAL],FINANCIACION[Fecha],"&lt;="&amp;FINANCIACION[[#This Row],[Fecha]],FINANCIACION[PRESTAMO],FINANCIACION[[#This Row],[PRESTAMO]])</f>
        <v>-20307307.229999989</v>
      </c>
      <c r="G159" s="7"/>
      <c r="H159" s="53"/>
      <c r="I159" s="5">
        <f>IF(FINANCIACION[[#This Row],[$ CAPITAL]]&gt;0,FINANCIACION[[#This Row],[$ CAPITAL]])</f>
        <v>1307962</v>
      </c>
      <c r="J159" s="33">
        <f>IF(FINANCIACION[[#This Row],[$ CAPITAL]]&gt;=0,FINANCIACION[[#This Row],[$ CAPITAL]]+FINANCIACION[[#This Row],[$ INTERESES]],0)</f>
        <v>1307962</v>
      </c>
    </row>
    <row r="160" spans="1:10" ht="24" hidden="1" customHeight="1" x14ac:dyDescent="0.3">
      <c r="A160" s="131">
        <v>43822</v>
      </c>
      <c r="B160" s="50" t="s">
        <v>535</v>
      </c>
      <c r="C160" s="5">
        <v>-1757051</v>
      </c>
      <c r="D160" s="5"/>
      <c r="E160" s="5" t="str">
        <f>+IF(FINANCIACION[[#This Row],[$ CAPITAL]]&gt;=0,FINANCIACION[[#This Row],[$ CAPITAL]]+FINANCIACION[[#This Row],[$ INTERESES]],"")</f>
        <v/>
      </c>
      <c r="F160" s="5">
        <f>+SUMIFS(FINANCIACION[$ CAPITAL],FINANCIACION[Fecha],"&lt;="&amp;FINANCIACION[[#This Row],[Fecha]],FINANCIACION[PRESTAMO],FINANCIACION[[#This Row],[PRESTAMO]])</f>
        <v>-20307307.229999989</v>
      </c>
      <c r="G160" s="7"/>
      <c r="H160" s="53"/>
      <c r="I160" s="5" t="b">
        <f>IF(FINANCIACION[[#This Row],[$ CAPITAL]]&gt;0,FINANCIACION[[#This Row],[$ CAPITAL]])</f>
        <v>0</v>
      </c>
      <c r="J160" s="33">
        <f>IF(FINANCIACION[[#This Row],[$ CAPITAL]]&gt;=0,FINANCIACION[[#This Row],[$ CAPITAL]]+FINANCIACION[[#This Row],[$ INTERESES]],0)</f>
        <v>0</v>
      </c>
    </row>
    <row r="161" spans="1:34" ht="24" hidden="1" customHeight="1" x14ac:dyDescent="0.3">
      <c r="A161" s="131">
        <v>43825</v>
      </c>
      <c r="B161" s="50" t="s">
        <v>146</v>
      </c>
      <c r="C161" s="5">
        <v>1250000</v>
      </c>
      <c r="D161" s="5">
        <v>260739</v>
      </c>
      <c r="E161" s="5">
        <f>+IF(FINANCIACION[[#This Row],[$ CAPITAL]]&gt;=0,FINANCIACION[[#This Row],[$ CAPITAL]]+FINANCIACION[[#This Row],[$ INTERESES]],"")</f>
        <v>1510739</v>
      </c>
      <c r="F161" s="5">
        <f>+SUMIFS(FINANCIACION[$ CAPITAL],FINANCIACION[Fecha],"&lt;="&amp;FINANCIACION[[#This Row],[Fecha]],FINANCIACION[PRESTAMO],FINANCIACION[[#This Row],[PRESTAMO]])</f>
        <v>-20000000</v>
      </c>
      <c r="G161" s="7"/>
      <c r="H161" s="53"/>
      <c r="I161" s="5">
        <f>IF(FINANCIACION[[#This Row],[$ CAPITAL]]&gt;0,FINANCIACION[[#This Row],[$ CAPITAL]])</f>
        <v>1250000</v>
      </c>
      <c r="J161" s="33">
        <f>IF(FINANCIACION[[#This Row],[$ CAPITAL]]&gt;=0,FINANCIACION[[#This Row],[$ CAPITAL]]+FINANCIACION[[#This Row],[$ INTERESES]],0)</f>
        <v>1510739</v>
      </c>
    </row>
    <row r="162" spans="1:34" ht="24" hidden="1" customHeight="1" x14ac:dyDescent="0.3">
      <c r="A162" s="131">
        <v>43825</v>
      </c>
      <c r="B162" s="50" t="s">
        <v>535</v>
      </c>
      <c r="C162" s="5">
        <v>1393603</v>
      </c>
      <c r="D162" s="5"/>
      <c r="E162" s="5">
        <f>+IF(FINANCIACION[[#This Row],[$ CAPITAL]]&gt;=0,FINANCIACION[[#This Row],[$ CAPITAL]]+FINANCIACION[[#This Row],[$ INTERESES]],"")</f>
        <v>1393603</v>
      </c>
      <c r="F162" s="5">
        <f>+SUMIFS(FINANCIACION[$ CAPITAL],FINANCIACION[Fecha],"&lt;="&amp;FINANCIACION[[#This Row],[Fecha]],FINANCIACION[PRESTAMO],FINANCIACION[[#This Row],[PRESTAMO]])</f>
        <v>-10323014.229999989</v>
      </c>
      <c r="G162" s="7"/>
      <c r="H162" s="53"/>
      <c r="I162" s="5">
        <f>IF(FINANCIACION[[#This Row],[$ CAPITAL]]&gt;0,FINANCIACION[[#This Row],[$ CAPITAL]])</f>
        <v>1393603</v>
      </c>
      <c r="J162" s="33">
        <f>IF(FINANCIACION[[#This Row],[$ CAPITAL]]&gt;=0,FINANCIACION[[#This Row],[$ CAPITAL]]+FINANCIACION[[#This Row],[$ INTERESES]],0)</f>
        <v>1393603</v>
      </c>
    </row>
    <row r="163" spans="1:34" ht="24" hidden="1" customHeight="1" x14ac:dyDescent="0.3">
      <c r="A163" s="131">
        <v>43825</v>
      </c>
      <c r="B163" s="50" t="s">
        <v>535</v>
      </c>
      <c r="C163" s="5">
        <v>8590690</v>
      </c>
      <c r="D163" s="5"/>
      <c r="E163" s="5">
        <f>+IF(FINANCIACION[[#This Row],[$ CAPITAL]]&gt;=0,FINANCIACION[[#This Row],[$ CAPITAL]]+FINANCIACION[[#This Row],[$ INTERESES]],"")</f>
        <v>8590690</v>
      </c>
      <c r="F163" s="5">
        <f>+SUMIFS(FINANCIACION[$ CAPITAL],FINANCIACION[Fecha],"&lt;="&amp;FINANCIACION[[#This Row],[Fecha]],FINANCIACION[PRESTAMO],FINANCIACION[[#This Row],[PRESTAMO]])</f>
        <v>-10323014.229999989</v>
      </c>
      <c r="G163" s="7"/>
      <c r="H163" s="53"/>
      <c r="I163" s="5">
        <f>IF(FINANCIACION[[#This Row],[$ CAPITAL]]&gt;0,FINANCIACION[[#This Row],[$ CAPITAL]])</f>
        <v>8590690</v>
      </c>
      <c r="J163" s="33">
        <f>IF(FINANCIACION[[#This Row],[$ CAPITAL]]&gt;=0,FINANCIACION[[#This Row],[$ CAPITAL]]+FINANCIACION[[#This Row],[$ INTERESES]],0)</f>
        <v>8590690</v>
      </c>
    </row>
    <row r="164" spans="1:34" s="7" customFormat="1" ht="24" hidden="1" customHeight="1" x14ac:dyDescent="0.3">
      <c r="A164" s="131">
        <v>43829</v>
      </c>
      <c r="B164" s="50" t="s">
        <v>536</v>
      </c>
      <c r="C164" s="5"/>
      <c r="D164" s="5">
        <v>840000</v>
      </c>
      <c r="E164" s="5">
        <f>+IF(FINANCIACION[[#This Row],[$ CAPITAL]]&gt;=0,FINANCIACION[[#This Row],[$ CAPITAL]]+FINANCIACION[[#This Row],[$ INTERESES]],"")</f>
        <v>840000</v>
      </c>
      <c r="F164" s="5">
        <f>+SUMIFS(FINANCIACION[$ CAPITAL],FINANCIACION[Fecha],"&lt;="&amp;FINANCIACION[[#This Row],[Fecha]],FINANCIACION[PRESTAMO],FINANCIACION[[#This Row],[PRESTAMO]])</f>
        <v>-84000000</v>
      </c>
      <c r="H164" s="53"/>
      <c r="I164" s="5" t="b">
        <f>IF(FINANCIACION[[#This Row],[$ CAPITAL]]&gt;0,FINANCIACION[[#This Row],[$ CAPITAL]])</f>
        <v>0</v>
      </c>
      <c r="J164" s="33">
        <f>IF(FINANCIACION[[#This Row],[$ CAPITAL]]&gt;=0,FINANCIACION[[#This Row],[$ CAPITAL]]+FINANCIACION[[#This Row],[$ INTERESES]],0)</f>
        <v>840000</v>
      </c>
      <c r="K164" s="6"/>
      <c r="L164" s="6"/>
      <c r="M164" s="6"/>
      <c r="N164" s="9"/>
      <c r="O164" s="8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</row>
    <row r="165" spans="1:34" ht="24" hidden="1" customHeight="1" x14ac:dyDescent="0.3">
      <c r="A165" s="131">
        <v>43830</v>
      </c>
      <c r="B165" s="50" t="s">
        <v>534</v>
      </c>
      <c r="C165" s="5">
        <v>-24464288.602231398</v>
      </c>
      <c r="D165" s="5"/>
      <c r="E165" s="5" t="str">
        <f>+IF(FINANCIACION[[#This Row],[$ CAPITAL]]&gt;=0,FINANCIACION[[#This Row],[$ CAPITAL]]+FINANCIACION[[#This Row],[$ INTERESES]],"")</f>
        <v/>
      </c>
      <c r="F165" s="5">
        <f>+SUMIFS(FINANCIACION[$ CAPITAL],FINANCIACION[Fecha],"&lt;="&amp;FINANCIACION[[#This Row],[Fecha]],FINANCIACION[PRESTAMO],FINANCIACION[[#This Row],[PRESTAMO]])</f>
        <v>-389128925.14314044</v>
      </c>
      <c r="G165" s="7"/>
      <c r="H165" s="53"/>
      <c r="I165" s="5" t="b">
        <f>IF(FINANCIACION[[#This Row],[$ CAPITAL]]&gt;0,FINANCIACION[[#This Row],[$ CAPITAL]])</f>
        <v>0</v>
      </c>
      <c r="J165" s="33">
        <f>IF(FINANCIACION[[#This Row],[$ CAPITAL]]&gt;=0,FINANCIACION[[#This Row],[$ CAPITAL]]+FINANCIACION[[#This Row],[$ INTERESES]],0)</f>
        <v>0</v>
      </c>
    </row>
    <row r="166" spans="1:34" ht="24" hidden="1" customHeight="1" x14ac:dyDescent="0.3">
      <c r="A166" s="131">
        <v>43830</v>
      </c>
      <c r="B166" s="50" t="s">
        <v>535</v>
      </c>
      <c r="C166" s="5">
        <v>3100264.0500000007</v>
      </c>
      <c r="D166" s="5"/>
      <c r="E166" s="5">
        <f>+IF(FINANCIACION[[#This Row],[$ CAPITAL]]&gt;=0,FINANCIACION[[#This Row],[$ CAPITAL]]+FINANCIACION[[#This Row],[$ INTERESES]],"")</f>
        <v>3100264.0500000007</v>
      </c>
      <c r="F166" s="5">
        <f>+SUMIFS(FINANCIACION[$ CAPITAL],FINANCIACION[Fecha],"&lt;="&amp;FINANCIACION[[#This Row],[Fecha]],FINANCIACION[PRESTAMO],FINANCIACION[[#This Row],[PRESTAMO]])</f>
        <v>-11040476.949999999</v>
      </c>
      <c r="G166" s="7"/>
      <c r="H166" s="53"/>
      <c r="I166" s="5">
        <f>IF(FINANCIACION[[#This Row],[$ CAPITAL]]&gt;0,FINANCIACION[[#This Row],[$ CAPITAL]])</f>
        <v>3100264.0500000007</v>
      </c>
      <c r="J166" s="8">
        <f>IF(FINANCIACION[[#This Row],[$ CAPITAL]]&gt;=0,FINANCIACION[[#This Row],[$ CAPITAL]]+FINANCIACION[[#This Row],[$ INTERESES]],0)</f>
        <v>3100264.0500000007</v>
      </c>
    </row>
    <row r="167" spans="1:34" ht="24" hidden="1" customHeight="1" x14ac:dyDescent="0.3">
      <c r="A167" s="131">
        <v>43830</v>
      </c>
      <c r="B167" s="50" t="s">
        <v>535</v>
      </c>
      <c r="C167" s="5">
        <v>-534158</v>
      </c>
      <c r="D167" s="5"/>
      <c r="E167" s="5" t="str">
        <f>+IF(FINANCIACION[[#This Row],[$ CAPITAL]]&gt;=0,FINANCIACION[[#This Row],[$ CAPITAL]]+FINANCIACION[[#This Row],[$ INTERESES]],"")</f>
        <v/>
      </c>
      <c r="F167" s="5">
        <f>+SUMIFS(FINANCIACION[$ CAPITAL],FINANCIACION[Fecha],"&lt;="&amp;FINANCIACION[[#This Row],[Fecha]],FINANCIACION[PRESTAMO],FINANCIACION[[#This Row],[PRESTAMO]])</f>
        <v>-11040476.949999999</v>
      </c>
      <c r="G167" s="7"/>
      <c r="H167" s="53"/>
      <c r="I167" s="5" t="b">
        <f>IF(FINANCIACION[[#This Row],[$ CAPITAL]]&gt;0,FINANCIACION[[#This Row],[$ CAPITAL]])</f>
        <v>0</v>
      </c>
      <c r="J167" s="8">
        <f>IF(FINANCIACION[[#This Row],[$ CAPITAL]]&gt;=0,FINANCIACION[[#This Row],[$ CAPITAL]]+FINANCIACION[[#This Row],[$ INTERESES]],0)</f>
        <v>0</v>
      </c>
    </row>
    <row r="168" spans="1:34" ht="24" hidden="1" customHeight="1" x14ac:dyDescent="0.3">
      <c r="A168" s="131">
        <v>43830</v>
      </c>
      <c r="B168" s="50" t="s">
        <v>535</v>
      </c>
      <c r="C168" s="5">
        <v>-3253321.7700000107</v>
      </c>
      <c r="D168" s="5"/>
      <c r="E168" s="5" t="str">
        <f>+IF(FINANCIACION[[#This Row],[$ CAPITAL]]&gt;=0,FINANCIACION[[#This Row],[$ CAPITAL]]+FINANCIACION[[#This Row],[$ INTERESES]],"")</f>
        <v/>
      </c>
      <c r="F168" s="5">
        <f>+SUMIFS(FINANCIACION[$ CAPITAL],FINANCIACION[Fecha],"&lt;="&amp;FINANCIACION[[#This Row],[Fecha]],FINANCIACION[PRESTAMO],FINANCIACION[[#This Row],[PRESTAMO]])</f>
        <v>-11040476.949999999</v>
      </c>
      <c r="G168" s="7"/>
      <c r="H168" s="53"/>
      <c r="I168" s="5" t="b">
        <f>IF(FINANCIACION[[#This Row],[$ CAPITAL]]&gt;0,FINANCIACION[[#This Row],[$ CAPITAL]])</f>
        <v>0</v>
      </c>
      <c r="J168" s="8">
        <f>IF(FINANCIACION[[#This Row],[$ CAPITAL]]&gt;=0,FINANCIACION[[#This Row],[$ CAPITAL]]+FINANCIACION[[#This Row],[$ INTERESES]],0)</f>
        <v>0</v>
      </c>
    </row>
    <row r="169" spans="1:34" s="7" customFormat="1" ht="24" hidden="1" customHeight="1" x14ac:dyDescent="0.3">
      <c r="A169" s="131">
        <v>43830</v>
      </c>
      <c r="B169" s="50" t="s">
        <v>535</v>
      </c>
      <c r="C169" s="5">
        <v>-30247</v>
      </c>
      <c r="D169" s="5"/>
      <c r="E169" s="5" t="str">
        <f>+IF(FINANCIACION[[#This Row],[$ CAPITAL]]&gt;=0,FINANCIACION[[#This Row],[$ CAPITAL]]+FINANCIACION[[#This Row],[$ INTERESES]],"")</f>
        <v/>
      </c>
      <c r="F169" s="5">
        <f>+SUMIFS(FINANCIACION[$ CAPITAL],FINANCIACION[Fecha],"&lt;="&amp;FINANCIACION[[#This Row],[Fecha]],FINANCIACION[PRESTAMO],FINANCIACION[[#This Row],[PRESTAMO]])</f>
        <v>-11040476.949999999</v>
      </c>
      <c r="H169" s="53"/>
      <c r="I169" s="5" t="b">
        <f>IF(FINANCIACION[[#This Row],[$ CAPITAL]]&gt;0,FINANCIACION[[#This Row],[$ CAPITAL]])</f>
        <v>0</v>
      </c>
      <c r="J169" s="8">
        <f>IF(FINANCIACION[[#This Row],[$ CAPITAL]]&gt;=0,FINANCIACION[[#This Row],[$ CAPITAL]]+FINANCIACION[[#This Row],[$ INTERESES]],0)</f>
        <v>0</v>
      </c>
      <c r="K169" s="6"/>
      <c r="L169" s="6"/>
      <c r="M169" s="6"/>
      <c r="N169" s="9"/>
      <c r="O169" s="8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</row>
    <row r="170" spans="1:34" s="7" customFormat="1" ht="24" hidden="1" customHeight="1" x14ac:dyDescent="0.3">
      <c r="A170" s="131">
        <v>43836</v>
      </c>
      <c r="B170" s="50" t="s">
        <v>150</v>
      </c>
      <c r="C170" s="5">
        <v>6250000</v>
      </c>
      <c r="D170" s="5">
        <v>1309053.1200000001</v>
      </c>
      <c r="E170" s="5">
        <f>+IF(FINANCIACION[[#This Row],[$ CAPITAL]]&gt;=0,FINANCIACION[[#This Row],[$ CAPITAL]]+FINANCIACION[[#This Row],[$ INTERESES]],"")</f>
        <v>7559053.1200000001</v>
      </c>
      <c r="F170" s="5">
        <f>+SUMIFS(FINANCIACION[$ CAPITAL],FINANCIACION[Fecha],"&lt;="&amp;FINANCIACION[[#This Row],[Fecha]],FINANCIACION[PRESTAMO],FINANCIACION[[#This Row],[PRESTAMO]])</f>
        <v>-143750000</v>
      </c>
      <c r="H170" s="53"/>
      <c r="I170" s="5">
        <f>IF(FINANCIACION[[#This Row],[$ CAPITAL]]&gt;0,FINANCIACION[[#This Row],[$ CAPITAL]])</f>
        <v>6250000</v>
      </c>
      <c r="J170" s="8">
        <f>IF(FINANCIACION[[#This Row],[$ CAPITAL]]&gt;=0,FINANCIACION[[#This Row],[$ CAPITAL]]+FINANCIACION[[#This Row],[$ INTERESES]],0)</f>
        <v>7559053.1200000001</v>
      </c>
      <c r="K170" s="6"/>
      <c r="L170" s="6"/>
      <c r="M170" s="6"/>
      <c r="N170" s="9"/>
      <c r="O170" s="8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</row>
    <row r="171" spans="1:34" ht="24" hidden="1" customHeight="1" x14ac:dyDescent="0.3">
      <c r="A171" s="131">
        <v>43837</v>
      </c>
      <c r="B171" s="50" t="s">
        <v>535</v>
      </c>
      <c r="C171" s="5">
        <v>2500000</v>
      </c>
      <c r="D171" s="5">
        <v>381929.16999999993</v>
      </c>
      <c r="E171" s="5">
        <f>+IF(FINANCIACION[[#This Row],[$ CAPITAL]]&gt;=0,FINANCIACION[[#This Row],[$ CAPITAL]]+FINANCIACION[[#This Row],[$ INTERESES]],"")</f>
        <v>2881929.17</v>
      </c>
      <c r="F171" s="5">
        <f>+SUMIFS(FINANCIACION[$ CAPITAL],FINANCIACION[Fecha],"&lt;="&amp;FINANCIACION[[#This Row],[Fecha]],FINANCIACION[PRESTAMO],FINANCIACION[[#This Row],[PRESTAMO]])</f>
        <v>-8619483.6999999993</v>
      </c>
      <c r="G171" s="53"/>
      <c r="H171" s="53"/>
      <c r="I171" s="5">
        <f>IF(FINANCIACION[[#This Row],[$ CAPITAL]]&gt;0,FINANCIACION[[#This Row],[$ CAPITAL]])</f>
        <v>2500000</v>
      </c>
      <c r="J171" s="33">
        <f>IF(FINANCIACION[[#This Row],[$ CAPITAL]]&gt;=0,FINANCIACION[[#This Row],[$ CAPITAL]]+FINANCIACION[[#This Row],[$ INTERESES]],0)</f>
        <v>2881929.17</v>
      </c>
    </row>
    <row r="172" spans="1:34" ht="24" hidden="1" customHeight="1" x14ac:dyDescent="0.3">
      <c r="A172" s="131">
        <v>43837</v>
      </c>
      <c r="B172" s="50" t="s">
        <v>535</v>
      </c>
      <c r="C172" s="5">
        <v>-79006.75</v>
      </c>
      <c r="D172" s="5"/>
      <c r="E172" s="5" t="str">
        <f>+IF(FINANCIACION[[#This Row],[$ CAPITAL]]&gt;=0,FINANCIACION[[#This Row],[$ CAPITAL]]+FINANCIACION[[#This Row],[$ INTERESES]],"")</f>
        <v/>
      </c>
      <c r="F172" s="5">
        <f>+SUMIFS(FINANCIACION[$ CAPITAL],FINANCIACION[Fecha],"&lt;="&amp;FINANCIACION[[#This Row],[Fecha]],FINANCIACION[PRESTAMO],FINANCIACION[[#This Row],[PRESTAMO]])</f>
        <v>-8619483.6999999993</v>
      </c>
      <c r="G172" s="53"/>
      <c r="H172" s="53"/>
      <c r="I172" s="5" t="b">
        <f>IF(FINANCIACION[[#This Row],[$ CAPITAL]]&gt;0,FINANCIACION[[#This Row],[$ CAPITAL]])</f>
        <v>0</v>
      </c>
      <c r="J172" s="33">
        <f>IF(FINANCIACION[[#This Row],[$ CAPITAL]]&gt;=0,FINANCIACION[[#This Row],[$ CAPITAL]]+FINANCIACION[[#This Row],[$ INTERESES]],0)</f>
        <v>0</v>
      </c>
    </row>
    <row r="173" spans="1:34" ht="24" hidden="1" customHeight="1" x14ac:dyDescent="0.3">
      <c r="A173" s="131">
        <v>43840</v>
      </c>
      <c r="B173" s="50" t="s">
        <v>532</v>
      </c>
      <c r="C173" s="5"/>
      <c r="D173" s="5">
        <v>950000</v>
      </c>
      <c r="E173" s="5">
        <f>+IF(FINANCIACION[[#This Row],[$ CAPITAL]]&gt;=0,FINANCIACION[[#This Row],[$ CAPITAL]]+FINANCIACION[[#This Row],[$ INTERESES]],"")</f>
        <v>950000</v>
      </c>
      <c r="F173" s="5">
        <f>+SUMIFS(FINANCIACION[$ CAPITAL],FINANCIACION[Fecha],"&lt;="&amp;FINANCIACION[[#This Row],[Fecha]],FINANCIACION[PRESTAMO],FINANCIACION[[#This Row],[PRESTAMO]])</f>
        <v>-94935167</v>
      </c>
      <c r="G173" s="53"/>
      <c r="H173" s="53"/>
      <c r="I173" s="5" t="b">
        <f>IF(FINANCIACION[[#This Row],[$ CAPITAL]]&gt;0,FINANCIACION[[#This Row],[$ CAPITAL]])</f>
        <v>0</v>
      </c>
      <c r="J173" s="33">
        <f>IF(FINANCIACION[[#This Row],[$ CAPITAL]]&gt;=0,FINANCIACION[[#This Row],[$ CAPITAL]]+FINANCIACION[[#This Row],[$ INTERESES]],0)</f>
        <v>950000</v>
      </c>
    </row>
    <row r="174" spans="1:34" ht="24" hidden="1" customHeight="1" x14ac:dyDescent="0.3">
      <c r="A174" s="131">
        <v>43840</v>
      </c>
      <c r="B174" s="50" t="s">
        <v>536</v>
      </c>
      <c r="C174" s="5"/>
      <c r="D174" s="5">
        <v>200000</v>
      </c>
      <c r="E174" s="5">
        <f>+IF(FINANCIACION[[#This Row],[$ CAPITAL]]&gt;=0,FINANCIACION[[#This Row],[$ CAPITAL]]+FINANCIACION[[#This Row],[$ INTERESES]],"")</f>
        <v>200000</v>
      </c>
      <c r="F174" s="5">
        <f>+SUMIFS(FINANCIACION[$ CAPITAL],FINANCIACION[Fecha],"&lt;="&amp;FINANCIACION[[#This Row],[Fecha]],FINANCIACION[PRESTAMO],FINANCIACION[[#This Row],[PRESTAMO]])</f>
        <v>-84000000</v>
      </c>
      <c r="G174" s="53"/>
      <c r="H174" s="53"/>
      <c r="I174" s="5" t="b">
        <f>IF(FINANCIACION[[#This Row],[$ CAPITAL]]&gt;0,FINANCIACION[[#This Row],[$ CAPITAL]])</f>
        <v>0</v>
      </c>
      <c r="J174" s="33">
        <f>IF(FINANCIACION[[#This Row],[$ CAPITAL]]&gt;=0,FINANCIACION[[#This Row],[$ CAPITAL]]+FINANCIACION[[#This Row],[$ INTERESES]],0)</f>
        <v>200000</v>
      </c>
    </row>
    <row r="175" spans="1:34" ht="24" hidden="1" customHeight="1" x14ac:dyDescent="0.3">
      <c r="A175" s="131">
        <v>43840</v>
      </c>
      <c r="B175" s="50" t="s">
        <v>535</v>
      </c>
      <c r="C175" s="5">
        <v>6179068.2499999898</v>
      </c>
      <c r="D175" s="5"/>
      <c r="E175" s="5">
        <f>+IF(FINANCIACION[[#This Row],[$ CAPITAL]]&gt;=0,FINANCIACION[[#This Row],[$ CAPITAL]]+FINANCIACION[[#This Row],[$ INTERESES]],"")</f>
        <v>6179068.2499999898</v>
      </c>
      <c r="F175" s="5">
        <f>+SUMIFS(FINANCIACION[$ CAPITAL],FINANCIACION[Fecha],"&lt;="&amp;FINANCIACION[[#This Row],[Fecha]],FINANCIACION[PRESTAMO],FINANCIACION[[#This Row],[PRESTAMO]])</f>
        <v>-2440415.4500000095</v>
      </c>
      <c r="G175" s="53"/>
      <c r="H175" s="53"/>
      <c r="I175" s="5">
        <f>IF(FINANCIACION[[#This Row],[$ CAPITAL]]&gt;0,FINANCIACION[[#This Row],[$ CAPITAL]])</f>
        <v>6179068.2499999898</v>
      </c>
      <c r="J175" s="33">
        <f>IF(FINANCIACION[[#This Row],[$ CAPITAL]]&gt;=0,FINANCIACION[[#This Row],[$ CAPITAL]]+FINANCIACION[[#This Row],[$ INTERESES]],0)</f>
        <v>6179068.2499999898</v>
      </c>
    </row>
    <row r="176" spans="1:34" ht="24" hidden="1" customHeight="1" x14ac:dyDescent="0.3">
      <c r="A176" s="131">
        <v>43844</v>
      </c>
      <c r="B176" s="51" t="s">
        <v>533</v>
      </c>
      <c r="C176" s="5">
        <v>310000</v>
      </c>
      <c r="D176" s="5">
        <v>90000</v>
      </c>
      <c r="E176" s="5">
        <f>+IF(FINANCIACION[[#This Row],[$ CAPITAL]]&gt;=0,FINANCIACION[[#This Row],[$ CAPITAL]]+FINANCIACION[[#This Row],[$ INTERESES]],"")</f>
        <v>400000</v>
      </c>
      <c r="F176" s="5">
        <f>+SUMIFS(FINANCIACION[$ CAPITAL],FINANCIACION[Fecha],"&lt;="&amp;FINANCIACION[[#This Row],[Fecha]],FINANCIACION[PRESTAMO],FINANCIACION[[#This Row],[PRESTAMO]])</f>
        <v>-67199154</v>
      </c>
      <c r="G176" s="53"/>
      <c r="H176" s="53"/>
      <c r="I176" s="5">
        <f>IF(FINANCIACION[[#This Row],[$ CAPITAL]]&gt;0,FINANCIACION[[#This Row],[$ CAPITAL]])</f>
        <v>310000</v>
      </c>
      <c r="J176" s="33">
        <f>IF(FINANCIACION[[#This Row],[$ CAPITAL]]&gt;=0,FINANCIACION[[#This Row],[$ CAPITAL]]+FINANCIACION[[#This Row],[$ INTERESES]],0)</f>
        <v>400000</v>
      </c>
    </row>
    <row r="177" spans="1:10" ht="24" hidden="1" customHeight="1" x14ac:dyDescent="0.3">
      <c r="A177" s="131">
        <v>43845</v>
      </c>
      <c r="B177" s="50" t="s">
        <v>535</v>
      </c>
      <c r="C177" s="5">
        <v>-4662.7700000000004</v>
      </c>
      <c r="D177" s="5"/>
      <c r="E177" s="5" t="str">
        <f>+IF(FINANCIACION[[#This Row],[$ CAPITAL]]&gt;=0,FINANCIACION[[#This Row],[$ CAPITAL]]+FINANCIACION[[#This Row],[$ INTERESES]],"")</f>
        <v/>
      </c>
      <c r="F177" s="5">
        <f>+SUMIFS(FINANCIACION[$ CAPITAL],FINANCIACION[Fecha],"&lt;="&amp;FINANCIACION[[#This Row],[Fecha]],FINANCIACION[PRESTAMO],FINANCIACION[[#This Row],[PRESTAMO]])</f>
        <v>-2445078.2200000095</v>
      </c>
      <c r="G177" s="53"/>
      <c r="H177" s="53"/>
      <c r="I177" s="5" t="b">
        <f>IF(FINANCIACION[[#This Row],[$ CAPITAL]]&gt;0,FINANCIACION[[#This Row],[$ CAPITAL]])</f>
        <v>0</v>
      </c>
      <c r="J177" s="33">
        <f>IF(FINANCIACION[[#This Row],[$ CAPITAL]]&gt;=0,FINANCIACION[[#This Row],[$ CAPITAL]]+FINANCIACION[[#This Row],[$ INTERESES]],0)</f>
        <v>0</v>
      </c>
    </row>
    <row r="178" spans="1:10" ht="24" hidden="1" customHeight="1" x14ac:dyDescent="0.3">
      <c r="A178" s="131">
        <v>43846</v>
      </c>
      <c r="B178" s="50" t="s">
        <v>535</v>
      </c>
      <c r="C178" s="5">
        <v>-85886</v>
      </c>
      <c r="D178" s="5"/>
      <c r="E178" s="5" t="str">
        <f>+IF(FINANCIACION[[#This Row],[$ CAPITAL]]&gt;=0,FINANCIACION[[#This Row],[$ CAPITAL]]+FINANCIACION[[#This Row],[$ INTERESES]],"")</f>
        <v/>
      </c>
      <c r="F178" s="5">
        <f>+SUMIFS(FINANCIACION[$ CAPITAL],FINANCIACION[Fecha],"&lt;="&amp;FINANCIACION[[#This Row],[Fecha]],FINANCIACION[PRESTAMO],FINANCIACION[[#This Row],[PRESTAMO]])</f>
        <v>-2530964.2200000095</v>
      </c>
      <c r="G178" s="7"/>
      <c r="H178" s="53"/>
      <c r="I178" s="5" t="b">
        <f>IF(FINANCIACION[[#This Row],[$ CAPITAL]]&gt;0,FINANCIACION[[#This Row],[$ CAPITAL]])</f>
        <v>0</v>
      </c>
      <c r="J178" s="33">
        <f>IF(FINANCIACION[[#This Row],[$ CAPITAL]]&gt;=0,FINANCIACION[[#This Row],[$ CAPITAL]]+FINANCIACION[[#This Row],[$ INTERESES]],0)</f>
        <v>0</v>
      </c>
    </row>
    <row r="179" spans="1:10" ht="24" hidden="1" customHeight="1" x14ac:dyDescent="0.3">
      <c r="A179" s="131">
        <v>43847</v>
      </c>
      <c r="B179" s="50" t="s">
        <v>535</v>
      </c>
      <c r="C179" s="5">
        <v>-294360</v>
      </c>
      <c r="D179" s="5"/>
      <c r="E179" s="5" t="str">
        <f>+IF(FINANCIACION[[#This Row],[$ CAPITAL]]&gt;=0,FINANCIACION[[#This Row],[$ CAPITAL]]+FINANCIACION[[#This Row],[$ INTERESES]],"")</f>
        <v/>
      </c>
      <c r="F179" s="5">
        <f>+SUMIFS(FINANCIACION[$ CAPITAL],FINANCIACION[Fecha],"&lt;="&amp;FINANCIACION[[#This Row],[Fecha]],FINANCIACION[PRESTAMO],FINANCIACION[[#This Row],[PRESTAMO]])</f>
        <v>-2825324.2200000095</v>
      </c>
      <c r="G179" s="7"/>
      <c r="H179" s="53"/>
      <c r="I179" s="5" t="b">
        <f>IF(FINANCIACION[[#This Row],[$ CAPITAL]]&gt;0,FINANCIACION[[#This Row],[$ CAPITAL]])</f>
        <v>0</v>
      </c>
      <c r="J179" s="33">
        <f>IF(FINANCIACION[[#This Row],[$ CAPITAL]]&gt;=0,FINANCIACION[[#This Row],[$ CAPITAL]]+FINANCIACION[[#This Row],[$ INTERESES]],0)</f>
        <v>0</v>
      </c>
    </row>
    <row r="180" spans="1:10" ht="24" hidden="1" customHeight="1" x14ac:dyDescent="0.3">
      <c r="A180" s="131">
        <v>43848</v>
      </c>
      <c r="B180" s="50" t="s">
        <v>534</v>
      </c>
      <c r="C180" s="5">
        <v>1471610</v>
      </c>
      <c r="D180" s="5">
        <v>4614238</v>
      </c>
      <c r="E180" s="5">
        <f>+IF(FINANCIACION[[#This Row],[$ CAPITAL]]&gt;=0,FINANCIACION[[#This Row],[$ CAPITAL]]+FINANCIACION[[#This Row],[$ INTERESES]],"")</f>
        <v>6085848</v>
      </c>
      <c r="F180" s="5">
        <f>+SUMIFS(FINANCIACION[$ CAPITAL],FINANCIACION[Fecha],"&lt;="&amp;FINANCIACION[[#This Row],[Fecha]],FINANCIACION[PRESTAMO],FINANCIACION[[#This Row],[PRESTAMO]])</f>
        <v>-387657315.14314044</v>
      </c>
      <c r="G180" s="7"/>
      <c r="H180" s="53"/>
      <c r="I180" s="5">
        <f>IF(FINANCIACION[[#This Row],[$ CAPITAL]]&gt;0,FINANCIACION[[#This Row],[$ CAPITAL]])</f>
        <v>1471610</v>
      </c>
      <c r="J180" s="33">
        <f>IF(FINANCIACION[[#This Row],[$ CAPITAL]]&gt;=0,FINANCIACION[[#This Row],[$ CAPITAL]]+FINANCIACION[[#This Row],[$ INTERESES]],0)</f>
        <v>6085848</v>
      </c>
    </row>
    <row r="181" spans="1:10" ht="24" hidden="1" customHeight="1" x14ac:dyDescent="0.3">
      <c r="A181" s="131">
        <v>43848</v>
      </c>
      <c r="B181" s="50" t="s">
        <v>535</v>
      </c>
      <c r="C181" s="5">
        <v>-38733</v>
      </c>
      <c r="D181" s="5"/>
      <c r="E181" s="5" t="str">
        <f>+IF(FINANCIACION[[#This Row],[$ CAPITAL]]&gt;=0,FINANCIACION[[#This Row],[$ CAPITAL]]+FINANCIACION[[#This Row],[$ INTERESES]],"")</f>
        <v/>
      </c>
      <c r="F181" s="5">
        <f>+SUMIFS(FINANCIACION[$ CAPITAL],FINANCIACION[Fecha],"&lt;="&amp;FINANCIACION[[#This Row],[Fecha]],FINANCIACION[PRESTAMO],FINANCIACION[[#This Row],[PRESTAMO]])</f>
        <v>-2864057.2200000095</v>
      </c>
      <c r="G181" s="7"/>
      <c r="H181" s="53"/>
      <c r="I181" s="5" t="b">
        <f>IF(FINANCIACION[[#This Row],[$ CAPITAL]]&gt;0,FINANCIACION[[#This Row],[$ CAPITAL]])</f>
        <v>0</v>
      </c>
      <c r="J181" s="33">
        <f>IF(FINANCIACION[[#This Row],[$ CAPITAL]]&gt;=0,FINANCIACION[[#This Row],[$ CAPITAL]]+FINANCIACION[[#This Row],[$ INTERESES]],0)</f>
        <v>0</v>
      </c>
    </row>
    <row r="182" spans="1:10" ht="24" hidden="1" customHeight="1" x14ac:dyDescent="0.3">
      <c r="A182" s="131">
        <v>43850</v>
      </c>
      <c r="B182" s="50" t="s">
        <v>533</v>
      </c>
      <c r="C182" s="5">
        <v>260000</v>
      </c>
      <c r="D182" s="5">
        <v>740000</v>
      </c>
      <c r="E182" s="5">
        <f>+IF(FINANCIACION[[#This Row],[$ CAPITAL]]&gt;=0,FINANCIACION[[#This Row],[$ CAPITAL]]+FINANCIACION[[#This Row],[$ INTERESES]],"")</f>
        <v>1000000</v>
      </c>
      <c r="F182" s="5">
        <f>+SUMIFS(FINANCIACION[$ CAPITAL],FINANCIACION[Fecha],"&lt;="&amp;FINANCIACION[[#This Row],[Fecha]],FINANCIACION[PRESTAMO],FINANCIACION[[#This Row],[PRESTAMO]])</f>
        <v>-66939154</v>
      </c>
      <c r="G182" s="7"/>
      <c r="H182" s="53"/>
      <c r="I182" s="5">
        <f>IF(FINANCIACION[[#This Row],[$ CAPITAL]]&gt;0,FINANCIACION[[#This Row],[$ CAPITAL]])</f>
        <v>260000</v>
      </c>
      <c r="J182" s="33">
        <f>IF(FINANCIACION[[#This Row],[$ CAPITAL]]&gt;=0,FINANCIACION[[#This Row],[$ CAPITAL]]+FINANCIACION[[#This Row],[$ INTERESES]],0)</f>
        <v>1000000</v>
      </c>
    </row>
    <row r="183" spans="1:10" ht="24" hidden="1" customHeight="1" x14ac:dyDescent="0.3">
      <c r="A183" s="131">
        <v>43852</v>
      </c>
      <c r="B183" s="50" t="s">
        <v>535</v>
      </c>
      <c r="C183" s="5">
        <v>-435739</v>
      </c>
      <c r="D183" s="5"/>
      <c r="E183" s="5" t="str">
        <f>+IF(FINANCIACION[[#This Row],[$ CAPITAL]]&gt;=0,FINANCIACION[[#This Row],[$ CAPITAL]]+FINANCIACION[[#This Row],[$ INTERESES]],"")</f>
        <v/>
      </c>
      <c r="F183" s="5">
        <f>+SUMIFS(FINANCIACION[$ CAPITAL],FINANCIACION[Fecha],"&lt;="&amp;FINANCIACION[[#This Row],[Fecha]],FINANCIACION[PRESTAMO],FINANCIACION[[#This Row],[PRESTAMO]])</f>
        <v>-3299796.2200000095</v>
      </c>
      <c r="G183" s="7"/>
      <c r="H183" s="53"/>
      <c r="I183" s="5" t="b">
        <f>IF(FINANCIACION[[#This Row],[$ CAPITAL]]&gt;0,FINANCIACION[[#This Row],[$ CAPITAL]])</f>
        <v>0</v>
      </c>
      <c r="J183" s="33">
        <f>IF(FINANCIACION[[#This Row],[$ CAPITAL]]&gt;=0,FINANCIACION[[#This Row],[$ CAPITAL]]+FINANCIACION[[#This Row],[$ INTERESES]],0)</f>
        <v>0</v>
      </c>
    </row>
    <row r="184" spans="1:10" ht="24" hidden="1" customHeight="1" x14ac:dyDescent="0.3">
      <c r="A184" s="131">
        <v>43853</v>
      </c>
      <c r="B184" s="50" t="s">
        <v>535</v>
      </c>
      <c r="C184" s="5">
        <v>1788226.67</v>
      </c>
      <c r="D184" s="5"/>
      <c r="E184" s="5">
        <f>+IF(FINANCIACION[[#This Row],[$ CAPITAL]]&gt;=0,FINANCIACION[[#This Row],[$ CAPITAL]]+FINANCIACION[[#This Row],[$ INTERESES]],"")</f>
        <v>1788226.67</v>
      </c>
      <c r="F184" s="5">
        <f>+SUMIFS(FINANCIACION[$ CAPITAL],FINANCIACION[Fecha],"&lt;="&amp;FINANCIACION[[#This Row],[Fecha]],FINANCIACION[PRESTAMO],FINANCIACION[[#This Row],[PRESTAMO]])</f>
        <v>-1511569.5500000096</v>
      </c>
      <c r="G184" s="7"/>
      <c r="H184" s="53"/>
      <c r="I184" s="5">
        <f>IF(FINANCIACION[[#This Row],[$ CAPITAL]]&gt;0,FINANCIACION[[#This Row],[$ CAPITAL]])</f>
        <v>1788226.67</v>
      </c>
      <c r="J184" s="33">
        <f>IF(FINANCIACION[[#This Row],[$ CAPITAL]]&gt;=0,FINANCIACION[[#This Row],[$ CAPITAL]]+FINANCIACION[[#This Row],[$ INTERESES]],0)</f>
        <v>1788226.67</v>
      </c>
    </row>
    <row r="185" spans="1:10" ht="24" hidden="1" customHeight="1" x14ac:dyDescent="0.3">
      <c r="A185" s="131">
        <v>43854</v>
      </c>
      <c r="B185" s="50" t="s">
        <v>535</v>
      </c>
      <c r="C185" s="5">
        <v>226778</v>
      </c>
      <c r="D185" s="5"/>
      <c r="E185" s="5">
        <f>+IF(FINANCIACION[[#This Row],[$ CAPITAL]]&gt;=0,FINANCIACION[[#This Row],[$ CAPITAL]]+FINANCIACION[[#This Row],[$ INTERESES]],"")</f>
        <v>226778</v>
      </c>
      <c r="F185" s="5">
        <f>+SUMIFS(FINANCIACION[$ CAPITAL],FINANCIACION[Fecha],"&lt;="&amp;FINANCIACION[[#This Row],[Fecha]],FINANCIACION[PRESTAMO],FINANCIACION[[#This Row],[PRESTAMO]])</f>
        <v>-1063956.1400000094</v>
      </c>
      <c r="G185" s="7"/>
      <c r="H185" s="53"/>
      <c r="I185" s="5">
        <f>IF(FINANCIACION[[#This Row],[$ CAPITAL]]&gt;0,FINANCIACION[[#This Row],[$ CAPITAL]])</f>
        <v>226778</v>
      </c>
      <c r="J185" s="33">
        <f>IF(FINANCIACION[[#This Row],[$ CAPITAL]]&gt;=0,FINANCIACION[[#This Row],[$ CAPITAL]]+FINANCIACION[[#This Row],[$ INTERESES]],0)</f>
        <v>226778</v>
      </c>
    </row>
    <row r="186" spans="1:10" ht="24" hidden="1" customHeight="1" x14ac:dyDescent="0.3">
      <c r="A186" s="131">
        <v>43854</v>
      </c>
      <c r="B186" s="50" t="s">
        <v>535</v>
      </c>
      <c r="C186" s="5">
        <v>-617423.48</v>
      </c>
      <c r="D186" s="5"/>
      <c r="E186" s="5" t="str">
        <f>+IF(FINANCIACION[[#This Row],[$ CAPITAL]]&gt;=0,FINANCIACION[[#This Row],[$ CAPITAL]]+FINANCIACION[[#This Row],[$ INTERESES]],"")</f>
        <v/>
      </c>
      <c r="F186" s="5">
        <f>+SUMIFS(FINANCIACION[$ CAPITAL],FINANCIACION[Fecha],"&lt;="&amp;FINANCIACION[[#This Row],[Fecha]],FINANCIACION[PRESTAMO],FINANCIACION[[#This Row],[PRESTAMO]])</f>
        <v>-1063956.1400000094</v>
      </c>
      <c r="G186" s="7"/>
      <c r="H186" s="53"/>
      <c r="I186" s="5" t="b">
        <f>IF(FINANCIACION[[#This Row],[$ CAPITAL]]&gt;0,FINANCIACION[[#This Row],[$ CAPITAL]])</f>
        <v>0</v>
      </c>
      <c r="J186" s="33">
        <f>IF(FINANCIACION[[#This Row],[$ CAPITAL]]&gt;=0,FINANCIACION[[#This Row],[$ CAPITAL]]+FINANCIACION[[#This Row],[$ INTERESES]],0)</f>
        <v>0</v>
      </c>
    </row>
    <row r="187" spans="1:10" ht="24" hidden="1" customHeight="1" x14ac:dyDescent="0.3">
      <c r="A187" s="131">
        <v>43854</v>
      </c>
      <c r="B187" s="50" t="s">
        <v>535</v>
      </c>
      <c r="C187" s="5">
        <v>838258.89</v>
      </c>
      <c r="D187" s="5"/>
      <c r="E187" s="5">
        <f>+IF(FINANCIACION[[#This Row],[$ CAPITAL]]&gt;=0,FINANCIACION[[#This Row],[$ CAPITAL]]+FINANCIACION[[#This Row],[$ INTERESES]],"")</f>
        <v>838258.89</v>
      </c>
      <c r="F187" s="5">
        <f>+SUMIFS(FINANCIACION[$ CAPITAL],FINANCIACION[Fecha],"&lt;="&amp;FINANCIACION[[#This Row],[Fecha]],FINANCIACION[PRESTAMO],FINANCIACION[[#This Row],[PRESTAMO]])</f>
        <v>-1063956.1400000094</v>
      </c>
      <c r="G187" s="7"/>
      <c r="H187" s="53"/>
      <c r="I187" s="5">
        <f>IF(FINANCIACION[[#This Row],[$ CAPITAL]]&gt;0,FINANCIACION[[#This Row],[$ CAPITAL]])</f>
        <v>838258.89</v>
      </c>
      <c r="J187" s="33">
        <f>IF(FINANCIACION[[#This Row],[$ CAPITAL]]&gt;=0,FINANCIACION[[#This Row],[$ CAPITAL]]+FINANCIACION[[#This Row],[$ INTERESES]],0)</f>
        <v>838258.89</v>
      </c>
    </row>
    <row r="188" spans="1:10" ht="24" hidden="1" customHeight="1" x14ac:dyDescent="0.3">
      <c r="A188" s="131">
        <v>43855</v>
      </c>
      <c r="B188" s="50" t="s">
        <v>146</v>
      </c>
      <c r="C188" s="5">
        <v>1250000</v>
      </c>
      <c r="D188" s="5">
        <v>244877</v>
      </c>
      <c r="E188" s="5">
        <f>+IF(FINANCIACION[[#This Row],[$ CAPITAL]]&gt;=0,FINANCIACION[[#This Row],[$ CAPITAL]]+FINANCIACION[[#This Row],[$ INTERESES]],"")</f>
        <v>1494877</v>
      </c>
      <c r="F188" s="5">
        <f>+SUMIFS(FINANCIACION[$ CAPITAL],FINANCIACION[Fecha],"&lt;="&amp;FINANCIACION[[#This Row],[Fecha]],FINANCIACION[PRESTAMO],FINANCIACION[[#This Row],[PRESTAMO]])</f>
        <v>-18750000</v>
      </c>
      <c r="G188" s="7"/>
      <c r="H188" s="53"/>
      <c r="I188" s="5">
        <f>IF(FINANCIACION[[#This Row],[$ CAPITAL]]&gt;0,FINANCIACION[[#This Row],[$ CAPITAL]])</f>
        <v>1250000</v>
      </c>
      <c r="J188" s="33">
        <f>IF(FINANCIACION[[#This Row],[$ CAPITAL]]&gt;=0,FINANCIACION[[#This Row],[$ CAPITAL]]+FINANCIACION[[#This Row],[$ INTERESES]],0)</f>
        <v>1494877</v>
      </c>
    </row>
    <row r="189" spans="1:10" ht="24" hidden="1" customHeight="1" x14ac:dyDescent="0.3">
      <c r="A189" s="131">
        <v>43855</v>
      </c>
      <c r="B189" s="50" t="s">
        <v>535</v>
      </c>
      <c r="C189" s="5">
        <v>-205807.83</v>
      </c>
      <c r="D189" s="5"/>
      <c r="E189" s="5" t="str">
        <f>+IF(FINANCIACION[[#This Row],[$ CAPITAL]]&gt;=0,FINANCIACION[[#This Row],[$ CAPITAL]]+FINANCIACION[[#This Row],[$ INTERESES]],"")</f>
        <v/>
      </c>
      <c r="F189" s="5">
        <f>+SUMIFS(FINANCIACION[$ CAPITAL],FINANCIACION[Fecha],"&lt;="&amp;FINANCIACION[[#This Row],[Fecha]],FINANCIACION[PRESTAMO],FINANCIACION[[#This Row],[PRESTAMO]])</f>
        <v>-1269763.9700000095</v>
      </c>
      <c r="G189" s="7"/>
      <c r="H189" s="53"/>
      <c r="I189" s="5" t="b">
        <f>IF(FINANCIACION[[#This Row],[$ CAPITAL]]&gt;0,FINANCIACION[[#This Row],[$ CAPITAL]])</f>
        <v>0</v>
      </c>
      <c r="J189" s="33">
        <f>IF(FINANCIACION[[#This Row],[$ CAPITAL]]&gt;=0,FINANCIACION[[#This Row],[$ CAPITAL]]+FINANCIACION[[#This Row],[$ INTERESES]],0)</f>
        <v>0</v>
      </c>
    </row>
    <row r="190" spans="1:10" ht="24" hidden="1" customHeight="1" x14ac:dyDescent="0.3">
      <c r="A190" s="131">
        <v>43857</v>
      </c>
      <c r="B190" s="50" t="s">
        <v>535</v>
      </c>
      <c r="C190" s="5">
        <v>-6278.5417429600011</v>
      </c>
      <c r="D190" s="5"/>
      <c r="E190" s="5" t="str">
        <f>+IF(FINANCIACION[[#This Row],[$ CAPITAL]]&gt;=0,FINANCIACION[[#This Row],[$ CAPITAL]]+FINANCIACION[[#This Row],[$ INTERESES]],"")</f>
        <v/>
      </c>
      <c r="F190" s="5">
        <f>+SUMIFS(FINANCIACION[$ CAPITAL],FINANCIACION[Fecha],"&lt;="&amp;FINANCIACION[[#This Row],[Fecha]],FINANCIACION[PRESTAMO],FINANCIACION[[#This Row],[PRESTAMO]])</f>
        <v>5723957.48825703</v>
      </c>
      <c r="G190" s="7"/>
      <c r="H190" s="53"/>
      <c r="I190" s="5" t="b">
        <f>IF(FINANCIACION[[#This Row],[$ CAPITAL]]&gt;0,FINANCIACION[[#This Row],[$ CAPITAL]])</f>
        <v>0</v>
      </c>
      <c r="J190" s="33">
        <f>IF(FINANCIACION[[#This Row],[$ CAPITAL]]&gt;=0,FINANCIACION[[#This Row],[$ CAPITAL]]+FINANCIACION[[#This Row],[$ INTERESES]],0)</f>
        <v>0</v>
      </c>
    </row>
    <row r="191" spans="1:10" ht="24" hidden="1" customHeight="1" x14ac:dyDescent="0.3">
      <c r="A191" s="131">
        <v>43857</v>
      </c>
      <c r="B191" s="50" t="s">
        <v>535</v>
      </c>
      <c r="C191" s="5">
        <v>7000000</v>
      </c>
      <c r="D191" s="5"/>
      <c r="E191" s="5">
        <f>+IF(FINANCIACION[[#This Row],[$ CAPITAL]]&gt;=0,FINANCIACION[[#This Row],[$ CAPITAL]]+FINANCIACION[[#This Row],[$ INTERESES]],"")</f>
        <v>7000000</v>
      </c>
      <c r="F191" s="5">
        <f>+SUMIFS(FINANCIACION[$ CAPITAL],FINANCIACION[Fecha],"&lt;="&amp;FINANCIACION[[#This Row],[Fecha]],FINANCIACION[PRESTAMO],FINANCIACION[[#This Row],[PRESTAMO]])</f>
        <v>5723957.48825703</v>
      </c>
      <c r="G191" s="7"/>
      <c r="H191" s="53"/>
      <c r="I191" s="5">
        <f>IF(FINANCIACION[[#This Row],[$ CAPITAL]]&gt;0,FINANCIACION[[#This Row],[$ CAPITAL]])</f>
        <v>7000000</v>
      </c>
      <c r="J191" s="33">
        <f>IF(FINANCIACION[[#This Row],[$ CAPITAL]]&gt;=0,FINANCIACION[[#This Row],[$ CAPITAL]]+FINANCIACION[[#This Row],[$ INTERESES]],0)</f>
        <v>7000000</v>
      </c>
    </row>
    <row r="192" spans="1:10" ht="24" hidden="1" customHeight="1" x14ac:dyDescent="0.3">
      <c r="A192" s="131">
        <v>43858</v>
      </c>
      <c r="B192" s="50" t="s">
        <v>536</v>
      </c>
      <c r="C192" s="5"/>
      <c r="D192" s="5">
        <v>640000</v>
      </c>
      <c r="E192" s="5">
        <f>+IF(FINANCIACION[[#This Row],[$ CAPITAL]]&gt;=0,FINANCIACION[[#This Row],[$ CAPITAL]]+FINANCIACION[[#This Row],[$ INTERESES]],"")</f>
        <v>640000</v>
      </c>
      <c r="F192" s="5">
        <f>+SUMIFS(FINANCIACION[$ CAPITAL],FINANCIACION[Fecha],"&lt;="&amp;FINANCIACION[[#This Row],[Fecha]],FINANCIACION[PRESTAMO],FINANCIACION[[#This Row],[PRESTAMO]])</f>
        <v>-84000000</v>
      </c>
      <c r="G192" s="7"/>
      <c r="H192" s="53"/>
      <c r="I192" s="5" t="b">
        <f>IF(FINANCIACION[[#This Row],[$ CAPITAL]]&gt;0,FINANCIACION[[#This Row],[$ CAPITAL]])</f>
        <v>0</v>
      </c>
      <c r="J192" s="33">
        <f>IF(FINANCIACION[[#This Row],[$ CAPITAL]]&gt;=0,FINANCIACION[[#This Row],[$ CAPITAL]]+FINANCIACION[[#This Row],[$ INTERESES]],0)</f>
        <v>640000</v>
      </c>
    </row>
    <row r="193" spans="1:10" ht="24" hidden="1" customHeight="1" x14ac:dyDescent="0.3">
      <c r="A193" s="131">
        <v>43859</v>
      </c>
      <c r="B193" s="50" t="s">
        <v>535</v>
      </c>
      <c r="C193" s="5">
        <v>17947</v>
      </c>
      <c r="D193" s="5"/>
      <c r="E193" s="5">
        <f>+IF(FINANCIACION[[#This Row],[$ CAPITAL]]&gt;=0,FINANCIACION[[#This Row],[$ CAPITAL]]+FINANCIACION[[#This Row],[$ INTERESES]],"")</f>
        <v>17947</v>
      </c>
      <c r="F193" s="5">
        <f>+SUMIFS(FINANCIACION[$ CAPITAL],FINANCIACION[Fecha],"&lt;="&amp;FINANCIACION[[#This Row],[Fecha]],FINANCIACION[PRESTAMO],FINANCIACION[[#This Row],[PRESTAMO]])</f>
        <v>3512916.7682570303</v>
      </c>
      <c r="G193" s="7"/>
      <c r="H193" s="53"/>
      <c r="I193" s="5">
        <f>IF(FINANCIACION[[#This Row],[$ CAPITAL]]&gt;0,FINANCIACION[[#This Row],[$ CAPITAL]])</f>
        <v>17947</v>
      </c>
      <c r="J193" s="33">
        <f>IF(FINANCIACION[[#This Row],[$ CAPITAL]]&gt;=0,FINANCIACION[[#This Row],[$ CAPITAL]]+FINANCIACION[[#This Row],[$ INTERESES]],0)</f>
        <v>17947</v>
      </c>
    </row>
    <row r="194" spans="1:10" ht="24" hidden="1" customHeight="1" x14ac:dyDescent="0.3">
      <c r="A194" s="131">
        <v>43859</v>
      </c>
      <c r="B194" s="50" t="s">
        <v>535</v>
      </c>
      <c r="C194" s="5">
        <v>-188459.05</v>
      </c>
      <c r="D194" s="5"/>
      <c r="E194" s="5" t="str">
        <f>+IF(FINANCIACION[[#This Row],[$ CAPITAL]]&gt;=0,FINANCIACION[[#This Row],[$ CAPITAL]]+FINANCIACION[[#This Row],[$ INTERESES]],"")</f>
        <v/>
      </c>
      <c r="F194" s="5">
        <f>+SUMIFS(FINANCIACION[$ CAPITAL],FINANCIACION[Fecha],"&lt;="&amp;FINANCIACION[[#This Row],[Fecha]],FINANCIACION[PRESTAMO],FINANCIACION[[#This Row],[PRESTAMO]])</f>
        <v>3512916.7682570303</v>
      </c>
      <c r="G194" s="7"/>
      <c r="H194" s="53"/>
      <c r="I194" s="5" t="b">
        <f>IF(FINANCIACION[[#This Row],[$ CAPITAL]]&gt;0,FINANCIACION[[#This Row],[$ CAPITAL]])</f>
        <v>0</v>
      </c>
      <c r="J194" s="33">
        <f>IF(FINANCIACION[[#This Row],[$ CAPITAL]]&gt;=0,FINANCIACION[[#This Row],[$ CAPITAL]]+FINANCIACION[[#This Row],[$ INTERESES]],0)</f>
        <v>0</v>
      </c>
    </row>
    <row r="195" spans="1:10" ht="24" hidden="1" customHeight="1" x14ac:dyDescent="0.3">
      <c r="A195" s="131">
        <v>43859</v>
      </c>
      <c r="B195" s="50" t="s">
        <v>535</v>
      </c>
      <c r="C195" s="5">
        <v>-305459.05</v>
      </c>
      <c r="D195" s="5"/>
      <c r="E195" s="5" t="str">
        <f>+IF(FINANCIACION[[#This Row],[$ CAPITAL]]&gt;=0,FINANCIACION[[#This Row],[$ CAPITAL]]+FINANCIACION[[#This Row],[$ INTERESES]],"")</f>
        <v/>
      </c>
      <c r="F195" s="5">
        <f>+SUMIFS(FINANCIACION[$ CAPITAL],FINANCIACION[Fecha],"&lt;="&amp;FINANCIACION[[#This Row],[Fecha]],FINANCIACION[PRESTAMO],FINANCIACION[[#This Row],[PRESTAMO]])</f>
        <v>3512916.7682570303</v>
      </c>
      <c r="G195" s="7"/>
      <c r="H195" s="53"/>
      <c r="I195" s="5" t="b">
        <f>IF(FINANCIACION[[#This Row],[$ CAPITAL]]&gt;0,FINANCIACION[[#This Row],[$ CAPITAL]])</f>
        <v>0</v>
      </c>
      <c r="J195" s="33">
        <f>IF(FINANCIACION[[#This Row],[$ CAPITAL]]&gt;=0,FINANCIACION[[#This Row],[$ CAPITAL]]+FINANCIACION[[#This Row],[$ INTERESES]],0)</f>
        <v>0</v>
      </c>
    </row>
    <row r="196" spans="1:10" ht="24" hidden="1" customHeight="1" x14ac:dyDescent="0.3">
      <c r="A196" s="131">
        <v>43859</v>
      </c>
      <c r="B196" s="50" t="s">
        <v>535</v>
      </c>
      <c r="C196" s="5">
        <v>-1999310.62</v>
      </c>
      <c r="D196" s="5"/>
      <c r="E196" s="5" t="str">
        <f>+IF(FINANCIACION[[#This Row],[$ CAPITAL]]&gt;=0,FINANCIACION[[#This Row],[$ CAPITAL]]+FINANCIACION[[#This Row],[$ INTERESES]],"")</f>
        <v/>
      </c>
      <c r="F196" s="5">
        <f>+SUMIFS(FINANCIACION[$ CAPITAL],FINANCIACION[Fecha],"&lt;="&amp;FINANCIACION[[#This Row],[Fecha]],FINANCIACION[PRESTAMO],FINANCIACION[[#This Row],[PRESTAMO]])</f>
        <v>3512916.7682570303</v>
      </c>
      <c r="G196" s="7"/>
      <c r="H196" s="53"/>
      <c r="I196" s="5" t="b">
        <f>IF(FINANCIACION[[#This Row],[$ CAPITAL]]&gt;0,FINANCIACION[[#This Row],[$ CAPITAL]])</f>
        <v>0</v>
      </c>
      <c r="J196" s="33">
        <f>IF(FINANCIACION[[#This Row],[$ CAPITAL]]&gt;=0,FINANCIACION[[#This Row],[$ CAPITAL]]+FINANCIACION[[#This Row],[$ INTERESES]],0)</f>
        <v>0</v>
      </c>
    </row>
    <row r="197" spans="1:10" ht="24" hidden="1" customHeight="1" x14ac:dyDescent="0.3">
      <c r="A197" s="131">
        <v>43859</v>
      </c>
      <c r="B197" s="50" t="s">
        <v>535</v>
      </c>
      <c r="C197" s="5">
        <v>264241</v>
      </c>
      <c r="D197" s="5"/>
      <c r="E197" s="5">
        <f>+IF(FINANCIACION[[#This Row],[$ CAPITAL]]&gt;=0,FINANCIACION[[#This Row],[$ CAPITAL]]+FINANCIACION[[#This Row],[$ INTERESES]],"")</f>
        <v>264241</v>
      </c>
      <c r="F197" s="5">
        <f>+SUMIFS(FINANCIACION[$ CAPITAL],FINANCIACION[Fecha],"&lt;="&amp;FINANCIACION[[#This Row],[Fecha]],FINANCIACION[PRESTAMO],FINANCIACION[[#This Row],[PRESTAMO]])</f>
        <v>3512916.7682570303</v>
      </c>
      <c r="G197" s="7"/>
      <c r="H197" s="53"/>
      <c r="I197" s="5">
        <f>IF(FINANCIACION[[#This Row],[$ CAPITAL]]&gt;0,FINANCIACION[[#This Row],[$ CAPITAL]])</f>
        <v>264241</v>
      </c>
      <c r="J197" s="33">
        <f>IF(FINANCIACION[[#This Row],[$ CAPITAL]]&gt;=0,FINANCIACION[[#This Row],[$ CAPITAL]]+FINANCIACION[[#This Row],[$ INTERESES]],0)</f>
        <v>264241</v>
      </c>
    </row>
    <row r="198" spans="1:10" ht="24" hidden="1" customHeight="1" x14ac:dyDescent="0.3">
      <c r="A198" s="131">
        <v>43860</v>
      </c>
      <c r="B198" s="50" t="s">
        <v>535</v>
      </c>
      <c r="C198" s="5">
        <v>-53287.48</v>
      </c>
      <c r="D198" s="5"/>
      <c r="E198" s="5" t="str">
        <f>+IF(FINANCIACION[[#This Row],[$ CAPITAL]]&gt;=0,FINANCIACION[[#This Row],[$ CAPITAL]]+FINANCIACION[[#This Row],[$ INTERESES]],"")</f>
        <v/>
      </c>
      <c r="F198" s="5">
        <f>+SUMIFS(FINANCIACION[$ CAPITAL],FINANCIACION[Fecha],"&lt;="&amp;FINANCIACION[[#This Row],[Fecha]],FINANCIACION[PRESTAMO],FINANCIACION[[#This Row],[PRESTAMO]])</f>
        <v>3459629.2882570303</v>
      </c>
      <c r="G198" s="7"/>
      <c r="H198" s="53"/>
      <c r="I198" s="5" t="b">
        <f>IF(FINANCIACION[[#This Row],[$ CAPITAL]]&gt;0,FINANCIACION[[#This Row],[$ CAPITAL]])</f>
        <v>0</v>
      </c>
      <c r="J198" s="33">
        <f>IF(FINANCIACION[[#This Row],[$ CAPITAL]]&gt;=0,FINANCIACION[[#This Row],[$ CAPITAL]]+FINANCIACION[[#This Row],[$ INTERESES]],0)</f>
        <v>0</v>
      </c>
    </row>
    <row r="199" spans="1:10" ht="24" hidden="1" customHeight="1" x14ac:dyDescent="0.3">
      <c r="A199" s="131">
        <v>43862</v>
      </c>
      <c r="B199" s="50" t="s">
        <v>535</v>
      </c>
      <c r="C199" s="5">
        <v>1000000</v>
      </c>
      <c r="D199" s="5"/>
      <c r="E199" s="5">
        <f>+IF(FINANCIACION[[#This Row],[$ CAPITAL]]&gt;=0,FINANCIACION[[#This Row],[$ CAPITAL]]+FINANCIACION[[#This Row],[$ INTERESES]],"")</f>
        <v>1000000</v>
      </c>
      <c r="F199" s="5">
        <f>+SUMIFS(FINANCIACION[$ CAPITAL],FINANCIACION[Fecha],"&lt;="&amp;FINANCIACION[[#This Row],[Fecha]],FINANCIACION[PRESTAMO],FINANCIACION[[#This Row],[PRESTAMO]])</f>
        <v>4459629.2882570308</v>
      </c>
      <c r="G199" s="7"/>
      <c r="H199" s="53"/>
      <c r="I199" s="5">
        <f>IF(FINANCIACION[[#This Row],[$ CAPITAL]]&gt;0,FINANCIACION[[#This Row],[$ CAPITAL]])</f>
        <v>1000000</v>
      </c>
      <c r="J199" s="33">
        <f>IF(FINANCIACION[[#This Row],[$ CAPITAL]]&gt;=0,FINANCIACION[[#This Row],[$ CAPITAL]]+FINANCIACION[[#This Row],[$ INTERESES]],0)</f>
        <v>1000000</v>
      </c>
    </row>
    <row r="200" spans="1:10" ht="24" hidden="1" customHeight="1" x14ac:dyDescent="0.3">
      <c r="A200" s="131">
        <v>43864</v>
      </c>
      <c r="B200" s="50" t="s">
        <v>147</v>
      </c>
      <c r="C200" s="5">
        <v>3472222</v>
      </c>
      <c r="D200" s="5">
        <v>863672</v>
      </c>
      <c r="E200" s="5">
        <f>+IF(FINANCIACION[[#This Row],[$ CAPITAL]]&gt;=0,FINANCIACION[[#This Row],[$ CAPITAL]]+FINANCIACION[[#This Row],[$ INTERESES]],"")</f>
        <v>4335894</v>
      </c>
      <c r="F200" s="5">
        <f>+SUMIFS(FINANCIACION[$ CAPITAL],FINANCIACION[Fecha],"&lt;="&amp;FINANCIACION[[#This Row],[Fecha]],FINANCIACION[PRESTAMO],FINANCIACION[[#This Row],[PRESTAMO]])</f>
        <v>-41333336</v>
      </c>
      <c r="G200" s="7"/>
      <c r="H200" s="53"/>
      <c r="I200" s="5">
        <f>IF(FINANCIACION[[#This Row],[$ CAPITAL]]&gt;0,FINANCIACION[[#This Row],[$ CAPITAL]])</f>
        <v>3472222</v>
      </c>
      <c r="J200" s="8">
        <f>IF(FINANCIACION[[#This Row],[$ CAPITAL]]&gt;=0,FINANCIACION[[#This Row],[$ CAPITAL]]+FINANCIACION[[#This Row],[$ INTERESES]],0)</f>
        <v>4335894</v>
      </c>
    </row>
    <row r="201" spans="1:10" ht="24" hidden="1" customHeight="1" x14ac:dyDescent="0.3">
      <c r="A201" s="131">
        <v>43865</v>
      </c>
      <c r="B201" s="50" t="s">
        <v>535</v>
      </c>
      <c r="C201" s="5">
        <v>2500000</v>
      </c>
      <c r="D201" s="5">
        <v>352550</v>
      </c>
      <c r="E201" s="5">
        <f>+IF(FINANCIACION[[#This Row],[$ CAPITAL]]&gt;=0,FINANCIACION[[#This Row],[$ CAPITAL]]+FINANCIACION[[#This Row],[$ INTERESES]],"")</f>
        <v>2852550</v>
      </c>
      <c r="F201" s="5">
        <f>+SUMIFS(FINANCIACION[$ CAPITAL],FINANCIACION[Fecha],"&lt;="&amp;FINANCIACION[[#This Row],[Fecha]],FINANCIACION[PRESTAMO],FINANCIACION[[#This Row],[PRESTAMO]])</f>
        <v>6925619.2882570308</v>
      </c>
      <c r="G201" s="7"/>
      <c r="H201" s="53"/>
      <c r="I201" s="5">
        <f>IF(FINANCIACION[[#This Row],[$ CAPITAL]]&gt;0,FINANCIACION[[#This Row],[$ CAPITAL]])</f>
        <v>2500000</v>
      </c>
      <c r="J201" s="8">
        <f>IF(FINANCIACION[[#This Row],[$ CAPITAL]]&gt;=0,FINANCIACION[[#This Row],[$ CAPITAL]]+FINANCIACION[[#This Row],[$ INTERESES]],0)</f>
        <v>2852550</v>
      </c>
    </row>
    <row r="202" spans="1:10" ht="24" hidden="1" customHeight="1" x14ac:dyDescent="0.3">
      <c r="A202" s="131">
        <v>43865</v>
      </c>
      <c r="B202" s="50" t="s">
        <v>535</v>
      </c>
      <c r="C202" s="5">
        <v>-34010</v>
      </c>
      <c r="D202" s="5"/>
      <c r="E202" s="5" t="str">
        <f>+IF(FINANCIACION[[#This Row],[$ CAPITAL]]&gt;=0,FINANCIACION[[#This Row],[$ CAPITAL]]+FINANCIACION[[#This Row],[$ INTERESES]],"")</f>
        <v/>
      </c>
      <c r="F202" s="5">
        <f>+SUMIFS(FINANCIACION[$ CAPITAL],FINANCIACION[Fecha],"&lt;="&amp;FINANCIACION[[#This Row],[Fecha]],FINANCIACION[PRESTAMO],FINANCIACION[[#This Row],[PRESTAMO]])</f>
        <v>6925619.2882570308</v>
      </c>
      <c r="G202" s="7"/>
      <c r="H202" s="53"/>
      <c r="I202" s="5" t="b">
        <f>IF(FINANCIACION[[#This Row],[$ CAPITAL]]&gt;0,FINANCIACION[[#This Row],[$ CAPITAL]])</f>
        <v>0</v>
      </c>
      <c r="J202" s="8">
        <f>IF(FINANCIACION[[#This Row],[$ CAPITAL]]&gt;=0,FINANCIACION[[#This Row],[$ CAPITAL]]+FINANCIACION[[#This Row],[$ INTERESES]],0)</f>
        <v>0</v>
      </c>
    </row>
    <row r="203" spans="1:10" ht="24" hidden="1" customHeight="1" x14ac:dyDescent="0.3">
      <c r="A203" s="131">
        <v>43867</v>
      </c>
      <c r="B203" s="50" t="s">
        <v>535</v>
      </c>
      <c r="C203" s="5">
        <v>-16776</v>
      </c>
      <c r="D203" s="5"/>
      <c r="E203" s="5" t="str">
        <f>+IF(FINANCIACION[[#This Row],[$ CAPITAL]]&gt;=0,FINANCIACION[[#This Row],[$ CAPITAL]]+FINANCIACION[[#This Row],[$ INTERESES]],"")</f>
        <v/>
      </c>
      <c r="F203" s="5">
        <f>+SUMIFS(FINANCIACION[$ CAPITAL],FINANCIACION[Fecha],"&lt;="&amp;FINANCIACION[[#This Row],[Fecha]],FINANCIACION[PRESTAMO],FINANCIACION[[#This Row],[PRESTAMO]])</f>
        <v>-32089.491742968559</v>
      </c>
      <c r="G203" s="7"/>
      <c r="H203" s="53"/>
      <c r="I203" s="5" t="b">
        <f>IF(FINANCIACION[[#This Row],[$ CAPITAL]]&gt;0,FINANCIACION[[#This Row],[$ CAPITAL]])</f>
        <v>0</v>
      </c>
      <c r="J203" s="8">
        <f>IF(FINANCIACION[[#This Row],[$ CAPITAL]]&gt;=0,FINANCIACION[[#This Row],[$ CAPITAL]]+FINANCIACION[[#This Row],[$ INTERESES]],0)</f>
        <v>0</v>
      </c>
    </row>
    <row r="204" spans="1:10" ht="24" hidden="1" customHeight="1" x14ac:dyDescent="0.3">
      <c r="A204" s="131">
        <v>43867</v>
      </c>
      <c r="B204" s="50" t="s">
        <v>535</v>
      </c>
      <c r="C204" s="5">
        <v>-370225.85</v>
      </c>
      <c r="D204" s="5"/>
      <c r="E204" s="5" t="str">
        <f>+IF(FINANCIACION[[#This Row],[$ CAPITAL]]&gt;=0,FINANCIACION[[#This Row],[$ CAPITAL]]+FINANCIACION[[#This Row],[$ INTERESES]],"")</f>
        <v/>
      </c>
      <c r="F204" s="5">
        <f>+SUMIFS(FINANCIACION[$ CAPITAL],FINANCIACION[Fecha],"&lt;="&amp;FINANCIACION[[#This Row],[Fecha]],FINANCIACION[PRESTAMO],FINANCIACION[[#This Row],[PRESTAMO]])</f>
        <v>-32089.491742968559</v>
      </c>
      <c r="G204" s="7"/>
      <c r="H204" s="53"/>
      <c r="I204" s="5" t="b">
        <f>IF(FINANCIACION[[#This Row],[$ CAPITAL]]&gt;0,FINANCIACION[[#This Row],[$ CAPITAL]])</f>
        <v>0</v>
      </c>
      <c r="J204" s="8">
        <f>IF(FINANCIACION[[#This Row],[$ CAPITAL]]&gt;=0,FINANCIACION[[#This Row],[$ CAPITAL]]+FINANCIACION[[#This Row],[$ INTERESES]],0)</f>
        <v>0</v>
      </c>
    </row>
    <row r="205" spans="1:10" ht="24" hidden="1" customHeight="1" x14ac:dyDescent="0.3">
      <c r="A205" s="131">
        <v>43867</v>
      </c>
      <c r="B205" s="50" t="s">
        <v>535</v>
      </c>
      <c r="C205" s="5">
        <v>-6570706.9299999997</v>
      </c>
      <c r="D205" s="5"/>
      <c r="E205" s="5" t="str">
        <f>+IF(FINANCIACION[[#This Row],[$ CAPITAL]]&gt;=0,FINANCIACION[[#This Row],[$ CAPITAL]]+FINANCIACION[[#This Row],[$ INTERESES]],"")</f>
        <v/>
      </c>
      <c r="F205" s="5">
        <f>+SUMIFS(FINANCIACION[$ CAPITAL],FINANCIACION[Fecha],"&lt;="&amp;FINANCIACION[[#This Row],[Fecha]],FINANCIACION[PRESTAMO],FINANCIACION[[#This Row],[PRESTAMO]])</f>
        <v>-32089.491742968559</v>
      </c>
      <c r="G205" s="53"/>
      <c r="H205" s="53"/>
      <c r="I205" s="5" t="b">
        <f>IF(FINANCIACION[[#This Row],[$ CAPITAL]]&gt;0,FINANCIACION[[#This Row],[$ CAPITAL]])</f>
        <v>0</v>
      </c>
      <c r="J205" s="33">
        <f>IF(FINANCIACION[[#This Row],[$ CAPITAL]]&gt;=0,FINANCIACION[[#This Row],[$ CAPITAL]]+FINANCIACION[[#This Row],[$ INTERESES]],0)</f>
        <v>0</v>
      </c>
    </row>
    <row r="206" spans="1:10" ht="24" hidden="1" customHeight="1" x14ac:dyDescent="0.3">
      <c r="A206" s="131">
        <v>43868</v>
      </c>
      <c r="B206" s="50" t="s">
        <v>150</v>
      </c>
      <c r="C206" s="5">
        <v>6250000</v>
      </c>
      <c r="D206" s="5">
        <v>1257774.8600000001</v>
      </c>
      <c r="E206" s="5">
        <f>+IF(FINANCIACION[[#This Row],[$ CAPITAL]]&gt;=0,FINANCIACION[[#This Row],[$ CAPITAL]]+FINANCIACION[[#This Row],[$ INTERESES]],"")</f>
        <v>7507774.8600000003</v>
      </c>
      <c r="F206" s="5">
        <f>+SUMIFS(FINANCIACION[$ CAPITAL],FINANCIACION[Fecha],"&lt;="&amp;FINANCIACION[[#This Row],[Fecha]],FINANCIACION[PRESTAMO],FINANCIACION[[#This Row],[PRESTAMO]])</f>
        <v>-137500000</v>
      </c>
      <c r="G206" s="53"/>
      <c r="H206" s="53"/>
      <c r="I206" s="5">
        <f>IF(FINANCIACION[[#This Row],[$ CAPITAL]]&gt;0,FINANCIACION[[#This Row],[$ CAPITAL]])</f>
        <v>6250000</v>
      </c>
      <c r="J206" s="33">
        <f>IF(FINANCIACION[[#This Row],[$ CAPITAL]]&gt;=0,FINANCIACION[[#This Row],[$ CAPITAL]]+FINANCIACION[[#This Row],[$ INTERESES]],0)</f>
        <v>7507774.8600000003</v>
      </c>
    </row>
    <row r="207" spans="1:10" ht="24" hidden="1" customHeight="1" x14ac:dyDescent="0.3">
      <c r="A207" s="131">
        <v>43871</v>
      </c>
      <c r="B207" s="50" t="s">
        <v>532</v>
      </c>
      <c r="C207" s="5"/>
      <c r="D207" s="5">
        <v>950000</v>
      </c>
      <c r="E207" s="5">
        <f>+IF(FINANCIACION[[#This Row],[$ CAPITAL]]&gt;=0,FINANCIACION[[#This Row],[$ CAPITAL]]+FINANCIACION[[#This Row],[$ INTERESES]],"")</f>
        <v>950000</v>
      </c>
      <c r="F207" s="5">
        <f>+SUMIFS(FINANCIACION[$ CAPITAL],FINANCIACION[Fecha],"&lt;="&amp;FINANCIACION[[#This Row],[Fecha]],FINANCIACION[PRESTAMO],FINANCIACION[[#This Row],[PRESTAMO]])</f>
        <v>-94935167</v>
      </c>
      <c r="G207" s="53"/>
      <c r="H207" s="53"/>
      <c r="I207" s="5" t="b">
        <f>IF(FINANCIACION[[#This Row],[$ CAPITAL]]&gt;0,FINANCIACION[[#This Row],[$ CAPITAL]])</f>
        <v>0</v>
      </c>
      <c r="J207" s="33">
        <f>IF(FINANCIACION[[#This Row],[$ CAPITAL]]&gt;=0,FINANCIACION[[#This Row],[$ CAPITAL]]+FINANCIACION[[#This Row],[$ INTERESES]],0)</f>
        <v>950000</v>
      </c>
    </row>
    <row r="208" spans="1:10" ht="24" hidden="1" customHeight="1" x14ac:dyDescent="0.3">
      <c r="A208" s="131">
        <v>43871</v>
      </c>
      <c r="B208" s="50" t="s">
        <v>535</v>
      </c>
      <c r="C208" s="5">
        <v>-496426.88</v>
      </c>
      <c r="D208" s="5"/>
      <c r="E208" s="5" t="str">
        <f>+IF(FINANCIACION[[#This Row],[$ CAPITAL]]&gt;=0,FINANCIACION[[#This Row],[$ CAPITAL]]+FINANCIACION[[#This Row],[$ INTERESES]],"")</f>
        <v/>
      </c>
      <c r="F208" s="5">
        <f>+SUMIFS(FINANCIACION[$ CAPITAL],FINANCIACION[Fecha],"&lt;="&amp;FINANCIACION[[#This Row],[Fecha]],FINANCIACION[PRESTAMO],FINANCIACION[[#This Row],[PRESTAMO]])</f>
        <v>-528516.37174296856</v>
      </c>
      <c r="G208" s="53"/>
      <c r="H208" s="53"/>
      <c r="I208" s="5" t="b">
        <f>IF(FINANCIACION[[#This Row],[$ CAPITAL]]&gt;0,FINANCIACION[[#This Row],[$ CAPITAL]])</f>
        <v>0</v>
      </c>
      <c r="J208" s="33">
        <f>IF(FINANCIACION[[#This Row],[$ CAPITAL]]&gt;=0,FINANCIACION[[#This Row],[$ CAPITAL]]+FINANCIACION[[#This Row],[$ INTERESES]],0)</f>
        <v>0</v>
      </c>
    </row>
    <row r="209" spans="1:10" ht="24" hidden="1" customHeight="1" x14ac:dyDescent="0.3">
      <c r="A209" s="131">
        <v>43874</v>
      </c>
      <c r="B209" s="50" t="s">
        <v>535</v>
      </c>
      <c r="C209" s="5">
        <v>-75897.36</v>
      </c>
      <c r="D209" s="5"/>
      <c r="E209" s="5" t="str">
        <f>+IF(FINANCIACION[[#This Row],[$ CAPITAL]]&gt;=0,FINANCIACION[[#This Row],[$ CAPITAL]]+FINANCIACION[[#This Row],[$ INTERESES]],"")</f>
        <v/>
      </c>
      <c r="F209" s="5">
        <f>+SUMIFS(FINANCIACION[$ CAPITAL],FINANCIACION[Fecha],"&lt;="&amp;FINANCIACION[[#This Row],[Fecha]],FINANCIACION[PRESTAMO],FINANCIACION[[#This Row],[PRESTAMO]])</f>
        <v>-604413.73174296855</v>
      </c>
      <c r="G209" s="53"/>
      <c r="H209" s="53"/>
      <c r="I209" s="5" t="b">
        <f>IF(FINANCIACION[[#This Row],[$ CAPITAL]]&gt;0,FINANCIACION[[#This Row],[$ CAPITAL]])</f>
        <v>0</v>
      </c>
      <c r="J209" s="33">
        <f>IF(FINANCIACION[[#This Row],[$ CAPITAL]]&gt;=0,FINANCIACION[[#This Row],[$ CAPITAL]]+FINANCIACION[[#This Row],[$ INTERESES]],0)</f>
        <v>0</v>
      </c>
    </row>
    <row r="210" spans="1:10" ht="24" hidden="1" customHeight="1" x14ac:dyDescent="0.3">
      <c r="A210" s="131">
        <v>43879</v>
      </c>
      <c r="B210" s="50" t="s">
        <v>534</v>
      </c>
      <c r="C210" s="5">
        <v>1491748</v>
      </c>
      <c r="D210" s="5">
        <v>4588198</v>
      </c>
      <c r="E210" s="5">
        <f>+IF(FINANCIACION[[#This Row],[$ CAPITAL]]&gt;=0,FINANCIACION[[#This Row],[$ CAPITAL]]+FINANCIACION[[#This Row],[$ INTERESES]],"")</f>
        <v>6079946</v>
      </c>
      <c r="F210" s="5">
        <f>+SUMIFS(FINANCIACION[$ CAPITAL],FINANCIACION[Fecha],"&lt;="&amp;FINANCIACION[[#This Row],[Fecha]],FINANCIACION[PRESTAMO],FINANCIACION[[#This Row],[PRESTAMO]])</f>
        <v>-386165567.14314044</v>
      </c>
      <c r="G210" s="53"/>
      <c r="H210" s="53"/>
      <c r="I210" s="5">
        <f>IF(FINANCIACION[[#This Row],[$ CAPITAL]]&gt;0,FINANCIACION[[#This Row],[$ CAPITAL]])</f>
        <v>1491748</v>
      </c>
      <c r="J210" s="33">
        <f>IF(FINANCIACION[[#This Row],[$ CAPITAL]]&gt;=0,FINANCIACION[[#This Row],[$ CAPITAL]]+FINANCIACION[[#This Row],[$ INTERESES]],0)</f>
        <v>6079946</v>
      </c>
    </row>
    <row r="211" spans="1:10" ht="24" hidden="1" customHeight="1" x14ac:dyDescent="0.3">
      <c r="A211" s="131">
        <v>43879</v>
      </c>
      <c r="B211" s="50" t="s">
        <v>535</v>
      </c>
      <c r="C211" s="5">
        <v>1181094</v>
      </c>
      <c r="D211" s="5"/>
      <c r="E211" s="5">
        <f>+IF(FINANCIACION[[#This Row],[$ CAPITAL]]&gt;=0,FINANCIACION[[#This Row],[$ CAPITAL]]+FINANCIACION[[#This Row],[$ INTERESES]],"")</f>
        <v>1181094</v>
      </c>
      <c r="F211" s="5">
        <f>+SUMIFS(FINANCIACION[$ CAPITAL],FINANCIACION[Fecha],"&lt;="&amp;FINANCIACION[[#This Row],[Fecha]],FINANCIACION[PRESTAMO],FINANCIACION[[#This Row],[PRESTAMO]])</f>
        <v>5076680.2682570312</v>
      </c>
      <c r="G211" s="53"/>
      <c r="H211" s="53"/>
      <c r="I211" s="5">
        <f>IF(FINANCIACION[[#This Row],[$ CAPITAL]]&gt;0,FINANCIACION[[#This Row],[$ CAPITAL]])</f>
        <v>1181094</v>
      </c>
      <c r="J211" s="33">
        <f>IF(FINANCIACION[[#This Row],[$ CAPITAL]]&gt;=0,FINANCIACION[[#This Row],[$ CAPITAL]]+FINANCIACION[[#This Row],[$ INTERESES]],0)</f>
        <v>1181094</v>
      </c>
    </row>
    <row r="212" spans="1:10" ht="24" hidden="1" customHeight="1" x14ac:dyDescent="0.3">
      <c r="A212" s="131">
        <v>43879</v>
      </c>
      <c r="B212" s="50" t="s">
        <v>535</v>
      </c>
      <c r="C212" s="5">
        <v>1500000</v>
      </c>
      <c r="D212" s="5"/>
      <c r="E212" s="5">
        <f>+IF(FINANCIACION[[#This Row],[$ CAPITAL]]&gt;=0,FINANCIACION[[#This Row],[$ CAPITAL]]+FINANCIACION[[#This Row],[$ INTERESES]],"")</f>
        <v>1500000</v>
      </c>
      <c r="F212" s="5">
        <f>+SUMIFS(FINANCIACION[$ CAPITAL],FINANCIACION[Fecha],"&lt;="&amp;FINANCIACION[[#This Row],[Fecha]],FINANCIACION[PRESTAMO],FINANCIACION[[#This Row],[PRESTAMO]])</f>
        <v>5076680.2682570312</v>
      </c>
      <c r="G212" s="53"/>
      <c r="H212" s="53"/>
      <c r="I212" s="5">
        <f>IF(FINANCIACION[[#This Row],[$ CAPITAL]]&gt;0,FINANCIACION[[#This Row],[$ CAPITAL]])</f>
        <v>1500000</v>
      </c>
      <c r="J212" s="33">
        <f>IF(FINANCIACION[[#This Row],[$ CAPITAL]]&gt;=0,FINANCIACION[[#This Row],[$ CAPITAL]]+FINANCIACION[[#This Row],[$ INTERESES]],0)</f>
        <v>1500000</v>
      </c>
    </row>
    <row r="213" spans="1:10" ht="24" hidden="1" customHeight="1" x14ac:dyDescent="0.3">
      <c r="A213" s="131">
        <v>43879</v>
      </c>
      <c r="B213" s="50" t="s">
        <v>535</v>
      </c>
      <c r="C213" s="5">
        <v>3000000</v>
      </c>
      <c r="D213" s="5"/>
      <c r="E213" s="5">
        <f>+IF(FINANCIACION[[#This Row],[$ CAPITAL]]&gt;=0,FINANCIACION[[#This Row],[$ CAPITAL]]+FINANCIACION[[#This Row],[$ INTERESES]],"")</f>
        <v>3000000</v>
      </c>
      <c r="F213" s="5">
        <f>+SUMIFS(FINANCIACION[$ CAPITAL],FINANCIACION[Fecha],"&lt;="&amp;FINANCIACION[[#This Row],[Fecha]],FINANCIACION[PRESTAMO],FINANCIACION[[#This Row],[PRESTAMO]])</f>
        <v>5076680.2682570312</v>
      </c>
      <c r="G213" s="53"/>
      <c r="H213" s="53"/>
      <c r="I213" s="5">
        <f>IF(FINANCIACION[[#This Row],[$ CAPITAL]]&gt;0,FINANCIACION[[#This Row],[$ CAPITAL]])</f>
        <v>3000000</v>
      </c>
      <c r="J213" s="33">
        <f>IF(FINANCIACION[[#This Row],[$ CAPITAL]]&gt;=0,FINANCIACION[[#This Row],[$ CAPITAL]]+FINANCIACION[[#This Row],[$ INTERESES]],0)</f>
        <v>3000000</v>
      </c>
    </row>
    <row r="214" spans="1:10" ht="24" hidden="1" customHeight="1" x14ac:dyDescent="0.3">
      <c r="A214" s="131">
        <v>43880</v>
      </c>
      <c r="B214" s="50" t="s">
        <v>535</v>
      </c>
      <c r="C214" s="5">
        <v>-2091546</v>
      </c>
      <c r="D214" s="5"/>
      <c r="E214" s="5" t="str">
        <f>+IF(FINANCIACION[[#This Row],[$ CAPITAL]]&gt;=0,FINANCIACION[[#This Row],[$ CAPITAL]]+FINANCIACION[[#This Row],[$ INTERESES]],"")</f>
        <v/>
      </c>
      <c r="F214" s="5">
        <f>+SUMIFS(FINANCIACION[$ CAPITAL],FINANCIACION[Fecha],"&lt;="&amp;FINANCIACION[[#This Row],[Fecha]],FINANCIACION[PRESTAMO],FINANCIACION[[#This Row],[PRESTAMO]])</f>
        <v>2985134.2682570312</v>
      </c>
      <c r="G214" s="53"/>
      <c r="H214" s="53"/>
      <c r="I214" s="5" t="b">
        <f>IF(FINANCIACION[[#This Row],[$ CAPITAL]]&gt;0,FINANCIACION[[#This Row],[$ CAPITAL]])</f>
        <v>0</v>
      </c>
      <c r="J214" s="33">
        <f>IF(FINANCIACION[[#This Row],[$ CAPITAL]]&gt;=0,FINANCIACION[[#This Row],[$ CAPITAL]]+FINANCIACION[[#This Row],[$ INTERESES]],0)</f>
        <v>0</v>
      </c>
    </row>
    <row r="215" spans="1:10" ht="24" hidden="1" customHeight="1" x14ac:dyDescent="0.3">
      <c r="A215" s="131">
        <v>43881</v>
      </c>
      <c r="B215" s="50" t="s">
        <v>533</v>
      </c>
      <c r="C215" s="5">
        <v>260000</v>
      </c>
      <c r="D215" s="5">
        <v>740000</v>
      </c>
      <c r="E215" s="5">
        <f>+IF(FINANCIACION[[#This Row],[$ CAPITAL]]&gt;=0,FINANCIACION[[#This Row],[$ CAPITAL]]+FINANCIACION[[#This Row],[$ INTERESES]],"")</f>
        <v>1000000</v>
      </c>
      <c r="F215" s="5">
        <f>+SUMIFS(FINANCIACION[$ CAPITAL],FINANCIACION[Fecha],"&lt;="&amp;FINANCIACION[[#This Row],[Fecha]],FINANCIACION[PRESTAMO],FINANCIACION[[#This Row],[PRESTAMO]])</f>
        <v>-66369154</v>
      </c>
      <c r="G215" s="7"/>
      <c r="H215" s="53"/>
      <c r="I215" s="5">
        <f>IF(FINANCIACION[[#This Row],[$ CAPITAL]]&gt;0,FINANCIACION[[#This Row],[$ CAPITAL]])</f>
        <v>260000</v>
      </c>
      <c r="J215" s="33">
        <f>IF(FINANCIACION[[#This Row],[$ CAPITAL]]&gt;=0,FINANCIACION[[#This Row],[$ CAPITAL]]+FINANCIACION[[#This Row],[$ INTERESES]],0)</f>
        <v>1000000</v>
      </c>
    </row>
    <row r="216" spans="1:10" ht="24" hidden="1" customHeight="1" x14ac:dyDescent="0.3">
      <c r="A216" s="131">
        <v>43881</v>
      </c>
      <c r="B216" s="50" t="s">
        <v>533</v>
      </c>
      <c r="C216" s="5">
        <v>310000</v>
      </c>
      <c r="D216" s="5">
        <v>86900</v>
      </c>
      <c r="E216" s="5">
        <f>+IF(FINANCIACION[[#This Row],[$ CAPITAL]]&gt;=0,FINANCIACION[[#This Row],[$ CAPITAL]]+FINANCIACION[[#This Row],[$ INTERESES]],"")</f>
        <v>396900</v>
      </c>
      <c r="F216" s="5">
        <f>+SUMIFS(FINANCIACION[$ CAPITAL],FINANCIACION[Fecha],"&lt;="&amp;FINANCIACION[[#This Row],[Fecha]],FINANCIACION[PRESTAMO],FINANCIACION[[#This Row],[PRESTAMO]])</f>
        <v>-66369154</v>
      </c>
      <c r="G216" s="7"/>
      <c r="H216" s="53"/>
      <c r="I216" s="5">
        <f>IF(FINANCIACION[[#This Row],[$ CAPITAL]]&gt;0,FINANCIACION[[#This Row],[$ CAPITAL]])</f>
        <v>310000</v>
      </c>
      <c r="J216" s="8">
        <f>IF(FINANCIACION[[#This Row],[$ CAPITAL]]&gt;=0,FINANCIACION[[#This Row],[$ CAPITAL]]+FINANCIACION[[#This Row],[$ INTERESES]],0)</f>
        <v>396900</v>
      </c>
    </row>
    <row r="217" spans="1:10" ht="24" hidden="1" customHeight="1" x14ac:dyDescent="0.3">
      <c r="A217" s="131">
        <v>43881</v>
      </c>
      <c r="B217" s="50" t="s">
        <v>535</v>
      </c>
      <c r="C217" s="5">
        <v>500000</v>
      </c>
      <c r="D217" s="5"/>
      <c r="E217" s="5">
        <f>+IF(FINANCIACION[[#This Row],[$ CAPITAL]]&gt;=0,FINANCIACION[[#This Row],[$ CAPITAL]]+FINANCIACION[[#This Row],[$ INTERESES]],"")</f>
        <v>500000</v>
      </c>
      <c r="F217" s="5">
        <f>+SUMIFS(FINANCIACION[$ CAPITAL],FINANCIACION[Fecha],"&lt;="&amp;FINANCIACION[[#This Row],[Fecha]],FINANCIACION[PRESTAMO],FINANCIACION[[#This Row],[PRESTAMO]])</f>
        <v>4985134.2682570312</v>
      </c>
      <c r="G217" s="7"/>
      <c r="H217" s="53"/>
      <c r="I217" s="5">
        <f>IF(FINANCIACION[[#This Row],[$ CAPITAL]]&gt;0,FINANCIACION[[#This Row],[$ CAPITAL]])</f>
        <v>500000</v>
      </c>
      <c r="J217" s="8">
        <f>IF(FINANCIACION[[#This Row],[$ CAPITAL]]&gt;=0,FINANCIACION[[#This Row],[$ CAPITAL]]+FINANCIACION[[#This Row],[$ INTERESES]],0)</f>
        <v>500000</v>
      </c>
    </row>
    <row r="218" spans="1:10" ht="24" hidden="1" customHeight="1" x14ac:dyDescent="0.3">
      <c r="A218" s="131">
        <v>43881</v>
      </c>
      <c r="B218" s="50" t="s">
        <v>535</v>
      </c>
      <c r="C218" s="5">
        <v>1500000</v>
      </c>
      <c r="D218" s="5"/>
      <c r="E218" s="5">
        <f>+IF(FINANCIACION[[#This Row],[$ CAPITAL]]&gt;=0,FINANCIACION[[#This Row],[$ CAPITAL]]+FINANCIACION[[#This Row],[$ INTERESES]],"")</f>
        <v>1500000</v>
      </c>
      <c r="F218" s="5">
        <f>+SUMIFS(FINANCIACION[$ CAPITAL],FINANCIACION[Fecha],"&lt;="&amp;FINANCIACION[[#This Row],[Fecha]],FINANCIACION[PRESTAMO],FINANCIACION[[#This Row],[PRESTAMO]])</f>
        <v>4985134.2682570312</v>
      </c>
      <c r="G218" s="7"/>
      <c r="H218" s="53"/>
      <c r="I218" s="5">
        <f>IF(FINANCIACION[[#This Row],[$ CAPITAL]]&gt;0,FINANCIACION[[#This Row],[$ CAPITAL]])</f>
        <v>1500000</v>
      </c>
      <c r="J218" s="33">
        <f>IF(FINANCIACION[[#This Row],[$ CAPITAL]]&gt;=0,FINANCIACION[[#This Row],[$ CAPITAL]]+FINANCIACION[[#This Row],[$ INTERESES]],0)</f>
        <v>1500000</v>
      </c>
    </row>
    <row r="219" spans="1:10" ht="24" hidden="1" customHeight="1" x14ac:dyDescent="0.3">
      <c r="A219" s="131">
        <v>43882</v>
      </c>
      <c r="B219" s="50" t="s">
        <v>535</v>
      </c>
      <c r="C219" s="5">
        <v>-238000</v>
      </c>
      <c r="D219" s="5"/>
      <c r="E219" s="5" t="str">
        <f>+IF(FINANCIACION[[#This Row],[$ CAPITAL]]&gt;=0,FINANCIACION[[#This Row],[$ CAPITAL]]+FINANCIACION[[#This Row],[$ INTERESES]],"")</f>
        <v/>
      </c>
      <c r="F219" s="5">
        <f>+SUMIFS(FINANCIACION[$ CAPITAL],FINANCIACION[Fecha],"&lt;="&amp;FINANCIACION[[#This Row],[Fecha]],FINANCIACION[PRESTAMO],FINANCIACION[[#This Row],[PRESTAMO]])</f>
        <v>4747134.2682570312</v>
      </c>
      <c r="G219" s="57"/>
      <c r="H219" s="53"/>
      <c r="I219" s="5" t="b">
        <f>IF(FINANCIACION[[#This Row],[$ CAPITAL]]&gt;0,FINANCIACION[[#This Row],[$ CAPITAL]])</f>
        <v>0</v>
      </c>
      <c r="J219" s="33">
        <f>IF(FINANCIACION[[#This Row],[$ CAPITAL]]&gt;=0,FINANCIACION[[#This Row],[$ CAPITAL]]+FINANCIACION[[#This Row],[$ INTERESES]],0)</f>
        <v>0</v>
      </c>
    </row>
    <row r="220" spans="1:10" ht="24" hidden="1" customHeight="1" x14ac:dyDescent="0.3">
      <c r="A220" s="131">
        <v>43886</v>
      </c>
      <c r="B220" s="50" t="s">
        <v>146</v>
      </c>
      <c r="C220" s="5">
        <v>1250000</v>
      </c>
      <c r="D220" s="5">
        <v>229080</v>
      </c>
      <c r="E220" s="5">
        <f>+IF(FINANCIACION[[#This Row],[$ CAPITAL]]&gt;=0,FINANCIACION[[#This Row],[$ CAPITAL]]+FINANCIACION[[#This Row],[$ INTERESES]],"")</f>
        <v>1479080</v>
      </c>
      <c r="F220" s="5">
        <f>+SUMIFS(FINANCIACION[$ CAPITAL],FINANCIACION[Fecha],"&lt;="&amp;FINANCIACION[[#This Row],[Fecha]],FINANCIACION[PRESTAMO],FINANCIACION[[#This Row],[PRESTAMO]])</f>
        <v>-17500000</v>
      </c>
      <c r="G220" s="53"/>
      <c r="H220" s="53"/>
      <c r="I220" s="5">
        <f>IF(FINANCIACION[[#This Row],[$ CAPITAL]]&gt;0,FINANCIACION[[#This Row],[$ CAPITAL]])</f>
        <v>1250000</v>
      </c>
      <c r="J220" s="33">
        <f>IF(FINANCIACION[[#This Row],[$ CAPITAL]]&gt;=0,FINANCIACION[[#This Row],[$ CAPITAL]]+FINANCIACION[[#This Row],[$ INTERESES]],0)</f>
        <v>1479080</v>
      </c>
    </row>
    <row r="221" spans="1:10" ht="24" hidden="1" customHeight="1" x14ac:dyDescent="0.3">
      <c r="A221" s="131">
        <v>43887</v>
      </c>
      <c r="B221" s="50" t="s">
        <v>535</v>
      </c>
      <c r="C221" s="5">
        <v>-204035</v>
      </c>
      <c r="D221" s="5"/>
      <c r="E221" s="5" t="str">
        <f>+IF(FINANCIACION[[#This Row],[$ CAPITAL]]&gt;=0,FINANCIACION[[#This Row],[$ CAPITAL]]+FINANCIACION[[#This Row],[$ INTERESES]],"")</f>
        <v/>
      </c>
      <c r="F221" s="5">
        <f>+SUMIFS(FINANCIACION[$ CAPITAL],FINANCIACION[Fecha],"&lt;="&amp;FINANCIACION[[#This Row],[Fecha]],FINANCIACION[PRESTAMO],FINANCIACION[[#This Row],[PRESTAMO]])</f>
        <v>4543099.2682570312</v>
      </c>
      <c r="G221" s="53"/>
      <c r="H221" s="53"/>
      <c r="I221" s="5" t="b">
        <f>IF(FINANCIACION[[#This Row],[$ CAPITAL]]&gt;0,FINANCIACION[[#This Row],[$ CAPITAL]])</f>
        <v>0</v>
      </c>
      <c r="J221" s="33">
        <f>IF(FINANCIACION[[#This Row],[$ CAPITAL]]&gt;=0,FINANCIACION[[#This Row],[$ CAPITAL]]+FINANCIACION[[#This Row],[$ INTERESES]],0)</f>
        <v>0</v>
      </c>
    </row>
    <row r="222" spans="1:10" ht="24" hidden="1" customHeight="1" x14ac:dyDescent="0.3">
      <c r="A222" s="131">
        <v>43888</v>
      </c>
      <c r="B222" s="50" t="s">
        <v>535</v>
      </c>
      <c r="C222" s="5">
        <v>-259615.63</v>
      </c>
      <c r="D222" s="5"/>
      <c r="E222" s="5" t="str">
        <f>+IF(FINANCIACION[[#This Row],[$ CAPITAL]]&gt;=0,FINANCIACION[[#This Row],[$ CAPITAL]]+FINANCIACION[[#This Row],[$ INTERESES]],"")</f>
        <v/>
      </c>
      <c r="F222" s="5">
        <f>+SUMIFS(FINANCIACION[$ CAPITAL],FINANCIACION[Fecha],"&lt;="&amp;FINANCIACION[[#This Row],[Fecha]],FINANCIACION[PRESTAMO],FINANCIACION[[#This Row],[PRESTAMO]])</f>
        <v>4283483.6382570313</v>
      </c>
      <c r="G222" s="53"/>
      <c r="H222" s="53"/>
      <c r="I222" s="5" t="b">
        <f>IF(FINANCIACION[[#This Row],[$ CAPITAL]]&gt;0,FINANCIACION[[#This Row],[$ CAPITAL]])</f>
        <v>0</v>
      </c>
      <c r="J222" s="33">
        <f>IF(FINANCIACION[[#This Row],[$ CAPITAL]]&gt;=0,FINANCIACION[[#This Row],[$ CAPITAL]]+FINANCIACION[[#This Row],[$ INTERESES]],0)</f>
        <v>0</v>
      </c>
    </row>
    <row r="223" spans="1:10" ht="24" hidden="1" customHeight="1" x14ac:dyDescent="0.3">
      <c r="A223" s="131">
        <v>43890</v>
      </c>
      <c r="B223" s="50" t="s">
        <v>536</v>
      </c>
      <c r="C223" s="5"/>
      <c r="D223" s="5">
        <v>840000</v>
      </c>
      <c r="E223" s="5">
        <f>+IF(FINANCIACION[[#This Row],[$ CAPITAL]]&gt;=0,FINANCIACION[[#This Row],[$ CAPITAL]]+FINANCIACION[[#This Row],[$ INTERESES]],"")</f>
        <v>840000</v>
      </c>
      <c r="F223" s="5">
        <f>+SUMIFS(FINANCIACION[$ CAPITAL],FINANCIACION[Fecha],"&lt;="&amp;FINANCIACION[[#This Row],[Fecha]],FINANCIACION[PRESTAMO],FINANCIACION[[#This Row],[PRESTAMO]])</f>
        <v>-84000000</v>
      </c>
      <c r="G223" s="53"/>
      <c r="H223" s="53"/>
      <c r="I223" s="5" t="b">
        <f>IF(FINANCIACION[[#This Row],[$ CAPITAL]]&gt;0,FINANCIACION[[#This Row],[$ CAPITAL]])</f>
        <v>0</v>
      </c>
      <c r="J223" s="33">
        <f>IF(FINANCIACION[[#This Row],[$ CAPITAL]]&gt;=0,FINANCIACION[[#This Row],[$ CAPITAL]]+FINANCIACION[[#This Row],[$ INTERESES]],0)</f>
        <v>840000</v>
      </c>
    </row>
    <row r="224" spans="1:10" ht="24" hidden="1" customHeight="1" x14ac:dyDescent="0.3">
      <c r="A224" s="131">
        <v>43890</v>
      </c>
      <c r="B224" s="50" t="s">
        <v>533</v>
      </c>
      <c r="C224" s="5">
        <v>-829906</v>
      </c>
      <c r="D224" s="5"/>
      <c r="E224" s="5" t="str">
        <f>+IF(FINANCIACION[[#This Row],[$ CAPITAL]]&gt;=0,FINANCIACION[[#This Row],[$ CAPITAL]]+FINANCIACION[[#This Row],[$ INTERESES]],"")</f>
        <v/>
      </c>
      <c r="F224" s="5">
        <f>+SUMIFS(FINANCIACION[$ CAPITAL],FINANCIACION[Fecha],"&lt;="&amp;FINANCIACION[[#This Row],[Fecha]],FINANCIACION[PRESTAMO],FINANCIACION[[#This Row],[PRESTAMO]])</f>
        <v>-67199060</v>
      </c>
      <c r="G224" s="53"/>
      <c r="H224" s="53"/>
      <c r="I224" s="5" t="b">
        <f>IF(FINANCIACION[[#This Row],[$ CAPITAL]]&gt;0,FINANCIACION[[#This Row],[$ CAPITAL]])</f>
        <v>0</v>
      </c>
      <c r="J224" s="33">
        <f>IF(FINANCIACION[[#This Row],[$ CAPITAL]]&gt;=0,FINANCIACION[[#This Row],[$ CAPITAL]]+FINANCIACION[[#This Row],[$ INTERESES]],0)</f>
        <v>0</v>
      </c>
    </row>
    <row r="225" spans="1:10" ht="24" hidden="1" customHeight="1" x14ac:dyDescent="0.3">
      <c r="A225" s="131">
        <v>43890</v>
      </c>
      <c r="B225" s="50" t="s">
        <v>535</v>
      </c>
      <c r="C225" s="5">
        <v>-2051310.6682570393</v>
      </c>
      <c r="D225" s="5"/>
      <c r="E225" s="5" t="str">
        <f>+IF(FINANCIACION[[#This Row],[$ CAPITAL]]&gt;=0,FINANCIACION[[#This Row],[$ CAPITAL]]+FINANCIACION[[#This Row],[$ INTERESES]],"")</f>
        <v/>
      </c>
      <c r="F225" s="5">
        <f>+SUMIFS(FINANCIACION[$ CAPITAL],FINANCIACION[Fecha],"&lt;="&amp;FINANCIACION[[#This Row],[Fecha]],FINANCIACION[PRESTAMO],FINANCIACION[[#This Row],[PRESTAMO]])</f>
        <v>261463.04999999236</v>
      </c>
      <c r="G225" s="53"/>
      <c r="H225" s="53"/>
      <c r="I225" s="5" t="b">
        <f>IF(FINANCIACION[[#This Row],[$ CAPITAL]]&gt;0,FINANCIACION[[#This Row],[$ CAPITAL]])</f>
        <v>0</v>
      </c>
      <c r="J225" s="33">
        <f>IF(FINANCIACION[[#This Row],[$ CAPITAL]]&gt;=0,FINANCIACION[[#This Row],[$ CAPITAL]]+FINANCIACION[[#This Row],[$ INTERESES]],0)</f>
        <v>0</v>
      </c>
    </row>
    <row r="226" spans="1:10" ht="24" hidden="1" customHeight="1" x14ac:dyDescent="0.3">
      <c r="A226" s="131">
        <v>43890</v>
      </c>
      <c r="B226" s="50" t="s">
        <v>535</v>
      </c>
      <c r="C226" s="5">
        <v>-1970709.92</v>
      </c>
      <c r="D226" s="5"/>
      <c r="E226" s="5" t="str">
        <f>+IF(FINANCIACION[[#This Row],[$ CAPITAL]]&gt;=0,FINANCIACION[[#This Row],[$ CAPITAL]]+FINANCIACION[[#This Row],[$ INTERESES]],"")</f>
        <v/>
      </c>
      <c r="F226" s="5">
        <f>+SUMIFS(FINANCIACION[$ CAPITAL],FINANCIACION[Fecha],"&lt;="&amp;FINANCIACION[[#This Row],[Fecha]],FINANCIACION[PRESTAMO],FINANCIACION[[#This Row],[PRESTAMO]])</f>
        <v>261463.04999999236</v>
      </c>
      <c r="G226" s="53"/>
      <c r="H226" s="53"/>
      <c r="I226" s="5" t="b">
        <f>IF(FINANCIACION[[#This Row],[$ CAPITAL]]&gt;0,FINANCIACION[[#This Row],[$ CAPITAL]])</f>
        <v>0</v>
      </c>
      <c r="J226" s="33">
        <f>IF(FINANCIACION[[#This Row],[$ CAPITAL]]&gt;=0,FINANCIACION[[#This Row],[$ CAPITAL]]+FINANCIACION[[#This Row],[$ INTERESES]],0)</f>
        <v>0</v>
      </c>
    </row>
    <row r="227" spans="1:10" ht="24" hidden="1" customHeight="1" x14ac:dyDescent="0.3">
      <c r="A227" s="131">
        <v>43893</v>
      </c>
      <c r="B227" s="50" t="s">
        <v>147</v>
      </c>
      <c r="C227" s="5">
        <v>3472222</v>
      </c>
      <c r="D227" s="5">
        <v>2169302</v>
      </c>
      <c r="E227" s="5">
        <f>+IF(FINANCIACION[[#This Row],[$ CAPITAL]]&gt;=0,FINANCIACION[[#This Row],[$ CAPITAL]]+FINANCIACION[[#This Row],[$ INTERESES]],"")</f>
        <v>5641524</v>
      </c>
      <c r="F227" s="5">
        <f>+SUMIFS(FINANCIACION[$ CAPITAL],FINANCIACION[Fecha],"&lt;="&amp;FINANCIACION[[#This Row],[Fecha]],FINANCIACION[PRESTAMO],FINANCIACION[[#This Row],[PRESTAMO]])</f>
        <v>-37861114</v>
      </c>
      <c r="G227" s="53"/>
      <c r="H227" s="53"/>
      <c r="I227" s="5">
        <f>IF(FINANCIACION[[#This Row],[$ CAPITAL]]&gt;0,FINANCIACION[[#This Row],[$ CAPITAL]])</f>
        <v>3472222</v>
      </c>
      <c r="J227" s="33">
        <f>IF(FINANCIACION[[#This Row],[$ CAPITAL]]&gt;=0,FINANCIACION[[#This Row],[$ CAPITAL]]+FINANCIACION[[#This Row],[$ INTERESES]],0)</f>
        <v>5641524</v>
      </c>
    </row>
    <row r="228" spans="1:10" ht="24" hidden="1" customHeight="1" x14ac:dyDescent="0.3">
      <c r="A228" s="131">
        <v>43894</v>
      </c>
      <c r="B228" s="50" t="s">
        <v>535</v>
      </c>
      <c r="C228" s="5">
        <v>2500000</v>
      </c>
      <c r="D228" s="5">
        <v>323170.83999999985</v>
      </c>
      <c r="E228" s="5">
        <f>+IF(FINANCIACION[[#This Row],[$ CAPITAL]]&gt;=0,FINANCIACION[[#This Row],[$ CAPITAL]]+FINANCIACION[[#This Row],[$ INTERESES]],"")</f>
        <v>2823170.84</v>
      </c>
      <c r="F228" s="5">
        <f>+SUMIFS(FINANCIACION[$ CAPITAL],FINANCIACION[Fecha],"&lt;="&amp;FINANCIACION[[#This Row],[Fecha]],FINANCIACION[PRESTAMO],FINANCIACION[[#This Row],[PRESTAMO]])</f>
        <v>2761463.0499999924</v>
      </c>
      <c r="G228" s="7"/>
      <c r="H228" s="53"/>
      <c r="I228" s="5">
        <f>IF(FINANCIACION[[#This Row],[$ CAPITAL]]&gt;0,FINANCIACION[[#This Row],[$ CAPITAL]])</f>
        <v>2500000</v>
      </c>
      <c r="J228" s="8">
        <f>IF(FINANCIACION[[#This Row],[$ CAPITAL]]&gt;=0,FINANCIACION[[#This Row],[$ CAPITAL]]+FINANCIACION[[#This Row],[$ INTERESES]],0)</f>
        <v>2823170.84</v>
      </c>
    </row>
    <row r="229" spans="1:10" ht="24" hidden="1" customHeight="1" x14ac:dyDescent="0.3">
      <c r="A229" s="131">
        <v>43899</v>
      </c>
      <c r="B229" s="50" t="s">
        <v>150</v>
      </c>
      <c r="C229" s="5">
        <v>6250000</v>
      </c>
      <c r="D229" s="5">
        <v>1229000</v>
      </c>
      <c r="E229" s="5">
        <f>+IF(FINANCIACION[[#This Row],[$ CAPITAL]]&gt;=0,FINANCIACION[[#This Row],[$ CAPITAL]]+FINANCIACION[[#This Row],[$ INTERESES]],"")</f>
        <v>7479000</v>
      </c>
      <c r="F229" s="5">
        <f>+SUMIFS(FINANCIACION[$ CAPITAL],FINANCIACION[Fecha],"&lt;="&amp;FINANCIACION[[#This Row],[Fecha]],FINANCIACION[PRESTAMO],FINANCIACION[[#This Row],[PRESTAMO]])</f>
        <v>-131250000</v>
      </c>
      <c r="G229" s="7"/>
      <c r="H229" s="53"/>
      <c r="I229" s="5">
        <f>IF(FINANCIACION[[#This Row],[$ CAPITAL]]&gt;0,FINANCIACION[[#This Row],[$ CAPITAL]])</f>
        <v>6250000</v>
      </c>
      <c r="J229" s="8">
        <f>IF(FINANCIACION[[#This Row],[$ CAPITAL]]&gt;=0,FINANCIACION[[#This Row],[$ CAPITAL]]+FINANCIACION[[#This Row],[$ INTERESES]],0)</f>
        <v>7479000</v>
      </c>
    </row>
    <row r="230" spans="1:10" ht="24" hidden="1" customHeight="1" x14ac:dyDescent="0.3">
      <c r="A230" s="131">
        <v>43900</v>
      </c>
      <c r="B230" s="50" t="s">
        <v>537</v>
      </c>
      <c r="C230" s="5">
        <v>-75000000</v>
      </c>
      <c r="D230" s="5"/>
      <c r="E230" s="5" t="str">
        <f>+IF(FINANCIACION[[#This Row],[$ CAPITAL]]&gt;=0,FINANCIACION[[#This Row],[$ CAPITAL]]+FINANCIACION[[#This Row],[$ INTERESES]],"")</f>
        <v/>
      </c>
      <c r="F230" s="5">
        <f>+SUMIFS(FINANCIACION[$ CAPITAL],FINANCIACION[Fecha],"&lt;="&amp;FINANCIACION[[#This Row],[Fecha]],FINANCIACION[PRESTAMO],FINANCIACION[[#This Row],[PRESTAMO]])</f>
        <v>-75000000</v>
      </c>
      <c r="G230" s="7"/>
      <c r="H230" s="53"/>
      <c r="I230" s="5" t="b">
        <f>IF(FINANCIACION[[#This Row],[$ CAPITAL]]&gt;0,FINANCIACION[[#This Row],[$ CAPITAL]])</f>
        <v>0</v>
      </c>
      <c r="J230" s="33">
        <f>IF(FINANCIACION[[#This Row],[$ CAPITAL]]&gt;=0,FINANCIACION[[#This Row],[$ CAPITAL]]+FINANCIACION[[#This Row],[$ INTERESES]],0)</f>
        <v>0</v>
      </c>
    </row>
    <row r="231" spans="1:10" ht="24" hidden="1" customHeight="1" x14ac:dyDescent="0.3">
      <c r="A231" s="131">
        <v>43901</v>
      </c>
      <c r="B231" s="50" t="s">
        <v>535</v>
      </c>
      <c r="C231" s="52">
        <v>3000000</v>
      </c>
      <c r="D231" s="5"/>
      <c r="E231" s="5">
        <f>+IF(FINANCIACION[[#This Row],[$ CAPITAL]]&gt;=0,FINANCIACION[[#This Row],[$ CAPITAL]]+FINANCIACION[[#This Row],[$ INTERESES]],"")</f>
        <v>3000000</v>
      </c>
      <c r="F231" s="5">
        <f>+SUMIFS(FINANCIACION[$ CAPITAL],FINANCIACION[Fecha],"&lt;="&amp;FINANCIACION[[#This Row],[Fecha]],FINANCIACION[PRESTAMO],FINANCIACION[[#This Row],[PRESTAMO]])</f>
        <v>5761463.0499999924</v>
      </c>
      <c r="G231" s="53"/>
      <c r="H231" s="53"/>
      <c r="I231" s="5">
        <f>IF(FINANCIACION[[#This Row],[$ CAPITAL]]&gt;0,FINANCIACION[[#This Row],[$ CAPITAL]])</f>
        <v>3000000</v>
      </c>
      <c r="J231" s="33">
        <f>IF(FINANCIACION[[#This Row],[$ CAPITAL]]&gt;=0,FINANCIACION[[#This Row],[$ CAPITAL]]+FINANCIACION[[#This Row],[$ INTERESES]],0)</f>
        <v>3000000</v>
      </c>
    </row>
    <row r="232" spans="1:10" ht="24" hidden="1" customHeight="1" x14ac:dyDescent="0.3">
      <c r="A232" s="131">
        <v>43906</v>
      </c>
      <c r="B232" s="50" t="s">
        <v>535</v>
      </c>
      <c r="C232" s="5">
        <v>1000000</v>
      </c>
      <c r="D232" s="5"/>
      <c r="E232" s="5">
        <f>+IF(FINANCIACION[[#This Row],[$ CAPITAL]]&gt;=0,FINANCIACION[[#This Row],[$ CAPITAL]]+FINANCIACION[[#This Row],[$ INTERESES]],"")</f>
        <v>1000000</v>
      </c>
      <c r="F232" s="5">
        <f>+SUMIFS(FINANCIACION[$ CAPITAL],FINANCIACION[Fecha],"&lt;="&amp;FINANCIACION[[#This Row],[Fecha]],FINANCIACION[PRESTAMO],FINANCIACION[[#This Row],[PRESTAMO]])</f>
        <v>8761463.0499999933</v>
      </c>
      <c r="G232" s="53"/>
      <c r="H232" s="53"/>
      <c r="I232" s="5">
        <f>IF(FINANCIACION[[#This Row],[$ CAPITAL]]&gt;0,FINANCIACION[[#This Row],[$ CAPITAL]])</f>
        <v>1000000</v>
      </c>
      <c r="J232" s="33">
        <f>IF(FINANCIACION[[#This Row],[$ CAPITAL]]&gt;=0,FINANCIACION[[#This Row],[$ CAPITAL]]+FINANCIACION[[#This Row],[$ INTERESES]],0)</f>
        <v>1000000</v>
      </c>
    </row>
    <row r="233" spans="1:10" ht="24" hidden="1" customHeight="1" x14ac:dyDescent="0.3">
      <c r="A233" s="131">
        <v>43906</v>
      </c>
      <c r="B233" s="50" t="s">
        <v>535</v>
      </c>
      <c r="C233" s="5">
        <v>2000000</v>
      </c>
      <c r="D233" s="5"/>
      <c r="E233" s="5">
        <f>+IF(FINANCIACION[[#This Row],[$ CAPITAL]]&gt;=0,FINANCIACION[[#This Row],[$ CAPITAL]]+FINANCIACION[[#This Row],[$ INTERESES]],"")</f>
        <v>2000000</v>
      </c>
      <c r="F233" s="5">
        <f>+SUMIFS(FINANCIACION[$ CAPITAL],FINANCIACION[Fecha],"&lt;="&amp;FINANCIACION[[#This Row],[Fecha]],FINANCIACION[PRESTAMO],FINANCIACION[[#This Row],[PRESTAMO]])</f>
        <v>8761463.0499999933</v>
      </c>
      <c r="G233" s="53"/>
      <c r="H233" s="53"/>
      <c r="I233" s="5">
        <f>IF(FINANCIACION[[#This Row],[$ CAPITAL]]&gt;0,FINANCIACION[[#This Row],[$ CAPITAL]])</f>
        <v>2000000</v>
      </c>
      <c r="J233" s="33">
        <f>IF(FINANCIACION[[#This Row],[$ CAPITAL]]&gt;=0,FINANCIACION[[#This Row],[$ CAPITAL]]+FINANCIACION[[#This Row],[$ INTERESES]],0)</f>
        <v>2000000</v>
      </c>
    </row>
    <row r="234" spans="1:10" ht="24" hidden="1" customHeight="1" x14ac:dyDescent="0.3">
      <c r="A234" s="131">
        <v>43908</v>
      </c>
      <c r="B234" s="50" t="s">
        <v>534</v>
      </c>
      <c r="C234" s="5">
        <v>1513636.1431404999</v>
      </c>
      <c r="D234" s="5">
        <v>4992178.8568594996</v>
      </c>
      <c r="E234" s="5">
        <f>+IF(FINANCIACION[[#This Row],[$ CAPITAL]]&gt;=0,FINANCIACION[[#This Row],[$ CAPITAL]]+FINANCIACION[[#This Row],[$ INTERESES]],"")</f>
        <v>6505815</v>
      </c>
      <c r="F234" s="5">
        <f>+SUMIFS(FINANCIACION[$ CAPITAL],FINANCIACION[Fecha],"&lt;="&amp;FINANCIACION[[#This Row],[Fecha]],FINANCIACION[PRESTAMO],FINANCIACION[[#This Row],[PRESTAMO]])</f>
        <v>-384651930.99999994</v>
      </c>
      <c r="G234" s="53"/>
      <c r="H234" s="53"/>
      <c r="I234" s="5">
        <f>IF(FINANCIACION[[#This Row],[$ CAPITAL]]&gt;0,FINANCIACION[[#This Row],[$ CAPITAL]])</f>
        <v>1513636.1431404999</v>
      </c>
      <c r="J234" s="33">
        <f>IF(FINANCIACION[[#This Row],[$ CAPITAL]]&gt;=0,FINANCIACION[[#This Row],[$ CAPITAL]]+FINANCIACION[[#This Row],[$ INTERESES]],0)</f>
        <v>6505815</v>
      </c>
    </row>
    <row r="235" spans="1:10" ht="24" hidden="1" customHeight="1" x14ac:dyDescent="0.3">
      <c r="A235" s="131">
        <v>43915</v>
      </c>
      <c r="B235" s="50" t="s">
        <v>146</v>
      </c>
      <c r="C235" s="5">
        <v>1250000</v>
      </c>
      <c r="D235" s="5">
        <v>214114</v>
      </c>
      <c r="E235" s="5">
        <f>+IF(FINANCIACION[[#This Row],[$ CAPITAL]]&gt;=0,FINANCIACION[[#This Row],[$ CAPITAL]]+FINANCIACION[[#This Row],[$ INTERESES]],"")</f>
        <v>1464114</v>
      </c>
      <c r="F235" s="5">
        <f>+SUMIFS(FINANCIACION[$ CAPITAL],FINANCIACION[Fecha],"&lt;="&amp;FINANCIACION[[#This Row],[Fecha]],FINANCIACION[PRESTAMO],FINANCIACION[[#This Row],[PRESTAMO]])</f>
        <v>-16250000</v>
      </c>
      <c r="G235" s="53"/>
      <c r="H235" s="53"/>
      <c r="I235" s="5">
        <f>IF(FINANCIACION[[#This Row],[$ CAPITAL]]&gt;0,FINANCIACION[[#This Row],[$ CAPITAL]])</f>
        <v>1250000</v>
      </c>
      <c r="J235" s="33">
        <f>IF(FINANCIACION[[#This Row],[$ CAPITAL]]&gt;=0,FINANCIACION[[#This Row],[$ CAPITAL]]+FINANCIACION[[#This Row],[$ INTERESES]],0)</f>
        <v>1464114</v>
      </c>
    </row>
    <row r="236" spans="1:10" ht="24" hidden="1" customHeight="1" x14ac:dyDescent="0.3">
      <c r="A236" s="131">
        <v>43927</v>
      </c>
      <c r="B236" s="50" t="s">
        <v>535</v>
      </c>
      <c r="C236" s="5">
        <v>1063762</v>
      </c>
      <c r="D236" s="5"/>
      <c r="E236" s="5">
        <f>+IF(FINANCIACION[[#This Row],[$ CAPITAL]]&gt;=0,FINANCIACION[[#This Row],[$ CAPITAL]]+FINANCIACION[[#This Row],[$ INTERESES]],"")</f>
        <v>1063762</v>
      </c>
      <c r="F236" s="5">
        <f>+SUMIFS(FINANCIACION[$ CAPITAL],FINANCIACION[Fecha],"&lt;="&amp;FINANCIACION[[#This Row],[Fecha]],FINANCIACION[PRESTAMO],FINANCIACION[[#This Row],[PRESTAMO]])</f>
        <v>9825225.0499999933</v>
      </c>
      <c r="G236" s="7"/>
      <c r="H236" s="53"/>
      <c r="I236" s="5">
        <f>IF(FINANCIACION[[#This Row],[$ CAPITAL]]&gt;0,FINANCIACION[[#This Row],[$ CAPITAL]])</f>
        <v>1063762</v>
      </c>
      <c r="J236" s="33">
        <f>IF(FINANCIACION[[#This Row],[$ CAPITAL]]&gt;=0,FINANCIACION[[#This Row],[$ CAPITAL]]+FINANCIACION[[#This Row],[$ INTERESES]],0)</f>
        <v>1063762</v>
      </c>
    </row>
    <row r="237" spans="1:10" ht="24" hidden="1" customHeight="1" x14ac:dyDescent="0.3">
      <c r="A237" s="131">
        <v>43930</v>
      </c>
      <c r="B237" s="50" t="s">
        <v>535</v>
      </c>
      <c r="C237" s="52">
        <v>-1235000</v>
      </c>
      <c r="D237" s="5"/>
      <c r="E237" s="5" t="str">
        <f>+IF(FINANCIACION[[#This Row],[$ CAPITAL]]&gt;=0,FINANCIACION[[#This Row],[$ CAPITAL]]+FINANCIACION[[#This Row],[$ INTERESES]],"")</f>
        <v/>
      </c>
      <c r="F237" s="5">
        <f>+SUMIFS(FINANCIACION[$ CAPITAL],FINANCIACION[Fecha],"&lt;="&amp;FINANCIACION[[#This Row],[Fecha]],FINANCIACION[PRESTAMO],FINANCIACION[[#This Row],[PRESTAMO]])</f>
        <v>8590225.0499999933</v>
      </c>
      <c r="G237" s="53"/>
      <c r="H237" s="53"/>
      <c r="I237" s="5" t="b">
        <f>IF(FINANCIACION[[#This Row],[$ CAPITAL]]&gt;0,FINANCIACION[[#This Row],[$ CAPITAL]])</f>
        <v>0</v>
      </c>
      <c r="J237" s="33">
        <f>IF(FINANCIACION[[#This Row],[$ CAPITAL]]&gt;=0,FINANCIACION[[#This Row],[$ CAPITAL]]+FINANCIACION[[#This Row],[$ INTERESES]],0)</f>
        <v>0</v>
      </c>
    </row>
    <row r="238" spans="1:10" ht="24" hidden="1" customHeight="1" x14ac:dyDescent="0.3">
      <c r="A238" s="131">
        <v>43935</v>
      </c>
      <c r="B238" s="50" t="s">
        <v>535</v>
      </c>
      <c r="C238" s="5">
        <v>1030593</v>
      </c>
      <c r="D238" s="5"/>
      <c r="E238" s="5">
        <f>+IF(FINANCIACION[[#This Row],[$ CAPITAL]]&gt;=0,FINANCIACION[[#This Row],[$ CAPITAL]]+FINANCIACION[[#This Row],[$ INTERESES]],"")</f>
        <v>1030593</v>
      </c>
      <c r="F238" s="5">
        <f>+SUMIFS(FINANCIACION[$ CAPITAL],FINANCIACION[Fecha],"&lt;="&amp;FINANCIACION[[#This Row],[Fecha]],FINANCIACION[PRESTAMO],FINANCIACION[[#This Row],[PRESTAMO]])</f>
        <v>9620818.0499999933</v>
      </c>
      <c r="G238" s="53"/>
      <c r="H238" s="53"/>
      <c r="I238" s="5">
        <f>IF(FINANCIACION[[#This Row],[$ CAPITAL]]&gt;0,FINANCIACION[[#This Row],[$ CAPITAL]])</f>
        <v>1030593</v>
      </c>
      <c r="J238" s="33">
        <f>IF(FINANCIACION[[#This Row],[$ CAPITAL]]&gt;=0,FINANCIACION[[#This Row],[$ CAPITAL]]+FINANCIACION[[#This Row],[$ INTERESES]],0)</f>
        <v>1030593</v>
      </c>
    </row>
    <row r="239" spans="1:10" ht="24" hidden="1" customHeight="1" x14ac:dyDescent="0.3">
      <c r="A239" s="131">
        <v>43948</v>
      </c>
      <c r="B239" s="50" t="s">
        <v>535</v>
      </c>
      <c r="C239" s="5">
        <v>194501</v>
      </c>
      <c r="D239" s="5"/>
      <c r="E239" s="5">
        <f>+IF(FINANCIACION[[#This Row],[$ CAPITAL]]&gt;=0,FINANCIACION[[#This Row],[$ CAPITAL]]+FINANCIACION[[#This Row],[$ INTERESES]],"")</f>
        <v>194501</v>
      </c>
      <c r="F239" s="5">
        <f>+SUMIFS(FINANCIACION[$ CAPITAL],FINANCIACION[Fecha],"&lt;="&amp;FINANCIACION[[#This Row],[Fecha]],FINANCIACION[PRESTAMO],FINANCIACION[[#This Row],[PRESTAMO]])</f>
        <v>9815319.0499999933</v>
      </c>
      <c r="G239" s="53"/>
      <c r="H239" s="53"/>
      <c r="I239" s="5">
        <f>IF(FINANCIACION[[#This Row],[$ CAPITAL]]&gt;0,FINANCIACION[[#This Row],[$ CAPITAL]])</f>
        <v>194501</v>
      </c>
      <c r="J239" s="33">
        <f>IF(FINANCIACION[[#This Row],[$ CAPITAL]]&gt;=0,FINANCIACION[[#This Row],[$ CAPITAL]]+FINANCIACION[[#This Row],[$ INTERESES]],0)</f>
        <v>194501</v>
      </c>
    </row>
    <row r="240" spans="1:10" ht="24" hidden="1" customHeight="1" x14ac:dyDescent="0.3">
      <c r="A240" s="131">
        <v>43951</v>
      </c>
      <c r="B240" s="50" t="s">
        <v>535</v>
      </c>
      <c r="C240" s="5">
        <v>-2289805</v>
      </c>
      <c r="D240" s="5"/>
      <c r="E240" s="5" t="str">
        <f>+IF(FINANCIACION[[#This Row],[$ CAPITAL]]&gt;=0,FINANCIACION[[#This Row],[$ CAPITAL]]+FINANCIACION[[#This Row],[$ INTERESES]],"")</f>
        <v/>
      </c>
      <c r="F240" s="5">
        <f>+SUMIFS(FINANCIACION[$ CAPITAL],FINANCIACION[Fecha],"&lt;="&amp;FINANCIACION[[#This Row],[Fecha]],FINANCIACION[PRESTAMO],FINANCIACION[[#This Row],[PRESTAMO]])</f>
        <v>7525514.0499999933</v>
      </c>
      <c r="G240" s="53"/>
      <c r="H240" s="53"/>
      <c r="I240" s="5" t="b">
        <f>IF(FINANCIACION[[#This Row],[$ CAPITAL]]&gt;0,FINANCIACION[[#This Row],[$ CAPITAL]])</f>
        <v>0</v>
      </c>
      <c r="J240" s="33">
        <f>IF(FINANCIACION[[#This Row],[$ CAPITAL]]&gt;=0,FINANCIACION[[#This Row],[$ CAPITAL]]+FINANCIACION[[#This Row],[$ INTERESES]],0)</f>
        <v>0</v>
      </c>
    </row>
    <row r="241" spans="1:10" ht="24" hidden="1" customHeight="1" x14ac:dyDescent="0.3">
      <c r="A241" s="131">
        <v>43952</v>
      </c>
      <c r="B241" s="50" t="s">
        <v>535</v>
      </c>
      <c r="C241" s="5">
        <v>-39625275</v>
      </c>
      <c r="D241" s="5"/>
      <c r="E241" s="5" t="str">
        <f>+IF(FINANCIACION[[#This Row],[$ CAPITAL]]&gt;=0,FINANCIACION[[#This Row],[$ CAPITAL]]+FINANCIACION[[#This Row],[$ INTERESES]],"")</f>
        <v/>
      </c>
      <c r="F241" s="5">
        <f>+SUMIFS(FINANCIACION[$ CAPITAL],FINANCIACION[Fecha],"&lt;="&amp;FINANCIACION[[#This Row],[Fecha]],FINANCIACION[PRESTAMO],FINANCIACION[[#This Row],[PRESTAMO]])</f>
        <v>-32099760.950000007</v>
      </c>
      <c r="G241" s="53"/>
      <c r="H241" s="53"/>
      <c r="I241" s="5" t="b">
        <f>IF(FINANCIACION[[#This Row],[$ CAPITAL]]&gt;0,FINANCIACION[[#This Row],[$ CAPITAL]])</f>
        <v>0</v>
      </c>
      <c r="J241" s="33">
        <f>IF(FINANCIACION[[#This Row],[$ CAPITAL]]&gt;=0,FINANCIACION[[#This Row],[$ CAPITAL]]+FINANCIACION[[#This Row],[$ INTERESES]],0)</f>
        <v>0</v>
      </c>
    </row>
    <row r="242" spans="1:10" ht="24" hidden="1" customHeight="1" x14ac:dyDescent="0.3">
      <c r="A242" s="131">
        <v>43952</v>
      </c>
      <c r="B242" s="50" t="s">
        <v>535</v>
      </c>
      <c r="C242" s="5"/>
      <c r="D242" s="5">
        <v>1688036.71</v>
      </c>
      <c r="E242" s="5">
        <f>+IF(FINANCIACION[[#This Row],[$ CAPITAL]]&gt;=0,FINANCIACION[[#This Row],[$ CAPITAL]]+FINANCIACION[[#This Row],[$ INTERESES]],"")</f>
        <v>1688036.71</v>
      </c>
      <c r="F242" s="5">
        <f>+SUMIFS(FINANCIACION[$ CAPITAL],FINANCIACION[Fecha],"&lt;="&amp;FINANCIACION[[#This Row],[Fecha]],FINANCIACION[PRESTAMO],FINANCIACION[[#This Row],[PRESTAMO]])</f>
        <v>-32099760.950000007</v>
      </c>
      <c r="G242" s="53"/>
      <c r="H242" s="53"/>
      <c r="I242" s="5" t="b">
        <f>IF(FINANCIACION[[#This Row],[$ CAPITAL]]&gt;0,FINANCIACION[[#This Row],[$ CAPITAL]])</f>
        <v>0</v>
      </c>
      <c r="J242" s="33">
        <f>IF(FINANCIACION[[#This Row],[$ CAPITAL]]&gt;=0,FINANCIACION[[#This Row],[$ CAPITAL]]+FINANCIACION[[#This Row],[$ INTERESES]],0)</f>
        <v>1688036.71</v>
      </c>
    </row>
    <row r="243" spans="1:10" ht="24" hidden="1" customHeight="1" x14ac:dyDescent="0.3">
      <c r="A243" s="131">
        <v>43958</v>
      </c>
      <c r="B243" s="50" t="s">
        <v>535</v>
      </c>
      <c r="C243" s="5">
        <v>-1532050</v>
      </c>
      <c r="D243" s="5"/>
      <c r="E243" s="5" t="str">
        <f>+IF(FINANCIACION[[#This Row],[$ CAPITAL]]&gt;=0,FINANCIACION[[#This Row],[$ CAPITAL]]+FINANCIACION[[#This Row],[$ INTERESES]],"")</f>
        <v/>
      </c>
      <c r="F243" s="5">
        <f>+SUMIFS(FINANCIACION[$ CAPITAL],FINANCIACION[Fecha],"&lt;="&amp;FINANCIACION[[#This Row],[Fecha]],FINANCIACION[PRESTAMO],FINANCIACION[[#This Row],[PRESTAMO]])</f>
        <v>-39372691.950000003</v>
      </c>
      <c r="G243" s="53"/>
      <c r="H243" s="53"/>
      <c r="I243" s="5" t="b">
        <f>IF(FINANCIACION[[#This Row],[$ CAPITAL]]&gt;0,FINANCIACION[[#This Row],[$ CAPITAL]])</f>
        <v>0</v>
      </c>
      <c r="J243" s="33">
        <f>IF(FINANCIACION[[#This Row],[$ CAPITAL]]&gt;=0,FINANCIACION[[#This Row],[$ CAPITAL]]+FINANCIACION[[#This Row],[$ INTERESES]],0)</f>
        <v>0</v>
      </c>
    </row>
    <row r="244" spans="1:10" ht="24" hidden="1" customHeight="1" x14ac:dyDescent="0.3">
      <c r="A244" s="131">
        <v>43958</v>
      </c>
      <c r="B244" s="50" t="s">
        <v>535</v>
      </c>
      <c r="C244" s="5">
        <v>800765</v>
      </c>
      <c r="D244" s="5"/>
      <c r="E244" s="5">
        <f>+IF(FINANCIACION[[#This Row],[$ CAPITAL]]&gt;=0,FINANCIACION[[#This Row],[$ CAPITAL]]+FINANCIACION[[#This Row],[$ INTERESES]],"")</f>
        <v>800765</v>
      </c>
      <c r="F244" s="5">
        <f>+SUMIFS(FINANCIACION[$ CAPITAL],FINANCIACION[Fecha],"&lt;="&amp;FINANCIACION[[#This Row],[Fecha]],FINANCIACION[PRESTAMO],FINANCIACION[[#This Row],[PRESTAMO]])</f>
        <v>-39372691.950000003</v>
      </c>
      <c r="G244" s="53"/>
      <c r="H244" s="53"/>
      <c r="I244" s="5">
        <f>IF(FINANCIACION[[#This Row],[$ CAPITAL]]&gt;0,FINANCIACION[[#This Row],[$ CAPITAL]])</f>
        <v>800765</v>
      </c>
      <c r="J244" s="33">
        <f>IF(FINANCIACION[[#This Row],[$ CAPITAL]]&gt;=0,FINANCIACION[[#This Row],[$ CAPITAL]]+FINANCIACION[[#This Row],[$ INTERESES]],0)</f>
        <v>800765</v>
      </c>
    </row>
    <row r="245" spans="1:10" ht="24" hidden="1" customHeight="1" x14ac:dyDescent="0.3">
      <c r="A245" s="131">
        <v>43958</v>
      </c>
      <c r="B245" s="50" t="s">
        <v>535</v>
      </c>
      <c r="C245" s="5">
        <v>-6541646</v>
      </c>
      <c r="D245" s="5"/>
      <c r="E245" s="5" t="str">
        <f>+IF(FINANCIACION[[#This Row],[$ CAPITAL]]&gt;=0,FINANCIACION[[#This Row],[$ CAPITAL]]+FINANCIACION[[#This Row],[$ INTERESES]],"")</f>
        <v/>
      </c>
      <c r="F245" s="5">
        <f>+SUMIFS(FINANCIACION[$ CAPITAL],FINANCIACION[Fecha],"&lt;="&amp;FINANCIACION[[#This Row],[Fecha]],FINANCIACION[PRESTAMO],FINANCIACION[[#This Row],[PRESTAMO]])</f>
        <v>-39372691.950000003</v>
      </c>
      <c r="G245" s="7"/>
      <c r="H245" s="53"/>
      <c r="I245" s="5" t="b">
        <f>IF(FINANCIACION[[#This Row],[$ CAPITAL]]&gt;0,FINANCIACION[[#This Row],[$ CAPITAL]])</f>
        <v>0</v>
      </c>
      <c r="J245" s="33">
        <f>IF(FINANCIACION[[#This Row],[$ CAPITAL]]&gt;=0,FINANCIACION[[#This Row],[$ CAPITAL]]+FINANCIACION[[#This Row],[$ INTERESES]],0)</f>
        <v>0</v>
      </c>
    </row>
    <row r="246" spans="1:10" ht="24" hidden="1" customHeight="1" x14ac:dyDescent="0.3">
      <c r="A246" s="131">
        <v>43970</v>
      </c>
      <c r="B246" s="50" t="s">
        <v>535</v>
      </c>
      <c r="C246" s="5">
        <v>-18600000</v>
      </c>
      <c r="D246" s="5"/>
      <c r="E246" s="5" t="str">
        <f>+IF(FINANCIACION[[#This Row],[$ CAPITAL]]&gt;=0,FINANCIACION[[#This Row],[$ CAPITAL]]+FINANCIACION[[#This Row],[$ INTERESES]],"")</f>
        <v/>
      </c>
      <c r="F246" s="5">
        <f>+SUMIFS(FINANCIACION[$ CAPITAL],FINANCIACION[Fecha],"&lt;="&amp;FINANCIACION[[#This Row],[Fecha]],FINANCIACION[PRESTAMO],FINANCIACION[[#This Row],[PRESTAMO]])</f>
        <v>-57972691.950000003</v>
      </c>
      <c r="G246" s="7"/>
      <c r="H246" s="53"/>
      <c r="I246" s="5" t="b">
        <f>IF(FINANCIACION[[#This Row],[$ CAPITAL]]&gt;0,FINANCIACION[[#This Row],[$ CAPITAL]])</f>
        <v>0</v>
      </c>
      <c r="J246" s="33">
        <f>IF(FINANCIACION[[#This Row],[$ CAPITAL]]&gt;=0,FINANCIACION[[#This Row],[$ CAPITAL]]+FINANCIACION[[#This Row],[$ INTERESES]],0)</f>
        <v>0</v>
      </c>
    </row>
    <row r="247" spans="1:10" ht="24" hidden="1" customHeight="1" x14ac:dyDescent="0.3">
      <c r="A247" s="131">
        <v>43971</v>
      </c>
      <c r="B247" s="50" t="s">
        <v>536</v>
      </c>
      <c r="C247" s="5"/>
      <c r="D247" s="5">
        <v>840000</v>
      </c>
      <c r="E247" s="5">
        <f>+IF(FINANCIACION[[#This Row],[$ CAPITAL]]&gt;=0,FINANCIACION[[#This Row],[$ CAPITAL]]+FINANCIACION[[#This Row],[$ INTERESES]],"")</f>
        <v>840000</v>
      </c>
      <c r="F247" s="5">
        <f>+SUMIFS(FINANCIACION[$ CAPITAL],FINANCIACION[Fecha],"&lt;="&amp;FINANCIACION[[#This Row],[Fecha]],FINANCIACION[PRESTAMO],FINANCIACION[[#This Row],[PRESTAMO]])</f>
        <v>-84000000</v>
      </c>
      <c r="G247" s="7"/>
      <c r="H247" s="53"/>
      <c r="I247" s="5" t="b">
        <f>IF(FINANCIACION[[#This Row],[$ CAPITAL]]&gt;0,FINANCIACION[[#This Row],[$ CAPITAL]])</f>
        <v>0</v>
      </c>
      <c r="J247" s="33">
        <f>IF(FINANCIACION[[#This Row],[$ CAPITAL]]&gt;=0,FINANCIACION[[#This Row],[$ CAPITAL]]+FINANCIACION[[#This Row],[$ INTERESES]],0)</f>
        <v>840000</v>
      </c>
    </row>
    <row r="248" spans="1:10" ht="24" hidden="1" customHeight="1" x14ac:dyDescent="0.3">
      <c r="A248" s="131">
        <v>43973</v>
      </c>
      <c r="B248" s="50" t="s">
        <v>535</v>
      </c>
      <c r="C248" s="5">
        <v>113227.5</v>
      </c>
      <c r="D248" s="5"/>
      <c r="E248" s="5">
        <f>+IF(FINANCIACION[[#This Row],[$ CAPITAL]]&gt;=0,FINANCIACION[[#This Row],[$ CAPITAL]]+FINANCIACION[[#This Row],[$ INTERESES]],"")</f>
        <v>113227.5</v>
      </c>
      <c r="F248" s="5">
        <f>+SUMIFS(FINANCIACION[$ CAPITAL],FINANCIACION[Fecha],"&lt;="&amp;FINANCIACION[[#This Row],[Fecha]],FINANCIACION[PRESTAMO],FINANCIACION[[#This Row],[PRESTAMO]])</f>
        <v>-48459464.450000003</v>
      </c>
      <c r="G248" s="7"/>
      <c r="H248" s="53"/>
      <c r="I248" s="5">
        <f>IF(FINANCIACION[[#This Row],[$ CAPITAL]]&gt;0,FINANCIACION[[#This Row],[$ CAPITAL]])</f>
        <v>113227.5</v>
      </c>
      <c r="J248" s="33">
        <f>IF(FINANCIACION[[#This Row],[$ CAPITAL]]&gt;=0,FINANCIACION[[#This Row],[$ CAPITAL]]+FINANCIACION[[#This Row],[$ INTERESES]],0)</f>
        <v>113227.5</v>
      </c>
    </row>
    <row r="249" spans="1:10" ht="24" hidden="1" customHeight="1" x14ac:dyDescent="0.3">
      <c r="A249" s="131">
        <v>43973</v>
      </c>
      <c r="B249" s="50" t="s">
        <v>535</v>
      </c>
      <c r="C249" s="5">
        <v>9400000</v>
      </c>
      <c r="D249" s="5"/>
      <c r="E249" s="5">
        <f>+IF(FINANCIACION[[#This Row],[$ CAPITAL]]&gt;=0,FINANCIACION[[#This Row],[$ CAPITAL]]+FINANCIACION[[#This Row],[$ INTERESES]],"")</f>
        <v>9400000</v>
      </c>
      <c r="F249" s="5">
        <f>+SUMIFS(FINANCIACION[$ CAPITAL],FINANCIACION[Fecha],"&lt;="&amp;FINANCIACION[[#This Row],[Fecha]],FINANCIACION[PRESTAMO],FINANCIACION[[#This Row],[PRESTAMO]])</f>
        <v>-48459464.450000003</v>
      </c>
      <c r="G249" s="7"/>
      <c r="H249" s="53"/>
      <c r="I249" s="5">
        <f>IF(FINANCIACION[[#This Row],[$ CAPITAL]]&gt;0,FINANCIACION[[#This Row],[$ CAPITAL]])</f>
        <v>9400000</v>
      </c>
      <c r="J249" s="33">
        <f>IF(FINANCIACION[[#This Row],[$ CAPITAL]]&gt;=0,FINANCIACION[[#This Row],[$ CAPITAL]]+FINANCIACION[[#This Row],[$ INTERESES]],0)</f>
        <v>9400000</v>
      </c>
    </row>
    <row r="250" spans="1:10" ht="24" hidden="1" customHeight="1" x14ac:dyDescent="0.3">
      <c r="A250" s="131">
        <v>43977</v>
      </c>
      <c r="B250" s="50" t="s">
        <v>535</v>
      </c>
      <c r="C250" s="5">
        <v>1215058</v>
      </c>
      <c r="D250" s="5"/>
      <c r="E250" s="5">
        <f>+IF(FINANCIACION[[#This Row],[$ CAPITAL]]&gt;=0,FINANCIACION[[#This Row],[$ CAPITAL]]+FINANCIACION[[#This Row],[$ INTERESES]],"")</f>
        <v>1215058</v>
      </c>
      <c r="F250" s="5">
        <f>+SUMIFS(FINANCIACION[$ CAPITAL],FINANCIACION[Fecha],"&lt;="&amp;FINANCIACION[[#This Row],[Fecha]],FINANCIACION[PRESTAMO],FINANCIACION[[#This Row],[PRESTAMO]])</f>
        <v>-46244406.450000003</v>
      </c>
      <c r="G250" s="7"/>
      <c r="H250" s="53"/>
      <c r="I250" s="5">
        <f>IF(FINANCIACION[[#This Row],[$ CAPITAL]]&gt;0,FINANCIACION[[#This Row],[$ CAPITAL]])</f>
        <v>1215058</v>
      </c>
      <c r="J250" s="33">
        <f>IF(FINANCIACION[[#This Row],[$ CAPITAL]]&gt;=0,FINANCIACION[[#This Row],[$ CAPITAL]]+FINANCIACION[[#This Row],[$ INTERESES]],0)</f>
        <v>1215058</v>
      </c>
    </row>
    <row r="251" spans="1:10" ht="24" hidden="1" customHeight="1" x14ac:dyDescent="0.3">
      <c r="A251" s="131">
        <v>43977</v>
      </c>
      <c r="B251" s="50" t="s">
        <v>535</v>
      </c>
      <c r="C251" s="5">
        <v>1000000</v>
      </c>
      <c r="D251" s="5"/>
      <c r="E251" s="5">
        <f>+IF(FINANCIACION[[#This Row],[$ CAPITAL]]&gt;=0,FINANCIACION[[#This Row],[$ CAPITAL]]+FINANCIACION[[#This Row],[$ INTERESES]],"")</f>
        <v>1000000</v>
      </c>
      <c r="F251" s="5">
        <f>+SUMIFS(FINANCIACION[$ CAPITAL],FINANCIACION[Fecha],"&lt;="&amp;FINANCIACION[[#This Row],[Fecha]],FINANCIACION[PRESTAMO],FINANCIACION[[#This Row],[PRESTAMO]])</f>
        <v>-46244406.450000003</v>
      </c>
      <c r="G251" s="7"/>
      <c r="H251" s="53"/>
      <c r="I251" s="5">
        <f>IF(FINANCIACION[[#This Row],[$ CAPITAL]]&gt;0,FINANCIACION[[#This Row],[$ CAPITAL]])</f>
        <v>1000000</v>
      </c>
      <c r="J251" s="33">
        <f>IF(FINANCIACION[[#This Row],[$ CAPITAL]]&gt;=0,FINANCIACION[[#This Row],[$ CAPITAL]]+FINANCIACION[[#This Row],[$ INTERESES]],0)</f>
        <v>1000000</v>
      </c>
    </row>
    <row r="252" spans="1:10" ht="24" hidden="1" customHeight="1" x14ac:dyDescent="0.3">
      <c r="A252" s="131">
        <v>43978</v>
      </c>
      <c r="B252" s="50" t="s">
        <v>535</v>
      </c>
      <c r="C252" s="5">
        <v>2000000</v>
      </c>
      <c r="D252" s="5"/>
      <c r="E252" s="5">
        <f>+IF(FINANCIACION[[#This Row],[$ CAPITAL]]&gt;=0,FINANCIACION[[#This Row],[$ CAPITAL]]+FINANCIACION[[#This Row],[$ INTERESES]],"")</f>
        <v>2000000</v>
      </c>
      <c r="F252" s="5">
        <f>+SUMIFS(FINANCIACION[$ CAPITAL],FINANCIACION[Fecha],"&lt;="&amp;FINANCIACION[[#This Row],[Fecha]],FINANCIACION[PRESTAMO],FINANCIACION[[#This Row],[PRESTAMO]])</f>
        <v>-44244406.450000003</v>
      </c>
      <c r="G252" s="7"/>
      <c r="H252" s="53"/>
      <c r="I252" s="5">
        <f>IF(FINANCIACION[[#This Row],[$ CAPITAL]]&gt;0,FINANCIACION[[#This Row],[$ CAPITAL]])</f>
        <v>2000000</v>
      </c>
      <c r="J252" s="33">
        <f>IF(FINANCIACION[[#This Row],[$ CAPITAL]]&gt;=0,FINANCIACION[[#This Row],[$ CAPITAL]]+FINANCIACION[[#This Row],[$ INTERESES]],0)</f>
        <v>2000000</v>
      </c>
    </row>
    <row r="253" spans="1:10" ht="24" hidden="1" customHeight="1" x14ac:dyDescent="0.3">
      <c r="A253" s="131">
        <v>43980</v>
      </c>
      <c r="B253" s="50" t="s">
        <v>535</v>
      </c>
      <c r="C253" s="5">
        <v>1000000</v>
      </c>
      <c r="D253" s="5"/>
      <c r="E253" s="5">
        <f>+IF(FINANCIACION[[#This Row],[$ CAPITAL]]&gt;=0,FINANCIACION[[#This Row],[$ CAPITAL]]+FINANCIACION[[#This Row],[$ INTERESES]],"")</f>
        <v>1000000</v>
      </c>
      <c r="F253" s="5">
        <f>+SUMIFS(FINANCIACION[$ CAPITAL],FINANCIACION[Fecha],"&lt;="&amp;FINANCIACION[[#This Row],[Fecha]],FINANCIACION[PRESTAMO],FINANCIACION[[#This Row],[PRESTAMO]])</f>
        <v>-43244406.450000003</v>
      </c>
      <c r="G253" s="7"/>
      <c r="H253" s="53"/>
      <c r="I253" s="5">
        <f>IF(FINANCIACION[[#This Row],[$ CAPITAL]]&gt;0,FINANCIACION[[#This Row],[$ CAPITAL]])</f>
        <v>1000000</v>
      </c>
      <c r="J253" s="33">
        <f>IF(FINANCIACION[[#This Row],[$ CAPITAL]]&gt;=0,FINANCIACION[[#This Row],[$ CAPITAL]]+FINANCIACION[[#This Row],[$ INTERESES]],0)</f>
        <v>1000000</v>
      </c>
    </row>
    <row r="254" spans="1:10" ht="24" hidden="1" customHeight="1" x14ac:dyDescent="0.3">
      <c r="A254" s="131">
        <v>43982</v>
      </c>
      <c r="B254" s="50" t="s">
        <v>535</v>
      </c>
      <c r="C254" s="5">
        <v>607650</v>
      </c>
      <c r="D254" s="5"/>
      <c r="E254" s="5">
        <f>+IF(FINANCIACION[[#This Row],[$ CAPITAL]]&gt;=0,FINANCIACION[[#This Row],[$ CAPITAL]]+FINANCIACION[[#This Row],[$ INTERESES]],"")</f>
        <v>607650</v>
      </c>
      <c r="F254" s="5">
        <f>+SUMIFS(FINANCIACION[$ CAPITAL],FINANCIACION[Fecha],"&lt;="&amp;FINANCIACION[[#This Row],[Fecha]],FINANCIACION[PRESTAMO],FINANCIACION[[#This Row],[PRESTAMO]])</f>
        <v>-44947351.950000003</v>
      </c>
      <c r="G254" s="7"/>
      <c r="H254" s="53"/>
      <c r="I254" s="5">
        <f>IF(FINANCIACION[[#This Row],[$ CAPITAL]]&gt;0,FINANCIACION[[#This Row],[$ CAPITAL]])</f>
        <v>607650</v>
      </c>
      <c r="J254" s="33">
        <f>IF(FINANCIACION[[#This Row],[$ CAPITAL]]&gt;=0,FINANCIACION[[#This Row],[$ CAPITAL]]+FINANCIACION[[#This Row],[$ INTERESES]],0)</f>
        <v>607650</v>
      </c>
    </row>
    <row r="255" spans="1:10" ht="24" hidden="1" customHeight="1" x14ac:dyDescent="0.3">
      <c r="A255" s="131">
        <v>43982</v>
      </c>
      <c r="B255" s="50" t="s">
        <v>535</v>
      </c>
      <c r="C255" s="5">
        <v>-1739144.5</v>
      </c>
      <c r="D255" s="5"/>
      <c r="E255" s="5" t="str">
        <f>+IF(FINANCIACION[[#This Row],[$ CAPITAL]]&gt;=0,FINANCIACION[[#This Row],[$ CAPITAL]]+FINANCIACION[[#This Row],[$ INTERESES]],"")</f>
        <v/>
      </c>
      <c r="F255" s="5">
        <f>+SUMIFS(FINANCIACION[$ CAPITAL],FINANCIACION[Fecha],"&lt;="&amp;FINANCIACION[[#This Row],[Fecha]],FINANCIACION[PRESTAMO],FINANCIACION[[#This Row],[PRESTAMO]])</f>
        <v>-44947351.950000003</v>
      </c>
      <c r="G255" s="7"/>
      <c r="H255" s="53"/>
      <c r="I255" s="5" t="b">
        <f>IF(FINANCIACION[[#This Row],[$ CAPITAL]]&gt;0,FINANCIACION[[#This Row],[$ CAPITAL]])</f>
        <v>0</v>
      </c>
      <c r="J255" s="33">
        <f>IF(FINANCIACION[[#This Row],[$ CAPITAL]]&gt;=0,FINANCIACION[[#This Row],[$ CAPITAL]]+FINANCIACION[[#This Row],[$ INTERESES]],0)</f>
        <v>0</v>
      </c>
    </row>
    <row r="256" spans="1:10" ht="24" hidden="1" customHeight="1" x14ac:dyDescent="0.3">
      <c r="A256" s="131">
        <v>43982</v>
      </c>
      <c r="B256" s="50" t="s">
        <v>535</v>
      </c>
      <c r="C256" s="5">
        <v>-571451</v>
      </c>
      <c r="D256" s="5"/>
      <c r="E256" s="5" t="str">
        <f>+IF(FINANCIACION[[#This Row],[$ CAPITAL]]&gt;=0,FINANCIACION[[#This Row],[$ CAPITAL]]+FINANCIACION[[#This Row],[$ INTERESES]],"")</f>
        <v/>
      </c>
      <c r="F256" s="5">
        <f>+SUMIFS(FINANCIACION[$ CAPITAL],FINANCIACION[Fecha],"&lt;="&amp;FINANCIACION[[#This Row],[Fecha]],FINANCIACION[PRESTAMO],FINANCIACION[[#This Row],[PRESTAMO]])</f>
        <v>-44947351.950000003</v>
      </c>
      <c r="G256" s="7"/>
      <c r="H256" s="53"/>
      <c r="I256" s="5" t="b">
        <f>IF(FINANCIACION[[#This Row],[$ CAPITAL]]&gt;0,FINANCIACION[[#This Row],[$ CAPITAL]])</f>
        <v>0</v>
      </c>
      <c r="J256" s="33">
        <f>IF(FINANCIACION[[#This Row],[$ CAPITAL]]&gt;=0,FINANCIACION[[#This Row],[$ CAPITAL]]+FINANCIACION[[#This Row],[$ INTERESES]],0)</f>
        <v>0</v>
      </c>
    </row>
    <row r="257" spans="1:10" ht="24" hidden="1" customHeight="1" x14ac:dyDescent="0.3">
      <c r="A257" s="131">
        <v>43985</v>
      </c>
      <c r="B257" s="50" t="s">
        <v>535</v>
      </c>
      <c r="C257" s="5">
        <v>-32325882</v>
      </c>
      <c r="D257" s="5"/>
      <c r="E257" s="5" t="str">
        <f>+IF(FINANCIACION[[#This Row],[$ CAPITAL]]&gt;=0,FINANCIACION[[#This Row],[$ CAPITAL]]+FINANCIACION[[#This Row],[$ INTERESES]],"")</f>
        <v/>
      </c>
      <c r="F257" s="5">
        <f>+SUMIFS(FINANCIACION[$ CAPITAL],FINANCIACION[Fecha],"&lt;="&amp;FINANCIACION[[#This Row],[Fecha]],FINANCIACION[PRESTAMO],FINANCIACION[[#This Row],[PRESTAMO]])</f>
        <v>-77273233.950000003</v>
      </c>
      <c r="G257" s="7"/>
      <c r="H257" s="53"/>
      <c r="I257" s="5" t="b">
        <f>IF(FINANCIACION[[#This Row],[$ CAPITAL]]&gt;0,FINANCIACION[[#This Row],[$ CAPITAL]])</f>
        <v>0</v>
      </c>
      <c r="J257" s="33">
        <f>IF(FINANCIACION[[#This Row],[$ CAPITAL]]&gt;=0,FINANCIACION[[#This Row],[$ CAPITAL]]+FINANCIACION[[#This Row],[$ INTERESES]],0)</f>
        <v>0</v>
      </c>
    </row>
    <row r="258" spans="1:10" ht="24" hidden="1" customHeight="1" x14ac:dyDescent="0.3">
      <c r="A258" s="131">
        <v>43985</v>
      </c>
      <c r="B258" s="50" t="s">
        <v>535</v>
      </c>
      <c r="C258" s="5"/>
      <c r="D258" s="5">
        <v>1377082.57</v>
      </c>
      <c r="E258" s="5">
        <f>+IF(FINANCIACION[[#This Row],[$ CAPITAL]]&gt;=0,FINANCIACION[[#This Row],[$ CAPITAL]]+FINANCIACION[[#This Row],[$ INTERESES]],"")</f>
        <v>1377082.57</v>
      </c>
      <c r="F258" s="5">
        <f>+SUMIFS(FINANCIACION[$ CAPITAL],FINANCIACION[Fecha],"&lt;="&amp;FINANCIACION[[#This Row],[Fecha]],FINANCIACION[PRESTAMO],FINANCIACION[[#This Row],[PRESTAMO]])</f>
        <v>-77273233.950000003</v>
      </c>
      <c r="G258" s="7"/>
      <c r="H258" s="53"/>
      <c r="I258" s="5" t="b">
        <f>IF(FINANCIACION[[#This Row],[$ CAPITAL]]&gt;0,FINANCIACION[[#This Row],[$ CAPITAL]])</f>
        <v>0</v>
      </c>
      <c r="J258" s="33">
        <f>IF(FINANCIACION[[#This Row],[$ CAPITAL]]&gt;=0,FINANCIACION[[#This Row],[$ CAPITAL]]+FINANCIACION[[#This Row],[$ INTERESES]],0)</f>
        <v>1377082.57</v>
      </c>
    </row>
    <row r="259" spans="1:10" ht="24" hidden="1" customHeight="1" x14ac:dyDescent="0.3">
      <c r="A259" s="131">
        <v>43990</v>
      </c>
      <c r="B259" s="50" t="s">
        <v>535</v>
      </c>
      <c r="C259" s="5">
        <v>1000000</v>
      </c>
      <c r="D259" s="5"/>
      <c r="E259" s="5">
        <f>+IF(FINANCIACION[[#This Row],[$ CAPITAL]]&gt;=0,FINANCIACION[[#This Row],[$ CAPITAL]]+FINANCIACION[[#This Row],[$ INTERESES]],"")</f>
        <v>1000000</v>
      </c>
      <c r="F259" s="5">
        <f>+SUMIFS(FINANCIACION[$ CAPITAL],FINANCIACION[Fecha],"&lt;="&amp;FINANCIACION[[#This Row],[Fecha]],FINANCIACION[PRESTAMO],FINANCIACION[[#This Row],[PRESTAMO]])</f>
        <v>-76273233.950000003</v>
      </c>
      <c r="G259" s="7"/>
      <c r="H259" s="53"/>
      <c r="I259" s="5">
        <f>IF(FINANCIACION[[#This Row],[$ CAPITAL]]&gt;0,FINANCIACION[[#This Row],[$ CAPITAL]])</f>
        <v>1000000</v>
      </c>
      <c r="J259" s="33">
        <f>IF(FINANCIACION[[#This Row],[$ CAPITAL]]&gt;=0,FINANCIACION[[#This Row],[$ CAPITAL]]+FINANCIACION[[#This Row],[$ INTERESES]],0)</f>
        <v>1000000</v>
      </c>
    </row>
    <row r="260" spans="1:10" ht="24" hidden="1" customHeight="1" x14ac:dyDescent="0.3">
      <c r="A260" s="131">
        <v>43992</v>
      </c>
      <c r="B260" s="50" t="s">
        <v>535</v>
      </c>
      <c r="C260" s="5">
        <v>2000000</v>
      </c>
      <c r="D260" s="5"/>
      <c r="E260" s="5">
        <f>+IF(FINANCIACION[[#This Row],[$ CAPITAL]]&gt;=0,FINANCIACION[[#This Row],[$ CAPITAL]]+FINANCIACION[[#This Row],[$ INTERESES]],"")</f>
        <v>2000000</v>
      </c>
      <c r="F260" s="5">
        <f>+SUMIFS(FINANCIACION[$ CAPITAL],FINANCIACION[Fecha],"&lt;="&amp;FINANCIACION[[#This Row],[Fecha]],FINANCIACION[PRESTAMO],FINANCIACION[[#This Row],[PRESTAMO]])</f>
        <v>-69273233.950000003</v>
      </c>
      <c r="G260" s="7"/>
      <c r="H260" s="53"/>
      <c r="I260" s="5">
        <f>IF(FINANCIACION[[#This Row],[$ CAPITAL]]&gt;0,FINANCIACION[[#This Row],[$ CAPITAL]])</f>
        <v>2000000</v>
      </c>
      <c r="J260" s="33">
        <f>IF(FINANCIACION[[#This Row],[$ CAPITAL]]&gt;=0,FINANCIACION[[#This Row],[$ CAPITAL]]+FINANCIACION[[#This Row],[$ INTERESES]],0)</f>
        <v>2000000</v>
      </c>
    </row>
    <row r="261" spans="1:10" ht="24" hidden="1" customHeight="1" x14ac:dyDescent="0.3">
      <c r="A261" s="131">
        <v>43992</v>
      </c>
      <c r="B261" s="50" t="s">
        <v>535</v>
      </c>
      <c r="C261" s="5">
        <v>3000000</v>
      </c>
      <c r="D261" s="5"/>
      <c r="E261" s="5">
        <f>+IF(FINANCIACION[[#This Row],[$ CAPITAL]]&gt;=0,FINANCIACION[[#This Row],[$ CAPITAL]]+FINANCIACION[[#This Row],[$ INTERESES]],"")</f>
        <v>3000000</v>
      </c>
      <c r="F261" s="5">
        <f>+SUMIFS(FINANCIACION[$ CAPITAL],FINANCIACION[Fecha],"&lt;="&amp;FINANCIACION[[#This Row],[Fecha]],FINANCIACION[PRESTAMO],FINANCIACION[[#This Row],[PRESTAMO]])</f>
        <v>-69273233.950000003</v>
      </c>
      <c r="G261" s="7"/>
      <c r="H261" s="53"/>
      <c r="I261" s="5">
        <f>IF(FINANCIACION[[#This Row],[$ CAPITAL]]&gt;0,FINANCIACION[[#This Row],[$ CAPITAL]])</f>
        <v>3000000</v>
      </c>
      <c r="J261" s="33">
        <f>IF(FINANCIACION[[#This Row],[$ CAPITAL]]&gt;=0,FINANCIACION[[#This Row],[$ CAPITAL]]+FINANCIACION[[#This Row],[$ INTERESES]],0)</f>
        <v>3000000</v>
      </c>
    </row>
    <row r="262" spans="1:10" ht="24" hidden="1" customHeight="1" x14ac:dyDescent="0.3">
      <c r="A262" s="131">
        <v>43992</v>
      </c>
      <c r="B262" s="50" t="s">
        <v>535</v>
      </c>
      <c r="C262" s="5">
        <v>2000000</v>
      </c>
      <c r="D262" s="5"/>
      <c r="E262" s="5">
        <f>+IF(FINANCIACION[[#This Row],[$ CAPITAL]]&gt;=0,FINANCIACION[[#This Row],[$ CAPITAL]]+FINANCIACION[[#This Row],[$ INTERESES]],"")</f>
        <v>2000000</v>
      </c>
      <c r="F262" s="5">
        <f>+SUMIFS(FINANCIACION[$ CAPITAL],FINANCIACION[Fecha],"&lt;="&amp;FINANCIACION[[#This Row],[Fecha]],FINANCIACION[PRESTAMO],FINANCIACION[[#This Row],[PRESTAMO]])</f>
        <v>-69273233.950000003</v>
      </c>
      <c r="G262" s="7"/>
      <c r="H262" s="53"/>
      <c r="I262" s="5">
        <f>IF(FINANCIACION[[#This Row],[$ CAPITAL]]&gt;0,FINANCIACION[[#This Row],[$ CAPITAL]])</f>
        <v>2000000</v>
      </c>
      <c r="J262" s="33">
        <f>IF(FINANCIACION[[#This Row],[$ CAPITAL]]&gt;=0,FINANCIACION[[#This Row],[$ CAPITAL]]+FINANCIACION[[#This Row],[$ INTERESES]],0)</f>
        <v>2000000</v>
      </c>
    </row>
    <row r="263" spans="1:10" ht="24" hidden="1" customHeight="1" x14ac:dyDescent="0.3">
      <c r="A263" s="131">
        <v>43995</v>
      </c>
      <c r="B263" s="50" t="s">
        <v>535</v>
      </c>
      <c r="C263" s="5">
        <v>578591</v>
      </c>
      <c r="D263" s="5"/>
      <c r="E263" s="5">
        <f>+IF(FINANCIACION[[#This Row],[$ CAPITAL]]&gt;=0,FINANCIACION[[#This Row],[$ CAPITAL]]+FINANCIACION[[#This Row],[$ INTERESES]],"")</f>
        <v>578591</v>
      </c>
      <c r="F263" s="5">
        <f>+SUMIFS(FINANCIACION[$ CAPITAL],FINANCIACION[Fecha],"&lt;="&amp;FINANCIACION[[#This Row],[Fecha]],FINANCIACION[PRESTAMO],FINANCIACION[[#This Row],[PRESTAMO]])</f>
        <v>-62021870.950000003</v>
      </c>
      <c r="G263" s="7"/>
      <c r="H263" s="53"/>
      <c r="I263" s="5">
        <f>IF(FINANCIACION[[#This Row],[$ CAPITAL]]&gt;0,FINANCIACION[[#This Row],[$ CAPITAL]])</f>
        <v>578591</v>
      </c>
      <c r="J263" s="33">
        <f>IF(FINANCIACION[[#This Row],[$ CAPITAL]]&gt;=0,FINANCIACION[[#This Row],[$ CAPITAL]]+FINANCIACION[[#This Row],[$ INTERESES]],0)</f>
        <v>578591</v>
      </c>
    </row>
    <row r="264" spans="1:10" ht="24" hidden="1" customHeight="1" x14ac:dyDescent="0.3">
      <c r="A264" s="131">
        <v>43995</v>
      </c>
      <c r="B264" s="50" t="s">
        <v>535</v>
      </c>
      <c r="C264" s="5">
        <v>1672772</v>
      </c>
      <c r="D264" s="5"/>
      <c r="E264" s="5">
        <f>+IF(FINANCIACION[[#This Row],[$ CAPITAL]]&gt;=0,FINANCIACION[[#This Row],[$ CAPITAL]]+FINANCIACION[[#This Row],[$ INTERESES]],"")</f>
        <v>1672772</v>
      </c>
      <c r="F264" s="5">
        <f>+SUMIFS(FINANCIACION[$ CAPITAL],FINANCIACION[Fecha],"&lt;="&amp;FINANCIACION[[#This Row],[Fecha]],FINANCIACION[PRESTAMO],FINANCIACION[[#This Row],[PRESTAMO]])</f>
        <v>-62021870.950000003</v>
      </c>
      <c r="G264" s="7"/>
      <c r="H264" s="53"/>
      <c r="I264" s="5">
        <f>IF(FINANCIACION[[#This Row],[$ CAPITAL]]&gt;0,FINANCIACION[[#This Row],[$ CAPITAL]])</f>
        <v>1672772</v>
      </c>
      <c r="J264" s="33">
        <f>IF(FINANCIACION[[#This Row],[$ CAPITAL]]&gt;=0,FINANCIACION[[#This Row],[$ CAPITAL]]+FINANCIACION[[#This Row],[$ INTERESES]],0)</f>
        <v>1672772</v>
      </c>
    </row>
    <row r="265" spans="1:10" ht="24" hidden="1" customHeight="1" x14ac:dyDescent="0.3">
      <c r="A265" s="131">
        <v>43995</v>
      </c>
      <c r="B265" s="50" t="s">
        <v>535</v>
      </c>
      <c r="C265" s="5">
        <v>5000000</v>
      </c>
      <c r="D265" s="5"/>
      <c r="E265" s="5">
        <f>+IF(FINANCIACION[[#This Row],[$ CAPITAL]]&gt;=0,FINANCIACION[[#This Row],[$ CAPITAL]]+FINANCIACION[[#This Row],[$ INTERESES]],"")</f>
        <v>5000000</v>
      </c>
      <c r="F265" s="5">
        <f>+SUMIFS(FINANCIACION[$ CAPITAL],FINANCIACION[Fecha],"&lt;="&amp;FINANCIACION[[#This Row],[Fecha]],FINANCIACION[PRESTAMO],FINANCIACION[[#This Row],[PRESTAMO]])</f>
        <v>-62021870.950000003</v>
      </c>
      <c r="G265" s="7"/>
      <c r="H265" s="53"/>
      <c r="I265" s="5">
        <f>IF(FINANCIACION[[#This Row],[$ CAPITAL]]&gt;0,FINANCIACION[[#This Row],[$ CAPITAL]])</f>
        <v>5000000</v>
      </c>
      <c r="J265" s="33">
        <f>IF(FINANCIACION[[#This Row],[$ CAPITAL]]&gt;=0,FINANCIACION[[#This Row],[$ CAPITAL]]+FINANCIACION[[#This Row],[$ INTERESES]],0)</f>
        <v>5000000</v>
      </c>
    </row>
    <row r="266" spans="1:10" ht="24" hidden="1" customHeight="1" x14ac:dyDescent="0.3">
      <c r="A266" s="131">
        <v>44000</v>
      </c>
      <c r="B266" s="50" t="s">
        <v>536</v>
      </c>
      <c r="C266" s="5"/>
      <c r="D266" s="5">
        <v>840000</v>
      </c>
      <c r="E266" s="5">
        <f>+IF(FINANCIACION[[#This Row],[$ CAPITAL]]&gt;=0,FINANCIACION[[#This Row],[$ CAPITAL]]+FINANCIACION[[#This Row],[$ INTERESES]],"")</f>
        <v>840000</v>
      </c>
      <c r="F266" s="5">
        <f>+SUMIFS(FINANCIACION[$ CAPITAL],FINANCIACION[Fecha],"&lt;="&amp;FINANCIACION[[#This Row],[Fecha]],FINANCIACION[PRESTAMO],FINANCIACION[[#This Row],[PRESTAMO]])</f>
        <v>-84000000</v>
      </c>
      <c r="G266" s="7"/>
      <c r="H266" s="53"/>
      <c r="I266" s="5" t="b">
        <f>IF(FINANCIACION[[#This Row],[$ CAPITAL]]&gt;0,FINANCIACION[[#This Row],[$ CAPITAL]])</f>
        <v>0</v>
      </c>
      <c r="J266" s="33">
        <f>IF(FINANCIACION[[#This Row],[$ CAPITAL]]&gt;=0,FINANCIACION[[#This Row],[$ CAPITAL]]+FINANCIACION[[#This Row],[$ INTERESES]],0)</f>
        <v>840000</v>
      </c>
    </row>
    <row r="267" spans="1:10" ht="24" hidden="1" customHeight="1" x14ac:dyDescent="0.3">
      <c r="A267" s="131">
        <v>44000</v>
      </c>
      <c r="B267" s="50" t="s">
        <v>533</v>
      </c>
      <c r="C267" s="5">
        <v>260000</v>
      </c>
      <c r="D267" s="5">
        <v>740000</v>
      </c>
      <c r="E267" s="5">
        <f>+IF(FINANCIACION[[#This Row],[$ CAPITAL]]&gt;=0,FINANCIACION[[#This Row],[$ CAPITAL]]+FINANCIACION[[#This Row],[$ INTERESES]],"")</f>
        <v>1000000</v>
      </c>
      <c r="F267" s="5">
        <f>+SUMIFS(FINANCIACION[$ CAPITAL],FINANCIACION[Fecha],"&lt;="&amp;FINANCIACION[[#This Row],[Fecha]],FINANCIACION[PRESTAMO],FINANCIACION[[#This Row],[PRESTAMO]])</f>
        <v>-66939060</v>
      </c>
      <c r="G267" s="7"/>
      <c r="H267" s="53"/>
      <c r="I267" s="5">
        <f>IF(FINANCIACION[[#This Row],[$ CAPITAL]]&gt;0,FINANCIACION[[#This Row],[$ CAPITAL]])</f>
        <v>260000</v>
      </c>
      <c r="J267" s="33">
        <f>IF(FINANCIACION[[#This Row],[$ CAPITAL]]&gt;=0,FINANCIACION[[#This Row],[$ CAPITAL]]+FINANCIACION[[#This Row],[$ INTERESES]],0)</f>
        <v>1000000</v>
      </c>
    </row>
    <row r="268" spans="1:10" ht="24" hidden="1" customHeight="1" x14ac:dyDescent="0.3">
      <c r="A268" s="131">
        <v>44000</v>
      </c>
      <c r="B268" s="50" t="s">
        <v>535</v>
      </c>
      <c r="C268" s="5">
        <v>2000000</v>
      </c>
      <c r="D268" s="5"/>
      <c r="E268" s="5">
        <f>+IF(FINANCIACION[[#This Row],[$ CAPITAL]]&gt;=0,FINANCIACION[[#This Row],[$ CAPITAL]]+FINANCIACION[[#This Row],[$ INTERESES]],"")</f>
        <v>2000000</v>
      </c>
      <c r="F268" s="5">
        <f>+SUMIFS(FINANCIACION[$ CAPITAL],FINANCIACION[Fecha],"&lt;="&amp;FINANCIACION[[#This Row],[Fecha]],FINANCIACION[PRESTAMO],FINANCIACION[[#This Row],[PRESTAMO]])</f>
        <v>-60021870.950000003</v>
      </c>
      <c r="G268" s="7"/>
      <c r="H268" s="53"/>
      <c r="I268" s="5">
        <f>IF(FINANCIACION[[#This Row],[$ CAPITAL]]&gt;0,FINANCIACION[[#This Row],[$ CAPITAL]])</f>
        <v>2000000</v>
      </c>
      <c r="J268" s="33">
        <f>IF(FINANCIACION[[#This Row],[$ CAPITAL]]&gt;=0,FINANCIACION[[#This Row],[$ CAPITAL]]+FINANCIACION[[#This Row],[$ INTERESES]],0)</f>
        <v>2000000</v>
      </c>
    </row>
    <row r="269" spans="1:10" ht="24" hidden="1" customHeight="1" x14ac:dyDescent="0.3">
      <c r="A269" s="131">
        <v>44006</v>
      </c>
      <c r="B269" s="50" t="s">
        <v>538</v>
      </c>
      <c r="C269" s="5">
        <v>-65285277</v>
      </c>
      <c r="D269" s="5">
        <v>2792278</v>
      </c>
      <c r="E269" s="5" t="str">
        <f>+IF(FINANCIACION[[#This Row],[$ CAPITAL]]&gt;=0,FINANCIACION[[#This Row],[$ CAPITAL]]+FINANCIACION[[#This Row],[$ INTERESES]],"")</f>
        <v/>
      </c>
      <c r="F269" s="5">
        <f>+SUMIFS(FINANCIACION[$ CAPITAL],FINANCIACION[Fecha],"&lt;="&amp;FINANCIACION[[#This Row],[Fecha]],FINANCIACION[PRESTAMO],FINANCIACION[[#This Row],[PRESTAMO]])</f>
        <v>-65285277</v>
      </c>
      <c r="G269" s="7"/>
      <c r="H269" s="53"/>
      <c r="I269" s="5" t="b">
        <f>IF(FINANCIACION[[#This Row],[$ CAPITAL]]&gt;0,FINANCIACION[[#This Row],[$ CAPITAL]])</f>
        <v>0</v>
      </c>
      <c r="J269" s="33">
        <f>IF(FINANCIACION[[#This Row],[$ CAPITAL]]&gt;=0,FINANCIACION[[#This Row],[$ CAPITAL]]+FINANCIACION[[#This Row],[$ INTERESES]],0)</f>
        <v>0</v>
      </c>
    </row>
    <row r="270" spans="1:10" ht="24" hidden="1" customHeight="1" x14ac:dyDescent="0.3">
      <c r="A270" s="131">
        <v>44006</v>
      </c>
      <c r="B270" s="50" t="s">
        <v>539</v>
      </c>
      <c r="C270" s="5">
        <v>-95000000</v>
      </c>
      <c r="D270" s="5">
        <v>3947242</v>
      </c>
      <c r="E270" s="5" t="str">
        <f>+IF(FINANCIACION[[#This Row],[$ CAPITAL]]&gt;=0,FINANCIACION[[#This Row],[$ CAPITAL]]+FINANCIACION[[#This Row],[$ INTERESES]],"")</f>
        <v/>
      </c>
      <c r="F270" s="5">
        <f>+SUMIFS(FINANCIACION[$ CAPITAL],FINANCIACION[Fecha],"&lt;="&amp;FINANCIACION[[#This Row],[Fecha]],FINANCIACION[PRESTAMO],FINANCIACION[[#This Row],[PRESTAMO]])</f>
        <v>-95000000</v>
      </c>
      <c r="G270" s="7"/>
      <c r="H270" s="53"/>
      <c r="I270" s="5" t="b">
        <f>IF(FINANCIACION[[#This Row],[$ CAPITAL]]&gt;0,FINANCIACION[[#This Row],[$ CAPITAL]])</f>
        <v>0</v>
      </c>
      <c r="J270" s="33">
        <f>IF(FINANCIACION[[#This Row],[$ CAPITAL]]&gt;=0,FINANCIACION[[#This Row],[$ CAPITAL]]+FINANCIACION[[#This Row],[$ INTERESES]],0)</f>
        <v>0</v>
      </c>
    </row>
    <row r="271" spans="1:10" ht="24" hidden="1" customHeight="1" x14ac:dyDescent="0.3">
      <c r="A271" s="131">
        <v>44007</v>
      </c>
      <c r="B271" s="50" t="s">
        <v>535</v>
      </c>
      <c r="C271" s="5">
        <v>500000</v>
      </c>
      <c r="D271" s="5"/>
      <c r="E271" s="5">
        <f>+IF(FINANCIACION[[#This Row],[$ CAPITAL]]&gt;=0,FINANCIACION[[#This Row],[$ CAPITAL]]+FINANCIACION[[#This Row],[$ INTERESES]],"")</f>
        <v>500000</v>
      </c>
      <c r="F271" s="5">
        <f>+SUMIFS(FINANCIACION[$ CAPITAL],FINANCIACION[Fecha],"&lt;="&amp;FINANCIACION[[#This Row],[Fecha]],FINANCIACION[PRESTAMO],FINANCIACION[[#This Row],[PRESTAMO]])</f>
        <v>-59521870.950000003</v>
      </c>
      <c r="G271" s="7"/>
      <c r="H271" s="53"/>
      <c r="I271" s="5">
        <f>IF(FINANCIACION[[#This Row],[$ CAPITAL]]&gt;0,FINANCIACION[[#This Row],[$ CAPITAL]])</f>
        <v>500000</v>
      </c>
      <c r="J271" s="33">
        <f>IF(FINANCIACION[[#This Row],[$ CAPITAL]]&gt;=0,FINANCIACION[[#This Row],[$ CAPITAL]]+FINANCIACION[[#This Row],[$ INTERESES]],0)</f>
        <v>500000</v>
      </c>
    </row>
    <row r="272" spans="1:10" ht="24" hidden="1" customHeight="1" x14ac:dyDescent="0.3">
      <c r="A272" s="131">
        <v>44012</v>
      </c>
      <c r="B272" s="50" t="s">
        <v>147</v>
      </c>
      <c r="C272" s="5">
        <v>-219719</v>
      </c>
      <c r="D272" s="5"/>
      <c r="E272" s="5" t="str">
        <f>+IF(FINANCIACION[[#This Row],[$ CAPITAL]]&gt;=0,FINANCIACION[[#This Row],[$ CAPITAL]]+FINANCIACION[[#This Row],[$ INTERESES]],"")</f>
        <v/>
      </c>
      <c r="F272" s="5">
        <f>+SUMIFS(FINANCIACION[$ CAPITAL],FINANCIACION[Fecha],"&lt;="&amp;FINANCIACION[[#This Row],[Fecha]],FINANCIACION[PRESTAMO],FINANCIACION[[#This Row],[PRESTAMO]])</f>
        <v>-38080833</v>
      </c>
      <c r="G272" s="7"/>
      <c r="H272" s="53"/>
      <c r="I272" s="5" t="b">
        <f>IF(FINANCIACION[[#This Row],[$ CAPITAL]]&gt;0,FINANCIACION[[#This Row],[$ CAPITAL]])</f>
        <v>0</v>
      </c>
      <c r="J272" s="8">
        <f>IF(FINANCIACION[[#This Row],[$ CAPITAL]]&gt;=0,FINANCIACION[[#This Row],[$ CAPITAL]]+FINANCIACION[[#This Row],[$ INTERESES]],0)</f>
        <v>0</v>
      </c>
    </row>
    <row r="273" spans="1:10" ht="24" hidden="1" customHeight="1" x14ac:dyDescent="0.3">
      <c r="A273" s="131">
        <v>44012</v>
      </c>
      <c r="B273" s="50" t="s">
        <v>538</v>
      </c>
      <c r="C273" s="5">
        <v>-106360.96000000089</v>
      </c>
      <c r="D273" s="5"/>
      <c r="E273" s="5" t="str">
        <f>+IF(FINANCIACION[[#This Row],[$ CAPITAL]]&gt;=0,FINANCIACION[[#This Row],[$ CAPITAL]]+FINANCIACION[[#This Row],[$ INTERESES]],"")</f>
        <v/>
      </c>
      <c r="F273" s="5">
        <f>+SUMIFS(FINANCIACION[$ CAPITAL],FINANCIACION[Fecha],"&lt;="&amp;FINANCIACION[[#This Row],[Fecha]],FINANCIACION[PRESTAMO],FINANCIACION[[#This Row],[PRESTAMO]])</f>
        <v>-65391637.960000001</v>
      </c>
      <c r="G273" s="53"/>
      <c r="H273" s="53"/>
      <c r="I273" s="5" t="b">
        <f>IF(FINANCIACION[[#This Row],[$ CAPITAL]]&gt;0,FINANCIACION[[#This Row],[$ CAPITAL]])</f>
        <v>0</v>
      </c>
      <c r="J273" s="33">
        <f>IF(FINANCIACION[[#This Row],[$ CAPITAL]]&gt;=0,FINANCIACION[[#This Row],[$ CAPITAL]]+FINANCIACION[[#This Row],[$ INTERESES]],0)</f>
        <v>0</v>
      </c>
    </row>
    <row r="274" spans="1:10" ht="24" hidden="1" customHeight="1" x14ac:dyDescent="0.3">
      <c r="A274" s="131">
        <v>44012</v>
      </c>
      <c r="B274" s="50" t="s">
        <v>539</v>
      </c>
      <c r="C274" s="5">
        <v>-169090.98000000417</v>
      </c>
      <c r="D274" s="5"/>
      <c r="E274" s="5" t="str">
        <f>+IF(FINANCIACION[[#This Row],[$ CAPITAL]]&gt;=0,FINANCIACION[[#This Row],[$ CAPITAL]]+FINANCIACION[[#This Row],[$ INTERESES]],"")</f>
        <v/>
      </c>
      <c r="F274" s="5">
        <f>+SUMIFS(FINANCIACION[$ CAPITAL],FINANCIACION[Fecha],"&lt;="&amp;FINANCIACION[[#This Row],[Fecha]],FINANCIACION[PRESTAMO],FINANCIACION[[#This Row],[PRESTAMO]])</f>
        <v>-95169090.980000004</v>
      </c>
      <c r="G274" s="53"/>
      <c r="H274" s="53"/>
      <c r="I274" s="5" t="b">
        <f>IF(FINANCIACION[[#This Row],[$ CAPITAL]]&gt;0,FINANCIACION[[#This Row],[$ CAPITAL]])</f>
        <v>0</v>
      </c>
      <c r="J274" s="33">
        <f>IF(FINANCIACION[[#This Row],[$ CAPITAL]]&gt;=0,FINANCIACION[[#This Row],[$ CAPITAL]]+FINANCIACION[[#This Row],[$ INTERESES]],0)</f>
        <v>0</v>
      </c>
    </row>
    <row r="275" spans="1:10" ht="24" hidden="1" customHeight="1" x14ac:dyDescent="0.3">
      <c r="A275" s="131">
        <v>44012</v>
      </c>
      <c r="B275" s="50" t="s">
        <v>535</v>
      </c>
      <c r="C275" s="5">
        <v>-311626.27</v>
      </c>
      <c r="D275" s="5"/>
      <c r="E275" s="5" t="str">
        <f>+IF(FINANCIACION[[#This Row],[$ CAPITAL]]&gt;=0,FINANCIACION[[#This Row],[$ CAPITAL]]+FINANCIACION[[#This Row],[$ INTERESES]],"")</f>
        <v/>
      </c>
      <c r="F275" s="5">
        <f>+SUMIFS(FINANCIACION[$ CAPITAL],FINANCIACION[Fecha],"&lt;="&amp;FINANCIACION[[#This Row],[Fecha]],FINANCIACION[PRESTAMO],FINANCIACION[[#This Row],[PRESTAMO]])</f>
        <v>-78383579.760000005</v>
      </c>
      <c r="G275" s="7"/>
      <c r="H275" s="53"/>
      <c r="I275" s="5" t="b">
        <f>IF(FINANCIACION[[#This Row],[$ CAPITAL]]&gt;0,FINANCIACION[[#This Row],[$ CAPITAL]])</f>
        <v>0</v>
      </c>
      <c r="J275" s="8">
        <f>IF(FINANCIACION[[#This Row],[$ CAPITAL]]&gt;=0,FINANCIACION[[#This Row],[$ CAPITAL]]+FINANCIACION[[#This Row],[$ INTERESES]],0)</f>
        <v>0</v>
      </c>
    </row>
    <row r="276" spans="1:10" ht="24" hidden="1" customHeight="1" x14ac:dyDescent="0.3">
      <c r="A276" s="131">
        <v>44012</v>
      </c>
      <c r="B276" s="50" t="s">
        <v>535</v>
      </c>
      <c r="C276" s="5">
        <v>-640763.53999999911</v>
      </c>
      <c r="D276" s="5"/>
      <c r="E276" s="5" t="str">
        <f>+IF(FINANCIACION[[#This Row],[$ CAPITAL]]&gt;=0,FINANCIACION[[#This Row],[$ CAPITAL]]+FINANCIACION[[#This Row],[$ INTERESES]],"")</f>
        <v/>
      </c>
      <c r="F276" s="5">
        <f>+SUMIFS(FINANCIACION[$ CAPITAL],FINANCIACION[Fecha],"&lt;="&amp;FINANCIACION[[#This Row],[Fecha]],FINANCIACION[PRESTAMO],FINANCIACION[[#This Row],[PRESTAMO]])</f>
        <v>-78383579.760000005</v>
      </c>
      <c r="G276" s="7"/>
      <c r="H276" s="53"/>
      <c r="I276" s="5" t="b">
        <f>IF(FINANCIACION[[#This Row],[$ CAPITAL]]&gt;0,FINANCIACION[[#This Row],[$ CAPITAL]])</f>
        <v>0</v>
      </c>
      <c r="J276" s="8">
        <f>IF(FINANCIACION[[#This Row],[$ CAPITAL]]&gt;=0,FINANCIACION[[#This Row],[$ CAPITAL]]+FINANCIACION[[#This Row],[$ INTERESES]],0)</f>
        <v>0</v>
      </c>
    </row>
    <row r="277" spans="1:10" ht="24" hidden="1" customHeight="1" x14ac:dyDescent="0.3">
      <c r="A277" s="131">
        <v>44012</v>
      </c>
      <c r="B277" s="50" t="s">
        <v>535</v>
      </c>
      <c r="C277" s="5">
        <v>-1181776</v>
      </c>
      <c r="D277" s="5"/>
      <c r="E277" s="5" t="str">
        <f>+IF(FINANCIACION[[#This Row],[$ CAPITAL]]&gt;=0,FINANCIACION[[#This Row],[$ CAPITAL]]+FINANCIACION[[#This Row],[$ INTERESES]],"")</f>
        <v/>
      </c>
      <c r="F277" s="5">
        <f>+SUMIFS(FINANCIACION[$ CAPITAL],FINANCIACION[Fecha],"&lt;="&amp;FINANCIACION[[#This Row],[Fecha]],FINANCIACION[PRESTAMO],FINANCIACION[[#This Row],[PRESTAMO]])</f>
        <v>-78383579.760000005</v>
      </c>
      <c r="G277" s="53"/>
      <c r="H277" s="53"/>
      <c r="I277" s="5" t="b">
        <f>IF(FINANCIACION[[#This Row],[$ CAPITAL]]&gt;0,FINANCIACION[[#This Row],[$ CAPITAL]])</f>
        <v>0</v>
      </c>
      <c r="J277" s="33">
        <f>IF(FINANCIACION[[#This Row],[$ CAPITAL]]&gt;=0,FINANCIACION[[#This Row],[$ CAPITAL]]+FINANCIACION[[#This Row],[$ INTERESES]],0)</f>
        <v>0</v>
      </c>
    </row>
    <row r="278" spans="1:10" ht="24" hidden="1" customHeight="1" x14ac:dyDescent="0.3">
      <c r="A278" s="131">
        <v>44012</v>
      </c>
      <c r="B278" s="50" t="s">
        <v>535</v>
      </c>
      <c r="C278" s="5">
        <v>-18624840</v>
      </c>
      <c r="D278" s="5">
        <v>90144.06</v>
      </c>
      <c r="E278" s="5" t="str">
        <f>+IF(FINANCIACION[[#This Row],[$ CAPITAL]]&gt;=0,FINANCIACION[[#This Row],[$ CAPITAL]]+FINANCIACION[[#This Row],[$ INTERESES]],"")</f>
        <v/>
      </c>
      <c r="F278" s="5">
        <f>+SUMIFS(FINANCIACION[$ CAPITAL],FINANCIACION[Fecha],"&lt;="&amp;FINANCIACION[[#This Row],[Fecha]],FINANCIACION[PRESTAMO],FINANCIACION[[#This Row],[PRESTAMO]])</f>
        <v>-78383579.760000005</v>
      </c>
      <c r="G278" s="53"/>
      <c r="H278" s="53"/>
      <c r="I278" s="5" t="b">
        <f>IF(FINANCIACION[[#This Row],[$ CAPITAL]]&gt;0,FINANCIACION[[#This Row],[$ CAPITAL]])</f>
        <v>0</v>
      </c>
      <c r="J278" s="33">
        <f>IF(FINANCIACION[[#This Row],[$ CAPITAL]]&gt;=0,FINANCIACION[[#This Row],[$ CAPITAL]]+FINANCIACION[[#This Row],[$ INTERESES]],0)</f>
        <v>0</v>
      </c>
    </row>
    <row r="279" spans="1:10" ht="24" hidden="1" customHeight="1" x14ac:dyDescent="0.3">
      <c r="A279" s="131">
        <v>44012</v>
      </c>
      <c r="B279" s="50" t="s">
        <v>535</v>
      </c>
      <c r="C279" s="5">
        <v>1897297</v>
      </c>
      <c r="D279" s="5">
        <v>197413.45</v>
      </c>
      <c r="E279" s="5">
        <f>+IF(FINANCIACION[[#This Row],[$ CAPITAL]]&gt;=0,FINANCIACION[[#This Row],[$ CAPITAL]]+FINANCIACION[[#This Row],[$ INTERESES]],"")</f>
        <v>2094710.45</v>
      </c>
      <c r="F279" s="5">
        <f>+SUMIFS(FINANCIACION[$ CAPITAL],FINANCIACION[Fecha],"&lt;="&amp;FINANCIACION[[#This Row],[Fecha]],FINANCIACION[PRESTAMO],FINANCIACION[[#This Row],[PRESTAMO]])</f>
        <v>-78383579.760000005</v>
      </c>
      <c r="G279" s="53"/>
      <c r="H279" s="53"/>
      <c r="I279" s="5">
        <f>IF(FINANCIACION[[#This Row],[$ CAPITAL]]&gt;0,FINANCIACION[[#This Row],[$ CAPITAL]])</f>
        <v>1897297</v>
      </c>
      <c r="J279" s="33">
        <f>IF(FINANCIACION[[#This Row],[$ CAPITAL]]&gt;=0,FINANCIACION[[#This Row],[$ CAPITAL]]+FINANCIACION[[#This Row],[$ INTERESES]],0)</f>
        <v>2094710.45</v>
      </c>
    </row>
    <row r="280" spans="1:10" ht="24" hidden="1" customHeight="1" x14ac:dyDescent="0.3">
      <c r="A280" s="131">
        <v>44013</v>
      </c>
      <c r="B280" s="50" t="s">
        <v>536</v>
      </c>
      <c r="C280" s="5">
        <v>69000000</v>
      </c>
      <c r="D280" s="5">
        <v>840000</v>
      </c>
      <c r="E280" s="5">
        <f>+IF(FINANCIACION[[#This Row],[$ CAPITAL]]&gt;=0,FINANCIACION[[#This Row],[$ CAPITAL]]+FINANCIACION[[#This Row],[$ INTERESES]],"")</f>
        <v>69840000</v>
      </c>
      <c r="F280" s="5">
        <f>+SUMIFS(FINANCIACION[$ CAPITAL],FINANCIACION[Fecha],"&lt;="&amp;FINANCIACION[[#This Row],[Fecha]],FINANCIACION[PRESTAMO],FINANCIACION[[#This Row],[PRESTAMO]])</f>
        <v>-15000000</v>
      </c>
      <c r="G280" s="53"/>
      <c r="H280" s="53"/>
      <c r="I280" s="5">
        <f>IF(FINANCIACION[[#This Row],[$ CAPITAL]]&gt;0,FINANCIACION[[#This Row],[$ CAPITAL]])</f>
        <v>69000000</v>
      </c>
      <c r="J280" s="33">
        <f>IF(FINANCIACION[[#This Row],[$ CAPITAL]]&gt;=0,FINANCIACION[[#This Row],[$ CAPITAL]]+FINANCIACION[[#This Row],[$ INTERESES]],0)</f>
        <v>69840000</v>
      </c>
    </row>
    <row r="281" spans="1:10" ht="24" hidden="1" customHeight="1" x14ac:dyDescent="0.3">
      <c r="A281" s="131">
        <v>44013</v>
      </c>
      <c r="B281" s="50" t="s">
        <v>535</v>
      </c>
      <c r="C281" s="5">
        <v>805000</v>
      </c>
      <c r="D281" s="5"/>
      <c r="E281" s="5">
        <f>+IF(FINANCIACION[[#This Row],[$ CAPITAL]]&gt;=0,FINANCIACION[[#This Row],[$ CAPITAL]]+FINANCIACION[[#This Row],[$ INTERESES]],"")</f>
        <v>805000</v>
      </c>
      <c r="F281" s="5">
        <f>+SUMIFS(FINANCIACION[$ CAPITAL],FINANCIACION[Fecha],"&lt;="&amp;FINANCIACION[[#This Row],[Fecha]],FINANCIACION[PRESTAMO],FINANCIACION[[#This Row],[PRESTAMO]])</f>
        <v>-74400620.760000005</v>
      </c>
      <c r="G281" s="53"/>
      <c r="H281" s="53"/>
      <c r="I281" s="5">
        <f>IF(FINANCIACION[[#This Row],[$ CAPITAL]]&gt;0,FINANCIACION[[#This Row],[$ CAPITAL]])</f>
        <v>805000</v>
      </c>
      <c r="J281" s="33">
        <f>IF(FINANCIACION[[#This Row],[$ CAPITAL]]&gt;=0,FINANCIACION[[#This Row],[$ CAPITAL]]+FINANCIACION[[#This Row],[$ INTERESES]],0)</f>
        <v>805000</v>
      </c>
    </row>
    <row r="282" spans="1:10" ht="24" hidden="1" customHeight="1" x14ac:dyDescent="0.3">
      <c r="A282" s="131">
        <v>44013</v>
      </c>
      <c r="B282" s="50" t="s">
        <v>535</v>
      </c>
      <c r="C282" s="5">
        <v>3177959</v>
      </c>
      <c r="D282" s="5"/>
      <c r="E282" s="5">
        <f>+IF(FINANCIACION[[#This Row],[$ CAPITAL]]&gt;=0,FINANCIACION[[#This Row],[$ CAPITAL]]+FINANCIACION[[#This Row],[$ INTERESES]],"")</f>
        <v>3177959</v>
      </c>
      <c r="F282" s="5">
        <f>+SUMIFS(FINANCIACION[$ CAPITAL],FINANCIACION[Fecha],"&lt;="&amp;FINANCIACION[[#This Row],[Fecha]],FINANCIACION[PRESTAMO],FINANCIACION[[#This Row],[PRESTAMO]])</f>
        <v>-74400620.760000005</v>
      </c>
      <c r="G282" s="53"/>
      <c r="H282" s="53"/>
      <c r="I282" s="5">
        <f>IF(FINANCIACION[[#This Row],[$ CAPITAL]]&gt;0,FINANCIACION[[#This Row],[$ CAPITAL]])</f>
        <v>3177959</v>
      </c>
      <c r="J282" s="33">
        <f>IF(FINANCIACION[[#This Row],[$ CAPITAL]]&gt;=0,FINANCIACION[[#This Row],[$ CAPITAL]]+FINANCIACION[[#This Row],[$ INTERESES]],0)</f>
        <v>3177959</v>
      </c>
    </row>
    <row r="283" spans="1:10" ht="24" hidden="1" customHeight="1" x14ac:dyDescent="0.3">
      <c r="A283" s="131">
        <v>44019</v>
      </c>
      <c r="B283" s="50" t="s">
        <v>150</v>
      </c>
      <c r="C283" s="5">
        <v>6250000</v>
      </c>
      <c r="D283" s="5">
        <v>1097098</v>
      </c>
      <c r="E283" s="5">
        <f>+IF(FINANCIACION[[#This Row],[$ CAPITAL]]&gt;=0,FINANCIACION[[#This Row],[$ CAPITAL]]+FINANCIACION[[#This Row],[$ INTERESES]],"")</f>
        <v>7347098</v>
      </c>
      <c r="F283" s="5">
        <f>+SUMIFS(FINANCIACION[$ CAPITAL],FINANCIACION[Fecha],"&lt;="&amp;FINANCIACION[[#This Row],[Fecha]],FINANCIACION[PRESTAMO],FINANCIACION[[#This Row],[PRESTAMO]])</f>
        <v>-125000000</v>
      </c>
      <c r="G283" s="53"/>
      <c r="H283" s="53"/>
      <c r="I283" s="5">
        <f>IF(FINANCIACION[[#This Row],[$ CAPITAL]]&gt;0,FINANCIACION[[#This Row],[$ CAPITAL]])</f>
        <v>6250000</v>
      </c>
      <c r="J283" s="33">
        <f>IF(FINANCIACION[[#This Row],[$ CAPITAL]]&gt;=0,FINANCIACION[[#This Row],[$ CAPITAL]]+FINANCIACION[[#This Row],[$ INTERESES]],0)</f>
        <v>7347098</v>
      </c>
    </row>
    <row r="284" spans="1:10" ht="24" hidden="1" customHeight="1" x14ac:dyDescent="0.3">
      <c r="A284" s="131">
        <v>44019</v>
      </c>
      <c r="B284" s="50" t="s">
        <v>535</v>
      </c>
      <c r="C284" s="5">
        <v>5300000</v>
      </c>
      <c r="D284" s="5"/>
      <c r="E284" s="5">
        <f>+IF(FINANCIACION[[#This Row],[$ CAPITAL]]&gt;=0,FINANCIACION[[#This Row],[$ CAPITAL]]+FINANCIACION[[#This Row],[$ INTERESES]],"")</f>
        <v>5300000</v>
      </c>
      <c r="F284" s="5">
        <f>+SUMIFS(FINANCIACION[$ CAPITAL],FINANCIACION[Fecha],"&lt;="&amp;FINANCIACION[[#This Row],[Fecha]],FINANCIACION[PRESTAMO],FINANCIACION[[#This Row],[PRESTAMO]])</f>
        <v>-69082453.760000005</v>
      </c>
      <c r="G284" s="7"/>
      <c r="H284" s="53"/>
      <c r="I284" s="5">
        <f>IF(FINANCIACION[[#This Row],[$ CAPITAL]]&gt;0,FINANCIACION[[#This Row],[$ CAPITAL]])</f>
        <v>5300000</v>
      </c>
      <c r="J284" s="33">
        <f>IF(FINANCIACION[[#This Row],[$ CAPITAL]]&gt;=0,FINANCIACION[[#This Row],[$ CAPITAL]]+FINANCIACION[[#This Row],[$ INTERESES]],0)</f>
        <v>5300000</v>
      </c>
    </row>
    <row r="285" spans="1:10" ht="24" hidden="1" customHeight="1" x14ac:dyDescent="0.3">
      <c r="A285" s="131">
        <v>44019</v>
      </c>
      <c r="B285" s="50" t="s">
        <v>535</v>
      </c>
      <c r="C285" s="5">
        <v>18167</v>
      </c>
      <c r="D285" s="5"/>
      <c r="E285" s="5">
        <f>+IF(FINANCIACION[[#This Row],[$ CAPITAL]]&gt;=0,FINANCIACION[[#This Row],[$ CAPITAL]]+FINANCIACION[[#This Row],[$ INTERESES]],"")</f>
        <v>18167</v>
      </c>
      <c r="F285" s="5">
        <f>+SUMIFS(FINANCIACION[$ CAPITAL],FINANCIACION[Fecha],"&lt;="&amp;FINANCIACION[[#This Row],[Fecha]],FINANCIACION[PRESTAMO],FINANCIACION[[#This Row],[PRESTAMO]])</f>
        <v>-69082453.760000005</v>
      </c>
      <c r="G285" s="7"/>
      <c r="H285" s="53"/>
      <c r="I285" s="5">
        <f>IF(FINANCIACION[[#This Row],[$ CAPITAL]]&gt;0,FINANCIACION[[#This Row],[$ CAPITAL]])</f>
        <v>18167</v>
      </c>
      <c r="J285" s="33">
        <f>IF(FINANCIACION[[#This Row],[$ CAPITAL]]&gt;=0,FINANCIACION[[#This Row],[$ CAPITAL]]+FINANCIACION[[#This Row],[$ INTERESES]],0)</f>
        <v>18167</v>
      </c>
    </row>
    <row r="286" spans="1:10" ht="24" hidden="1" customHeight="1" x14ac:dyDescent="0.3">
      <c r="A286" s="131">
        <v>44021</v>
      </c>
      <c r="B286" s="50" t="s">
        <v>535</v>
      </c>
      <c r="C286" s="5">
        <v>1869398</v>
      </c>
      <c r="D286" s="5"/>
      <c r="E286" s="5">
        <f>+IF(FINANCIACION[[#This Row],[$ CAPITAL]]&gt;=0,FINANCIACION[[#This Row],[$ CAPITAL]]+FINANCIACION[[#This Row],[$ INTERESES]],"")</f>
        <v>1869398</v>
      </c>
      <c r="F286" s="5">
        <f>+SUMIFS(FINANCIACION[$ CAPITAL],FINANCIACION[Fecha],"&lt;="&amp;FINANCIACION[[#This Row],[Fecha]],FINANCIACION[PRESTAMO],FINANCIACION[[#This Row],[PRESTAMO]])</f>
        <v>-64563502.760000005</v>
      </c>
      <c r="G286" s="7"/>
      <c r="H286" s="53"/>
      <c r="I286" s="5">
        <f>IF(FINANCIACION[[#This Row],[$ CAPITAL]]&gt;0,FINANCIACION[[#This Row],[$ CAPITAL]])</f>
        <v>1869398</v>
      </c>
      <c r="J286" s="33">
        <f>IF(FINANCIACION[[#This Row],[$ CAPITAL]]&gt;=0,FINANCIACION[[#This Row],[$ CAPITAL]]+FINANCIACION[[#This Row],[$ INTERESES]],0)</f>
        <v>1869398</v>
      </c>
    </row>
    <row r="287" spans="1:10" ht="24" hidden="1" customHeight="1" x14ac:dyDescent="0.3">
      <c r="A287" s="131">
        <v>44021</v>
      </c>
      <c r="B287" s="50" t="s">
        <v>535</v>
      </c>
      <c r="C287" s="5">
        <v>2649553</v>
      </c>
      <c r="D287" s="5"/>
      <c r="E287" s="5">
        <f>+IF(FINANCIACION[[#This Row],[$ CAPITAL]]&gt;=0,FINANCIACION[[#This Row],[$ CAPITAL]]+FINANCIACION[[#This Row],[$ INTERESES]],"")</f>
        <v>2649553</v>
      </c>
      <c r="F287" s="5">
        <f>+SUMIFS(FINANCIACION[$ CAPITAL],FINANCIACION[Fecha],"&lt;="&amp;FINANCIACION[[#This Row],[Fecha]],FINANCIACION[PRESTAMO],FINANCIACION[[#This Row],[PRESTAMO]])</f>
        <v>-64563502.760000005</v>
      </c>
      <c r="G287" s="7"/>
      <c r="H287" s="53"/>
      <c r="I287" s="5">
        <f>IF(FINANCIACION[[#This Row],[$ CAPITAL]]&gt;0,FINANCIACION[[#This Row],[$ CAPITAL]])</f>
        <v>2649553</v>
      </c>
      <c r="J287" s="33">
        <f>IF(FINANCIACION[[#This Row],[$ CAPITAL]]&gt;=0,FINANCIACION[[#This Row],[$ CAPITAL]]+FINANCIACION[[#This Row],[$ INTERESES]],0)</f>
        <v>2649553</v>
      </c>
    </row>
    <row r="288" spans="1:10" ht="24" hidden="1" customHeight="1" x14ac:dyDescent="0.3">
      <c r="A288" s="131">
        <v>44022</v>
      </c>
      <c r="B288" s="50" t="s">
        <v>535</v>
      </c>
      <c r="C288" s="5">
        <v>2034715</v>
      </c>
      <c r="D288" s="5"/>
      <c r="E288" s="5">
        <f>+IF(FINANCIACION[[#This Row],[$ CAPITAL]]&gt;=0,FINANCIACION[[#This Row],[$ CAPITAL]]+FINANCIACION[[#This Row],[$ INTERESES]],"")</f>
        <v>2034715</v>
      </c>
      <c r="F288" s="5">
        <f>+SUMIFS(FINANCIACION[$ CAPITAL],FINANCIACION[Fecha],"&lt;="&amp;FINANCIACION[[#This Row],[Fecha]],FINANCIACION[PRESTAMO],FINANCIACION[[#This Row],[PRESTAMO]])</f>
        <v>-62528787.760000005</v>
      </c>
      <c r="G288" s="7"/>
      <c r="H288" s="53"/>
      <c r="I288" s="5">
        <f>IF(FINANCIACION[[#This Row],[$ CAPITAL]]&gt;0,FINANCIACION[[#This Row],[$ CAPITAL]])</f>
        <v>2034715</v>
      </c>
      <c r="J288" s="33">
        <f>IF(FINANCIACION[[#This Row],[$ CAPITAL]]&gt;=0,FINANCIACION[[#This Row],[$ CAPITAL]]+FINANCIACION[[#This Row],[$ INTERESES]],0)</f>
        <v>2034715</v>
      </c>
    </row>
    <row r="289" spans="1:10" ht="24" hidden="1" customHeight="1" x14ac:dyDescent="0.3">
      <c r="A289" s="131">
        <v>44026</v>
      </c>
      <c r="B289" s="50" t="s">
        <v>535</v>
      </c>
      <c r="C289" s="5">
        <v>1388000</v>
      </c>
      <c r="D289" s="5"/>
      <c r="E289" s="5">
        <f>+IF(FINANCIACION[[#This Row],[$ CAPITAL]]&gt;=0,FINANCIACION[[#This Row],[$ CAPITAL]]+FINANCIACION[[#This Row],[$ INTERESES]],"")</f>
        <v>1388000</v>
      </c>
      <c r="F289" s="5">
        <f>+SUMIFS(FINANCIACION[$ CAPITAL],FINANCIACION[Fecha],"&lt;="&amp;FINANCIACION[[#This Row],[Fecha]],FINANCIACION[PRESTAMO],FINANCIACION[[#This Row],[PRESTAMO]])</f>
        <v>-61140787.760000005</v>
      </c>
      <c r="G289" s="7"/>
      <c r="H289" s="53"/>
      <c r="I289" s="5">
        <f>IF(FINANCIACION[[#This Row],[$ CAPITAL]]&gt;0,FINANCIACION[[#This Row],[$ CAPITAL]])</f>
        <v>1388000</v>
      </c>
      <c r="J289" s="33">
        <f>IF(FINANCIACION[[#This Row],[$ CAPITAL]]&gt;=0,FINANCIACION[[#This Row],[$ CAPITAL]]+FINANCIACION[[#This Row],[$ INTERESES]],0)</f>
        <v>1388000</v>
      </c>
    </row>
    <row r="290" spans="1:10" ht="24" hidden="1" customHeight="1" x14ac:dyDescent="0.3">
      <c r="A290" s="131">
        <v>44027</v>
      </c>
      <c r="B290" s="50" t="s">
        <v>535</v>
      </c>
      <c r="C290" s="5">
        <v>1600816.7999999998</v>
      </c>
      <c r="D290" s="5"/>
      <c r="E290" s="5">
        <f>+IF(FINANCIACION[[#This Row],[$ CAPITAL]]&gt;=0,FINANCIACION[[#This Row],[$ CAPITAL]]+FINANCIACION[[#This Row],[$ INTERESES]],"")</f>
        <v>1600816.7999999998</v>
      </c>
      <c r="F290" s="5">
        <f>+SUMIFS(FINANCIACION[$ CAPITAL],FINANCIACION[Fecha],"&lt;="&amp;FINANCIACION[[#This Row],[Fecha]],FINANCIACION[PRESTAMO],FINANCIACION[[#This Row],[PRESTAMO]])</f>
        <v>-60710879.960000008</v>
      </c>
      <c r="G290" s="7"/>
      <c r="H290" s="53"/>
      <c r="I290" s="5">
        <f>IF(FINANCIACION[[#This Row],[$ CAPITAL]]&gt;0,FINANCIACION[[#This Row],[$ CAPITAL]])</f>
        <v>1600816.7999999998</v>
      </c>
      <c r="J290" s="33">
        <f>IF(FINANCIACION[[#This Row],[$ CAPITAL]]&gt;=0,FINANCIACION[[#This Row],[$ CAPITAL]]+FINANCIACION[[#This Row],[$ INTERESES]],0)</f>
        <v>1600816.7999999998</v>
      </c>
    </row>
    <row r="291" spans="1:10" ht="24" hidden="1" customHeight="1" x14ac:dyDescent="0.3">
      <c r="A291" s="131">
        <v>44027</v>
      </c>
      <c r="B291" s="50" t="s">
        <v>535</v>
      </c>
      <c r="C291" s="5">
        <v>-1170909</v>
      </c>
      <c r="D291" s="5"/>
      <c r="E291" s="5" t="str">
        <f>+IF(FINANCIACION[[#This Row],[$ CAPITAL]]&gt;=0,FINANCIACION[[#This Row],[$ CAPITAL]]+FINANCIACION[[#This Row],[$ INTERESES]],"")</f>
        <v/>
      </c>
      <c r="F291" s="5">
        <f>+SUMIFS(FINANCIACION[$ CAPITAL],FINANCIACION[Fecha],"&lt;="&amp;FINANCIACION[[#This Row],[Fecha]],FINANCIACION[PRESTAMO],FINANCIACION[[#This Row],[PRESTAMO]])</f>
        <v>-60710879.960000008</v>
      </c>
      <c r="G291" s="7"/>
      <c r="H291" s="53"/>
      <c r="I291" s="5" t="b">
        <f>IF(FINANCIACION[[#This Row],[$ CAPITAL]]&gt;0,FINANCIACION[[#This Row],[$ CAPITAL]])</f>
        <v>0</v>
      </c>
      <c r="J291" s="33">
        <f>IF(FINANCIACION[[#This Row],[$ CAPITAL]]&gt;=0,FINANCIACION[[#This Row],[$ CAPITAL]]+FINANCIACION[[#This Row],[$ INTERESES]],0)</f>
        <v>0</v>
      </c>
    </row>
    <row r="292" spans="1:10" ht="24" hidden="1" customHeight="1" x14ac:dyDescent="0.3">
      <c r="A292" s="131">
        <v>44029</v>
      </c>
      <c r="B292" s="50" t="s">
        <v>535</v>
      </c>
      <c r="C292" s="5">
        <v>4716218</v>
      </c>
      <c r="D292" s="5"/>
      <c r="E292" s="5">
        <f>+IF(FINANCIACION[[#This Row],[$ CAPITAL]]&gt;=0,FINANCIACION[[#This Row],[$ CAPITAL]]+FINANCIACION[[#This Row],[$ INTERESES]],"")</f>
        <v>4716218</v>
      </c>
      <c r="F292" s="5">
        <f>+SUMIFS(FINANCIACION[$ CAPITAL],FINANCIACION[Fecha],"&lt;="&amp;FINANCIACION[[#This Row],[Fecha]],FINANCIACION[PRESTAMO],FINANCIACION[[#This Row],[PRESTAMO]])</f>
        <v>-55994661.960000008</v>
      </c>
      <c r="G292" s="7"/>
      <c r="H292" s="53"/>
      <c r="I292" s="5">
        <f>IF(FINANCIACION[[#This Row],[$ CAPITAL]]&gt;0,FINANCIACION[[#This Row],[$ CAPITAL]])</f>
        <v>4716218</v>
      </c>
      <c r="J292" s="33">
        <f>IF(FINANCIACION[[#This Row],[$ CAPITAL]]&gt;=0,FINANCIACION[[#This Row],[$ CAPITAL]]+FINANCIACION[[#This Row],[$ INTERESES]],0)</f>
        <v>4716218</v>
      </c>
    </row>
    <row r="293" spans="1:10" ht="24" hidden="1" customHeight="1" x14ac:dyDescent="0.3">
      <c r="A293" s="131">
        <v>44033</v>
      </c>
      <c r="B293" s="50" t="s">
        <v>535</v>
      </c>
      <c r="C293" s="5">
        <v>4382316</v>
      </c>
      <c r="D293" s="5"/>
      <c r="E293" s="5">
        <f>+IF(FINANCIACION[[#This Row],[$ CAPITAL]]&gt;=0,FINANCIACION[[#This Row],[$ CAPITAL]]+FINANCIACION[[#This Row],[$ INTERESES]],"")</f>
        <v>4382316</v>
      </c>
      <c r="F293" s="5">
        <f>+SUMIFS(FINANCIACION[$ CAPITAL],FINANCIACION[Fecha],"&lt;="&amp;FINANCIACION[[#This Row],[Fecha]],FINANCIACION[PRESTAMO],FINANCIACION[[#This Row],[PRESTAMO]])</f>
        <v>-51612345.960000008</v>
      </c>
      <c r="G293" s="7"/>
      <c r="H293" s="53"/>
      <c r="I293" s="5">
        <f>IF(FINANCIACION[[#This Row],[$ CAPITAL]]&gt;0,FINANCIACION[[#This Row],[$ CAPITAL]])</f>
        <v>4382316</v>
      </c>
      <c r="J293" s="33">
        <f>IF(FINANCIACION[[#This Row],[$ CAPITAL]]&gt;=0,FINANCIACION[[#This Row],[$ CAPITAL]]+FINANCIACION[[#This Row],[$ INTERESES]],0)</f>
        <v>4382316</v>
      </c>
    </row>
    <row r="294" spans="1:10" ht="24" hidden="1" customHeight="1" x14ac:dyDescent="0.3">
      <c r="A294" s="131">
        <v>44034</v>
      </c>
      <c r="B294" s="50" t="s">
        <v>535</v>
      </c>
      <c r="C294" s="5">
        <v>3991020</v>
      </c>
      <c r="D294" s="5"/>
      <c r="E294" s="5">
        <f>+IF(FINANCIACION[[#This Row],[$ CAPITAL]]&gt;=0,FINANCIACION[[#This Row],[$ CAPITAL]]+FINANCIACION[[#This Row],[$ INTERESES]],"")</f>
        <v>3991020</v>
      </c>
      <c r="F294" s="5">
        <f>+SUMIFS(FINANCIACION[$ CAPITAL],FINANCIACION[Fecha],"&lt;="&amp;FINANCIACION[[#This Row],[Fecha]],FINANCIACION[PRESTAMO],FINANCIACION[[#This Row],[PRESTAMO]])</f>
        <v>-47621325.960000008</v>
      </c>
      <c r="G294" s="7"/>
      <c r="H294" s="53"/>
      <c r="I294" s="5">
        <f>IF(FINANCIACION[[#This Row],[$ CAPITAL]]&gt;0,FINANCIACION[[#This Row],[$ CAPITAL]])</f>
        <v>3991020</v>
      </c>
      <c r="J294" s="33">
        <f>IF(FINANCIACION[[#This Row],[$ CAPITAL]]&gt;=0,FINANCIACION[[#This Row],[$ CAPITAL]]+FINANCIACION[[#This Row],[$ INTERESES]],0)</f>
        <v>3991020</v>
      </c>
    </row>
    <row r="295" spans="1:10" ht="24" hidden="1" customHeight="1" x14ac:dyDescent="0.3">
      <c r="A295" s="131">
        <v>44037</v>
      </c>
      <c r="B295" s="50" t="s">
        <v>535</v>
      </c>
      <c r="C295" s="5">
        <v>5856240</v>
      </c>
      <c r="D295" s="5"/>
      <c r="E295" s="5">
        <f>+IF(FINANCIACION[[#This Row],[$ CAPITAL]]&gt;=0,FINANCIACION[[#This Row],[$ CAPITAL]]+FINANCIACION[[#This Row],[$ INTERESES]],"")</f>
        <v>5856240</v>
      </c>
      <c r="F295" s="5">
        <f>+SUMIFS(FINANCIACION[$ CAPITAL],FINANCIACION[Fecha],"&lt;="&amp;FINANCIACION[[#This Row],[Fecha]],FINANCIACION[PRESTAMO],FINANCIACION[[#This Row],[PRESTAMO]])</f>
        <v>-41765085.960000008</v>
      </c>
      <c r="G295" s="7"/>
      <c r="H295" s="53"/>
      <c r="I295" s="5">
        <f>IF(FINANCIACION[[#This Row],[$ CAPITAL]]&gt;0,FINANCIACION[[#This Row],[$ CAPITAL]])</f>
        <v>5856240</v>
      </c>
      <c r="J295" s="33">
        <f>IF(FINANCIACION[[#This Row],[$ CAPITAL]]&gt;=0,FINANCIACION[[#This Row],[$ CAPITAL]]+FINANCIACION[[#This Row],[$ INTERESES]],0)</f>
        <v>5856240</v>
      </c>
    </row>
    <row r="296" spans="1:10" ht="24" hidden="1" customHeight="1" x14ac:dyDescent="0.3">
      <c r="A296" s="131">
        <v>44041</v>
      </c>
      <c r="B296" s="50" t="s">
        <v>533</v>
      </c>
      <c r="C296" s="5">
        <v>360000</v>
      </c>
      <c r="D296" s="5">
        <v>740000</v>
      </c>
      <c r="E296" s="5">
        <f>+IF(FINANCIACION[[#This Row],[$ CAPITAL]]&gt;=0,FINANCIACION[[#This Row],[$ CAPITAL]]+FINANCIACION[[#This Row],[$ INTERESES]],"")</f>
        <v>1100000</v>
      </c>
      <c r="F296" s="5">
        <f>+SUMIFS(FINANCIACION[$ CAPITAL],FINANCIACION[Fecha],"&lt;="&amp;FINANCIACION[[#This Row],[Fecha]],FINANCIACION[PRESTAMO],FINANCIACION[[#This Row],[PRESTAMO]])</f>
        <v>-66579060</v>
      </c>
      <c r="G296" s="7"/>
      <c r="H296" s="53"/>
      <c r="I296" s="5">
        <f>IF(FINANCIACION[[#This Row],[$ CAPITAL]]&gt;0,FINANCIACION[[#This Row],[$ CAPITAL]])</f>
        <v>360000</v>
      </c>
      <c r="J296" s="33">
        <f>IF(FINANCIACION[[#This Row],[$ CAPITAL]]&gt;=0,FINANCIACION[[#This Row],[$ CAPITAL]]+FINANCIACION[[#This Row],[$ INTERESES]],0)</f>
        <v>1100000</v>
      </c>
    </row>
    <row r="297" spans="1:10" ht="24" hidden="1" customHeight="1" x14ac:dyDescent="0.3">
      <c r="A297" s="131">
        <v>44043</v>
      </c>
      <c r="B297" s="50" t="s">
        <v>536</v>
      </c>
      <c r="C297" s="5"/>
      <c r="D297" s="5">
        <v>150000</v>
      </c>
      <c r="E297" s="5">
        <f>+IF(FINANCIACION[[#This Row],[$ CAPITAL]]&gt;=0,FINANCIACION[[#This Row],[$ CAPITAL]]+FINANCIACION[[#This Row],[$ INTERESES]],"")</f>
        <v>150000</v>
      </c>
      <c r="F297" s="5">
        <f>+SUMIFS(FINANCIACION[$ CAPITAL],FINANCIACION[Fecha],"&lt;="&amp;FINANCIACION[[#This Row],[Fecha]],FINANCIACION[PRESTAMO],FINANCIACION[[#This Row],[PRESTAMO]])</f>
        <v>-15000000</v>
      </c>
      <c r="G297" s="7"/>
      <c r="H297" s="53"/>
      <c r="I297" s="5" t="b">
        <f>IF(FINANCIACION[[#This Row],[$ CAPITAL]]&gt;0,FINANCIACION[[#This Row],[$ CAPITAL]])</f>
        <v>0</v>
      </c>
      <c r="J297" s="33">
        <f>IF(FINANCIACION[[#This Row],[$ CAPITAL]]&gt;=0,FINANCIACION[[#This Row],[$ CAPITAL]]+FINANCIACION[[#This Row],[$ INTERESES]],0)</f>
        <v>150000</v>
      </c>
    </row>
    <row r="298" spans="1:10" ht="24" hidden="1" customHeight="1" x14ac:dyDescent="0.3">
      <c r="A298" s="131">
        <v>44043</v>
      </c>
      <c r="B298" s="50" t="s">
        <v>538</v>
      </c>
      <c r="C298" s="5">
        <v>-543974.96999999904</v>
      </c>
      <c r="D298" s="5"/>
      <c r="E298" s="5" t="str">
        <f>+IF(FINANCIACION[[#This Row],[$ CAPITAL]]&gt;=0,FINANCIACION[[#This Row],[$ CAPITAL]]+FINANCIACION[[#This Row],[$ INTERESES]],"")</f>
        <v/>
      </c>
      <c r="F298" s="5">
        <f>+SUMIFS(FINANCIACION[$ CAPITAL],FINANCIACION[Fecha],"&lt;="&amp;FINANCIACION[[#This Row],[Fecha]],FINANCIACION[PRESTAMO],FINANCIACION[[#This Row],[PRESTAMO]])</f>
        <v>-65935612.93</v>
      </c>
      <c r="G298" s="7"/>
      <c r="H298" s="53"/>
      <c r="I298" s="5" t="b">
        <f>IF(FINANCIACION[[#This Row],[$ CAPITAL]]&gt;0,FINANCIACION[[#This Row],[$ CAPITAL]])</f>
        <v>0</v>
      </c>
      <c r="J298" s="33">
        <f>IF(FINANCIACION[[#This Row],[$ CAPITAL]]&gt;=0,FINANCIACION[[#This Row],[$ CAPITAL]]+FINANCIACION[[#This Row],[$ INTERESES]],0)</f>
        <v>0</v>
      </c>
    </row>
    <row r="299" spans="1:10" ht="24" hidden="1" customHeight="1" x14ac:dyDescent="0.3">
      <c r="A299" s="131">
        <v>44043</v>
      </c>
      <c r="B299" s="50" t="s">
        <v>539</v>
      </c>
      <c r="C299" s="5">
        <v>-865832.45000000298</v>
      </c>
      <c r="D299" s="5"/>
      <c r="E299" s="5" t="str">
        <f>+IF(FINANCIACION[[#This Row],[$ CAPITAL]]&gt;=0,FINANCIACION[[#This Row],[$ CAPITAL]]+FINANCIACION[[#This Row],[$ INTERESES]],"")</f>
        <v/>
      </c>
      <c r="F299" s="5">
        <f>+SUMIFS(FINANCIACION[$ CAPITAL],FINANCIACION[Fecha],"&lt;="&amp;FINANCIACION[[#This Row],[Fecha]],FINANCIACION[PRESTAMO],FINANCIACION[[#This Row],[PRESTAMO]])</f>
        <v>-96034923.430000007</v>
      </c>
      <c r="G299" s="7"/>
      <c r="H299" s="53"/>
      <c r="I299" s="5" t="b">
        <f>IF(FINANCIACION[[#This Row],[$ CAPITAL]]&gt;0,FINANCIACION[[#This Row],[$ CAPITAL]])</f>
        <v>0</v>
      </c>
      <c r="J299" s="33">
        <f>IF(FINANCIACION[[#This Row],[$ CAPITAL]]&gt;=0,FINANCIACION[[#This Row],[$ CAPITAL]]+FINANCIACION[[#This Row],[$ INTERESES]],0)</f>
        <v>0</v>
      </c>
    </row>
    <row r="300" spans="1:10" ht="24" hidden="1" customHeight="1" x14ac:dyDescent="0.3">
      <c r="A300" s="131">
        <v>44043</v>
      </c>
      <c r="B300" s="50" t="s">
        <v>534</v>
      </c>
      <c r="C300" s="5">
        <v>-183255600</v>
      </c>
      <c r="D300" s="5"/>
      <c r="E300" s="5" t="str">
        <f>+IF(FINANCIACION[[#This Row],[$ CAPITAL]]&gt;=0,FINANCIACION[[#This Row],[$ CAPITAL]]+FINANCIACION[[#This Row],[$ INTERESES]],"")</f>
        <v/>
      </c>
      <c r="F300" s="5">
        <f>+SUMIFS(FINANCIACION[$ CAPITAL],FINANCIACION[Fecha],"&lt;="&amp;FINANCIACION[[#This Row],[Fecha]],FINANCIACION[PRESTAMO],FINANCIACION[[#This Row],[PRESTAMO]])</f>
        <v>-380443064</v>
      </c>
      <c r="G300" s="7"/>
      <c r="H300" s="53"/>
      <c r="I300" s="5" t="b">
        <f>IF(FINANCIACION[[#This Row],[$ CAPITAL]]&gt;0,FINANCIACION[[#This Row],[$ CAPITAL]])</f>
        <v>0</v>
      </c>
      <c r="J300" s="33">
        <f>IF(FINANCIACION[[#This Row],[$ CAPITAL]]&gt;=0,FINANCIACION[[#This Row],[$ CAPITAL]]+FINANCIACION[[#This Row],[$ INTERESES]],0)</f>
        <v>0</v>
      </c>
    </row>
    <row r="301" spans="1:10" ht="24" hidden="1" customHeight="1" x14ac:dyDescent="0.3">
      <c r="A301" s="131">
        <v>44043</v>
      </c>
      <c r="B301" s="50" t="s">
        <v>534</v>
      </c>
      <c r="C301" s="5">
        <v>187464467</v>
      </c>
      <c r="D301" s="5"/>
      <c r="E301" s="5">
        <f>+IF(FINANCIACION[[#This Row],[$ CAPITAL]]&gt;=0,FINANCIACION[[#This Row],[$ CAPITAL]]+FINANCIACION[[#This Row],[$ INTERESES]],"")</f>
        <v>187464467</v>
      </c>
      <c r="F301" s="5">
        <f>+SUMIFS(FINANCIACION[$ CAPITAL],FINANCIACION[Fecha],"&lt;="&amp;FINANCIACION[[#This Row],[Fecha]],FINANCIACION[PRESTAMO],FINANCIACION[[#This Row],[PRESTAMO]])</f>
        <v>-380443064</v>
      </c>
      <c r="G301" s="7"/>
      <c r="H301" s="53"/>
      <c r="I301" s="5">
        <f>IF(FINANCIACION[[#This Row],[$ CAPITAL]]&gt;0,FINANCIACION[[#This Row],[$ CAPITAL]])</f>
        <v>187464467</v>
      </c>
      <c r="J301" s="33">
        <f>IF(FINANCIACION[[#This Row],[$ CAPITAL]]&gt;=0,FINANCIACION[[#This Row],[$ CAPITAL]]+FINANCIACION[[#This Row],[$ INTERESES]],0)</f>
        <v>187464467</v>
      </c>
    </row>
    <row r="302" spans="1:10" ht="24" hidden="1" customHeight="1" x14ac:dyDescent="0.3">
      <c r="A302" s="131">
        <v>44043</v>
      </c>
      <c r="B302" s="50" t="s">
        <v>535</v>
      </c>
      <c r="C302" s="5">
        <v>-272689.21000000101</v>
      </c>
      <c r="D302" s="5"/>
      <c r="E302" s="5" t="str">
        <f>+IF(FINANCIACION[[#This Row],[$ CAPITAL]]&gt;=0,FINANCIACION[[#This Row],[$ CAPITAL]]+FINANCIACION[[#This Row],[$ INTERESES]],"")</f>
        <v/>
      </c>
      <c r="F302" s="5">
        <f>+SUMIFS(FINANCIACION[$ CAPITAL],FINANCIACION[Fecha],"&lt;="&amp;FINANCIACION[[#This Row],[Fecha]],FINANCIACION[PRESTAMO],FINANCIACION[[#This Row],[PRESTAMO]])</f>
        <v>-91544696.790000021</v>
      </c>
      <c r="G302" s="7"/>
      <c r="H302" s="53"/>
      <c r="I302" s="5" t="b">
        <f>IF(FINANCIACION[[#This Row],[$ CAPITAL]]&gt;0,FINANCIACION[[#This Row],[$ CAPITAL]])</f>
        <v>0</v>
      </c>
      <c r="J302" s="33">
        <f>IF(FINANCIACION[[#This Row],[$ CAPITAL]]&gt;=0,FINANCIACION[[#This Row],[$ CAPITAL]]+FINANCIACION[[#This Row],[$ INTERESES]],0)</f>
        <v>0</v>
      </c>
    </row>
    <row r="303" spans="1:10" ht="24" hidden="1" customHeight="1" x14ac:dyDescent="0.3">
      <c r="A303" s="131">
        <v>44043</v>
      </c>
      <c r="B303" s="50" t="s">
        <v>535</v>
      </c>
      <c r="C303" s="5">
        <v>-330830.88000000297</v>
      </c>
      <c r="D303" s="5"/>
      <c r="E303" s="5" t="str">
        <f>+IF(FINANCIACION[[#This Row],[$ CAPITAL]]&gt;=0,FINANCIACION[[#This Row],[$ CAPITAL]]+FINANCIACION[[#This Row],[$ INTERESES]],"")</f>
        <v/>
      </c>
      <c r="F303" s="5">
        <f>+SUMIFS(FINANCIACION[$ CAPITAL],FINANCIACION[Fecha],"&lt;="&amp;FINANCIACION[[#This Row],[Fecha]],FINANCIACION[PRESTAMO],FINANCIACION[[#This Row],[PRESTAMO]])</f>
        <v>-91544696.790000021</v>
      </c>
      <c r="G303" s="7"/>
      <c r="H303" s="53"/>
      <c r="I303" s="5" t="b">
        <f>IF(FINANCIACION[[#This Row],[$ CAPITAL]]&gt;0,FINANCIACION[[#This Row],[$ CAPITAL]])</f>
        <v>0</v>
      </c>
      <c r="J303" s="33">
        <f>IF(FINANCIACION[[#This Row],[$ CAPITAL]]&gt;=0,FINANCIACION[[#This Row],[$ CAPITAL]]+FINANCIACION[[#This Row],[$ INTERESES]],0)</f>
        <v>0</v>
      </c>
    </row>
    <row r="304" spans="1:10" ht="24" hidden="1" customHeight="1" x14ac:dyDescent="0.3">
      <c r="A304" s="131">
        <v>44043</v>
      </c>
      <c r="B304" s="50" t="s">
        <v>535</v>
      </c>
      <c r="C304" s="5">
        <v>734083.32</v>
      </c>
      <c r="D304" s="5"/>
      <c r="E304" s="5">
        <f>+IF(FINANCIACION[[#This Row],[$ CAPITAL]]&gt;=0,FINANCIACION[[#This Row],[$ CAPITAL]]+FINANCIACION[[#This Row],[$ INTERESES]],"")</f>
        <v>734083.32</v>
      </c>
      <c r="F304" s="5">
        <f>+SUMIFS(FINANCIACION[$ CAPITAL],FINANCIACION[Fecha],"&lt;="&amp;FINANCIACION[[#This Row],[Fecha]],FINANCIACION[PRESTAMO],FINANCIACION[[#This Row],[PRESTAMO]])</f>
        <v>-91544696.790000021</v>
      </c>
      <c r="G304" s="7"/>
      <c r="H304" s="53"/>
      <c r="I304" s="5">
        <f>IF(FINANCIACION[[#This Row],[$ CAPITAL]]&gt;0,FINANCIACION[[#This Row],[$ CAPITAL]])</f>
        <v>734083.32</v>
      </c>
      <c r="J304" s="33">
        <f>IF(FINANCIACION[[#This Row],[$ CAPITAL]]&gt;=0,FINANCIACION[[#This Row],[$ CAPITAL]]+FINANCIACION[[#This Row],[$ INTERESES]],0)</f>
        <v>734083.32</v>
      </c>
    </row>
    <row r="305" spans="1:10" ht="24" hidden="1" customHeight="1" x14ac:dyDescent="0.3">
      <c r="A305" s="131">
        <v>44043</v>
      </c>
      <c r="B305" s="50" t="s">
        <v>535</v>
      </c>
      <c r="C305" s="5">
        <v>-1869398.0000000014</v>
      </c>
      <c r="D305" s="5"/>
      <c r="E305" s="5" t="str">
        <f>+IF(FINANCIACION[[#This Row],[$ CAPITAL]]&gt;=0,FINANCIACION[[#This Row],[$ CAPITAL]]+FINANCIACION[[#This Row],[$ INTERESES]],"")</f>
        <v/>
      </c>
      <c r="F305" s="5">
        <f>+SUMIFS(FINANCIACION[$ CAPITAL],FINANCIACION[Fecha],"&lt;="&amp;FINANCIACION[[#This Row],[Fecha]],FINANCIACION[PRESTAMO],FINANCIACION[[#This Row],[PRESTAMO]])</f>
        <v>-91544696.790000021</v>
      </c>
      <c r="G305" s="7"/>
      <c r="H305" s="53"/>
      <c r="I305" s="5" t="b">
        <f>IF(FINANCIACION[[#This Row],[$ CAPITAL]]&gt;0,FINANCIACION[[#This Row],[$ CAPITAL]])</f>
        <v>0</v>
      </c>
      <c r="J305" s="33">
        <f>IF(FINANCIACION[[#This Row],[$ CAPITAL]]&gt;=0,FINANCIACION[[#This Row],[$ CAPITAL]]+FINANCIACION[[#This Row],[$ INTERESES]],0)</f>
        <v>0</v>
      </c>
    </row>
    <row r="306" spans="1:10" ht="24" hidden="1" customHeight="1" x14ac:dyDescent="0.3">
      <c r="A306" s="131">
        <v>44043</v>
      </c>
      <c r="B306" s="50" t="s">
        <v>535</v>
      </c>
      <c r="C306" s="5">
        <v>-42062215.060000002</v>
      </c>
      <c r="D306" s="5"/>
      <c r="E306" s="5" t="str">
        <f>+IF(FINANCIACION[[#This Row],[$ CAPITAL]]&gt;=0,FINANCIACION[[#This Row],[$ CAPITAL]]+FINANCIACION[[#This Row],[$ INTERESES]],"")</f>
        <v/>
      </c>
      <c r="F306" s="5">
        <f>+SUMIFS(FINANCIACION[$ CAPITAL],FINANCIACION[Fecha],"&lt;="&amp;FINANCIACION[[#This Row],[Fecha]],FINANCIACION[PRESTAMO],FINANCIACION[[#This Row],[PRESTAMO]])</f>
        <v>-91544696.790000021</v>
      </c>
      <c r="G306" s="7"/>
      <c r="H306" s="53"/>
      <c r="I306" s="5" t="b">
        <f>IF(FINANCIACION[[#This Row],[$ CAPITAL]]&gt;0,FINANCIACION[[#This Row],[$ CAPITAL]])</f>
        <v>0</v>
      </c>
      <c r="J306" s="33">
        <f>IF(FINANCIACION[[#This Row],[$ CAPITAL]]&gt;=0,FINANCIACION[[#This Row],[$ CAPITAL]]+FINANCIACION[[#This Row],[$ INTERESES]],0)</f>
        <v>0</v>
      </c>
    </row>
    <row r="307" spans="1:10" ht="24" hidden="1" customHeight="1" x14ac:dyDescent="0.3">
      <c r="A307" s="131">
        <v>44043</v>
      </c>
      <c r="B307" s="50" t="s">
        <v>535</v>
      </c>
      <c r="C307" s="5">
        <v>-679875</v>
      </c>
      <c r="D307" s="5"/>
      <c r="E307" s="5" t="str">
        <f>+IF(FINANCIACION[[#This Row],[$ CAPITAL]]&gt;=0,FINANCIACION[[#This Row],[$ CAPITAL]]+FINANCIACION[[#This Row],[$ INTERESES]],"")</f>
        <v/>
      </c>
      <c r="F307" s="5">
        <f>+SUMIFS(FINANCIACION[$ CAPITAL],FINANCIACION[Fecha],"&lt;="&amp;FINANCIACION[[#This Row],[Fecha]],FINANCIACION[PRESTAMO],FINANCIACION[[#This Row],[PRESTAMO]])</f>
        <v>-91544696.790000021</v>
      </c>
      <c r="G307" s="7"/>
      <c r="H307" s="53"/>
      <c r="I307" s="5" t="b">
        <f>IF(FINANCIACION[[#This Row],[$ CAPITAL]]&gt;0,FINANCIACION[[#This Row],[$ CAPITAL]])</f>
        <v>0</v>
      </c>
      <c r="J307" s="33">
        <f>IF(FINANCIACION[[#This Row],[$ CAPITAL]]&gt;=0,FINANCIACION[[#This Row],[$ CAPITAL]]+FINANCIACION[[#This Row],[$ INTERESES]],0)</f>
        <v>0</v>
      </c>
    </row>
    <row r="308" spans="1:10" ht="24" hidden="1" customHeight="1" x14ac:dyDescent="0.3">
      <c r="A308" s="131">
        <v>44043</v>
      </c>
      <c r="B308" s="50" t="s">
        <v>535</v>
      </c>
      <c r="C308" s="5">
        <v>-5298686</v>
      </c>
      <c r="D308" s="5"/>
      <c r="E308" s="5" t="str">
        <f>+IF(FINANCIACION[[#This Row],[$ CAPITAL]]&gt;=0,FINANCIACION[[#This Row],[$ CAPITAL]]+FINANCIACION[[#This Row],[$ INTERESES]],"")</f>
        <v/>
      </c>
      <c r="F308" s="5">
        <f>+SUMIFS(FINANCIACION[$ CAPITAL],FINANCIACION[Fecha],"&lt;="&amp;FINANCIACION[[#This Row],[Fecha]],FINANCIACION[PRESTAMO],FINANCIACION[[#This Row],[PRESTAMO]])</f>
        <v>-91544696.790000021</v>
      </c>
      <c r="G308" s="7"/>
      <c r="H308" s="53"/>
      <c r="I308" s="5" t="b">
        <f>IF(FINANCIACION[[#This Row],[$ CAPITAL]]&gt;0,FINANCIACION[[#This Row],[$ CAPITAL]])</f>
        <v>0</v>
      </c>
      <c r="J308" s="33">
        <f>IF(FINANCIACION[[#This Row],[$ CAPITAL]]&gt;=0,FINANCIACION[[#This Row],[$ CAPITAL]]+FINANCIACION[[#This Row],[$ INTERESES]],0)</f>
        <v>0</v>
      </c>
    </row>
    <row r="309" spans="1:10" ht="24" hidden="1" customHeight="1" x14ac:dyDescent="0.3">
      <c r="A309" s="131">
        <v>44047</v>
      </c>
      <c r="B309" s="50" t="s">
        <v>540</v>
      </c>
      <c r="C309" s="5">
        <v>-25733277</v>
      </c>
      <c r="D309" s="5"/>
      <c r="E309" s="5" t="str">
        <f>+IF(FINANCIACION[[#This Row],[$ CAPITAL]]&gt;=0,FINANCIACION[[#This Row],[$ CAPITAL]]+FINANCIACION[[#This Row],[$ INTERESES]],"")</f>
        <v/>
      </c>
      <c r="F309" s="5">
        <f>+SUMIFS(FINANCIACION[$ CAPITAL],FINANCIACION[Fecha],"&lt;="&amp;FINANCIACION[[#This Row],[Fecha]],FINANCIACION[PRESTAMO],FINANCIACION[[#This Row],[PRESTAMO]])</f>
        <v>-25733277</v>
      </c>
      <c r="G309" s="7"/>
      <c r="H309" s="53"/>
      <c r="I309" s="5" t="b">
        <f>IF(FINANCIACION[[#This Row],[$ CAPITAL]]&gt;0,FINANCIACION[[#This Row],[$ CAPITAL]])</f>
        <v>0</v>
      </c>
      <c r="J309" s="33">
        <f>IF(FINANCIACION[[#This Row],[$ CAPITAL]]&gt;=0,FINANCIACION[[#This Row],[$ CAPITAL]]+FINANCIACION[[#This Row],[$ INTERESES]],0)</f>
        <v>0</v>
      </c>
    </row>
    <row r="310" spans="1:10" ht="24" hidden="1" customHeight="1" x14ac:dyDescent="0.3">
      <c r="A310" s="131">
        <v>44047</v>
      </c>
      <c r="B310" s="50" t="s">
        <v>540</v>
      </c>
      <c r="C310" s="5"/>
      <c r="D310" s="5">
        <v>1100623</v>
      </c>
      <c r="E310" s="5">
        <f>+IF(FINANCIACION[[#This Row],[$ CAPITAL]]&gt;=0,FINANCIACION[[#This Row],[$ CAPITAL]]+FINANCIACION[[#This Row],[$ INTERESES]],"")</f>
        <v>1100623</v>
      </c>
      <c r="F310" s="5">
        <f>+SUMIFS(FINANCIACION[$ CAPITAL],FINANCIACION[Fecha],"&lt;="&amp;FINANCIACION[[#This Row],[Fecha]],FINANCIACION[PRESTAMO],FINANCIACION[[#This Row],[PRESTAMO]])</f>
        <v>-25733277</v>
      </c>
      <c r="G310" s="7"/>
      <c r="H310" s="53"/>
      <c r="I310" s="5" t="b">
        <f>IF(FINANCIACION[[#This Row],[$ CAPITAL]]&gt;0,FINANCIACION[[#This Row],[$ CAPITAL]])</f>
        <v>0</v>
      </c>
      <c r="J310" s="33">
        <f>IF(FINANCIACION[[#This Row],[$ CAPITAL]]&gt;=0,FINANCIACION[[#This Row],[$ CAPITAL]]+FINANCIACION[[#This Row],[$ INTERESES]],0)</f>
        <v>1100623</v>
      </c>
    </row>
    <row r="311" spans="1:10" ht="24" hidden="1" customHeight="1" x14ac:dyDescent="0.3">
      <c r="A311" s="131">
        <v>44050</v>
      </c>
      <c r="B311" s="50" t="s">
        <v>150</v>
      </c>
      <c r="C311" s="5">
        <v>1450874</v>
      </c>
      <c r="D311" s="5"/>
      <c r="E311" s="5">
        <f>+IF(FINANCIACION[[#This Row],[$ CAPITAL]]&gt;=0,FINANCIACION[[#This Row],[$ CAPITAL]]+FINANCIACION[[#This Row],[$ INTERESES]],"")</f>
        <v>1450874</v>
      </c>
      <c r="F311" s="5">
        <f>+SUMIFS(FINANCIACION[$ CAPITAL],FINANCIACION[Fecha],"&lt;="&amp;FINANCIACION[[#This Row],[Fecha]],FINANCIACION[PRESTAMO],FINANCIACION[[#This Row],[PRESTAMO]])</f>
        <v>-117299126</v>
      </c>
      <c r="G311" s="7"/>
      <c r="H311" s="53"/>
      <c r="I311" s="5">
        <f>IF(FINANCIACION[[#This Row],[$ CAPITAL]]&gt;0,FINANCIACION[[#This Row],[$ CAPITAL]])</f>
        <v>1450874</v>
      </c>
      <c r="J311" s="33">
        <f>IF(FINANCIACION[[#This Row],[$ CAPITAL]]&gt;=0,FINANCIACION[[#This Row],[$ CAPITAL]]+FINANCIACION[[#This Row],[$ INTERESES]],0)</f>
        <v>1450874</v>
      </c>
    </row>
    <row r="312" spans="1:10" ht="24" hidden="1" customHeight="1" x14ac:dyDescent="0.3">
      <c r="A312" s="131">
        <v>44050</v>
      </c>
      <c r="B312" s="50" t="s">
        <v>150</v>
      </c>
      <c r="C312" s="5">
        <v>6250000</v>
      </c>
      <c r="D312" s="5">
        <v>1004371.89</v>
      </c>
      <c r="E312" s="5">
        <f>+IF(FINANCIACION[[#This Row],[$ CAPITAL]]&gt;=0,FINANCIACION[[#This Row],[$ CAPITAL]]+FINANCIACION[[#This Row],[$ INTERESES]],"")</f>
        <v>7254371.8899999997</v>
      </c>
      <c r="F312" s="5">
        <f>+SUMIFS(FINANCIACION[$ CAPITAL],FINANCIACION[Fecha],"&lt;="&amp;FINANCIACION[[#This Row],[Fecha]],FINANCIACION[PRESTAMO],FINANCIACION[[#This Row],[PRESTAMO]])</f>
        <v>-117299126</v>
      </c>
      <c r="G312" s="53"/>
      <c r="H312" s="53"/>
      <c r="I312" s="5">
        <f>IF(FINANCIACION[[#This Row],[$ CAPITAL]]&gt;0,FINANCIACION[[#This Row],[$ CAPITAL]])</f>
        <v>6250000</v>
      </c>
      <c r="J312" s="33">
        <f>IF(FINANCIACION[[#This Row],[$ CAPITAL]]&gt;=0,FINANCIACION[[#This Row],[$ CAPITAL]]+FINANCIACION[[#This Row],[$ INTERESES]],0)</f>
        <v>7254371.8899999997</v>
      </c>
    </row>
    <row r="313" spans="1:10" ht="24" hidden="1" customHeight="1" x14ac:dyDescent="0.3">
      <c r="A313" s="131">
        <v>44053</v>
      </c>
      <c r="B313" s="50" t="s">
        <v>535</v>
      </c>
      <c r="C313" s="5">
        <v>2261802</v>
      </c>
      <c r="D313" s="5"/>
      <c r="E313" s="5">
        <f>+IF(FINANCIACION[[#This Row],[$ CAPITAL]]&gt;=0,FINANCIACION[[#This Row],[$ CAPITAL]]+FINANCIACION[[#This Row],[$ INTERESES]],"")</f>
        <v>2261802</v>
      </c>
      <c r="F313" s="5">
        <f>+SUMIFS(FINANCIACION[$ CAPITAL],FINANCIACION[Fecha],"&lt;="&amp;FINANCIACION[[#This Row],[Fecha]],FINANCIACION[PRESTAMO],FINANCIACION[[#This Row],[PRESTAMO]])</f>
        <v>-89282894.790000021</v>
      </c>
      <c r="G313" s="53"/>
      <c r="H313" s="53"/>
      <c r="I313" s="5">
        <f>IF(FINANCIACION[[#This Row],[$ CAPITAL]]&gt;0,FINANCIACION[[#This Row],[$ CAPITAL]])</f>
        <v>2261802</v>
      </c>
      <c r="J313" s="33">
        <f>IF(FINANCIACION[[#This Row],[$ CAPITAL]]&gt;=0,FINANCIACION[[#This Row],[$ CAPITAL]]+FINANCIACION[[#This Row],[$ INTERESES]],0)</f>
        <v>2261802</v>
      </c>
    </row>
    <row r="314" spans="1:10" ht="24" hidden="1" customHeight="1" x14ac:dyDescent="0.3">
      <c r="A314" s="131">
        <v>44057</v>
      </c>
      <c r="B314" s="50" t="s">
        <v>535</v>
      </c>
      <c r="C314" s="5">
        <v>3390345</v>
      </c>
      <c r="D314" s="5"/>
      <c r="E314" s="5">
        <f>+IF(FINANCIACION[[#This Row],[$ CAPITAL]]&gt;=0,FINANCIACION[[#This Row],[$ CAPITAL]]+FINANCIACION[[#This Row],[$ INTERESES]],"")</f>
        <v>3390345</v>
      </c>
      <c r="F314" s="5">
        <f>+SUMIFS(FINANCIACION[$ CAPITAL],FINANCIACION[Fecha],"&lt;="&amp;FINANCIACION[[#This Row],[Fecha]],FINANCIACION[PRESTAMO],FINANCIACION[[#This Row],[PRESTAMO]])</f>
        <v>-85892549.790000021</v>
      </c>
      <c r="G314" s="7"/>
      <c r="H314" s="53"/>
      <c r="I314" s="5">
        <f>IF(FINANCIACION[[#This Row],[$ CAPITAL]]&gt;0,FINANCIACION[[#This Row],[$ CAPITAL]])</f>
        <v>3390345</v>
      </c>
      <c r="J314" s="8">
        <f>IF(FINANCIACION[[#This Row],[$ CAPITAL]]&gt;=0,FINANCIACION[[#This Row],[$ CAPITAL]]+FINANCIACION[[#This Row],[$ INTERESES]],0)</f>
        <v>3390345</v>
      </c>
    </row>
    <row r="315" spans="1:10" ht="24" hidden="1" customHeight="1" x14ac:dyDescent="0.3">
      <c r="A315" s="131">
        <v>44062</v>
      </c>
      <c r="B315" s="50" t="s">
        <v>535</v>
      </c>
      <c r="C315" s="5">
        <v>341123</v>
      </c>
      <c r="D315" s="5"/>
      <c r="E315" s="5">
        <f>+IF(FINANCIACION[[#This Row],[$ CAPITAL]]&gt;=0,FINANCIACION[[#This Row],[$ CAPITAL]]+FINANCIACION[[#This Row],[$ INTERESES]],"")</f>
        <v>341123</v>
      </c>
      <c r="F315" s="5">
        <f>+SUMIFS(FINANCIACION[$ CAPITAL],FINANCIACION[Fecha],"&lt;="&amp;FINANCIACION[[#This Row],[Fecha]],FINANCIACION[PRESTAMO],FINANCIACION[[#This Row],[PRESTAMO]])</f>
        <v>-83489840.790000021</v>
      </c>
      <c r="G315" s="7"/>
      <c r="H315" s="53"/>
      <c r="I315" s="5">
        <f>IF(FINANCIACION[[#This Row],[$ CAPITAL]]&gt;0,FINANCIACION[[#This Row],[$ CAPITAL]])</f>
        <v>341123</v>
      </c>
      <c r="J315" s="8">
        <f>IF(FINANCIACION[[#This Row],[$ CAPITAL]]&gt;=0,FINANCIACION[[#This Row],[$ CAPITAL]]+FINANCIACION[[#This Row],[$ INTERESES]],0)</f>
        <v>341123</v>
      </c>
    </row>
    <row r="316" spans="1:10" ht="24" hidden="1" customHeight="1" x14ac:dyDescent="0.3">
      <c r="A316" s="131">
        <v>44062</v>
      </c>
      <c r="B316" s="50" t="s">
        <v>535</v>
      </c>
      <c r="C316" s="5">
        <v>2061586</v>
      </c>
      <c r="D316" s="5"/>
      <c r="E316" s="5">
        <f>+IF(FINANCIACION[[#This Row],[$ CAPITAL]]&gt;=0,FINANCIACION[[#This Row],[$ CAPITAL]]+FINANCIACION[[#This Row],[$ INTERESES]],"")</f>
        <v>2061586</v>
      </c>
      <c r="F316" s="5">
        <f>+SUMIFS(FINANCIACION[$ CAPITAL],FINANCIACION[Fecha],"&lt;="&amp;FINANCIACION[[#This Row],[Fecha]],FINANCIACION[PRESTAMO],FINANCIACION[[#This Row],[PRESTAMO]])</f>
        <v>-83489840.790000021</v>
      </c>
      <c r="G316" s="7"/>
      <c r="H316" s="53"/>
      <c r="I316" s="5">
        <f>IF(FINANCIACION[[#This Row],[$ CAPITAL]]&gt;0,FINANCIACION[[#This Row],[$ CAPITAL]])</f>
        <v>2061586</v>
      </c>
      <c r="J316" s="8">
        <f>IF(FINANCIACION[[#This Row],[$ CAPITAL]]&gt;=0,FINANCIACION[[#This Row],[$ CAPITAL]]+FINANCIACION[[#This Row],[$ INTERESES]],0)</f>
        <v>2061586</v>
      </c>
    </row>
    <row r="317" spans="1:10" ht="24" hidden="1" customHeight="1" x14ac:dyDescent="0.3">
      <c r="A317" s="131">
        <v>44068</v>
      </c>
      <c r="B317" s="50" t="s">
        <v>535</v>
      </c>
      <c r="C317" s="5">
        <v>1153107</v>
      </c>
      <c r="D317" s="5"/>
      <c r="E317" s="5">
        <f>+IF(FINANCIACION[[#This Row],[$ CAPITAL]]&gt;=0,FINANCIACION[[#This Row],[$ CAPITAL]]+FINANCIACION[[#This Row],[$ INTERESES]],"")</f>
        <v>1153107</v>
      </c>
      <c r="F317" s="5">
        <f>+SUMIFS(FINANCIACION[$ CAPITAL],FINANCIACION[Fecha],"&lt;="&amp;FINANCIACION[[#This Row],[Fecha]],FINANCIACION[PRESTAMO],FINANCIACION[[#This Row],[PRESTAMO]])</f>
        <v>-82336733.790000021</v>
      </c>
      <c r="G317" s="7"/>
      <c r="H317" s="53"/>
      <c r="I317" s="5">
        <f>IF(FINANCIACION[[#This Row],[$ CAPITAL]]&gt;0,FINANCIACION[[#This Row],[$ CAPITAL]])</f>
        <v>1153107</v>
      </c>
      <c r="J317" s="8">
        <f>IF(FINANCIACION[[#This Row],[$ CAPITAL]]&gt;=0,FINANCIACION[[#This Row],[$ CAPITAL]]+FINANCIACION[[#This Row],[$ INTERESES]],0)</f>
        <v>1153107</v>
      </c>
    </row>
    <row r="318" spans="1:10" ht="24" hidden="1" customHeight="1" x14ac:dyDescent="0.3">
      <c r="A318" s="131">
        <v>44073</v>
      </c>
      <c r="B318" s="50" t="s">
        <v>541</v>
      </c>
      <c r="C318" s="5">
        <v>-8000000</v>
      </c>
      <c r="D318" s="5"/>
      <c r="E318" s="5" t="str">
        <f>+IF(FINANCIACION[[#This Row],[$ CAPITAL]]&gt;=0,FINANCIACION[[#This Row],[$ CAPITAL]]+FINANCIACION[[#This Row],[$ INTERESES]],"")</f>
        <v/>
      </c>
      <c r="F318" s="5">
        <f>+SUMIFS(FINANCIACION[$ CAPITAL],FINANCIACION[Fecha],"&lt;="&amp;FINANCIACION[[#This Row],[Fecha]],FINANCIACION[PRESTAMO],FINANCIACION[[#This Row],[PRESTAMO]])</f>
        <v>-8000000</v>
      </c>
      <c r="G318" s="7"/>
      <c r="H318" s="53"/>
      <c r="I318" s="5" t="b">
        <f>IF(FINANCIACION[[#This Row],[$ CAPITAL]]&gt;0,FINANCIACION[[#This Row],[$ CAPITAL]])</f>
        <v>0</v>
      </c>
      <c r="J318" s="8">
        <f>IF(FINANCIACION[[#This Row],[$ CAPITAL]]&gt;=0,FINANCIACION[[#This Row],[$ CAPITAL]]+FINANCIACION[[#This Row],[$ INTERESES]],0)</f>
        <v>0</v>
      </c>
    </row>
    <row r="319" spans="1:10" ht="24" hidden="1" customHeight="1" x14ac:dyDescent="0.3">
      <c r="A319" s="131">
        <v>44074</v>
      </c>
      <c r="B319" s="50" t="s">
        <v>540</v>
      </c>
      <c r="C319" s="5">
        <v>-172466.73</v>
      </c>
      <c r="D319" s="5"/>
      <c r="E319" s="5" t="str">
        <f>+IF(FINANCIACION[[#This Row],[$ CAPITAL]]&gt;=0,FINANCIACION[[#This Row],[$ CAPITAL]]+FINANCIACION[[#This Row],[$ INTERESES]],"")</f>
        <v/>
      </c>
      <c r="F319" s="5">
        <f>+SUMIFS(FINANCIACION[$ CAPITAL],FINANCIACION[Fecha],"&lt;="&amp;FINANCIACION[[#This Row],[Fecha]],FINANCIACION[PRESTAMO],FINANCIACION[[#This Row],[PRESTAMO]])</f>
        <v>-25905743.73</v>
      </c>
      <c r="G319" s="53"/>
      <c r="H319" s="53"/>
      <c r="I319" s="5" t="b">
        <f>IF(FINANCIACION[[#This Row],[$ CAPITAL]]&gt;0,FINANCIACION[[#This Row],[$ CAPITAL]])</f>
        <v>0</v>
      </c>
      <c r="J319" s="33">
        <f>IF(FINANCIACION[[#This Row],[$ CAPITAL]]&gt;=0,FINANCIACION[[#This Row],[$ CAPITAL]]+FINANCIACION[[#This Row],[$ INTERESES]],0)</f>
        <v>0</v>
      </c>
    </row>
    <row r="320" spans="1:10" ht="24" hidden="1" customHeight="1" x14ac:dyDescent="0.3">
      <c r="A320" s="131">
        <v>44074</v>
      </c>
      <c r="B320" s="50" t="s">
        <v>538</v>
      </c>
      <c r="C320" s="5">
        <v>-511971.21999999898</v>
      </c>
      <c r="D320" s="5"/>
      <c r="E320" s="5" t="str">
        <f>+IF(FINANCIACION[[#This Row],[$ CAPITAL]]&gt;=0,FINANCIACION[[#This Row],[$ CAPITAL]]+FINANCIACION[[#This Row],[$ INTERESES]],"")</f>
        <v/>
      </c>
      <c r="F320" s="5">
        <f>+SUMIFS(FINANCIACION[$ CAPITAL],FINANCIACION[Fecha],"&lt;="&amp;FINANCIACION[[#This Row],[Fecha]],FINANCIACION[PRESTAMO],FINANCIACION[[#This Row],[PRESTAMO]])</f>
        <v>-66447584.149999999</v>
      </c>
      <c r="G320" s="53"/>
      <c r="H320" s="53"/>
      <c r="I320" s="5" t="b">
        <f>IF(FINANCIACION[[#This Row],[$ CAPITAL]]&gt;0,FINANCIACION[[#This Row],[$ CAPITAL]])</f>
        <v>0</v>
      </c>
      <c r="J320" s="33">
        <f>IF(FINANCIACION[[#This Row],[$ CAPITAL]]&gt;=0,FINANCIACION[[#This Row],[$ CAPITAL]]+FINANCIACION[[#This Row],[$ INTERESES]],0)</f>
        <v>0</v>
      </c>
    </row>
    <row r="321" spans="1:10" ht="24" hidden="1" customHeight="1" x14ac:dyDescent="0.3">
      <c r="A321" s="131">
        <v>44074</v>
      </c>
      <c r="B321" s="50" t="s">
        <v>539</v>
      </c>
      <c r="C321" s="5">
        <v>-818880.33999998902</v>
      </c>
      <c r="D321" s="5"/>
      <c r="E321" s="5" t="str">
        <f>+IF(FINANCIACION[[#This Row],[$ CAPITAL]]&gt;=0,FINANCIACION[[#This Row],[$ CAPITAL]]+FINANCIACION[[#This Row],[$ INTERESES]],"")</f>
        <v/>
      </c>
      <c r="F321" s="5">
        <f>+SUMIFS(FINANCIACION[$ CAPITAL],FINANCIACION[Fecha],"&lt;="&amp;FINANCIACION[[#This Row],[Fecha]],FINANCIACION[PRESTAMO],FINANCIACION[[#This Row],[PRESTAMO]])</f>
        <v>-96853803.769999996</v>
      </c>
      <c r="G321" s="53"/>
      <c r="H321" s="53"/>
      <c r="I321" s="5" t="b">
        <f>IF(FINANCIACION[[#This Row],[$ CAPITAL]]&gt;0,FINANCIACION[[#This Row],[$ CAPITAL]])</f>
        <v>0</v>
      </c>
      <c r="J321" s="33">
        <f>IF(FINANCIACION[[#This Row],[$ CAPITAL]]&gt;=0,FINANCIACION[[#This Row],[$ CAPITAL]]+FINANCIACION[[#This Row],[$ INTERESES]],0)</f>
        <v>0</v>
      </c>
    </row>
    <row r="322" spans="1:10" ht="24" hidden="1" customHeight="1" x14ac:dyDescent="0.3">
      <c r="A322" s="131">
        <v>44074</v>
      </c>
      <c r="B322" s="50" t="s">
        <v>535</v>
      </c>
      <c r="C322" s="5">
        <v>-256645.16999999806</v>
      </c>
      <c r="D322" s="5"/>
      <c r="E322" s="5" t="str">
        <f>+IF(FINANCIACION[[#This Row],[$ CAPITAL]]&gt;=0,FINANCIACION[[#This Row],[$ CAPITAL]]+FINANCIACION[[#This Row],[$ INTERESES]],"")</f>
        <v/>
      </c>
      <c r="F322" s="5">
        <f>+SUMIFS(FINANCIACION[$ CAPITAL],FINANCIACION[Fecha],"&lt;="&amp;FINANCIACION[[#This Row],[Fecha]],FINANCIACION[PRESTAMO],FINANCIACION[[#This Row],[PRESTAMO]])</f>
        <v>-94501512.170000017</v>
      </c>
      <c r="G322" s="7"/>
      <c r="H322" s="53"/>
      <c r="I322" s="5" t="b">
        <f>IF(FINANCIACION[[#This Row],[$ CAPITAL]]&gt;0,FINANCIACION[[#This Row],[$ CAPITAL]])</f>
        <v>0</v>
      </c>
      <c r="J322" s="8">
        <f>IF(FINANCIACION[[#This Row],[$ CAPITAL]]&gt;=0,FINANCIACION[[#This Row],[$ CAPITAL]]+FINANCIACION[[#This Row],[$ INTERESES]],0)</f>
        <v>0</v>
      </c>
    </row>
    <row r="323" spans="1:10" ht="24" hidden="1" customHeight="1" x14ac:dyDescent="0.3">
      <c r="A323" s="131">
        <v>44074</v>
      </c>
      <c r="B323" s="50" t="s">
        <v>535</v>
      </c>
      <c r="C323" s="5">
        <v>-314828.46999999898</v>
      </c>
      <c r="D323" s="5"/>
      <c r="E323" s="5" t="str">
        <f>+IF(FINANCIACION[[#This Row],[$ CAPITAL]]&gt;=0,FINANCIACION[[#This Row],[$ CAPITAL]]+FINANCIACION[[#This Row],[$ INTERESES]],"")</f>
        <v/>
      </c>
      <c r="F323" s="5">
        <f>+SUMIFS(FINANCIACION[$ CAPITAL],FINANCIACION[Fecha],"&lt;="&amp;FINANCIACION[[#This Row],[Fecha]],FINANCIACION[PRESTAMO],FINANCIACION[[#This Row],[PRESTAMO]])</f>
        <v>-94501512.170000017</v>
      </c>
      <c r="G323" s="7"/>
      <c r="H323" s="53"/>
      <c r="I323" s="5" t="b">
        <f>IF(FINANCIACION[[#This Row],[$ CAPITAL]]&gt;0,FINANCIACION[[#This Row],[$ CAPITAL]])</f>
        <v>0</v>
      </c>
      <c r="J323" s="8">
        <f>IF(FINANCIACION[[#This Row],[$ CAPITAL]]&gt;=0,FINANCIACION[[#This Row],[$ CAPITAL]]+FINANCIACION[[#This Row],[$ INTERESES]],0)</f>
        <v>0</v>
      </c>
    </row>
    <row r="324" spans="1:10" ht="24" hidden="1" customHeight="1" x14ac:dyDescent="0.3">
      <c r="A324" s="131">
        <v>44074</v>
      </c>
      <c r="B324" s="50" t="s">
        <v>535</v>
      </c>
      <c r="C324" s="5">
        <v>-341123</v>
      </c>
      <c r="D324" s="5"/>
      <c r="E324" s="5" t="str">
        <f>+IF(FINANCIACION[[#This Row],[$ CAPITAL]]&gt;=0,FINANCIACION[[#This Row],[$ CAPITAL]]+FINANCIACION[[#This Row],[$ INTERESES]],"")</f>
        <v/>
      </c>
      <c r="F324" s="5">
        <f>+SUMIFS(FINANCIACION[$ CAPITAL],FINANCIACION[Fecha],"&lt;="&amp;FINANCIACION[[#This Row],[Fecha]],FINANCIACION[PRESTAMO],FINANCIACION[[#This Row],[PRESTAMO]])</f>
        <v>-94501512.170000017</v>
      </c>
      <c r="G324" s="7"/>
      <c r="H324" s="53"/>
      <c r="I324" s="5" t="b">
        <f>IF(FINANCIACION[[#This Row],[$ CAPITAL]]&gt;0,FINANCIACION[[#This Row],[$ CAPITAL]])</f>
        <v>0</v>
      </c>
      <c r="J324" s="8">
        <f>IF(FINANCIACION[[#This Row],[$ CAPITAL]]&gt;=0,FINANCIACION[[#This Row],[$ CAPITAL]]+FINANCIACION[[#This Row],[$ INTERESES]],0)</f>
        <v>0</v>
      </c>
    </row>
    <row r="325" spans="1:10" ht="24" hidden="1" customHeight="1" x14ac:dyDescent="0.3">
      <c r="A325" s="131">
        <v>44074</v>
      </c>
      <c r="B325" s="50" t="s">
        <v>535</v>
      </c>
      <c r="C325" s="5">
        <v>-4208374.74</v>
      </c>
      <c r="D325" s="5"/>
      <c r="E325" s="5" t="str">
        <f>+IF(FINANCIACION[[#This Row],[$ CAPITAL]]&gt;=0,FINANCIACION[[#This Row],[$ CAPITAL]]+FINANCIACION[[#This Row],[$ INTERESES]],"")</f>
        <v/>
      </c>
      <c r="F325" s="5">
        <f>+SUMIFS(FINANCIACION[$ CAPITAL],FINANCIACION[Fecha],"&lt;="&amp;FINANCIACION[[#This Row],[Fecha]],FINANCIACION[PRESTAMO],FINANCIACION[[#This Row],[PRESTAMO]])</f>
        <v>-94501512.170000017</v>
      </c>
      <c r="G325" s="53"/>
      <c r="H325" s="53"/>
      <c r="I325" s="5" t="b">
        <f>IF(FINANCIACION[[#This Row],[$ CAPITAL]]&gt;0,FINANCIACION[[#This Row],[$ CAPITAL]])</f>
        <v>0</v>
      </c>
      <c r="J325" s="33">
        <f>IF(FINANCIACION[[#This Row],[$ CAPITAL]]&gt;=0,FINANCIACION[[#This Row],[$ CAPITAL]]+FINANCIACION[[#This Row],[$ INTERESES]],0)</f>
        <v>0</v>
      </c>
    </row>
    <row r="326" spans="1:10" ht="24" hidden="1" customHeight="1" x14ac:dyDescent="0.3">
      <c r="A326" s="131">
        <v>44074</v>
      </c>
      <c r="B326" s="50" t="s">
        <v>535</v>
      </c>
      <c r="C326" s="5">
        <v>-7043807</v>
      </c>
      <c r="D326" s="5"/>
      <c r="E326" s="5" t="str">
        <f>+IF(FINANCIACION[[#This Row],[$ CAPITAL]]&gt;=0,FINANCIACION[[#This Row],[$ CAPITAL]]+FINANCIACION[[#This Row],[$ INTERESES]],"")</f>
        <v/>
      </c>
      <c r="F326" s="5">
        <f>+SUMIFS(FINANCIACION[$ CAPITAL],FINANCIACION[Fecha],"&lt;="&amp;FINANCIACION[[#This Row],[Fecha]],FINANCIACION[PRESTAMO],FINANCIACION[[#This Row],[PRESTAMO]])</f>
        <v>-94501512.170000017</v>
      </c>
      <c r="G326" s="53"/>
      <c r="H326" s="53"/>
      <c r="I326" s="5" t="b">
        <f>IF(FINANCIACION[[#This Row],[$ CAPITAL]]&gt;0,FINANCIACION[[#This Row],[$ CAPITAL]])</f>
        <v>0</v>
      </c>
      <c r="J326" s="33">
        <f>IF(FINANCIACION[[#This Row],[$ CAPITAL]]&gt;=0,FINANCIACION[[#This Row],[$ CAPITAL]]+FINANCIACION[[#This Row],[$ INTERESES]],0)</f>
        <v>0</v>
      </c>
    </row>
    <row r="327" spans="1:10" ht="24" hidden="1" customHeight="1" x14ac:dyDescent="0.3">
      <c r="A327" s="131">
        <v>44075</v>
      </c>
      <c r="B327" s="50" t="s">
        <v>542</v>
      </c>
      <c r="C327" s="5">
        <v>-26952781</v>
      </c>
      <c r="D327" s="5">
        <v>1152781</v>
      </c>
      <c r="E327" s="5" t="str">
        <f>+IF(FINANCIACION[[#This Row],[$ CAPITAL]]&gt;=0,FINANCIACION[[#This Row],[$ CAPITAL]]+FINANCIACION[[#This Row],[$ INTERESES]],"")</f>
        <v/>
      </c>
      <c r="F327" s="5">
        <f>+SUMIFS(FINANCIACION[$ CAPITAL],FINANCIACION[Fecha],"&lt;="&amp;FINANCIACION[[#This Row],[Fecha]],FINANCIACION[PRESTAMO],FINANCIACION[[#This Row],[PRESTAMO]])</f>
        <v>-26952781</v>
      </c>
      <c r="G327" s="53"/>
      <c r="H327" s="53"/>
      <c r="I327" s="5" t="b">
        <f>IF(FINANCIACION[[#This Row],[$ CAPITAL]]&gt;0,FINANCIACION[[#This Row],[$ CAPITAL]])</f>
        <v>0</v>
      </c>
      <c r="J327" s="33">
        <f>IF(FINANCIACION[[#This Row],[$ CAPITAL]]&gt;=0,FINANCIACION[[#This Row],[$ CAPITAL]]+FINANCIACION[[#This Row],[$ INTERESES]],0)</f>
        <v>0</v>
      </c>
    </row>
    <row r="328" spans="1:10" ht="24" hidden="1" customHeight="1" x14ac:dyDescent="0.3">
      <c r="A328" s="131">
        <v>44075</v>
      </c>
      <c r="B328" s="50" t="s">
        <v>535</v>
      </c>
      <c r="C328" s="5">
        <v>8239202</v>
      </c>
      <c r="D328" s="5"/>
      <c r="E328" s="5">
        <f>+IF(FINANCIACION[[#This Row],[$ CAPITAL]]&gt;=0,FINANCIACION[[#This Row],[$ CAPITAL]]+FINANCIACION[[#This Row],[$ INTERESES]],"")</f>
        <v>8239202</v>
      </c>
      <c r="F328" s="5">
        <f>+SUMIFS(FINANCIACION[$ CAPITAL],FINANCIACION[Fecha],"&lt;="&amp;FINANCIACION[[#This Row],[Fecha]],FINANCIACION[PRESTAMO],FINANCIACION[[#This Row],[PRESTAMO]])</f>
        <v>-86262310.170000017</v>
      </c>
      <c r="G328" s="53"/>
      <c r="H328" s="53"/>
      <c r="I328" s="5">
        <f>IF(FINANCIACION[[#This Row],[$ CAPITAL]]&gt;0,FINANCIACION[[#This Row],[$ CAPITAL]])</f>
        <v>8239202</v>
      </c>
      <c r="J328" s="33">
        <f>IF(FINANCIACION[[#This Row],[$ CAPITAL]]&gt;=0,FINANCIACION[[#This Row],[$ CAPITAL]]+FINANCIACION[[#This Row],[$ INTERESES]],0)</f>
        <v>8239202</v>
      </c>
    </row>
    <row r="329" spans="1:10" ht="24" hidden="1" customHeight="1" x14ac:dyDescent="0.3">
      <c r="A329" s="131">
        <v>44076</v>
      </c>
      <c r="B329" s="50" t="s">
        <v>535</v>
      </c>
      <c r="C329" s="5">
        <v>4200000</v>
      </c>
      <c r="D329" s="5"/>
      <c r="E329" s="5">
        <f>+IF(FINANCIACION[[#This Row],[$ CAPITAL]]&gt;=0,FINANCIACION[[#This Row],[$ CAPITAL]]+FINANCIACION[[#This Row],[$ INTERESES]],"")</f>
        <v>4200000</v>
      </c>
      <c r="F329" s="5">
        <f>+SUMIFS(FINANCIACION[$ CAPITAL],FINANCIACION[Fecha],"&lt;="&amp;FINANCIACION[[#This Row],[Fecha]],FINANCIACION[PRESTAMO],FINANCIACION[[#This Row],[PRESTAMO]])</f>
        <v>-75852342.170000017</v>
      </c>
      <c r="G329" s="53"/>
      <c r="H329" s="53"/>
      <c r="I329" s="5">
        <f>IF(FINANCIACION[[#This Row],[$ CAPITAL]]&gt;0,FINANCIACION[[#This Row],[$ CAPITAL]])</f>
        <v>4200000</v>
      </c>
      <c r="J329" s="33">
        <f>IF(FINANCIACION[[#This Row],[$ CAPITAL]]&gt;=0,FINANCIACION[[#This Row],[$ CAPITAL]]+FINANCIACION[[#This Row],[$ INTERESES]],0)</f>
        <v>4200000</v>
      </c>
    </row>
    <row r="330" spans="1:10" ht="24" hidden="1" customHeight="1" x14ac:dyDescent="0.3">
      <c r="A330" s="131">
        <v>44076</v>
      </c>
      <c r="B330" s="50" t="s">
        <v>535</v>
      </c>
      <c r="C330" s="5">
        <v>2209968</v>
      </c>
      <c r="D330" s="5"/>
      <c r="E330" s="5">
        <f>+IF(FINANCIACION[[#This Row],[$ CAPITAL]]&gt;=0,FINANCIACION[[#This Row],[$ CAPITAL]]+FINANCIACION[[#This Row],[$ INTERESES]],"")</f>
        <v>2209968</v>
      </c>
      <c r="F330" s="5">
        <f>+SUMIFS(FINANCIACION[$ CAPITAL],FINANCIACION[Fecha],"&lt;="&amp;FINANCIACION[[#This Row],[Fecha]],FINANCIACION[PRESTAMO],FINANCIACION[[#This Row],[PRESTAMO]])</f>
        <v>-75852342.170000017</v>
      </c>
      <c r="G330" s="7"/>
      <c r="H330" s="53"/>
      <c r="I330" s="5">
        <f>IF(FINANCIACION[[#This Row],[$ CAPITAL]]&gt;0,FINANCIACION[[#This Row],[$ CAPITAL]])</f>
        <v>2209968</v>
      </c>
      <c r="J330" s="33">
        <f>IF(FINANCIACION[[#This Row],[$ CAPITAL]]&gt;=0,FINANCIACION[[#This Row],[$ CAPITAL]]+FINANCIACION[[#This Row],[$ INTERESES]],0)</f>
        <v>2209968</v>
      </c>
    </row>
    <row r="331" spans="1:10" ht="24" hidden="1" customHeight="1" x14ac:dyDescent="0.3">
      <c r="A331" s="131">
        <v>44076</v>
      </c>
      <c r="B331" s="50" t="s">
        <v>535</v>
      </c>
      <c r="C331" s="5">
        <v>2000000</v>
      </c>
      <c r="D331" s="5"/>
      <c r="E331" s="5">
        <f>+IF(FINANCIACION[[#This Row],[$ CAPITAL]]&gt;=0,FINANCIACION[[#This Row],[$ CAPITAL]]+FINANCIACION[[#This Row],[$ INTERESES]],"")</f>
        <v>2000000</v>
      </c>
      <c r="F331" s="5">
        <f>+SUMIFS(FINANCIACION[$ CAPITAL],FINANCIACION[Fecha],"&lt;="&amp;FINANCIACION[[#This Row],[Fecha]],FINANCIACION[PRESTAMO],FINANCIACION[[#This Row],[PRESTAMO]])</f>
        <v>-75852342.170000017</v>
      </c>
      <c r="G331" s="7"/>
      <c r="H331" s="53"/>
      <c r="I331" s="5">
        <f>IF(FINANCIACION[[#This Row],[$ CAPITAL]]&gt;0,FINANCIACION[[#This Row],[$ CAPITAL]])</f>
        <v>2000000</v>
      </c>
      <c r="J331" s="33">
        <f>IF(FINANCIACION[[#This Row],[$ CAPITAL]]&gt;=0,FINANCIACION[[#This Row],[$ CAPITAL]]+FINANCIACION[[#This Row],[$ INTERESES]],0)</f>
        <v>2000000</v>
      </c>
    </row>
    <row r="332" spans="1:10" ht="24" hidden="1" customHeight="1" x14ac:dyDescent="0.3">
      <c r="A332" s="131">
        <v>44076</v>
      </c>
      <c r="B332" s="50" t="s">
        <v>535</v>
      </c>
      <c r="C332" s="5">
        <v>2000000</v>
      </c>
      <c r="D332" s="5"/>
      <c r="E332" s="5">
        <f>+IF(FINANCIACION[[#This Row],[$ CAPITAL]]&gt;=0,FINANCIACION[[#This Row],[$ CAPITAL]]+FINANCIACION[[#This Row],[$ INTERESES]],"")</f>
        <v>2000000</v>
      </c>
      <c r="F332" s="5">
        <f>+SUMIFS(FINANCIACION[$ CAPITAL],FINANCIACION[Fecha],"&lt;="&amp;FINANCIACION[[#This Row],[Fecha]],FINANCIACION[PRESTAMO],FINANCIACION[[#This Row],[PRESTAMO]])</f>
        <v>-75852342.170000017</v>
      </c>
      <c r="G332" s="7"/>
      <c r="H332" s="53"/>
      <c r="I332" s="5">
        <f>IF(FINANCIACION[[#This Row],[$ CAPITAL]]&gt;0,FINANCIACION[[#This Row],[$ CAPITAL]])</f>
        <v>2000000</v>
      </c>
      <c r="J332" s="33">
        <f>IF(FINANCIACION[[#This Row],[$ CAPITAL]]&gt;=0,FINANCIACION[[#This Row],[$ CAPITAL]]+FINANCIACION[[#This Row],[$ INTERESES]],0)</f>
        <v>2000000</v>
      </c>
    </row>
    <row r="333" spans="1:10" ht="24" hidden="1" customHeight="1" x14ac:dyDescent="0.3">
      <c r="A333" s="131">
        <v>44078</v>
      </c>
      <c r="B333" s="50" t="s">
        <v>536</v>
      </c>
      <c r="C333" s="5"/>
      <c r="D333" s="5">
        <v>150000</v>
      </c>
      <c r="E333" s="5">
        <f>+IF(FINANCIACION[[#This Row],[$ CAPITAL]]&gt;=0,FINANCIACION[[#This Row],[$ CAPITAL]]+FINANCIACION[[#This Row],[$ INTERESES]],"")</f>
        <v>150000</v>
      </c>
      <c r="F333" s="5">
        <f>+SUMIFS(FINANCIACION[$ CAPITAL],FINANCIACION[Fecha],"&lt;="&amp;FINANCIACION[[#This Row],[Fecha]],FINANCIACION[PRESTAMO],FINANCIACION[[#This Row],[PRESTAMO]])</f>
        <v>-15000000</v>
      </c>
      <c r="G333" s="7"/>
      <c r="H333" s="53"/>
      <c r="I333" s="5" t="b">
        <f>IF(FINANCIACION[[#This Row],[$ CAPITAL]]&gt;0,FINANCIACION[[#This Row],[$ CAPITAL]])</f>
        <v>0</v>
      </c>
      <c r="J333" s="33">
        <f>IF(FINANCIACION[[#This Row],[$ CAPITAL]]&gt;=0,FINANCIACION[[#This Row],[$ CAPITAL]]+FINANCIACION[[#This Row],[$ INTERESES]],0)</f>
        <v>150000</v>
      </c>
    </row>
    <row r="334" spans="1:10" ht="24" hidden="1" customHeight="1" x14ac:dyDescent="0.3">
      <c r="A334" s="131">
        <v>44078</v>
      </c>
      <c r="B334" s="50" t="s">
        <v>533</v>
      </c>
      <c r="C334" s="5">
        <v>334200</v>
      </c>
      <c r="D334" s="5">
        <v>665800</v>
      </c>
      <c r="E334" s="5">
        <f>+IF(FINANCIACION[[#This Row],[$ CAPITAL]]&gt;=0,FINANCIACION[[#This Row],[$ CAPITAL]]+FINANCIACION[[#This Row],[$ INTERESES]],"")</f>
        <v>1000000</v>
      </c>
      <c r="F334" s="5">
        <f>+SUMIFS(FINANCIACION[$ CAPITAL],FINANCIACION[Fecha],"&lt;="&amp;FINANCIACION[[#This Row],[Fecha]],FINANCIACION[PRESTAMO],FINANCIACION[[#This Row],[PRESTAMO]])</f>
        <v>-66244860</v>
      </c>
      <c r="G334" s="7"/>
      <c r="H334" s="53"/>
      <c r="I334" s="5">
        <f>IF(FINANCIACION[[#This Row],[$ CAPITAL]]&gt;0,FINANCIACION[[#This Row],[$ CAPITAL]])</f>
        <v>334200</v>
      </c>
      <c r="J334" s="33">
        <f>IF(FINANCIACION[[#This Row],[$ CAPITAL]]&gt;=0,FINANCIACION[[#This Row],[$ CAPITAL]]+FINANCIACION[[#This Row],[$ INTERESES]],0)</f>
        <v>1000000</v>
      </c>
    </row>
    <row r="335" spans="1:10" ht="24" hidden="1" customHeight="1" x14ac:dyDescent="0.3">
      <c r="A335" s="131">
        <v>44078</v>
      </c>
      <c r="B335" s="50" t="s">
        <v>150</v>
      </c>
      <c r="C335" s="5">
        <v>6326000</v>
      </c>
      <c r="D335" s="5">
        <v>907029</v>
      </c>
      <c r="E335" s="5">
        <f>+IF(FINANCIACION[[#This Row],[$ CAPITAL]]&gt;=0,FINANCIACION[[#This Row],[$ CAPITAL]]+FINANCIACION[[#This Row],[$ INTERESES]],"")</f>
        <v>7233029</v>
      </c>
      <c r="F335" s="5">
        <f>+SUMIFS(FINANCIACION[$ CAPITAL],FINANCIACION[Fecha],"&lt;="&amp;FINANCIACION[[#This Row],[Fecha]],FINANCIACION[PRESTAMO],FINANCIACION[[#This Row],[PRESTAMO]])</f>
        <v>-110973126</v>
      </c>
      <c r="G335" s="7"/>
      <c r="H335" s="53"/>
      <c r="I335" s="5">
        <f>IF(FINANCIACION[[#This Row],[$ CAPITAL]]&gt;0,FINANCIACION[[#This Row],[$ CAPITAL]])</f>
        <v>6326000</v>
      </c>
      <c r="J335" s="33">
        <f>IF(FINANCIACION[[#This Row],[$ CAPITAL]]&gt;=0,FINANCIACION[[#This Row],[$ CAPITAL]]+FINANCIACION[[#This Row],[$ INTERESES]],0)</f>
        <v>7233029</v>
      </c>
    </row>
    <row r="336" spans="1:10" ht="24" hidden="1" customHeight="1" x14ac:dyDescent="0.3">
      <c r="A336" s="131">
        <v>44078</v>
      </c>
      <c r="B336" s="50" t="s">
        <v>535</v>
      </c>
      <c r="C336" s="5">
        <v>1826615</v>
      </c>
      <c r="D336" s="5"/>
      <c r="E336" s="5">
        <f>+IF(FINANCIACION[[#This Row],[$ CAPITAL]]&gt;=0,FINANCIACION[[#This Row],[$ CAPITAL]]+FINANCIACION[[#This Row],[$ INTERESES]],"")</f>
        <v>1826615</v>
      </c>
      <c r="F336" s="5">
        <f>+SUMIFS(FINANCIACION[$ CAPITAL],FINANCIACION[Fecha],"&lt;="&amp;FINANCIACION[[#This Row],[Fecha]],FINANCIACION[PRESTAMO],FINANCIACION[[#This Row],[PRESTAMO]])</f>
        <v>-73525727.170000017</v>
      </c>
      <c r="G336" s="7"/>
      <c r="H336" s="53"/>
      <c r="I336" s="5">
        <f>IF(FINANCIACION[[#This Row],[$ CAPITAL]]&gt;0,FINANCIACION[[#This Row],[$ CAPITAL]])</f>
        <v>1826615</v>
      </c>
      <c r="J336" s="33">
        <f>IF(FINANCIACION[[#This Row],[$ CAPITAL]]&gt;=0,FINANCIACION[[#This Row],[$ CAPITAL]]+FINANCIACION[[#This Row],[$ INTERESES]],0)</f>
        <v>1826615</v>
      </c>
    </row>
    <row r="337" spans="1:10" ht="24" hidden="1" customHeight="1" x14ac:dyDescent="0.3">
      <c r="A337" s="131">
        <v>44078</v>
      </c>
      <c r="B337" s="50" t="s">
        <v>535</v>
      </c>
      <c r="C337" s="5">
        <v>500000</v>
      </c>
      <c r="D337" s="5"/>
      <c r="E337" s="5">
        <f>+IF(FINANCIACION[[#This Row],[$ CAPITAL]]&gt;=0,FINANCIACION[[#This Row],[$ CAPITAL]]+FINANCIACION[[#This Row],[$ INTERESES]],"")</f>
        <v>500000</v>
      </c>
      <c r="F337" s="5">
        <f>+SUMIFS(FINANCIACION[$ CAPITAL],FINANCIACION[Fecha],"&lt;="&amp;FINANCIACION[[#This Row],[Fecha]],FINANCIACION[PRESTAMO],FINANCIACION[[#This Row],[PRESTAMO]])</f>
        <v>-73525727.170000017</v>
      </c>
      <c r="G337" s="7"/>
      <c r="H337" s="53"/>
      <c r="I337" s="5">
        <f>IF(FINANCIACION[[#This Row],[$ CAPITAL]]&gt;0,FINANCIACION[[#This Row],[$ CAPITAL]])</f>
        <v>500000</v>
      </c>
      <c r="J337" s="33">
        <f>IF(FINANCIACION[[#This Row],[$ CAPITAL]]&gt;=0,FINANCIACION[[#This Row],[$ CAPITAL]]+FINANCIACION[[#This Row],[$ INTERESES]],0)</f>
        <v>500000</v>
      </c>
    </row>
    <row r="338" spans="1:10" ht="24" hidden="1" customHeight="1" x14ac:dyDescent="0.3">
      <c r="A338" s="131">
        <v>44081</v>
      </c>
      <c r="B338" s="50" t="s">
        <v>146</v>
      </c>
      <c r="C338" s="5"/>
      <c r="D338" s="5">
        <v>31575</v>
      </c>
      <c r="E338" s="5">
        <f>+IF(FINANCIACION[[#This Row],[$ CAPITAL]]&gt;=0,FINANCIACION[[#This Row],[$ CAPITAL]]+FINANCIACION[[#This Row],[$ INTERESES]],"")</f>
        <v>31575</v>
      </c>
      <c r="F338" s="5">
        <f>+SUMIFS(FINANCIACION[$ CAPITAL],FINANCIACION[Fecha],"&lt;="&amp;FINANCIACION[[#This Row],[Fecha]],FINANCIACION[PRESTAMO],FINANCIACION[[#This Row],[PRESTAMO]])</f>
        <v>-16250000</v>
      </c>
      <c r="G338" s="7"/>
      <c r="H338" s="53"/>
      <c r="I338" s="5" t="b">
        <f>IF(FINANCIACION[[#This Row],[$ CAPITAL]]&gt;0,FINANCIACION[[#This Row],[$ CAPITAL]])</f>
        <v>0</v>
      </c>
      <c r="J338" s="33">
        <f>IF(FINANCIACION[[#This Row],[$ CAPITAL]]&gt;=0,FINANCIACION[[#This Row],[$ CAPITAL]]+FINANCIACION[[#This Row],[$ INTERESES]],0)</f>
        <v>31575</v>
      </c>
    </row>
    <row r="339" spans="1:10" ht="24" hidden="1" customHeight="1" x14ac:dyDescent="0.3">
      <c r="A339" s="131">
        <v>44081</v>
      </c>
      <c r="B339" s="50" t="s">
        <v>147</v>
      </c>
      <c r="C339" s="5"/>
      <c r="D339" s="5">
        <v>64575</v>
      </c>
      <c r="E339" s="5">
        <f>+IF(FINANCIACION[[#This Row],[$ CAPITAL]]&gt;=0,FINANCIACION[[#This Row],[$ CAPITAL]]+FINANCIACION[[#This Row],[$ INTERESES]],"")</f>
        <v>64575</v>
      </c>
      <c r="F339" s="5">
        <f>+SUMIFS(FINANCIACION[$ CAPITAL],FINANCIACION[Fecha],"&lt;="&amp;FINANCIACION[[#This Row],[Fecha]],FINANCIACION[PRESTAMO],FINANCIACION[[#This Row],[PRESTAMO]])</f>
        <v>-38080833</v>
      </c>
      <c r="G339" s="7"/>
      <c r="H339" s="53"/>
      <c r="I339" s="5" t="b">
        <f>IF(FINANCIACION[[#This Row],[$ CAPITAL]]&gt;0,FINANCIACION[[#This Row],[$ CAPITAL]])</f>
        <v>0</v>
      </c>
      <c r="J339" s="33">
        <f>IF(FINANCIACION[[#This Row],[$ CAPITAL]]&gt;=0,FINANCIACION[[#This Row],[$ CAPITAL]]+FINANCIACION[[#This Row],[$ INTERESES]],0)</f>
        <v>64575</v>
      </c>
    </row>
    <row r="340" spans="1:10" ht="24" hidden="1" customHeight="1" x14ac:dyDescent="0.3">
      <c r="A340" s="131">
        <v>44081</v>
      </c>
      <c r="B340" s="50" t="s">
        <v>535</v>
      </c>
      <c r="C340" s="5">
        <v>761488</v>
      </c>
      <c r="D340" s="5"/>
      <c r="E340" s="5">
        <f>+IF(FINANCIACION[[#This Row],[$ CAPITAL]]&gt;=0,FINANCIACION[[#This Row],[$ CAPITAL]]+FINANCIACION[[#This Row],[$ INTERESES]],"")</f>
        <v>761488</v>
      </c>
      <c r="F340" s="5">
        <f>+SUMIFS(FINANCIACION[$ CAPITAL],FINANCIACION[Fecha],"&lt;="&amp;FINANCIACION[[#This Row],[Fecha]],FINANCIACION[PRESTAMO],FINANCIACION[[#This Row],[PRESTAMO]])</f>
        <v>-68062239.170000017</v>
      </c>
      <c r="G340" s="7"/>
      <c r="H340" s="53"/>
      <c r="I340" s="5">
        <f>IF(FINANCIACION[[#This Row],[$ CAPITAL]]&gt;0,FINANCIACION[[#This Row],[$ CAPITAL]])</f>
        <v>761488</v>
      </c>
      <c r="J340" s="33">
        <f>IF(FINANCIACION[[#This Row],[$ CAPITAL]]&gt;=0,FINANCIACION[[#This Row],[$ CAPITAL]]+FINANCIACION[[#This Row],[$ INTERESES]],0)</f>
        <v>761488</v>
      </c>
    </row>
    <row r="341" spans="1:10" ht="24" hidden="1" customHeight="1" x14ac:dyDescent="0.3">
      <c r="A341" s="131">
        <v>44081</v>
      </c>
      <c r="B341" s="50" t="s">
        <v>535</v>
      </c>
      <c r="C341" s="5">
        <v>3702000</v>
      </c>
      <c r="D341" s="5"/>
      <c r="E341" s="5">
        <f>+IF(FINANCIACION[[#This Row],[$ CAPITAL]]&gt;=0,FINANCIACION[[#This Row],[$ CAPITAL]]+FINANCIACION[[#This Row],[$ INTERESES]],"")</f>
        <v>3702000</v>
      </c>
      <c r="F341" s="5">
        <f>+SUMIFS(FINANCIACION[$ CAPITAL],FINANCIACION[Fecha],"&lt;="&amp;FINANCIACION[[#This Row],[Fecha]],FINANCIACION[PRESTAMO],FINANCIACION[[#This Row],[PRESTAMO]])</f>
        <v>-68062239.170000017</v>
      </c>
      <c r="G341" s="7"/>
      <c r="H341" s="53"/>
      <c r="I341" s="5">
        <f>IF(FINANCIACION[[#This Row],[$ CAPITAL]]&gt;0,FINANCIACION[[#This Row],[$ CAPITAL]])</f>
        <v>3702000</v>
      </c>
      <c r="J341" s="33">
        <f>IF(FINANCIACION[[#This Row],[$ CAPITAL]]&gt;=0,FINANCIACION[[#This Row],[$ CAPITAL]]+FINANCIACION[[#This Row],[$ INTERESES]],0)</f>
        <v>3702000</v>
      </c>
    </row>
    <row r="342" spans="1:10" ht="24" hidden="1" customHeight="1" x14ac:dyDescent="0.3">
      <c r="A342" s="131">
        <v>44081</v>
      </c>
      <c r="B342" s="50" t="s">
        <v>535</v>
      </c>
      <c r="C342" s="5">
        <v>1000000</v>
      </c>
      <c r="D342" s="5"/>
      <c r="E342" s="5">
        <f>+IF(FINANCIACION[[#This Row],[$ CAPITAL]]&gt;=0,FINANCIACION[[#This Row],[$ CAPITAL]]+FINANCIACION[[#This Row],[$ INTERESES]],"")</f>
        <v>1000000</v>
      </c>
      <c r="F342" s="5">
        <f>+SUMIFS(FINANCIACION[$ CAPITAL],FINANCIACION[Fecha],"&lt;="&amp;FINANCIACION[[#This Row],[Fecha]],FINANCIACION[PRESTAMO],FINANCIACION[[#This Row],[PRESTAMO]])</f>
        <v>-68062239.170000017</v>
      </c>
      <c r="G342" s="7"/>
      <c r="H342" s="53"/>
      <c r="I342" s="5">
        <f>IF(FINANCIACION[[#This Row],[$ CAPITAL]]&gt;0,FINANCIACION[[#This Row],[$ CAPITAL]])</f>
        <v>1000000</v>
      </c>
      <c r="J342" s="33">
        <f>IF(FINANCIACION[[#This Row],[$ CAPITAL]]&gt;=0,FINANCIACION[[#This Row],[$ CAPITAL]]+FINANCIACION[[#This Row],[$ INTERESES]],0)</f>
        <v>1000000</v>
      </c>
    </row>
    <row r="343" spans="1:10" ht="24" hidden="1" customHeight="1" x14ac:dyDescent="0.3">
      <c r="A343" s="131">
        <v>44083</v>
      </c>
      <c r="B343" s="50" t="s">
        <v>532</v>
      </c>
      <c r="C343" s="5"/>
      <c r="D343" s="5">
        <v>950000</v>
      </c>
      <c r="E343" s="5">
        <f>+IF(FINANCIACION[[#This Row],[$ CAPITAL]]&gt;=0,FINANCIACION[[#This Row],[$ CAPITAL]]+FINANCIACION[[#This Row],[$ INTERESES]],"")</f>
        <v>950000</v>
      </c>
      <c r="F343" s="5">
        <f>+SUMIFS(FINANCIACION[$ CAPITAL],FINANCIACION[Fecha],"&lt;="&amp;FINANCIACION[[#This Row],[Fecha]],FINANCIACION[PRESTAMO],FINANCIACION[[#This Row],[PRESTAMO]])</f>
        <v>-94935167</v>
      </c>
      <c r="G343" s="7"/>
      <c r="H343" s="53"/>
      <c r="I343" s="5" t="b">
        <f>IF(FINANCIACION[[#This Row],[$ CAPITAL]]&gt;0,FINANCIACION[[#This Row],[$ CAPITAL]])</f>
        <v>0</v>
      </c>
      <c r="J343" s="33">
        <f>IF(FINANCIACION[[#This Row],[$ CAPITAL]]&gt;=0,FINANCIACION[[#This Row],[$ CAPITAL]]+FINANCIACION[[#This Row],[$ INTERESES]],0)</f>
        <v>950000</v>
      </c>
    </row>
    <row r="344" spans="1:10" ht="24" hidden="1" customHeight="1" x14ac:dyDescent="0.3">
      <c r="A344" s="131">
        <v>44088</v>
      </c>
      <c r="B344" s="50" t="s">
        <v>535</v>
      </c>
      <c r="C344" s="5">
        <v>2039950</v>
      </c>
      <c r="D344" s="5"/>
      <c r="E344" s="5">
        <f>+IF(FINANCIACION[[#This Row],[$ CAPITAL]]&gt;=0,FINANCIACION[[#This Row],[$ CAPITAL]]+FINANCIACION[[#This Row],[$ INTERESES]],"")</f>
        <v>2039950</v>
      </c>
      <c r="F344" s="5">
        <f>+SUMIFS(FINANCIACION[$ CAPITAL],FINANCIACION[Fecha],"&lt;="&amp;FINANCIACION[[#This Row],[Fecha]],FINANCIACION[PRESTAMO],FINANCIACION[[#This Row],[PRESTAMO]])</f>
        <v>-66022289.170000017</v>
      </c>
      <c r="G344" s="7"/>
      <c r="H344" s="53"/>
      <c r="I344" s="5">
        <f>IF(FINANCIACION[[#This Row],[$ CAPITAL]]&gt;0,FINANCIACION[[#This Row],[$ CAPITAL]])</f>
        <v>2039950</v>
      </c>
      <c r="J344" s="33">
        <f>IF(FINANCIACION[[#This Row],[$ CAPITAL]]&gt;=0,FINANCIACION[[#This Row],[$ CAPITAL]]+FINANCIACION[[#This Row],[$ INTERESES]],0)</f>
        <v>2039950</v>
      </c>
    </row>
    <row r="345" spans="1:10" ht="24" hidden="1" customHeight="1" x14ac:dyDescent="0.3">
      <c r="A345" s="131">
        <v>44092</v>
      </c>
      <c r="B345" s="50" t="s">
        <v>534</v>
      </c>
      <c r="C345" s="5">
        <v>3000000</v>
      </c>
      <c r="D345" s="5"/>
      <c r="E345" s="5">
        <f>+IF(FINANCIACION[[#This Row],[$ CAPITAL]]&gt;=0,FINANCIACION[[#This Row],[$ CAPITAL]]+FINANCIACION[[#This Row],[$ INTERESES]],"")</f>
        <v>3000000</v>
      </c>
      <c r="F345" s="5">
        <f>+SUMIFS(FINANCIACION[$ CAPITAL],FINANCIACION[Fecha],"&lt;="&amp;FINANCIACION[[#This Row],[Fecha]],FINANCIACION[PRESTAMO],FINANCIACION[[#This Row],[PRESTAMO]])</f>
        <v>-377443064</v>
      </c>
      <c r="G345" s="7"/>
      <c r="H345" s="53"/>
      <c r="I345" s="5">
        <f>IF(FINANCIACION[[#This Row],[$ CAPITAL]]&gt;0,FINANCIACION[[#This Row],[$ CAPITAL]])</f>
        <v>3000000</v>
      </c>
      <c r="J345" s="33">
        <f>IF(FINANCIACION[[#This Row],[$ CAPITAL]]&gt;=0,FINANCIACION[[#This Row],[$ CAPITAL]]+FINANCIACION[[#This Row],[$ INTERESES]],0)</f>
        <v>3000000</v>
      </c>
    </row>
    <row r="346" spans="1:10" ht="24" hidden="1" customHeight="1" x14ac:dyDescent="0.3">
      <c r="A346" s="131">
        <v>44095</v>
      </c>
      <c r="B346" s="50" t="s">
        <v>535</v>
      </c>
      <c r="C346" s="5"/>
      <c r="D346" s="5">
        <v>6015875</v>
      </c>
      <c r="E346" s="5">
        <f>+IF(FINANCIACION[[#This Row],[$ CAPITAL]]&gt;=0,FINANCIACION[[#This Row],[$ CAPITAL]]+FINANCIACION[[#This Row],[$ INTERESES]],"")</f>
        <v>6015875</v>
      </c>
      <c r="F346" s="5">
        <f>+SUMIFS(FINANCIACION[$ CAPITAL],FINANCIACION[Fecha],"&lt;="&amp;FINANCIACION[[#This Row],[Fecha]],FINANCIACION[PRESTAMO],FINANCIACION[[#This Row],[PRESTAMO]])</f>
        <v>-65070473.170000017</v>
      </c>
      <c r="G346" s="7"/>
      <c r="H346" s="53"/>
      <c r="I346" s="5" t="b">
        <f>IF(FINANCIACION[[#This Row],[$ CAPITAL]]&gt;0,FINANCIACION[[#This Row],[$ CAPITAL]])</f>
        <v>0</v>
      </c>
      <c r="J346" s="33">
        <f>IF(FINANCIACION[[#This Row],[$ CAPITAL]]&gt;=0,FINANCIACION[[#This Row],[$ CAPITAL]]+FINANCIACION[[#This Row],[$ INTERESES]],0)</f>
        <v>6015875</v>
      </c>
    </row>
    <row r="347" spans="1:10" ht="24" hidden="1" customHeight="1" x14ac:dyDescent="0.3">
      <c r="A347" s="131">
        <v>44095</v>
      </c>
      <c r="B347" s="50" t="s">
        <v>535</v>
      </c>
      <c r="C347" s="5">
        <v>951816</v>
      </c>
      <c r="D347" s="5"/>
      <c r="E347" s="5">
        <f>+IF(FINANCIACION[[#This Row],[$ CAPITAL]]&gt;=0,FINANCIACION[[#This Row],[$ CAPITAL]]+FINANCIACION[[#This Row],[$ INTERESES]],"")</f>
        <v>951816</v>
      </c>
      <c r="F347" s="5">
        <f>+SUMIFS(FINANCIACION[$ CAPITAL],FINANCIACION[Fecha],"&lt;="&amp;FINANCIACION[[#This Row],[Fecha]],FINANCIACION[PRESTAMO],FINANCIACION[[#This Row],[PRESTAMO]])</f>
        <v>-65070473.170000017</v>
      </c>
      <c r="G347" s="7"/>
      <c r="H347" s="53"/>
      <c r="I347" s="5">
        <f>IF(FINANCIACION[[#This Row],[$ CAPITAL]]&gt;0,FINANCIACION[[#This Row],[$ CAPITAL]])</f>
        <v>951816</v>
      </c>
      <c r="J347" s="33">
        <f>IF(FINANCIACION[[#This Row],[$ CAPITAL]]&gt;=0,FINANCIACION[[#This Row],[$ CAPITAL]]+FINANCIACION[[#This Row],[$ INTERESES]],0)</f>
        <v>951816</v>
      </c>
    </row>
    <row r="348" spans="1:10" ht="24" hidden="1" customHeight="1" x14ac:dyDescent="0.3">
      <c r="A348" s="131">
        <v>44099</v>
      </c>
      <c r="B348" s="50" t="s">
        <v>535</v>
      </c>
      <c r="C348" s="5">
        <v>3867810</v>
      </c>
      <c r="D348" s="5"/>
      <c r="E348" s="5">
        <f>+IF(FINANCIACION[[#This Row],[$ CAPITAL]]&gt;=0,FINANCIACION[[#This Row],[$ CAPITAL]]+FINANCIACION[[#This Row],[$ INTERESES]],"")</f>
        <v>3867810</v>
      </c>
      <c r="F348" s="5">
        <f>+SUMIFS(FINANCIACION[$ CAPITAL],FINANCIACION[Fecha],"&lt;="&amp;FINANCIACION[[#This Row],[Fecha]],FINANCIACION[PRESTAMO],FINANCIACION[[#This Row],[PRESTAMO]])</f>
        <v>-60702663.170000017</v>
      </c>
      <c r="G348" s="7"/>
      <c r="H348" s="53"/>
      <c r="I348" s="5">
        <f>IF(FINANCIACION[[#This Row],[$ CAPITAL]]&gt;0,FINANCIACION[[#This Row],[$ CAPITAL]])</f>
        <v>3867810</v>
      </c>
      <c r="J348" s="33">
        <f>IF(FINANCIACION[[#This Row],[$ CAPITAL]]&gt;=0,FINANCIACION[[#This Row],[$ CAPITAL]]+FINANCIACION[[#This Row],[$ INTERESES]],0)</f>
        <v>3867810</v>
      </c>
    </row>
    <row r="349" spans="1:10" ht="24" hidden="1" customHeight="1" x14ac:dyDescent="0.3">
      <c r="A349" s="131">
        <v>44099</v>
      </c>
      <c r="B349" s="50" t="s">
        <v>535</v>
      </c>
      <c r="C349" s="5">
        <v>500000</v>
      </c>
      <c r="D349" s="5"/>
      <c r="E349" s="5">
        <f>+IF(FINANCIACION[[#This Row],[$ CAPITAL]]&gt;=0,FINANCIACION[[#This Row],[$ CAPITAL]]+FINANCIACION[[#This Row],[$ INTERESES]],"")</f>
        <v>500000</v>
      </c>
      <c r="F349" s="5">
        <f>+SUMIFS(FINANCIACION[$ CAPITAL],FINANCIACION[Fecha],"&lt;="&amp;FINANCIACION[[#This Row],[Fecha]],FINANCIACION[PRESTAMO],FINANCIACION[[#This Row],[PRESTAMO]])</f>
        <v>-60702663.170000017</v>
      </c>
      <c r="G349" s="7"/>
      <c r="H349" s="53"/>
      <c r="I349" s="5">
        <f>IF(FINANCIACION[[#This Row],[$ CAPITAL]]&gt;0,FINANCIACION[[#This Row],[$ CAPITAL]])</f>
        <v>500000</v>
      </c>
      <c r="J349" s="33">
        <f>IF(FINANCIACION[[#This Row],[$ CAPITAL]]&gt;=0,FINANCIACION[[#This Row],[$ CAPITAL]]+FINANCIACION[[#This Row],[$ INTERESES]],0)</f>
        <v>500000</v>
      </c>
    </row>
    <row r="350" spans="1:10" ht="24" hidden="1" customHeight="1" x14ac:dyDescent="0.3">
      <c r="A350" s="131">
        <v>44104</v>
      </c>
      <c r="B350" s="50" t="s">
        <v>146</v>
      </c>
      <c r="C350" s="5">
        <v>-38080833</v>
      </c>
      <c r="D350" s="5"/>
      <c r="E350" s="5" t="str">
        <f>+IF(FINANCIACION[[#This Row],[$ CAPITAL]]&gt;=0,FINANCIACION[[#This Row],[$ CAPITAL]]+FINANCIACION[[#This Row],[$ INTERESES]],"")</f>
        <v/>
      </c>
      <c r="F350" s="5">
        <f>+SUMIFS(FINANCIACION[$ CAPITAL],FINANCIACION[Fecha],"&lt;="&amp;FINANCIACION[[#This Row],[Fecha]],FINANCIACION[PRESTAMO],FINANCIACION[[#This Row],[PRESTAMO]])</f>
        <v>-54330833</v>
      </c>
      <c r="G350" s="7"/>
      <c r="H350" s="53"/>
      <c r="I350" s="5" t="b">
        <f>IF(FINANCIACION[[#This Row],[$ CAPITAL]]&gt;0,FINANCIACION[[#This Row],[$ CAPITAL]])</f>
        <v>0</v>
      </c>
      <c r="J350" s="33">
        <f>IF(FINANCIACION[[#This Row],[$ CAPITAL]]&gt;=0,FINANCIACION[[#This Row],[$ CAPITAL]]+FINANCIACION[[#This Row],[$ INTERESES]],0)</f>
        <v>0</v>
      </c>
    </row>
    <row r="351" spans="1:10" ht="24" hidden="1" customHeight="1" x14ac:dyDescent="0.3">
      <c r="A351" s="131">
        <v>44104</v>
      </c>
      <c r="B351" s="50" t="s">
        <v>147</v>
      </c>
      <c r="C351" s="5">
        <v>34778781</v>
      </c>
      <c r="D351" s="5"/>
      <c r="E351" s="5">
        <f>+IF(FINANCIACION[[#This Row],[$ CAPITAL]]&gt;=0,FINANCIACION[[#This Row],[$ CAPITAL]]+FINANCIACION[[#This Row],[$ INTERESES]],"")</f>
        <v>34778781</v>
      </c>
      <c r="F351" s="5">
        <f>+SUMIFS(FINANCIACION[$ CAPITAL],FINANCIACION[Fecha],"&lt;="&amp;FINANCIACION[[#This Row],[Fecha]],FINANCIACION[PRESTAMO],FINANCIACION[[#This Row],[PRESTAMO]])</f>
        <v>-3302052</v>
      </c>
      <c r="G351" s="7"/>
      <c r="H351" s="53"/>
      <c r="I351" s="5">
        <f>IF(FINANCIACION[[#This Row],[$ CAPITAL]]&gt;0,FINANCIACION[[#This Row],[$ CAPITAL]])</f>
        <v>34778781</v>
      </c>
      <c r="J351" s="33">
        <f>IF(FINANCIACION[[#This Row],[$ CAPITAL]]&gt;=0,FINANCIACION[[#This Row],[$ CAPITAL]]+FINANCIACION[[#This Row],[$ INTERESES]],0)</f>
        <v>34778781</v>
      </c>
    </row>
    <row r="352" spans="1:10" ht="24" hidden="1" customHeight="1" x14ac:dyDescent="0.3">
      <c r="A352" s="131">
        <v>44104</v>
      </c>
      <c r="B352" s="50" t="s">
        <v>540</v>
      </c>
      <c r="C352" s="5">
        <v>-189966.1799999997</v>
      </c>
      <c r="D352" s="5"/>
      <c r="E352" s="5" t="str">
        <f>+IF(FINANCIACION[[#This Row],[$ CAPITAL]]&gt;=0,FINANCIACION[[#This Row],[$ CAPITAL]]+FINANCIACION[[#This Row],[$ INTERESES]],"")</f>
        <v/>
      </c>
      <c r="F352" s="5">
        <f>+SUMIFS(FINANCIACION[$ CAPITAL],FINANCIACION[Fecha],"&lt;="&amp;FINANCIACION[[#This Row],[Fecha]],FINANCIACION[PRESTAMO],FINANCIACION[[#This Row],[PRESTAMO]])</f>
        <v>-26095709.91</v>
      </c>
      <c r="G352" s="7"/>
      <c r="H352" s="53"/>
      <c r="I352" s="5" t="b">
        <f>IF(FINANCIACION[[#This Row],[$ CAPITAL]]&gt;0,FINANCIACION[[#This Row],[$ CAPITAL]])</f>
        <v>0</v>
      </c>
      <c r="J352" s="33">
        <f>IF(FINANCIACION[[#This Row],[$ CAPITAL]]&gt;=0,FINANCIACION[[#This Row],[$ CAPITAL]]+FINANCIACION[[#This Row],[$ INTERESES]],0)</f>
        <v>0</v>
      </c>
    </row>
    <row r="353" spans="1:10" ht="24" hidden="1" customHeight="1" x14ac:dyDescent="0.3">
      <c r="A353" s="131">
        <v>44104</v>
      </c>
      <c r="B353" s="50" t="s">
        <v>542</v>
      </c>
      <c r="C353" s="5">
        <v>-190565.6099999994</v>
      </c>
      <c r="D353" s="5"/>
      <c r="E353" s="5" t="str">
        <f>+IF(FINANCIACION[[#This Row],[$ CAPITAL]]&gt;=0,FINANCIACION[[#This Row],[$ CAPITAL]]+FINANCIACION[[#This Row],[$ INTERESES]],"")</f>
        <v/>
      </c>
      <c r="F353" s="5">
        <f>+SUMIFS(FINANCIACION[$ CAPITAL],FINANCIACION[Fecha],"&lt;="&amp;FINANCIACION[[#This Row],[Fecha]],FINANCIACION[PRESTAMO],FINANCIACION[[#This Row],[PRESTAMO]])</f>
        <v>-27143346.609999999</v>
      </c>
      <c r="G353" s="7"/>
      <c r="H353" s="53"/>
      <c r="I353" s="5" t="b">
        <f>IF(FINANCIACION[[#This Row],[$ CAPITAL]]&gt;0,FINANCIACION[[#This Row],[$ CAPITAL]])</f>
        <v>0</v>
      </c>
      <c r="J353" s="33">
        <f>IF(FINANCIACION[[#This Row],[$ CAPITAL]]&gt;=0,FINANCIACION[[#This Row],[$ CAPITAL]]+FINANCIACION[[#This Row],[$ INTERESES]],0)</f>
        <v>0</v>
      </c>
    </row>
    <row r="354" spans="1:10" ht="24" hidden="1" customHeight="1" x14ac:dyDescent="0.3">
      <c r="A354" s="131">
        <v>44104</v>
      </c>
      <c r="B354" s="50" t="s">
        <v>538</v>
      </c>
      <c r="C354" s="5">
        <v>-473294.0700000003</v>
      </c>
      <c r="D354" s="5"/>
      <c r="E354" s="5" t="str">
        <f>+IF(FINANCIACION[[#This Row],[$ CAPITAL]]&gt;=0,FINANCIACION[[#This Row],[$ CAPITAL]]+FINANCIACION[[#This Row],[$ INTERESES]],"")</f>
        <v/>
      </c>
      <c r="F354" s="5">
        <f>+SUMIFS(FINANCIACION[$ CAPITAL],FINANCIACION[Fecha],"&lt;="&amp;FINANCIACION[[#This Row],[Fecha]],FINANCIACION[PRESTAMO],FINANCIACION[[#This Row],[PRESTAMO]])</f>
        <v>-66920878.219999999</v>
      </c>
      <c r="G354" s="7"/>
      <c r="H354" s="53"/>
      <c r="I354" s="5" t="b">
        <f>IF(FINANCIACION[[#This Row],[$ CAPITAL]]&gt;0,FINANCIACION[[#This Row],[$ CAPITAL]])</f>
        <v>0</v>
      </c>
      <c r="J354" s="33">
        <f>IF(FINANCIACION[[#This Row],[$ CAPITAL]]&gt;=0,FINANCIACION[[#This Row],[$ CAPITAL]]+FINANCIACION[[#This Row],[$ INTERESES]],0)</f>
        <v>0</v>
      </c>
    </row>
    <row r="355" spans="1:10" ht="24" hidden="1" customHeight="1" x14ac:dyDescent="0.3">
      <c r="A355" s="131">
        <v>44104</v>
      </c>
      <c r="B355" s="50" t="s">
        <v>539</v>
      </c>
      <c r="C355" s="5">
        <v>-762127.79000000656</v>
      </c>
      <c r="D355" s="5"/>
      <c r="E355" s="5" t="str">
        <f>+IF(FINANCIACION[[#This Row],[$ CAPITAL]]&gt;=0,FINANCIACION[[#This Row],[$ CAPITAL]]+FINANCIACION[[#This Row],[$ INTERESES]],"")</f>
        <v/>
      </c>
      <c r="F355" s="5">
        <f>+SUMIFS(FINANCIACION[$ CAPITAL],FINANCIACION[Fecha],"&lt;="&amp;FINANCIACION[[#This Row],[Fecha]],FINANCIACION[PRESTAMO],FINANCIACION[[#This Row],[PRESTAMO]])</f>
        <v>-97615931.560000002</v>
      </c>
      <c r="G355" s="7"/>
      <c r="H355" s="53"/>
      <c r="I355" s="5" t="b">
        <f>IF(FINANCIACION[[#This Row],[$ CAPITAL]]&gt;0,FINANCIACION[[#This Row],[$ CAPITAL]])</f>
        <v>0</v>
      </c>
      <c r="J355" s="33">
        <f>IF(FINANCIACION[[#This Row],[$ CAPITAL]]&gt;=0,FINANCIACION[[#This Row],[$ CAPITAL]]+FINANCIACION[[#This Row],[$ INTERESES]],0)</f>
        <v>0</v>
      </c>
    </row>
    <row r="356" spans="1:10" ht="24" hidden="1" customHeight="1" x14ac:dyDescent="0.3">
      <c r="A356" s="131">
        <v>44104</v>
      </c>
      <c r="B356" s="50" t="s">
        <v>534</v>
      </c>
      <c r="C356" s="5">
        <v>-39568203</v>
      </c>
      <c r="D356" s="5"/>
      <c r="E356" s="5" t="str">
        <f>+IF(FINANCIACION[[#This Row],[$ CAPITAL]]&gt;=0,FINANCIACION[[#This Row],[$ CAPITAL]]+FINANCIACION[[#This Row],[$ INTERESES]],"")</f>
        <v/>
      </c>
      <c r="F356" s="5">
        <f>+SUMIFS(FINANCIACION[$ CAPITAL],FINANCIACION[Fecha],"&lt;="&amp;FINANCIACION[[#This Row],[Fecha]],FINANCIACION[PRESTAMO],FINANCIACION[[#This Row],[PRESTAMO]])</f>
        <v>-417011267</v>
      </c>
      <c r="G356" s="7"/>
      <c r="H356" s="53"/>
      <c r="I356" s="5" t="b">
        <f>IF(FINANCIACION[[#This Row],[$ CAPITAL]]&gt;0,FINANCIACION[[#This Row],[$ CAPITAL]])</f>
        <v>0</v>
      </c>
      <c r="J356" s="33">
        <f>IF(FINANCIACION[[#This Row],[$ CAPITAL]]&gt;=0,FINANCIACION[[#This Row],[$ CAPITAL]]+FINANCIACION[[#This Row],[$ INTERESES]],0)</f>
        <v>0</v>
      </c>
    </row>
    <row r="357" spans="1:10" ht="24" hidden="1" customHeight="1" x14ac:dyDescent="0.3">
      <c r="A357" s="131">
        <v>44104</v>
      </c>
      <c r="B357" s="50" t="s">
        <v>535</v>
      </c>
      <c r="C357" s="5">
        <v>-236242.01000000164</v>
      </c>
      <c r="D357" s="5"/>
      <c r="E357" s="5" t="str">
        <f>+IF(FINANCIACION[[#This Row],[$ CAPITAL]]&gt;=0,FINANCIACION[[#This Row],[$ CAPITAL]]+FINANCIACION[[#This Row],[$ INTERESES]],"")</f>
        <v/>
      </c>
      <c r="F357" s="5">
        <f>+SUMIFS(FINANCIACION[$ CAPITAL],FINANCIACION[Fecha],"&lt;="&amp;FINANCIACION[[#This Row],[Fecha]],FINANCIACION[PRESTAMO],FINANCIACION[[#This Row],[PRESTAMO]])</f>
        <v>-84819162.470000014</v>
      </c>
      <c r="G357" s="7"/>
      <c r="H357" s="53"/>
      <c r="I357" s="5" t="b">
        <f>IF(FINANCIACION[[#This Row],[$ CAPITAL]]&gt;0,FINANCIACION[[#This Row],[$ CAPITAL]])</f>
        <v>0</v>
      </c>
      <c r="J357" s="33">
        <f>IF(FINANCIACION[[#This Row],[$ CAPITAL]]&gt;=0,FINANCIACION[[#This Row],[$ CAPITAL]]+FINANCIACION[[#This Row],[$ INTERESES]],0)</f>
        <v>0</v>
      </c>
    </row>
    <row r="358" spans="1:10" ht="24" hidden="1" customHeight="1" x14ac:dyDescent="0.3">
      <c r="A358" s="131">
        <v>44104</v>
      </c>
      <c r="B358" s="50" t="s">
        <v>535</v>
      </c>
      <c r="C358" s="5">
        <v>-300004.53999999911</v>
      </c>
      <c r="D358" s="5"/>
      <c r="E358" s="5" t="str">
        <f>+IF(FINANCIACION[[#This Row],[$ CAPITAL]]&gt;=0,FINANCIACION[[#This Row],[$ CAPITAL]]+FINANCIACION[[#This Row],[$ INTERESES]],"")</f>
        <v/>
      </c>
      <c r="F358" s="5">
        <f>+SUMIFS(FINANCIACION[$ CAPITAL],FINANCIACION[Fecha],"&lt;="&amp;FINANCIACION[[#This Row],[Fecha]],FINANCIACION[PRESTAMO],FINANCIACION[[#This Row],[PRESTAMO]])</f>
        <v>-84819162.470000014</v>
      </c>
      <c r="G358" s="7"/>
      <c r="H358" s="53"/>
      <c r="I358" s="5" t="b">
        <f>IF(FINANCIACION[[#This Row],[$ CAPITAL]]&gt;0,FINANCIACION[[#This Row],[$ CAPITAL]])</f>
        <v>0</v>
      </c>
      <c r="J358" s="33">
        <f>IF(FINANCIACION[[#This Row],[$ CAPITAL]]&gt;=0,FINANCIACION[[#This Row],[$ CAPITAL]]+FINANCIACION[[#This Row],[$ INTERESES]],0)</f>
        <v>0</v>
      </c>
    </row>
    <row r="359" spans="1:10" ht="24" hidden="1" customHeight="1" x14ac:dyDescent="0.3">
      <c r="A359" s="131">
        <v>44104</v>
      </c>
      <c r="B359" s="50" t="s">
        <v>535</v>
      </c>
      <c r="C359" s="5">
        <v>-449896.74999999814</v>
      </c>
      <c r="D359" s="5"/>
      <c r="E359" s="5" t="str">
        <f>+IF(FINANCIACION[[#This Row],[$ CAPITAL]]&gt;=0,FINANCIACION[[#This Row],[$ CAPITAL]]+FINANCIACION[[#This Row],[$ INTERESES]],"")</f>
        <v/>
      </c>
      <c r="F359" s="5">
        <f>+SUMIFS(FINANCIACION[$ CAPITAL],FINANCIACION[Fecha],"&lt;="&amp;FINANCIACION[[#This Row],[Fecha]],FINANCIACION[PRESTAMO],FINANCIACION[[#This Row],[PRESTAMO]])</f>
        <v>-84819162.470000014</v>
      </c>
      <c r="G359" s="7"/>
      <c r="H359" s="53"/>
      <c r="I359" s="5" t="b">
        <f>IF(FINANCIACION[[#This Row],[$ CAPITAL]]&gt;0,FINANCIACION[[#This Row],[$ CAPITAL]])</f>
        <v>0</v>
      </c>
      <c r="J359" s="33">
        <f>IF(FINANCIACION[[#This Row],[$ CAPITAL]]&gt;=0,FINANCIACION[[#This Row],[$ CAPITAL]]+FINANCIACION[[#This Row],[$ INTERESES]],0)</f>
        <v>0</v>
      </c>
    </row>
    <row r="360" spans="1:10" ht="24" hidden="1" customHeight="1" x14ac:dyDescent="0.3">
      <c r="A360" s="131">
        <v>44104</v>
      </c>
      <c r="B360" s="50" t="s">
        <v>535</v>
      </c>
      <c r="C360" s="5">
        <v>-761487.9999999986</v>
      </c>
      <c r="D360" s="5"/>
      <c r="E360" s="5" t="str">
        <f>+IF(FINANCIACION[[#This Row],[$ CAPITAL]]&gt;=0,FINANCIACION[[#This Row],[$ CAPITAL]]+FINANCIACION[[#This Row],[$ INTERESES]],"")</f>
        <v/>
      </c>
      <c r="F360" s="5">
        <f>+SUMIFS(FINANCIACION[$ CAPITAL],FINANCIACION[Fecha],"&lt;="&amp;FINANCIACION[[#This Row],[Fecha]],FINANCIACION[PRESTAMO],FINANCIACION[[#This Row],[PRESTAMO]])</f>
        <v>-84819162.470000014</v>
      </c>
      <c r="G360" s="7"/>
      <c r="H360" s="53"/>
      <c r="I360" s="5" t="b">
        <f>IF(FINANCIACION[[#This Row],[$ CAPITAL]]&gt;0,FINANCIACION[[#This Row],[$ CAPITAL]])</f>
        <v>0</v>
      </c>
      <c r="J360" s="33">
        <f>IF(FINANCIACION[[#This Row],[$ CAPITAL]]&gt;=0,FINANCIACION[[#This Row],[$ CAPITAL]]+FINANCIACION[[#This Row],[$ INTERESES]],0)</f>
        <v>0</v>
      </c>
    </row>
    <row r="361" spans="1:10" ht="24" hidden="1" customHeight="1" x14ac:dyDescent="0.3">
      <c r="A361" s="131">
        <v>44104</v>
      </c>
      <c r="B361" s="50" t="s">
        <v>535</v>
      </c>
      <c r="C361" s="5">
        <v>-12827494.999999993</v>
      </c>
      <c r="D361" s="5"/>
      <c r="E361" s="5" t="str">
        <f>+IF(FINANCIACION[[#This Row],[$ CAPITAL]]&gt;=0,FINANCIACION[[#This Row],[$ CAPITAL]]+FINANCIACION[[#This Row],[$ INTERESES]],"")</f>
        <v/>
      </c>
      <c r="F361" s="5">
        <f>+SUMIFS(FINANCIACION[$ CAPITAL],FINANCIACION[Fecha],"&lt;="&amp;FINANCIACION[[#This Row],[Fecha]],FINANCIACION[PRESTAMO],FINANCIACION[[#This Row],[PRESTAMO]])</f>
        <v>-84819162.470000014</v>
      </c>
      <c r="G361" s="7"/>
      <c r="H361" s="53"/>
      <c r="I361" s="5" t="b">
        <f>IF(FINANCIACION[[#This Row],[$ CAPITAL]]&gt;0,FINANCIACION[[#This Row],[$ CAPITAL]])</f>
        <v>0</v>
      </c>
      <c r="J361" s="33">
        <f>IF(FINANCIACION[[#This Row],[$ CAPITAL]]&gt;=0,FINANCIACION[[#This Row],[$ CAPITAL]]+FINANCIACION[[#This Row],[$ INTERESES]],0)</f>
        <v>0</v>
      </c>
    </row>
    <row r="362" spans="1:10" ht="24" hidden="1" customHeight="1" x14ac:dyDescent="0.3">
      <c r="A362" s="131">
        <v>44104</v>
      </c>
      <c r="B362" s="50" t="s">
        <v>535</v>
      </c>
      <c r="C362" s="5">
        <v>-7592390.0000000037</v>
      </c>
      <c r="D362" s="5"/>
      <c r="E362" s="5" t="str">
        <f>+IF(FINANCIACION[[#This Row],[$ CAPITAL]]&gt;=0,FINANCIACION[[#This Row],[$ CAPITAL]]+FINANCIACION[[#This Row],[$ INTERESES]],"")</f>
        <v/>
      </c>
      <c r="F362" s="5">
        <f>+SUMIFS(FINANCIACION[$ CAPITAL],FINANCIACION[Fecha],"&lt;="&amp;FINANCIACION[[#This Row],[Fecha]],FINANCIACION[PRESTAMO],FINANCIACION[[#This Row],[PRESTAMO]])</f>
        <v>-84819162.470000014</v>
      </c>
      <c r="G362" s="7"/>
      <c r="H362" s="53"/>
      <c r="I362" s="5" t="b">
        <f>IF(FINANCIACION[[#This Row],[$ CAPITAL]]&gt;0,FINANCIACION[[#This Row],[$ CAPITAL]])</f>
        <v>0</v>
      </c>
      <c r="J362" s="33">
        <f>IF(FINANCIACION[[#This Row],[$ CAPITAL]]&gt;=0,FINANCIACION[[#This Row],[$ CAPITAL]]+FINANCIACION[[#This Row],[$ INTERESES]],0)</f>
        <v>0</v>
      </c>
    </row>
    <row r="363" spans="1:10" ht="24" hidden="1" customHeight="1" x14ac:dyDescent="0.3">
      <c r="A363" s="131">
        <v>44104</v>
      </c>
      <c r="B363" s="50" t="s">
        <v>535</v>
      </c>
      <c r="C363" s="5">
        <v>-1948983</v>
      </c>
      <c r="D363" s="5"/>
      <c r="E363" s="5" t="str">
        <f>+IF(FINANCIACION[[#This Row],[$ CAPITAL]]&gt;=0,FINANCIACION[[#This Row],[$ CAPITAL]]+FINANCIACION[[#This Row],[$ INTERESES]],"")</f>
        <v/>
      </c>
      <c r="F363" s="5">
        <f>+SUMIFS(FINANCIACION[$ CAPITAL],FINANCIACION[Fecha],"&lt;="&amp;FINANCIACION[[#This Row],[Fecha]],FINANCIACION[PRESTAMO],FINANCIACION[[#This Row],[PRESTAMO]])</f>
        <v>-84819162.470000014</v>
      </c>
      <c r="G363" s="7"/>
      <c r="H363" s="53"/>
      <c r="I363" s="5" t="b">
        <f>IF(FINANCIACION[[#This Row],[$ CAPITAL]]&gt;0,FINANCIACION[[#This Row],[$ CAPITAL]])</f>
        <v>0</v>
      </c>
      <c r="J363" s="33">
        <f>IF(FINANCIACION[[#This Row],[$ CAPITAL]]&gt;=0,FINANCIACION[[#This Row],[$ CAPITAL]]+FINANCIACION[[#This Row],[$ INTERESES]],0)</f>
        <v>0</v>
      </c>
    </row>
    <row r="364" spans="1:10" ht="24" hidden="1" customHeight="1" x14ac:dyDescent="0.3">
      <c r="A364" s="131">
        <v>44106</v>
      </c>
      <c r="B364" s="50" t="s">
        <v>536</v>
      </c>
      <c r="C364" s="5">
        <v>850000</v>
      </c>
      <c r="D364" s="5">
        <v>150000</v>
      </c>
      <c r="E364" s="5">
        <f>+IF(FINANCIACION[[#This Row],[$ CAPITAL]]&gt;=0,FINANCIACION[[#This Row],[$ CAPITAL]]+FINANCIACION[[#This Row],[$ INTERESES]],"")</f>
        <v>1000000</v>
      </c>
      <c r="F364" s="5">
        <f>+SUMIFS(FINANCIACION[$ CAPITAL],FINANCIACION[Fecha],"&lt;="&amp;FINANCIACION[[#This Row],[Fecha]],FINANCIACION[PRESTAMO],FINANCIACION[[#This Row],[PRESTAMO]])</f>
        <v>-14150000</v>
      </c>
      <c r="G364" s="7"/>
      <c r="H364" s="53"/>
      <c r="I364" s="5">
        <f>IF(FINANCIACION[[#This Row],[$ CAPITAL]]&gt;0,FINANCIACION[[#This Row],[$ CAPITAL]])</f>
        <v>850000</v>
      </c>
      <c r="J364" s="33">
        <f>IF(FINANCIACION[[#This Row],[$ CAPITAL]]&gt;=0,FINANCIACION[[#This Row],[$ CAPITAL]]+FINANCIACION[[#This Row],[$ INTERESES]],0)</f>
        <v>1000000</v>
      </c>
    </row>
    <row r="365" spans="1:10" ht="24" hidden="1" customHeight="1" x14ac:dyDescent="0.3">
      <c r="A365" s="131">
        <v>44106</v>
      </c>
      <c r="B365" s="50" t="s">
        <v>533</v>
      </c>
      <c r="C365" s="5">
        <v>537550</v>
      </c>
      <c r="D365" s="5">
        <v>662450</v>
      </c>
      <c r="E365" s="5">
        <f>+IF(FINANCIACION[[#This Row],[$ CAPITAL]]&gt;=0,FINANCIACION[[#This Row],[$ CAPITAL]]+FINANCIACION[[#This Row],[$ INTERESES]],"")</f>
        <v>1200000</v>
      </c>
      <c r="F365" s="5">
        <f>+SUMIFS(FINANCIACION[$ CAPITAL],FINANCIACION[Fecha],"&lt;="&amp;FINANCIACION[[#This Row],[Fecha]],FINANCIACION[PRESTAMO],FINANCIACION[[#This Row],[PRESTAMO]])</f>
        <v>-65707310</v>
      </c>
      <c r="G365" s="7"/>
      <c r="H365" s="53"/>
      <c r="I365" s="5">
        <f>IF(FINANCIACION[[#This Row],[$ CAPITAL]]&gt;0,FINANCIACION[[#This Row],[$ CAPITAL]])</f>
        <v>537550</v>
      </c>
      <c r="J365" s="33">
        <f>IF(FINANCIACION[[#This Row],[$ CAPITAL]]&gt;=0,FINANCIACION[[#This Row],[$ CAPITAL]]+FINANCIACION[[#This Row],[$ INTERESES]],0)</f>
        <v>1200000</v>
      </c>
    </row>
    <row r="366" spans="1:10" ht="24" hidden="1" customHeight="1" x14ac:dyDescent="0.3">
      <c r="A366" s="131">
        <v>44109</v>
      </c>
      <c r="B366" s="50" t="s">
        <v>532</v>
      </c>
      <c r="C366" s="5"/>
      <c r="D366" s="5">
        <v>950000</v>
      </c>
      <c r="E366" s="5">
        <f>+IF(FINANCIACION[[#This Row],[$ CAPITAL]]&gt;=0,FINANCIACION[[#This Row],[$ CAPITAL]]+FINANCIACION[[#This Row],[$ INTERESES]],"")</f>
        <v>950000</v>
      </c>
      <c r="F366" s="5">
        <f>+SUMIFS(FINANCIACION[$ CAPITAL],FINANCIACION[Fecha],"&lt;="&amp;FINANCIACION[[#This Row],[Fecha]],FINANCIACION[PRESTAMO],FINANCIACION[[#This Row],[PRESTAMO]])</f>
        <v>-94935167</v>
      </c>
      <c r="G366" s="7"/>
      <c r="H366" s="53"/>
      <c r="I366" s="5" t="b">
        <f>IF(FINANCIACION[[#This Row],[$ CAPITAL]]&gt;0,FINANCIACION[[#This Row],[$ CAPITAL]])</f>
        <v>0</v>
      </c>
      <c r="J366" s="33">
        <f>IF(FINANCIACION[[#This Row],[$ CAPITAL]]&gt;=0,FINANCIACION[[#This Row],[$ CAPITAL]]+FINANCIACION[[#This Row],[$ INTERESES]],0)</f>
        <v>950000</v>
      </c>
    </row>
    <row r="367" spans="1:10" ht="24" hidden="1" customHeight="1" x14ac:dyDescent="0.3">
      <c r="A367" s="131">
        <v>44109</v>
      </c>
      <c r="B367" s="50" t="s">
        <v>535</v>
      </c>
      <c r="C367" s="5">
        <v>990094.53</v>
      </c>
      <c r="D367" s="5">
        <v>190516.1</v>
      </c>
      <c r="E367" s="5">
        <f>+IF(FINANCIACION[[#This Row],[$ CAPITAL]]&gt;=0,FINANCIACION[[#This Row],[$ CAPITAL]]+FINANCIACION[[#This Row],[$ INTERESES]],"")</f>
        <v>1180610.6300000001</v>
      </c>
      <c r="F367" s="5">
        <f>+SUMIFS(FINANCIACION[$ CAPITAL],FINANCIACION[Fecha],"&lt;="&amp;FINANCIACION[[#This Row],[Fecha]],FINANCIACION[PRESTAMO],FINANCIACION[[#This Row],[PRESTAMO]])</f>
        <v>-83829067.940000013</v>
      </c>
      <c r="G367" s="7"/>
      <c r="H367" s="53"/>
      <c r="I367" s="5">
        <f>IF(FINANCIACION[[#This Row],[$ CAPITAL]]&gt;0,FINANCIACION[[#This Row],[$ CAPITAL]])</f>
        <v>990094.53</v>
      </c>
      <c r="J367" s="33">
        <f>IF(FINANCIACION[[#This Row],[$ CAPITAL]]&gt;=0,FINANCIACION[[#This Row],[$ CAPITAL]]+FINANCIACION[[#This Row],[$ INTERESES]],0)</f>
        <v>1180610.6300000001</v>
      </c>
    </row>
    <row r="368" spans="1:10" ht="24" hidden="1" customHeight="1" x14ac:dyDescent="0.3">
      <c r="A368" s="131">
        <v>44110</v>
      </c>
      <c r="B368" s="50" t="s">
        <v>150</v>
      </c>
      <c r="C368" s="5">
        <v>6326000</v>
      </c>
      <c r="D368" s="5">
        <v>805532.69</v>
      </c>
      <c r="E368" s="5">
        <f>+IF(FINANCIACION[[#This Row],[$ CAPITAL]]&gt;=0,FINANCIACION[[#This Row],[$ CAPITAL]]+FINANCIACION[[#This Row],[$ INTERESES]],"")</f>
        <v>7131532.6899999995</v>
      </c>
      <c r="F368" s="5">
        <f>+SUMIFS(FINANCIACION[$ CAPITAL],FINANCIACION[Fecha],"&lt;="&amp;FINANCIACION[[#This Row],[Fecha]],FINANCIACION[PRESTAMO],FINANCIACION[[#This Row],[PRESTAMO]])</f>
        <v>-104647126</v>
      </c>
      <c r="G368" s="7"/>
      <c r="H368" s="53"/>
      <c r="I368" s="5">
        <f>IF(FINANCIACION[[#This Row],[$ CAPITAL]]&gt;0,FINANCIACION[[#This Row],[$ CAPITAL]])</f>
        <v>6326000</v>
      </c>
      <c r="J368" s="33">
        <f>IF(FINANCIACION[[#This Row],[$ CAPITAL]]&gt;=0,FINANCIACION[[#This Row],[$ CAPITAL]]+FINANCIACION[[#This Row],[$ INTERESES]],0)</f>
        <v>7131532.6899999995</v>
      </c>
    </row>
    <row r="369" spans="1:10" ht="24" hidden="1" customHeight="1" x14ac:dyDescent="0.3">
      <c r="A369" s="131">
        <v>44111</v>
      </c>
      <c r="B369" s="50" t="s">
        <v>534</v>
      </c>
      <c r="C369" s="5">
        <v>3000000</v>
      </c>
      <c r="D369" s="5"/>
      <c r="E369" s="5">
        <f>+IF(FINANCIACION[[#This Row],[$ CAPITAL]]&gt;=0,FINANCIACION[[#This Row],[$ CAPITAL]]+FINANCIACION[[#This Row],[$ INTERESES]],"")</f>
        <v>3000000</v>
      </c>
      <c r="F369" s="5">
        <f>+SUMIFS(FINANCIACION[$ CAPITAL],FINANCIACION[Fecha],"&lt;="&amp;FINANCIACION[[#This Row],[Fecha]],FINANCIACION[PRESTAMO],FINANCIACION[[#This Row],[PRESTAMO]])</f>
        <v>-414011267</v>
      </c>
      <c r="G369" s="7"/>
      <c r="H369" s="53"/>
      <c r="I369" s="5">
        <f>IF(FINANCIACION[[#This Row],[$ CAPITAL]]&gt;0,FINANCIACION[[#This Row],[$ CAPITAL]])</f>
        <v>3000000</v>
      </c>
      <c r="J369" s="33">
        <f>IF(FINANCIACION[[#This Row],[$ CAPITAL]]&gt;=0,FINANCIACION[[#This Row],[$ CAPITAL]]+FINANCIACION[[#This Row],[$ INTERESES]],0)</f>
        <v>3000000</v>
      </c>
    </row>
    <row r="370" spans="1:10" ht="24" hidden="1" customHeight="1" x14ac:dyDescent="0.3">
      <c r="A370" s="131">
        <v>44117</v>
      </c>
      <c r="B370" s="50" t="s">
        <v>535</v>
      </c>
      <c r="C370" s="5">
        <v>3824250</v>
      </c>
      <c r="D370" s="5"/>
      <c r="E370" s="5">
        <f>+IF(FINANCIACION[[#This Row],[$ CAPITAL]]&gt;=0,FINANCIACION[[#This Row],[$ CAPITAL]]+FINANCIACION[[#This Row],[$ INTERESES]],"")</f>
        <v>3824250</v>
      </c>
      <c r="F370" s="5">
        <f>+SUMIFS(FINANCIACION[$ CAPITAL],FINANCIACION[Fecha],"&lt;="&amp;FINANCIACION[[#This Row],[Fecha]],FINANCIACION[PRESTAMO],FINANCIACION[[#This Row],[PRESTAMO]])</f>
        <v>-79004817.940000013</v>
      </c>
      <c r="G370" s="7"/>
      <c r="H370" s="53"/>
      <c r="I370" s="5">
        <f>IF(FINANCIACION[[#This Row],[$ CAPITAL]]&gt;0,FINANCIACION[[#This Row],[$ CAPITAL]])</f>
        <v>3824250</v>
      </c>
      <c r="J370" s="33">
        <f>IF(FINANCIACION[[#This Row],[$ CAPITAL]]&gt;=0,FINANCIACION[[#This Row],[$ CAPITAL]]+FINANCIACION[[#This Row],[$ INTERESES]],0)</f>
        <v>3824250</v>
      </c>
    </row>
    <row r="371" spans="1:10" ht="24" hidden="1" customHeight="1" x14ac:dyDescent="0.3">
      <c r="A371" s="131">
        <v>44117</v>
      </c>
      <c r="B371" s="50" t="s">
        <v>535</v>
      </c>
      <c r="C371" s="5">
        <v>1000000</v>
      </c>
      <c r="D371" s="5"/>
      <c r="E371" s="5">
        <f>+IF(FINANCIACION[[#This Row],[$ CAPITAL]]&gt;=0,FINANCIACION[[#This Row],[$ CAPITAL]]+FINANCIACION[[#This Row],[$ INTERESES]],"")</f>
        <v>1000000</v>
      </c>
      <c r="F371" s="5">
        <f>+SUMIFS(FINANCIACION[$ CAPITAL],FINANCIACION[Fecha],"&lt;="&amp;FINANCIACION[[#This Row],[Fecha]],FINANCIACION[PRESTAMO],FINANCIACION[[#This Row],[PRESTAMO]])</f>
        <v>-79004817.940000013</v>
      </c>
      <c r="G371" s="7"/>
      <c r="H371" s="53"/>
      <c r="I371" s="5">
        <f>IF(FINANCIACION[[#This Row],[$ CAPITAL]]&gt;0,FINANCIACION[[#This Row],[$ CAPITAL]])</f>
        <v>1000000</v>
      </c>
      <c r="J371" s="33">
        <f>IF(FINANCIACION[[#This Row],[$ CAPITAL]]&gt;=0,FINANCIACION[[#This Row],[$ CAPITAL]]+FINANCIACION[[#This Row],[$ INTERESES]],0)</f>
        <v>1000000</v>
      </c>
    </row>
    <row r="372" spans="1:10" ht="24" hidden="1" customHeight="1" x14ac:dyDescent="0.3">
      <c r="A372" s="131">
        <v>44123</v>
      </c>
      <c r="B372" s="50" t="s">
        <v>535</v>
      </c>
      <c r="C372" s="5">
        <v>3846480</v>
      </c>
      <c r="D372" s="5"/>
      <c r="E372" s="5">
        <f>+IF(FINANCIACION[[#This Row],[$ CAPITAL]]&gt;=0,FINANCIACION[[#This Row],[$ CAPITAL]]+FINANCIACION[[#This Row],[$ INTERESES]],"")</f>
        <v>3846480</v>
      </c>
      <c r="F372" s="5">
        <f>+SUMIFS(FINANCIACION[$ CAPITAL],FINANCIACION[Fecha],"&lt;="&amp;FINANCIACION[[#This Row],[Fecha]],FINANCIACION[PRESTAMO],FINANCIACION[[#This Row],[PRESTAMO]])</f>
        <v>-74158337.940000013</v>
      </c>
      <c r="G372" s="7"/>
      <c r="H372" s="53"/>
      <c r="I372" s="5">
        <f>IF(FINANCIACION[[#This Row],[$ CAPITAL]]&gt;0,FINANCIACION[[#This Row],[$ CAPITAL]])</f>
        <v>3846480</v>
      </c>
      <c r="J372" s="33">
        <f>IF(FINANCIACION[[#This Row],[$ CAPITAL]]&gt;=0,FINANCIACION[[#This Row],[$ CAPITAL]]+FINANCIACION[[#This Row],[$ INTERESES]],0)</f>
        <v>3846480</v>
      </c>
    </row>
    <row r="373" spans="1:10" ht="24" hidden="1" customHeight="1" x14ac:dyDescent="0.3">
      <c r="A373" s="131">
        <v>44123</v>
      </c>
      <c r="B373" s="50" t="s">
        <v>535</v>
      </c>
      <c r="C373" s="5">
        <v>1000000</v>
      </c>
      <c r="D373" s="5"/>
      <c r="E373" s="5">
        <f>+IF(FINANCIACION[[#This Row],[$ CAPITAL]]&gt;=0,FINANCIACION[[#This Row],[$ CAPITAL]]+FINANCIACION[[#This Row],[$ INTERESES]],"")</f>
        <v>1000000</v>
      </c>
      <c r="F373" s="5">
        <f>+SUMIFS(FINANCIACION[$ CAPITAL],FINANCIACION[Fecha],"&lt;="&amp;FINANCIACION[[#This Row],[Fecha]],FINANCIACION[PRESTAMO],FINANCIACION[[#This Row],[PRESTAMO]])</f>
        <v>-74158337.940000013</v>
      </c>
      <c r="G373" s="7"/>
      <c r="H373" s="53"/>
      <c r="I373" s="5">
        <f>IF(FINANCIACION[[#This Row],[$ CAPITAL]]&gt;0,FINANCIACION[[#This Row],[$ CAPITAL]])</f>
        <v>1000000</v>
      </c>
      <c r="J373" s="33">
        <f>IF(FINANCIACION[[#This Row],[$ CAPITAL]]&gt;=0,FINANCIACION[[#This Row],[$ CAPITAL]]+FINANCIACION[[#This Row],[$ INTERESES]],0)</f>
        <v>1000000</v>
      </c>
    </row>
    <row r="374" spans="1:10" ht="24" hidden="1" customHeight="1" x14ac:dyDescent="0.3">
      <c r="A374" s="131">
        <v>44130</v>
      </c>
      <c r="B374" s="50" t="s">
        <v>535</v>
      </c>
      <c r="C374" s="5">
        <v>3782660</v>
      </c>
      <c r="D374" s="5"/>
      <c r="E374" s="5">
        <f>+IF(FINANCIACION[[#This Row],[$ CAPITAL]]&gt;=0,FINANCIACION[[#This Row],[$ CAPITAL]]+FINANCIACION[[#This Row],[$ INTERESES]],"")</f>
        <v>3782660</v>
      </c>
      <c r="F374" s="5">
        <f>+SUMIFS(FINANCIACION[$ CAPITAL],FINANCIACION[Fecha],"&lt;="&amp;FINANCIACION[[#This Row],[Fecha]],FINANCIACION[PRESTAMO],FINANCIACION[[#This Row],[PRESTAMO]])</f>
        <v>-69375677.940000013</v>
      </c>
      <c r="G374" s="7"/>
      <c r="H374" s="53"/>
      <c r="I374" s="5">
        <f>IF(FINANCIACION[[#This Row],[$ CAPITAL]]&gt;0,FINANCIACION[[#This Row],[$ CAPITAL]])</f>
        <v>3782660</v>
      </c>
      <c r="J374" s="33">
        <f>IF(FINANCIACION[[#This Row],[$ CAPITAL]]&gt;=0,FINANCIACION[[#This Row],[$ CAPITAL]]+FINANCIACION[[#This Row],[$ INTERESES]],0)</f>
        <v>3782660</v>
      </c>
    </row>
    <row r="375" spans="1:10" ht="24" hidden="1" customHeight="1" x14ac:dyDescent="0.3">
      <c r="A375" s="131">
        <v>44130</v>
      </c>
      <c r="B375" s="50" t="s">
        <v>535</v>
      </c>
      <c r="C375" s="5">
        <v>1000000</v>
      </c>
      <c r="D375" s="5"/>
      <c r="E375" s="5">
        <f>+IF(FINANCIACION[[#This Row],[$ CAPITAL]]&gt;=0,FINANCIACION[[#This Row],[$ CAPITAL]]+FINANCIACION[[#This Row],[$ INTERESES]],"")</f>
        <v>1000000</v>
      </c>
      <c r="F375" s="5">
        <f>+SUMIFS(FINANCIACION[$ CAPITAL],FINANCIACION[Fecha],"&lt;="&amp;FINANCIACION[[#This Row],[Fecha]],FINANCIACION[PRESTAMO],FINANCIACION[[#This Row],[PRESTAMO]])</f>
        <v>-69375677.940000013</v>
      </c>
      <c r="G375" s="7"/>
      <c r="H375" s="53"/>
      <c r="I375" s="5">
        <f>IF(FINANCIACION[[#This Row],[$ CAPITAL]]&gt;0,FINANCIACION[[#This Row],[$ CAPITAL]])</f>
        <v>1000000</v>
      </c>
      <c r="J375" s="33">
        <f>IF(FINANCIACION[[#This Row],[$ CAPITAL]]&gt;=0,FINANCIACION[[#This Row],[$ CAPITAL]]+FINANCIACION[[#This Row],[$ INTERESES]],0)</f>
        <v>1000000</v>
      </c>
    </row>
    <row r="376" spans="1:10" ht="24" hidden="1" customHeight="1" x14ac:dyDescent="0.3">
      <c r="A376" s="131">
        <v>44131</v>
      </c>
      <c r="B376" s="50" t="s">
        <v>534</v>
      </c>
      <c r="C376" s="5">
        <v>5000000</v>
      </c>
      <c r="D376" s="5"/>
      <c r="E376" s="5">
        <f>+IF(FINANCIACION[[#This Row],[$ CAPITAL]]&gt;=0,FINANCIACION[[#This Row],[$ CAPITAL]]+FINANCIACION[[#This Row],[$ INTERESES]],"")</f>
        <v>5000000</v>
      </c>
      <c r="F376" s="5">
        <f>+SUMIFS(FINANCIACION[$ CAPITAL],FINANCIACION[Fecha],"&lt;="&amp;FINANCIACION[[#This Row],[Fecha]],FINANCIACION[PRESTAMO],FINANCIACION[[#This Row],[PRESTAMO]])</f>
        <v>-409011267</v>
      </c>
      <c r="G376" s="7"/>
      <c r="H376" s="53"/>
      <c r="I376" s="5">
        <f>IF(FINANCIACION[[#This Row],[$ CAPITAL]]&gt;0,FINANCIACION[[#This Row],[$ CAPITAL]])</f>
        <v>5000000</v>
      </c>
      <c r="J376" s="33">
        <f>IF(FINANCIACION[[#This Row],[$ CAPITAL]]&gt;=0,FINANCIACION[[#This Row],[$ CAPITAL]]+FINANCIACION[[#This Row],[$ INTERESES]],0)</f>
        <v>5000000</v>
      </c>
    </row>
    <row r="377" spans="1:10" ht="24" hidden="1" customHeight="1" x14ac:dyDescent="0.3">
      <c r="A377" s="131">
        <v>44135</v>
      </c>
      <c r="B377" s="50" t="s">
        <v>540</v>
      </c>
      <c r="C377" s="5">
        <v>-204034.69000000134</v>
      </c>
      <c r="D377" s="5"/>
      <c r="E377" s="5" t="str">
        <f>+IF(FINANCIACION[[#This Row],[$ CAPITAL]]&gt;=0,FINANCIACION[[#This Row],[$ CAPITAL]]+FINANCIACION[[#This Row],[$ INTERESES]],"")</f>
        <v/>
      </c>
      <c r="F377" s="5">
        <f>+SUMIFS(FINANCIACION[$ CAPITAL],FINANCIACION[Fecha],"&lt;="&amp;FINANCIACION[[#This Row],[Fecha]],FINANCIACION[PRESTAMO],FINANCIACION[[#This Row],[PRESTAMO]])</f>
        <v>-26299744.600000001</v>
      </c>
      <c r="G377" s="7"/>
      <c r="H377" s="53"/>
      <c r="I377" s="5" t="b">
        <f>IF(FINANCIACION[[#This Row],[$ CAPITAL]]&gt;0,FINANCIACION[[#This Row],[$ CAPITAL]])</f>
        <v>0</v>
      </c>
      <c r="J377" s="33">
        <f>IF(FINANCIACION[[#This Row],[$ CAPITAL]]&gt;=0,FINANCIACION[[#This Row],[$ CAPITAL]]+FINANCIACION[[#This Row],[$ INTERESES]],0)</f>
        <v>0</v>
      </c>
    </row>
    <row r="378" spans="1:10" ht="24" hidden="1" customHeight="1" x14ac:dyDescent="0.3">
      <c r="A378" s="131">
        <v>44135</v>
      </c>
      <c r="B378" s="50" t="s">
        <v>542</v>
      </c>
      <c r="C378" s="5">
        <v>-198507.05000000075</v>
      </c>
      <c r="D378" s="5"/>
      <c r="E378" s="5" t="str">
        <f>+IF(FINANCIACION[[#This Row],[$ CAPITAL]]&gt;=0,FINANCIACION[[#This Row],[$ CAPITAL]]+FINANCIACION[[#This Row],[$ INTERESES]],"")</f>
        <v/>
      </c>
      <c r="F378" s="5">
        <f>+SUMIFS(FINANCIACION[$ CAPITAL],FINANCIACION[Fecha],"&lt;="&amp;FINANCIACION[[#This Row],[Fecha]],FINANCIACION[PRESTAMO],FINANCIACION[[#This Row],[PRESTAMO]])</f>
        <v>-27341853.66</v>
      </c>
      <c r="G378" s="7"/>
      <c r="H378" s="53"/>
      <c r="I378" s="5" t="b">
        <f>IF(FINANCIACION[[#This Row],[$ CAPITAL]]&gt;0,FINANCIACION[[#This Row],[$ CAPITAL]])</f>
        <v>0</v>
      </c>
      <c r="J378" s="33">
        <f>IF(FINANCIACION[[#This Row],[$ CAPITAL]]&gt;=0,FINANCIACION[[#This Row],[$ CAPITAL]]+FINANCIACION[[#This Row],[$ INTERESES]],0)</f>
        <v>0</v>
      </c>
    </row>
    <row r="379" spans="1:10" ht="24" hidden="1" customHeight="1" x14ac:dyDescent="0.3">
      <c r="A379" s="131">
        <v>44135</v>
      </c>
      <c r="B379" s="50" t="s">
        <v>538</v>
      </c>
      <c r="C379" s="5">
        <v>-529471.48000000417</v>
      </c>
      <c r="D379" s="5"/>
      <c r="E379" s="5" t="str">
        <f>+IF(FINANCIACION[[#This Row],[$ CAPITAL]]&gt;=0,FINANCIACION[[#This Row],[$ CAPITAL]]+FINANCIACION[[#This Row],[$ INTERESES]],"")</f>
        <v/>
      </c>
      <c r="F379" s="5">
        <f>+SUMIFS(FINANCIACION[$ CAPITAL],FINANCIACION[Fecha],"&lt;="&amp;FINANCIACION[[#This Row],[Fecha]],FINANCIACION[PRESTAMO],FINANCIACION[[#This Row],[PRESTAMO]])</f>
        <v>-67450349.700000003</v>
      </c>
      <c r="G379" s="7"/>
      <c r="H379" s="53"/>
      <c r="I379" s="5" t="b">
        <f>IF(FINANCIACION[[#This Row],[$ CAPITAL]]&gt;0,FINANCIACION[[#This Row],[$ CAPITAL]])</f>
        <v>0</v>
      </c>
      <c r="J379" s="33">
        <f>IF(FINANCIACION[[#This Row],[$ CAPITAL]]&gt;=0,FINANCIACION[[#This Row],[$ CAPITAL]]+FINANCIACION[[#This Row],[$ INTERESES]],0)</f>
        <v>0</v>
      </c>
    </row>
    <row r="380" spans="1:10" ht="24" hidden="1" customHeight="1" x14ac:dyDescent="0.3">
      <c r="A380" s="131">
        <v>44135</v>
      </c>
      <c r="B380" s="50" t="s">
        <v>539</v>
      </c>
      <c r="C380" s="5">
        <v>-856581.43999999762</v>
      </c>
      <c r="D380" s="5"/>
      <c r="E380" s="5" t="str">
        <f>+IF(FINANCIACION[[#This Row],[$ CAPITAL]]&gt;=0,FINANCIACION[[#This Row],[$ CAPITAL]]+FINANCIACION[[#This Row],[$ INTERESES]],"")</f>
        <v/>
      </c>
      <c r="F380" s="5">
        <f>+SUMIFS(FINANCIACION[$ CAPITAL],FINANCIACION[Fecha],"&lt;="&amp;FINANCIACION[[#This Row],[Fecha]],FINANCIACION[PRESTAMO],FINANCIACION[[#This Row],[PRESTAMO]])</f>
        <v>-98472513</v>
      </c>
      <c r="G380" s="7"/>
      <c r="H380" s="53"/>
      <c r="I380" s="5" t="b">
        <f>IF(FINANCIACION[[#This Row],[$ CAPITAL]]&gt;0,FINANCIACION[[#This Row],[$ CAPITAL]])</f>
        <v>0</v>
      </c>
      <c r="J380" s="33">
        <f>IF(FINANCIACION[[#This Row],[$ CAPITAL]]&gt;=0,FINANCIACION[[#This Row],[$ CAPITAL]]+FINANCIACION[[#This Row],[$ INTERESES]],0)</f>
        <v>0</v>
      </c>
    </row>
    <row r="381" spans="1:10" ht="24" hidden="1" customHeight="1" x14ac:dyDescent="0.3">
      <c r="A381" s="131">
        <v>44135</v>
      </c>
      <c r="B381" s="50" t="s">
        <v>534</v>
      </c>
      <c r="C381" s="5">
        <v>6521200</v>
      </c>
      <c r="D381" s="5"/>
      <c r="E381" s="5">
        <f>+IF(FINANCIACION[[#This Row],[$ CAPITAL]]&gt;=0,FINANCIACION[[#This Row],[$ CAPITAL]]+FINANCIACION[[#This Row],[$ INTERESES]],"")</f>
        <v>6521200</v>
      </c>
      <c r="F381" s="5">
        <f>+SUMIFS(FINANCIACION[$ CAPITAL],FINANCIACION[Fecha],"&lt;="&amp;FINANCIACION[[#This Row],[Fecha]],FINANCIACION[PRESTAMO],FINANCIACION[[#This Row],[PRESTAMO]])</f>
        <v>-402490067</v>
      </c>
      <c r="G381" s="7"/>
      <c r="H381" s="53"/>
      <c r="I381" s="5">
        <f>IF(FINANCIACION[[#This Row],[$ CAPITAL]]&gt;0,FINANCIACION[[#This Row],[$ CAPITAL]])</f>
        <v>6521200</v>
      </c>
      <c r="J381" s="33">
        <f>IF(FINANCIACION[[#This Row],[$ CAPITAL]]&gt;=0,FINANCIACION[[#This Row],[$ CAPITAL]]+FINANCIACION[[#This Row],[$ INTERESES]],0)</f>
        <v>6521200</v>
      </c>
    </row>
    <row r="382" spans="1:10" ht="24" hidden="1" customHeight="1" x14ac:dyDescent="0.3">
      <c r="A382" s="131">
        <v>44135</v>
      </c>
      <c r="B382" s="50" t="s">
        <v>535</v>
      </c>
      <c r="C382" s="5">
        <v>-264978.33999999985</v>
      </c>
      <c r="D382" s="5"/>
      <c r="E382" s="5" t="str">
        <f>+IF(FINANCIACION[[#This Row],[$ CAPITAL]]&gt;=0,FINANCIACION[[#This Row],[$ CAPITAL]]+FINANCIACION[[#This Row],[$ INTERESES]],"")</f>
        <v/>
      </c>
      <c r="F382" s="5">
        <f>+SUMIFS(FINANCIACION[$ CAPITAL],FINANCIACION[Fecha],"&lt;="&amp;FINANCIACION[[#This Row],[Fecha]],FINANCIACION[PRESTAMO],FINANCIACION[[#This Row],[PRESTAMO]])</f>
        <v>-70069042.850000024</v>
      </c>
      <c r="G382" s="7"/>
      <c r="H382" s="53"/>
      <c r="I382" s="5" t="b">
        <f>IF(FINANCIACION[[#This Row],[$ CAPITAL]]&gt;0,FINANCIACION[[#This Row],[$ CAPITAL]])</f>
        <v>0</v>
      </c>
      <c r="J382" s="33">
        <f>IF(FINANCIACION[[#This Row],[$ CAPITAL]]&gt;=0,FINANCIACION[[#This Row],[$ CAPITAL]]+FINANCIACION[[#This Row],[$ INTERESES]],0)</f>
        <v>0</v>
      </c>
    </row>
    <row r="383" spans="1:10" ht="24" hidden="1" customHeight="1" x14ac:dyDescent="0.3">
      <c r="A383" s="131">
        <v>44135</v>
      </c>
      <c r="B383" s="50" t="s">
        <v>535</v>
      </c>
      <c r="C383" s="5">
        <v>-322222.5700000003</v>
      </c>
      <c r="D383" s="5"/>
      <c r="E383" s="5" t="str">
        <f>+IF(FINANCIACION[[#This Row],[$ CAPITAL]]&gt;=0,FINANCIACION[[#This Row],[$ CAPITAL]]+FINANCIACION[[#This Row],[$ INTERESES]],"")</f>
        <v/>
      </c>
      <c r="F383" s="5">
        <f>+SUMIFS(FINANCIACION[$ CAPITAL],FINANCIACION[Fecha],"&lt;="&amp;FINANCIACION[[#This Row],[Fecha]],FINANCIACION[PRESTAMO],FINANCIACION[[#This Row],[PRESTAMO]])</f>
        <v>-70069042.850000024</v>
      </c>
      <c r="G383" s="7"/>
      <c r="H383" s="53"/>
      <c r="I383" s="5" t="b">
        <f>IF(FINANCIACION[[#This Row],[$ CAPITAL]]&gt;0,FINANCIACION[[#This Row],[$ CAPITAL]])</f>
        <v>0</v>
      </c>
      <c r="J383" s="33">
        <f>IF(FINANCIACION[[#This Row],[$ CAPITAL]]&gt;=0,FINANCIACION[[#This Row],[$ CAPITAL]]+FINANCIACION[[#This Row],[$ INTERESES]],0)</f>
        <v>0</v>
      </c>
    </row>
    <row r="384" spans="1:10" ht="24" hidden="1" customHeight="1" x14ac:dyDescent="0.3">
      <c r="A384" s="131">
        <v>44135</v>
      </c>
      <c r="B384" s="50" t="s">
        <v>535</v>
      </c>
      <c r="C384" s="5">
        <v>-106164.00000000047</v>
      </c>
      <c r="D384" s="5"/>
      <c r="E384" s="5" t="str">
        <f>+IF(FINANCIACION[[#This Row],[$ CAPITAL]]&gt;=0,FINANCIACION[[#This Row],[$ CAPITAL]]+FINANCIACION[[#This Row],[$ INTERESES]],"")</f>
        <v/>
      </c>
      <c r="F384" s="5">
        <f>+SUMIFS(FINANCIACION[$ CAPITAL],FINANCIACION[Fecha],"&lt;="&amp;FINANCIACION[[#This Row],[Fecha]],FINANCIACION[PRESTAMO],FINANCIACION[[#This Row],[PRESTAMO]])</f>
        <v>-70069042.850000024</v>
      </c>
      <c r="G384" s="7"/>
      <c r="H384" s="53"/>
      <c r="I384" s="5" t="b">
        <f>IF(FINANCIACION[[#This Row],[$ CAPITAL]]&gt;0,FINANCIACION[[#This Row],[$ CAPITAL]])</f>
        <v>0</v>
      </c>
      <c r="J384" s="33">
        <f>IF(FINANCIACION[[#This Row],[$ CAPITAL]]&gt;=0,FINANCIACION[[#This Row],[$ CAPITAL]]+FINANCIACION[[#This Row],[$ INTERESES]],0)</f>
        <v>0</v>
      </c>
    </row>
    <row r="385" spans="1:10" ht="24" hidden="1" customHeight="1" x14ac:dyDescent="0.3">
      <c r="A385" s="131">
        <v>44138</v>
      </c>
      <c r="B385" s="50" t="s">
        <v>146</v>
      </c>
      <c r="C385" s="5"/>
      <c r="D385" s="5">
        <v>76830</v>
      </c>
      <c r="E385" s="5">
        <f>+IF(FINANCIACION[[#This Row],[$ CAPITAL]]&gt;=0,FINANCIACION[[#This Row],[$ CAPITAL]]+FINANCIACION[[#This Row],[$ INTERESES]],"")</f>
        <v>76830</v>
      </c>
      <c r="F385" s="5">
        <f>+SUMIFS(FINANCIACION[$ CAPITAL],FINANCIACION[Fecha],"&lt;="&amp;FINANCIACION[[#This Row],[Fecha]],FINANCIACION[PRESTAMO],FINANCIACION[[#This Row],[PRESTAMO]])</f>
        <v>-54330833</v>
      </c>
      <c r="G385" s="7"/>
      <c r="H385" s="53"/>
      <c r="I385" s="5" t="b">
        <f>IF(FINANCIACION[[#This Row],[$ CAPITAL]]&gt;0,FINANCIACION[[#This Row],[$ CAPITAL]])</f>
        <v>0</v>
      </c>
      <c r="J385" s="33">
        <f>IF(FINANCIACION[[#This Row],[$ CAPITAL]]&gt;=0,FINANCIACION[[#This Row],[$ CAPITAL]]+FINANCIACION[[#This Row],[$ INTERESES]],0)</f>
        <v>76830</v>
      </c>
    </row>
    <row r="386" spans="1:10" ht="24" hidden="1" customHeight="1" x14ac:dyDescent="0.3">
      <c r="A386" s="131">
        <v>44138</v>
      </c>
      <c r="B386" s="50" t="s">
        <v>147</v>
      </c>
      <c r="C386" s="5"/>
      <c r="D386" s="5">
        <v>530587</v>
      </c>
      <c r="E386" s="5">
        <f>+IF(FINANCIACION[[#This Row],[$ CAPITAL]]&gt;=0,FINANCIACION[[#This Row],[$ CAPITAL]]+FINANCIACION[[#This Row],[$ INTERESES]],"")</f>
        <v>530587</v>
      </c>
      <c r="F386" s="5">
        <f>+SUMIFS(FINANCIACION[$ CAPITAL],FINANCIACION[Fecha],"&lt;="&amp;FINANCIACION[[#This Row],[Fecha]],FINANCIACION[PRESTAMO],FINANCIACION[[#This Row],[PRESTAMO]])</f>
        <v>-3302052</v>
      </c>
      <c r="G386" s="7"/>
      <c r="H386" s="53"/>
      <c r="I386" s="5" t="b">
        <f>IF(FINANCIACION[[#This Row],[$ CAPITAL]]&gt;0,FINANCIACION[[#This Row],[$ CAPITAL]])</f>
        <v>0</v>
      </c>
      <c r="J386" s="33">
        <f>IF(FINANCIACION[[#This Row],[$ CAPITAL]]&gt;=0,FINANCIACION[[#This Row],[$ CAPITAL]]+FINANCIACION[[#This Row],[$ INTERESES]],0)</f>
        <v>530587</v>
      </c>
    </row>
    <row r="387" spans="1:10" ht="24" hidden="1" customHeight="1" x14ac:dyDescent="0.3">
      <c r="A387" s="131">
        <v>44138</v>
      </c>
      <c r="B387" s="50" t="s">
        <v>535</v>
      </c>
      <c r="C387" s="5">
        <v>3858560</v>
      </c>
      <c r="D387" s="5"/>
      <c r="E387" s="5">
        <f>+IF(FINANCIACION[[#This Row],[$ CAPITAL]]&gt;=0,FINANCIACION[[#This Row],[$ CAPITAL]]+FINANCIACION[[#This Row],[$ INTERESES]],"")</f>
        <v>3858560</v>
      </c>
      <c r="F387" s="5">
        <f>+SUMIFS(FINANCIACION[$ CAPITAL],FINANCIACION[Fecha],"&lt;="&amp;FINANCIACION[[#This Row],[Fecha]],FINANCIACION[PRESTAMO],FINANCIACION[[#This Row],[PRESTAMO]])</f>
        <v>-65210482.850000024</v>
      </c>
      <c r="G387" s="7"/>
      <c r="H387" s="53"/>
      <c r="I387" s="5">
        <f>IF(FINANCIACION[[#This Row],[$ CAPITAL]]&gt;0,FINANCIACION[[#This Row],[$ CAPITAL]])</f>
        <v>3858560</v>
      </c>
      <c r="J387" s="33">
        <f>IF(FINANCIACION[[#This Row],[$ CAPITAL]]&gt;=0,FINANCIACION[[#This Row],[$ CAPITAL]]+FINANCIACION[[#This Row],[$ INTERESES]],0)</f>
        <v>3858560</v>
      </c>
    </row>
    <row r="388" spans="1:10" ht="24" hidden="1" customHeight="1" x14ac:dyDescent="0.3">
      <c r="A388" s="131">
        <v>44138</v>
      </c>
      <c r="B388" s="50" t="s">
        <v>535</v>
      </c>
      <c r="C388" s="5">
        <v>1000000</v>
      </c>
      <c r="D388" s="5"/>
      <c r="E388" s="5">
        <f>+IF(FINANCIACION[[#This Row],[$ CAPITAL]]&gt;=0,FINANCIACION[[#This Row],[$ CAPITAL]]+FINANCIACION[[#This Row],[$ INTERESES]],"")</f>
        <v>1000000</v>
      </c>
      <c r="F388" s="5">
        <f>+SUMIFS(FINANCIACION[$ CAPITAL],FINANCIACION[Fecha],"&lt;="&amp;FINANCIACION[[#This Row],[Fecha]],FINANCIACION[PRESTAMO],FINANCIACION[[#This Row],[PRESTAMO]])</f>
        <v>-65210482.850000024</v>
      </c>
      <c r="G388" s="7"/>
      <c r="H388" s="53"/>
      <c r="I388" s="5">
        <f>IF(FINANCIACION[[#This Row],[$ CAPITAL]]&gt;0,FINANCIACION[[#This Row],[$ CAPITAL]])</f>
        <v>1000000</v>
      </c>
      <c r="J388" s="33">
        <f>IF(FINANCIACION[[#This Row],[$ CAPITAL]]&gt;=0,FINANCIACION[[#This Row],[$ CAPITAL]]+FINANCIACION[[#This Row],[$ INTERESES]],0)</f>
        <v>1000000</v>
      </c>
    </row>
    <row r="389" spans="1:10" ht="24" hidden="1" customHeight="1" x14ac:dyDescent="0.3">
      <c r="A389" s="131">
        <v>44139</v>
      </c>
      <c r="B389" s="50" t="s">
        <v>535</v>
      </c>
      <c r="C389" s="5">
        <v>990094.53</v>
      </c>
      <c r="D389" s="5">
        <v>182124.31000000006</v>
      </c>
      <c r="E389" s="5">
        <f>+IF(FINANCIACION[[#This Row],[$ CAPITAL]]&gt;=0,FINANCIACION[[#This Row],[$ CAPITAL]]+FINANCIACION[[#This Row],[$ INTERESES]],"")</f>
        <v>1172218.8400000001</v>
      </c>
      <c r="F389" s="5">
        <f>+SUMIFS(FINANCIACION[$ CAPITAL],FINANCIACION[Fecha],"&lt;="&amp;FINANCIACION[[#This Row],[Fecha]],FINANCIACION[PRESTAMO],FINANCIACION[[#This Row],[PRESTAMO]])</f>
        <v>-64220388.320000023</v>
      </c>
      <c r="G389" s="7"/>
      <c r="H389" s="53"/>
      <c r="I389" s="5">
        <f>IF(FINANCIACION[[#This Row],[$ CAPITAL]]&gt;0,FINANCIACION[[#This Row],[$ CAPITAL]])</f>
        <v>990094.53</v>
      </c>
      <c r="J389" s="33">
        <f>IF(FINANCIACION[[#This Row],[$ CAPITAL]]&gt;=0,FINANCIACION[[#This Row],[$ CAPITAL]]+FINANCIACION[[#This Row],[$ INTERESES]],0)</f>
        <v>1172218.8400000001</v>
      </c>
    </row>
    <row r="390" spans="1:10" ht="24" hidden="1" customHeight="1" x14ac:dyDescent="0.3">
      <c r="A390" s="131">
        <v>44141</v>
      </c>
      <c r="B390" s="50" t="s">
        <v>150</v>
      </c>
      <c r="C390" s="5">
        <v>6326000</v>
      </c>
      <c r="D390" s="5">
        <v>716774.57</v>
      </c>
      <c r="E390" s="5">
        <f>+IF(FINANCIACION[[#This Row],[$ CAPITAL]]&gt;=0,FINANCIACION[[#This Row],[$ CAPITAL]]+FINANCIACION[[#This Row],[$ INTERESES]],"")</f>
        <v>7042774.5700000003</v>
      </c>
      <c r="F390" s="5">
        <f>+SUMIFS(FINANCIACION[$ CAPITAL],FINANCIACION[Fecha],"&lt;="&amp;FINANCIACION[[#This Row],[Fecha]],FINANCIACION[PRESTAMO],FINANCIACION[[#This Row],[PRESTAMO]])</f>
        <v>-98321126</v>
      </c>
      <c r="G390" s="7"/>
      <c r="H390" s="53"/>
      <c r="I390" s="5">
        <f>IF(FINANCIACION[[#This Row],[$ CAPITAL]]&gt;0,FINANCIACION[[#This Row],[$ CAPITAL]])</f>
        <v>6326000</v>
      </c>
      <c r="J390" s="33">
        <f>IF(FINANCIACION[[#This Row],[$ CAPITAL]]&gt;=0,FINANCIACION[[#This Row],[$ CAPITAL]]+FINANCIACION[[#This Row],[$ INTERESES]],0)</f>
        <v>7042774.5700000003</v>
      </c>
    </row>
    <row r="391" spans="1:10" ht="24" hidden="1" customHeight="1" x14ac:dyDescent="0.3">
      <c r="A391" s="131">
        <v>44142</v>
      </c>
      <c r="B391" s="50" t="s">
        <v>532</v>
      </c>
      <c r="C391" s="5"/>
      <c r="D391" s="5">
        <v>950000</v>
      </c>
      <c r="E391" s="5">
        <f>+IF(FINANCIACION[[#This Row],[$ CAPITAL]]&gt;=0,FINANCIACION[[#This Row],[$ CAPITAL]]+FINANCIACION[[#This Row],[$ INTERESES]],"")</f>
        <v>950000</v>
      </c>
      <c r="F391" s="5">
        <f>+SUMIFS(FINANCIACION[$ CAPITAL],FINANCIACION[Fecha],"&lt;="&amp;FINANCIACION[[#This Row],[Fecha]],FINANCIACION[PRESTAMO],FINANCIACION[[#This Row],[PRESTAMO]])</f>
        <v>-94935167</v>
      </c>
      <c r="G391" s="7"/>
      <c r="H391" s="53"/>
      <c r="I391" s="5" t="b">
        <f>IF(FINANCIACION[[#This Row],[$ CAPITAL]]&gt;0,FINANCIACION[[#This Row],[$ CAPITAL]])</f>
        <v>0</v>
      </c>
      <c r="J391" s="33">
        <f>IF(FINANCIACION[[#This Row],[$ CAPITAL]]&gt;=0,FINANCIACION[[#This Row],[$ CAPITAL]]+FINANCIACION[[#This Row],[$ INTERESES]],0)</f>
        <v>950000</v>
      </c>
    </row>
    <row r="392" spans="1:10" ht="24" hidden="1" customHeight="1" x14ac:dyDescent="0.3">
      <c r="A392" s="131">
        <v>44142</v>
      </c>
      <c r="B392" s="50" t="s">
        <v>536</v>
      </c>
      <c r="C392" s="5">
        <v>858500</v>
      </c>
      <c r="D392" s="5">
        <v>141500</v>
      </c>
      <c r="E392" s="5">
        <f>+IF(FINANCIACION[[#This Row],[$ CAPITAL]]&gt;=0,FINANCIACION[[#This Row],[$ CAPITAL]]+FINANCIACION[[#This Row],[$ INTERESES]],"")</f>
        <v>1000000</v>
      </c>
      <c r="F392" s="5">
        <f>+SUMIFS(FINANCIACION[$ CAPITAL],FINANCIACION[Fecha],"&lt;="&amp;FINANCIACION[[#This Row],[Fecha]],FINANCIACION[PRESTAMO],FINANCIACION[[#This Row],[PRESTAMO]])</f>
        <v>-13291500</v>
      </c>
      <c r="G392" s="7"/>
      <c r="H392" s="53"/>
      <c r="I392" s="5">
        <f>IF(FINANCIACION[[#This Row],[$ CAPITAL]]&gt;0,FINANCIACION[[#This Row],[$ CAPITAL]])</f>
        <v>858500</v>
      </c>
      <c r="J392" s="33">
        <f>IF(FINANCIACION[[#This Row],[$ CAPITAL]]&gt;=0,FINANCIACION[[#This Row],[$ CAPITAL]]+FINANCIACION[[#This Row],[$ INTERESES]],0)</f>
        <v>1000000</v>
      </c>
    </row>
    <row r="393" spans="1:10" ht="24" hidden="1" customHeight="1" x14ac:dyDescent="0.3">
      <c r="A393" s="131">
        <v>44142</v>
      </c>
      <c r="B393" s="50" t="s">
        <v>533</v>
      </c>
      <c r="C393" s="5">
        <v>542926.9</v>
      </c>
      <c r="D393" s="5">
        <v>657073.1</v>
      </c>
      <c r="E393" s="5">
        <f>+IF(FINANCIACION[[#This Row],[$ CAPITAL]]&gt;=0,FINANCIACION[[#This Row],[$ CAPITAL]]+FINANCIACION[[#This Row],[$ INTERESES]],"")</f>
        <v>1200000</v>
      </c>
      <c r="F393" s="5">
        <f>+SUMIFS(FINANCIACION[$ CAPITAL],FINANCIACION[Fecha],"&lt;="&amp;FINANCIACION[[#This Row],[Fecha]],FINANCIACION[PRESTAMO],FINANCIACION[[#This Row],[PRESTAMO]])</f>
        <v>-65164383.100000001</v>
      </c>
      <c r="G393" s="7"/>
      <c r="H393" s="53"/>
      <c r="I393" s="5">
        <f>IF(FINANCIACION[[#This Row],[$ CAPITAL]]&gt;0,FINANCIACION[[#This Row],[$ CAPITAL]])</f>
        <v>542926.9</v>
      </c>
      <c r="J393" s="33">
        <f>IF(FINANCIACION[[#This Row],[$ CAPITAL]]&gt;=0,FINANCIACION[[#This Row],[$ CAPITAL]]+FINANCIACION[[#This Row],[$ INTERESES]],0)</f>
        <v>1200000</v>
      </c>
    </row>
    <row r="394" spans="1:10" ht="24" hidden="1" customHeight="1" x14ac:dyDescent="0.3">
      <c r="A394" s="131">
        <v>44144</v>
      </c>
      <c r="B394" s="50" t="s">
        <v>532</v>
      </c>
      <c r="C394" s="5">
        <v>3917000</v>
      </c>
      <c r="D394" s="5"/>
      <c r="E394" s="5">
        <f>+IF(FINANCIACION[[#This Row],[$ CAPITAL]]&gt;=0,FINANCIACION[[#This Row],[$ CAPITAL]]+FINANCIACION[[#This Row],[$ INTERESES]],"")</f>
        <v>3917000</v>
      </c>
      <c r="F394" s="5">
        <f>+SUMIFS(FINANCIACION[$ CAPITAL],FINANCIACION[Fecha],"&lt;="&amp;FINANCIACION[[#This Row],[Fecha]],FINANCIACION[PRESTAMO],FINANCIACION[[#This Row],[PRESTAMO]])</f>
        <v>-91018167</v>
      </c>
      <c r="G394" s="7"/>
      <c r="H394" s="53"/>
      <c r="I394" s="5">
        <f>IF(FINANCIACION[[#This Row],[$ CAPITAL]]&gt;0,FINANCIACION[[#This Row],[$ CAPITAL]])</f>
        <v>3917000</v>
      </c>
      <c r="J394" s="33">
        <f>IF(FINANCIACION[[#This Row],[$ CAPITAL]]&gt;=0,FINANCIACION[[#This Row],[$ CAPITAL]]+FINANCIACION[[#This Row],[$ INTERESES]],0)</f>
        <v>3917000</v>
      </c>
    </row>
    <row r="395" spans="1:10" ht="24" hidden="1" customHeight="1" x14ac:dyDescent="0.3">
      <c r="A395" s="131">
        <v>44144</v>
      </c>
      <c r="B395" s="50" t="s">
        <v>535</v>
      </c>
      <c r="C395" s="5">
        <v>120681</v>
      </c>
      <c r="D395" s="5"/>
      <c r="E395" s="5">
        <f>+IF(FINANCIACION[[#This Row],[$ CAPITAL]]&gt;=0,FINANCIACION[[#This Row],[$ CAPITAL]]+FINANCIACION[[#This Row],[$ INTERESES]],"")</f>
        <v>120681</v>
      </c>
      <c r="F395" s="5">
        <f>+SUMIFS(FINANCIACION[$ CAPITAL],FINANCIACION[Fecha],"&lt;="&amp;FINANCIACION[[#This Row],[Fecha]],FINANCIACION[PRESTAMO],FINANCIACION[[#This Row],[PRESTAMO]])</f>
        <v>-59361517.320000023</v>
      </c>
      <c r="G395" s="7"/>
      <c r="H395" s="53"/>
      <c r="I395" s="5">
        <f>IF(FINANCIACION[[#This Row],[$ CAPITAL]]&gt;0,FINANCIACION[[#This Row],[$ CAPITAL]])</f>
        <v>120681</v>
      </c>
      <c r="J395" s="33">
        <f>IF(FINANCIACION[[#This Row],[$ CAPITAL]]&gt;=0,FINANCIACION[[#This Row],[$ CAPITAL]]+FINANCIACION[[#This Row],[$ INTERESES]],0)</f>
        <v>120681</v>
      </c>
    </row>
    <row r="396" spans="1:10" ht="24" hidden="1" customHeight="1" x14ac:dyDescent="0.3">
      <c r="A396" s="131">
        <v>44144</v>
      </c>
      <c r="B396" s="50" t="s">
        <v>535</v>
      </c>
      <c r="C396" s="5">
        <v>3738190</v>
      </c>
      <c r="D396" s="5"/>
      <c r="E396" s="5">
        <f>+IF(FINANCIACION[[#This Row],[$ CAPITAL]]&gt;=0,FINANCIACION[[#This Row],[$ CAPITAL]]+FINANCIACION[[#This Row],[$ INTERESES]],"")</f>
        <v>3738190</v>
      </c>
      <c r="F396" s="5">
        <f>+SUMIFS(FINANCIACION[$ CAPITAL],FINANCIACION[Fecha],"&lt;="&amp;FINANCIACION[[#This Row],[Fecha]],FINANCIACION[PRESTAMO],FINANCIACION[[#This Row],[PRESTAMO]])</f>
        <v>-59361517.320000023</v>
      </c>
      <c r="G396" s="7"/>
      <c r="H396" s="53"/>
      <c r="I396" s="5">
        <f>IF(FINANCIACION[[#This Row],[$ CAPITAL]]&gt;0,FINANCIACION[[#This Row],[$ CAPITAL]])</f>
        <v>3738190</v>
      </c>
      <c r="J396" s="33">
        <f>IF(FINANCIACION[[#This Row],[$ CAPITAL]]&gt;=0,FINANCIACION[[#This Row],[$ CAPITAL]]+FINANCIACION[[#This Row],[$ INTERESES]],0)</f>
        <v>3738190</v>
      </c>
    </row>
    <row r="397" spans="1:10" ht="24" hidden="1" customHeight="1" x14ac:dyDescent="0.3">
      <c r="A397" s="131">
        <v>44144</v>
      </c>
      <c r="B397" s="50" t="s">
        <v>535</v>
      </c>
      <c r="C397" s="5">
        <v>1000000</v>
      </c>
      <c r="D397" s="5"/>
      <c r="E397" s="5">
        <f>+IF(FINANCIACION[[#This Row],[$ CAPITAL]]&gt;=0,FINANCIACION[[#This Row],[$ CAPITAL]]+FINANCIACION[[#This Row],[$ INTERESES]],"")</f>
        <v>1000000</v>
      </c>
      <c r="F397" s="5">
        <f>+SUMIFS(FINANCIACION[$ CAPITAL],FINANCIACION[Fecha],"&lt;="&amp;FINANCIACION[[#This Row],[Fecha]],FINANCIACION[PRESTAMO],FINANCIACION[[#This Row],[PRESTAMO]])</f>
        <v>-59361517.320000023</v>
      </c>
      <c r="G397" s="7"/>
      <c r="H397" s="53"/>
      <c r="I397" s="5">
        <f>IF(FINANCIACION[[#This Row],[$ CAPITAL]]&gt;0,FINANCIACION[[#This Row],[$ CAPITAL]])</f>
        <v>1000000</v>
      </c>
      <c r="J397" s="33">
        <f>IF(FINANCIACION[[#This Row],[$ CAPITAL]]&gt;=0,FINANCIACION[[#This Row],[$ CAPITAL]]+FINANCIACION[[#This Row],[$ INTERESES]],0)</f>
        <v>1000000</v>
      </c>
    </row>
    <row r="398" spans="1:10" ht="24" hidden="1" customHeight="1" x14ac:dyDescent="0.3">
      <c r="A398" s="131">
        <v>44155</v>
      </c>
      <c r="B398" s="50" t="s">
        <v>535</v>
      </c>
      <c r="C398" s="5">
        <v>-5000000</v>
      </c>
      <c r="D398" s="5"/>
      <c r="E398" s="5" t="str">
        <f>+IF(FINANCIACION[[#This Row],[$ CAPITAL]]&gt;=0,FINANCIACION[[#This Row],[$ CAPITAL]]+FINANCIACION[[#This Row],[$ INTERESES]],"")</f>
        <v/>
      </c>
      <c r="F398" s="5">
        <f>+SUMIFS(FINANCIACION[$ CAPITAL],FINANCIACION[Fecha],"&lt;="&amp;FINANCIACION[[#This Row],[Fecha]],FINANCIACION[PRESTAMO],FINANCIACION[[#This Row],[PRESTAMO]])</f>
        <v>-64361517.320000023</v>
      </c>
      <c r="G398" s="7"/>
      <c r="H398" s="53"/>
      <c r="I398" s="5" t="b">
        <f>IF(FINANCIACION[[#This Row],[$ CAPITAL]]&gt;0,FINANCIACION[[#This Row],[$ CAPITAL]])</f>
        <v>0</v>
      </c>
      <c r="J398" s="33">
        <f>IF(FINANCIACION[[#This Row],[$ CAPITAL]]&gt;=0,FINANCIACION[[#This Row],[$ CAPITAL]]+FINANCIACION[[#This Row],[$ INTERESES]],0)</f>
        <v>0</v>
      </c>
    </row>
    <row r="399" spans="1:10" ht="24" hidden="1" customHeight="1" x14ac:dyDescent="0.3">
      <c r="A399" s="131">
        <v>44158</v>
      </c>
      <c r="B399" s="50" t="s">
        <v>535</v>
      </c>
      <c r="C399" s="5">
        <v>3649900</v>
      </c>
      <c r="D399" s="5"/>
      <c r="E399" s="5">
        <f>+IF(FINANCIACION[[#This Row],[$ CAPITAL]]&gt;=0,FINANCIACION[[#This Row],[$ CAPITAL]]+FINANCIACION[[#This Row],[$ INTERESES]],"")</f>
        <v>3649900</v>
      </c>
      <c r="F399" s="5">
        <f>+SUMIFS(FINANCIACION[$ CAPITAL],FINANCIACION[Fecha],"&lt;="&amp;FINANCIACION[[#This Row],[Fecha]],FINANCIACION[PRESTAMO],FINANCIACION[[#This Row],[PRESTAMO]])</f>
        <v>-59711617.320000023</v>
      </c>
      <c r="G399" s="7"/>
      <c r="H399" s="53"/>
      <c r="I399" s="5">
        <f>IF(FINANCIACION[[#This Row],[$ CAPITAL]]&gt;0,FINANCIACION[[#This Row],[$ CAPITAL]])</f>
        <v>3649900</v>
      </c>
      <c r="J399" s="33">
        <f>IF(FINANCIACION[[#This Row],[$ CAPITAL]]&gt;=0,FINANCIACION[[#This Row],[$ CAPITAL]]+FINANCIACION[[#This Row],[$ INTERESES]],0)</f>
        <v>3649900</v>
      </c>
    </row>
    <row r="400" spans="1:10" ht="24" hidden="1" customHeight="1" x14ac:dyDescent="0.3">
      <c r="A400" s="131">
        <v>44158</v>
      </c>
      <c r="B400" s="50" t="s">
        <v>535</v>
      </c>
      <c r="C400" s="5">
        <v>1000000</v>
      </c>
      <c r="D400" s="5"/>
      <c r="E400" s="5">
        <f>+IF(FINANCIACION[[#This Row],[$ CAPITAL]]&gt;=0,FINANCIACION[[#This Row],[$ CAPITAL]]+FINANCIACION[[#This Row],[$ INTERESES]],"")</f>
        <v>1000000</v>
      </c>
      <c r="F400" s="5">
        <f>+SUMIFS(FINANCIACION[$ CAPITAL],FINANCIACION[Fecha],"&lt;="&amp;FINANCIACION[[#This Row],[Fecha]],FINANCIACION[PRESTAMO],FINANCIACION[[#This Row],[PRESTAMO]])</f>
        <v>-59711617.320000023</v>
      </c>
      <c r="G400" s="7"/>
      <c r="H400" s="53"/>
      <c r="I400" s="5">
        <f>IF(FINANCIACION[[#This Row],[$ CAPITAL]]&gt;0,FINANCIACION[[#This Row],[$ CAPITAL]])</f>
        <v>1000000</v>
      </c>
      <c r="J400" s="33">
        <f>IF(FINANCIACION[[#This Row],[$ CAPITAL]]&gt;=0,FINANCIACION[[#This Row],[$ CAPITAL]]+FINANCIACION[[#This Row],[$ INTERESES]],0)</f>
        <v>1000000</v>
      </c>
    </row>
    <row r="401" spans="1:10" ht="24" hidden="1" customHeight="1" x14ac:dyDescent="0.3">
      <c r="A401" s="131">
        <v>44161</v>
      </c>
      <c r="B401" s="50" t="s">
        <v>540</v>
      </c>
      <c r="C401" s="5">
        <v>5997.0599999986589</v>
      </c>
      <c r="D401" s="5">
        <v>570130.94000000134</v>
      </c>
      <c r="E401" s="5">
        <f>+IF(FINANCIACION[[#This Row],[$ CAPITAL]]&gt;=0,FINANCIACION[[#This Row],[$ CAPITAL]]+FINANCIACION[[#This Row],[$ INTERESES]],"")</f>
        <v>576128</v>
      </c>
      <c r="F401" s="5">
        <f>+SUMIFS(FINANCIACION[$ CAPITAL],FINANCIACION[Fecha],"&lt;="&amp;FINANCIACION[[#This Row],[Fecha]],FINANCIACION[PRESTAMO],FINANCIACION[[#This Row],[PRESTAMO]])</f>
        <v>-26293747.540000003</v>
      </c>
      <c r="G401" s="7"/>
      <c r="H401" s="53"/>
      <c r="I401" s="5">
        <f>IF(FINANCIACION[[#This Row],[$ CAPITAL]]&gt;0,FINANCIACION[[#This Row],[$ CAPITAL]])</f>
        <v>5997.0599999986589</v>
      </c>
      <c r="J401" s="33">
        <f>IF(FINANCIACION[[#This Row],[$ CAPITAL]]&gt;=0,FINANCIACION[[#This Row],[$ CAPITAL]]+FINANCIACION[[#This Row],[$ INTERESES]],0)</f>
        <v>576128</v>
      </c>
    </row>
    <row r="402" spans="1:10" ht="24" hidden="1" customHeight="1" x14ac:dyDescent="0.3">
      <c r="A402" s="131">
        <v>44161</v>
      </c>
      <c r="B402" s="50" t="s">
        <v>542</v>
      </c>
      <c r="C402" s="5">
        <v>6216.2899999991059</v>
      </c>
      <c r="D402" s="5">
        <v>393783.71000000089</v>
      </c>
      <c r="E402" s="5">
        <f>+IF(FINANCIACION[[#This Row],[$ CAPITAL]]&gt;=0,FINANCIACION[[#This Row],[$ CAPITAL]]+FINANCIACION[[#This Row],[$ INTERESES]],"")</f>
        <v>400000</v>
      </c>
      <c r="F402" s="5">
        <f>+SUMIFS(FINANCIACION[$ CAPITAL],FINANCIACION[Fecha],"&lt;="&amp;FINANCIACION[[#This Row],[Fecha]],FINANCIACION[PRESTAMO],FINANCIACION[[#This Row],[PRESTAMO]])</f>
        <v>-27335637.370000001</v>
      </c>
      <c r="G402" s="7"/>
      <c r="H402" s="53"/>
      <c r="I402" s="5">
        <f>IF(FINANCIACION[[#This Row],[$ CAPITAL]]&gt;0,FINANCIACION[[#This Row],[$ CAPITAL]])</f>
        <v>6216.2899999991059</v>
      </c>
      <c r="J402" s="33">
        <f>IF(FINANCIACION[[#This Row],[$ CAPITAL]]&gt;=0,FINANCIACION[[#This Row],[$ CAPITAL]]+FINANCIACION[[#This Row],[$ INTERESES]],0)</f>
        <v>400000</v>
      </c>
    </row>
    <row r="403" spans="1:10" ht="24" hidden="1" customHeight="1" x14ac:dyDescent="0.3">
      <c r="A403" s="131">
        <v>44161</v>
      </c>
      <c r="B403" s="50" t="s">
        <v>538</v>
      </c>
      <c r="C403" s="5">
        <v>15308.959999993443</v>
      </c>
      <c r="D403" s="5">
        <v>2484691.0400000066</v>
      </c>
      <c r="E403" s="5">
        <f>+IF(FINANCIACION[[#This Row],[$ CAPITAL]]&gt;=0,FINANCIACION[[#This Row],[$ CAPITAL]]+FINANCIACION[[#This Row],[$ INTERESES]],"")</f>
        <v>2500000</v>
      </c>
      <c r="F403" s="5">
        <f>+SUMIFS(FINANCIACION[$ CAPITAL],FINANCIACION[Fecha],"&lt;="&amp;FINANCIACION[[#This Row],[Fecha]],FINANCIACION[PRESTAMO],FINANCIACION[[#This Row],[PRESTAMO]])</f>
        <v>-67435040.74000001</v>
      </c>
      <c r="G403" s="7"/>
      <c r="H403" s="53"/>
      <c r="I403" s="5">
        <f>IF(FINANCIACION[[#This Row],[$ CAPITAL]]&gt;0,FINANCIACION[[#This Row],[$ CAPITAL]])</f>
        <v>15308.959999993443</v>
      </c>
      <c r="J403" s="33">
        <f>IF(FINANCIACION[[#This Row],[$ CAPITAL]]&gt;=0,FINANCIACION[[#This Row],[$ CAPITAL]]+FINANCIACION[[#This Row],[$ INTERESES]],0)</f>
        <v>2500000</v>
      </c>
    </row>
    <row r="404" spans="1:10" ht="24" hidden="1" customHeight="1" x14ac:dyDescent="0.3">
      <c r="A404" s="131">
        <v>44161</v>
      </c>
      <c r="B404" s="50" t="s">
        <v>539</v>
      </c>
      <c r="C404" s="5">
        <v>24886.480000004172</v>
      </c>
      <c r="D404" s="5">
        <v>3984146.5199999958</v>
      </c>
      <c r="E404" s="5">
        <f>+IF(FINANCIACION[[#This Row],[$ CAPITAL]]&gt;=0,FINANCIACION[[#This Row],[$ CAPITAL]]+FINANCIACION[[#This Row],[$ INTERESES]],"")</f>
        <v>4009033</v>
      </c>
      <c r="F404" s="5">
        <f>+SUMIFS(FINANCIACION[$ CAPITAL],FINANCIACION[Fecha],"&lt;="&amp;FINANCIACION[[#This Row],[Fecha]],FINANCIACION[PRESTAMO],FINANCIACION[[#This Row],[PRESTAMO]])</f>
        <v>-98447626.519999996</v>
      </c>
      <c r="G404" s="7"/>
      <c r="H404" s="53"/>
      <c r="I404" s="5">
        <f>IF(FINANCIACION[[#This Row],[$ CAPITAL]]&gt;0,FINANCIACION[[#This Row],[$ CAPITAL]])</f>
        <v>24886.480000004172</v>
      </c>
      <c r="J404" s="33">
        <f>IF(FINANCIACION[[#This Row],[$ CAPITAL]]&gt;=0,FINANCIACION[[#This Row],[$ CAPITAL]]+FINANCIACION[[#This Row],[$ INTERESES]],0)</f>
        <v>4009033</v>
      </c>
    </row>
    <row r="405" spans="1:10" ht="24" hidden="1" customHeight="1" x14ac:dyDescent="0.3">
      <c r="A405" s="131">
        <v>44161</v>
      </c>
      <c r="B405" s="50" t="s">
        <v>534</v>
      </c>
      <c r="C405" s="5">
        <v>0</v>
      </c>
      <c r="D405" s="5">
        <v>2000000</v>
      </c>
      <c r="E405" s="5">
        <f>+IF(FINANCIACION[[#This Row],[$ CAPITAL]]&gt;=0,FINANCIACION[[#This Row],[$ CAPITAL]]+FINANCIACION[[#This Row],[$ INTERESES]],"")</f>
        <v>2000000</v>
      </c>
      <c r="F405" s="5">
        <f>+SUMIFS(FINANCIACION[$ CAPITAL],FINANCIACION[Fecha],"&lt;="&amp;FINANCIACION[[#This Row],[Fecha]],FINANCIACION[PRESTAMO],FINANCIACION[[#This Row],[PRESTAMO]])</f>
        <v>-402490067</v>
      </c>
      <c r="G405" s="7"/>
      <c r="H405" s="53"/>
      <c r="I405" s="5" t="b">
        <f>IF(FINANCIACION[[#This Row],[$ CAPITAL]]&gt;0,FINANCIACION[[#This Row],[$ CAPITAL]])</f>
        <v>0</v>
      </c>
      <c r="J405" s="33">
        <f>IF(FINANCIACION[[#This Row],[$ CAPITAL]]&gt;=0,FINANCIACION[[#This Row],[$ CAPITAL]]+FINANCIACION[[#This Row],[$ INTERESES]],0)</f>
        <v>2000000</v>
      </c>
    </row>
    <row r="406" spans="1:10" ht="24" hidden="1" customHeight="1" x14ac:dyDescent="0.3">
      <c r="A406" s="131">
        <v>44161</v>
      </c>
      <c r="B406" s="50" t="s">
        <v>535</v>
      </c>
      <c r="C406" s="5">
        <v>7403.0900000035763</v>
      </c>
      <c r="D406" s="5">
        <v>1292596.9099999964</v>
      </c>
      <c r="E406" s="5">
        <f>+IF(FINANCIACION[[#This Row],[$ CAPITAL]]&gt;=0,FINANCIACION[[#This Row],[$ CAPITAL]]+FINANCIACION[[#This Row],[$ INTERESES]],"")</f>
        <v>1300000</v>
      </c>
      <c r="F406" s="5">
        <f>+SUMIFS(FINANCIACION[$ CAPITAL],FINANCIACION[Fecha],"&lt;="&amp;FINANCIACION[[#This Row],[Fecha]],FINANCIACION[PRESTAMO],FINANCIACION[[#This Row],[PRESTAMO]])</f>
        <v>-59695180.630000018</v>
      </c>
      <c r="G406" s="7"/>
      <c r="H406" s="53"/>
      <c r="I406" s="5">
        <f>IF(FINANCIACION[[#This Row],[$ CAPITAL]]&gt;0,FINANCIACION[[#This Row],[$ CAPITAL]])</f>
        <v>7403.0900000035763</v>
      </c>
      <c r="J406" s="33">
        <f>IF(FINANCIACION[[#This Row],[$ CAPITAL]]&gt;=0,FINANCIACION[[#This Row],[$ CAPITAL]]+FINANCIACION[[#This Row],[$ INTERESES]],0)</f>
        <v>1300000</v>
      </c>
    </row>
    <row r="407" spans="1:10" ht="24" hidden="1" customHeight="1" x14ac:dyDescent="0.3">
      <c r="A407" s="131">
        <v>44161</v>
      </c>
      <c r="B407" s="50" t="s">
        <v>535</v>
      </c>
      <c r="C407" s="5">
        <v>9033.6000000014901</v>
      </c>
      <c r="D407" s="5">
        <v>1582966.3999999985</v>
      </c>
      <c r="E407" s="5">
        <f>+IF(FINANCIACION[[#This Row],[$ CAPITAL]]&gt;=0,FINANCIACION[[#This Row],[$ CAPITAL]]+FINANCIACION[[#This Row],[$ INTERESES]],"")</f>
        <v>1592000</v>
      </c>
      <c r="F407" s="5">
        <f>+SUMIFS(FINANCIACION[$ CAPITAL],FINANCIACION[Fecha],"&lt;="&amp;FINANCIACION[[#This Row],[Fecha]],FINANCIACION[PRESTAMO],FINANCIACION[[#This Row],[PRESTAMO]])</f>
        <v>-59695180.630000018</v>
      </c>
      <c r="G407" s="7"/>
      <c r="H407" s="53"/>
      <c r="I407" s="5">
        <f>IF(FINANCIACION[[#This Row],[$ CAPITAL]]&gt;0,FINANCIACION[[#This Row],[$ CAPITAL]])</f>
        <v>9033.6000000014901</v>
      </c>
      <c r="J407" s="33">
        <f>IF(FINANCIACION[[#This Row],[$ CAPITAL]]&gt;=0,FINANCIACION[[#This Row],[$ CAPITAL]]+FINANCIACION[[#This Row],[$ INTERESES]],0)</f>
        <v>1592000</v>
      </c>
    </row>
    <row r="408" spans="1:10" ht="24" hidden="1" customHeight="1" x14ac:dyDescent="0.3">
      <c r="A408" s="131">
        <v>44162</v>
      </c>
      <c r="B408" s="50" t="s">
        <v>535</v>
      </c>
      <c r="C408" s="5">
        <v>1000000</v>
      </c>
      <c r="D408" s="5"/>
      <c r="E408" s="5">
        <f>+IF(FINANCIACION[[#This Row],[$ CAPITAL]]&gt;=0,FINANCIACION[[#This Row],[$ CAPITAL]]+FINANCIACION[[#This Row],[$ INTERESES]],"")</f>
        <v>1000000</v>
      </c>
      <c r="F408" s="5">
        <f>+SUMIFS(FINANCIACION[$ CAPITAL],FINANCIACION[Fecha],"&lt;="&amp;FINANCIACION[[#This Row],[Fecha]],FINANCIACION[PRESTAMO],FINANCIACION[[#This Row],[PRESTAMO]])</f>
        <v>-58695180.630000018</v>
      </c>
      <c r="G408" s="7"/>
      <c r="H408" s="53"/>
      <c r="I408" s="5">
        <f>IF(FINANCIACION[[#This Row],[$ CAPITAL]]&gt;0,FINANCIACION[[#This Row],[$ CAPITAL]])</f>
        <v>1000000</v>
      </c>
      <c r="J408" s="33">
        <f>IF(FINANCIACION[[#This Row],[$ CAPITAL]]&gt;=0,FINANCIACION[[#This Row],[$ CAPITAL]]+FINANCIACION[[#This Row],[$ INTERESES]],0)</f>
        <v>1000000</v>
      </c>
    </row>
    <row r="409" spans="1:10" ht="24" hidden="1" customHeight="1" x14ac:dyDescent="0.3">
      <c r="A409" s="131">
        <v>44163</v>
      </c>
      <c r="B409" s="50" t="s">
        <v>535</v>
      </c>
      <c r="C409" s="5">
        <v>-13000000</v>
      </c>
      <c r="D409" s="5"/>
      <c r="E409" s="5" t="str">
        <f>+IF(FINANCIACION[[#This Row],[$ CAPITAL]]&gt;=0,FINANCIACION[[#This Row],[$ CAPITAL]]+FINANCIACION[[#This Row],[$ INTERESES]],"")</f>
        <v/>
      </c>
      <c r="F409" s="5">
        <f>+SUMIFS(FINANCIACION[$ CAPITAL],FINANCIACION[Fecha],"&lt;="&amp;FINANCIACION[[#This Row],[Fecha]],FINANCIACION[PRESTAMO],FINANCIACION[[#This Row],[PRESTAMO]])</f>
        <v>-71695180.630000025</v>
      </c>
      <c r="G409" s="7"/>
      <c r="H409" s="53"/>
      <c r="I409" s="5" t="b">
        <f>IF(FINANCIACION[[#This Row],[$ CAPITAL]]&gt;0,FINANCIACION[[#This Row],[$ CAPITAL]])</f>
        <v>0</v>
      </c>
      <c r="J409" s="33">
        <f>IF(FINANCIACION[[#This Row],[$ CAPITAL]]&gt;=0,FINANCIACION[[#This Row],[$ CAPITAL]]+FINANCIACION[[#This Row],[$ INTERESES]],0)</f>
        <v>0</v>
      </c>
    </row>
    <row r="410" spans="1:10" ht="24" hidden="1" customHeight="1" x14ac:dyDescent="0.3">
      <c r="A410" s="131">
        <v>44165</v>
      </c>
      <c r="B410" s="50" t="s">
        <v>146</v>
      </c>
      <c r="C410" s="5"/>
      <c r="D410" s="5">
        <v>76791</v>
      </c>
      <c r="E410" s="5">
        <f>+IF(FINANCIACION[[#This Row],[$ CAPITAL]]&gt;=0,FINANCIACION[[#This Row],[$ CAPITAL]]+FINANCIACION[[#This Row],[$ INTERESES]],"")</f>
        <v>76791</v>
      </c>
      <c r="F410" s="5">
        <f>+SUMIFS(FINANCIACION[$ CAPITAL],FINANCIACION[Fecha],"&lt;="&amp;FINANCIACION[[#This Row],[Fecha]],FINANCIACION[PRESTAMO],FINANCIACION[[#This Row],[PRESTAMO]])</f>
        <v>-54330833</v>
      </c>
      <c r="G410" s="7"/>
      <c r="H410" s="53"/>
      <c r="I410" s="5" t="b">
        <f>IF(FINANCIACION[[#This Row],[$ CAPITAL]]&gt;0,FINANCIACION[[#This Row],[$ CAPITAL]])</f>
        <v>0</v>
      </c>
      <c r="J410" s="33">
        <f>IF(FINANCIACION[[#This Row],[$ CAPITAL]]&gt;=0,FINANCIACION[[#This Row],[$ CAPITAL]]+FINANCIACION[[#This Row],[$ INTERESES]],0)</f>
        <v>76791</v>
      </c>
    </row>
    <row r="411" spans="1:10" ht="24" hidden="1" customHeight="1" x14ac:dyDescent="0.3">
      <c r="A411" s="131">
        <v>44165</v>
      </c>
      <c r="B411" s="50" t="s">
        <v>147</v>
      </c>
      <c r="C411" s="5">
        <v>230412</v>
      </c>
      <c r="D411" s="5"/>
      <c r="E411" s="5">
        <f>+IF(FINANCIACION[[#This Row],[$ CAPITAL]]&gt;=0,FINANCIACION[[#This Row],[$ CAPITAL]]+FINANCIACION[[#This Row],[$ INTERESES]],"")</f>
        <v>230412</v>
      </c>
      <c r="F411" s="5">
        <f>+SUMIFS(FINANCIACION[$ CAPITAL],FINANCIACION[Fecha],"&lt;="&amp;FINANCIACION[[#This Row],[Fecha]],FINANCIACION[PRESTAMO],FINANCIACION[[#This Row],[PRESTAMO]])</f>
        <v>-3071640</v>
      </c>
      <c r="G411" s="7"/>
      <c r="H411" s="53"/>
      <c r="I411" s="5">
        <f>IF(FINANCIACION[[#This Row],[$ CAPITAL]]&gt;0,FINANCIACION[[#This Row],[$ CAPITAL]])</f>
        <v>230412</v>
      </c>
      <c r="J411" s="33">
        <f>IF(FINANCIACION[[#This Row],[$ CAPITAL]]&gt;=0,FINANCIACION[[#This Row],[$ CAPITAL]]+FINANCIACION[[#This Row],[$ INTERESES]],0)</f>
        <v>230412</v>
      </c>
    </row>
    <row r="412" spans="1:10" ht="24" hidden="1" customHeight="1" x14ac:dyDescent="0.3">
      <c r="A412" s="131">
        <v>44165</v>
      </c>
      <c r="B412" s="50" t="s">
        <v>147</v>
      </c>
      <c r="C412" s="5"/>
      <c r="D412" s="5">
        <v>497969</v>
      </c>
      <c r="E412" s="5">
        <f>+IF(FINANCIACION[[#This Row],[$ CAPITAL]]&gt;=0,FINANCIACION[[#This Row],[$ CAPITAL]]+FINANCIACION[[#This Row],[$ INTERESES]],"")</f>
        <v>497969</v>
      </c>
      <c r="F412" s="5">
        <f>+SUMIFS(FINANCIACION[$ CAPITAL],FINANCIACION[Fecha],"&lt;="&amp;FINANCIACION[[#This Row],[Fecha]],FINANCIACION[PRESTAMO],FINANCIACION[[#This Row],[PRESTAMO]])</f>
        <v>-3071640</v>
      </c>
      <c r="G412" s="7"/>
      <c r="H412" s="53"/>
      <c r="I412" s="5" t="b">
        <f>IF(FINANCIACION[[#This Row],[$ CAPITAL]]&gt;0,FINANCIACION[[#This Row],[$ CAPITAL]])</f>
        <v>0</v>
      </c>
      <c r="J412" s="33">
        <f>IF(FINANCIACION[[#This Row],[$ CAPITAL]]&gt;=0,FINANCIACION[[#This Row],[$ CAPITAL]]+FINANCIACION[[#This Row],[$ INTERESES]],0)</f>
        <v>497969</v>
      </c>
    </row>
    <row r="413" spans="1:10" ht="24" hidden="1" customHeight="1" x14ac:dyDescent="0.3">
      <c r="A413" s="131">
        <v>44165</v>
      </c>
      <c r="B413" s="50" t="s">
        <v>540</v>
      </c>
      <c r="C413" s="5">
        <v>409054.01000000164</v>
      </c>
      <c r="D413" s="5"/>
      <c r="E413" s="5">
        <f>+IF(FINANCIACION[[#This Row],[$ CAPITAL]]&gt;=0,FINANCIACION[[#This Row],[$ CAPITAL]]+FINANCIACION[[#This Row],[$ INTERESES]],"")</f>
        <v>409054.01000000164</v>
      </c>
      <c r="F413" s="5">
        <f>+SUMIFS(FINANCIACION[$ CAPITAL],FINANCIACION[Fecha],"&lt;="&amp;FINANCIACION[[#This Row],[Fecha]],FINANCIACION[PRESTAMO],FINANCIACION[[#This Row],[PRESTAMO]])</f>
        <v>-25884693.530000001</v>
      </c>
      <c r="G413" s="7"/>
      <c r="H413" s="53"/>
      <c r="I413" s="5">
        <f>IF(FINANCIACION[[#This Row],[$ CAPITAL]]&gt;0,FINANCIACION[[#This Row],[$ CAPITAL]])</f>
        <v>409054.01000000164</v>
      </c>
      <c r="J413" s="33">
        <f>IF(FINANCIACION[[#This Row],[$ CAPITAL]]&gt;=0,FINANCIACION[[#This Row],[$ CAPITAL]]+FINANCIACION[[#This Row],[$ INTERESES]],0)</f>
        <v>409054.01000000164</v>
      </c>
    </row>
    <row r="414" spans="1:10" ht="24" hidden="1" customHeight="1" x14ac:dyDescent="0.3">
      <c r="A414" s="131">
        <v>44165</v>
      </c>
      <c r="B414" s="50" t="s">
        <v>542</v>
      </c>
      <c r="C414" s="5">
        <v>214280.08000000194</v>
      </c>
      <c r="D414" s="5"/>
      <c r="E414" s="5">
        <f>+IF(FINANCIACION[[#This Row],[$ CAPITAL]]&gt;=0,FINANCIACION[[#This Row],[$ CAPITAL]]+FINANCIACION[[#This Row],[$ INTERESES]],"")</f>
        <v>214280.08000000194</v>
      </c>
      <c r="F414" s="5">
        <f>+SUMIFS(FINANCIACION[$ CAPITAL],FINANCIACION[Fecha],"&lt;="&amp;FINANCIACION[[#This Row],[Fecha]],FINANCIACION[PRESTAMO],FINANCIACION[[#This Row],[PRESTAMO]])</f>
        <v>-27121357.289999999</v>
      </c>
      <c r="G414" s="7"/>
      <c r="H414" s="53"/>
      <c r="I414" s="5">
        <f>IF(FINANCIACION[[#This Row],[$ CAPITAL]]&gt;0,FINANCIACION[[#This Row],[$ CAPITAL]])</f>
        <v>214280.08000000194</v>
      </c>
      <c r="J414" s="33">
        <f>IF(FINANCIACION[[#This Row],[$ CAPITAL]]&gt;=0,FINANCIACION[[#This Row],[$ CAPITAL]]+FINANCIACION[[#This Row],[$ INTERESES]],0)</f>
        <v>214280.08000000194</v>
      </c>
    </row>
    <row r="415" spans="1:10" ht="24" hidden="1" customHeight="1" x14ac:dyDescent="0.3">
      <c r="A415" s="131">
        <v>44165</v>
      </c>
      <c r="B415" s="50" t="s">
        <v>538</v>
      </c>
      <c r="C415" s="5">
        <v>2082309.400000006</v>
      </c>
      <c r="D415" s="5"/>
      <c r="E415" s="5">
        <f>+IF(FINANCIACION[[#This Row],[$ CAPITAL]]&gt;=0,FINANCIACION[[#This Row],[$ CAPITAL]]+FINANCIACION[[#This Row],[$ INTERESES]],"")</f>
        <v>2082309.400000006</v>
      </c>
      <c r="F415" s="5">
        <f>+SUMIFS(FINANCIACION[$ CAPITAL],FINANCIACION[Fecha],"&lt;="&amp;FINANCIACION[[#This Row],[Fecha]],FINANCIACION[PRESTAMO],FINANCIACION[[#This Row],[PRESTAMO]])</f>
        <v>-65352731.340000004</v>
      </c>
      <c r="G415" s="7"/>
      <c r="H415" s="53"/>
      <c r="I415" s="5">
        <f>IF(FINANCIACION[[#This Row],[$ CAPITAL]]&gt;0,FINANCIACION[[#This Row],[$ CAPITAL]])</f>
        <v>2082309.400000006</v>
      </c>
      <c r="J415" s="33">
        <f>IF(FINANCIACION[[#This Row],[$ CAPITAL]]&gt;=0,FINANCIACION[[#This Row],[$ CAPITAL]]+FINANCIACION[[#This Row],[$ INTERESES]],0)</f>
        <v>2082309.400000006</v>
      </c>
    </row>
    <row r="416" spans="1:10" ht="24" hidden="1" customHeight="1" x14ac:dyDescent="0.3">
      <c r="A416" s="131">
        <v>44165</v>
      </c>
      <c r="B416" s="50" t="s">
        <v>539</v>
      </c>
      <c r="C416" s="5">
        <v>3330972.049999997</v>
      </c>
      <c r="D416" s="5"/>
      <c r="E416" s="5">
        <f>+IF(FINANCIACION[[#This Row],[$ CAPITAL]]&gt;=0,FINANCIACION[[#This Row],[$ CAPITAL]]+FINANCIACION[[#This Row],[$ INTERESES]],"")</f>
        <v>3330972.049999997</v>
      </c>
      <c r="F416" s="5">
        <f>+SUMIFS(FINANCIACION[$ CAPITAL],FINANCIACION[Fecha],"&lt;="&amp;FINANCIACION[[#This Row],[Fecha]],FINANCIACION[PRESTAMO],FINANCIACION[[#This Row],[PRESTAMO]])</f>
        <v>-95116654.469999999</v>
      </c>
      <c r="G416" s="7"/>
      <c r="H416" s="53"/>
      <c r="I416" s="5">
        <f>IF(FINANCIACION[[#This Row],[$ CAPITAL]]&gt;0,FINANCIACION[[#This Row],[$ CAPITAL]])</f>
        <v>3330972.049999997</v>
      </c>
      <c r="J416" s="33">
        <f>IF(FINANCIACION[[#This Row],[$ CAPITAL]]&gt;=0,FINANCIACION[[#This Row],[$ CAPITAL]]+FINANCIACION[[#This Row],[$ INTERESES]],0)</f>
        <v>3330972.049999997</v>
      </c>
    </row>
    <row r="417" spans="1:10" ht="24" hidden="1" customHeight="1" x14ac:dyDescent="0.3">
      <c r="A417" s="131">
        <v>44165</v>
      </c>
      <c r="B417" s="50" t="s">
        <v>534</v>
      </c>
      <c r="C417" s="5">
        <v>5494197</v>
      </c>
      <c r="D417" s="5"/>
      <c r="E417" s="5">
        <f>+IF(FINANCIACION[[#This Row],[$ CAPITAL]]&gt;=0,FINANCIACION[[#This Row],[$ CAPITAL]]+FINANCIACION[[#This Row],[$ INTERESES]],"")</f>
        <v>5494197</v>
      </c>
      <c r="F417" s="5">
        <f>+SUMIFS(FINANCIACION[$ CAPITAL],FINANCIACION[Fecha],"&lt;="&amp;FINANCIACION[[#This Row],[Fecha]],FINANCIACION[PRESTAMO],FINANCIACION[[#This Row],[PRESTAMO]])</f>
        <v>-396995870</v>
      </c>
      <c r="G417" s="7"/>
      <c r="H417" s="53"/>
      <c r="I417" s="5">
        <f>IF(FINANCIACION[[#This Row],[$ CAPITAL]]&gt;0,FINANCIACION[[#This Row],[$ CAPITAL]])</f>
        <v>5494197</v>
      </c>
      <c r="J417" s="33">
        <f>IF(FINANCIACION[[#This Row],[$ CAPITAL]]&gt;=0,FINANCIACION[[#This Row],[$ CAPITAL]]+FINANCIACION[[#This Row],[$ INTERESES]],0)</f>
        <v>5494197</v>
      </c>
    </row>
    <row r="418" spans="1:10" ht="24" hidden="1" customHeight="1" x14ac:dyDescent="0.3">
      <c r="A418" s="131">
        <v>44165</v>
      </c>
      <c r="B418" s="50" t="s">
        <v>535</v>
      </c>
      <c r="C418" s="5">
        <v>2118385.0699999928</v>
      </c>
      <c r="D418" s="5"/>
      <c r="E418" s="5">
        <f>+IF(FINANCIACION[[#This Row],[$ CAPITAL]]&gt;=0,FINANCIACION[[#This Row],[$ CAPITAL]]+FINANCIACION[[#This Row],[$ INTERESES]],"")</f>
        <v>2118385.0699999928</v>
      </c>
      <c r="F418" s="5">
        <f>+SUMIFS(FINANCIACION[$ CAPITAL],FINANCIACION[Fecha],"&lt;="&amp;FINANCIACION[[#This Row],[Fecha]],FINANCIACION[PRESTAMO],FINANCIACION[[#This Row],[PRESTAMO]])</f>
        <v>-85486465.350000039</v>
      </c>
      <c r="G418" s="7"/>
      <c r="H418" s="53"/>
      <c r="I418" s="5">
        <f>IF(FINANCIACION[[#This Row],[$ CAPITAL]]&gt;0,FINANCIACION[[#This Row],[$ CAPITAL]])</f>
        <v>2118385.0699999928</v>
      </c>
      <c r="J418" s="33">
        <f>IF(FINANCIACION[[#This Row],[$ CAPITAL]]&gt;=0,FINANCIACION[[#This Row],[$ CAPITAL]]+FINANCIACION[[#This Row],[$ INTERESES]],0)</f>
        <v>2118385.0699999928</v>
      </c>
    </row>
    <row r="419" spans="1:10" ht="24" hidden="1" customHeight="1" x14ac:dyDescent="0.3">
      <c r="A419" s="131">
        <v>44165</v>
      </c>
      <c r="B419" s="50" t="s">
        <v>535</v>
      </c>
      <c r="C419" s="5">
        <v>3258640.2100000009</v>
      </c>
      <c r="D419" s="5"/>
      <c r="E419" s="5">
        <f>+IF(FINANCIACION[[#This Row],[$ CAPITAL]]&gt;=0,FINANCIACION[[#This Row],[$ CAPITAL]]+FINANCIACION[[#This Row],[$ INTERESES]],"")</f>
        <v>3258640.2100000009</v>
      </c>
      <c r="F419" s="5">
        <f>+SUMIFS(FINANCIACION[$ CAPITAL],FINANCIACION[Fecha],"&lt;="&amp;FINANCIACION[[#This Row],[Fecha]],FINANCIACION[PRESTAMO],FINANCIACION[[#This Row],[PRESTAMO]])</f>
        <v>-85486465.350000039</v>
      </c>
      <c r="G419" s="7"/>
      <c r="H419" s="53"/>
      <c r="I419" s="5">
        <f>IF(FINANCIACION[[#This Row],[$ CAPITAL]]&gt;0,FINANCIACION[[#This Row],[$ CAPITAL]])</f>
        <v>3258640.2100000009</v>
      </c>
      <c r="J419" s="33">
        <f>IF(FINANCIACION[[#This Row],[$ CAPITAL]]&gt;=0,FINANCIACION[[#This Row],[$ CAPITAL]]+FINANCIACION[[#This Row],[$ INTERESES]],0)</f>
        <v>3258640.2100000009</v>
      </c>
    </row>
    <row r="420" spans="1:10" ht="24" hidden="1" customHeight="1" x14ac:dyDescent="0.3">
      <c r="A420" s="131">
        <v>44165</v>
      </c>
      <c r="B420" s="50" t="s">
        <v>535</v>
      </c>
      <c r="C420" s="5">
        <v>-2196802.0000000005</v>
      </c>
      <c r="D420" s="5"/>
      <c r="E420" s="5" t="str">
        <f>+IF(FINANCIACION[[#This Row],[$ CAPITAL]]&gt;=0,FINANCIACION[[#This Row],[$ CAPITAL]]+FINANCIACION[[#This Row],[$ INTERESES]],"")</f>
        <v/>
      </c>
      <c r="F420" s="5">
        <f>+SUMIFS(FINANCIACION[$ CAPITAL],FINANCIACION[Fecha],"&lt;="&amp;FINANCIACION[[#This Row],[Fecha]],FINANCIACION[PRESTAMO],FINANCIACION[[#This Row],[PRESTAMO]])</f>
        <v>-85486465.350000039</v>
      </c>
      <c r="G420" s="7"/>
      <c r="H420" s="53"/>
      <c r="I420" s="5" t="b">
        <f>IF(FINANCIACION[[#This Row],[$ CAPITAL]]&gt;0,FINANCIACION[[#This Row],[$ CAPITAL]])</f>
        <v>0</v>
      </c>
      <c r="J420" s="33">
        <f>IF(FINANCIACION[[#This Row],[$ CAPITAL]]&gt;=0,FINANCIACION[[#This Row],[$ CAPITAL]]+FINANCIACION[[#This Row],[$ INTERESES]],0)</f>
        <v>0</v>
      </c>
    </row>
    <row r="421" spans="1:10" ht="24" hidden="1" customHeight="1" x14ac:dyDescent="0.3">
      <c r="A421" s="131">
        <v>44165</v>
      </c>
      <c r="B421" s="50" t="s">
        <v>535</v>
      </c>
      <c r="C421" s="5">
        <v>-14475360.000000004</v>
      </c>
      <c r="D421" s="5"/>
      <c r="E421" s="5" t="str">
        <f>+IF(FINANCIACION[[#This Row],[$ CAPITAL]]&gt;=0,FINANCIACION[[#This Row],[$ CAPITAL]]+FINANCIACION[[#This Row],[$ INTERESES]],"")</f>
        <v/>
      </c>
      <c r="F421" s="5">
        <f>+SUMIFS(FINANCIACION[$ CAPITAL],FINANCIACION[Fecha],"&lt;="&amp;FINANCIACION[[#This Row],[Fecha]],FINANCIACION[PRESTAMO],FINANCIACION[[#This Row],[PRESTAMO]])</f>
        <v>-85486465.350000039</v>
      </c>
      <c r="G421" s="7"/>
      <c r="H421" s="53"/>
      <c r="I421" s="5" t="b">
        <f>IF(FINANCIACION[[#This Row],[$ CAPITAL]]&gt;0,FINANCIACION[[#This Row],[$ CAPITAL]])</f>
        <v>0</v>
      </c>
      <c r="J421" s="33">
        <f>IF(FINANCIACION[[#This Row],[$ CAPITAL]]&gt;=0,FINANCIACION[[#This Row],[$ CAPITAL]]+FINANCIACION[[#This Row],[$ INTERESES]],0)</f>
        <v>0</v>
      </c>
    </row>
    <row r="422" spans="1:10" ht="24" hidden="1" customHeight="1" x14ac:dyDescent="0.3">
      <c r="A422" s="131">
        <v>44165</v>
      </c>
      <c r="B422" s="50" t="s">
        <v>535</v>
      </c>
      <c r="C422" s="5">
        <v>-2496148</v>
      </c>
      <c r="D422" s="5"/>
      <c r="E422" s="5" t="str">
        <f>+IF(FINANCIACION[[#This Row],[$ CAPITAL]]&gt;=0,FINANCIACION[[#This Row],[$ CAPITAL]]+FINANCIACION[[#This Row],[$ INTERESES]],"")</f>
        <v/>
      </c>
      <c r="F422" s="5">
        <f>+SUMIFS(FINANCIACION[$ CAPITAL],FINANCIACION[Fecha],"&lt;="&amp;FINANCIACION[[#This Row],[Fecha]],FINANCIACION[PRESTAMO],FINANCIACION[[#This Row],[PRESTAMO]])</f>
        <v>-85486465.350000039</v>
      </c>
      <c r="G422" s="7"/>
      <c r="H422" s="53"/>
      <c r="I422" s="5" t="b">
        <f>IF(FINANCIACION[[#This Row],[$ CAPITAL]]&gt;0,FINANCIACION[[#This Row],[$ CAPITAL]])</f>
        <v>0</v>
      </c>
      <c r="J422" s="33">
        <f>IF(FINANCIACION[[#This Row],[$ CAPITAL]]&gt;=0,FINANCIACION[[#This Row],[$ CAPITAL]]+FINANCIACION[[#This Row],[$ INTERESES]],0)</f>
        <v>0</v>
      </c>
    </row>
    <row r="423" spans="1:10" ht="24" hidden="1" customHeight="1" x14ac:dyDescent="0.3">
      <c r="A423" s="131">
        <v>44166</v>
      </c>
      <c r="B423" s="50" t="s">
        <v>149</v>
      </c>
      <c r="C423" s="5">
        <v>-90130880</v>
      </c>
      <c r="D423" s="5"/>
      <c r="E423" s="5" t="str">
        <f>+IF(FINANCIACION[[#This Row],[$ CAPITAL]]&gt;=0,FINANCIACION[[#This Row],[$ CAPITAL]]+FINANCIACION[[#This Row],[$ INTERESES]],"")</f>
        <v/>
      </c>
      <c r="F423" s="5">
        <f>+SUMIFS(FINANCIACION[$ CAPITAL],FINANCIACION[Fecha],"&lt;="&amp;FINANCIACION[[#This Row],[Fecha]],FINANCIACION[PRESTAMO],FINANCIACION[[#This Row],[PRESTAMO]])</f>
        <v>-90130880</v>
      </c>
      <c r="G423" s="7" t="s">
        <v>171</v>
      </c>
      <c r="H423" s="53">
        <v>-25751.68</v>
      </c>
      <c r="I423" s="5" t="b">
        <f>IF(FINANCIACION[[#This Row],[$ CAPITAL]]&gt;0,FINANCIACION[[#This Row],[$ CAPITAL]])</f>
        <v>0</v>
      </c>
      <c r="J423" s="33">
        <f>IF(FINANCIACION[[#This Row],[$ CAPITAL]]&gt;=0,FINANCIACION[[#This Row],[$ CAPITAL]]+FINANCIACION[[#This Row],[$ INTERESES]],0)</f>
        <v>0</v>
      </c>
    </row>
    <row r="424" spans="1:10" ht="24" hidden="1" customHeight="1" x14ac:dyDescent="0.3">
      <c r="A424" s="131">
        <v>44167</v>
      </c>
      <c r="B424" s="50" t="s">
        <v>535</v>
      </c>
      <c r="C424" s="5">
        <v>7066420</v>
      </c>
      <c r="D424" s="5"/>
      <c r="E424" s="5">
        <f>+IF(FINANCIACION[[#This Row],[$ CAPITAL]]&gt;=0,FINANCIACION[[#This Row],[$ CAPITAL]]+FINANCIACION[[#This Row],[$ INTERESES]],"")</f>
        <v>7066420</v>
      </c>
      <c r="F424" s="5">
        <f>+SUMIFS(FINANCIACION[$ CAPITAL],FINANCIACION[Fecha],"&lt;="&amp;FINANCIACION[[#This Row],[Fecha]],FINANCIACION[PRESTAMO],FINANCIACION[[#This Row],[PRESTAMO]])</f>
        <v>-78420045.350000039</v>
      </c>
      <c r="G424" s="7"/>
      <c r="H424" s="53"/>
      <c r="I424" s="5">
        <f>IF(FINANCIACION[[#This Row],[$ CAPITAL]]&gt;0,FINANCIACION[[#This Row],[$ CAPITAL]])</f>
        <v>7066420</v>
      </c>
      <c r="J424" s="33">
        <f>IF(FINANCIACION[[#This Row],[$ CAPITAL]]&gt;=0,FINANCIACION[[#This Row],[$ CAPITAL]]+FINANCIACION[[#This Row],[$ INTERESES]],0)</f>
        <v>7066420</v>
      </c>
    </row>
    <row r="425" spans="1:10" ht="24" hidden="1" customHeight="1" x14ac:dyDescent="0.3">
      <c r="A425" s="131">
        <v>44169</v>
      </c>
      <c r="B425" s="50" t="s">
        <v>535</v>
      </c>
      <c r="C425" s="5">
        <v>990094.53</v>
      </c>
      <c r="D425" s="5">
        <v>169712.89</v>
      </c>
      <c r="E425" s="5">
        <f>+IF(FINANCIACION[[#This Row],[$ CAPITAL]]&gt;=0,FINANCIACION[[#This Row],[$ CAPITAL]]+FINANCIACION[[#This Row],[$ INTERESES]],"")</f>
        <v>1159807.42</v>
      </c>
      <c r="F425" s="5">
        <f>+SUMIFS(FINANCIACION[$ CAPITAL],FINANCIACION[Fecha],"&lt;="&amp;FINANCIACION[[#This Row],[Fecha]],FINANCIACION[PRESTAMO],FINANCIACION[[#This Row],[PRESTAMO]])</f>
        <v>-77429950.820000038</v>
      </c>
      <c r="G425" s="7"/>
      <c r="H425" s="53"/>
      <c r="I425" s="5">
        <f>IF(FINANCIACION[[#This Row],[$ CAPITAL]]&gt;0,FINANCIACION[[#This Row],[$ CAPITAL]])</f>
        <v>990094.53</v>
      </c>
      <c r="J425" s="33">
        <f>IF(FINANCIACION[[#This Row],[$ CAPITAL]]&gt;=0,FINANCIACION[[#This Row],[$ CAPITAL]]+FINANCIACION[[#This Row],[$ INTERESES]],0)</f>
        <v>1159807.42</v>
      </c>
    </row>
    <row r="426" spans="1:10" ht="24" hidden="1" customHeight="1" x14ac:dyDescent="0.3">
      <c r="A426" s="131">
        <v>44171</v>
      </c>
      <c r="B426" s="50" t="s">
        <v>150</v>
      </c>
      <c r="C426" s="5">
        <v>6326000</v>
      </c>
      <c r="D426" s="5">
        <v>662992.15</v>
      </c>
      <c r="E426" s="5">
        <f>+IF(FINANCIACION[[#This Row],[$ CAPITAL]]&gt;=0,FINANCIACION[[#This Row],[$ CAPITAL]]+FINANCIACION[[#This Row],[$ INTERESES]],"")</f>
        <v>6988992.1500000004</v>
      </c>
      <c r="F426" s="5">
        <f>+SUMIFS(FINANCIACION[$ CAPITAL],FINANCIACION[Fecha],"&lt;="&amp;FINANCIACION[[#This Row],[Fecha]],FINANCIACION[PRESTAMO],FINANCIACION[[#This Row],[PRESTAMO]])</f>
        <v>-91995126</v>
      </c>
      <c r="G426" s="7"/>
      <c r="H426" s="53"/>
      <c r="I426" s="5">
        <f>IF(FINANCIACION[[#This Row],[$ CAPITAL]]&gt;0,FINANCIACION[[#This Row],[$ CAPITAL]])</f>
        <v>6326000</v>
      </c>
      <c r="J426" s="33">
        <f>IF(FINANCIACION[[#This Row],[$ CAPITAL]]&gt;=0,FINANCIACION[[#This Row],[$ CAPITAL]]+FINANCIACION[[#This Row],[$ INTERESES]],0)</f>
        <v>6988992.1500000004</v>
      </c>
    </row>
    <row r="427" spans="1:10" ht="24" hidden="1" customHeight="1" x14ac:dyDescent="0.3">
      <c r="A427" s="131">
        <v>44172</v>
      </c>
      <c r="B427" s="50" t="s">
        <v>535</v>
      </c>
      <c r="C427" s="5">
        <v>1500000</v>
      </c>
      <c r="D427" s="5"/>
      <c r="E427" s="5">
        <f>+IF(FINANCIACION[[#This Row],[$ CAPITAL]]&gt;=0,FINANCIACION[[#This Row],[$ CAPITAL]]+FINANCIACION[[#This Row],[$ INTERESES]],"")</f>
        <v>1500000</v>
      </c>
      <c r="F427" s="5">
        <f>+SUMIFS(FINANCIACION[$ CAPITAL],FINANCIACION[Fecha],"&lt;="&amp;FINANCIACION[[#This Row],[Fecha]],FINANCIACION[PRESTAMO],FINANCIACION[[#This Row],[PRESTAMO]])</f>
        <v>-75929950.820000038</v>
      </c>
      <c r="G427" s="7"/>
      <c r="H427" s="53"/>
      <c r="I427" s="5">
        <f>IF(FINANCIACION[[#This Row],[$ CAPITAL]]&gt;0,FINANCIACION[[#This Row],[$ CAPITAL]])</f>
        <v>1500000</v>
      </c>
      <c r="J427" s="33">
        <f>IF(FINANCIACION[[#This Row],[$ CAPITAL]]&gt;=0,FINANCIACION[[#This Row],[$ CAPITAL]]+FINANCIACION[[#This Row],[$ INTERESES]],0)</f>
        <v>1500000</v>
      </c>
    </row>
    <row r="428" spans="1:10" ht="24" hidden="1" customHeight="1" x14ac:dyDescent="0.3">
      <c r="A428" s="131">
        <v>44175</v>
      </c>
      <c r="B428" s="50" t="s">
        <v>532</v>
      </c>
      <c r="C428" s="5">
        <v>1655718.33</v>
      </c>
      <c r="D428" s="5">
        <v>910181.67</v>
      </c>
      <c r="E428" s="5">
        <f>+IF(FINANCIACION[[#This Row],[$ CAPITAL]]&gt;=0,FINANCIACION[[#This Row],[$ CAPITAL]]+FINANCIACION[[#This Row],[$ INTERESES]],"")</f>
        <v>2565900</v>
      </c>
      <c r="F428" s="5">
        <f>+SUMIFS(FINANCIACION[$ CAPITAL],FINANCIACION[Fecha],"&lt;="&amp;FINANCIACION[[#This Row],[Fecha]],FINANCIACION[PRESTAMO],FINANCIACION[[#This Row],[PRESTAMO]])</f>
        <v>-89362448.670000002</v>
      </c>
      <c r="G428" s="7"/>
      <c r="H428" s="53"/>
      <c r="I428" s="5">
        <f>IF(FINANCIACION[[#This Row],[$ CAPITAL]]&gt;0,FINANCIACION[[#This Row],[$ CAPITAL]])</f>
        <v>1655718.33</v>
      </c>
      <c r="J428" s="33">
        <f>IF(FINANCIACION[[#This Row],[$ CAPITAL]]&gt;=0,FINANCIACION[[#This Row],[$ CAPITAL]]+FINANCIACION[[#This Row],[$ INTERESES]],0)</f>
        <v>2565900</v>
      </c>
    </row>
    <row r="429" spans="1:10" ht="24" hidden="1" customHeight="1" x14ac:dyDescent="0.3">
      <c r="A429" s="131">
        <v>44175</v>
      </c>
      <c r="B429" s="50" t="s">
        <v>536</v>
      </c>
      <c r="C429" s="5">
        <v>867085</v>
      </c>
      <c r="D429" s="5">
        <v>132915</v>
      </c>
      <c r="E429" s="5">
        <f>+IF(FINANCIACION[[#This Row],[$ CAPITAL]]&gt;=0,FINANCIACION[[#This Row],[$ CAPITAL]]+FINANCIACION[[#This Row],[$ INTERESES]],"")</f>
        <v>1000000</v>
      </c>
      <c r="F429" s="5">
        <f>+SUMIFS(FINANCIACION[$ CAPITAL],FINANCIACION[Fecha],"&lt;="&amp;FINANCIACION[[#This Row],[Fecha]],FINANCIACION[PRESTAMO],FINANCIACION[[#This Row],[PRESTAMO]])</f>
        <v>-12424415</v>
      </c>
      <c r="G429" s="7"/>
      <c r="H429" s="53"/>
      <c r="I429" s="5">
        <f>IF(FINANCIACION[[#This Row],[$ CAPITAL]]&gt;0,FINANCIACION[[#This Row],[$ CAPITAL]])</f>
        <v>867085</v>
      </c>
      <c r="J429" s="33">
        <f>IF(FINANCIACION[[#This Row],[$ CAPITAL]]&gt;=0,FINANCIACION[[#This Row],[$ CAPITAL]]+FINANCIACION[[#This Row],[$ INTERESES]],0)</f>
        <v>1000000</v>
      </c>
    </row>
    <row r="430" spans="1:10" ht="24" hidden="1" customHeight="1" x14ac:dyDescent="0.3">
      <c r="A430" s="131">
        <v>44175</v>
      </c>
      <c r="B430" s="50" t="s">
        <v>533</v>
      </c>
      <c r="C430" s="5">
        <v>548356.17000000004</v>
      </c>
      <c r="D430" s="5">
        <v>651643.82999999996</v>
      </c>
      <c r="E430" s="5">
        <f>+IF(FINANCIACION[[#This Row],[$ CAPITAL]]&gt;=0,FINANCIACION[[#This Row],[$ CAPITAL]]+FINANCIACION[[#This Row],[$ INTERESES]],"")</f>
        <v>1200000</v>
      </c>
      <c r="F430" s="5">
        <f>+SUMIFS(FINANCIACION[$ CAPITAL],FINANCIACION[Fecha],"&lt;="&amp;FINANCIACION[[#This Row],[Fecha]],FINANCIACION[PRESTAMO],FINANCIACION[[#This Row],[PRESTAMO]])</f>
        <v>-64616026.93</v>
      </c>
      <c r="G430" s="7"/>
      <c r="H430" s="53"/>
      <c r="I430" s="5">
        <f>IF(FINANCIACION[[#This Row],[$ CAPITAL]]&gt;0,FINANCIACION[[#This Row],[$ CAPITAL]])</f>
        <v>548356.17000000004</v>
      </c>
      <c r="J430" s="33">
        <f>IF(FINANCIACION[[#This Row],[$ CAPITAL]]&gt;=0,FINANCIACION[[#This Row],[$ CAPITAL]]+FINANCIACION[[#This Row],[$ INTERESES]],0)</f>
        <v>1200000</v>
      </c>
    </row>
    <row r="431" spans="1:10" ht="24" hidden="1" customHeight="1" x14ac:dyDescent="0.3">
      <c r="A431" s="131">
        <v>44180</v>
      </c>
      <c r="B431" s="50" t="s">
        <v>535</v>
      </c>
      <c r="C431" s="5">
        <v>500000</v>
      </c>
      <c r="D431" s="5"/>
      <c r="E431" s="5">
        <f>+IF(FINANCIACION[[#This Row],[$ CAPITAL]]&gt;=0,FINANCIACION[[#This Row],[$ CAPITAL]]+FINANCIACION[[#This Row],[$ INTERESES]],"")</f>
        <v>500000</v>
      </c>
      <c r="F431" s="5">
        <f>+SUMIFS(FINANCIACION[$ CAPITAL],FINANCIACION[Fecha],"&lt;="&amp;FINANCIACION[[#This Row],[Fecha]],FINANCIACION[PRESTAMO],FINANCIACION[[#This Row],[PRESTAMO]])</f>
        <v>-70280145.820000038</v>
      </c>
      <c r="G431" s="7"/>
      <c r="H431" s="53"/>
      <c r="I431" s="5">
        <f>IF(FINANCIACION[[#This Row],[$ CAPITAL]]&gt;0,FINANCIACION[[#This Row],[$ CAPITAL]])</f>
        <v>500000</v>
      </c>
      <c r="J431" s="33">
        <f>IF(FINANCIACION[[#This Row],[$ CAPITAL]]&gt;=0,FINANCIACION[[#This Row],[$ CAPITAL]]+FINANCIACION[[#This Row],[$ INTERESES]],0)</f>
        <v>500000</v>
      </c>
    </row>
    <row r="432" spans="1:10" ht="24" hidden="1" customHeight="1" x14ac:dyDescent="0.3">
      <c r="A432" s="131">
        <v>44180</v>
      </c>
      <c r="B432" s="50" t="s">
        <v>535</v>
      </c>
      <c r="C432" s="5">
        <v>722835</v>
      </c>
      <c r="D432" s="5"/>
      <c r="E432" s="5">
        <f>+IF(FINANCIACION[[#This Row],[$ CAPITAL]]&gt;=0,FINANCIACION[[#This Row],[$ CAPITAL]]+FINANCIACION[[#This Row],[$ INTERESES]],"")</f>
        <v>722835</v>
      </c>
      <c r="F432" s="5">
        <f>+SUMIFS(FINANCIACION[$ CAPITAL],FINANCIACION[Fecha],"&lt;="&amp;FINANCIACION[[#This Row],[Fecha]],FINANCIACION[PRESTAMO],FINANCIACION[[#This Row],[PRESTAMO]])</f>
        <v>-70280145.820000038</v>
      </c>
      <c r="G432" s="7"/>
      <c r="H432" s="53"/>
      <c r="I432" s="5">
        <f>IF(FINANCIACION[[#This Row],[$ CAPITAL]]&gt;0,FINANCIACION[[#This Row],[$ CAPITAL]])</f>
        <v>722835</v>
      </c>
      <c r="J432" s="33">
        <f>IF(FINANCIACION[[#This Row],[$ CAPITAL]]&gt;=0,FINANCIACION[[#This Row],[$ CAPITAL]]+FINANCIACION[[#This Row],[$ INTERESES]],0)</f>
        <v>722835</v>
      </c>
    </row>
    <row r="433" spans="1:16" ht="24" hidden="1" customHeight="1" x14ac:dyDescent="0.3">
      <c r="A433" s="131">
        <v>44180</v>
      </c>
      <c r="B433" s="50" t="s">
        <v>535</v>
      </c>
      <c r="C433" s="5">
        <v>1000000</v>
      </c>
      <c r="D433" s="5"/>
      <c r="E433" s="5">
        <f>+IF(FINANCIACION[[#This Row],[$ CAPITAL]]&gt;=0,FINANCIACION[[#This Row],[$ CAPITAL]]+FINANCIACION[[#This Row],[$ INTERESES]],"")</f>
        <v>1000000</v>
      </c>
      <c r="F433" s="5">
        <f>+SUMIFS(FINANCIACION[$ CAPITAL],FINANCIACION[Fecha],"&lt;="&amp;FINANCIACION[[#This Row],[Fecha]],FINANCIACION[PRESTAMO],FINANCIACION[[#This Row],[PRESTAMO]])</f>
        <v>-70280145.820000038</v>
      </c>
      <c r="G433" s="7"/>
      <c r="H433" s="53"/>
      <c r="I433" s="5">
        <f>IF(FINANCIACION[[#This Row],[$ CAPITAL]]&gt;0,FINANCIACION[[#This Row],[$ CAPITAL]])</f>
        <v>1000000</v>
      </c>
      <c r="J433" s="33">
        <f>IF(FINANCIACION[[#This Row],[$ CAPITAL]]&gt;=0,FINANCIACION[[#This Row],[$ CAPITAL]]+FINANCIACION[[#This Row],[$ INTERESES]],0)</f>
        <v>1000000</v>
      </c>
    </row>
    <row r="434" spans="1:16" ht="24" hidden="1" customHeight="1" x14ac:dyDescent="0.3">
      <c r="A434" s="131">
        <v>44180</v>
      </c>
      <c r="B434" s="50" t="s">
        <v>535</v>
      </c>
      <c r="C434" s="5">
        <v>3426970</v>
      </c>
      <c r="D434" s="5"/>
      <c r="E434" s="5">
        <f>+IF(FINANCIACION[[#This Row],[$ CAPITAL]]&gt;=0,FINANCIACION[[#This Row],[$ CAPITAL]]+FINANCIACION[[#This Row],[$ INTERESES]],"")</f>
        <v>3426970</v>
      </c>
      <c r="F434" s="5">
        <f>+SUMIFS(FINANCIACION[$ CAPITAL],FINANCIACION[Fecha],"&lt;="&amp;FINANCIACION[[#This Row],[Fecha]],FINANCIACION[PRESTAMO],FINANCIACION[[#This Row],[PRESTAMO]])</f>
        <v>-70280145.820000038</v>
      </c>
      <c r="G434" s="7"/>
      <c r="H434" s="53"/>
      <c r="I434" s="5">
        <f>IF(FINANCIACION[[#This Row],[$ CAPITAL]]&gt;0,FINANCIACION[[#This Row],[$ CAPITAL]])</f>
        <v>3426970</v>
      </c>
      <c r="J434" s="33">
        <f>IF(FINANCIACION[[#This Row],[$ CAPITAL]]&gt;=0,FINANCIACION[[#This Row],[$ CAPITAL]]+FINANCIACION[[#This Row],[$ INTERESES]],0)</f>
        <v>3426970</v>
      </c>
    </row>
    <row r="435" spans="1:16" ht="24" hidden="1" customHeight="1" x14ac:dyDescent="0.3">
      <c r="A435" s="131">
        <v>44183</v>
      </c>
      <c r="B435" s="50" t="s">
        <v>535</v>
      </c>
      <c r="C435" s="5">
        <v>1000000</v>
      </c>
      <c r="D435" s="5"/>
      <c r="E435" s="5">
        <f>+IF(FINANCIACION[[#This Row],[$ CAPITAL]]&gt;=0,FINANCIACION[[#This Row],[$ CAPITAL]]+FINANCIACION[[#This Row],[$ INTERESES]],"")</f>
        <v>1000000</v>
      </c>
      <c r="F435" s="5">
        <f>+SUMIFS(FINANCIACION[$ CAPITAL],FINANCIACION[Fecha],"&lt;="&amp;FINANCIACION[[#This Row],[Fecha]],FINANCIACION[PRESTAMO],FINANCIACION[[#This Row],[PRESTAMO]])</f>
        <v>-69280145.820000038</v>
      </c>
      <c r="G435" s="7"/>
      <c r="H435" s="53"/>
      <c r="I435" s="5">
        <f>IF(FINANCIACION[[#This Row],[$ CAPITAL]]&gt;0,FINANCIACION[[#This Row],[$ CAPITAL]])</f>
        <v>1000000</v>
      </c>
      <c r="J435" s="33">
        <f>IF(FINANCIACION[[#This Row],[$ CAPITAL]]&gt;=0,FINANCIACION[[#This Row],[$ CAPITAL]]+FINANCIACION[[#This Row],[$ INTERESES]],0)</f>
        <v>1000000</v>
      </c>
    </row>
    <row r="436" spans="1:16" ht="24" hidden="1" customHeight="1" x14ac:dyDescent="0.3">
      <c r="A436" s="131">
        <v>44184</v>
      </c>
      <c r="B436" s="50" t="s">
        <v>535</v>
      </c>
      <c r="C436" s="5">
        <v>2000000</v>
      </c>
      <c r="D436" s="5"/>
      <c r="E436" s="5">
        <f>+IF(FINANCIACION[[#This Row],[$ CAPITAL]]&gt;=0,FINANCIACION[[#This Row],[$ CAPITAL]]+FINANCIACION[[#This Row],[$ INTERESES]],"")</f>
        <v>2000000</v>
      </c>
      <c r="F436" s="5">
        <f>+SUMIFS(FINANCIACION[$ CAPITAL],FINANCIACION[Fecha],"&lt;="&amp;FINANCIACION[[#This Row],[Fecha]],FINANCIACION[PRESTAMO],FINANCIACION[[#This Row],[PRESTAMO]])</f>
        <v>-67280145.820000038</v>
      </c>
      <c r="G436" s="7"/>
      <c r="H436" s="53"/>
      <c r="I436" s="5">
        <f>IF(FINANCIACION[[#This Row],[$ CAPITAL]]&gt;0,FINANCIACION[[#This Row],[$ CAPITAL]])</f>
        <v>2000000</v>
      </c>
      <c r="J436" s="33">
        <f>IF(FINANCIACION[[#This Row],[$ CAPITAL]]&gt;=0,FINANCIACION[[#This Row],[$ CAPITAL]]+FINANCIACION[[#This Row],[$ INTERESES]],0)</f>
        <v>2000000</v>
      </c>
    </row>
    <row r="437" spans="1:16" ht="24" hidden="1" customHeight="1" x14ac:dyDescent="0.3">
      <c r="A437" s="131">
        <v>44185</v>
      </c>
      <c r="B437" s="50" t="s">
        <v>535</v>
      </c>
      <c r="C437" s="5">
        <v>2000000</v>
      </c>
      <c r="D437" s="5"/>
      <c r="E437" s="5">
        <f>+IF(FINANCIACION[[#This Row],[$ CAPITAL]]&gt;=0,FINANCIACION[[#This Row],[$ CAPITAL]]+FINANCIACION[[#This Row],[$ INTERESES]],"")</f>
        <v>2000000</v>
      </c>
      <c r="F437" s="5">
        <f>+SUMIFS(FINANCIACION[$ CAPITAL],FINANCIACION[Fecha],"&lt;="&amp;FINANCIACION[[#This Row],[Fecha]],FINANCIACION[PRESTAMO],FINANCIACION[[#This Row],[PRESTAMO]])</f>
        <v>-65280145.820000038</v>
      </c>
      <c r="G437" s="7"/>
      <c r="H437" s="53"/>
      <c r="I437" s="5">
        <f>IF(FINANCIACION[[#This Row],[$ CAPITAL]]&gt;0,FINANCIACION[[#This Row],[$ CAPITAL]])</f>
        <v>2000000</v>
      </c>
      <c r="J437" s="33">
        <f>IF(FINANCIACION[[#This Row],[$ CAPITAL]]&gt;=0,FINANCIACION[[#This Row],[$ CAPITAL]]+FINANCIACION[[#This Row],[$ INTERESES]],0)</f>
        <v>2000000</v>
      </c>
    </row>
    <row r="438" spans="1:16" ht="24" hidden="1" customHeight="1" x14ac:dyDescent="0.3">
      <c r="A438" s="131">
        <v>44187</v>
      </c>
      <c r="B438" s="50" t="s">
        <v>540</v>
      </c>
      <c r="C438" s="5">
        <v>500000</v>
      </c>
      <c r="D438" s="5"/>
      <c r="E438" s="5">
        <f>+IF(FINANCIACION[[#This Row],[$ CAPITAL]]&gt;=0,FINANCIACION[[#This Row],[$ CAPITAL]]+FINANCIACION[[#This Row],[$ INTERESES]],"")</f>
        <v>500000</v>
      </c>
      <c r="F438" s="5">
        <f>+SUMIFS(FINANCIACION[$ CAPITAL],FINANCIACION[Fecha],"&lt;="&amp;FINANCIACION[[#This Row],[Fecha]],FINANCIACION[PRESTAMO],FINANCIACION[[#This Row],[PRESTAMO]])</f>
        <v>-25384693.530000001</v>
      </c>
      <c r="G438" s="7"/>
      <c r="H438" s="53"/>
      <c r="I438" s="5">
        <f>IF(FINANCIACION[[#This Row],[$ CAPITAL]]&gt;0,FINANCIACION[[#This Row],[$ CAPITAL]])</f>
        <v>500000</v>
      </c>
      <c r="J438" s="33">
        <f>IF(FINANCIACION[[#This Row],[$ CAPITAL]]&gt;=0,FINANCIACION[[#This Row],[$ CAPITAL]]+FINANCIACION[[#This Row],[$ INTERESES]],0)</f>
        <v>500000</v>
      </c>
    </row>
    <row r="439" spans="1:16" ht="24" hidden="1" customHeight="1" x14ac:dyDescent="0.3">
      <c r="A439" s="131">
        <v>44187</v>
      </c>
      <c r="B439" s="50" t="s">
        <v>542</v>
      </c>
      <c r="C439" s="5">
        <v>500000</v>
      </c>
      <c r="D439" s="5"/>
      <c r="E439" s="5">
        <f>+IF(FINANCIACION[[#This Row],[$ CAPITAL]]&gt;=0,FINANCIACION[[#This Row],[$ CAPITAL]]+FINANCIACION[[#This Row],[$ INTERESES]],"")</f>
        <v>500000</v>
      </c>
      <c r="F439" s="5">
        <f>+SUMIFS(FINANCIACION[$ CAPITAL],FINANCIACION[Fecha],"&lt;="&amp;FINANCIACION[[#This Row],[Fecha]],FINANCIACION[PRESTAMO],FINANCIACION[[#This Row],[PRESTAMO]])</f>
        <v>-26621357.289999999</v>
      </c>
      <c r="G439" s="7"/>
      <c r="H439" s="53"/>
      <c r="I439" s="5">
        <f>IF(FINANCIACION[[#This Row],[$ CAPITAL]]&gt;0,FINANCIACION[[#This Row],[$ CAPITAL]])</f>
        <v>500000</v>
      </c>
      <c r="J439" s="33">
        <f>IF(FINANCIACION[[#This Row],[$ CAPITAL]]&gt;=0,FINANCIACION[[#This Row],[$ CAPITAL]]+FINANCIACION[[#This Row],[$ INTERESES]],0)</f>
        <v>500000</v>
      </c>
      <c r="K439" s="10"/>
      <c r="N439" s="6"/>
      <c r="O439" s="9"/>
      <c r="P439" s="8"/>
    </row>
    <row r="440" spans="1:16" ht="24" hidden="1" customHeight="1" x14ac:dyDescent="0.3">
      <c r="A440" s="131">
        <v>44187</v>
      </c>
      <c r="B440" s="50" t="s">
        <v>539</v>
      </c>
      <c r="C440" s="5">
        <v>1000000</v>
      </c>
      <c r="D440" s="5"/>
      <c r="E440" s="5">
        <f>+IF(FINANCIACION[[#This Row],[$ CAPITAL]]&gt;=0,FINANCIACION[[#This Row],[$ CAPITAL]]+FINANCIACION[[#This Row],[$ INTERESES]],"")</f>
        <v>1000000</v>
      </c>
      <c r="F440" s="5">
        <f>+SUMIFS(FINANCIACION[$ CAPITAL],FINANCIACION[Fecha],"&lt;="&amp;FINANCIACION[[#This Row],[Fecha]],FINANCIACION[PRESTAMO],FINANCIACION[[#This Row],[PRESTAMO]])</f>
        <v>-94116654.469999999</v>
      </c>
      <c r="G440" s="7"/>
      <c r="H440" s="53"/>
      <c r="I440" s="5">
        <f>IF(FINANCIACION[[#This Row],[$ CAPITAL]]&gt;0,FINANCIACION[[#This Row],[$ CAPITAL]])</f>
        <v>1000000</v>
      </c>
      <c r="J440" s="33">
        <f>IF(FINANCIACION[[#This Row],[$ CAPITAL]]&gt;=0,FINANCIACION[[#This Row],[$ CAPITAL]]+FINANCIACION[[#This Row],[$ INTERESES]],0)</f>
        <v>1000000</v>
      </c>
      <c r="K440" s="10"/>
      <c r="N440" s="6"/>
      <c r="O440" s="9"/>
      <c r="P440" s="8"/>
    </row>
    <row r="441" spans="1:16" ht="24" hidden="1" customHeight="1" x14ac:dyDescent="0.3">
      <c r="A441" s="131">
        <v>44187</v>
      </c>
      <c r="B441" s="50" t="s">
        <v>534</v>
      </c>
      <c r="C441" s="5">
        <v>5215587</v>
      </c>
      <c r="D441" s="5"/>
      <c r="E441" s="5">
        <f>+IF(FINANCIACION[[#This Row],[$ CAPITAL]]&gt;=0,FINANCIACION[[#This Row],[$ CAPITAL]]+FINANCIACION[[#This Row],[$ INTERESES]],"")</f>
        <v>5215587</v>
      </c>
      <c r="F441" s="5">
        <f>+SUMIFS(FINANCIACION[$ CAPITAL],FINANCIACION[Fecha],"&lt;="&amp;FINANCIACION[[#This Row],[Fecha]],FINANCIACION[PRESTAMO],FINANCIACION[[#This Row],[PRESTAMO]])</f>
        <v>-391780283</v>
      </c>
      <c r="G441" s="7"/>
      <c r="H441" s="53"/>
      <c r="I441" s="5">
        <f>IF(FINANCIACION[[#This Row],[$ CAPITAL]]&gt;0,FINANCIACION[[#This Row],[$ CAPITAL]])</f>
        <v>5215587</v>
      </c>
      <c r="J441" s="33">
        <f>IF(FINANCIACION[[#This Row],[$ CAPITAL]]&gt;=0,FINANCIACION[[#This Row],[$ CAPITAL]]+FINANCIACION[[#This Row],[$ INTERESES]],0)</f>
        <v>5215587</v>
      </c>
      <c r="K441" s="10"/>
      <c r="N441" s="6"/>
      <c r="O441" s="9"/>
      <c r="P441" s="8"/>
    </row>
    <row r="442" spans="1:16" ht="24" hidden="1" customHeight="1" x14ac:dyDescent="0.3">
      <c r="A442" s="131">
        <v>44187</v>
      </c>
      <c r="B442" s="50" t="s">
        <v>535</v>
      </c>
      <c r="C442" s="5">
        <v>2000000</v>
      </c>
      <c r="D442" s="5"/>
      <c r="E442" s="5">
        <f>+IF(FINANCIACION[[#This Row],[$ CAPITAL]]&gt;=0,FINANCIACION[[#This Row],[$ CAPITAL]]+FINANCIACION[[#This Row],[$ INTERESES]],"")</f>
        <v>2000000</v>
      </c>
      <c r="F442" s="5">
        <f>+SUMIFS(FINANCIACION[$ CAPITAL],FINANCIACION[Fecha],"&lt;="&amp;FINANCIACION[[#This Row],[Fecha]],FINANCIACION[PRESTAMO],FINANCIACION[[#This Row],[PRESTAMO]])</f>
        <v>-58837735.820000038</v>
      </c>
      <c r="G442" s="7"/>
      <c r="H442" s="53"/>
      <c r="I442" s="5">
        <f>IF(FINANCIACION[[#This Row],[$ CAPITAL]]&gt;0,FINANCIACION[[#This Row],[$ CAPITAL]])</f>
        <v>2000000</v>
      </c>
      <c r="J442" s="33">
        <f>IF(FINANCIACION[[#This Row],[$ CAPITAL]]&gt;=0,FINANCIACION[[#This Row],[$ CAPITAL]]+FINANCIACION[[#This Row],[$ INTERESES]],0)</f>
        <v>2000000</v>
      </c>
      <c r="K442" s="10"/>
      <c r="N442" s="6"/>
      <c r="O442" s="9"/>
      <c r="P442" s="8"/>
    </row>
    <row r="443" spans="1:16" ht="24" hidden="1" customHeight="1" x14ac:dyDescent="0.3">
      <c r="A443" s="131">
        <v>44187</v>
      </c>
      <c r="B443" s="50" t="s">
        <v>535</v>
      </c>
      <c r="C443" s="5">
        <v>500000</v>
      </c>
      <c r="D443" s="5"/>
      <c r="E443" s="5">
        <f>+IF(FINANCIACION[[#This Row],[$ CAPITAL]]&gt;=0,FINANCIACION[[#This Row],[$ CAPITAL]]+FINANCIACION[[#This Row],[$ INTERESES]],"")</f>
        <v>500000</v>
      </c>
      <c r="F443" s="5">
        <f>+SUMIFS(FINANCIACION[$ CAPITAL],FINANCIACION[Fecha],"&lt;="&amp;FINANCIACION[[#This Row],[Fecha]],FINANCIACION[PRESTAMO],FINANCIACION[[#This Row],[PRESTAMO]])</f>
        <v>-58837735.820000038</v>
      </c>
      <c r="G443" s="7"/>
      <c r="H443" s="53"/>
      <c r="I443" s="5">
        <f>IF(FINANCIACION[[#This Row],[$ CAPITAL]]&gt;0,FINANCIACION[[#This Row],[$ CAPITAL]])</f>
        <v>500000</v>
      </c>
      <c r="J443" s="33">
        <f>IF(FINANCIACION[[#This Row],[$ CAPITAL]]&gt;=0,FINANCIACION[[#This Row],[$ CAPITAL]]+FINANCIACION[[#This Row],[$ INTERESES]],0)</f>
        <v>500000</v>
      </c>
      <c r="K443" s="10"/>
      <c r="N443" s="6"/>
      <c r="O443" s="9"/>
      <c r="P443" s="8"/>
    </row>
    <row r="444" spans="1:16" ht="24" hidden="1" customHeight="1" x14ac:dyDescent="0.3">
      <c r="A444" s="131">
        <v>44187</v>
      </c>
      <c r="B444" s="50" t="s">
        <v>535</v>
      </c>
      <c r="C444" s="5">
        <v>3442410</v>
      </c>
      <c r="D444" s="5"/>
      <c r="E444" s="5">
        <f>+IF(FINANCIACION[[#This Row],[$ CAPITAL]]&gt;=0,FINANCIACION[[#This Row],[$ CAPITAL]]+FINANCIACION[[#This Row],[$ INTERESES]],"")</f>
        <v>3442410</v>
      </c>
      <c r="F444" s="5">
        <f>+SUMIFS(FINANCIACION[$ CAPITAL],FINANCIACION[Fecha],"&lt;="&amp;FINANCIACION[[#This Row],[Fecha]],FINANCIACION[PRESTAMO],FINANCIACION[[#This Row],[PRESTAMO]])</f>
        <v>-58837735.820000038</v>
      </c>
      <c r="G444" s="7"/>
      <c r="H444" s="53"/>
      <c r="I444" s="5">
        <f>IF(FINANCIACION[[#This Row],[$ CAPITAL]]&gt;0,FINANCIACION[[#This Row],[$ CAPITAL]])</f>
        <v>3442410</v>
      </c>
      <c r="J444" s="33">
        <f>IF(FINANCIACION[[#This Row],[$ CAPITAL]]&gt;=0,FINANCIACION[[#This Row],[$ CAPITAL]]+FINANCIACION[[#This Row],[$ INTERESES]],0)</f>
        <v>3442410</v>
      </c>
      <c r="K444" s="10"/>
      <c r="N444" s="6"/>
      <c r="O444" s="9"/>
      <c r="P444" s="8"/>
    </row>
    <row r="445" spans="1:16" ht="24" hidden="1" customHeight="1" x14ac:dyDescent="0.3">
      <c r="A445" s="131">
        <v>44187</v>
      </c>
      <c r="B445" s="50" t="s">
        <v>535</v>
      </c>
      <c r="C445" s="5">
        <v>500000</v>
      </c>
      <c r="D445" s="5"/>
      <c r="E445" s="5">
        <f>+IF(FINANCIACION[[#This Row],[$ CAPITAL]]&gt;=0,FINANCIACION[[#This Row],[$ CAPITAL]]+FINANCIACION[[#This Row],[$ INTERESES]],"")</f>
        <v>500000</v>
      </c>
      <c r="F445" s="5">
        <f>+SUMIFS(FINANCIACION[$ CAPITAL],FINANCIACION[Fecha],"&lt;="&amp;FINANCIACION[[#This Row],[Fecha]],FINANCIACION[PRESTAMO],FINANCIACION[[#This Row],[PRESTAMO]])</f>
        <v>-58837735.820000038</v>
      </c>
      <c r="G445" s="7"/>
      <c r="H445" s="53"/>
      <c r="I445" s="5">
        <f>IF(FINANCIACION[[#This Row],[$ CAPITAL]]&gt;0,FINANCIACION[[#This Row],[$ CAPITAL]])</f>
        <v>500000</v>
      </c>
      <c r="J445" s="33">
        <f>IF(FINANCIACION[[#This Row],[$ CAPITAL]]&gt;=0,FINANCIACION[[#This Row],[$ CAPITAL]]+FINANCIACION[[#This Row],[$ INTERESES]],0)</f>
        <v>500000</v>
      </c>
      <c r="K445" s="10"/>
      <c r="N445" s="6"/>
      <c r="O445" s="9"/>
      <c r="P445" s="8"/>
    </row>
    <row r="446" spans="1:16" ht="24" hidden="1" customHeight="1" x14ac:dyDescent="0.3">
      <c r="A446" s="131">
        <v>44189</v>
      </c>
      <c r="B446" s="50" t="s">
        <v>535</v>
      </c>
      <c r="C446" s="5"/>
      <c r="D446" s="5">
        <v>75000</v>
      </c>
      <c r="E446" s="5">
        <f>+IF(FINANCIACION[[#This Row],[$ CAPITAL]]&gt;=0,FINANCIACION[[#This Row],[$ CAPITAL]]+FINANCIACION[[#This Row],[$ INTERESES]],"")</f>
        <v>75000</v>
      </c>
      <c r="F446" s="5">
        <f>+SUMIFS(FINANCIACION[$ CAPITAL],FINANCIACION[Fecha],"&lt;="&amp;FINANCIACION[[#This Row],[Fecha]],FINANCIACION[PRESTAMO],FINANCIACION[[#This Row],[PRESTAMO]])</f>
        <v>-54435225.820000038</v>
      </c>
      <c r="G446" s="7"/>
      <c r="H446" s="53"/>
      <c r="I446" s="5" t="b">
        <f>IF(FINANCIACION[[#This Row],[$ CAPITAL]]&gt;0,FINANCIACION[[#This Row],[$ CAPITAL]])</f>
        <v>0</v>
      </c>
      <c r="J446" s="33">
        <f>IF(FINANCIACION[[#This Row],[$ CAPITAL]]&gt;=0,FINANCIACION[[#This Row],[$ CAPITAL]]+FINANCIACION[[#This Row],[$ INTERESES]],0)</f>
        <v>75000</v>
      </c>
      <c r="K446" s="10"/>
      <c r="N446" s="6"/>
      <c r="O446" s="9"/>
      <c r="P446" s="8"/>
    </row>
    <row r="447" spans="1:16" ht="24" hidden="1" customHeight="1" x14ac:dyDescent="0.3">
      <c r="A447" s="131">
        <v>44189</v>
      </c>
      <c r="B447" s="50" t="s">
        <v>535</v>
      </c>
      <c r="C447" s="5">
        <v>500000</v>
      </c>
      <c r="D447" s="5"/>
      <c r="E447" s="5">
        <f>+IF(FINANCIACION[[#This Row],[$ CAPITAL]]&gt;=0,FINANCIACION[[#This Row],[$ CAPITAL]]+FINANCIACION[[#This Row],[$ INTERESES]],"")</f>
        <v>500000</v>
      </c>
      <c r="F447" s="5">
        <f>+SUMIFS(FINANCIACION[$ CAPITAL],FINANCIACION[Fecha],"&lt;="&amp;FINANCIACION[[#This Row],[Fecha]],FINANCIACION[PRESTAMO],FINANCIACION[[#This Row],[PRESTAMO]])</f>
        <v>-54435225.820000038</v>
      </c>
      <c r="G447" s="7"/>
      <c r="H447" s="53"/>
      <c r="I447" s="5">
        <f>IF(FINANCIACION[[#This Row],[$ CAPITAL]]&gt;0,FINANCIACION[[#This Row],[$ CAPITAL]])</f>
        <v>500000</v>
      </c>
      <c r="J447" s="33">
        <f>IF(FINANCIACION[[#This Row],[$ CAPITAL]]&gt;=0,FINANCIACION[[#This Row],[$ CAPITAL]]+FINANCIACION[[#This Row],[$ INTERESES]],0)</f>
        <v>500000</v>
      </c>
      <c r="K447" s="10"/>
      <c r="N447" s="6"/>
      <c r="O447" s="9"/>
      <c r="P447" s="8"/>
    </row>
    <row r="448" spans="1:16" ht="24" hidden="1" customHeight="1" x14ac:dyDescent="0.3">
      <c r="A448" s="131">
        <v>44189</v>
      </c>
      <c r="B448" s="50" t="s">
        <v>535</v>
      </c>
      <c r="C448" s="5">
        <v>3402510</v>
      </c>
      <c r="D448" s="5"/>
      <c r="E448" s="5">
        <f>+IF(FINANCIACION[[#This Row],[$ CAPITAL]]&gt;=0,FINANCIACION[[#This Row],[$ CAPITAL]]+FINANCIACION[[#This Row],[$ INTERESES]],"")</f>
        <v>3402510</v>
      </c>
      <c r="F448" s="5">
        <f>+SUMIFS(FINANCIACION[$ CAPITAL],FINANCIACION[Fecha],"&lt;="&amp;FINANCIACION[[#This Row],[Fecha]],FINANCIACION[PRESTAMO],FINANCIACION[[#This Row],[PRESTAMO]])</f>
        <v>-54435225.820000038</v>
      </c>
      <c r="G448" s="7"/>
      <c r="H448" s="53"/>
      <c r="I448" s="5">
        <f>IF(FINANCIACION[[#This Row],[$ CAPITAL]]&gt;0,FINANCIACION[[#This Row],[$ CAPITAL]])</f>
        <v>3402510</v>
      </c>
      <c r="J448" s="33">
        <f>IF(FINANCIACION[[#This Row],[$ CAPITAL]]&gt;=0,FINANCIACION[[#This Row],[$ CAPITAL]]+FINANCIACION[[#This Row],[$ INTERESES]],0)</f>
        <v>3402510</v>
      </c>
      <c r="K448" s="10"/>
      <c r="N448" s="6"/>
      <c r="O448" s="9"/>
      <c r="P448" s="8"/>
    </row>
    <row r="449" spans="1:16" ht="24" hidden="1" customHeight="1" x14ac:dyDescent="0.3">
      <c r="A449" s="131">
        <v>44189</v>
      </c>
      <c r="B449" s="50" t="s">
        <v>535</v>
      </c>
      <c r="C449" s="5">
        <v>500000</v>
      </c>
      <c r="D449" s="5"/>
      <c r="E449" s="5">
        <f>+IF(FINANCIACION[[#This Row],[$ CAPITAL]]&gt;=0,FINANCIACION[[#This Row],[$ CAPITAL]]+FINANCIACION[[#This Row],[$ INTERESES]],"")</f>
        <v>500000</v>
      </c>
      <c r="F449" s="5">
        <f>+SUMIFS(FINANCIACION[$ CAPITAL],FINANCIACION[Fecha],"&lt;="&amp;FINANCIACION[[#This Row],[Fecha]],FINANCIACION[PRESTAMO],FINANCIACION[[#This Row],[PRESTAMO]])</f>
        <v>-54435225.820000038</v>
      </c>
      <c r="G449" s="7"/>
      <c r="H449" s="53"/>
      <c r="I449" s="5">
        <f>IF(FINANCIACION[[#This Row],[$ CAPITAL]]&gt;0,FINANCIACION[[#This Row],[$ CAPITAL]])</f>
        <v>500000</v>
      </c>
      <c r="J449" s="33">
        <f>IF(FINANCIACION[[#This Row],[$ CAPITAL]]&gt;=0,FINANCIACION[[#This Row],[$ CAPITAL]]+FINANCIACION[[#This Row],[$ INTERESES]],0)</f>
        <v>500000</v>
      </c>
      <c r="K449" s="10"/>
      <c r="N449" s="6"/>
      <c r="O449" s="9"/>
      <c r="P449" s="8"/>
    </row>
    <row r="450" spans="1:16" ht="24" hidden="1" customHeight="1" x14ac:dyDescent="0.3">
      <c r="A450" s="131">
        <v>44191</v>
      </c>
      <c r="B450" s="50" t="s">
        <v>537</v>
      </c>
      <c r="C450" s="5"/>
      <c r="D450" s="5">
        <v>6750000</v>
      </c>
      <c r="E450" s="5">
        <f>+IF(FINANCIACION[[#This Row],[$ CAPITAL]]&gt;=0,FINANCIACION[[#This Row],[$ CAPITAL]]+FINANCIACION[[#This Row],[$ INTERESES]],"")</f>
        <v>6750000</v>
      </c>
      <c r="F450" s="5">
        <f>+SUMIFS(FINANCIACION[$ CAPITAL],FINANCIACION[Fecha],"&lt;="&amp;FINANCIACION[[#This Row],[Fecha]],FINANCIACION[PRESTAMO],FINANCIACION[[#This Row],[PRESTAMO]])</f>
        <v>-75000000</v>
      </c>
      <c r="G450" s="7"/>
      <c r="H450" s="53"/>
      <c r="I450" s="5" t="b">
        <f>IF(FINANCIACION[[#This Row],[$ CAPITAL]]&gt;0,FINANCIACION[[#This Row],[$ CAPITAL]])</f>
        <v>0</v>
      </c>
      <c r="J450" s="33">
        <f>IF(FINANCIACION[[#This Row],[$ CAPITAL]]&gt;=0,FINANCIACION[[#This Row],[$ CAPITAL]]+FINANCIACION[[#This Row],[$ INTERESES]],0)</f>
        <v>6750000</v>
      </c>
      <c r="K450" s="10"/>
      <c r="N450" s="6"/>
      <c r="O450" s="9"/>
      <c r="P450" s="8"/>
    </row>
    <row r="451" spans="1:16" ht="24" hidden="1" customHeight="1" x14ac:dyDescent="0.3">
      <c r="A451" s="131">
        <v>44193</v>
      </c>
      <c r="B451" s="50" t="s">
        <v>535</v>
      </c>
      <c r="C451" s="5">
        <v>3493770</v>
      </c>
      <c r="D451" s="5"/>
      <c r="E451" s="5">
        <f>+IF(FINANCIACION[[#This Row],[$ CAPITAL]]&gt;=0,FINANCIACION[[#This Row],[$ CAPITAL]]+FINANCIACION[[#This Row],[$ INTERESES]],"")</f>
        <v>3493770</v>
      </c>
      <c r="F451" s="5">
        <f>+SUMIFS(FINANCIACION[$ CAPITAL],FINANCIACION[Fecha],"&lt;="&amp;FINANCIACION[[#This Row],[Fecha]],FINANCIACION[PRESTAMO],FINANCIACION[[#This Row],[PRESTAMO]])</f>
        <v>-50390160.820000038</v>
      </c>
      <c r="G451" s="7"/>
      <c r="H451" s="53"/>
      <c r="I451" s="5">
        <f>IF(FINANCIACION[[#This Row],[$ CAPITAL]]&gt;0,FINANCIACION[[#This Row],[$ CAPITAL]])</f>
        <v>3493770</v>
      </c>
      <c r="J451" s="33">
        <f>IF(FINANCIACION[[#This Row],[$ CAPITAL]]&gt;=0,FINANCIACION[[#This Row],[$ CAPITAL]]+FINANCIACION[[#This Row],[$ INTERESES]],0)</f>
        <v>3493770</v>
      </c>
      <c r="K451" s="10"/>
      <c r="N451" s="6"/>
      <c r="O451" s="9"/>
      <c r="P451" s="8"/>
    </row>
    <row r="452" spans="1:16" ht="24" hidden="1" customHeight="1" x14ac:dyDescent="0.3">
      <c r="A452" s="131">
        <v>44193</v>
      </c>
      <c r="B452" s="50" t="s">
        <v>535</v>
      </c>
      <c r="C452" s="5">
        <v>551295</v>
      </c>
      <c r="D452" s="5"/>
      <c r="E452" s="5">
        <f>+IF(FINANCIACION[[#This Row],[$ CAPITAL]]&gt;=0,FINANCIACION[[#This Row],[$ CAPITAL]]+FINANCIACION[[#This Row],[$ INTERESES]],"")</f>
        <v>551295</v>
      </c>
      <c r="F452" s="5">
        <f>+SUMIFS(FINANCIACION[$ CAPITAL],FINANCIACION[Fecha],"&lt;="&amp;FINANCIACION[[#This Row],[Fecha]],FINANCIACION[PRESTAMO],FINANCIACION[[#This Row],[PRESTAMO]])</f>
        <v>-50390160.820000038</v>
      </c>
      <c r="G452" s="7"/>
      <c r="H452" s="53"/>
      <c r="I452" s="5">
        <f>IF(FINANCIACION[[#This Row],[$ CAPITAL]]&gt;0,FINANCIACION[[#This Row],[$ CAPITAL]])</f>
        <v>551295</v>
      </c>
      <c r="J452" s="33">
        <f>IF(FINANCIACION[[#This Row],[$ CAPITAL]]&gt;=0,FINANCIACION[[#This Row],[$ CAPITAL]]+FINANCIACION[[#This Row],[$ INTERESES]],0)</f>
        <v>551295</v>
      </c>
      <c r="K452" s="10"/>
      <c r="N452" s="6"/>
      <c r="O452" s="9"/>
      <c r="P452" s="8"/>
    </row>
    <row r="453" spans="1:16" ht="24" hidden="1" customHeight="1" x14ac:dyDescent="0.3">
      <c r="A453" s="131">
        <v>44194</v>
      </c>
      <c r="B453" s="50" t="s">
        <v>535</v>
      </c>
      <c r="C453" s="5">
        <v>3495390</v>
      </c>
      <c r="D453" s="5"/>
      <c r="E453" s="5">
        <f>+IF(FINANCIACION[[#This Row],[$ CAPITAL]]&gt;=0,FINANCIACION[[#This Row],[$ CAPITAL]]+FINANCIACION[[#This Row],[$ INTERESES]],"")</f>
        <v>3495390</v>
      </c>
      <c r="F453" s="5">
        <f>+SUMIFS(FINANCIACION[$ CAPITAL],FINANCIACION[Fecha],"&lt;="&amp;FINANCIACION[[#This Row],[Fecha]],FINANCIACION[PRESTAMO],FINANCIACION[[#This Row],[PRESTAMO]])</f>
        <v>-46894770.820000038</v>
      </c>
      <c r="G453" s="7"/>
      <c r="H453" s="53"/>
      <c r="I453" s="5">
        <f>IF(FINANCIACION[[#This Row],[$ CAPITAL]]&gt;0,FINANCIACION[[#This Row],[$ CAPITAL]])</f>
        <v>3495390</v>
      </c>
      <c r="J453" s="33">
        <f>IF(FINANCIACION[[#This Row],[$ CAPITAL]]&gt;=0,FINANCIACION[[#This Row],[$ CAPITAL]]+FINANCIACION[[#This Row],[$ INTERESES]],0)</f>
        <v>3495390</v>
      </c>
      <c r="K453" s="10"/>
      <c r="N453" s="6"/>
      <c r="O453" s="9"/>
      <c r="P453" s="8"/>
    </row>
    <row r="454" spans="1:16" ht="24" hidden="1" customHeight="1" x14ac:dyDescent="0.3">
      <c r="A454" s="131">
        <v>44195</v>
      </c>
      <c r="B454" s="50" t="s">
        <v>535</v>
      </c>
      <c r="C454" s="5">
        <v>1117500</v>
      </c>
      <c r="D454" s="5"/>
      <c r="E454" s="5">
        <f>+IF(FINANCIACION[[#This Row],[$ CAPITAL]]&gt;=0,FINANCIACION[[#This Row],[$ CAPITAL]]+FINANCIACION[[#This Row],[$ INTERESES]],"")</f>
        <v>1117500</v>
      </c>
      <c r="F454" s="5">
        <f>+SUMIFS(FINANCIACION[$ CAPITAL],FINANCIACION[Fecha],"&lt;="&amp;FINANCIACION[[#This Row],[Fecha]],FINANCIACION[PRESTAMO],FINANCIACION[[#This Row],[PRESTAMO]])</f>
        <v>-38813070.820000038</v>
      </c>
      <c r="G454" s="7"/>
      <c r="H454" s="53"/>
      <c r="I454" s="5">
        <f>IF(FINANCIACION[[#This Row],[$ CAPITAL]]&gt;0,FINANCIACION[[#This Row],[$ CAPITAL]])</f>
        <v>1117500</v>
      </c>
      <c r="J454" s="33">
        <f>IF(FINANCIACION[[#This Row],[$ CAPITAL]]&gt;=0,FINANCIACION[[#This Row],[$ CAPITAL]]+FINANCIACION[[#This Row],[$ INTERESES]],0)</f>
        <v>1117500</v>
      </c>
      <c r="K454" s="10"/>
      <c r="N454" s="6"/>
      <c r="O454" s="9"/>
      <c r="P454" s="8"/>
    </row>
    <row r="455" spans="1:16" ht="24" hidden="1" customHeight="1" x14ac:dyDescent="0.3">
      <c r="A455" s="131">
        <v>44195</v>
      </c>
      <c r="B455" s="50" t="s">
        <v>535</v>
      </c>
      <c r="C455" s="5">
        <v>6964200</v>
      </c>
      <c r="D455" s="5"/>
      <c r="E455" s="5">
        <f>+IF(FINANCIACION[[#This Row],[$ CAPITAL]]&gt;=0,FINANCIACION[[#This Row],[$ CAPITAL]]+FINANCIACION[[#This Row],[$ INTERESES]],"")</f>
        <v>6964200</v>
      </c>
      <c r="F455" s="5">
        <f>+SUMIFS(FINANCIACION[$ CAPITAL],FINANCIACION[Fecha],"&lt;="&amp;FINANCIACION[[#This Row],[Fecha]],FINANCIACION[PRESTAMO],FINANCIACION[[#This Row],[PRESTAMO]])</f>
        <v>-38813070.820000038</v>
      </c>
      <c r="G455" s="7"/>
      <c r="H455" s="53"/>
      <c r="I455" s="5">
        <f>IF(FINANCIACION[[#This Row],[$ CAPITAL]]&gt;0,FINANCIACION[[#This Row],[$ CAPITAL]])</f>
        <v>6964200</v>
      </c>
      <c r="J455" s="33">
        <f>IF(FINANCIACION[[#This Row],[$ CAPITAL]]&gt;=0,FINANCIACION[[#This Row],[$ CAPITAL]]+FINANCIACION[[#This Row],[$ INTERESES]],0)</f>
        <v>6964200</v>
      </c>
      <c r="K455" s="10"/>
      <c r="N455" s="6"/>
      <c r="O455" s="9"/>
      <c r="P455" s="8"/>
    </row>
    <row r="456" spans="1:16" ht="24" hidden="1" customHeight="1" x14ac:dyDescent="0.3">
      <c r="A456" s="131">
        <v>44196</v>
      </c>
      <c r="B456" s="50" t="s">
        <v>533</v>
      </c>
      <c r="C456" s="5">
        <v>-2349404.9287070036</v>
      </c>
      <c r="D456" s="5"/>
      <c r="E456" s="5" t="str">
        <f>+IF(FINANCIACION[[#This Row],[$ CAPITAL]]&gt;=0,FINANCIACION[[#This Row],[$ CAPITAL]]+FINANCIACION[[#This Row],[$ INTERESES]],"")</f>
        <v/>
      </c>
      <c r="F456" s="5">
        <f>+SUMIFS(FINANCIACION[$ CAPITAL],FINANCIACION[Fecha],"&lt;="&amp;FINANCIACION[[#This Row],[Fecha]],FINANCIACION[PRESTAMO],FINANCIACION[[#This Row],[PRESTAMO]])</f>
        <v>-66965431.858707003</v>
      </c>
      <c r="G456" s="7" t="s">
        <v>172</v>
      </c>
      <c r="H456" s="53"/>
      <c r="I456" s="5" t="b">
        <f>IF(FINANCIACION[[#This Row],[$ CAPITAL]]&gt;0,FINANCIACION[[#This Row],[$ CAPITAL]])</f>
        <v>0</v>
      </c>
      <c r="J456" s="33">
        <f>IF(FINANCIACION[[#This Row],[$ CAPITAL]]&gt;=0,FINANCIACION[[#This Row],[$ CAPITAL]]+FINANCIACION[[#This Row],[$ INTERESES]],0)</f>
        <v>0</v>
      </c>
      <c r="K456" s="10"/>
      <c r="N456" s="6"/>
      <c r="O456" s="9"/>
      <c r="P456" s="8"/>
    </row>
    <row r="457" spans="1:16" ht="24" hidden="1" customHeight="1" x14ac:dyDescent="0.3">
      <c r="A457" s="131">
        <v>44196</v>
      </c>
      <c r="B457" s="50" t="s">
        <v>146</v>
      </c>
      <c r="C457" s="5"/>
      <c r="D457" s="5">
        <v>76791</v>
      </c>
      <c r="E457" s="5">
        <f>+IF(FINANCIACION[[#This Row],[$ CAPITAL]]&gt;=0,FINANCIACION[[#This Row],[$ CAPITAL]]+FINANCIACION[[#This Row],[$ INTERESES]],"")</f>
        <v>76791</v>
      </c>
      <c r="F457" s="5">
        <f>+SUMIFS(FINANCIACION[$ CAPITAL],FINANCIACION[Fecha],"&lt;="&amp;FINANCIACION[[#This Row],[Fecha]],FINANCIACION[PRESTAMO],FINANCIACION[[#This Row],[PRESTAMO]])</f>
        <v>-54330833</v>
      </c>
      <c r="G457" s="7"/>
      <c r="H457" s="53"/>
      <c r="I457" s="5" t="b">
        <f>IF(FINANCIACION[[#This Row],[$ CAPITAL]]&gt;0,FINANCIACION[[#This Row],[$ CAPITAL]])</f>
        <v>0</v>
      </c>
      <c r="J457" s="33">
        <f>IF(FINANCIACION[[#This Row],[$ CAPITAL]]&gt;=0,FINANCIACION[[#This Row],[$ CAPITAL]]+FINANCIACION[[#This Row],[$ INTERESES]],0)</f>
        <v>76791</v>
      </c>
      <c r="K457" s="10"/>
      <c r="N457" s="6"/>
      <c r="O457" s="9"/>
      <c r="P457" s="8"/>
    </row>
    <row r="458" spans="1:16" ht="24" hidden="1" customHeight="1" x14ac:dyDescent="0.3">
      <c r="A458" s="131">
        <v>44196</v>
      </c>
      <c r="B458" s="50" t="s">
        <v>147</v>
      </c>
      <c r="C458" s="5"/>
      <c r="D458" s="5">
        <v>513600</v>
      </c>
      <c r="E458" s="5">
        <f>+IF(FINANCIACION[[#This Row],[$ CAPITAL]]&gt;=0,FINANCIACION[[#This Row],[$ CAPITAL]]+FINANCIACION[[#This Row],[$ INTERESES]],"")</f>
        <v>513600</v>
      </c>
      <c r="F458" s="5">
        <f>+SUMIFS(FINANCIACION[$ CAPITAL],FINANCIACION[Fecha],"&lt;="&amp;FINANCIACION[[#This Row],[Fecha]],FINANCIACION[PRESTAMO],FINANCIACION[[#This Row],[PRESTAMO]])</f>
        <v>-3071640</v>
      </c>
      <c r="G458" s="7"/>
      <c r="H458" s="53"/>
      <c r="I458" s="5" t="b">
        <f>IF(FINANCIACION[[#This Row],[$ CAPITAL]]&gt;0,FINANCIACION[[#This Row],[$ CAPITAL]])</f>
        <v>0</v>
      </c>
      <c r="J458" s="33">
        <f>IF(FINANCIACION[[#This Row],[$ CAPITAL]]&gt;=0,FINANCIACION[[#This Row],[$ CAPITAL]]+FINANCIACION[[#This Row],[$ INTERESES]],0)</f>
        <v>513600</v>
      </c>
      <c r="K458" s="10"/>
      <c r="N458" s="6"/>
      <c r="O458" s="9"/>
      <c r="P458" s="8"/>
    </row>
    <row r="459" spans="1:16" ht="24" hidden="1" customHeight="1" x14ac:dyDescent="0.3">
      <c r="A459" s="131">
        <v>44196</v>
      </c>
      <c r="B459" s="50" t="s">
        <v>540</v>
      </c>
      <c r="C459" s="5">
        <v>-198009.68999999799</v>
      </c>
      <c r="D459" s="5"/>
      <c r="E459" s="5" t="str">
        <f>+IF(FINANCIACION[[#This Row],[$ CAPITAL]]&gt;=0,FINANCIACION[[#This Row],[$ CAPITAL]]+FINANCIACION[[#This Row],[$ INTERESES]],"")</f>
        <v/>
      </c>
      <c r="F459" s="5">
        <f>+SUMIFS(FINANCIACION[$ CAPITAL],FINANCIACION[Fecha],"&lt;="&amp;FINANCIACION[[#This Row],[Fecha]],FINANCIACION[PRESTAMO],FINANCIACION[[#This Row],[PRESTAMO]])</f>
        <v>-25582703.219999999</v>
      </c>
      <c r="G459" s="7"/>
      <c r="H459" s="53"/>
      <c r="I459" s="5" t="b">
        <f>IF(FINANCIACION[[#This Row],[$ CAPITAL]]&gt;0,FINANCIACION[[#This Row],[$ CAPITAL]])</f>
        <v>0</v>
      </c>
      <c r="J459" s="33">
        <f>IF(FINANCIACION[[#This Row],[$ CAPITAL]]&gt;=0,FINANCIACION[[#This Row],[$ CAPITAL]]+FINANCIACION[[#This Row],[$ INTERESES]],0)</f>
        <v>0</v>
      </c>
      <c r="K459" s="10"/>
      <c r="N459" s="6"/>
      <c r="O459" s="9"/>
      <c r="P459" s="8"/>
    </row>
    <row r="460" spans="1:16" ht="24" hidden="1" customHeight="1" x14ac:dyDescent="0.3">
      <c r="A460" s="131">
        <v>44196</v>
      </c>
      <c r="B460" s="50" t="s">
        <v>542</v>
      </c>
      <c r="C460" s="5">
        <v>-189250.28999999899</v>
      </c>
      <c r="D460" s="5"/>
      <c r="E460" s="5" t="str">
        <f>+IF(FINANCIACION[[#This Row],[$ CAPITAL]]&gt;=0,FINANCIACION[[#This Row],[$ CAPITAL]]+FINANCIACION[[#This Row],[$ INTERESES]],"")</f>
        <v/>
      </c>
      <c r="F460" s="5">
        <f>+SUMIFS(FINANCIACION[$ CAPITAL],FINANCIACION[Fecha],"&lt;="&amp;FINANCIACION[[#This Row],[Fecha]],FINANCIACION[PRESTAMO],FINANCIACION[[#This Row],[PRESTAMO]])</f>
        <v>-26810607.579999998</v>
      </c>
      <c r="G460" s="7"/>
      <c r="H460" s="53"/>
      <c r="I460" s="5" t="b">
        <f>IF(FINANCIACION[[#This Row],[$ CAPITAL]]&gt;0,FINANCIACION[[#This Row],[$ CAPITAL]])</f>
        <v>0</v>
      </c>
      <c r="J460" s="33">
        <f>IF(FINANCIACION[[#This Row],[$ CAPITAL]]&gt;=0,FINANCIACION[[#This Row],[$ CAPITAL]]+FINANCIACION[[#This Row],[$ INTERESES]],0)</f>
        <v>0</v>
      </c>
      <c r="K460" s="10"/>
      <c r="N460" s="6"/>
      <c r="O460" s="9"/>
      <c r="P460" s="8"/>
    </row>
    <row r="461" spans="1:16" ht="24" hidden="1" customHeight="1" x14ac:dyDescent="0.3">
      <c r="A461" s="131">
        <v>44196</v>
      </c>
      <c r="B461" s="50" t="s">
        <v>538</v>
      </c>
      <c r="C461" s="5">
        <v>-512809.30999999493</v>
      </c>
      <c r="D461" s="5"/>
      <c r="E461" s="5" t="str">
        <f>+IF(FINANCIACION[[#This Row],[$ CAPITAL]]&gt;=0,FINANCIACION[[#This Row],[$ CAPITAL]]+FINANCIACION[[#This Row],[$ INTERESES]],"")</f>
        <v/>
      </c>
      <c r="F461" s="5">
        <f>+SUMIFS(FINANCIACION[$ CAPITAL],FINANCIACION[Fecha],"&lt;="&amp;FINANCIACION[[#This Row],[Fecha]],FINANCIACION[PRESTAMO],FINANCIACION[[#This Row],[PRESTAMO]])</f>
        <v>-65865540.649999999</v>
      </c>
      <c r="G461" s="7"/>
      <c r="H461" s="53"/>
      <c r="I461" s="5" t="b">
        <f>IF(FINANCIACION[[#This Row],[$ CAPITAL]]&gt;0,FINANCIACION[[#This Row],[$ CAPITAL]])</f>
        <v>0</v>
      </c>
      <c r="J461" s="33">
        <f>IF(FINANCIACION[[#This Row],[$ CAPITAL]]&gt;=0,FINANCIACION[[#This Row],[$ CAPITAL]]+FINANCIACION[[#This Row],[$ INTERESES]],0)</f>
        <v>0</v>
      </c>
      <c r="K461" s="10"/>
      <c r="N461" s="6"/>
      <c r="O461" s="9"/>
      <c r="P461" s="8"/>
    </row>
    <row r="462" spans="1:16" ht="24" hidden="1" customHeight="1" x14ac:dyDescent="0.3">
      <c r="A462" s="131">
        <v>44196</v>
      </c>
      <c r="B462" s="50" t="s">
        <v>539</v>
      </c>
      <c r="C462" s="5">
        <v>-827891.71999999881</v>
      </c>
      <c r="D462" s="5"/>
      <c r="E462" s="5" t="str">
        <f>+IF(FINANCIACION[[#This Row],[$ CAPITAL]]&gt;=0,FINANCIACION[[#This Row],[$ CAPITAL]]+FINANCIACION[[#This Row],[$ INTERESES]],"")</f>
        <v/>
      </c>
      <c r="F462" s="5">
        <f>+SUMIFS(FINANCIACION[$ CAPITAL],FINANCIACION[Fecha],"&lt;="&amp;FINANCIACION[[#This Row],[Fecha]],FINANCIACION[PRESTAMO],FINANCIACION[[#This Row],[PRESTAMO]])</f>
        <v>-94944546.189999998</v>
      </c>
      <c r="G462" s="7"/>
      <c r="H462" s="53"/>
      <c r="I462" s="5" t="b">
        <f>IF(FINANCIACION[[#This Row],[$ CAPITAL]]&gt;0,FINANCIACION[[#This Row],[$ CAPITAL]])</f>
        <v>0</v>
      </c>
      <c r="J462" s="33">
        <f>IF(FINANCIACION[[#This Row],[$ CAPITAL]]&gt;=0,FINANCIACION[[#This Row],[$ CAPITAL]]+FINANCIACION[[#This Row],[$ INTERESES]],0)</f>
        <v>0</v>
      </c>
      <c r="K462" s="10"/>
      <c r="N462" s="6"/>
      <c r="O462" s="9"/>
      <c r="P462" s="8"/>
    </row>
    <row r="463" spans="1:16" ht="24" hidden="1" customHeight="1" x14ac:dyDescent="0.3">
      <c r="A463" s="131">
        <v>44196</v>
      </c>
      <c r="B463" s="50" t="s">
        <v>534</v>
      </c>
      <c r="C463" s="5">
        <v>36112485</v>
      </c>
      <c r="D463" s="5"/>
      <c r="E463" s="5">
        <f>+IF(FINANCIACION[[#This Row],[$ CAPITAL]]&gt;=0,FINANCIACION[[#This Row],[$ CAPITAL]]+FINANCIACION[[#This Row],[$ INTERESES]],"")</f>
        <v>36112485</v>
      </c>
      <c r="F463" s="5">
        <f>+SUMIFS(FINANCIACION[$ CAPITAL],FINANCIACION[Fecha],"&lt;="&amp;FINANCIACION[[#This Row],[Fecha]],FINANCIACION[PRESTAMO],FINANCIACION[[#This Row],[PRESTAMO]])</f>
        <v>-349958312</v>
      </c>
      <c r="G463" s="7" t="s">
        <v>255</v>
      </c>
      <c r="H463" s="53"/>
      <c r="I463" s="5">
        <f>IF(FINANCIACION[[#This Row],[$ CAPITAL]]&gt;0,FINANCIACION[[#This Row],[$ CAPITAL]])</f>
        <v>36112485</v>
      </c>
      <c r="J463" s="33">
        <f>IF(FINANCIACION[[#This Row],[$ CAPITAL]]&gt;=0,FINANCIACION[[#This Row],[$ CAPITAL]]+FINANCIACION[[#This Row],[$ INTERESES]],0)</f>
        <v>36112485</v>
      </c>
      <c r="K463" s="10"/>
      <c r="N463" s="6"/>
      <c r="O463" s="9"/>
      <c r="P463" s="8"/>
    </row>
    <row r="464" spans="1:16" ht="24" hidden="1" customHeight="1" x14ac:dyDescent="0.3">
      <c r="A464" s="131">
        <v>44196</v>
      </c>
      <c r="B464" s="50" t="s">
        <v>534</v>
      </c>
      <c r="C464" s="5">
        <v>5709486</v>
      </c>
      <c r="D464" s="5"/>
      <c r="E464" s="5">
        <f>+IF(FINANCIACION[[#This Row],[$ CAPITAL]]&gt;=0,FINANCIACION[[#This Row],[$ CAPITAL]]+FINANCIACION[[#This Row],[$ INTERESES]],"")</f>
        <v>5709486</v>
      </c>
      <c r="F464" s="5">
        <f>+SUMIFS(FINANCIACION[$ CAPITAL],FINANCIACION[Fecha],"&lt;="&amp;FINANCIACION[[#This Row],[Fecha]],FINANCIACION[PRESTAMO],FINANCIACION[[#This Row],[PRESTAMO]])</f>
        <v>-349958312</v>
      </c>
      <c r="G464" s="7"/>
      <c r="H464" s="53"/>
      <c r="I464" s="5">
        <f>IF(FINANCIACION[[#This Row],[$ CAPITAL]]&gt;0,FINANCIACION[[#This Row],[$ CAPITAL]])</f>
        <v>5709486</v>
      </c>
      <c r="J464" s="33">
        <f>IF(FINANCIACION[[#This Row],[$ CAPITAL]]&gt;=0,FINANCIACION[[#This Row],[$ CAPITAL]]+FINANCIACION[[#This Row],[$ INTERESES]],0)</f>
        <v>5709486</v>
      </c>
      <c r="K464" s="10"/>
      <c r="N464" s="6"/>
      <c r="O464" s="9"/>
      <c r="P464" s="8"/>
    </row>
    <row r="465" spans="1:16" ht="24" hidden="1" customHeight="1" x14ac:dyDescent="0.3">
      <c r="A465" s="131">
        <v>44196</v>
      </c>
      <c r="B465" s="50" t="s">
        <v>535</v>
      </c>
      <c r="C465" s="5">
        <v>-289141.33000000566</v>
      </c>
      <c r="D465" s="5"/>
      <c r="E465" s="5" t="str">
        <f>+IF(FINANCIACION[[#This Row],[$ CAPITAL]]&gt;=0,FINANCIACION[[#This Row],[$ CAPITAL]]+FINANCIACION[[#This Row],[$ INTERESES]],"")</f>
        <v/>
      </c>
      <c r="F465" s="5">
        <f>+SUMIFS(FINANCIACION[$ CAPITAL],FINANCIACION[Fecha],"&lt;="&amp;FINANCIACION[[#This Row],[Fecha]],FINANCIACION[PRESTAMO],FINANCIACION[[#This Row],[PRESTAMO]])</f>
        <v>-63507571.150000036</v>
      </c>
      <c r="G465" s="7"/>
      <c r="H465" s="53"/>
      <c r="I465" s="5" t="b">
        <f>IF(FINANCIACION[[#This Row],[$ CAPITAL]]&gt;0,FINANCIACION[[#This Row],[$ CAPITAL]])</f>
        <v>0</v>
      </c>
      <c r="J465" s="33">
        <f>IF(FINANCIACION[[#This Row],[$ CAPITAL]]&gt;=0,FINANCIACION[[#This Row],[$ CAPITAL]]+FINANCIACION[[#This Row],[$ INTERESES]],0)</f>
        <v>0</v>
      </c>
      <c r="K465" s="10"/>
      <c r="N465" s="6"/>
      <c r="O465" s="9"/>
      <c r="P465" s="8"/>
    </row>
    <row r="466" spans="1:16" ht="24" hidden="1" customHeight="1" x14ac:dyDescent="0.3">
      <c r="A466" s="131">
        <v>44196</v>
      </c>
      <c r="B466" s="50" t="s">
        <v>535</v>
      </c>
      <c r="C466" s="5">
        <v>-3811270.9999999995</v>
      </c>
      <c r="D466" s="5"/>
      <c r="E466" s="5" t="str">
        <f>+IF(FINANCIACION[[#This Row],[$ CAPITAL]]&gt;=0,FINANCIACION[[#This Row],[$ CAPITAL]]+FINANCIACION[[#This Row],[$ INTERESES]],"")</f>
        <v/>
      </c>
      <c r="F466" s="5">
        <f>+SUMIFS(FINANCIACION[$ CAPITAL],FINANCIACION[Fecha],"&lt;="&amp;FINANCIACION[[#This Row],[Fecha]],FINANCIACION[PRESTAMO],FINANCIACION[[#This Row],[PRESTAMO]])</f>
        <v>-63507571.150000036</v>
      </c>
      <c r="G466" s="7"/>
      <c r="H466" s="53"/>
      <c r="I466" s="5" t="b">
        <f>IF(FINANCIACION[[#This Row],[$ CAPITAL]]&gt;0,FINANCIACION[[#This Row],[$ CAPITAL]])</f>
        <v>0</v>
      </c>
      <c r="J466" s="33">
        <f>IF(FINANCIACION[[#This Row],[$ CAPITAL]]&gt;=0,FINANCIACION[[#This Row],[$ CAPITAL]]+FINANCIACION[[#This Row],[$ INTERESES]],0)</f>
        <v>0</v>
      </c>
      <c r="K466" s="10"/>
      <c r="N466" s="6"/>
      <c r="O466" s="9"/>
      <c r="P466" s="8"/>
    </row>
    <row r="467" spans="1:16" ht="24" hidden="1" customHeight="1" x14ac:dyDescent="0.3">
      <c r="A467" s="131">
        <v>44196</v>
      </c>
      <c r="B467" s="50" t="s">
        <v>535</v>
      </c>
      <c r="C467" s="5">
        <v>-15366659.999999993</v>
      </c>
      <c r="D467" s="5"/>
      <c r="E467" s="5" t="str">
        <f>+IF(FINANCIACION[[#This Row],[$ CAPITAL]]&gt;=0,FINANCIACION[[#This Row],[$ CAPITAL]]+FINANCIACION[[#This Row],[$ INTERESES]],"")</f>
        <v/>
      </c>
      <c r="F467" s="5">
        <f>+SUMIFS(FINANCIACION[$ CAPITAL],FINANCIACION[Fecha],"&lt;="&amp;FINANCIACION[[#This Row],[Fecha]],FINANCIACION[PRESTAMO],FINANCIACION[[#This Row],[PRESTAMO]])</f>
        <v>-63507571.150000036</v>
      </c>
      <c r="G467" s="7"/>
      <c r="H467" s="53"/>
      <c r="I467" s="5" t="b">
        <f>IF(FINANCIACION[[#This Row],[$ CAPITAL]]&gt;0,FINANCIACION[[#This Row],[$ CAPITAL]])</f>
        <v>0</v>
      </c>
      <c r="J467" s="33">
        <f>IF(FINANCIACION[[#This Row],[$ CAPITAL]]&gt;=0,FINANCIACION[[#This Row],[$ CAPITAL]]+FINANCIACION[[#This Row],[$ INTERESES]],0)</f>
        <v>0</v>
      </c>
      <c r="K467" s="10"/>
      <c r="N467" s="6"/>
      <c r="O467" s="9"/>
      <c r="P467" s="8"/>
    </row>
    <row r="468" spans="1:16" ht="24" hidden="1" customHeight="1" x14ac:dyDescent="0.3">
      <c r="A468" s="131">
        <v>44196</v>
      </c>
      <c r="B468" s="50" t="s">
        <v>535</v>
      </c>
      <c r="C468" s="5">
        <v>-5227428</v>
      </c>
      <c r="D468" s="5"/>
      <c r="E468" s="5" t="str">
        <f>+IF(FINANCIACION[[#This Row],[$ CAPITAL]]&gt;=0,FINANCIACION[[#This Row],[$ CAPITAL]]+FINANCIACION[[#This Row],[$ INTERESES]],"")</f>
        <v/>
      </c>
      <c r="F468" s="5">
        <f>+SUMIFS(FINANCIACION[$ CAPITAL],FINANCIACION[Fecha],"&lt;="&amp;FINANCIACION[[#This Row],[Fecha]],FINANCIACION[PRESTAMO],FINANCIACION[[#This Row],[PRESTAMO]])</f>
        <v>-63507571.150000036</v>
      </c>
      <c r="G468" s="7"/>
      <c r="H468" s="53"/>
      <c r="I468" s="5" t="b">
        <f>IF(FINANCIACION[[#This Row],[$ CAPITAL]]&gt;0,FINANCIACION[[#This Row],[$ CAPITAL]])</f>
        <v>0</v>
      </c>
      <c r="J468" s="33">
        <f>IF(FINANCIACION[[#This Row],[$ CAPITAL]]&gt;=0,FINANCIACION[[#This Row],[$ CAPITAL]]+FINANCIACION[[#This Row],[$ INTERESES]],0)</f>
        <v>0</v>
      </c>
      <c r="K468" s="10"/>
      <c r="N468" s="6"/>
      <c r="O468" s="9"/>
      <c r="P468" s="8"/>
    </row>
    <row r="469" spans="1:16" ht="24" hidden="1" customHeight="1" x14ac:dyDescent="0.3">
      <c r="A469" s="131">
        <v>44197</v>
      </c>
      <c r="B469" s="50" t="s">
        <v>543</v>
      </c>
      <c r="C469" s="5">
        <v>-13000000</v>
      </c>
      <c r="D469" s="5"/>
      <c r="E469" s="5" t="str">
        <f>+IF(FINANCIACION[[#This Row],[$ CAPITAL]]&gt;=0,FINANCIACION[[#This Row],[$ CAPITAL]]+FINANCIACION[[#This Row],[$ INTERESES]],"")</f>
        <v/>
      </c>
      <c r="F469" s="5">
        <f>+SUMIFS(FINANCIACION[$ CAPITAL],FINANCIACION[Fecha],"&lt;="&amp;FINANCIACION[[#This Row],[Fecha]],FINANCIACION[PRESTAMO],FINANCIACION[[#This Row],[PRESTAMO]])</f>
        <v>-13000000</v>
      </c>
      <c r="G469" s="7"/>
      <c r="H469" s="53"/>
      <c r="I469" s="5" t="b">
        <f>IF(FINANCIACION[[#This Row],[$ CAPITAL]]&gt;0,FINANCIACION[[#This Row],[$ CAPITAL]])</f>
        <v>0</v>
      </c>
      <c r="J469" s="33">
        <f>IF(FINANCIACION[[#This Row],[$ CAPITAL]]&gt;=0,FINANCIACION[[#This Row],[$ CAPITAL]]+FINANCIACION[[#This Row],[$ INTERESES]],0)</f>
        <v>0</v>
      </c>
      <c r="K469" s="10"/>
      <c r="N469" s="6"/>
      <c r="O469" s="9"/>
      <c r="P469" s="8"/>
    </row>
    <row r="470" spans="1:16" ht="24" hidden="1" customHeight="1" x14ac:dyDescent="0.3">
      <c r="A470" s="131">
        <v>44200</v>
      </c>
      <c r="B470" s="50" t="s">
        <v>535</v>
      </c>
      <c r="C470" s="5">
        <v>990094.53</v>
      </c>
      <c r="D470" s="5">
        <v>157302.41999999993</v>
      </c>
      <c r="E470" s="5">
        <f>+IF(FINANCIACION[[#This Row],[$ CAPITAL]]&gt;=0,FINANCIACION[[#This Row],[$ CAPITAL]]+FINANCIACION[[#This Row],[$ INTERESES]],"")</f>
        <v>1147396.95</v>
      </c>
      <c r="F470" s="5">
        <f>+SUMIFS(FINANCIACION[$ CAPITAL],FINANCIACION[Fecha],"&lt;="&amp;FINANCIACION[[#This Row],[Fecha]],FINANCIACION[PRESTAMO],FINANCIACION[[#This Row],[PRESTAMO]])</f>
        <v>-62517476.620000035</v>
      </c>
      <c r="G470" s="7"/>
      <c r="H470" s="53"/>
      <c r="I470" s="5">
        <f>IF(FINANCIACION[[#This Row],[$ CAPITAL]]&gt;0,FINANCIACION[[#This Row],[$ CAPITAL]])</f>
        <v>990094.53</v>
      </c>
      <c r="J470" s="33">
        <f>IF(FINANCIACION[[#This Row],[$ CAPITAL]]&gt;=0,FINANCIACION[[#This Row],[$ CAPITAL]]+FINANCIACION[[#This Row],[$ INTERESES]],0)</f>
        <v>1147396.95</v>
      </c>
      <c r="K470" s="10"/>
      <c r="N470" s="6"/>
      <c r="O470" s="9"/>
      <c r="P470" s="8"/>
    </row>
    <row r="471" spans="1:16" ht="24" hidden="1" customHeight="1" x14ac:dyDescent="0.3">
      <c r="A471" s="131">
        <v>44202</v>
      </c>
      <c r="B471" s="50" t="s">
        <v>150</v>
      </c>
      <c r="C471" s="5">
        <v>6326000</v>
      </c>
      <c r="D471" s="5">
        <v>616570.43999999994</v>
      </c>
      <c r="E471" s="5">
        <f>+IF(FINANCIACION[[#This Row],[$ CAPITAL]]&gt;=0,FINANCIACION[[#This Row],[$ CAPITAL]]+FINANCIACION[[#This Row],[$ INTERESES]],"")</f>
        <v>6942570.4399999995</v>
      </c>
      <c r="F471" s="5">
        <f>+SUMIFS(FINANCIACION[$ CAPITAL],FINANCIACION[Fecha],"&lt;="&amp;FINANCIACION[[#This Row],[Fecha]],FINANCIACION[PRESTAMO],FINANCIACION[[#This Row],[PRESTAMO]])</f>
        <v>-85669126</v>
      </c>
      <c r="G471" s="7"/>
      <c r="H471" s="53"/>
      <c r="I471" s="5">
        <f>IF(FINANCIACION[[#This Row],[$ CAPITAL]]&gt;0,FINANCIACION[[#This Row],[$ CAPITAL]])</f>
        <v>6326000</v>
      </c>
      <c r="J471" s="33">
        <f>IF(FINANCIACION[[#This Row],[$ CAPITAL]]&gt;=0,FINANCIACION[[#This Row],[$ CAPITAL]]+FINANCIACION[[#This Row],[$ INTERESES]],0)</f>
        <v>6942570.4399999995</v>
      </c>
      <c r="K471" s="10"/>
      <c r="N471" s="6"/>
      <c r="O471" s="9"/>
      <c r="P471" s="8"/>
    </row>
    <row r="472" spans="1:16" ht="24" hidden="1" customHeight="1" x14ac:dyDescent="0.3">
      <c r="A472" s="131">
        <v>44204</v>
      </c>
      <c r="B472" s="50" t="s">
        <v>532</v>
      </c>
      <c r="C472" s="5">
        <v>1672275.5133</v>
      </c>
      <c r="D472" s="5">
        <v>893624.48670000001</v>
      </c>
      <c r="E472" s="5">
        <f>+IF(FINANCIACION[[#This Row],[$ CAPITAL]]&gt;=0,FINANCIACION[[#This Row],[$ CAPITAL]]+FINANCIACION[[#This Row],[$ INTERESES]],"")</f>
        <v>2565900</v>
      </c>
      <c r="F472" s="5">
        <f>+SUMIFS(FINANCIACION[$ CAPITAL],FINANCIACION[Fecha],"&lt;="&amp;FINANCIACION[[#This Row],[Fecha]],FINANCIACION[PRESTAMO],FINANCIACION[[#This Row],[PRESTAMO]])</f>
        <v>-87690173.1567</v>
      </c>
      <c r="G472" s="7"/>
      <c r="H472" s="53"/>
      <c r="I472" s="5">
        <f>IF(FINANCIACION[[#This Row],[$ CAPITAL]]&gt;0,FINANCIACION[[#This Row],[$ CAPITAL]])</f>
        <v>1672275.5133</v>
      </c>
      <c r="J472" s="33">
        <f>IF(FINANCIACION[[#This Row],[$ CAPITAL]]&gt;=0,FINANCIACION[[#This Row],[$ CAPITAL]]+FINANCIACION[[#This Row],[$ INTERESES]],0)</f>
        <v>2565900</v>
      </c>
      <c r="K472" s="10"/>
      <c r="N472" s="6"/>
      <c r="O472" s="9"/>
      <c r="P472" s="8"/>
    </row>
    <row r="473" spans="1:16" ht="24" hidden="1" customHeight="1" x14ac:dyDescent="0.3">
      <c r="A473" s="131">
        <v>44208</v>
      </c>
      <c r="B473" s="50" t="s">
        <v>536</v>
      </c>
      <c r="C473" s="5">
        <v>875755.85</v>
      </c>
      <c r="D473" s="5">
        <v>124244.15000000001</v>
      </c>
      <c r="E473" s="5">
        <f>+IF(FINANCIACION[[#This Row],[$ CAPITAL]]&gt;=0,FINANCIACION[[#This Row],[$ CAPITAL]]+FINANCIACION[[#This Row],[$ INTERESES]],"")</f>
        <v>1000000</v>
      </c>
      <c r="F473" s="5">
        <f>+SUMIFS(FINANCIACION[$ CAPITAL],FINANCIACION[Fecha],"&lt;="&amp;FINANCIACION[[#This Row],[Fecha]],FINANCIACION[PRESTAMO],FINANCIACION[[#This Row],[PRESTAMO]])</f>
        <v>-11548659.15</v>
      </c>
      <c r="G473" s="7"/>
      <c r="H473" s="53"/>
      <c r="I473" s="5">
        <f>IF(FINANCIACION[[#This Row],[$ CAPITAL]]&gt;0,FINANCIACION[[#This Row],[$ CAPITAL]])</f>
        <v>875755.85</v>
      </c>
      <c r="J473" s="33">
        <f>IF(FINANCIACION[[#This Row],[$ CAPITAL]]&gt;=0,FINANCIACION[[#This Row],[$ CAPITAL]]+FINANCIACION[[#This Row],[$ INTERESES]],0)</f>
        <v>1000000</v>
      </c>
      <c r="K473" s="10"/>
      <c r="N473" s="6"/>
      <c r="O473" s="9"/>
      <c r="P473" s="8"/>
    </row>
    <row r="474" spans="1:16" ht="24" hidden="1" customHeight="1" x14ac:dyDescent="0.3">
      <c r="A474" s="131">
        <v>44208</v>
      </c>
      <c r="B474" s="50" t="s">
        <v>533</v>
      </c>
      <c r="C474" s="5">
        <v>553839.73069999996</v>
      </c>
      <c r="D474" s="5">
        <v>646160.26930000004</v>
      </c>
      <c r="E474" s="5">
        <f>+IF(FINANCIACION[[#This Row],[$ CAPITAL]]&gt;=0,FINANCIACION[[#This Row],[$ CAPITAL]]+FINANCIACION[[#This Row],[$ INTERESES]],"")</f>
        <v>1200000</v>
      </c>
      <c r="F474" s="5">
        <f>+SUMIFS(FINANCIACION[$ CAPITAL],FINANCIACION[Fecha],"&lt;="&amp;FINANCIACION[[#This Row],[Fecha]],FINANCIACION[PRESTAMO],FINANCIACION[[#This Row],[PRESTAMO]])</f>
        <v>-66411592.128007002</v>
      </c>
      <c r="G474" s="7"/>
      <c r="H474" s="53"/>
      <c r="I474" s="5">
        <f>IF(FINANCIACION[[#This Row],[$ CAPITAL]]&gt;0,FINANCIACION[[#This Row],[$ CAPITAL]])</f>
        <v>553839.73069999996</v>
      </c>
      <c r="J474" s="33">
        <f>IF(FINANCIACION[[#This Row],[$ CAPITAL]]&gt;=0,FINANCIACION[[#This Row],[$ CAPITAL]]+FINANCIACION[[#This Row],[$ INTERESES]],0)</f>
        <v>1200000</v>
      </c>
      <c r="K474" s="10"/>
      <c r="N474" s="6"/>
      <c r="O474" s="9"/>
      <c r="P474" s="8"/>
    </row>
    <row r="475" spans="1:16" ht="24" hidden="1" customHeight="1" x14ac:dyDescent="0.3">
      <c r="A475" s="131">
        <v>44208</v>
      </c>
      <c r="B475" s="50" t="s">
        <v>535</v>
      </c>
      <c r="C475" s="5"/>
      <c r="D475" s="5">
        <v>130000</v>
      </c>
      <c r="E475" s="5">
        <f>+IF(FINANCIACION[[#This Row],[$ CAPITAL]]&gt;=0,FINANCIACION[[#This Row],[$ CAPITAL]]+FINANCIACION[[#This Row],[$ INTERESES]],"")</f>
        <v>130000</v>
      </c>
      <c r="F475" s="5">
        <f>+SUMIFS(FINANCIACION[$ CAPITAL],FINANCIACION[Fecha],"&lt;="&amp;FINANCIACION[[#This Row],[Fecha]],FINANCIACION[PRESTAMO],FINANCIACION[[#This Row],[PRESTAMO]])</f>
        <v>-60474043.620000035</v>
      </c>
      <c r="G475" s="7"/>
      <c r="H475" s="53"/>
      <c r="I475" s="5" t="b">
        <f>IF(FINANCIACION[[#This Row],[$ CAPITAL]]&gt;0,FINANCIACION[[#This Row],[$ CAPITAL]])</f>
        <v>0</v>
      </c>
      <c r="J475" s="33">
        <f>IF(FINANCIACION[[#This Row],[$ CAPITAL]]&gt;=0,FINANCIACION[[#This Row],[$ CAPITAL]]+FINANCIACION[[#This Row],[$ INTERESES]],0)</f>
        <v>130000</v>
      </c>
      <c r="K475" s="10"/>
      <c r="N475" s="6"/>
      <c r="O475" s="9"/>
      <c r="P475" s="8"/>
    </row>
    <row r="476" spans="1:16" ht="24" hidden="1" customHeight="1" x14ac:dyDescent="0.3">
      <c r="A476" s="131">
        <v>44208</v>
      </c>
      <c r="B476" s="50" t="s">
        <v>535</v>
      </c>
      <c r="C476" s="5">
        <v>1043433</v>
      </c>
      <c r="D476" s="5"/>
      <c r="E476" s="5">
        <f>+IF(FINANCIACION[[#This Row],[$ CAPITAL]]&gt;=0,FINANCIACION[[#This Row],[$ CAPITAL]]+FINANCIACION[[#This Row],[$ INTERESES]],"")</f>
        <v>1043433</v>
      </c>
      <c r="F476" s="5">
        <f>+SUMIFS(FINANCIACION[$ CAPITAL],FINANCIACION[Fecha],"&lt;="&amp;FINANCIACION[[#This Row],[Fecha]],FINANCIACION[PRESTAMO],FINANCIACION[[#This Row],[PRESTAMO]])</f>
        <v>-60474043.620000035</v>
      </c>
      <c r="G476" s="7"/>
      <c r="H476" s="53"/>
      <c r="I476" s="5">
        <f>IF(FINANCIACION[[#This Row],[$ CAPITAL]]&gt;0,FINANCIACION[[#This Row],[$ CAPITAL]])</f>
        <v>1043433</v>
      </c>
      <c r="J476" s="33">
        <f>IF(FINANCIACION[[#This Row],[$ CAPITAL]]&gt;=0,FINANCIACION[[#This Row],[$ CAPITAL]]+FINANCIACION[[#This Row],[$ INTERESES]],0)</f>
        <v>1043433</v>
      </c>
      <c r="K476" s="10"/>
      <c r="N476" s="6"/>
      <c r="O476" s="9"/>
      <c r="P476" s="8"/>
    </row>
    <row r="477" spans="1:16" ht="24" hidden="1" customHeight="1" x14ac:dyDescent="0.3">
      <c r="A477" s="131">
        <v>44208</v>
      </c>
      <c r="B477" s="50" t="s">
        <v>535</v>
      </c>
      <c r="C477" s="5">
        <v>1000000</v>
      </c>
      <c r="D477" s="5"/>
      <c r="E477" s="5">
        <f>+IF(FINANCIACION[[#This Row],[$ CAPITAL]]&gt;=0,FINANCIACION[[#This Row],[$ CAPITAL]]+FINANCIACION[[#This Row],[$ INTERESES]],"")</f>
        <v>1000000</v>
      </c>
      <c r="F477" s="5">
        <f>+SUMIFS(FINANCIACION[$ CAPITAL],FINANCIACION[Fecha],"&lt;="&amp;FINANCIACION[[#This Row],[Fecha]],FINANCIACION[PRESTAMO],FINANCIACION[[#This Row],[PRESTAMO]])</f>
        <v>-60474043.620000035</v>
      </c>
      <c r="G477" s="7"/>
      <c r="H477" s="53"/>
      <c r="I477" s="5">
        <f>IF(FINANCIACION[[#This Row],[$ CAPITAL]]&gt;0,FINANCIACION[[#This Row],[$ CAPITAL]])</f>
        <v>1000000</v>
      </c>
      <c r="J477" s="33">
        <f>IF(FINANCIACION[[#This Row],[$ CAPITAL]]&gt;=0,FINANCIACION[[#This Row],[$ CAPITAL]]+FINANCIACION[[#This Row],[$ INTERESES]],0)</f>
        <v>1000000</v>
      </c>
      <c r="K477" s="10"/>
      <c r="N477" s="6"/>
      <c r="O477" s="9"/>
      <c r="P477" s="8"/>
    </row>
    <row r="478" spans="1:16" ht="24" hidden="1" customHeight="1" x14ac:dyDescent="0.3">
      <c r="A478" s="131">
        <v>44212</v>
      </c>
      <c r="B478" s="50" t="s">
        <v>535</v>
      </c>
      <c r="C478" s="5">
        <v>172</v>
      </c>
      <c r="D478" s="5"/>
      <c r="E478" s="5">
        <f>+IF(FINANCIACION[[#This Row],[$ CAPITAL]]&gt;=0,FINANCIACION[[#This Row],[$ CAPITAL]]+FINANCIACION[[#This Row],[$ INTERESES]],"")</f>
        <v>172</v>
      </c>
      <c r="F478" s="5">
        <f>+SUMIFS(FINANCIACION[$ CAPITAL],FINANCIACION[Fecha],"&lt;="&amp;FINANCIACION[[#This Row],[Fecha]],FINANCIACION[PRESTAMO],FINANCIACION[[#This Row],[PRESTAMO]])</f>
        <v>-58432943.620000035</v>
      </c>
      <c r="G478" s="7"/>
      <c r="H478" s="53"/>
      <c r="I478" s="5">
        <f>IF(FINANCIACION[[#This Row],[$ CAPITAL]]&gt;0,FINANCIACION[[#This Row],[$ CAPITAL]])</f>
        <v>172</v>
      </c>
      <c r="J478" s="33">
        <f>IF(FINANCIACION[[#This Row],[$ CAPITAL]]&gt;=0,FINANCIACION[[#This Row],[$ CAPITAL]]+FINANCIACION[[#This Row],[$ INTERESES]],0)</f>
        <v>172</v>
      </c>
      <c r="K478" s="10"/>
      <c r="N478" s="6"/>
      <c r="O478" s="9"/>
      <c r="P478" s="8"/>
    </row>
    <row r="479" spans="1:16" ht="24" hidden="1" customHeight="1" x14ac:dyDescent="0.3">
      <c r="A479" s="131">
        <v>44212</v>
      </c>
      <c r="B479" s="50" t="s">
        <v>535</v>
      </c>
      <c r="C479" s="5">
        <v>1040928.0000000001</v>
      </c>
      <c r="D479" s="5"/>
      <c r="E479" s="5">
        <f>+IF(FINANCIACION[[#This Row],[$ CAPITAL]]&gt;=0,FINANCIACION[[#This Row],[$ CAPITAL]]+FINANCIACION[[#This Row],[$ INTERESES]],"")</f>
        <v>1040928.0000000001</v>
      </c>
      <c r="F479" s="5">
        <f>+SUMIFS(FINANCIACION[$ CAPITAL],FINANCIACION[Fecha],"&lt;="&amp;FINANCIACION[[#This Row],[Fecha]],FINANCIACION[PRESTAMO],FINANCIACION[[#This Row],[PRESTAMO]])</f>
        <v>-58432943.620000035</v>
      </c>
      <c r="G479" s="7"/>
      <c r="H479" s="53"/>
      <c r="I479" s="5">
        <f>IF(FINANCIACION[[#This Row],[$ CAPITAL]]&gt;0,FINANCIACION[[#This Row],[$ CAPITAL]])</f>
        <v>1040928.0000000001</v>
      </c>
      <c r="J479" s="33">
        <f>IF(FINANCIACION[[#This Row],[$ CAPITAL]]&gt;=0,FINANCIACION[[#This Row],[$ CAPITAL]]+FINANCIACION[[#This Row],[$ INTERESES]],0)</f>
        <v>1040928.0000000001</v>
      </c>
      <c r="K479" s="10"/>
      <c r="N479" s="6"/>
      <c r="O479" s="9"/>
      <c r="P479" s="8"/>
    </row>
    <row r="480" spans="1:16" ht="24" hidden="1" customHeight="1" x14ac:dyDescent="0.3">
      <c r="A480" s="131">
        <v>44212</v>
      </c>
      <c r="B480" s="50" t="s">
        <v>535</v>
      </c>
      <c r="C480" s="5">
        <v>1000000</v>
      </c>
      <c r="D480" s="5"/>
      <c r="E480" s="5">
        <f>+IF(FINANCIACION[[#This Row],[$ CAPITAL]]&gt;=0,FINANCIACION[[#This Row],[$ CAPITAL]]+FINANCIACION[[#This Row],[$ INTERESES]],"")</f>
        <v>1000000</v>
      </c>
      <c r="F480" s="5">
        <f>+SUMIFS(FINANCIACION[$ CAPITAL],FINANCIACION[Fecha],"&lt;="&amp;FINANCIACION[[#This Row],[Fecha]],FINANCIACION[PRESTAMO],FINANCIACION[[#This Row],[PRESTAMO]])</f>
        <v>-58432943.620000035</v>
      </c>
      <c r="G480" s="7"/>
      <c r="H480" s="53"/>
      <c r="I480" s="5">
        <f>IF(FINANCIACION[[#This Row],[$ CAPITAL]]&gt;0,FINANCIACION[[#This Row],[$ CAPITAL]])</f>
        <v>1000000</v>
      </c>
      <c r="J480" s="33">
        <f>IF(FINANCIACION[[#This Row],[$ CAPITAL]]&gt;=0,FINANCIACION[[#This Row],[$ CAPITAL]]+FINANCIACION[[#This Row],[$ INTERESES]],0)</f>
        <v>1000000</v>
      </c>
      <c r="K480" s="10"/>
      <c r="N480" s="6"/>
      <c r="O480" s="9"/>
      <c r="P480" s="8"/>
    </row>
    <row r="481" spans="1:16" ht="24" hidden="1" customHeight="1" x14ac:dyDescent="0.3">
      <c r="A481" s="131">
        <v>44226</v>
      </c>
      <c r="B481" s="50" t="s">
        <v>154</v>
      </c>
      <c r="C481" s="5">
        <v>-7016439</v>
      </c>
      <c r="D481" s="5"/>
      <c r="E481" s="5" t="str">
        <f>+IF(FINANCIACION[[#This Row],[$ CAPITAL]]&gt;=0,FINANCIACION[[#This Row],[$ CAPITAL]]+FINANCIACION[[#This Row],[$ INTERESES]],"")</f>
        <v/>
      </c>
      <c r="F481" s="5">
        <f>+SUMIFS(FINANCIACION[$ CAPITAL],FINANCIACION[Fecha],"&lt;="&amp;FINANCIACION[[#This Row],[Fecha]],FINANCIACION[PRESTAMO],FINANCIACION[[#This Row],[PRESTAMO]])</f>
        <v>-7016439</v>
      </c>
      <c r="G481" s="7" t="s">
        <v>170</v>
      </c>
      <c r="H481" s="53"/>
      <c r="I481" s="5" t="b">
        <f>IF(FINANCIACION[[#This Row],[$ CAPITAL]]&gt;0,FINANCIACION[[#This Row],[$ CAPITAL]])</f>
        <v>0</v>
      </c>
      <c r="J481" s="33">
        <f>IF(FINANCIACION[[#This Row],[$ CAPITAL]]&gt;=0,FINANCIACION[[#This Row],[$ CAPITAL]]+FINANCIACION[[#This Row],[$ INTERESES]],0)</f>
        <v>0</v>
      </c>
      <c r="K481" s="10"/>
      <c r="N481" s="6"/>
      <c r="O481" s="9"/>
      <c r="P481" s="8"/>
    </row>
    <row r="482" spans="1:16" ht="24" hidden="1" customHeight="1" x14ac:dyDescent="0.3">
      <c r="A482" s="131">
        <v>44228</v>
      </c>
      <c r="B482" s="50" t="s">
        <v>146</v>
      </c>
      <c r="C482" s="5"/>
      <c r="D482" s="5">
        <v>76791</v>
      </c>
      <c r="E482" s="5">
        <f>+IF(FINANCIACION[[#This Row],[$ CAPITAL]]&gt;=0,FINANCIACION[[#This Row],[$ CAPITAL]]+FINANCIACION[[#This Row],[$ INTERESES]],"")</f>
        <v>76791</v>
      </c>
      <c r="F482" s="5">
        <f>+SUMIFS(FINANCIACION[$ CAPITAL],FINANCIACION[Fecha],"&lt;="&amp;FINANCIACION[[#This Row],[Fecha]],FINANCIACION[PRESTAMO],FINANCIACION[[#This Row],[PRESTAMO]])</f>
        <v>-54330833</v>
      </c>
      <c r="G482" s="7"/>
      <c r="H482" s="53"/>
      <c r="I482" s="5" t="b">
        <f>IF(FINANCIACION[[#This Row],[$ CAPITAL]]&gt;0,FINANCIACION[[#This Row],[$ CAPITAL]])</f>
        <v>0</v>
      </c>
      <c r="J482" s="33">
        <f>IF(FINANCIACION[[#This Row],[$ CAPITAL]]&gt;=0,FINANCIACION[[#This Row],[$ CAPITAL]]+FINANCIACION[[#This Row],[$ INTERESES]],0)</f>
        <v>76791</v>
      </c>
      <c r="K482" s="10"/>
      <c r="N482" s="6"/>
      <c r="O482" s="9"/>
      <c r="P482" s="8"/>
    </row>
    <row r="483" spans="1:16" ht="24" hidden="1" customHeight="1" x14ac:dyDescent="0.3">
      <c r="A483" s="131">
        <v>44231</v>
      </c>
      <c r="B483" s="50" t="s">
        <v>535</v>
      </c>
      <c r="C483" s="5">
        <v>990094.53000000305</v>
      </c>
      <c r="D483" s="5">
        <v>144841.01</v>
      </c>
      <c r="E483" s="5">
        <f>+IF(FINANCIACION[[#This Row],[$ CAPITAL]]&gt;=0,FINANCIACION[[#This Row],[$ CAPITAL]]+FINANCIACION[[#This Row],[$ INTERESES]],"")</f>
        <v>1134935.5400000031</v>
      </c>
      <c r="F483" s="5">
        <f>+SUMIFS(FINANCIACION[$ CAPITAL],FINANCIACION[Fecha],"&lt;="&amp;FINANCIACION[[#This Row],[Fecha]],FINANCIACION[PRESTAMO],FINANCIACION[[#This Row],[PRESTAMO]])</f>
        <v>-57442849.090000033</v>
      </c>
      <c r="G483" s="7"/>
      <c r="H483" s="53"/>
      <c r="I483" s="5">
        <f>IF(FINANCIACION[[#This Row],[$ CAPITAL]]&gt;0,FINANCIACION[[#This Row],[$ CAPITAL]])</f>
        <v>990094.53000000305</v>
      </c>
      <c r="J483" s="33">
        <f>IF(FINANCIACION[[#This Row],[$ CAPITAL]]&gt;=0,FINANCIACION[[#This Row],[$ CAPITAL]]+FINANCIACION[[#This Row],[$ INTERESES]],0)</f>
        <v>1134935.5400000031</v>
      </c>
      <c r="K483" s="10"/>
      <c r="N483" s="6"/>
      <c r="O483" s="9"/>
      <c r="P483" s="8"/>
    </row>
    <row r="484" spans="1:16" ht="24" hidden="1" customHeight="1" x14ac:dyDescent="0.3">
      <c r="A484" s="131">
        <v>44233</v>
      </c>
      <c r="B484" s="50" t="s">
        <v>150</v>
      </c>
      <c r="C484" s="5">
        <v>6326000</v>
      </c>
      <c r="D484" s="5">
        <v>569963.18000000005</v>
      </c>
      <c r="E484" s="5">
        <f>+IF(FINANCIACION[[#This Row],[$ CAPITAL]]&gt;=0,FINANCIACION[[#This Row],[$ CAPITAL]]+FINANCIACION[[#This Row],[$ INTERESES]],"")</f>
        <v>6895963.1799999997</v>
      </c>
      <c r="F484" s="5">
        <f>+SUMIFS(FINANCIACION[$ CAPITAL],FINANCIACION[Fecha],"&lt;="&amp;FINANCIACION[[#This Row],[Fecha]],FINANCIACION[PRESTAMO],FINANCIACION[[#This Row],[PRESTAMO]])</f>
        <v>-79343126</v>
      </c>
      <c r="G484" s="7"/>
      <c r="H484" s="53"/>
      <c r="I484" s="5">
        <f>IF(FINANCIACION[[#This Row],[$ CAPITAL]]&gt;0,FINANCIACION[[#This Row],[$ CAPITAL]])</f>
        <v>6326000</v>
      </c>
      <c r="J484" s="33">
        <f>IF(FINANCIACION[[#This Row],[$ CAPITAL]]&gt;=0,FINANCIACION[[#This Row],[$ CAPITAL]]+FINANCIACION[[#This Row],[$ INTERESES]],0)</f>
        <v>6895963.1799999997</v>
      </c>
      <c r="K484" s="10"/>
      <c r="N484" s="6"/>
      <c r="O484" s="9"/>
      <c r="P484" s="8"/>
    </row>
    <row r="485" spans="1:16" ht="24" hidden="1" customHeight="1" x14ac:dyDescent="0.3">
      <c r="A485" s="131">
        <v>44237</v>
      </c>
      <c r="B485" s="50" t="s">
        <v>532</v>
      </c>
      <c r="C485" s="5">
        <v>1672275.5133</v>
      </c>
      <c r="D485" s="5">
        <v>893624.48670000001</v>
      </c>
      <c r="E485" s="5">
        <f>+IF(FINANCIACION[[#This Row],[$ CAPITAL]]&gt;=0,FINANCIACION[[#This Row],[$ CAPITAL]]+FINANCIACION[[#This Row],[$ INTERESES]],"")</f>
        <v>2565900</v>
      </c>
      <c r="F485" s="5">
        <f>+SUMIFS(FINANCIACION[$ CAPITAL],FINANCIACION[Fecha],"&lt;="&amp;FINANCIACION[[#This Row],[Fecha]],FINANCIACION[PRESTAMO],FINANCIACION[[#This Row],[PRESTAMO]])</f>
        <v>-86017897.643399999</v>
      </c>
      <c r="G485" s="7"/>
      <c r="H485" s="53"/>
      <c r="I485" s="5">
        <f>IF(FINANCIACION[[#This Row],[$ CAPITAL]]&gt;0,FINANCIACION[[#This Row],[$ CAPITAL]])</f>
        <v>1672275.5133</v>
      </c>
      <c r="J485" s="33">
        <f>IF(FINANCIACION[[#This Row],[$ CAPITAL]]&gt;=0,FINANCIACION[[#This Row],[$ CAPITAL]]+FINANCIACION[[#This Row],[$ INTERESES]],0)</f>
        <v>2565900</v>
      </c>
      <c r="K485" s="10"/>
      <c r="N485" s="6"/>
      <c r="O485" s="9"/>
      <c r="P485" s="8"/>
    </row>
    <row r="486" spans="1:16" ht="24" hidden="1" customHeight="1" x14ac:dyDescent="0.3">
      <c r="A486" s="131">
        <v>44237</v>
      </c>
      <c r="B486" s="50" t="s">
        <v>536</v>
      </c>
      <c r="C486" s="5">
        <v>875755.85</v>
      </c>
      <c r="D486" s="5">
        <v>124244.15000000001</v>
      </c>
      <c r="E486" s="5">
        <f>+IF(FINANCIACION[[#This Row],[$ CAPITAL]]&gt;=0,FINANCIACION[[#This Row],[$ CAPITAL]]+FINANCIACION[[#This Row],[$ INTERESES]],"")</f>
        <v>1000000</v>
      </c>
      <c r="F486" s="5">
        <f>+SUMIFS(FINANCIACION[$ CAPITAL],FINANCIACION[Fecha],"&lt;="&amp;FINANCIACION[[#This Row],[Fecha]],FINANCIACION[PRESTAMO],FINANCIACION[[#This Row],[PRESTAMO]])</f>
        <v>-10672903.300000001</v>
      </c>
      <c r="G486" s="7"/>
      <c r="H486" s="53"/>
      <c r="I486" s="5">
        <f>IF(FINANCIACION[[#This Row],[$ CAPITAL]]&gt;0,FINANCIACION[[#This Row],[$ CAPITAL]])</f>
        <v>875755.85</v>
      </c>
      <c r="J486" s="33">
        <f>IF(FINANCIACION[[#This Row],[$ CAPITAL]]&gt;=0,FINANCIACION[[#This Row],[$ CAPITAL]]+FINANCIACION[[#This Row],[$ INTERESES]],0)</f>
        <v>1000000</v>
      </c>
      <c r="K486" s="10"/>
      <c r="N486" s="6"/>
      <c r="O486" s="9"/>
      <c r="P486" s="8"/>
    </row>
    <row r="487" spans="1:16" ht="24" hidden="1" customHeight="1" x14ac:dyDescent="0.3">
      <c r="A487" s="131">
        <v>44237</v>
      </c>
      <c r="B487" s="50" t="s">
        <v>533</v>
      </c>
      <c r="C487" s="5">
        <v>559378.12800699996</v>
      </c>
      <c r="D487" s="5">
        <v>640621.87199300004</v>
      </c>
      <c r="E487" s="5">
        <f>+IF(FINANCIACION[[#This Row],[$ CAPITAL]]&gt;=0,FINANCIACION[[#This Row],[$ CAPITAL]]+FINANCIACION[[#This Row],[$ INTERESES]],"")</f>
        <v>1200000</v>
      </c>
      <c r="F487" s="5">
        <f>+SUMIFS(FINANCIACION[$ CAPITAL],FINANCIACION[Fecha],"&lt;="&amp;FINANCIACION[[#This Row],[Fecha]],FINANCIACION[PRESTAMO],FINANCIACION[[#This Row],[PRESTAMO]])</f>
        <v>-65852214</v>
      </c>
      <c r="G487" s="7"/>
      <c r="H487" s="53"/>
      <c r="I487" s="5">
        <f>IF(FINANCIACION[[#This Row],[$ CAPITAL]]&gt;0,FINANCIACION[[#This Row],[$ CAPITAL]])</f>
        <v>559378.12800699996</v>
      </c>
      <c r="J487" s="33">
        <f>IF(FINANCIACION[[#This Row],[$ CAPITAL]]&gt;=0,FINANCIACION[[#This Row],[$ CAPITAL]]+FINANCIACION[[#This Row],[$ INTERESES]],0)</f>
        <v>1200000</v>
      </c>
      <c r="K487" s="10"/>
      <c r="N487" s="6"/>
      <c r="O487" s="9"/>
      <c r="P487" s="8"/>
    </row>
    <row r="488" spans="1:16" ht="24" hidden="1" customHeight="1" x14ac:dyDescent="0.3">
      <c r="A488" s="131">
        <v>44237</v>
      </c>
      <c r="B488" s="50" t="s">
        <v>535</v>
      </c>
      <c r="C488" s="5"/>
      <c r="D488" s="5">
        <v>130000</v>
      </c>
      <c r="E488" s="5">
        <f>+IF(FINANCIACION[[#This Row],[$ CAPITAL]]&gt;=0,FINANCIACION[[#This Row],[$ CAPITAL]]+FINANCIACION[[#This Row],[$ INTERESES]],"")</f>
        <v>130000</v>
      </c>
      <c r="F488" s="5">
        <f>+SUMIFS(FINANCIACION[$ CAPITAL],FINANCIACION[Fecha],"&lt;="&amp;FINANCIACION[[#This Row],[Fecha]],FINANCIACION[PRESTAMO],FINANCIACION[[#This Row],[PRESTAMO]])</f>
        <v>-57442849.090000033</v>
      </c>
      <c r="G488" s="7"/>
      <c r="H488" s="53"/>
      <c r="I488" s="5" t="b">
        <f>IF(FINANCIACION[[#This Row],[$ CAPITAL]]&gt;0,FINANCIACION[[#This Row],[$ CAPITAL]])</f>
        <v>0</v>
      </c>
      <c r="J488" s="33">
        <f>IF(FINANCIACION[[#This Row],[$ CAPITAL]]&gt;=0,FINANCIACION[[#This Row],[$ CAPITAL]]+FINANCIACION[[#This Row],[$ INTERESES]],0)</f>
        <v>130000</v>
      </c>
      <c r="K488" s="10"/>
      <c r="N488" s="6"/>
      <c r="O488" s="9"/>
      <c r="P488" s="8"/>
    </row>
    <row r="489" spans="1:16" ht="24" hidden="1" customHeight="1" x14ac:dyDescent="0.3">
      <c r="A489" s="131">
        <v>44239</v>
      </c>
      <c r="B489" s="50" t="s">
        <v>535</v>
      </c>
      <c r="C489" s="5">
        <v>3525450</v>
      </c>
      <c r="D489" s="5"/>
      <c r="E489" s="5">
        <f>+IF(FINANCIACION[[#This Row],[$ CAPITAL]]&gt;=0,FINANCIACION[[#This Row],[$ CAPITAL]]+FINANCIACION[[#This Row],[$ INTERESES]],"")</f>
        <v>3525450</v>
      </c>
      <c r="F489" s="5">
        <f>+SUMIFS(FINANCIACION[$ CAPITAL],FINANCIACION[Fecha],"&lt;="&amp;FINANCIACION[[#This Row],[Fecha]],FINANCIACION[PRESTAMO],FINANCIACION[[#This Row],[PRESTAMO]])</f>
        <v>-53917399.090000033</v>
      </c>
      <c r="G489" s="7"/>
      <c r="H489" s="53"/>
      <c r="I489" s="5">
        <f>IF(FINANCIACION[[#This Row],[$ CAPITAL]]&gt;0,FINANCIACION[[#This Row],[$ CAPITAL]])</f>
        <v>3525450</v>
      </c>
      <c r="J489" s="33">
        <f>IF(FINANCIACION[[#This Row],[$ CAPITAL]]&gt;=0,FINANCIACION[[#This Row],[$ CAPITAL]]+FINANCIACION[[#This Row],[$ INTERESES]],0)</f>
        <v>3525450</v>
      </c>
      <c r="K489" s="10"/>
      <c r="N489" s="6"/>
      <c r="O489" s="9"/>
      <c r="P489" s="8"/>
    </row>
    <row r="490" spans="1:16" ht="24" hidden="1" customHeight="1" x14ac:dyDescent="0.3">
      <c r="A490" s="131">
        <v>44242</v>
      </c>
      <c r="B490" s="50" t="s">
        <v>535</v>
      </c>
      <c r="C490" s="5">
        <v>3515650</v>
      </c>
      <c r="D490" s="5"/>
      <c r="E490" s="5">
        <f>+IF(FINANCIACION[[#This Row],[$ CAPITAL]]&gt;=0,FINANCIACION[[#This Row],[$ CAPITAL]]+FINANCIACION[[#This Row],[$ INTERESES]],"")</f>
        <v>3515650</v>
      </c>
      <c r="F490" s="5">
        <f>+SUMIFS(FINANCIACION[$ CAPITAL],FINANCIACION[Fecha],"&lt;="&amp;FINANCIACION[[#This Row],[Fecha]],FINANCIACION[PRESTAMO],FINANCIACION[[#This Row],[PRESTAMO]])</f>
        <v>-49401749.090000033</v>
      </c>
      <c r="G490" s="7"/>
      <c r="H490" s="53"/>
      <c r="I490" s="5">
        <f>IF(FINANCIACION[[#This Row],[$ CAPITAL]]&gt;0,FINANCIACION[[#This Row],[$ CAPITAL]])</f>
        <v>3515650</v>
      </c>
      <c r="J490" s="33">
        <f>IF(FINANCIACION[[#This Row],[$ CAPITAL]]&gt;=0,FINANCIACION[[#This Row],[$ CAPITAL]]+FINANCIACION[[#This Row],[$ INTERESES]],0)</f>
        <v>3515650</v>
      </c>
      <c r="K490" s="10"/>
      <c r="N490" s="6"/>
      <c r="O490" s="9"/>
      <c r="P490" s="8"/>
    </row>
    <row r="491" spans="1:16" ht="24" hidden="1" customHeight="1" x14ac:dyDescent="0.3">
      <c r="A491" s="131">
        <v>44242</v>
      </c>
      <c r="B491" s="50" t="s">
        <v>535</v>
      </c>
      <c r="C491" s="5">
        <v>1000000</v>
      </c>
      <c r="D491" s="5"/>
      <c r="E491" s="5">
        <f>+IF(FINANCIACION[[#This Row],[$ CAPITAL]]&gt;=0,FINANCIACION[[#This Row],[$ CAPITAL]]+FINANCIACION[[#This Row],[$ INTERESES]],"")</f>
        <v>1000000</v>
      </c>
      <c r="F491" s="5">
        <f>+SUMIFS(FINANCIACION[$ CAPITAL],FINANCIACION[Fecha],"&lt;="&amp;FINANCIACION[[#This Row],[Fecha]],FINANCIACION[PRESTAMO],FINANCIACION[[#This Row],[PRESTAMO]])</f>
        <v>-49401749.090000033</v>
      </c>
      <c r="G491" s="7"/>
      <c r="H491" s="53"/>
      <c r="I491" s="5">
        <f>IF(FINANCIACION[[#This Row],[$ CAPITAL]]&gt;0,FINANCIACION[[#This Row],[$ CAPITAL]])</f>
        <v>1000000</v>
      </c>
      <c r="J491" s="33">
        <f>IF(FINANCIACION[[#This Row],[$ CAPITAL]]&gt;=0,FINANCIACION[[#This Row],[$ CAPITAL]]+FINANCIACION[[#This Row],[$ INTERESES]],0)</f>
        <v>1000000</v>
      </c>
      <c r="K491" s="10"/>
      <c r="N491" s="6"/>
      <c r="O491" s="9"/>
      <c r="P491" s="8"/>
    </row>
    <row r="492" spans="1:16" ht="24" hidden="1" customHeight="1" x14ac:dyDescent="0.3">
      <c r="A492" s="131">
        <v>44244</v>
      </c>
      <c r="B492" s="50" t="s">
        <v>540</v>
      </c>
      <c r="C492" s="5">
        <v>1200643</v>
      </c>
      <c r="D492" s="5"/>
      <c r="E492" s="5">
        <f>+IF(FINANCIACION[[#This Row],[$ CAPITAL]]&gt;=0,FINANCIACION[[#This Row],[$ CAPITAL]]+FINANCIACION[[#This Row],[$ INTERESES]],"")</f>
        <v>1200643</v>
      </c>
      <c r="F492" s="5">
        <f>+SUMIFS(FINANCIACION[$ CAPITAL],FINANCIACION[Fecha],"&lt;="&amp;FINANCIACION[[#This Row],[Fecha]],FINANCIACION[PRESTAMO],FINANCIACION[[#This Row],[PRESTAMO]])</f>
        <v>-24382060.219999999</v>
      </c>
      <c r="G492" s="7"/>
      <c r="H492" s="53"/>
      <c r="I492" s="5">
        <f>IF(FINANCIACION[[#This Row],[$ CAPITAL]]&gt;0,FINANCIACION[[#This Row],[$ CAPITAL]])</f>
        <v>1200643</v>
      </c>
      <c r="J492" s="33">
        <f>IF(FINANCIACION[[#This Row],[$ CAPITAL]]&gt;=0,FINANCIACION[[#This Row],[$ CAPITAL]]+FINANCIACION[[#This Row],[$ INTERESES]],0)</f>
        <v>1200643</v>
      </c>
      <c r="K492" s="10"/>
      <c r="N492" s="6"/>
      <c r="O492" s="9"/>
      <c r="P492" s="8"/>
    </row>
    <row r="493" spans="1:16" ht="24" hidden="1" customHeight="1" x14ac:dyDescent="0.3">
      <c r="A493" s="131">
        <v>44244</v>
      </c>
      <c r="B493" s="50" t="s">
        <v>542</v>
      </c>
      <c r="C493" s="5">
        <v>181769</v>
      </c>
      <c r="D493" s="5"/>
      <c r="E493" s="5">
        <f>+IF(FINANCIACION[[#This Row],[$ CAPITAL]]&gt;=0,FINANCIACION[[#This Row],[$ CAPITAL]]+FINANCIACION[[#This Row],[$ INTERESES]],"")</f>
        <v>181769</v>
      </c>
      <c r="F493" s="5">
        <f>+SUMIFS(FINANCIACION[$ CAPITAL],FINANCIACION[Fecha],"&lt;="&amp;FINANCIACION[[#This Row],[Fecha]],FINANCIACION[PRESTAMO],FINANCIACION[[#This Row],[PRESTAMO]])</f>
        <v>-26628838.579999998</v>
      </c>
      <c r="G493" s="7"/>
      <c r="H493" s="53"/>
      <c r="I493" s="5">
        <f>IF(FINANCIACION[[#This Row],[$ CAPITAL]]&gt;0,FINANCIACION[[#This Row],[$ CAPITAL]])</f>
        <v>181769</v>
      </c>
      <c r="J493" s="33">
        <f>IF(FINANCIACION[[#This Row],[$ CAPITAL]]&gt;=0,FINANCIACION[[#This Row],[$ CAPITAL]]+FINANCIACION[[#This Row],[$ INTERESES]],0)</f>
        <v>181769</v>
      </c>
      <c r="K493" s="10"/>
      <c r="N493" s="6"/>
      <c r="O493" s="9"/>
      <c r="P493" s="8"/>
    </row>
    <row r="494" spans="1:16" ht="24" hidden="1" customHeight="1" x14ac:dyDescent="0.3">
      <c r="A494" s="131">
        <v>44244</v>
      </c>
      <c r="B494" s="50" t="s">
        <v>538</v>
      </c>
      <c r="C494" s="5">
        <v>2603000</v>
      </c>
      <c r="D494" s="5"/>
      <c r="E494" s="5">
        <f>+IF(FINANCIACION[[#This Row],[$ CAPITAL]]&gt;=0,FINANCIACION[[#This Row],[$ CAPITAL]]+FINANCIACION[[#This Row],[$ INTERESES]],"")</f>
        <v>2603000</v>
      </c>
      <c r="F494" s="5">
        <f>+SUMIFS(FINANCIACION[$ CAPITAL],FINANCIACION[Fecha],"&lt;="&amp;FINANCIACION[[#This Row],[Fecha]],FINANCIACION[PRESTAMO],FINANCIACION[[#This Row],[PRESTAMO]])</f>
        <v>-63262540.649999999</v>
      </c>
      <c r="G494" s="7"/>
      <c r="H494" s="53"/>
      <c r="I494" s="5">
        <f>IF(FINANCIACION[[#This Row],[$ CAPITAL]]&gt;0,FINANCIACION[[#This Row],[$ CAPITAL]])</f>
        <v>2603000</v>
      </c>
      <c r="J494" s="33">
        <f>IF(FINANCIACION[[#This Row],[$ CAPITAL]]&gt;=0,FINANCIACION[[#This Row],[$ CAPITAL]]+FINANCIACION[[#This Row],[$ INTERESES]],0)</f>
        <v>2603000</v>
      </c>
      <c r="K494" s="10"/>
      <c r="N494" s="6"/>
      <c r="O494" s="9"/>
      <c r="P494" s="8"/>
    </row>
    <row r="495" spans="1:16" ht="24" hidden="1" customHeight="1" x14ac:dyDescent="0.3">
      <c r="A495" s="131">
        <v>44244</v>
      </c>
      <c r="B495" s="50" t="s">
        <v>539</v>
      </c>
      <c r="C495" s="5">
        <v>2718857</v>
      </c>
      <c r="D495" s="5"/>
      <c r="E495" s="5">
        <f>+IF(FINANCIACION[[#This Row],[$ CAPITAL]]&gt;=0,FINANCIACION[[#This Row],[$ CAPITAL]]+FINANCIACION[[#This Row],[$ INTERESES]],"")</f>
        <v>2718857</v>
      </c>
      <c r="F495" s="5">
        <f>+SUMIFS(FINANCIACION[$ CAPITAL],FINANCIACION[Fecha],"&lt;="&amp;FINANCIACION[[#This Row],[Fecha]],FINANCIACION[PRESTAMO],FINANCIACION[[#This Row],[PRESTAMO]])</f>
        <v>-92225689.189999998</v>
      </c>
      <c r="G495" s="7"/>
      <c r="H495" s="53"/>
      <c r="I495" s="5">
        <f>IF(FINANCIACION[[#This Row],[$ CAPITAL]]&gt;0,FINANCIACION[[#This Row],[$ CAPITAL]])</f>
        <v>2718857</v>
      </c>
      <c r="J495" s="33">
        <f>IF(FINANCIACION[[#This Row],[$ CAPITAL]]&gt;=0,FINANCIACION[[#This Row],[$ CAPITAL]]+FINANCIACION[[#This Row],[$ INTERESES]],0)</f>
        <v>2718857</v>
      </c>
      <c r="K495" s="10"/>
      <c r="N495" s="6"/>
      <c r="O495" s="9"/>
      <c r="P495" s="8"/>
    </row>
    <row r="496" spans="1:16" ht="24" hidden="1" customHeight="1" x14ac:dyDescent="0.3">
      <c r="A496" s="131">
        <v>44244</v>
      </c>
      <c r="B496" s="50" t="s">
        <v>534</v>
      </c>
      <c r="C496" s="5">
        <v>108181</v>
      </c>
      <c r="D496" s="5"/>
      <c r="E496" s="5">
        <f>+IF(FINANCIACION[[#This Row],[$ CAPITAL]]&gt;=0,FINANCIACION[[#This Row],[$ CAPITAL]]+FINANCIACION[[#This Row],[$ INTERESES]],"")</f>
        <v>108181</v>
      </c>
      <c r="F496" s="5">
        <f>+SUMIFS(FINANCIACION[$ CAPITAL],FINANCIACION[Fecha],"&lt;="&amp;FINANCIACION[[#This Row],[Fecha]],FINANCIACION[PRESTAMO],FINANCIACION[[#This Row],[PRESTAMO]])</f>
        <v>-346350131</v>
      </c>
      <c r="G496" s="7"/>
      <c r="H496" s="53"/>
      <c r="I496" s="5">
        <f>IF(FINANCIACION[[#This Row],[$ CAPITAL]]&gt;0,FINANCIACION[[#This Row],[$ CAPITAL]])</f>
        <v>108181</v>
      </c>
      <c r="J496" s="33">
        <f>IF(FINANCIACION[[#This Row],[$ CAPITAL]]&gt;=0,FINANCIACION[[#This Row],[$ CAPITAL]]+FINANCIACION[[#This Row],[$ INTERESES]],0)</f>
        <v>108181</v>
      </c>
      <c r="K496" s="10"/>
      <c r="N496" s="6"/>
      <c r="O496" s="9"/>
      <c r="P496" s="8"/>
    </row>
    <row r="497" spans="1:16" ht="24" hidden="1" customHeight="1" x14ac:dyDescent="0.3">
      <c r="A497" s="131">
        <v>44244</v>
      </c>
      <c r="B497" s="50" t="s">
        <v>534</v>
      </c>
      <c r="C497" s="5">
        <v>3500000</v>
      </c>
      <c r="D497" s="5"/>
      <c r="E497" s="5">
        <f>+IF(FINANCIACION[[#This Row],[$ CAPITAL]]&gt;=0,FINANCIACION[[#This Row],[$ CAPITAL]]+FINANCIACION[[#This Row],[$ INTERESES]],"")</f>
        <v>3500000</v>
      </c>
      <c r="F497" s="5">
        <f>+SUMIFS(FINANCIACION[$ CAPITAL],FINANCIACION[Fecha],"&lt;="&amp;FINANCIACION[[#This Row],[Fecha]],FINANCIACION[PRESTAMO],FINANCIACION[[#This Row],[PRESTAMO]])</f>
        <v>-346350131</v>
      </c>
      <c r="G497" s="7"/>
      <c r="H497" s="53"/>
      <c r="I497" s="5">
        <f>IF(FINANCIACION[[#This Row],[$ CAPITAL]]&gt;0,FINANCIACION[[#This Row],[$ CAPITAL]])</f>
        <v>3500000</v>
      </c>
      <c r="J497" s="33">
        <f>IF(FINANCIACION[[#This Row],[$ CAPITAL]]&gt;=0,FINANCIACION[[#This Row],[$ CAPITAL]]+FINANCIACION[[#This Row],[$ INTERESES]],0)</f>
        <v>3500000</v>
      </c>
      <c r="K497" s="10"/>
      <c r="N497" s="6"/>
      <c r="O497" s="9"/>
      <c r="P497" s="8"/>
    </row>
    <row r="498" spans="1:16" ht="24" hidden="1" customHeight="1" x14ac:dyDescent="0.3">
      <c r="A498" s="131">
        <v>44244</v>
      </c>
      <c r="B498" s="50" t="s">
        <v>535</v>
      </c>
      <c r="C498" s="5">
        <v>1282000</v>
      </c>
      <c r="D498" s="5"/>
      <c r="E498" s="5">
        <f>+IF(FINANCIACION[[#This Row],[$ CAPITAL]]&gt;=0,FINANCIACION[[#This Row],[$ CAPITAL]]+FINANCIACION[[#This Row],[$ INTERESES]],"")</f>
        <v>1282000</v>
      </c>
      <c r="F498" s="5">
        <f>+SUMIFS(FINANCIACION[$ CAPITAL],FINANCIACION[Fecha],"&lt;="&amp;FINANCIACION[[#This Row],[Fecha]],FINANCIACION[PRESTAMO],FINANCIACION[[#This Row],[PRESTAMO]])</f>
        <v>-46575749.090000033</v>
      </c>
      <c r="G498" s="7"/>
      <c r="H498" s="53"/>
      <c r="I498" s="5">
        <f>IF(FINANCIACION[[#This Row],[$ CAPITAL]]&gt;0,FINANCIACION[[#This Row],[$ CAPITAL]])</f>
        <v>1282000</v>
      </c>
      <c r="J498" s="33">
        <f>IF(FINANCIACION[[#This Row],[$ CAPITAL]]&gt;=0,FINANCIACION[[#This Row],[$ CAPITAL]]+FINANCIACION[[#This Row],[$ INTERESES]],0)</f>
        <v>1282000</v>
      </c>
      <c r="K498" s="10"/>
      <c r="N498" s="6"/>
      <c r="O498" s="9"/>
      <c r="P498" s="8"/>
    </row>
    <row r="499" spans="1:16" ht="24" hidden="1" customHeight="1" x14ac:dyDescent="0.3">
      <c r="A499" s="131">
        <v>44244</v>
      </c>
      <c r="B499" s="50" t="s">
        <v>535</v>
      </c>
      <c r="C499" s="5">
        <v>1544000</v>
      </c>
      <c r="D499" s="5"/>
      <c r="E499" s="5">
        <f>+IF(FINANCIACION[[#This Row],[$ CAPITAL]]&gt;=0,FINANCIACION[[#This Row],[$ CAPITAL]]+FINANCIACION[[#This Row],[$ INTERESES]],"")</f>
        <v>1544000</v>
      </c>
      <c r="F499" s="5">
        <f>+SUMIFS(FINANCIACION[$ CAPITAL],FINANCIACION[Fecha],"&lt;="&amp;FINANCIACION[[#This Row],[Fecha]],FINANCIACION[PRESTAMO],FINANCIACION[[#This Row],[PRESTAMO]])</f>
        <v>-46575749.090000033</v>
      </c>
      <c r="G499" s="7"/>
      <c r="H499" s="53"/>
      <c r="I499" s="5">
        <f>IF(FINANCIACION[[#This Row],[$ CAPITAL]]&gt;0,FINANCIACION[[#This Row],[$ CAPITAL]])</f>
        <v>1544000</v>
      </c>
      <c r="J499" s="33">
        <f>IF(FINANCIACION[[#This Row],[$ CAPITAL]]&gt;=0,FINANCIACION[[#This Row],[$ CAPITAL]]+FINANCIACION[[#This Row],[$ INTERESES]],0)</f>
        <v>1544000</v>
      </c>
      <c r="K499" s="10"/>
      <c r="N499" s="6"/>
      <c r="O499" s="9"/>
      <c r="P499" s="8"/>
    </row>
    <row r="500" spans="1:16" ht="24" hidden="1" customHeight="1" x14ac:dyDescent="0.3">
      <c r="A500" s="131">
        <v>44245</v>
      </c>
      <c r="B500" s="50" t="s">
        <v>536</v>
      </c>
      <c r="C500" s="5">
        <v>-50000000</v>
      </c>
      <c r="D500" s="5"/>
      <c r="E500" s="5" t="str">
        <f>+IF(FINANCIACION[[#This Row],[$ CAPITAL]]&gt;=0,FINANCIACION[[#This Row],[$ CAPITAL]]+FINANCIACION[[#This Row],[$ INTERESES]],"")</f>
        <v/>
      </c>
      <c r="F500" s="5">
        <f>+SUMIFS(FINANCIACION[$ CAPITAL],FINANCIACION[Fecha],"&lt;="&amp;FINANCIACION[[#This Row],[Fecha]],FINANCIACION[PRESTAMO],FINANCIACION[[#This Row],[PRESTAMO]])</f>
        <v>-60672903.299999997</v>
      </c>
      <c r="G500" s="7"/>
      <c r="H500" s="53"/>
      <c r="I500" s="5" t="b">
        <f>IF(FINANCIACION[[#This Row],[$ CAPITAL]]&gt;0,FINANCIACION[[#This Row],[$ CAPITAL]])</f>
        <v>0</v>
      </c>
      <c r="J500" s="33">
        <f>IF(FINANCIACION[[#This Row],[$ CAPITAL]]&gt;=0,FINANCIACION[[#This Row],[$ CAPITAL]]+FINANCIACION[[#This Row],[$ INTERESES]],0)</f>
        <v>0</v>
      </c>
      <c r="K500" s="10"/>
      <c r="N500" s="6"/>
      <c r="O500" s="9"/>
      <c r="P500" s="8"/>
    </row>
    <row r="501" spans="1:16" ht="24" hidden="1" customHeight="1" x14ac:dyDescent="0.3">
      <c r="A501" s="131">
        <v>44247</v>
      </c>
      <c r="B501" s="50" t="s">
        <v>543</v>
      </c>
      <c r="C501" s="5"/>
      <c r="D501" s="5">
        <v>130000</v>
      </c>
      <c r="E501" s="5">
        <f>+IF(FINANCIACION[[#This Row],[$ CAPITAL]]&gt;=0,FINANCIACION[[#This Row],[$ CAPITAL]]+FINANCIACION[[#This Row],[$ INTERESES]],"")</f>
        <v>130000</v>
      </c>
      <c r="F501" s="5">
        <f>+SUMIFS(FINANCIACION[$ CAPITAL],FINANCIACION[Fecha],"&lt;="&amp;FINANCIACION[[#This Row],[Fecha]],FINANCIACION[PRESTAMO],FINANCIACION[[#This Row],[PRESTAMO]])</f>
        <v>-13000000</v>
      </c>
      <c r="G501" s="7"/>
      <c r="H501" s="53"/>
      <c r="I501" s="5" t="b">
        <f>IF(FINANCIACION[[#This Row],[$ CAPITAL]]&gt;0,FINANCIACION[[#This Row],[$ CAPITAL]])</f>
        <v>0</v>
      </c>
      <c r="J501" s="33">
        <f>IF(FINANCIACION[[#This Row],[$ CAPITAL]]&gt;=0,FINANCIACION[[#This Row],[$ CAPITAL]]+FINANCIACION[[#This Row],[$ INTERESES]],0)</f>
        <v>130000</v>
      </c>
      <c r="K501" s="10"/>
      <c r="N501" s="6"/>
      <c r="O501" s="9"/>
      <c r="P501" s="8"/>
    </row>
    <row r="502" spans="1:16" ht="24" hidden="1" customHeight="1" x14ac:dyDescent="0.3">
      <c r="A502" s="131">
        <v>44248</v>
      </c>
      <c r="B502" s="50" t="s">
        <v>533</v>
      </c>
      <c r="C502" s="5">
        <v>-8879000</v>
      </c>
      <c r="D502" s="5"/>
      <c r="E502" s="5" t="str">
        <f>+IF(FINANCIACION[[#This Row],[$ CAPITAL]]&gt;=0,FINANCIACION[[#This Row],[$ CAPITAL]]+FINANCIACION[[#This Row],[$ INTERESES]],"")</f>
        <v/>
      </c>
      <c r="F502" s="5">
        <f>+SUMIFS(FINANCIACION[$ CAPITAL],FINANCIACION[Fecha],"&lt;="&amp;FINANCIACION[[#This Row],[Fecha]],FINANCIACION[PRESTAMO],FINANCIACION[[#This Row],[PRESTAMO]])</f>
        <v>-74731214</v>
      </c>
      <c r="G502" s="7"/>
      <c r="H502" s="53"/>
      <c r="I502" s="5" t="b">
        <f>IF(FINANCIACION[[#This Row],[$ CAPITAL]]&gt;0,FINANCIACION[[#This Row],[$ CAPITAL]])</f>
        <v>0</v>
      </c>
      <c r="J502" s="33">
        <f>IF(FINANCIACION[[#This Row],[$ CAPITAL]]&gt;=0,FINANCIACION[[#This Row],[$ CAPITAL]]+FINANCIACION[[#This Row],[$ INTERESES]],0)</f>
        <v>0</v>
      </c>
      <c r="K502" s="10"/>
      <c r="N502" s="6"/>
      <c r="O502" s="9"/>
      <c r="P502" s="8"/>
    </row>
    <row r="503" spans="1:16" ht="24" hidden="1" customHeight="1" x14ac:dyDescent="0.3">
      <c r="A503" s="131">
        <v>44255</v>
      </c>
      <c r="B503" s="50" t="s">
        <v>147</v>
      </c>
      <c r="C503" s="5">
        <v>230373</v>
      </c>
      <c r="D503" s="5">
        <v>510203</v>
      </c>
      <c r="E503" s="5">
        <f>+IF(FINANCIACION[[#This Row],[$ CAPITAL]]&gt;=0,FINANCIACION[[#This Row],[$ CAPITAL]]+FINANCIACION[[#This Row],[$ INTERESES]],"")</f>
        <v>740576</v>
      </c>
      <c r="F503" s="5">
        <f>+SUMIFS(FINANCIACION[$ CAPITAL],FINANCIACION[Fecha],"&lt;="&amp;FINANCIACION[[#This Row],[Fecha]],FINANCIACION[PRESTAMO],FINANCIACION[[#This Row],[PRESTAMO]])</f>
        <v>-2841267</v>
      </c>
      <c r="G503" s="7" t="s">
        <v>170</v>
      </c>
      <c r="H503" s="53"/>
      <c r="I503" s="5">
        <f>IF(FINANCIACION[[#This Row],[$ CAPITAL]]&gt;0,FINANCIACION[[#This Row],[$ CAPITAL]])</f>
        <v>230373</v>
      </c>
      <c r="J503" s="33">
        <f>IF(FINANCIACION[[#This Row],[$ CAPITAL]]&gt;=0,FINANCIACION[[#This Row],[$ CAPITAL]]+FINANCIACION[[#This Row],[$ INTERESES]],0)</f>
        <v>740576</v>
      </c>
      <c r="K503" s="10"/>
      <c r="N503" s="6"/>
      <c r="O503" s="9"/>
      <c r="P503" s="8"/>
    </row>
    <row r="504" spans="1:16" ht="24" hidden="1" customHeight="1" x14ac:dyDescent="0.3">
      <c r="A504" s="131">
        <v>44255</v>
      </c>
      <c r="B504" s="50" t="s">
        <v>149</v>
      </c>
      <c r="C504" s="5">
        <v>-2575168</v>
      </c>
      <c r="D504" s="5"/>
      <c r="E504" s="5" t="str">
        <f>+IF(FINANCIACION[[#This Row],[$ CAPITAL]]&gt;=0,FINANCIACION[[#This Row],[$ CAPITAL]]+FINANCIACION[[#This Row],[$ INTERESES]],"")</f>
        <v/>
      </c>
      <c r="F504" s="5">
        <f>+SUMIFS(FINANCIACION[$ CAPITAL],FINANCIACION[Fecha],"&lt;="&amp;FINANCIACION[[#This Row],[Fecha]],FINANCIACION[PRESTAMO],FINANCIACION[[#This Row],[PRESTAMO]])</f>
        <v>-92706048</v>
      </c>
      <c r="G504" s="7" t="s">
        <v>170</v>
      </c>
      <c r="H504" s="53"/>
      <c r="I504" s="5" t="b">
        <f>IF(FINANCIACION[[#This Row],[$ CAPITAL]]&gt;0,FINANCIACION[[#This Row],[$ CAPITAL]])</f>
        <v>0</v>
      </c>
      <c r="J504" s="33">
        <f>IF(FINANCIACION[[#This Row],[$ CAPITAL]]&gt;=0,FINANCIACION[[#This Row],[$ CAPITAL]]+FINANCIACION[[#This Row],[$ INTERESES]],0)</f>
        <v>0</v>
      </c>
      <c r="K504" s="10"/>
      <c r="N504" s="6"/>
      <c r="O504" s="9"/>
      <c r="P504" s="8"/>
    </row>
    <row r="505" spans="1:16" ht="24" hidden="1" customHeight="1" x14ac:dyDescent="0.3">
      <c r="A505" s="131">
        <v>44255</v>
      </c>
      <c r="B505" s="50" t="s">
        <v>540</v>
      </c>
      <c r="C505" s="5">
        <v>-324272.9299999997</v>
      </c>
      <c r="D505" s="5"/>
      <c r="E505" s="5" t="str">
        <f>+IF(FINANCIACION[[#This Row],[$ CAPITAL]]&gt;=0,FINANCIACION[[#This Row],[$ CAPITAL]]+FINANCIACION[[#This Row],[$ INTERESES]],"")</f>
        <v/>
      </c>
      <c r="F505" s="5">
        <f>+SUMIFS(FINANCIACION[$ CAPITAL],FINANCIACION[Fecha],"&lt;="&amp;FINANCIACION[[#This Row],[Fecha]],FINANCIACION[PRESTAMO],FINANCIACION[[#This Row],[PRESTAMO]])</f>
        <v>-24706333.149999999</v>
      </c>
      <c r="G505" s="7" t="s">
        <v>170</v>
      </c>
      <c r="H505" s="53"/>
      <c r="I505" s="5" t="b">
        <f>IF(FINANCIACION[[#This Row],[$ CAPITAL]]&gt;0,FINANCIACION[[#This Row],[$ CAPITAL]])</f>
        <v>0</v>
      </c>
      <c r="J505" s="33">
        <f>IF(FINANCIACION[[#This Row],[$ CAPITAL]]&gt;=0,FINANCIACION[[#This Row],[$ CAPITAL]]+FINANCIACION[[#This Row],[$ INTERESES]],0)</f>
        <v>0</v>
      </c>
      <c r="K505" s="10"/>
      <c r="N505" s="6"/>
      <c r="O505" s="9"/>
      <c r="P505" s="8"/>
    </row>
    <row r="506" spans="1:16" ht="24" hidden="1" customHeight="1" x14ac:dyDescent="0.3">
      <c r="A506" s="131">
        <v>44255</v>
      </c>
      <c r="B506" s="50" t="s">
        <v>542</v>
      </c>
      <c r="C506" s="5">
        <v>-362321.97000000253</v>
      </c>
      <c r="D506" s="5"/>
      <c r="E506" s="5" t="str">
        <f>+IF(FINANCIACION[[#This Row],[$ CAPITAL]]&gt;=0,FINANCIACION[[#This Row],[$ CAPITAL]]+FINANCIACION[[#This Row],[$ INTERESES]],"")</f>
        <v/>
      </c>
      <c r="F506" s="5">
        <f>+SUMIFS(FINANCIACION[$ CAPITAL],FINANCIACION[Fecha],"&lt;="&amp;FINANCIACION[[#This Row],[Fecha]],FINANCIACION[PRESTAMO],FINANCIACION[[#This Row],[PRESTAMO]])</f>
        <v>-26991160.550000001</v>
      </c>
      <c r="G506" s="7" t="s">
        <v>170</v>
      </c>
      <c r="H506" s="53"/>
      <c r="I506" s="5" t="b">
        <f>IF(FINANCIACION[[#This Row],[$ CAPITAL]]&gt;0,FINANCIACION[[#This Row],[$ CAPITAL]])</f>
        <v>0</v>
      </c>
      <c r="J506" s="33">
        <f>IF(FINANCIACION[[#This Row],[$ CAPITAL]]&gt;=0,FINANCIACION[[#This Row],[$ CAPITAL]]+FINANCIACION[[#This Row],[$ INTERESES]],0)</f>
        <v>0</v>
      </c>
      <c r="K506" s="10"/>
      <c r="N506" s="6"/>
      <c r="O506" s="9"/>
      <c r="P506" s="8"/>
    </row>
    <row r="507" spans="1:16" ht="24" hidden="1" customHeight="1" x14ac:dyDescent="0.3">
      <c r="A507" s="131">
        <v>44255</v>
      </c>
      <c r="B507" s="50" t="s">
        <v>538</v>
      </c>
      <c r="C507" s="5">
        <v>2266793.0700000003</v>
      </c>
      <c r="D507" s="5"/>
      <c r="E507" s="5">
        <f>+IF(FINANCIACION[[#This Row],[$ CAPITAL]]&gt;=0,FINANCIACION[[#This Row],[$ CAPITAL]]+FINANCIACION[[#This Row],[$ INTERESES]],"")</f>
        <v>2266793.0700000003</v>
      </c>
      <c r="F507" s="5">
        <f>+SUMIFS(FINANCIACION[$ CAPITAL],FINANCIACION[Fecha],"&lt;="&amp;FINANCIACION[[#This Row],[Fecha]],FINANCIACION[PRESTAMO],FINANCIACION[[#This Row],[PRESTAMO]])</f>
        <v>-60995747.579999998</v>
      </c>
      <c r="G507" s="7" t="s">
        <v>170</v>
      </c>
      <c r="H507" s="53"/>
      <c r="I507" s="5">
        <f>IF(FINANCIACION[[#This Row],[$ CAPITAL]]&gt;0,FINANCIACION[[#This Row],[$ CAPITAL]])</f>
        <v>2266793.0700000003</v>
      </c>
      <c r="J507" s="33">
        <f>IF(FINANCIACION[[#This Row],[$ CAPITAL]]&gt;=0,FINANCIACION[[#This Row],[$ CAPITAL]]+FINANCIACION[[#This Row],[$ INTERESES]],0)</f>
        <v>2266793.0700000003</v>
      </c>
      <c r="K507" s="10"/>
      <c r="N507" s="6"/>
      <c r="O507" s="9"/>
      <c r="P507" s="8"/>
    </row>
    <row r="508" spans="1:16" ht="24" hidden="1" customHeight="1" x14ac:dyDescent="0.3">
      <c r="A508" s="131">
        <v>44255</v>
      </c>
      <c r="B508" s="50" t="s">
        <v>539</v>
      </c>
      <c r="C508" s="5">
        <v>3748799.9599999934</v>
      </c>
      <c r="D508" s="5"/>
      <c r="E508" s="5">
        <f>+IF(FINANCIACION[[#This Row],[$ CAPITAL]]&gt;=0,FINANCIACION[[#This Row],[$ CAPITAL]]+FINANCIACION[[#This Row],[$ INTERESES]],"")</f>
        <v>3748799.9599999934</v>
      </c>
      <c r="F508" s="5">
        <f>+SUMIFS(FINANCIACION[$ CAPITAL],FINANCIACION[Fecha],"&lt;="&amp;FINANCIACION[[#This Row],[Fecha]],FINANCIACION[PRESTAMO],FINANCIACION[[#This Row],[PRESTAMO]])</f>
        <v>-88476889.230000004</v>
      </c>
      <c r="G508" s="7" t="s">
        <v>170</v>
      </c>
      <c r="H508" s="53"/>
      <c r="I508" s="5">
        <f>IF(FINANCIACION[[#This Row],[$ CAPITAL]]&gt;0,FINANCIACION[[#This Row],[$ CAPITAL]])</f>
        <v>3748799.9599999934</v>
      </c>
      <c r="J508" s="33">
        <f>IF(FINANCIACION[[#This Row],[$ CAPITAL]]&gt;=0,FINANCIACION[[#This Row],[$ CAPITAL]]+FINANCIACION[[#This Row],[$ INTERESES]],0)</f>
        <v>3748799.9599999934</v>
      </c>
      <c r="K508" s="10"/>
      <c r="N508" s="6"/>
      <c r="O508" s="9"/>
      <c r="P508" s="8"/>
    </row>
    <row r="509" spans="1:16" ht="24" hidden="1" customHeight="1" x14ac:dyDescent="0.3">
      <c r="A509" s="131">
        <v>44255</v>
      </c>
      <c r="B509" s="50" t="s">
        <v>534</v>
      </c>
      <c r="C509" s="5">
        <v>-8929573</v>
      </c>
      <c r="D509" s="5"/>
      <c r="E509" s="5" t="str">
        <f>+IF(FINANCIACION[[#This Row],[$ CAPITAL]]&gt;=0,FINANCIACION[[#This Row],[$ CAPITAL]]+FINANCIACION[[#This Row],[$ INTERESES]],"")</f>
        <v/>
      </c>
      <c r="F509" s="5">
        <f>+SUMIFS(FINANCIACION[$ CAPITAL],FINANCIACION[Fecha],"&lt;="&amp;FINANCIACION[[#This Row],[Fecha]],FINANCIACION[PRESTAMO],FINANCIACION[[#This Row],[PRESTAMO]])</f>
        <v>-355279704</v>
      </c>
      <c r="G509" s="7" t="s">
        <v>170</v>
      </c>
      <c r="H509" s="53"/>
      <c r="I509" s="5" t="b">
        <f>IF(FINANCIACION[[#This Row],[$ CAPITAL]]&gt;0,FINANCIACION[[#This Row],[$ CAPITAL]])</f>
        <v>0</v>
      </c>
      <c r="J509" s="33">
        <f>IF(FINANCIACION[[#This Row],[$ CAPITAL]]&gt;=0,FINANCIACION[[#This Row],[$ CAPITAL]]+FINANCIACION[[#This Row],[$ INTERESES]],0)</f>
        <v>0</v>
      </c>
      <c r="K509" s="10"/>
      <c r="N509" s="6"/>
      <c r="O509" s="9"/>
      <c r="P509" s="8"/>
    </row>
    <row r="510" spans="1:16" ht="24" hidden="1" customHeight="1" x14ac:dyDescent="0.3">
      <c r="A510" s="131">
        <v>44255</v>
      </c>
      <c r="B510" s="50" t="s">
        <v>535</v>
      </c>
      <c r="C510" s="5">
        <v>1162943.3500000052</v>
      </c>
      <c r="D510" s="5"/>
      <c r="E510" s="5">
        <f>+IF(FINANCIACION[[#This Row],[$ CAPITAL]]&gt;=0,FINANCIACION[[#This Row],[$ CAPITAL]]+FINANCIACION[[#This Row],[$ INTERESES]],"")</f>
        <v>1162943.3500000052</v>
      </c>
      <c r="F510" s="5">
        <f>+SUMIFS(FINANCIACION[$ CAPITAL],FINANCIACION[Fecha],"&lt;="&amp;FINANCIACION[[#This Row],[Fecha]],FINANCIACION[PRESTAMO],FINANCIACION[[#This Row],[PRESTAMO]])</f>
        <v>-72197464.860000014</v>
      </c>
      <c r="G510" s="7" t="s">
        <v>170</v>
      </c>
      <c r="H510" s="53"/>
      <c r="I510" s="5">
        <f>IF(FINANCIACION[[#This Row],[$ CAPITAL]]&gt;0,FINANCIACION[[#This Row],[$ CAPITAL]])</f>
        <v>1162943.3500000052</v>
      </c>
      <c r="J510" s="33">
        <f>IF(FINANCIACION[[#This Row],[$ CAPITAL]]&gt;=0,FINANCIACION[[#This Row],[$ CAPITAL]]+FINANCIACION[[#This Row],[$ INTERESES]],0)</f>
        <v>1162943.3500000052</v>
      </c>
      <c r="K510" s="10"/>
      <c r="N510" s="6"/>
      <c r="O510" s="9"/>
      <c r="P510" s="8"/>
    </row>
    <row r="511" spans="1:16" ht="24" hidden="1" customHeight="1" x14ac:dyDescent="0.3">
      <c r="A511" s="131">
        <v>44255</v>
      </c>
      <c r="B511" s="50" t="s">
        <v>535</v>
      </c>
      <c r="C511" s="5">
        <v>-267882</v>
      </c>
      <c r="D511" s="5"/>
      <c r="E511" s="5" t="str">
        <f>+IF(FINANCIACION[[#This Row],[$ CAPITAL]]&gt;=0,FINANCIACION[[#This Row],[$ CAPITAL]]+FINANCIACION[[#This Row],[$ INTERESES]],"")</f>
        <v/>
      </c>
      <c r="F511" s="5">
        <f>+SUMIFS(FINANCIACION[$ CAPITAL],FINANCIACION[Fecha],"&lt;="&amp;FINANCIACION[[#This Row],[Fecha]],FINANCIACION[PRESTAMO],FINANCIACION[[#This Row],[PRESTAMO]])</f>
        <v>-72197464.860000014</v>
      </c>
      <c r="G511" s="7" t="s">
        <v>170</v>
      </c>
      <c r="H511" s="53"/>
      <c r="I511" s="5" t="b">
        <f>IF(FINANCIACION[[#This Row],[$ CAPITAL]]&gt;0,FINANCIACION[[#This Row],[$ CAPITAL]])</f>
        <v>0</v>
      </c>
      <c r="J511" s="33">
        <f>IF(FINANCIACION[[#This Row],[$ CAPITAL]]&gt;=0,FINANCIACION[[#This Row],[$ CAPITAL]]+FINANCIACION[[#This Row],[$ INTERESES]],0)</f>
        <v>0</v>
      </c>
      <c r="K511" s="10"/>
      <c r="N511" s="6"/>
      <c r="O511" s="9"/>
      <c r="P511" s="8"/>
    </row>
    <row r="512" spans="1:16" ht="24" hidden="1" customHeight="1" x14ac:dyDescent="0.3">
      <c r="A512" s="131">
        <v>44255</v>
      </c>
      <c r="B512" s="50" t="s">
        <v>535</v>
      </c>
      <c r="C512" s="5">
        <v>-27478261</v>
      </c>
      <c r="D512" s="5"/>
      <c r="E512" s="5" t="str">
        <f>+IF(FINANCIACION[[#This Row],[$ CAPITAL]]&gt;=0,FINANCIACION[[#This Row],[$ CAPITAL]]+FINANCIACION[[#This Row],[$ INTERESES]],"")</f>
        <v/>
      </c>
      <c r="F512" s="5">
        <f>+SUMIFS(FINANCIACION[$ CAPITAL],FINANCIACION[Fecha],"&lt;="&amp;FINANCIACION[[#This Row],[Fecha]],FINANCIACION[PRESTAMO],FINANCIACION[[#This Row],[PRESTAMO]])</f>
        <v>-72197464.860000014</v>
      </c>
      <c r="G512" s="7" t="s">
        <v>170</v>
      </c>
      <c r="H512" s="53"/>
      <c r="I512" s="5" t="b">
        <f>IF(FINANCIACION[[#This Row],[$ CAPITAL]]&gt;0,FINANCIACION[[#This Row],[$ CAPITAL]])</f>
        <v>0</v>
      </c>
      <c r="J512" s="33">
        <f>IF(FINANCIACION[[#This Row],[$ CAPITAL]]&gt;=0,FINANCIACION[[#This Row],[$ CAPITAL]]+FINANCIACION[[#This Row],[$ INTERESES]],0)</f>
        <v>0</v>
      </c>
      <c r="K512" s="10"/>
      <c r="N512" s="6"/>
      <c r="O512" s="9"/>
      <c r="P512" s="8"/>
    </row>
    <row r="513" spans="1:16" ht="24" hidden="1" customHeight="1" x14ac:dyDescent="0.3">
      <c r="A513" s="131">
        <v>44255</v>
      </c>
      <c r="B513" s="50" t="s">
        <v>535</v>
      </c>
      <c r="C513" s="5">
        <v>-141771.9999999851</v>
      </c>
      <c r="D513" s="5"/>
      <c r="E513" s="5" t="str">
        <f>+IF(FINANCIACION[[#This Row],[$ CAPITAL]]&gt;=0,FINANCIACION[[#This Row],[$ CAPITAL]]+FINANCIACION[[#This Row],[$ INTERESES]],"")</f>
        <v/>
      </c>
      <c r="F513" s="5">
        <f>+SUMIFS(FINANCIACION[$ CAPITAL],FINANCIACION[Fecha],"&lt;="&amp;FINANCIACION[[#This Row],[Fecha]],FINANCIACION[PRESTAMO],FINANCIACION[[#This Row],[PRESTAMO]])</f>
        <v>-72197464.860000014</v>
      </c>
      <c r="G513" s="7" t="s">
        <v>170</v>
      </c>
      <c r="H513" s="53"/>
      <c r="I513" s="5" t="b">
        <f>IF(FINANCIACION[[#This Row],[$ CAPITAL]]&gt;0,FINANCIACION[[#This Row],[$ CAPITAL]])</f>
        <v>0</v>
      </c>
      <c r="J513" s="33">
        <f>IF(FINANCIACION[[#This Row],[$ CAPITAL]]&gt;=0,FINANCIACION[[#This Row],[$ CAPITAL]]+FINANCIACION[[#This Row],[$ INTERESES]],0)</f>
        <v>0</v>
      </c>
      <c r="K513" s="10"/>
      <c r="N513" s="6"/>
      <c r="O513" s="9"/>
      <c r="P513" s="8"/>
    </row>
    <row r="514" spans="1:16" ht="24" hidden="1" customHeight="1" x14ac:dyDescent="0.3">
      <c r="A514" s="131">
        <v>44255</v>
      </c>
      <c r="B514" s="50" t="s">
        <v>535</v>
      </c>
      <c r="C514" s="5">
        <v>1103255.8800000027</v>
      </c>
      <c r="D514" s="5"/>
      <c r="E514" s="5">
        <f>+IF(FINANCIACION[[#This Row],[$ CAPITAL]]&gt;=0,FINANCIACION[[#This Row],[$ CAPITAL]]+FINANCIACION[[#This Row],[$ INTERESES]],"")</f>
        <v>1103255.8800000027</v>
      </c>
      <c r="F514" s="5">
        <f>+SUMIFS(FINANCIACION[$ CAPITAL],FINANCIACION[Fecha],"&lt;="&amp;FINANCIACION[[#This Row],[Fecha]],FINANCIACION[PRESTAMO],FINANCIACION[[#This Row],[PRESTAMO]])</f>
        <v>-72197464.860000014</v>
      </c>
      <c r="G514" s="7" t="s">
        <v>170</v>
      </c>
      <c r="H514" s="53"/>
      <c r="I514" s="5">
        <f>IF(FINANCIACION[[#This Row],[$ CAPITAL]]&gt;0,FINANCIACION[[#This Row],[$ CAPITAL]])</f>
        <v>1103255.8800000027</v>
      </c>
      <c r="J514" s="33">
        <f>IF(FINANCIACION[[#This Row],[$ CAPITAL]]&gt;=0,FINANCIACION[[#This Row],[$ CAPITAL]]+FINANCIACION[[#This Row],[$ INTERESES]],0)</f>
        <v>1103255.8800000027</v>
      </c>
      <c r="K514" s="10"/>
      <c r="N514" s="6"/>
      <c r="O514" s="9"/>
      <c r="P514" s="8"/>
    </row>
    <row r="515" spans="1:16" ht="24" hidden="1" customHeight="1" x14ac:dyDescent="0.3">
      <c r="A515" s="131">
        <v>44255</v>
      </c>
      <c r="B515" s="50" t="s">
        <v>154</v>
      </c>
      <c r="C515" s="5">
        <v>-20437161</v>
      </c>
      <c r="D515" s="5"/>
      <c r="E515" s="5" t="str">
        <f>+IF(FINANCIACION[[#This Row],[$ CAPITAL]]&gt;=0,FINANCIACION[[#This Row],[$ CAPITAL]]+FINANCIACION[[#This Row],[$ INTERESES]],"")</f>
        <v/>
      </c>
      <c r="F515" s="5">
        <f>+SUMIFS(FINANCIACION[$ CAPITAL],FINANCIACION[Fecha],"&lt;="&amp;FINANCIACION[[#This Row],[Fecha]],FINANCIACION[PRESTAMO],FINANCIACION[[#This Row],[PRESTAMO]])</f>
        <v>-27453600</v>
      </c>
      <c r="G515" s="7" t="s">
        <v>170</v>
      </c>
      <c r="H515" s="53"/>
      <c r="I515" s="5" t="b">
        <f>IF(FINANCIACION[[#This Row],[$ CAPITAL]]&gt;0,FINANCIACION[[#This Row],[$ CAPITAL]])</f>
        <v>0</v>
      </c>
      <c r="J515" s="33">
        <f>IF(FINANCIACION[[#This Row],[$ CAPITAL]]&gt;=0,FINANCIACION[[#This Row],[$ CAPITAL]]+FINANCIACION[[#This Row],[$ INTERESES]],0)</f>
        <v>0</v>
      </c>
      <c r="K515" s="10"/>
      <c r="N515" s="6"/>
      <c r="O515" s="9"/>
      <c r="P515" s="8"/>
    </row>
    <row r="516" spans="1:16" ht="24" hidden="1" customHeight="1" x14ac:dyDescent="0.3">
      <c r="A516" s="131">
        <v>44256</v>
      </c>
      <c r="B516" s="50" t="s">
        <v>146</v>
      </c>
      <c r="C516" s="5"/>
      <c r="D516" s="5">
        <v>462578</v>
      </c>
      <c r="E516" s="5">
        <f>+IF(FINANCIACION[[#This Row],[$ CAPITAL]]&gt;=0,FINANCIACION[[#This Row],[$ CAPITAL]]+FINANCIACION[[#This Row],[$ INTERESES]],"")</f>
        <v>462578</v>
      </c>
      <c r="F516" s="5">
        <f>+SUMIFS(FINANCIACION[$ CAPITAL],FINANCIACION[Fecha],"&lt;="&amp;FINANCIACION[[#This Row],[Fecha]],FINANCIACION[PRESTAMO],FINANCIACION[[#This Row],[PRESTAMO]])</f>
        <v>-54330833</v>
      </c>
      <c r="G516" s="7"/>
      <c r="H516" s="53"/>
      <c r="I516" s="5" t="b">
        <f>IF(FINANCIACION[[#This Row],[$ CAPITAL]]&gt;0,FINANCIACION[[#This Row],[$ CAPITAL]])</f>
        <v>0</v>
      </c>
      <c r="J516" s="33">
        <f>IF(FINANCIACION[[#This Row],[$ CAPITAL]]&gt;=0,FINANCIACION[[#This Row],[$ CAPITAL]]+FINANCIACION[[#This Row],[$ INTERESES]],0)</f>
        <v>462578</v>
      </c>
      <c r="K516" s="10"/>
      <c r="N516" s="6"/>
      <c r="O516" s="9"/>
      <c r="P516" s="8"/>
    </row>
    <row r="517" spans="1:16" ht="24" hidden="1" customHeight="1" x14ac:dyDescent="0.3">
      <c r="A517" s="131">
        <v>44256</v>
      </c>
      <c r="B517" s="50" t="s">
        <v>147</v>
      </c>
      <c r="C517" s="5"/>
      <c r="D517" s="5">
        <v>76791</v>
      </c>
      <c r="E517" s="5">
        <f>+IF(FINANCIACION[[#This Row],[$ CAPITAL]]&gt;=0,FINANCIACION[[#This Row],[$ CAPITAL]]+FINANCIACION[[#This Row],[$ INTERESES]],"")</f>
        <v>76791</v>
      </c>
      <c r="F517" s="5">
        <f>+SUMIFS(FINANCIACION[$ CAPITAL],FINANCIACION[Fecha],"&lt;="&amp;FINANCIACION[[#This Row],[Fecha]],FINANCIACION[PRESTAMO],FINANCIACION[[#This Row],[PRESTAMO]])</f>
        <v>-2841267</v>
      </c>
      <c r="G517" s="7"/>
      <c r="H517" s="53"/>
      <c r="I517" s="5" t="b">
        <f>IF(FINANCIACION[[#This Row],[$ CAPITAL]]&gt;0,FINANCIACION[[#This Row],[$ CAPITAL]])</f>
        <v>0</v>
      </c>
      <c r="J517" s="33">
        <f>IF(FINANCIACION[[#This Row],[$ CAPITAL]]&gt;=0,FINANCIACION[[#This Row],[$ CAPITAL]]+FINANCIACION[[#This Row],[$ INTERESES]],0)</f>
        <v>76791</v>
      </c>
      <c r="K517" s="10"/>
      <c r="N517" s="6"/>
      <c r="O517" s="9"/>
      <c r="P517" s="8"/>
    </row>
    <row r="518" spans="1:16" ht="24" hidden="1" customHeight="1" x14ac:dyDescent="0.3">
      <c r="A518" s="131">
        <v>44257</v>
      </c>
      <c r="B518" s="50" t="s">
        <v>535</v>
      </c>
      <c r="C518" s="5">
        <v>1227858</v>
      </c>
      <c r="D518" s="5"/>
      <c r="E518" s="5">
        <f>+IF(FINANCIACION[[#This Row],[$ CAPITAL]]&gt;=0,FINANCIACION[[#This Row],[$ CAPITAL]]+FINANCIACION[[#This Row],[$ INTERESES]],"")</f>
        <v>1227858</v>
      </c>
      <c r="F518" s="5">
        <f>+SUMIFS(FINANCIACION[$ CAPITAL],FINANCIACION[Fecha],"&lt;="&amp;FINANCIACION[[#This Row],[Fecha]],FINANCIACION[PRESTAMO],FINANCIACION[[#This Row],[PRESTAMO]])</f>
        <v>-69969606.860000014</v>
      </c>
      <c r="G518" s="7"/>
      <c r="H518" s="53"/>
      <c r="I518" s="5">
        <f>IF(FINANCIACION[[#This Row],[$ CAPITAL]]&gt;0,FINANCIACION[[#This Row],[$ CAPITAL]])</f>
        <v>1227858</v>
      </c>
      <c r="J518" s="33">
        <f>IF(FINANCIACION[[#This Row],[$ CAPITAL]]&gt;=0,FINANCIACION[[#This Row],[$ CAPITAL]]+FINANCIACION[[#This Row],[$ INTERESES]],0)</f>
        <v>1227858</v>
      </c>
      <c r="K518" s="10"/>
      <c r="N518" s="6"/>
      <c r="O518" s="9"/>
      <c r="P518" s="8"/>
    </row>
    <row r="519" spans="1:16" ht="24" hidden="1" customHeight="1" x14ac:dyDescent="0.3">
      <c r="A519" s="131">
        <v>44257</v>
      </c>
      <c r="B519" s="50" t="s">
        <v>535</v>
      </c>
      <c r="C519" s="5">
        <v>100000</v>
      </c>
      <c r="D519" s="5"/>
      <c r="E519" s="5">
        <f>+IF(FINANCIACION[[#This Row],[$ CAPITAL]]&gt;=0,FINANCIACION[[#This Row],[$ CAPITAL]]+FINANCIACION[[#This Row],[$ INTERESES]],"")</f>
        <v>100000</v>
      </c>
      <c r="F519" s="5">
        <f>+SUMIFS(FINANCIACION[$ CAPITAL],FINANCIACION[Fecha],"&lt;="&amp;FINANCIACION[[#This Row],[Fecha]],FINANCIACION[PRESTAMO],FINANCIACION[[#This Row],[PRESTAMO]])</f>
        <v>-69969606.860000014</v>
      </c>
      <c r="G519" s="7"/>
      <c r="H519" s="53"/>
      <c r="I519" s="5">
        <f>IF(FINANCIACION[[#This Row],[$ CAPITAL]]&gt;0,FINANCIACION[[#This Row],[$ CAPITAL]])</f>
        <v>100000</v>
      </c>
      <c r="J519" s="33">
        <f>IF(FINANCIACION[[#This Row],[$ CAPITAL]]&gt;=0,FINANCIACION[[#This Row],[$ CAPITAL]]+FINANCIACION[[#This Row],[$ INTERESES]],0)</f>
        <v>100000</v>
      </c>
      <c r="K519" s="10"/>
      <c r="N519" s="6"/>
      <c r="O519" s="9"/>
      <c r="P519" s="8"/>
    </row>
    <row r="520" spans="1:16" ht="24" hidden="1" customHeight="1" x14ac:dyDescent="0.3">
      <c r="A520" s="131">
        <v>44257</v>
      </c>
      <c r="B520" s="50" t="s">
        <v>535</v>
      </c>
      <c r="C520" s="5">
        <v>900000</v>
      </c>
      <c r="D520" s="5"/>
      <c r="E520" s="5">
        <f>+IF(FINANCIACION[[#This Row],[$ CAPITAL]]&gt;=0,FINANCIACION[[#This Row],[$ CAPITAL]]+FINANCIACION[[#This Row],[$ INTERESES]],"")</f>
        <v>900000</v>
      </c>
      <c r="F520" s="5">
        <f>+SUMIFS(FINANCIACION[$ CAPITAL],FINANCIACION[Fecha],"&lt;="&amp;FINANCIACION[[#This Row],[Fecha]],FINANCIACION[PRESTAMO],FINANCIACION[[#This Row],[PRESTAMO]])</f>
        <v>-69969606.860000014</v>
      </c>
      <c r="G520" s="7"/>
      <c r="H520" s="53"/>
      <c r="I520" s="5">
        <f>IF(FINANCIACION[[#This Row],[$ CAPITAL]]&gt;0,FINANCIACION[[#This Row],[$ CAPITAL]])</f>
        <v>900000</v>
      </c>
      <c r="J520" s="33">
        <f>IF(FINANCIACION[[#This Row],[$ CAPITAL]]&gt;=0,FINANCIACION[[#This Row],[$ CAPITAL]]+FINANCIACION[[#This Row],[$ INTERESES]],0)</f>
        <v>900000</v>
      </c>
      <c r="K520" s="10"/>
      <c r="N520" s="6"/>
      <c r="O520" s="9"/>
      <c r="P520" s="8"/>
    </row>
    <row r="521" spans="1:16" ht="24" hidden="1" customHeight="1" x14ac:dyDescent="0.3">
      <c r="A521" s="131">
        <v>44259</v>
      </c>
      <c r="B521" s="50" t="s">
        <v>535</v>
      </c>
      <c r="C521" s="5">
        <v>990094.53000000305</v>
      </c>
      <c r="D521" s="5">
        <v>132480.529999997</v>
      </c>
      <c r="E521" s="5">
        <f>+IF(FINANCIACION[[#This Row],[$ CAPITAL]]&gt;=0,FINANCIACION[[#This Row],[$ CAPITAL]]+FINANCIACION[[#This Row],[$ INTERESES]],"")</f>
        <v>1122575.06</v>
      </c>
      <c r="F521" s="5">
        <f>+SUMIFS(FINANCIACION[$ CAPITAL],FINANCIACION[Fecha],"&lt;="&amp;FINANCIACION[[#This Row],[Fecha]],FINANCIACION[PRESTAMO],FINANCIACION[[#This Row],[PRESTAMO]])</f>
        <v>-68979512.330000013</v>
      </c>
      <c r="G521" s="7"/>
      <c r="H521" s="53"/>
      <c r="I521" s="5">
        <f>IF(FINANCIACION[[#This Row],[$ CAPITAL]]&gt;0,FINANCIACION[[#This Row],[$ CAPITAL]])</f>
        <v>990094.53000000305</v>
      </c>
      <c r="J521" s="33">
        <f>IF(FINANCIACION[[#This Row],[$ CAPITAL]]&gt;=0,FINANCIACION[[#This Row],[$ CAPITAL]]+FINANCIACION[[#This Row],[$ INTERESES]],0)</f>
        <v>1122575.06</v>
      </c>
      <c r="K521" s="10"/>
      <c r="N521" s="6"/>
      <c r="O521" s="9"/>
      <c r="P521" s="8"/>
    </row>
    <row r="522" spans="1:16" ht="24" hidden="1" customHeight="1" x14ac:dyDescent="0.3">
      <c r="A522" s="131">
        <v>44261</v>
      </c>
      <c r="B522" s="50" t="s">
        <v>150</v>
      </c>
      <c r="C522" s="5">
        <v>6326000</v>
      </c>
      <c r="D522" s="5">
        <v>528525.73</v>
      </c>
      <c r="E522" s="5">
        <f>+IF(FINANCIACION[[#This Row],[$ CAPITAL]]&gt;=0,FINANCIACION[[#This Row],[$ CAPITAL]]+FINANCIACION[[#This Row],[$ INTERESES]],"")</f>
        <v>6854525.7300000004</v>
      </c>
      <c r="F522" s="5">
        <f>+SUMIFS(FINANCIACION[$ CAPITAL],FINANCIACION[Fecha],"&lt;="&amp;FINANCIACION[[#This Row],[Fecha]],FINANCIACION[PRESTAMO],FINANCIACION[[#This Row],[PRESTAMO]])</f>
        <v>-73017126</v>
      </c>
      <c r="G522" s="7"/>
      <c r="H522" s="53"/>
      <c r="I522" s="5">
        <f>IF(FINANCIACION[[#This Row],[$ CAPITAL]]&gt;0,FINANCIACION[[#This Row],[$ CAPITAL]])</f>
        <v>6326000</v>
      </c>
      <c r="J522" s="33">
        <f>IF(FINANCIACION[[#This Row],[$ CAPITAL]]&gt;=0,FINANCIACION[[#This Row],[$ CAPITAL]]+FINANCIACION[[#This Row],[$ INTERESES]],0)</f>
        <v>6854525.7300000004</v>
      </c>
      <c r="K522" s="10"/>
      <c r="N522" s="6"/>
      <c r="O522" s="9"/>
      <c r="P522" s="8"/>
    </row>
    <row r="523" spans="1:16" ht="24" hidden="1" customHeight="1" x14ac:dyDescent="0.3">
      <c r="A523" s="131">
        <v>44263</v>
      </c>
      <c r="B523" s="50" t="s">
        <v>535</v>
      </c>
      <c r="C523" s="5">
        <v>9100500</v>
      </c>
      <c r="D523" s="5"/>
      <c r="E523" s="5">
        <f>+IF(FINANCIACION[[#This Row],[$ CAPITAL]]&gt;=0,FINANCIACION[[#This Row],[$ CAPITAL]]+FINANCIACION[[#This Row],[$ INTERESES]],"")</f>
        <v>9100500</v>
      </c>
      <c r="F523" s="5">
        <f>+SUMIFS(FINANCIACION[$ CAPITAL],FINANCIACION[Fecha],"&lt;="&amp;FINANCIACION[[#This Row],[Fecha]],FINANCIACION[PRESTAMO],FINANCIACION[[#This Row],[PRESTAMO]])</f>
        <v>-59879012.330000013</v>
      </c>
      <c r="G523" s="7"/>
      <c r="H523" s="53"/>
      <c r="I523" s="5">
        <f>IF(FINANCIACION[[#This Row],[$ CAPITAL]]&gt;0,FINANCIACION[[#This Row],[$ CAPITAL]])</f>
        <v>9100500</v>
      </c>
      <c r="J523" s="33">
        <f>IF(FINANCIACION[[#This Row],[$ CAPITAL]]&gt;=0,FINANCIACION[[#This Row],[$ CAPITAL]]+FINANCIACION[[#This Row],[$ INTERESES]],0)</f>
        <v>9100500</v>
      </c>
      <c r="K523" s="10"/>
      <c r="N523" s="6"/>
      <c r="O523" s="9"/>
      <c r="P523" s="8"/>
    </row>
    <row r="524" spans="1:16" ht="24" hidden="1" customHeight="1" x14ac:dyDescent="0.3">
      <c r="A524" s="131">
        <v>44264</v>
      </c>
      <c r="B524" s="50" t="s">
        <v>532</v>
      </c>
      <c r="C524" s="5">
        <v>1705721.0235660002</v>
      </c>
      <c r="D524" s="5">
        <v>860178.97643399995</v>
      </c>
      <c r="E524" s="5">
        <f>+IF(FINANCIACION[[#This Row],[$ CAPITAL]]&gt;=0,FINANCIACION[[#This Row],[$ CAPITAL]]+FINANCIACION[[#This Row],[$ INTERESES]],"")</f>
        <v>2565900</v>
      </c>
      <c r="F524" s="5">
        <f>+SUMIFS(FINANCIACION[$ CAPITAL],FINANCIACION[Fecha],"&lt;="&amp;FINANCIACION[[#This Row],[Fecha]],FINANCIACION[PRESTAMO],FINANCIACION[[#This Row],[PRESTAMO]])</f>
        <v>-84312176.619834006</v>
      </c>
      <c r="G524" s="7"/>
      <c r="H524" s="53"/>
      <c r="I524" s="5">
        <f>IF(FINANCIACION[[#This Row],[$ CAPITAL]]&gt;0,FINANCIACION[[#This Row],[$ CAPITAL]])</f>
        <v>1705721.0235660002</v>
      </c>
      <c r="J524" s="33">
        <f>IF(FINANCIACION[[#This Row],[$ CAPITAL]]&gt;=0,FINANCIACION[[#This Row],[$ CAPITAL]]+FINANCIACION[[#This Row],[$ INTERESES]],0)</f>
        <v>2565900</v>
      </c>
      <c r="K524" s="10"/>
      <c r="N524" s="6"/>
      <c r="O524" s="9"/>
      <c r="P524" s="8"/>
    </row>
    <row r="525" spans="1:16" ht="24" hidden="1" customHeight="1" x14ac:dyDescent="0.3">
      <c r="A525" s="131">
        <v>44264</v>
      </c>
      <c r="B525" s="50" t="s">
        <v>535</v>
      </c>
      <c r="C525" s="5"/>
      <c r="D525" s="5">
        <v>130000</v>
      </c>
      <c r="E525" s="5">
        <f>+IF(FINANCIACION[[#This Row],[$ CAPITAL]]&gt;=0,FINANCIACION[[#This Row],[$ CAPITAL]]+FINANCIACION[[#This Row],[$ INTERESES]],"")</f>
        <v>130000</v>
      </c>
      <c r="F525" s="5">
        <f>+SUMIFS(FINANCIACION[$ CAPITAL],FINANCIACION[Fecha],"&lt;="&amp;FINANCIACION[[#This Row],[Fecha]],FINANCIACION[PRESTAMO],FINANCIACION[[#This Row],[PRESTAMO]])</f>
        <v>-59879012.330000013</v>
      </c>
      <c r="G525" s="7"/>
      <c r="H525" s="53"/>
      <c r="I525" s="5" t="b">
        <f>IF(FINANCIACION[[#This Row],[$ CAPITAL]]&gt;0,FINANCIACION[[#This Row],[$ CAPITAL]])</f>
        <v>0</v>
      </c>
      <c r="J525" s="33">
        <f>IF(FINANCIACION[[#This Row],[$ CAPITAL]]&gt;=0,FINANCIACION[[#This Row],[$ CAPITAL]]+FINANCIACION[[#This Row],[$ INTERESES]],0)</f>
        <v>130000</v>
      </c>
      <c r="K525" s="10"/>
      <c r="N525" s="6"/>
      <c r="O525" s="9"/>
      <c r="P525" s="8"/>
    </row>
    <row r="526" spans="1:16" ht="24" hidden="1" customHeight="1" x14ac:dyDescent="0.3">
      <c r="A526" s="131">
        <v>44265</v>
      </c>
      <c r="B526" s="50" t="s">
        <v>543</v>
      </c>
      <c r="C526" s="5"/>
      <c r="D526" s="5">
        <v>130000</v>
      </c>
      <c r="E526" s="5">
        <f>+IF(FINANCIACION[[#This Row],[$ CAPITAL]]&gt;=0,FINANCIACION[[#This Row],[$ CAPITAL]]+FINANCIACION[[#This Row],[$ INTERESES]],"")</f>
        <v>130000</v>
      </c>
      <c r="F526" s="5">
        <f>+SUMIFS(FINANCIACION[$ CAPITAL],FINANCIACION[Fecha],"&lt;="&amp;FINANCIACION[[#This Row],[Fecha]],FINANCIACION[PRESTAMO],FINANCIACION[[#This Row],[PRESTAMO]])</f>
        <v>-13000000</v>
      </c>
      <c r="G526" s="7"/>
      <c r="H526" s="53"/>
      <c r="I526" s="5" t="b">
        <f>IF(FINANCIACION[[#This Row],[$ CAPITAL]]&gt;0,FINANCIACION[[#This Row],[$ CAPITAL]])</f>
        <v>0</v>
      </c>
      <c r="J526" s="33">
        <f>IF(FINANCIACION[[#This Row],[$ CAPITAL]]&gt;=0,FINANCIACION[[#This Row],[$ CAPITAL]]+FINANCIACION[[#This Row],[$ INTERESES]],0)</f>
        <v>130000</v>
      </c>
      <c r="K526" s="10"/>
      <c r="N526" s="6"/>
      <c r="O526" s="9"/>
      <c r="P526" s="8"/>
    </row>
    <row r="527" spans="1:16" ht="24" hidden="1" customHeight="1" x14ac:dyDescent="0.3">
      <c r="A527" s="131">
        <v>44265</v>
      </c>
      <c r="B527" s="50" t="s">
        <v>536</v>
      </c>
      <c r="C527" s="5">
        <v>277743.10809999995</v>
      </c>
      <c r="D527" s="5">
        <v>922256.89190000005</v>
      </c>
      <c r="E527" s="5">
        <f>+IF(FINANCIACION[[#This Row],[$ CAPITAL]]&gt;=0,FINANCIACION[[#This Row],[$ CAPITAL]]+FINANCIACION[[#This Row],[$ INTERESES]],"")</f>
        <v>1200000</v>
      </c>
      <c r="F527" s="5">
        <f>+SUMIFS(FINANCIACION[$ CAPITAL],FINANCIACION[Fecha],"&lt;="&amp;FINANCIACION[[#This Row],[Fecha]],FINANCIACION[PRESTAMO],FINANCIACION[[#This Row],[PRESTAMO]])</f>
        <v>-60395160.1919</v>
      </c>
      <c r="G527" s="7"/>
      <c r="H527" s="53"/>
      <c r="I527" s="5">
        <f>IF(FINANCIACION[[#This Row],[$ CAPITAL]]&gt;0,FINANCIACION[[#This Row],[$ CAPITAL]])</f>
        <v>277743.10809999995</v>
      </c>
      <c r="J527" s="33">
        <f>IF(FINANCIACION[[#This Row],[$ CAPITAL]]&gt;=0,FINANCIACION[[#This Row],[$ CAPITAL]]+FINANCIACION[[#This Row],[$ INTERESES]],0)</f>
        <v>1200000</v>
      </c>
      <c r="K527" s="10"/>
      <c r="N527" s="6"/>
      <c r="O527" s="9"/>
      <c r="P527" s="8"/>
    </row>
    <row r="528" spans="1:16" ht="24" hidden="1" customHeight="1" x14ac:dyDescent="0.3">
      <c r="A528" s="131">
        <v>44265</v>
      </c>
      <c r="B528" s="50" t="s">
        <v>533</v>
      </c>
      <c r="C528" s="5">
        <v>552687.86</v>
      </c>
      <c r="D528" s="5">
        <v>747312.14</v>
      </c>
      <c r="E528" s="5">
        <f>+IF(FINANCIACION[[#This Row],[$ CAPITAL]]&gt;=0,FINANCIACION[[#This Row],[$ CAPITAL]]+FINANCIACION[[#This Row],[$ INTERESES]],"")</f>
        <v>1300000</v>
      </c>
      <c r="F528" s="5">
        <f>+SUMIFS(FINANCIACION[$ CAPITAL],FINANCIACION[Fecha],"&lt;="&amp;FINANCIACION[[#This Row],[Fecha]],FINANCIACION[PRESTAMO],FINANCIACION[[#This Row],[PRESTAMO]])</f>
        <v>-74349214</v>
      </c>
      <c r="G528" s="7"/>
      <c r="H528" s="53"/>
      <c r="I528" s="5">
        <f>IF(FINANCIACION[[#This Row],[$ CAPITAL]]&gt;0,FINANCIACION[[#This Row],[$ CAPITAL]])</f>
        <v>552687.86</v>
      </c>
      <c r="J528" s="33">
        <f>IF(FINANCIACION[[#This Row],[$ CAPITAL]]&gt;=0,FINANCIACION[[#This Row],[$ CAPITAL]]+FINANCIACION[[#This Row],[$ INTERESES]],0)</f>
        <v>1300000</v>
      </c>
      <c r="K528" s="10"/>
      <c r="N528" s="6"/>
      <c r="O528" s="9"/>
      <c r="P528" s="8"/>
    </row>
    <row r="529" spans="1:16" ht="24" hidden="1" customHeight="1" x14ac:dyDescent="0.3">
      <c r="A529" s="131">
        <v>44265</v>
      </c>
      <c r="B529" s="50" t="s">
        <v>533</v>
      </c>
      <c r="C529" s="5">
        <v>-170687.859999999</v>
      </c>
      <c r="D529" s="5"/>
      <c r="E529" s="5" t="str">
        <f>+IF(FINANCIACION[[#This Row],[$ CAPITAL]]&gt;=0,FINANCIACION[[#This Row],[$ CAPITAL]]+FINANCIACION[[#This Row],[$ INTERESES]],"")</f>
        <v/>
      </c>
      <c r="F529" s="5">
        <f>+SUMIFS(FINANCIACION[$ CAPITAL],FINANCIACION[Fecha],"&lt;="&amp;FINANCIACION[[#This Row],[Fecha]],FINANCIACION[PRESTAMO],FINANCIACION[[#This Row],[PRESTAMO]])</f>
        <v>-74349214</v>
      </c>
      <c r="G529" s="7" t="s">
        <v>1063</v>
      </c>
      <c r="H529" s="53"/>
      <c r="I529" s="5" t="b">
        <f>+IF(FINANCIACION[[#This Row],[$ CAPITAL]]&gt;0,FINANCIACION[[#This Row],[$ CAPITAL]])</f>
        <v>0</v>
      </c>
      <c r="J529" s="33">
        <f>+IF(FINANCIACION[[#This Row],[$ CAPITAL]]&gt;=0,FINANCIACION[[#This Row],[$ CAPITAL]]+FINANCIACION[[#This Row],[$ INTERESES]],0)</f>
        <v>0</v>
      </c>
      <c r="K529" s="10"/>
      <c r="N529" s="6"/>
      <c r="O529" s="9"/>
      <c r="P529" s="8"/>
    </row>
    <row r="530" spans="1:16" ht="24" hidden="1" customHeight="1" x14ac:dyDescent="0.3">
      <c r="A530" s="131">
        <v>44266</v>
      </c>
      <c r="B530" s="50" t="s">
        <v>536</v>
      </c>
      <c r="C530" s="5">
        <v>315160.19189999998</v>
      </c>
      <c r="D530" s="5"/>
      <c r="E530" s="5">
        <f>+IF(FINANCIACION[[#This Row],[$ CAPITAL]]&gt;=0,FINANCIACION[[#This Row],[$ CAPITAL]]+FINANCIACION[[#This Row],[$ INTERESES]],"")</f>
        <v>315160.19189999998</v>
      </c>
      <c r="F530" s="5">
        <f>+SUMIFS(FINANCIACION[$ CAPITAL],FINANCIACION[Fecha],"&lt;="&amp;FINANCIACION[[#This Row],[Fecha]],FINANCIACION[PRESTAMO],FINANCIACION[[#This Row],[PRESTAMO]])</f>
        <v>-60080000</v>
      </c>
      <c r="G530" s="7" t="s">
        <v>173</v>
      </c>
      <c r="H530" s="53"/>
      <c r="I530" s="5">
        <f>IF(FINANCIACION[[#This Row],[$ CAPITAL]]&gt;0,FINANCIACION[[#This Row],[$ CAPITAL]])</f>
        <v>315160.19189999998</v>
      </c>
      <c r="J530" s="33">
        <f>IF(FINANCIACION[[#This Row],[$ CAPITAL]]&gt;=0,FINANCIACION[[#This Row],[$ CAPITAL]]+FINANCIACION[[#This Row],[$ INTERESES]],0)</f>
        <v>315160.19189999998</v>
      </c>
      <c r="K530" s="10"/>
      <c r="N530" s="6"/>
      <c r="O530" s="9"/>
      <c r="P530" s="8"/>
    </row>
    <row r="531" spans="1:16" ht="24" hidden="1" customHeight="1" x14ac:dyDescent="0.3">
      <c r="A531" s="131">
        <v>44271</v>
      </c>
      <c r="B531" s="50" t="s">
        <v>535</v>
      </c>
      <c r="C531" s="5">
        <v>3575630</v>
      </c>
      <c r="D531" s="5"/>
      <c r="E531" s="5">
        <f>+IF(FINANCIACION[[#This Row],[$ CAPITAL]]&gt;=0,FINANCIACION[[#This Row],[$ CAPITAL]]+FINANCIACION[[#This Row],[$ INTERESES]],"")</f>
        <v>3575630</v>
      </c>
      <c r="F531" s="5">
        <f>+SUMIFS(FINANCIACION[$ CAPITAL],FINANCIACION[Fecha],"&lt;="&amp;FINANCIACION[[#This Row],[Fecha]],FINANCIACION[PRESTAMO],FINANCIACION[[#This Row],[PRESTAMO]])</f>
        <v>-56303382.330000013</v>
      </c>
      <c r="G531" s="7" t="s">
        <v>67</v>
      </c>
      <c r="H531" s="53"/>
      <c r="I531" s="5">
        <f>IF(FINANCIACION[[#This Row],[$ CAPITAL]]&gt;0,FINANCIACION[[#This Row],[$ CAPITAL]])</f>
        <v>3575630</v>
      </c>
      <c r="J531" s="33">
        <f>IF(FINANCIACION[[#This Row],[$ CAPITAL]]&gt;=0,FINANCIACION[[#This Row],[$ CAPITAL]]+FINANCIACION[[#This Row],[$ INTERESES]],0)</f>
        <v>3575630</v>
      </c>
      <c r="K531" s="10"/>
      <c r="N531" s="6"/>
      <c r="O531" s="9"/>
      <c r="P531" s="8"/>
    </row>
    <row r="532" spans="1:16" ht="24" hidden="1" customHeight="1" x14ac:dyDescent="0.3">
      <c r="A532" s="131">
        <v>44284</v>
      </c>
      <c r="B532" s="50" t="s">
        <v>540</v>
      </c>
      <c r="C532" s="5">
        <v>997424.58000000194</v>
      </c>
      <c r="D532" s="5">
        <v>20575.419999998063</v>
      </c>
      <c r="E532" s="5">
        <f>+IF(FINANCIACION[[#This Row],[$ CAPITAL]]&gt;=0,FINANCIACION[[#This Row],[$ CAPITAL]]+FINANCIACION[[#This Row],[$ INTERESES]],"")</f>
        <v>1018000</v>
      </c>
      <c r="F532" s="5">
        <f>+SUMIFS(FINANCIACION[$ CAPITAL],FINANCIACION[Fecha],"&lt;="&amp;FINANCIACION[[#This Row],[Fecha]],FINANCIACION[PRESTAMO],FINANCIACION[[#This Row],[PRESTAMO]])</f>
        <v>-23708908.569999997</v>
      </c>
      <c r="G532" s="7"/>
      <c r="H532" s="53"/>
      <c r="I532" s="5">
        <f>IF(FINANCIACION[[#This Row],[$ CAPITAL]]&gt;0,FINANCIACION[[#This Row],[$ CAPITAL]])</f>
        <v>997424.58000000194</v>
      </c>
      <c r="J532" s="33">
        <f>IF(FINANCIACION[[#This Row],[$ CAPITAL]]&gt;=0,FINANCIACION[[#This Row],[$ CAPITAL]]+FINANCIACION[[#This Row],[$ INTERESES]],0)</f>
        <v>1018000</v>
      </c>
      <c r="K532" s="10"/>
      <c r="N532" s="6"/>
      <c r="O532" s="9"/>
      <c r="P532" s="8"/>
    </row>
    <row r="533" spans="1:16" ht="24" hidden="1" customHeight="1" x14ac:dyDescent="0.3">
      <c r="A533" s="131">
        <v>44284</v>
      </c>
      <c r="B533" s="50" t="s">
        <v>542</v>
      </c>
      <c r="C533" s="5">
        <v>1233330.6600000001</v>
      </c>
      <c r="D533" s="5">
        <v>22384.339999999851</v>
      </c>
      <c r="E533" s="5">
        <f>+IF(FINANCIACION[[#This Row],[$ CAPITAL]]&gt;=0,FINANCIACION[[#This Row],[$ CAPITAL]]+FINANCIACION[[#This Row],[$ INTERESES]],"")</f>
        <v>1255715</v>
      </c>
      <c r="F533" s="5">
        <f>+SUMIFS(FINANCIACION[$ CAPITAL],FINANCIACION[Fecha],"&lt;="&amp;FINANCIACION[[#This Row],[Fecha]],FINANCIACION[PRESTAMO],FINANCIACION[[#This Row],[PRESTAMO]])</f>
        <v>-25757829.890000001</v>
      </c>
      <c r="G533" s="7"/>
      <c r="H533" s="53"/>
      <c r="I533" s="5">
        <f>IF(FINANCIACION[[#This Row],[$ CAPITAL]]&gt;0,FINANCIACION[[#This Row],[$ CAPITAL]])</f>
        <v>1233330.6600000001</v>
      </c>
      <c r="J533" s="33">
        <f>IF(FINANCIACION[[#This Row],[$ CAPITAL]]&gt;=0,FINANCIACION[[#This Row],[$ CAPITAL]]+FINANCIACION[[#This Row],[$ INTERESES]],0)</f>
        <v>1255715</v>
      </c>
      <c r="K533" s="10"/>
      <c r="N533" s="6"/>
      <c r="O533" s="9"/>
      <c r="P533" s="8"/>
    </row>
    <row r="534" spans="1:16" ht="24" hidden="1" customHeight="1" x14ac:dyDescent="0.3">
      <c r="A534" s="131">
        <v>44284</v>
      </c>
      <c r="B534" s="50" t="s">
        <v>538</v>
      </c>
      <c r="C534" s="5">
        <v>2572447.9900000021</v>
      </c>
      <c r="D534" s="5">
        <v>12552.009999997914</v>
      </c>
      <c r="E534" s="5">
        <f>+IF(FINANCIACION[[#This Row],[$ CAPITAL]]&gt;=0,FINANCIACION[[#This Row],[$ CAPITAL]]+FINANCIACION[[#This Row],[$ INTERESES]],"")</f>
        <v>2585000</v>
      </c>
      <c r="F534" s="5">
        <f>+SUMIFS(FINANCIACION[$ CAPITAL],FINANCIACION[Fecha],"&lt;="&amp;FINANCIACION[[#This Row],[Fecha]],FINANCIACION[PRESTAMO],FINANCIACION[[#This Row],[PRESTAMO]])</f>
        <v>-58423299.589999996</v>
      </c>
      <c r="G534" s="7"/>
      <c r="H534" s="53"/>
      <c r="I534" s="5">
        <f>IF(FINANCIACION[[#This Row],[$ CAPITAL]]&gt;0,FINANCIACION[[#This Row],[$ CAPITAL]])</f>
        <v>2572447.9900000021</v>
      </c>
      <c r="J534" s="33">
        <f>IF(FINANCIACION[[#This Row],[$ CAPITAL]]&gt;=0,FINANCIACION[[#This Row],[$ CAPITAL]]+FINANCIACION[[#This Row],[$ INTERESES]],0)</f>
        <v>2585000</v>
      </c>
      <c r="K534" s="10"/>
      <c r="N534" s="6"/>
      <c r="O534" s="9"/>
      <c r="P534" s="8"/>
    </row>
    <row r="535" spans="1:16" ht="24" hidden="1" customHeight="1" x14ac:dyDescent="0.3">
      <c r="A535" s="131">
        <v>44284</v>
      </c>
      <c r="B535" s="50" t="s">
        <v>539</v>
      </c>
      <c r="C535" s="5">
        <v>4917561.8900000006</v>
      </c>
      <c r="D535" s="5">
        <v>82438.109999999404</v>
      </c>
      <c r="E535" s="5">
        <f>+IF(FINANCIACION[[#This Row],[$ CAPITAL]]&gt;=0,FINANCIACION[[#This Row],[$ CAPITAL]]+FINANCIACION[[#This Row],[$ INTERESES]],"")</f>
        <v>5000000</v>
      </c>
      <c r="F535" s="5">
        <f>+SUMIFS(FINANCIACION[$ CAPITAL],FINANCIACION[Fecha],"&lt;="&amp;FINANCIACION[[#This Row],[Fecha]],FINANCIACION[PRESTAMO],FINANCIACION[[#This Row],[PRESTAMO]])</f>
        <v>-83559327.340000004</v>
      </c>
      <c r="G535" s="7"/>
      <c r="H535" s="53"/>
      <c r="I535" s="5">
        <f>IF(FINANCIACION[[#This Row],[$ CAPITAL]]&gt;0,FINANCIACION[[#This Row],[$ CAPITAL]])</f>
        <v>4917561.8900000006</v>
      </c>
      <c r="J535" s="33">
        <f>IF(FINANCIACION[[#This Row],[$ CAPITAL]]&gt;=0,FINANCIACION[[#This Row],[$ CAPITAL]]+FINANCIACION[[#This Row],[$ INTERESES]],0)</f>
        <v>5000000</v>
      </c>
      <c r="K535" s="10"/>
      <c r="N535" s="6"/>
      <c r="O535" s="9"/>
      <c r="P535" s="8"/>
    </row>
    <row r="536" spans="1:16" ht="24" hidden="1" customHeight="1" x14ac:dyDescent="0.3">
      <c r="A536" s="131">
        <v>44284</v>
      </c>
      <c r="B536" s="50" t="s">
        <v>534</v>
      </c>
      <c r="C536" s="5">
        <v>8286154</v>
      </c>
      <c r="D536" s="5">
        <v>120765</v>
      </c>
      <c r="E536" s="5">
        <f>+IF(FINANCIACION[[#This Row],[$ CAPITAL]]&gt;=0,FINANCIACION[[#This Row],[$ CAPITAL]]+FINANCIACION[[#This Row],[$ INTERESES]],"")</f>
        <v>8406919</v>
      </c>
      <c r="F536" s="5">
        <f>+SUMIFS(FINANCIACION[$ CAPITAL],FINANCIACION[Fecha],"&lt;="&amp;FINANCIACION[[#This Row],[Fecha]],FINANCIACION[PRESTAMO],FINANCIACION[[#This Row],[PRESTAMO]])</f>
        <v>-346993550</v>
      </c>
      <c r="G536" s="7"/>
      <c r="H536" s="53"/>
      <c r="I536" s="5">
        <f>IF(FINANCIACION[[#This Row],[$ CAPITAL]]&gt;0,FINANCIACION[[#This Row],[$ CAPITAL]])</f>
        <v>8286154</v>
      </c>
      <c r="J536" s="33">
        <f>IF(FINANCIACION[[#This Row],[$ CAPITAL]]&gt;=0,FINANCIACION[[#This Row],[$ CAPITAL]]+FINANCIACION[[#This Row],[$ INTERESES]],0)</f>
        <v>8406919</v>
      </c>
      <c r="K536" s="10"/>
      <c r="N536" s="6"/>
      <c r="O536" s="9"/>
      <c r="P536" s="8"/>
    </row>
    <row r="537" spans="1:16" ht="24" hidden="1" customHeight="1" x14ac:dyDescent="0.3">
      <c r="A537" s="131">
        <v>44284</v>
      </c>
      <c r="B537" s="50" t="s">
        <v>535</v>
      </c>
      <c r="C537" s="5">
        <v>1247099.7200000025</v>
      </c>
      <c r="D537" s="5">
        <v>24900.279999997467</v>
      </c>
      <c r="E537" s="5">
        <f>+IF(FINANCIACION[[#This Row],[$ CAPITAL]]&gt;=0,FINANCIACION[[#This Row],[$ CAPITAL]]+FINANCIACION[[#This Row],[$ INTERESES]],"")</f>
        <v>1272000</v>
      </c>
      <c r="F537" s="5">
        <f>+SUMIFS(FINANCIACION[$ CAPITAL],FINANCIACION[Fecha],"&lt;="&amp;FINANCIACION[[#This Row],[Fecha]],FINANCIACION[PRESTAMO],FINANCIACION[[#This Row],[PRESTAMO]])</f>
        <v>-49887024.860000014</v>
      </c>
      <c r="G537" s="7"/>
      <c r="H537" s="53"/>
      <c r="I537" s="5">
        <f>IF(FINANCIACION[[#This Row],[$ CAPITAL]]&gt;0,FINANCIACION[[#This Row],[$ CAPITAL]])</f>
        <v>1247099.7200000025</v>
      </c>
      <c r="J537" s="33">
        <f>IF(FINANCIACION[[#This Row],[$ CAPITAL]]&gt;=0,FINANCIACION[[#This Row],[$ CAPITAL]]+FINANCIACION[[#This Row],[$ INTERESES]],0)</f>
        <v>1272000</v>
      </c>
      <c r="K537" s="10"/>
      <c r="N537" s="6"/>
      <c r="O537" s="9"/>
      <c r="P537" s="8"/>
    </row>
    <row r="538" spans="1:16" ht="24" hidden="1" customHeight="1" x14ac:dyDescent="0.3">
      <c r="A538" s="131">
        <v>44284</v>
      </c>
      <c r="B538" s="50" t="s">
        <v>535</v>
      </c>
      <c r="C538" s="5">
        <v>3665410</v>
      </c>
      <c r="D538" s="5"/>
      <c r="E538" s="5">
        <f>+IF(FINANCIACION[[#This Row],[$ CAPITAL]]&gt;=0,FINANCIACION[[#This Row],[$ CAPITAL]]+FINANCIACION[[#This Row],[$ INTERESES]],"")</f>
        <v>3665410</v>
      </c>
      <c r="F538" s="5">
        <f>+SUMIFS(FINANCIACION[$ CAPITAL],FINANCIACION[Fecha],"&lt;="&amp;FINANCIACION[[#This Row],[Fecha]],FINANCIACION[PRESTAMO],FINANCIACION[[#This Row],[PRESTAMO]])</f>
        <v>-49887024.860000014</v>
      </c>
      <c r="G538" s="7"/>
      <c r="H538" s="53"/>
      <c r="I538" s="5">
        <f>IF(FINANCIACION[[#This Row],[$ CAPITAL]]&gt;0,FINANCIACION[[#This Row],[$ CAPITAL]])</f>
        <v>3665410</v>
      </c>
      <c r="J538" s="33">
        <f>IF(FINANCIACION[[#This Row],[$ CAPITAL]]&gt;=0,FINANCIACION[[#This Row],[$ CAPITAL]]+FINANCIACION[[#This Row],[$ INTERESES]],0)</f>
        <v>3665410</v>
      </c>
      <c r="K538" s="10"/>
      <c r="N538" s="6"/>
      <c r="O538" s="9"/>
      <c r="P538" s="8"/>
    </row>
    <row r="539" spans="1:16" ht="24" hidden="1" customHeight="1" x14ac:dyDescent="0.3">
      <c r="A539" s="131">
        <v>44284</v>
      </c>
      <c r="B539" s="50" t="s">
        <v>535</v>
      </c>
      <c r="C539" s="5">
        <v>1503847.75</v>
      </c>
      <c r="D539" s="5">
        <v>28152.25</v>
      </c>
      <c r="E539" s="5">
        <f>+IF(FINANCIACION[[#This Row],[$ CAPITAL]]&gt;=0,FINANCIACION[[#This Row],[$ CAPITAL]]+FINANCIACION[[#This Row],[$ INTERESES]],"")</f>
        <v>1532000</v>
      </c>
      <c r="F539" s="5">
        <f>+SUMIFS(FINANCIACION[$ CAPITAL],FINANCIACION[Fecha],"&lt;="&amp;FINANCIACION[[#This Row],[Fecha]],FINANCIACION[PRESTAMO],FINANCIACION[[#This Row],[PRESTAMO]])</f>
        <v>-49887024.860000014</v>
      </c>
      <c r="G539" s="7"/>
      <c r="H539" s="53"/>
      <c r="I539" s="5">
        <f>IF(FINANCIACION[[#This Row],[$ CAPITAL]]&gt;0,FINANCIACION[[#This Row],[$ CAPITAL]])</f>
        <v>1503847.75</v>
      </c>
      <c r="J539" s="33">
        <f>IF(FINANCIACION[[#This Row],[$ CAPITAL]]&gt;=0,FINANCIACION[[#This Row],[$ CAPITAL]]+FINANCIACION[[#This Row],[$ INTERESES]],0)</f>
        <v>1532000</v>
      </c>
      <c r="K539" s="10"/>
      <c r="N539" s="6"/>
      <c r="O539" s="9"/>
      <c r="P539" s="8"/>
    </row>
    <row r="540" spans="1:16" ht="24" hidden="1" customHeight="1" x14ac:dyDescent="0.3">
      <c r="A540" s="131">
        <v>44285</v>
      </c>
      <c r="B540" s="50" t="s">
        <v>206</v>
      </c>
      <c r="C540" s="5">
        <v>-55440541</v>
      </c>
      <c r="D540" s="5"/>
      <c r="E540" s="5" t="str">
        <f>+IF(FINANCIACION[[#This Row],[$ CAPITAL]]&gt;=0,FINANCIACION[[#This Row],[$ CAPITAL]]+FINANCIACION[[#This Row],[$ INTERESES]],"")</f>
        <v/>
      </c>
      <c r="F540" s="5">
        <f>+SUMIFS(FINANCIACION[$ CAPITAL],FINANCIACION[Fecha],"&lt;="&amp;FINANCIACION[[#This Row],[Fecha]],FINANCIACION[PRESTAMO],FINANCIACION[[#This Row],[PRESTAMO]])</f>
        <v>-55440541</v>
      </c>
      <c r="G540" s="7" t="s">
        <v>544</v>
      </c>
      <c r="H540" s="53">
        <v>-14983.93</v>
      </c>
      <c r="I540" s="5" t="b">
        <f>IF(FINANCIACION[[#This Row],[$ CAPITAL]]&gt;0,FINANCIACION[[#This Row],[$ CAPITAL]])</f>
        <v>0</v>
      </c>
      <c r="J540" s="33">
        <f>IF(FINANCIACION[[#This Row],[$ CAPITAL]]&gt;=0,FINANCIACION[[#This Row],[$ CAPITAL]]+FINANCIACION[[#This Row],[$ INTERESES]],0)</f>
        <v>0</v>
      </c>
      <c r="K540" s="10"/>
      <c r="N540" s="6"/>
      <c r="O540" s="9"/>
      <c r="P540" s="8"/>
    </row>
    <row r="541" spans="1:16" ht="24" hidden="1" customHeight="1" x14ac:dyDescent="0.3">
      <c r="A541" s="131">
        <v>44285</v>
      </c>
      <c r="B541" s="50" t="s">
        <v>154</v>
      </c>
      <c r="C541" s="5">
        <v>1068900</v>
      </c>
      <c r="D541" s="5"/>
      <c r="E541" s="5">
        <f>+IF(FINANCIACION[[#This Row],[$ CAPITAL]]&gt;=0,FINANCIACION[[#This Row],[$ CAPITAL]]+FINANCIACION[[#This Row],[$ INTERESES]],"")</f>
        <v>1068900</v>
      </c>
      <c r="F541" s="5">
        <f>+SUMIFS(FINANCIACION[$ CAPITAL],FINANCIACION[Fecha],"&lt;="&amp;FINANCIACION[[#This Row],[Fecha]],FINANCIACION[PRESTAMO],FINANCIACION[[#This Row],[PRESTAMO]])</f>
        <v>-26384700</v>
      </c>
      <c r="G541" s="7" t="s">
        <v>170</v>
      </c>
      <c r="H541" s="53"/>
      <c r="I541" s="5">
        <f>IF(FINANCIACION[[#This Row],[$ CAPITAL]]&gt;0,FINANCIACION[[#This Row],[$ CAPITAL]])</f>
        <v>1068900</v>
      </c>
      <c r="J541" s="33">
        <f>IF(FINANCIACION[[#This Row],[$ CAPITAL]]&gt;=0,FINANCIACION[[#This Row],[$ CAPITAL]]+FINANCIACION[[#This Row],[$ INTERESES]],0)</f>
        <v>1068900</v>
      </c>
      <c r="K541" s="10"/>
      <c r="N541" s="6"/>
      <c r="O541" s="9"/>
      <c r="P541" s="8"/>
    </row>
    <row r="542" spans="1:16" ht="24" hidden="1" customHeight="1" x14ac:dyDescent="0.3">
      <c r="A542" s="131">
        <v>44286</v>
      </c>
      <c r="B542" s="50" t="s">
        <v>146</v>
      </c>
      <c r="C542" s="5">
        <v>1468400</v>
      </c>
      <c r="D542" s="5">
        <v>506320</v>
      </c>
      <c r="E542" s="5">
        <f>+IF(FINANCIACION[[#This Row],[$ CAPITAL]]&gt;=0,FINANCIACION[[#This Row],[$ CAPITAL]]+FINANCIACION[[#This Row],[$ INTERESES]],"")</f>
        <v>1974720</v>
      </c>
      <c r="F542" s="5">
        <f>+SUMIFS(FINANCIACION[$ CAPITAL],FINANCIACION[Fecha],"&lt;="&amp;FINANCIACION[[#This Row],[Fecha]],FINANCIACION[PRESTAMO],FINANCIACION[[#This Row],[PRESTAMO]])</f>
        <v>-52862433</v>
      </c>
      <c r="G542" s="7"/>
      <c r="H542" s="53"/>
      <c r="I542" s="5">
        <f>IF(FINANCIACION[[#This Row],[$ CAPITAL]]&gt;0,FINANCIACION[[#This Row],[$ CAPITAL]])</f>
        <v>1468400</v>
      </c>
      <c r="J542" s="33">
        <f>IF(FINANCIACION[[#This Row],[$ CAPITAL]]&gt;=0,FINANCIACION[[#This Row],[$ CAPITAL]]+FINANCIACION[[#This Row],[$ INTERESES]],0)</f>
        <v>1974720</v>
      </c>
      <c r="K542" s="10"/>
      <c r="N542" s="6"/>
      <c r="O542" s="9"/>
      <c r="P542" s="8"/>
    </row>
    <row r="543" spans="1:16" ht="24" hidden="1" customHeight="1" x14ac:dyDescent="0.3">
      <c r="A543" s="131">
        <v>44286</v>
      </c>
      <c r="B543" s="50" t="s">
        <v>147</v>
      </c>
      <c r="C543" s="5"/>
      <c r="D543" s="5">
        <v>76791</v>
      </c>
      <c r="E543" s="5">
        <f>+IF(FINANCIACION[[#This Row],[$ CAPITAL]]&gt;=0,FINANCIACION[[#This Row],[$ CAPITAL]]+FINANCIACION[[#This Row],[$ INTERESES]],"")</f>
        <v>76791</v>
      </c>
      <c r="F543" s="5">
        <f>+SUMIFS(FINANCIACION[$ CAPITAL],FINANCIACION[Fecha],"&lt;="&amp;FINANCIACION[[#This Row],[Fecha]],FINANCIACION[PRESTAMO],FINANCIACION[[#This Row],[PRESTAMO]])</f>
        <v>-2841267</v>
      </c>
      <c r="G543" s="7"/>
      <c r="H543" s="53"/>
      <c r="I543" s="5" t="b">
        <f>IF(FINANCIACION[[#This Row],[$ CAPITAL]]&gt;0,FINANCIACION[[#This Row],[$ CAPITAL]])</f>
        <v>0</v>
      </c>
      <c r="J543" s="33">
        <f>IF(FINANCIACION[[#This Row],[$ CAPITAL]]&gt;=0,FINANCIACION[[#This Row],[$ CAPITAL]]+FINANCIACION[[#This Row],[$ INTERESES]],0)</f>
        <v>76791</v>
      </c>
      <c r="K543" s="10"/>
      <c r="N543" s="6"/>
      <c r="O543" s="9"/>
      <c r="P543" s="8"/>
    </row>
    <row r="544" spans="1:16" ht="24" hidden="1" customHeight="1" x14ac:dyDescent="0.3">
      <c r="A544" s="131">
        <v>44286</v>
      </c>
      <c r="B544" s="50" t="s">
        <v>540</v>
      </c>
      <c r="C544" s="5">
        <v>-159538.51000000164</v>
      </c>
      <c r="D544" s="5"/>
      <c r="E544" s="5" t="str">
        <f>+IF(FINANCIACION[[#This Row],[$ CAPITAL]]&gt;=0,FINANCIACION[[#This Row],[$ CAPITAL]]+FINANCIACION[[#This Row],[$ INTERESES]],"")</f>
        <v/>
      </c>
      <c r="F544" s="5">
        <f>+SUMIFS(FINANCIACION[$ CAPITAL],FINANCIACION[Fecha],"&lt;="&amp;FINANCIACION[[#This Row],[Fecha]],FINANCIACION[PRESTAMO],FINANCIACION[[#This Row],[PRESTAMO]])</f>
        <v>-23868447.079999998</v>
      </c>
      <c r="G544" s="7" t="s">
        <v>170</v>
      </c>
      <c r="H544" s="53"/>
      <c r="I544" s="5" t="b">
        <f>IF(FINANCIACION[[#This Row],[$ CAPITAL]]&gt;0,FINANCIACION[[#This Row],[$ CAPITAL]])</f>
        <v>0</v>
      </c>
      <c r="J544" s="33">
        <f>IF(FINANCIACION[[#This Row],[$ CAPITAL]]&gt;=0,FINANCIACION[[#This Row],[$ CAPITAL]]+FINANCIACION[[#This Row],[$ INTERESES]],0)</f>
        <v>0</v>
      </c>
      <c r="K544" s="10"/>
      <c r="N544" s="6"/>
      <c r="O544" s="9"/>
      <c r="P544" s="8"/>
    </row>
    <row r="545" spans="1:16" ht="24" hidden="1" customHeight="1" x14ac:dyDescent="0.3">
      <c r="A545" s="131">
        <v>44286</v>
      </c>
      <c r="B545" s="50" t="s">
        <v>542</v>
      </c>
      <c r="C545" s="5">
        <v>-155319.6400000006</v>
      </c>
      <c r="D545" s="5"/>
      <c r="E545" s="5" t="str">
        <f>+IF(FINANCIACION[[#This Row],[$ CAPITAL]]&gt;=0,FINANCIACION[[#This Row],[$ CAPITAL]]+FINANCIACION[[#This Row],[$ INTERESES]],"")</f>
        <v/>
      </c>
      <c r="F545" s="5">
        <f>+SUMIFS(FINANCIACION[$ CAPITAL],FINANCIACION[Fecha],"&lt;="&amp;FINANCIACION[[#This Row],[Fecha]],FINANCIACION[PRESTAMO],FINANCIACION[[#This Row],[PRESTAMO]])</f>
        <v>-25913149.530000001</v>
      </c>
      <c r="G545" s="7" t="s">
        <v>170</v>
      </c>
      <c r="H545" s="53"/>
      <c r="I545" s="5" t="b">
        <f>IF(FINANCIACION[[#This Row],[$ CAPITAL]]&gt;0,FINANCIACION[[#This Row],[$ CAPITAL]])</f>
        <v>0</v>
      </c>
      <c r="J545" s="33">
        <f>IF(FINANCIACION[[#This Row],[$ CAPITAL]]&gt;=0,FINANCIACION[[#This Row],[$ CAPITAL]]+FINANCIACION[[#This Row],[$ INTERESES]],0)</f>
        <v>0</v>
      </c>
      <c r="K545" s="10"/>
      <c r="N545" s="6"/>
      <c r="O545" s="9"/>
      <c r="P545" s="8"/>
    </row>
    <row r="546" spans="1:16" ht="24" hidden="1" customHeight="1" x14ac:dyDescent="0.3">
      <c r="A546" s="131">
        <v>44286</v>
      </c>
      <c r="B546" s="50" t="s">
        <v>538</v>
      </c>
      <c r="C546" s="5">
        <v>-479341.21000000089</v>
      </c>
      <c r="D546" s="5"/>
      <c r="E546" s="5" t="str">
        <f>+IF(FINANCIACION[[#This Row],[$ CAPITAL]]&gt;=0,FINANCIACION[[#This Row],[$ CAPITAL]]+FINANCIACION[[#This Row],[$ INTERESES]],"")</f>
        <v/>
      </c>
      <c r="F546" s="5">
        <f>+SUMIFS(FINANCIACION[$ CAPITAL],FINANCIACION[Fecha],"&lt;="&amp;FINANCIACION[[#This Row],[Fecha]],FINANCIACION[PRESTAMO],FINANCIACION[[#This Row],[PRESTAMO]])</f>
        <v>-58902640.799999997</v>
      </c>
      <c r="G546" s="7" t="s">
        <v>170</v>
      </c>
      <c r="H546" s="53"/>
      <c r="I546" s="5" t="b">
        <f>IF(FINANCIACION[[#This Row],[$ CAPITAL]]&gt;0,FINANCIACION[[#This Row],[$ CAPITAL]])</f>
        <v>0</v>
      </c>
      <c r="J546" s="33">
        <f>IF(FINANCIACION[[#This Row],[$ CAPITAL]]&gt;=0,FINANCIACION[[#This Row],[$ CAPITAL]]+FINANCIACION[[#This Row],[$ INTERESES]],0)</f>
        <v>0</v>
      </c>
      <c r="K546" s="10"/>
      <c r="N546" s="6"/>
      <c r="O546" s="9"/>
      <c r="P546" s="8"/>
    </row>
    <row r="547" spans="1:16" ht="24" hidden="1" customHeight="1" x14ac:dyDescent="0.3">
      <c r="A547" s="131">
        <v>44286</v>
      </c>
      <c r="B547" s="50" t="s">
        <v>539</v>
      </c>
      <c r="C547" s="5">
        <v>-703537.09999999404</v>
      </c>
      <c r="D547" s="5"/>
      <c r="E547" s="5" t="str">
        <f>+IF(FINANCIACION[[#This Row],[$ CAPITAL]]&gt;=0,FINANCIACION[[#This Row],[$ CAPITAL]]+FINANCIACION[[#This Row],[$ INTERESES]],"")</f>
        <v/>
      </c>
      <c r="F547" s="5">
        <f>+SUMIFS(FINANCIACION[$ CAPITAL],FINANCIACION[Fecha],"&lt;="&amp;FINANCIACION[[#This Row],[Fecha]],FINANCIACION[PRESTAMO],FINANCIACION[[#This Row],[PRESTAMO]])</f>
        <v>-84262864.439999998</v>
      </c>
      <c r="G547" s="7" t="s">
        <v>170</v>
      </c>
      <c r="H547" s="53"/>
      <c r="I547" s="5" t="b">
        <f>IF(FINANCIACION[[#This Row],[$ CAPITAL]]&gt;0,FINANCIACION[[#This Row],[$ CAPITAL]])</f>
        <v>0</v>
      </c>
      <c r="J547" s="33">
        <f>IF(FINANCIACION[[#This Row],[$ CAPITAL]]&gt;=0,FINANCIACION[[#This Row],[$ CAPITAL]]+FINANCIACION[[#This Row],[$ INTERESES]],0)</f>
        <v>0</v>
      </c>
      <c r="K547" s="10"/>
      <c r="N547" s="6"/>
      <c r="O547" s="9"/>
      <c r="P547" s="8"/>
    </row>
    <row r="548" spans="1:16" ht="24" hidden="1" customHeight="1" x14ac:dyDescent="0.3">
      <c r="A548" s="131">
        <v>44286</v>
      </c>
      <c r="B548" s="50" t="s">
        <v>534</v>
      </c>
      <c r="C548" s="5">
        <v>-4128919</v>
      </c>
      <c r="D548" s="5"/>
      <c r="E548" s="5" t="str">
        <f>+IF(FINANCIACION[[#This Row],[$ CAPITAL]]&gt;=0,FINANCIACION[[#This Row],[$ CAPITAL]]+FINANCIACION[[#This Row],[$ INTERESES]],"")</f>
        <v/>
      </c>
      <c r="F548" s="5">
        <f>+SUMIFS(FINANCIACION[$ CAPITAL],FINANCIACION[Fecha],"&lt;="&amp;FINANCIACION[[#This Row],[Fecha]],FINANCIACION[PRESTAMO],FINANCIACION[[#This Row],[PRESTAMO]])</f>
        <v>-351122469</v>
      </c>
      <c r="G548" s="7" t="s">
        <v>170</v>
      </c>
      <c r="H548" s="53"/>
      <c r="I548" s="5" t="b">
        <f>IF(FINANCIACION[[#This Row],[$ CAPITAL]]&gt;0,FINANCIACION[[#This Row],[$ CAPITAL]])</f>
        <v>0</v>
      </c>
      <c r="J548" s="33">
        <f>IF(FINANCIACION[[#This Row],[$ CAPITAL]]&gt;=0,FINANCIACION[[#This Row],[$ CAPITAL]]+FINANCIACION[[#This Row],[$ INTERESES]],0)</f>
        <v>0</v>
      </c>
      <c r="K548" s="10"/>
      <c r="N548" s="6"/>
      <c r="O548" s="9"/>
      <c r="P548" s="8"/>
    </row>
    <row r="549" spans="1:16" ht="24" hidden="1" customHeight="1" x14ac:dyDescent="0.3">
      <c r="A549" s="131">
        <v>44286</v>
      </c>
      <c r="B549" s="50" t="s">
        <v>535</v>
      </c>
      <c r="C549" s="5">
        <v>-208305.96000000462</v>
      </c>
      <c r="D549" s="5"/>
      <c r="E549" s="5" t="str">
        <f>+IF(FINANCIACION[[#This Row],[$ CAPITAL]]&gt;=0,FINANCIACION[[#This Row],[$ CAPITAL]]+FINANCIACION[[#This Row],[$ INTERESES]],"")</f>
        <v/>
      </c>
      <c r="F549" s="5">
        <f>+SUMIFS(FINANCIACION[$ CAPITAL],FINANCIACION[Fecha],"&lt;="&amp;FINANCIACION[[#This Row],[Fecha]],FINANCIACION[PRESTAMO],FINANCIACION[[#This Row],[PRESTAMO]])</f>
        <v>-70787902.990000024</v>
      </c>
      <c r="G549" s="7" t="s">
        <v>170</v>
      </c>
      <c r="H549" s="53"/>
      <c r="I549" s="5" t="b">
        <f>IF(FINANCIACION[[#This Row],[$ CAPITAL]]&gt;0,FINANCIACION[[#This Row],[$ CAPITAL]])</f>
        <v>0</v>
      </c>
      <c r="J549" s="33">
        <f>IF(FINANCIACION[[#This Row],[$ CAPITAL]]&gt;=0,FINANCIACION[[#This Row],[$ CAPITAL]]+FINANCIACION[[#This Row],[$ INTERESES]],0)</f>
        <v>0</v>
      </c>
      <c r="K549" s="10"/>
      <c r="N549" s="6"/>
      <c r="O549" s="9"/>
      <c r="P549" s="8"/>
    </row>
    <row r="550" spans="1:16" ht="24" hidden="1" customHeight="1" x14ac:dyDescent="0.3">
      <c r="A550" s="131">
        <v>44286</v>
      </c>
      <c r="B550" s="50" t="s">
        <v>535</v>
      </c>
      <c r="C550" s="5">
        <v>67182</v>
      </c>
      <c r="D550" s="5"/>
      <c r="E550" s="5">
        <f>+IF(FINANCIACION[[#This Row],[$ CAPITAL]]&gt;=0,FINANCIACION[[#This Row],[$ CAPITAL]]+FINANCIACION[[#This Row],[$ INTERESES]],"")</f>
        <v>67182</v>
      </c>
      <c r="F550" s="5">
        <f>+SUMIFS(FINANCIACION[$ CAPITAL],FINANCIACION[Fecha],"&lt;="&amp;FINANCIACION[[#This Row],[Fecha]],FINANCIACION[PRESTAMO],FINANCIACION[[#This Row],[PRESTAMO]])</f>
        <v>-70787902.990000024</v>
      </c>
      <c r="G550" s="7" t="s">
        <v>170</v>
      </c>
      <c r="H550" s="53"/>
      <c r="I550" s="5">
        <f>IF(FINANCIACION[[#This Row],[$ CAPITAL]]&gt;0,FINANCIACION[[#This Row],[$ CAPITAL]])</f>
        <v>67182</v>
      </c>
      <c r="J550" s="33">
        <f>IF(FINANCIACION[[#This Row],[$ CAPITAL]]&gt;=0,FINANCIACION[[#This Row],[$ CAPITAL]]+FINANCIACION[[#This Row],[$ INTERESES]],0)</f>
        <v>67182</v>
      </c>
      <c r="K550" s="10"/>
      <c r="N550" s="6"/>
      <c r="O550" s="9"/>
      <c r="P550" s="8"/>
    </row>
    <row r="551" spans="1:16" ht="24" hidden="1" customHeight="1" x14ac:dyDescent="0.3">
      <c r="A551" s="131">
        <v>44286</v>
      </c>
      <c r="B551" s="50" t="s">
        <v>535</v>
      </c>
      <c r="C551" s="5">
        <v>-16500498</v>
      </c>
      <c r="D551" s="5"/>
      <c r="E551" s="5" t="str">
        <f>+IF(FINANCIACION[[#This Row],[$ CAPITAL]]&gt;=0,FINANCIACION[[#This Row],[$ CAPITAL]]+FINANCIACION[[#This Row],[$ INTERESES]],"")</f>
        <v/>
      </c>
      <c r="F551" s="5">
        <f>+SUMIFS(FINANCIACION[$ CAPITAL],FINANCIACION[Fecha],"&lt;="&amp;FINANCIACION[[#This Row],[Fecha]],FINANCIACION[PRESTAMO],FINANCIACION[[#This Row],[PRESTAMO]])</f>
        <v>-70787902.990000024</v>
      </c>
      <c r="G551" s="7" t="s">
        <v>170</v>
      </c>
      <c r="H551" s="53"/>
      <c r="I551" s="5" t="b">
        <f>IF(FINANCIACION[[#This Row],[$ CAPITAL]]&gt;0,FINANCIACION[[#This Row],[$ CAPITAL]])</f>
        <v>0</v>
      </c>
      <c r="J551" s="33">
        <f>IF(FINANCIACION[[#This Row],[$ CAPITAL]]&gt;=0,FINANCIACION[[#This Row],[$ CAPITAL]]+FINANCIACION[[#This Row],[$ INTERESES]],0)</f>
        <v>0</v>
      </c>
      <c r="K551" s="10"/>
      <c r="N551" s="6"/>
      <c r="O551" s="9"/>
      <c r="P551" s="8"/>
    </row>
    <row r="552" spans="1:16" ht="24" hidden="1" customHeight="1" x14ac:dyDescent="0.3">
      <c r="A552" s="131">
        <v>44286</v>
      </c>
      <c r="B552" s="50" t="s">
        <v>535</v>
      </c>
      <c r="C552" s="5">
        <v>-4040471</v>
      </c>
      <c r="D552" s="5"/>
      <c r="E552" s="5" t="str">
        <f>+IF(FINANCIACION[[#This Row],[$ CAPITAL]]&gt;=0,FINANCIACION[[#This Row],[$ CAPITAL]]+FINANCIACION[[#This Row],[$ INTERESES]],"")</f>
        <v/>
      </c>
      <c r="F552" s="5">
        <f>+SUMIFS(FINANCIACION[$ CAPITAL],FINANCIACION[Fecha],"&lt;="&amp;FINANCIACION[[#This Row],[Fecha]],FINANCIACION[PRESTAMO],FINANCIACION[[#This Row],[PRESTAMO]])</f>
        <v>-70787902.990000024</v>
      </c>
      <c r="G552" s="7" t="s">
        <v>170</v>
      </c>
      <c r="H552" s="53"/>
      <c r="I552" s="5" t="b">
        <f>IF(FINANCIACION[[#This Row],[$ CAPITAL]]&gt;0,FINANCIACION[[#This Row],[$ CAPITAL]])</f>
        <v>0</v>
      </c>
      <c r="J552" s="33">
        <f>IF(FINANCIACION[[#This Row],[$ CAPITAL]]&gt;=0,FINANCIACION[[#This Row],[$ CAPITAL]]+FINANCIACION[[#This Row],[$ INTERESES]],0)</f>
        <v>0</v>
      </c>
      <c r="K552" s="10"/>
      <c r="N552" s="6"/>
      <c r="O552" s="9"/>
      <c r="P552" s="8"/>
    </row>
    <row r="553" spans="1:16" ht="24" hidden="1" customHeight="1" x14ac:dyDescent="0.3">
      <c r="A553" s="131">
        <v>44286</v>
      </c>
      <c r="B553" s="50" t="s">
        <v>535</v>
      </c>
      <c r="C553" s="5">
        <v>-218785.16999999806</v>
      </c>
      <c r="D553" s="5"/>
      <c r="E553" s="5" t="str">
        <f>+IF(FINANCIACION[[#This Row],[$ CAPITAL]]&gt;=0,FINANCIACION[[#This Row],[$ CAPITAL]]+FINANCIACION[[#This Row],[$ INTERESES]],"")</f>
        <v/>
      </c>
      <c r="F553" s="5">
        <f>+SUMIFS(FINANCIACION[$ CAPITAL],FINANCIACION[Fecha],"&lt;="&amp;FINANCIACION[[#This Row],[Fecha]],FINANCIACION[PRESTAMO],FINANCIACION[[#This Row],[PRESTAMO]])</f>
        <v>-70787902.990000024</v>
      </c>
      <c r="G553" s="7" t="s">
        <v>170</v>
      </c>
      <c r="H553" s="53"/>
      <c r="I553" s="5" t="b">
        <f>IF(FINANCIACION[[#This Row],[$ CAPITAL]]&gt;0,FINANCIACION[[#This Row],[$ CAPITAL]])</f>
        <v>0</v>
      </c>
      <c r="J553" s="33">
        <f>IF(FINANCIACION[[#This Row],[$ CAPITAL]]&gt;=0,FINANCIACION[[#This Row],[$ CAPITAL]]+FINANCIACION[[#This Row],[$ INTERESES]],0)</f>
        <v>0</v>
      </c>
      <c r="K553" s="10"/>
      <c r="N553" s="6"/>
      <c r="O553" s="9"/>
      <c r="P553" s="8"/>
    </row>
    <row r="554" spans="1:16" ht="24" hidden="1" customHeight="1" x14ac:dyDescent="0.3">
      <c r="A554" s="131">
        <v>44290</v>
      </c>
      <c r="B554" s="50" t="s">
        <v>535</v>
      </c>
      <c r="C554" s="5">
        <v>990094.53000000305</v>
      </c>
      <c r="D554" s="5">
        <v>120069.57999999705</v>
      </c>
      <c r="E554" s="5">
        <f>+IF(FINANCIACION[[#This Row],[$ CAPITAL]]&gt;=0,FINANCIACION[[#This Row],[$ CAPITAL]]+FINANCIACION[[#This Row],[$ INTERESES]],"")</f>
        <v>1110164.1100000001</v>
      </c>
      <c r="F554" s="5">
        <f>+SUMIFS(FINANCIACION[$ CAPITAL],FINANCIACION[Fecha],"&lt;="&amp;FINANCIACION[[#This Row],[Fecha]],FINANCIACION[PRESTAMO],FINANCIACION[[#This Row],[PRESTAMO]])</f>
        <v>-69797808.460000023</v>
      </c>
      <c r="G554" s="7"/>
      <c r="H554" s="53"/>
      <c r="I554" s="5">
        <f>IF(FINANCIACION[[#This Row],[$ CAPITAL]]&gt;0,FINANCIACION[[#This Row],[$ CAPITAL]])</f>
        <v>990094.53000000305</v>
      </c>
      <c r="J554" s="33">
        <f>IF(FINANCIACION[[#This Row],[$ CAPITAL]]&gt;=0,FINANCIACION[[#This Row],[$ CAPITAL]]+FINANCIACION[[#This Row],[$ INTERESES]],0)</f>
        <v>1110164.1100000001</v>
      </c>
      <c r="K554" s="10"/>
      <c r="N554" s="6"/>
      <c r="O554" s="9"/>
      <c r="P554" s="8"/>
    </row>
    <row r="555" spans="1:16" ht="24" hidden="1" customHeight="1" x14ac:dyDescent="0.3">
      <c r="A555" s="131">
        <v>44294</v>
      </c>
      <c r="B555" s="50" t="s">
        <v>150</v>
      </c>
      <c r="C555" s="5">
        <v>6326000</v>
      </c>
      <c r="D555" s="5">
        <v>510908.2</v>
      </c>
      <c r="E555" s="5">
        <f>+IF(FINANCIACION[[#This Row],[$ CAPITAL]]&gt;=0,FINANCIACION[[#This Row],[$ CAPITAL]]+FINANCIACION[[#This Row],[$ INTERESES]],"")</f>
        <v>6836908.2000000002</v>
      </c>
      <c r="F555" s="5">
        <f>+SUMIFS(FINANCIACION[$ CAPITAL],FINANCIACION[Fecha],"&lt;="&amp;FINANCIACION[[#This Row],[Fecha]],FINANCIACION[PRESTAMO],FINANCIACION[[#This Row],[PRESTAMO]])</f>
        <v>-66691126</v>
      </c>
      <c r="G555" s="7"/>
      <c r="H555" s="53"/>
      <c r="I555" s="5">
        <f>IF(FINANCIACION[[#This Row],[$ CAPITAL]]&gt;0,FINANCIACION[[#This Row],[$ CAPITAL]])</f>
        <v>6326000</v>
      </c>
      <c r="J555" s="33">
        <f>IF(FINANCIACION[[#This Row],[$ CAPITAL]]&gt;=0,FINANCIACION[[#This Row],[$ CAPITAL]]+FINANCIACION[[#This Row],[$ INTERESES]],0)</f>
        <v>6836908.2000000002</v>
      </c>
      <c r="K555" s="10"/>
      <c r="N555" s="6"/>
      <c r="O555" s="9"/>
      <c r="P555" s="8"/>
    </row>
    <row r="556" spans="1:16" ht="24" hidden="1" customHeight="1" x14ac:dyDescent="0.3">
      <c r="A556" s="131">
        <v>44299</v>
      </c>
      <c r="B556" s="50" t="s">
        <v>532</v>
      </c>
      <c r="C556" s="5">
        <v>1722778.2338016599</v>
      </c>
      <c r="D556" s="5">
        <v>843121.7661983401</v>
      </c>
      <c r="E556" s="5">
        <f>+IF(FINANCIACION[[#This Row],[$ CAPITAL]]&gt;=0,FINANCIACION[[#This Row],[$ CAPITAL]]+FINANCIACION[[#This Row],[$ INTERESES]],"")</f>
        <v>2565900</v>
      </c>
      <c r="F556" s="5">
        <f>+SUMIFS(FINANCIACION[$ CAPITAL],FINANCIACION[Fecha],"&lt;="&amp;FINANCIACION[[#This Row],[Fecha]],FINANCIACION[PRESTAMO],FINANCIACION[[#This Row],[PRESTAMO]])</f>
        <v>-82589398.386032343</v>
      </c>
      <c r="G556" s="7"/>
      <c r="H556" s="53"/>
      <c r="I556" s="5">
        <f>IF(FINANCIACION[[#This Row],[$ CAPITAL]]&gt;0,FINANCIACION[[#This Row],[$ CAPITAL]])</f>
        <v>1722778.2338016599</v>
      </c>
      <c r="J556" s="33">
        <f>IF(FINANCIACION[[#This Row],[$ CAPITAL]]&gt;=0,FINANCIACION[[#This Row],[$ CAPITAL]]+FINANCIACION[[#This Row],[$ INTERESES]],0)</f>
        <v>2565900</v>
      </c>
      <c r="K556" s="10"/>
      <c r="N556" s="6"/>
      <c r="O556" s="9"/>
      <c r="P556" s="8"/>
    </row>
    <row r="557" spans="1:16" ht="24" hidden="1" customHeight="1" x14ac:dyDescent="0.3">
      <c r="A557" s="131">
        <v>44299</v>
      </c>
      <c r="B557" s="50" t="s">
        <v>536</v>
      </c>
      <c r="C557" s="5">
        <v>699200</v>
      </c>
      <c r="D557" s="5">
        <v>600800</v>
      </c>
      <c r="E557" s="5">
        <f>+IF(FINANCIACION[[#This Row],[$ CAPITAL]]&gt;=0,FINANCIACION[[#This Row],[$ CAPITAL]]+FINANCIACION[[#This Row],[$ INTERESES]],"")</f>
        <v>1300000</v>
      </c>
      <c r="F557" s="5">
        <f>+SUMIFS(FINANCIACION[$ CAPITAL],FINANCIACION[Fecha],"&lt;="&amp;FINANCIACION[[#This Row],[Fecha]],FINANCIACION[PRESTAMO],FINANCIACION[[#This Row],[PRESTAMO]])</f>
        <v>-59380800</v>
      </c>
      <c r="G557" s="7"/>
      <c r="H557" s="53"/>
      <c r="I557" s="5">
        <f>IF(FINANCIACION[[#This Row],[$ CAPITAL]]&gt;0,FINANCIACION[[#This Row],[$ CAPITAL]])</f>
        <v>699200</v>
      </c>
      <c r="J557" s="33">
        <f>IF(FINANCIACION[[#This Row],[$ CAPITAL]]&gt;=0,FINANCIACION[[#This Row],[$ CAPITAL]]+FINANCIACION[[#This Row],[$ INTERESES]],0)</f>
        <v>1300000</v>
      </c>
      <c r="K557" s="10"/>
      <c r="N557" s="6"/>
      <c r="O557" s="9"/>
      <c r="P557" s="8"/>
    </row>
    <row r="558" spans="1:16" ht="24" hidden="1" customHeight="1" x14ac:dyDescent="0.3">
      <c r="A558" s="131">
        <v>44299</v>
      </c>
      <c r="B558" s="50" t="s">
        <v>535</v>
      </c>
      <c r="C558" s="5">
        <v>13152852</v>
      </c>
      <c r="D558" s="5"/>
      <c r="E558" s="5">
        <f>+IF(FINANCIACION[[#This Row],[$ CAPITAL]]&gt;=0,FINANCIACION[[#This Row],[$ CAPITAL]]+FINANCIACION[[#This Row],[$ INTERESES]],"")</f>
        <v>13152852</v>
      </c>
      <c r="F558" s="5">
        <f>+SUMIFS(FINANCIACION[$ CAPITAL],FINANCIACION[Fecha],"&lt;="&amp;FINANCIACION[[#This Row],[Fecha]],FINANCIACION[PRESTAMO],FINANCIACION[[#This Row],[PRESTAMO]])</f>
        <v>-56644956.460000023</v>
      </c>
      <c r="G558" s="7"/>
      <c r="H558" s="53"/>
      <c r="I558" s="5">
        <f>IF(FINANCIACION[[#This Row],[$ CAPITAL]]&gt;0,FINANCIACION[[#This Row],[$ CAPITAL]])</f>
        <v>13152852</v>
      </c>
      <c r="J558" s="33">
        <f>IF(FINANCIACION[[#This Row],[$ CAPITAL]]&gt;=0,FINANCIACION[[#This Row],[$ CAPITAL]]+FINANCIACION[[#This Row],[$ INTERESES]],0)</f>
        <v>13152852</v>
      </c>
      <c r="K558" s="10"/>
      <c r="N558" s="6"/>
      <c r="O558" s="9"/>
      <c r="P558" s="8"/>
    </row>
    <row r="559" spans="1:16" ht="24" hidden="1" customHeight="1" x14ac:dyDescent="0.3">
      <c r="A559" s="131">
        <v>44301</v>
      </c>
      <c r="B559" s="50" t="s">
        <v>545</v>
      </c>
      <c r="C559" s="5">
        <v>-12000000</v>
      </c>
      <c r="D559" s="5"/>
      <c r="E559" s="5" t="str">
        <f>+IF(FINANCIACION[[#This Row],[$ CAPITAL]]&gt;=0,FINANCIACION[[#This Row],[$ CAPITAL]]+FINANCIACION[[#This Row],[$ INTERESES]],"")</f>
        <v/>
      </c>
      <c r="F559" s="5">
        <f>+SUMIFS(FINANCIACION[$ CAPITAL],FINANCIACION[Fecha],"&lt;="&amp;FINANCIACION[[#This Row],[Fecha]],FINANCIACION[PRESTAMO],FINANCIACION[[#This Row],[PRESTAMO]])</f>
        <v>-12000000</v>
      </c>
      <c r="G559" s="7"/>
      <c r="H559" s="53"/>
      <c r="I559" s="5" t="b">
        <f>IF(FINANCIACION[[#This Row],[$ CAPITAL]]&gt;0,FINANCIACION[[#This Row],[$ CAPITAL]])</f>
        <v>0</v>
      </c>
      <c r="J559" s="33">
        <f>IF(FINANCIACION[[#This Row],[$ CAPITAL]]&gt;=0,FINANCIACION[[#This Row],[$ CAPITAL]]+FINANCIACION[[#This Row],[$ INTERESES]],0)</f>
        <v>0</v>
      </c>
      <c r="K559" s="10"/>
      <c r="N559" s="6"/>
      <c r="O559" s="9"/>
      <c r="P559" s="8"/>
    </row>
    <row r="560" spans="1:16" ht="24" hidden="1" customHeight="1" x14ac:dyDescent="0.3">
      <c r="A560" s="131">
        <v>44301</v>
      </c>
      <c r="B560" s="50" t="s">
        <v>535</v>
      </c>
      <c r="C560" s="5">
        <v>4904459</v>
      </c>
      <c r="D560" s="5"/>
      <c r="E560" s="5">
        <f>+IF(FINANCIACION[[#This Row],[$ CAPITAL]]&gt;=0,FINANCIACION[[#This Row],[$ CAPITAL]]+FINANCIACION[[#This Row],[$ INTERESES]],"")</f>
        <v>4904459</v>
      </c>
      <c r="F560" s="5">
        <f>+SUMIFS(FINANCIACION[$ CAPITAL],FINANCIACION[Fecha],"&lt;="&amp;FINANCIACION[[#This Row],[Fecha]],FINANCIACION[PRESTAMO],FINANCIACION[[#This Row],[PRESTAMO]])</f>
        <v>-51740497.460000023</v>
      </c>
      <c r="G560" s="7"/>
      <c r="H560" s="53"/>
      <c r="I560" s="5">
        <f>IF(FINANCIACION[[#This Row],[$ CAPITAL]]&gt;0,FINANCIACION[[#This Row],[$ CAPITAL]])</f>
        <v>4904459</v>
      </c>
      <c r="J560" s="33">
        <f>IF(FINANCIACION[[#This Row],[$ CAPITAL]]&gt;=0,FINANCIACION[[#This Row],[$ CAPITAL]]+FINANCIACION[[#This Row],[$ INTERESES]],0)</f>
        <v>4904459</v>
      </c>
      <c r="K560" s="10"/>
      <c r="N560" s="6"/>
      <c r="O560" s="9"/>
      <c r="P560" s="8"/>
    </row>
    <row r="561" spans="1:10" ht="24" hidden="1" customHeight="1" x14ac:dyDescent="0.3">
      <c r="A561" s="131">
        <v>44312</v>
      </c>
      <c r="B561" s="50" t="s">
        <v>535</v>
      </c>
      <c r="C561" s="5">
        <v>200700</v>
      </c>
      <c r="D561" s="5"/>
      <c r="E561" s="5">
        <f>+IF(FINANCIACION[[#This Row],[$ CAPITAL]]&gt;=0,FINANCIACION[[#This Row],[$ CAPITAL]]+FINANCIACION[[#This Row],[$ INTERESES]],"")</f>
        <v>200700</v>
      </c>
      <c r="F561" s="5">
        <f>+SUMIFS(FINANCIACION[$ CAPITAL],FINANCIACION[Fecha],"&lt;="&amp;FINANCIACION[[#This Row],[Fecha]],FINANCIACION[PRESTAMO],FINANCIACION[[#This Row],[PRESTAMO]])</f>
        <v>-51539797.460000023</v>
      </c>
      <c r="G561" s="7"/>
      <c r="H561" s="53"/>
      <c r="I561" s="5">
        <f>IF(FINANCIACION[[#This Row],[$ CAPITAL]]&gt;0,FINANCIACION[[#This Row],[$ CAPITAL]])</f>
        <v>200700</v>
      </c>
      <c r="J561" s="33">
        <f>IF(FINANCIACION[[#This Row],[$ CAPITAL]]&gt;=0,FINANCIACION[[#This Row],[$ CAPITAL]]+FINANCIACION[[#This Row],[$ INTERESES]],0)</f>
        <v>200700</v>
      </c>
    </row>
    <row r="562" spans="1:10" ht="24" hidden="1" customHeight="1" x14ac:dyDescent="0.3">
      <c r="A562" s="131">
        <v>44315</v>
      </c>
      <c r="B562" s="50" t="s">
        <v>535</v>
      </c>
      <c r="C562" s="5">
        <v>1620486.1199999999</v>
      </c>
      <c r="D562" s="5"/>
      <c r="E562" s="5">
        <f>+IF(FINANCIACION[[#This Row],[$ CAPITAL]]&gt;=0,FINANCIACION[[#This Row],[$ CAPITAL]]+FINANCIACION[[#This Row],[$ INTERESES]],"")</f>
        <v>1620486.1199999999</v>
      </c>
      <c r="F562" s="5">
        <f>+SUMIFS(FINANCIACION[$ CAPITAL],FINANCIACION[Fecha],"&lt;="&amp;FINANCIACION[[#This Row],[Fecha]],FINANCIACION[PRESTAMO],FINANCIACION[[#This Row],[PRESTAMO]])</f>
        <v>-49919311.340000026</v>
      </c>
      <c r="G562" s="7"/>
      <c r="H562" s="53"/>
      <c r="I562" s="5">
        <f>IF(FINANCIACION[[#This Row],[$ CAPITAL]]&gt;0,FINANCIACION[[#This Row],[$ CAPITAL]])</f>
        <v>1620486.1199999999</v>
      </c>
      <c r="J562" s="33">
        <f>IF(FINANCIACION[[#This Row],[$ CAPITAL]]&gt;=0,FINANCIACION[[#This Row],[$ CAPITAL]]+FINANCIACION[[#This Row],[$ INTERESES]],0)</f>
        <v>1620486.1199999999</v>
      </c>
    </row>
    <row r="563" spans="1:10" ht="24" hidden="1" customHeight="1" x14ac:dyDescent="0.3">
      <c r="A563" s="131">
        <v>44316</v>
      </c>
      <c r="B563" s="50" t="s">
        <v>146</v>
      </c>
      <c r="C563" s="5">
        <v>1468400</v>
      </c>
      <c r="D563" s="5">
        <v>506320</v>
      </c>
      <c r="E563" s="5">
        <f>+IF(FINANCIACION[[#This Row],[$ CAPITAL]]&gt;=0,FINANCIACION[[#This Row],[$ CAPITAL]]+FINANCIACION[[#This Row],[$ INTERESES]],"")</f>
        <v>1974720</v>
      </c>
      <c r="F563" s="5">
        <f>+SUMIFS(FINANCIACION[$ CAPITAL],FINANCIACION[Fecha],"&lt;="&amp;FINANCIACION[[#This Row],[Fecha]],FINANCIACION[PRESTAMO],FINANCIACION[[#This Row],[PRESTAMO]])</f>
        <v>-51394000</v>
      </c>
      <c r="G563" s="7"/>
      <c r="H563" s="53"/>
      <c r="I563" s="5">
        <f>IF(FINANCIACION[[#This Row],[$ CAPITAL]]&gt;0,FINANCIACION[[#This Row],[$ CAPITAL]])</f>
        <v>1468400</v>
      </c>
      <c r="J563" s="33">
        <f>IF(FINANCIACION[[#This Row],[$ CAPITAL]]&gt;=0,FINANCIACION[[#This Row],[$ CAPITAL]]+FINANCIACION[[#This Row],[$ INTERESES]],0)</f>
        <v>1974720</v>
      </c>
    </row>
    <row r="564" spans="1:10" ht="24" hidden="1" customHeight="1" x14ac:dyDescent="0.3">
      <c r="A564" s="131">
        <v>44316</v>
      </c>
      <c r="B564" s="50" t="s">
        <v>146</v>
      </c>
      <c r="C564" s="5">
        <v>33</v>
      </c>
      <c r="D564" s="5"/>
      <c r="E564" s="5">
        <f>+IF(FINANCIACION[[#This Row],[$ CAPITAL]]&gt;=0,FINANCIACION[[#This Row],[$ CAPITAL]]+FINANCIACION[[#This Row],[$ INTERESES]],"")</f>
        <v>33</v>
      </c>
      <c r="F564" s="5">
        <f>+SUMIFS(FINANCIACION[$ CAPITAL],FINANCIACION[Fecha],"&lt;="&amp;FINANCIACION[[#This Row],[Fecha]],FINANCIACION[PRESTAMO],FINANCIACION[[#This Row],[PRESTAMO]])</f>
        <v>-51394000</v>
      </c>
      <c r="G564" s="7" t="s">
        <v>170</v>
      </c>
      <c r="H564" s="53"/>
      <c r="I564" s="5">
        <f>IF(FINANCIACION[[#This Row],[$ CAPITAL]]&gt;0,FINANCIACION[[#This Row],[$ CAPITAL]])</f>
        <v>33</v>
      </c>
      <c r="J564" s="33">
        <f>IF(FINANCIACION[[#This Row],[$ CAPITAL]]&gt;=0,FINANCIACION[[#This Row],[$ CAPITAL]]+FINANCIACION[[#This Row],[$ INTERESES]],0)</f>
        <v>33</v>
      </c>
    </row>
    <row r="565" spans="1:10" ht="24" hidden="1" customHeight="1" x14ac:dyDescent="0.3">
      <c r="A565" s="131">
        <v>44316</v>
      </c>
      <c r="B565" s="50" t="s">
        <v>147</v>
      </c>
      <c r="C565" s="5"/>
      <c r="D565" s="5">
        <v>76791</v>
      </c>
      <c r="E565" s="5">
        <f>+IF(FINANCIACION[[#This Row],[$ CAPITAL]]&gt;=0,FINANCIACION[[#This Row],[$ CAPITAL]]+FINANCIACION[[#This Row],[$ INTERESES]],"")</f>
        <v>76791</v>
      </c>
      <c r="F565" s="5">
        <f>+SUMIFS(FINANCIACION[$ CAPITAL],FINANCIACION[Fecha],"&lt;="&amp;FINANCIACION[[#This Row],[Fecha]],FINANCIACION[PRESTAMO],FINANCIACION[[#This Row],[PRESTAMO]])</f>
        <v>-2687685</v>
      </c>
      <c r="G565" s="7"/>
      <c r="H565" s="53"/>
      <c r="I565" s="5" t="b">
        <f>IF(FINANCIACION[[#This Row],[$ CAPITAL]]&gt;0,FINANCIACION[[#This Row],[$ CAPITAL]])</f>
        <v>0</v>
      </c>
      <c r="J565" s="33">
        <f>IF(FINANCIACION[[#This Row],[$ CAPITAL]]&gt;=0,FINANCIACION[[#This Row],[$ CAPITAL]]+FINANCIACION[[#This Row],[$ INTERESES]],0)</f>
        <v>76791</v>
      </c>
    </row>
    <row r="566" spans="1:10" ht="24" hidden="1" customHeight="1" x14ac:dyDescent="0.3">
      <c r="A566" s="131">
        <v>44316</v>
      </c>
      <c r="B566" s="50" t="s">
        <v>147</v>
      </c>
      <c r="C566" s="5">
        <v>153582</v>
      </c>
      <c r="D566" s="5"/>
      <c r="E566" s="5">
        <f>+IF(FINANCIACION[[#This Row],[$ CAPITAL]]&gt;=0,FINANCIACION[[#This Row],[$ CAPITAL]]+FINANCIACION[[#This Row],[$ INTERESES]],"")</f>
        <v>153582</v>
      </c>
      <c r="F566" s="5">
        <f>+SUMIFS(FINANCIACION[$ CAPITAL],FINANCIACION[Fecha],"&lt;="&amp;FINANCIACION[[#This Row],[Fecha]],FINANCIACION[PRESTAMO],FINANCIACION[[#This Row],[PRESTAMO]])</f>
        <v>-2687685</v>
      </c>
      <c r="G566" s="7" t="s">
        <v>170</v>
      </c>
      <c r="H566" s="53"/>
      <c r="I566" s="5">
        <f>IF(FINANCIACION[[#This Row],[$ CAPITAL]]&gt;0,FINANCIACION[[#This Row],[$ CAPITAL]])</f>
        <v>153582</v>
      </c>
      <c r="J566" s="33">
        <f>IF(FINANCIACION[[#This Row],[$ CAPITAL]]&gt;=0,FINANCIACION[[#This Row],[$ CAPITAL]]+FINANCIACION[[#This Row],[$ INTERESES]],0)</f>
        <v>153582</v>
      </c>
    </row>
    <row r="567" spans="1:10" ht="24" hidden="1" customHeight="1" x14ac:dyDescent="0.3">
      <c r="A567" s="131">
        <v>44316</v>
      </c>
      <c r="B567" s="50" t="s">
        <v>149</v>
      </c>
      <c r="C567" s="5">
        <v>-5150336</v>
      </c>
      <c r="D567" s="5"/>
      <c r="E567" s="5" t="str">
        <f>+IF(FINANCIACION[[#This Row],[$ CAPITAL]]&gt;=0,FINANCIACION[[#This Row],[$ CAPITAL]]+FINANCIACION[[#This Row],[$ INTERESES]],"")</f>
        <v/>
      </c>
      <c r="F567" s="5">
        <f>+SUMIFS(FINANCIACION[$ CAPITAL],FINANCIACION[Fecha],"&lt;="&amp;FINANCIACION[[#This Row],[Fecha]],FINANCIACION[PRESTAMO],FINANCIACION[[#This Row],[PRESTAMO]])</f>
        <v>-97856384</v>
      </c>
      <c r="G567" s="7" t="s">
        <v>170</v>
      </c>
      <c r="H567" s="53"/>
      <c r="I567" s="5" t="b">
        <f>IF(FINANCIACION[[#This Row],[$ CAPITAL]]&gt;0,FINANCIACION[[#This Row],[$ CAPITAL]])</f>
        <v>0</v>
      </c>
      <c r="J567" s="33">
        <f>IF(FINANCIACION[[#This Row],[$ CAPITAL]]&gt;=0,FINANCIACION[[#This Row],[$ CAPITAL]]+FINANCIACION[[#This Row],[$ INTERESES]],0)</f>
        <v>0</v>
      </c>
    </row>
    <row r="568" spans="1:10" ht="24" hidden="1" customHeight="1" x14ac:dyDescent="0.3">
      <c r="A568" s="131">
        <v>44316</v>
      </c>
      <c r="B568" s="50" t="s">
        <v>206</v>
      </c>
      <c r="C568" s="5">
        <v>-1498393</v>
      </c>
      <c r="D568" s="5"/>
      <c r="E568" s="5" t="str">
        <f>+IF(FINANCIACION[[#This Row],[$ CAPITAL]]&gt;=0,FINANCIACION[[#This Row],[$ CAPITAL]]+FINANCIACION[[#This Row],[$ INTERESES]],"")</f>
        <v/>
      </c>
      <c r="F568" s="5">
        <f>+SUMIFS(FINANCIACION[$ CAPITAL],FINANCIACION[Fecha],"&lt;="&amp;FINANCIACION[[#This Row],[Fecha]],FINANCIACION[PRESTAMO],FINANCIACION[[#This Row],[PRESTAMO]])</f>
        <v>-56938934</v>
      </c>
      <c r="G568" s="7" t="s">
        <v>170</v>
      </c>
      <c r="H568" s="53"/>
      <c r="I568" s="5" t="b">
        <f>IF(FINANCIACION[[#This Row],[$ CAPITAL]]&gt;0,FINANCIACION[[#This Row],[$ CAPITAL]])</f>
        <v>0</v>
      </c>
      <c r="J568" s="33">
        <f>IF(FINANCIACION[[#This Row],[$ CAPITAL]]&gt;=0,FINANCIACION[[#This Row],[$ CAPITAL]]+FINANCIACION[[#This Row],[$ INTERESES]],0)</f>
        <v>0</v>
      </c>
    </row>
    <row r="569" spans="1:10" ht="24" hidden="1" customHeight="1" x14ac:dyDescent="0.3">
      <c r="A569" s="131">
        <v>44316</v>
      </c>
      <c r="B569" s="50" t="s">
        <v>540</v>
      </c>
      <c r="C569" s="5">
        <v>-152551.12000000104</v>
      </c>
      <c r="D569" s="5"/>
      <c r="E569" s="5" t="str">
        <f>+IF(FINANCIACION[[#This Row],[$ CAPITAL]]&gt;=0,FINANCIACION[[#This Row],[$ CAPITAL]]+FINANCIACION[[#This Row],[$ INTERESES]],"")</f>
        <v/>
      </c>
      <c r="F569" s="5">
        <f>+SUMIFS(FINANCIACION[$ CAPITAL],FINANCIACION[Fecha],"&lt;="&amp;FINANCIACION[[#This Row],[Fecha]],FINANCIACION[PRESTAMO],FINANCIACION[[#This Row],[PRESTAMO]])</f>
        <v>-24020998.199999999</v>
      </c>
      <c r="G569" s="7" t="s">
        <v>170</v>
      </c>
      <c r="H569" s="53"/>
      <c r="I569" s="5" t="b">
        <f>IF(FINANCIACION[[#This Row],[$ CAPITAL]]&gt;0,FINANCIACION[[#This Row],[$ CAPITAL]])</f>
        <v>0</v>
      </c>
      <c r="J569" s="33">
        <f>IF(FINANCIACION[[#This Row],[$ CAPITAL]]&gt;=0,FINANCIACION[[#This Row],[$ CAPITAL]]+FINANCIACION[[#This Row],[$ INTERESES]],0)</f>
        <v>0</v>
      </c>
    </row>
    <row r="570" spans="1:10" ht="24" hidden="1" customHeight="1" x14ac:dyDescent="0.3">
      <c r="A570" s="131">
        <v>44316</v>
      </c>
      <c r="B570" s="50" t="s">
        <v>542</v>
      </c>
      <c r="C570" s="5">
        <v>-171349.36999999732</v>
      </c>
      <c r="D570" s="5"/>
      <c r="E570" s="5" t="str">
        <f>+IF(FINANCIACION[[#This Row],[$ CAPITAL]]&gt;=0,FINANCIACION[[#This Row],[$ CAPITAL]]+FINANCIACION[[#This Row],[$ INTERESES]],"")</f>
        <v/>
      </c>
      <c r="F570" s="5">
        <f>+SUMIFS(FINANCIACION[$ CAPITAL],FINANCIACION[Fecha],"&lt;="&amp;FINANCIACION[[#This Row],[Fecha]],FINANCIACION[PRESTAMO],FINANCIACION[[#This Row],[PRESTAMO]])</f>
        <v>-26084498.899999999</v>
      </c>
      <c r="G570" s="7" t="s">
        <v>170</v>
      </c>
      <c r="H570" s="53"/>
      <c r="I570" s="5" t="b">
        <f>IF(FINANCIACION[[#This Row],[$ CAPITAL]]&gt;0,FINANCIACION[[#This Row],[$ CAPITAL]])</f>
        <v>0</v>
      </c>
      <c r="J570" s="33">
        <f>IF(FINANCIACION[[#This Row],[$ CAPITAL]]&gt;=0,FINANCIACION[[#This Row],[$ CAPITAL]]+FINANCIACION[[#This Row],[$ INTERESES]],0)</f>
        <v>0</v>
      </c>
    </row>
    <row r="571" spans="1:10" ht="24" hidden="1" customHeight="1" x14ac:dyDescent="0.3">
      <c r="A571" s="131">
        <v>44316</v>
      </c>
      <c r="B571" s="50" t="s">
        <v>538</v>
      </c>
      <c r="C571" s="5">
        <v>2220246.8299999982</v>
      </c>
      <c r="D571" s="5"/>
      <c r="E571" s="5">
        <f>+IF(FINANCIACION[[#This Row],[$ CAPITAL]]&gt;=0,FINANCIACION[[#This Row],[$ CAPITAL]]+FINANCIACION[[#This Row],[$ INTERESES]],"")</f>
        <v>2220246.8299999982</v>
      </c>
      <c r="F571" s="5">
        <f>+SUMIFS(FINANCIACION[$ CAPITAL],FINANCIACION[Fecha],"&lt;="&amp;FINANCIACION[[#This Row],[Fecha]],FINANCIACION[PRESTAMO],FINANCIACION[[#This Row],[PRESTAMO]])</f>
        <v>-56682393.969999999</v>
      </c>
      <c r="G571" s="7" t="s">
        <v>170</v>
      </c>
      <c r="H571" s="53"/>
      <c r="I571" s="5">
        <f>IF(FINANCIACION[[#This Row],[$ CAPITAL]]&gt;0,FINANCIACION[[#This Row],[$ CAPITAL]])</f>
        <v>2220246.8299999982</v>
      </c>
      <c r="J571" s="33">
        <f>IF(FINANCIACION[[#This Row],[$ CAPITAL]]&gt;=0,FINANCIACION[[#This Row],[$ CAPITAL]]+FINANCIACION[[#This Row],[$ INTERESES]],0)</f>
        <v>2220246.8299999982</v>
      </c>
    </row>
    <row r="572" spans="1:10" ht="24" hidden="1" customHeight="1" x14ac:dyDescent="0.3">
      <c r="A572" s="131">
        <v>44316</v>
      </c>
      <c r="B572" s="50" t="s">
        <v>539</v>
      </c>
      <c r="C572" s="5">
        <v>2039889.7599999905</v>
      </c>
      <c r="D572" s="5"/>
      <c r="E572" s="5">
        <f>+IF(FINANCIACION[[#This Row],[$ CAPITAL]]&gt;=0,FINANCIACION[[#This Row],[$ CAPITAL]]+FINANCIACION[[#This Row],[$ INTERESES]],"")</f>
        <v>2039889.7599999905</v>
      </c>
      <c r="F572" s="5">
        <f>+SUMIFS(FINANCIACION[$ CAPITAL],FINANCIACION[Fecha],"&lt;="&amp;FINANCIACION[[#This Row],[Fecha]],FINANCIACION[PRESTAMO],FINANCIACION[[#This Row],[PRESTAMO]])</f>
        <v>-82222974.680000007</v>
      </c>
      <c r="G572" s="7" t="s">
        <v>170</v>
      </c>
      <c r="H572" s="53"/>
      <c r="I572" s="5">
        <f>IF(FINANCIACION[[#This Row],[$ CAPITAL]]&gt;0,FINANCIACION[[#This Row],[$ CAPITAL]])</f>
        <v>2039889.7599999905</v>
      </c>
      <c r="J572" s="33">
        <f>IF(FINANCIACION[[#This Row],[$ CAPITAL]]&gt;=0,FINANCIACION[[#This Row],[$ CAPITAL]]+FINANCIACION[[#This Row],[$ INTERESES]],0)</f>
        <v>2039889.7599999905</v>
      </c>
    </row>
    <row r="573" spans="1:10" ht="24" hidden="1" customHeight="1" x14ac:dyDescent="0.3">
      <c r="A573" s="131">
        <v>44316</v>
      </c>
      <c r="B573" s="50" t="s">
        <v>534</v>
      </c>
      <c r="C573" s="5">
        <v>-3722340</v>
      </c>
      <c r="D573" s="5"/>
      <c r="E573" s="5" t="str">
        <f>+IF(FINANCIACION[[#This Row],[$ CAPITAL]]&gt;=0,FINANCIACION[[#This Row],[$ CAPITAL]]+FINANCIACION[[#This Row],[$ INTERESES]],"")</f>
        <v/>
      </c>
      <c r="F573" s="5">
        <f>+SUMIFS(FINANCIACION[$ CAPITAL],FINANCIACION[Fecha],"&lt;="&amp;FINANCIACION[[#This Row],[Fecha]],FINANCIACION[PRESTAMO],FINANCIACION[[#This Row],[PRESTAMO]])</f>
        <v>-354844809</v>
      </c>
      <c r="G573" s="7" t="s">
        <v>170</v>
      </c>
      <c r="H573" s="53"/>
      <c r="I573" s="5" t="b">
        <f>IF(FINANCIACION[[#This Row],[$ CAPITAL]]&gt;0,FINANCIACION[[#This Row],[$ CAPITAL]])</f>
        <v>0</v>
      </c>
      <c r="J573" s="33">
        <f>IF(FINANCIACION[[#This Row],[$ CAPITAL]]&gt;=0,FINANCIACION[[#This Row],[$ CAPITAL]]+FINANCIACION[[#This Row],[$ INTERESES]],0)</f>
        <v>0</v>
      </c>
    </row>
    <row r="574" spans="1:10" ht="24" hidden="1" customHeight="1" x14ac:dyDescent="0.3">
      <c r="A574" s="131">
        <v>44316</v>
      </c>
      <c r="B574" s="50" t="s">
        <v>535</v>
      </c>
      <c r="C574" s="5">
        <v>1096187</v>
      </c>
      <c r="D574" s="5"/>
      <c r="E574" s="5">
        <f>+IF(FINANCIACION[[#This Row],[$ CAPITAL]]&gt;=0,FINANCIACION[[#This Row],[$ CAPITAL]]+FINANCIACION[[#This Row],[$ INTERESES]],"")</f>
        <v>1096187</v>
      </c>
      <c r="F574" s="5">
        <f>+SUMIFS(FINANCIACION[$ CAPITAL],FINANCIACION[Fecha],"&lt;="&amp;FINANCIACION[[#This Row],[Fecha]],FINANCIACION[PRESTAMO],FINANCIACION[[#This Row],[PRESTAMO]])</f>
        <v>-71741402.340000033</v>
      </c>
      <c r="G574" s="7" t="s">
        <v>170</v>
      </c>
      <c r="H574" s="53"/>
      <c r="I574" s="5">
        <f>IF(FINANCIACION[[#This Row],[$ CAPITAL]]&gt;0,FINANCIACION[[#This Row],[$ CAPITAL]])</f>
        <v>1096187</v>
      </c>
      <c r="J574" s="33">
        <f>IF(FINANCIACION[[#This Row],[$ CAPITAL]]&gt;=0,FINANCIACION[[#This Row],[$ CAPITAL]]+FINANCIACION[[#This Row],[$ INTERESES]],0)</f>
        <v>1096187</v>
      </c>
    </row>
    <row r="575" spans="1:10" ht="24" hidden="1" customHeight="1" x14ac:dyDescent="0.3">
      <c r="A575" s="131">
        <v>44316</v>
      </c>
      <c r="B575" s="50" t="s">
        <v>535</v>
      </c>
      <c r="C575" s="5">
        <v>-22691238.119999997</v>
      </c>
      <c r="D575" s="5"/>
      <c r="E575" s="5" t="str">
        <f>+IF(FINANCIACION[[#This Row],[$ CAPITAL]]&gt;=0,FINANCIACION[[#This Row],[$ CAPITAL]]+FINANCIACION[[#This Row],[$ INTERESES]],"")</f>
        <v/>
      </c>
      <c r="F575" s="5">
        <f>+SUMIFS(FINANCIACION[$ CAPITAL],FINANCIACION[Fecha],"&lt;="&amp;FINANCIACION[[#This Row],[Fecha]],FINANCIACION[PRESTAMO],FINANCIACION[[#This Row],[PRESTAMO]])</f>
        <v>-71741402.340000033</v>
      </c>
      <c r="G575" s="7" t="s">
        <v>170</v>
      </c>
      <c r="H575" s="53"/>
      <c r="I575" s="5" t="b">
        <f>IF(FINANCIACION[[#This Row],[$ CAPITAL]]&gt;0,FINANCIACION[[#This Row],[$ CAPITAL]])</f>
        <v>0</v>
      </c>
      <c r="J575" s="33">
        <f>IF(FINANCIACION[[#This Row],[$ CAPITAL]]&gt;=0,FINANCIACION[[#This Row],[$ CAPITAL]]+FINANCIACION[[#This Row],[$ INTERESES]],0)</f>
        <v>0</v>
      </c>
    </row>
    <row r="576" spans="1:10" ht="24" hidden="1" customHeight="1" x14ac:dyDescent="0.3">
      <c r="A576" s="131">
        <v>44316</v>
      </c>
      <c r="B576" s="50" t="s">
        <v>535</v>
      </c>
      <c r="C576" s="5">
        <v>-18535</v>
      </c>
      <c r="D576" s="5"/>
      <c r="E576" s="5" t="str">
        <f>+IF(FINANCIACION[[#This Row],[$ CAPITAL]]&gt;=0,FINANCIACION[[#This Row],[$ CAPITAL]]+FINANCIACION[[#This Row],[$ INTERESES]],"")</f>
        <v/>
      </c>
      <c r="F576" s="5">
        <f>+SUMIFS(FINANCIACION[$ CAPITAL],FINANCIACION[Fecha],"&lt;="&amp;FINANCIACION[[#This Row],[Fecha]],FINANCIACION[PRESTAMO],FINANCIACION[[#This Row],[PRESTAMO]])</f>
        <v>-71741402.340000033</v>
      </c>
      <c r="G576" s="7" t="s">
        <v>170</v>
      </c>
      <c r="H576" s="53"/>
      <c r="I576" s="5" t="b">
        <f>IF(FINANCIACION[[#This Row],[$ CAPITAL]]&gt;0,FINANCIACION[[#This Row],[$ CAPITAL]])</f>
        <v>0</v>
      </c>
      <c r="J576" s="33">
        <f>IF(FINANCIACION[[#This Row],[$ CAPITAL]]&gt;=0,FINANCIACION[[#This Row],[$ CAPITAL]]+FINANCIACION[[#This Row],[$ INTERESES]],0)</f>
        <v>0</v>
      </c>
    </row>
    <row r="577" spans="1:10" ht="24" hidden="1" customHeight="1" x14ac:dyDescent="0.3">
      <c r="A577" s="131">
        <v>44316</v>
      </c>
      <c r="B577" s="50" t="s">
        <v>535</v>
      </c>
      <c r="C577" s="5">
        <v>-208504.88000000268</v>
      </c>
      <c r="D577" s="5"/>
      <c r="E577" s="5" t="str">
        <f>+IF(FINANCIACION[[#This Row],[$ CAPITAL]]&gt;=0,FINANCIACION[[#This Row],[$ CAPITAL]]+FINANCIACION[[#This Row],[$ INTERESES]],"")</f>
        <v/>
      </c>
      <c r="F577" s="5">
        <f>+SUMIFS(FINANCIACION[$ CAPITAL],FINANCIACION[Fecha],"&lt;="&amp;FINANCIACION[[#This Row],[Fecha]],FINANCIACION[PRESTAMO],FINANCIACION[[#This Row],[PRESTAMO]])</f>
        <v>-71741402.340000033</v>
      </c>
      <c r="G577" s="7" t="s">
        <v>170</v>
      </c>
      <c r="H577" s="53"/>
      <c r="I577" s="5" t="b">
        <f>IF(FINANCIACION[[#This Row],[$ CAPITAL]]&gt;0,FINANCIACION[[#This Row],[$ CAPITAL]])</f>
        <v>0</v>
      </c>
      <c r="J577" s="33">
        <f>IF(FINANCIACION[[#This Row],[$ CAPITAL]]&gt;=0,FINANCIACION[[#This Row],[$ CAPITAL]]+FINANCIACION[[#This Row],[$ INTERESES]],0)</f>
        <v>0</v>
      </c>
    </row>
    <row r="578" spans="1:10" ht="24" hidden="1" customHeight="1" x14ac:dyDescent="0.3">
      <c r="A578" s="131">
        <v>44316</v>
      </c>
      <c r="B578" s="50" t="s">
        <v>154</v>
      </c>
      <c r="C578" s="5">
        <v>-7917900</v>
      </c>
      <c r="D578" s="5"/>
      <c r="E578" s="5" t="str">
        <f>+IF(FINANCIACION[[#This Row],[$ CAPITAL]]&gt;=0,FINANCIACION[[#This Row],[$ CAPITAL]]+FINANCIACION[[#This Row],[$ INTERESES]],"")</f>
        <v/>
      </c>
      <c r="F578" s="5">
        <f>+SUMIFS(FINANCIACION[$ CAPITAL],FINANCIACION[Fecha],"&lt;="&amp;FINANCIACION[[#This Row],[Fecha]],FINANCIACION[PRESTAMO],FINANCIACION[[#This Row],[PRESTAMO]])</f>
        <v>-34302600</v>
      </c>
      <c r="G578" s="7" t="s">
        <v>170</v>
      </c>
      <c r="H578" s="53"/>
      <c r="I578" s="5" t="b">
        <f>IF(FINANCIACION[[#This Row],[$ CAPITAL]]&gt;0,FINANCIACION[[#This Row],[$ CAPITAL]])</f>
        <v>0</v>
      </c>
      <c r="J578" s="33">
        <f>IF(FINANCIACION[[#This Row],[$ CAPITAL]]&gt;=0,FINANCIACION[[#This Row],[$ CAPITAL]]+FINANCIACION[[#This Row],[$ INTERESES]],0)</f>
        <v>0</v>
      </c>
    </row>
    <row r="579" spans="1:10" ht="24" hidden="1" customHeight="1" x14ac:dyDescent="0.3">
      <c r="A579" s="131">
        <v>44319</v>
      </c>
      <c r="B579" s="50" t="s">
        <v>542</v>
      </c>
      <c r="C579" s="5">
        <v>894000</v>
      </c>
      <c r="D579" s="5">
        <v>166402.96</v>
      </c>
      <c r="E579" s="5">
        <f>+IF(FINANCIACION[[#This Row],[$ CAPITAL]]&gt;=0,FINANCIACION[[#This Row],[$ CAPITAL]]+FINANCIACION[[#This Row],[$ INTERESES]],"")</f>
        <v>1060402.96</v>
      </c>
      <c r="F579" s="5">
        <f>+SUMIFS(FINANCIACION[$ CAPITAL],FINANCIACION[Fecha],"&lt;="&amp;FINANCIACION[[#This Row],[Fecha]],FINANCIACION[PRESTAMO],FINANCIACION[[#This Row],[PRESTAMO]])</f>
        <v>-25190498.899999999</v>
      </c>
      <c r="G579" s="7"/>
      <c r="H579" s="53"/>
      <c r="I579" s="5">
        <f>IF(FINANCIACION[[#This Row],[$ CAPITAL]]&gt;0,FINANCIACION[[#This Row],[$ CAPITAL]])</f>
        <v>894000</v>
      </c>
      <c r="J579" s="33">
        <f>IF(FINANCIACION[[#This Row],[$ CAPITAL]]&gt;=0,FINANCIACION[[#This Row],[$ CAPITAL]]+FINANCIACION[[#This Row],[$ INTERESES]],0)</f>
        <v>1060402.96</v>
      </c>
    </row>
    <row r="580" spans="1:10" ht="24" hidden="1" customHeight="1" x14ac:dyDescent="0.3">
      <c r="A580" s="131">
        <v>44320</v>
      </c>
      <c r="B580" s="50" t="s">
        <v>540</v>
      </c>
      <c r="C580" s="5">
        <v>1011000</v>
      </c>
      <c r="D580" s="5"/>
      <c r="E580" s="5">
        <f>+IF(FINANCIACION[[#This Row],[$ CAPITAL]]&gt;=0,FINANCIACION[[#This Row],[$ CAPITAL]]+FINANCIACION[[#This Row],[$ INTERESES]],"")</f>
        <v>1011000</v>
      </c>
      <c r="F580" s="5">
        <f>+SUMIFS(FINANCIACION[$ CAPITAL],FINANCIACION[Fecha],"&lt;="&amp;FINANCIACION[[#This Row],[Fecha]],FINANCIACION[PRESTAMO],FINANCIACION[[#This Row],[PRESTAMO]])</f>
        <v>-23009998.199999999</v>
      </c>
      <c r="G580" s="7"/>
      <c r="H580" s="53"/>
      <c r="I580" s="5">
        <f>IF(FINANCIACION[[#This Row],[$ CAPITAL]]&gt;0,FINANCIACION[[#This Row],[$ CAPITAL]])</f>
        <v>1011000</v>
      </c>
      <c r="J580" s="33">
        <f>IF(FINANCIACION[[#This Row],[$ CAPITAL]]&gt;=0,FINANCIACION[[#This Row],[$ CAPITAL]]+FINANCIACION[[#This Row],[$ INTERESES]],0)</f>
        <v>1011000</v>
      </c>
    </row>
    <row r="581" spans="1:10" ht="24" hidden="1" customHeight="1" x14ac:dyDescent="0.3">
      <c r="A581" s="131">
        <v>44320</v>
      </c>
      <c r="B581" s="50" t="s">
        <v>534</v>
      </c>
      <c r="C581" s="5">
        <v>5000000</v>
      </c>
      <c r="D581" s="5"/>
      <c r="E581" s="5">
        <f>+IF(FINANCIACION[[#This Row],[$ CAPITAL]]&gt;=0,FINANCIACION[[#This Row],[$ CAPITAL]]+FINANCIACION[[#This Row],[$ INTERESES]],"")</f>
        <v>5000000</v>
      </c>
      <c r="F581" s="5">
        <f>+SUMIFS(FINANCIACION[$ CAPITAL],FINANCIACION[Fecha],"&lt;="&amp;FINANCIACION[[#This Row],[Fecha]],FINANCIACION[PRESTAMO],FINANCIACION[[#This Row],[PRESTAMO]])</f>
        <v>-349844809</v>
      </c>
      <c r="G581" s="7"/>
      <c r="H581" s="53"/>
      <c r="I581" s="5">
        <f>IF(FINANCIACION[[#This Row],[$ CAPITAL]]&gt;0,FINANCIACION[[#This Row],[$ CAPITAL]])</f>
        <v>5000000</v>
      </c>
      <c r="J581" s="33">
        <f>IF(FINANCIACION[[#This Row],[$ CAPITAL]]&gt;=0,FINANCIACION[[#This Row],[$ CAPITAL]]+FINANCIACION[[#This Row],[$ INTERESES]],0)</f>
        <v>5000000</v>
      </c>
    </row>
    <row r="582" spans="1:10" ht="24" hidden="1" customHeight="1" x14ac:dyDescent="0.3">
      <c r="A582" s="131">
        <v>44320</v>
      </c>
      <c r="B582" s="50" t="s">
        <v>535</v>
      </c>
      <c r="C582" s="5">
        <v>990094.53000000305</v>
      </c>
      <c r="D582" s="5">
        <v>107658.64999999688</v>
      </c>
      <c r="E582" s="5">
        <f>+IF(FINANCIACION[[#This Row],[$ CAPITAL]]&gt;=0,FINANCIACION[[#This Row],[$ CAPITAL]]+FINANCIACION[[#This Row],[$ INTERESES]],"")</f>
        <v>1097753.18</v>
      </c>
      <c r="F582" s="5">
        <f>+SUMIFS(FINANCIACION[$ CAPITAL],FINANCIACION[Fecha],"&lt;="&amp;FINANCIACION[[#This Row],[Fecha]],FINANCIACION[PRESTAMO],FINANCIACION[[#This Row],[PRESTAMO]])</f>
        <v>-69229307.810000032</v>
      </c>
      <c r="G582" s="7"/>
      <c r="H582" s="53"/>
      <c r="I582" s="5">
        <f>IF(FINANCIACION[[#This Row],[$ CAPITAL]]&gt;0,FINANCIACION[[#This Row],[$ CAPITAL]])</f>
        <v>990094.53000000305</v>
      </c>
      <c r="J582" s="33">
        <f>IF(FINANCIACION[[#This Row],[$ CAPITAL]]&gt;=0,FINANCIACION[[#This Row],[$ CAPITAL]]+FINANCIACION[[#This Row],[$ INTERESES]],0)</f>
        <v>1097753.18</v>
      </c>
    </row>
    <row r="583" spans="1:10" ht="24" hidden="1" customHeight="1" x14ac:dyDescent="0.3">
      <c r="A583" s="131">
        <v>44320</v>
      </c>
      <c r="B583" s="50" t="s">
        <v>535</v>
      </c>
      <c r="C583" s="5">
        <v>1522000</v>
      </c>
      <c r="D583" s="5"/>
      <c r="E583" s="5">
        <f>+IF(FINANCIACION[[#This Row],[$ CAPITAL]]&gt;=0,FINANCIACION[[#This Row],[$ CAPITAL]]+FINANCIACION[[#This Row],[$ INTERESES]],"")</f>
        <v>1522000</v>
      </c>
      <c r="F583" s="5">
        <f>+SUMIFS(FINANCIACION[$ CAPITAL],FINANCIACION[Fecha],"&lt;="&amp;FINANCIACION[[#This Row],[Fecha]],FINANCIACION[PRESTAMO],FINANCIACION[[#This Row],[PRESTAMO]])</f>
        <v>-69229307.810000032</v>
      </c>
      <c r="G583" s="7"/>
      <c r="H583" s="53"/>
      <c r="I583" s="5">
        <f>IF(FINANCIACION[[#This Row],[$ CAPITAL]]&gt;0,FINANCIACION[[#This Row],[$ CAPITAL]])</f>
        <v>1522000</v>
      </c>
      <c r="J583" s="33">
        <f>IF(FINANCIACION[[#This Row],[$ CAPITAL]]&gt;=0,FINANCIACION[[#This Row],[$ CAPITAL]]+FINANCIACION[[#This Row],[$ INTERESES]],0)</f>
        <v>1522000</v>
      </c>
    </row>
    <row r="584" spans="1:10" ht="24" hidden="1" customHeight="1" x14ac:dyDescent="0.3">
      <c r="A584" s="131">
        <v>44328</v>
      </c>
      <c r="B584" s="50" t="s">
        <v>150</v>
      </c>
      <c r="C584" s="5">
        <v>6342416.9000000004</v>
      </c>
      <c r="D584" s="5">
        <v>443060.1</v>
      </c>
      <c r="E584" s="5">
        <f>+IF(FINANCIACION[[#This Row],[$ CAPITAL]]&gt;=0,FINANCIACION[[#This Row],[$ CAPITAL]]+FINANCIACION[[#This Row],[$ INTERESES]],"")</f>
        <v>6785477</v>
      </c>
      <c r="F584" s="5">
        <f>+SUMIFS(FINANCIACION[$ CAPITAL],FINANCIACION[Fecha],"&lt;="&amp;FINANCIACION[[#This Row],[Fecha]],FINANCIACION[PRESTAMO],FINANCIACION[[#This Row],[PRESTAMO]])</f>
        <v>-60348709.100000001</v>
      </c>
      <c r="G584" s="7"/>
      <c r="H584" s="53"/>
      <c r="I584" s="5">
        <f>IF(FINANCIACION[[#This Row],[$ CAPITAL]]&gt;0,FINANCIACION[[#This Row],[$ CAPITAL]])</f>
        <v>6342416.9000000004</v>
      </c>
      <c r="J584" s="33">
        <f>IF(FINANCIACION[[#This Row],[$ CAPITAL]]&gt;=0,FINANCIACION[[#This Row],[$ CAPITAL]]+FINANCIACION[[#This Row],[$ INTERESES]],0)</f>
        <v>6785477</v>
      </c>
    </row>
    <row r="585" spans="1:10" ht="24" hidden="1" customHeight="1" x14ac:dyDescent="0.3">
      <c r="A585" s="131">
        <v>44328</v>
      </c>
      <c r="B585" s="50" t="s">
        <v>534</v>
      </c>
      <c r="C585" s="5">
        <v>918187</v>
      </c>
      <c r="D585" s="5"/>
      <c r="E585" s="5">
        <f>+IF(FINANCIACION[[#This Row],[$ CAPITAL]]&gt;=0,FINANCIACION[[#This Row],[$ CAPITAL]]+FINANCIACION[[#This Row],[$ INTERESES]],"")</f>
        <v>918187</v>
      </c>
      <c r="F585" s="5">
        <f>+SUMIFS(FINANCIACION[$ CAPITAL],FINANCIACION[Fecha],"&lt;="&amp;FINANCIACION[[#This Row],[Fecha]],FINANCIACION[PRESTAMO],FINANCIACION[[#This Row],[PRESTAMO]])</f>
        <v>-348926622</v>
      </c>
      <c r="G585" s="7"/>
      <c r="H585" s="53"/>
      <c r="I585" s="5">
        <f>IF(FINANCIACION[[#This Row],[$ CAPITAL]]&gt;0,FINANCIACION[[#This Row],[$ CAPITAL]])</f>
        <v>918187</v>
      </c>
      <c r="J585" s="33">
        <f>IF(FINANCIACION[[#This Row],[$ CAPITAL]]&gt;=0,FINANCIACION[[#This Row],[$ CAPITAL]]+FINANCIACION[[#This Row],[$ INTERESES]],0)</f>
        <v>918187</v>
      </c>
    </row>
    <row r="586" spans="1:10" ht="24" hidden="1" customHeight="1" x14ac:dyDescent="0.3">
      <c r="A586" s="131">
        <v>44328</v>
      </c>
      <c r="B586" s="50" t="s">
        <v>535</v>
      </c>
      <c r="C586" s="5">
        <v>7406400</v>
      </c>
      <c r="D586" s="5"/>
      <c r="E586" s="5">
        <f>+IF(FINANCIACION[[#This Row],[$ CAPITAL]]&gt;=0,FINANCIACION[[#This Row],[$ CAPITAL]]+FINANCIACION[[#This Row],[$ INTERESES]],"")</f>
        <v>7406400</v>
      </c>
      <c r="F586" s="5">
        <f>+SUMIFS(FINANCIACION[$ CAPITAL],FINANCIACION[Fecha],"&lt;="&amp;FINANCIACION[[#This Row],[Fecha]],FINANCIACION[PRESTAMO],FINANCIACION[[#This Row],[PRESTAMO]])</f>
        <v>-58119707.810000032</v>
      </c>
      <c r="G586" s="7"/>
      <c r="H586" s="53"/>
      <c r="I586" s="5">
        <f>IF(FINANCIACION[[#This Row],[$ CAPITAL]]&gt;0,FINANCIACION[[#This Row],[$ CAPITAL]])</f>
        <v>7406400</v>
      </c>
      <c r="J586" s="33">
        <f>IF(FINANCIACION[[#This Row],[$ CAPITAL]]&gt;=0,FINANCIACION[[#This Row],[$ CAPITAL]]+FINANCIACION[[#This Row],[$ INTERESES]],0)</f>
        <v>7406400</v>
      </c>
    </row>
    <row r="587" spans="1:10" ht="24" hidden="1" customHeight="1" x14ac:dyDescent="0.3">
      <c r="A587" s="131">
        <v>44328</v>
      </c>
      <c r="B587" s="50" t="s">
        <v>535</v>
      </c>
      <c r="C587" s="5">
        <v>3703200</v>
      </c>
      <c r="D587" s="5"/>
      <c r="E587" s="5">
        <f>+IF(FINANCIACION[[#This Row],[$ CAPITAL]]&gt;=0,FINANCIACION[[#This Row],[$ CAPITAL]]+FINANCIACION[[#This Row],[$ INTERESES]],"")</f>
        <v>3703200</v>
      </c>
      <c r="F587" s="5">
        <f>+SUMIFS(FINANCIACION[$ CAPITAL],FINANCIACION[Fecha],"&lt;="&amp;FINANCIACION[[#This Row],[Fecha]],FINANCIACION[PRESTAMO],FINANCIACION[[#This Row],[PRESTAMO]])</f>
        <v>-58119707.810000032</v>
      </c>
      <c r="G587" s="7"/>
      <c r="H587" s="53"/>
      <c r="I587" s="5">
        <f>IF(FINANCIACION[[#This Row],[$ CAPITAL]]&gt;0,FINANCIACION[[#This Row],[$ CAPITAL]])</f>
        <v>3703200</v>
      </c>
      <c r="J587" s="33">
        <f>IF(FINANCIACION[[#This Row],[$ CAPITAL]]&gt;=0,FINANCIACION[[#This Row],[$ CAPITAL]]+FINANCIACION[[#This Row],[$ INTERESES]],0)</f>
        <v>3703200</v>
      </c>
    </row>
    <row r="588" spans="1:10" ht="24" hidden="1" customHeight="1" x14ac:dyDescent="0.3">
      <c r="A588" s="131">
        <v>44330</v>
      </c>
      <c r="B588" s="50" t="s">
        <v>535</v>
      </c>
      <c r="C588" s="5">
        <v>-35000000</v>
      </c>
      <c r="D588" s="5">
        <v>955808</v>
      </c>
      <c r="E588" s="5" t="str">
        <f>+IF(FINANCIACION[[#This Row],[$ CAPITAL]]&gt;=0,FINANCIACION[[#This Row],[$ CAPITAL]]+FINANCIACION[[#This Row],[$ INTERESES]],"")</f>
        <v/>
      </c>
      <c r="F588" s="5">
        <f>+SUMIFS(FINANCIACION[$ CAPITAL],FINANCIACION[Fecha],"&lt;="&amp;FINANCIACION[[#This Row],[Fecha]],FINANCIACION[PRESTAMO],FINANCIACION[[#This Row],[PRESTAMO]])</f>
        <v>-93119707.810000032</v>
      </c>
      <c r="G588" s="7"/>
      <c r="H588" s="53"/>
      <c r="I588" s="5" t="b">
        <f>IF(FINANCIACION[[#This Row],[$ CAPITAL]]&gt;0,FINANCIACION[[#This Row],[$ CAPITAL]])</f>
        <v>0</v>
      </c>
      <c r="J588" s="33">
        <f>IF(FINANCIACION[[#This Row],[$ CAPITAL]]&gt;=0,FINANCIACION[[#This Row],[$ CAPITAL]]+FINANCIACION[[#This Row],[$ INTERESES]],0)</f>
        <v>0</v>
      </c>
    </row>
    <row r="589" spans="1:10" ht="24" hidden="1" customHeight="1" x14ac:dyDescent="0.3">
      <c r="A589" s="131">
        <v>44330</v>
      </c>
      <c r="B589" s="50" t="s">
        <v>153</v>
      </c>
      <c r="C589" s="5">
        <v>-35000000</v>
      </c>
      <c r="D589" s="5">
        <v>955808</v>
      </c>
      <c r="E589" s="5" t="str">
        <f>+IF(FINANCIACION[[#This Row],[$ CAPITAL]]&gt;=0,FINANCIACION[[#This Row],[$ CAPITAL]]+FINANCIACION[[#This Row],[$ INTERESES]],"")</f>
        <v/>
      </c>
      <c r="F589" s="5">
        <f>+SUMIFS(FINANCIACION[$ CAPITAL],FINANCIACION[Fecha],"&lt;="&amp;FINANCIACION[[#This Row],[Fecha]],FINANCIACION[PRESTAMO],FINANCIACION[[#This Row],[PRESTAMO]])</f>
        <v>-35000000</v>
      </c>
      <c r="G589" s="7"/>
      <c r="H589" s="53"/>
      <c r="I589" s="5" t="b">
        <f>IF(FINANCIACION[[#This Row],[$ CAPITAL]]&gt;0,FINANCIACION[[#This Row],[$ CAPITAL]])</f>
        <v>0</v>
      </c>
      <c r="J589" s="33">
        <f>IF(FINANCIACION[[#This Row],[$ CAPITAL]]&gt;=0,FINANCIACION[[#This Row],[$ CAPITAL]]+FINANCIACION[[#This Row],[$ INTERESES]],0)</f>
        <v>0</v>
      </c>
    </row>
    <row r="590" spans="1:10" ht="24" hidden="1" customHeight="1" x14ac:dyDescent="0.3">
      <c r="A590" s="131">
        <v>44334</v>
      </c>
      <c r="B590" s="50" t="s">
        <v>535</v>
      </c>
      <c r="C590" s="5">
        <v>8131031.1399999913</v>
      </c>
      <c r="D590" s="5">
        <v>12434.860000008717</v>
      </c>
      <c r="E590" s="5">
        <f>+IF(FINANCIACION[[#This Row],[$ CAPITAL]]&gt;=0,FINANCIACION[[#This Row],[$ CAPITAL]]+FINANCIACION[[#This Row],[$ INTERESES]],"")</f>
        <v>8143466</v>
      </c>
      <c r="F590" s="5">
        <f>+SUMIFS(FINANCIACION[$ CAPITAL],FINANCIACION[Fecha],"&lt;="&amp;FINANCIACION[[#This Row],[Fecha]],FINANCIACION[PRESTAMO],FINANCIACION[[#This Row],[PRESTAMO]])</f>
        <v>-84464929.670000046</v>
      </c>
      <c r="G590" s="7"/>
      <c r="H590" s="53"/>
      <c r="I590" s="5">
        <f>IF(FINANCIACION[[#This Row],[$ CAPITAL]]&gt;0,FINANCIACION[[#This Row],[$ CAPITAL]])</f>
        <v>8131031.1399999913</v>
      </c>
      <c r="J590" s="33">
        <f>IF(FINANCIACION[[#This Row],[$ CAPITAL]]&gt;=0,FINANCIACION[[#This Row],[$ CAPITAL]]+FINANCIACION[[#This Row],[$ INTERESES]],0)</f>
        <v>8143466</v>
      </c>
    </row>
    <row r="591" spans="1:10" ht="24" hidden="1" customHeight="1" x14ac:dyDescent="0.3">
      <c r="A591" s="131">
        <v>44334</v>
      </c>
      <c r="B591" s="50" t="s">
        <v>535</v>
      </c>
      <c r="C591" s="5">
        <v>523747</v>
      </c>
      <c r="D591" s="5"/>
      <c r="E591" s="5">
        <f>+IF(FINANCIACION[[#This Row],[$ CAPITAL]]&gt;=0,FINANCIACION[[#This Row],[$ CAPITAL]]+FINANCIACION[[#This Row],[$ INTERESES]],"")</f>
        <v>523747</v>
      </c>
      <c r="F591" s="5">
        <f>+SUMIFS(FINANCIACION[$ CAPITAL],FINANCIACION[Fecha],"&lt;="&amp;FINANCIACION[[#This Row],[Fecha]],FINANCIACION[PRESTAMO],FINANCIACION[[#This Row],[PRESTAMO]])</f>
        <v>-84464929.670000046</v>
      </c>
      <c r="G591" s="7"/>
      <c r="H591" s="53"/>
      <c r="I591" s="5">
        <f>IF(FINANCIACION[[#This Row],[$ CAPITAL]]&gt;0,FINANCIACION[[#This Row],[$ CAPITAL]])</f>
        <v>523747</v>
      </c>
      <c r="J591" s="33">
        <f>IF(FINANCIACION[[#This Row],[$ CAPITAL]]&gt;=0,FINANCIACION[[#This Row],[$ CAPITAL]]+FINANCIACION[[#This Row],[$ INTERESES]],0)</f>
        <v>523747</v>
      </c>
    </row>
    <row r="592" spans="1:10" ht="24" hidden="1" customHeight="1" x14ac:dyDescent="0.3">
      <c r="A592" s="131">
        <v>44340</v>
      </c>
      <c r="B592" s="50" t="s">
        <v>533</v>
      </c>
      <c r="C592" s="5">
        <v>458214.73859999992</v>
      </c>
      <c r="D592" s="5">
        <v>741785.26140000008</v>
      </c>
      <c r="E592" s="5">
        <f>+IF(FINANCIACION[[#This Row],[$ CAPITAL]]&gt;=0,FINANCIACION[[#This Row],[$ CAPITAL]]+FINANCIACION[[#This Row],[$ INTERESES]],"")</f>
        <v>1200000</v>
      </c>
      <c r="F592" s="5">
        <f>+SUMIFS(FINANCIACION[$ CAPITAL],FINANCIACION[Fecha],"&lt;="&amp;FINANCIACION[[#This Row],[Fecha]],FINANCIACION[PRESTAMO],FINANCIACION[[#This Row],[PRESTAMO]])</f>
        <v>-73890999.261399999</v>
      </c>
      <c r="G592" s="7"/>
      <c r="H592" s="53"/>
      <c r="I592" s="5">
        <f>IF(FINANCIACION[[#This Row],[$ CAPITAL]]&gt;0,FINANCIACION[[#This Row],[$ CAPITAL]])</f>
        <v>458214.73859999992</v>
      </c>
      <c r="J592" s="33">
        <f>IF(FINANCIACION[[#This Row],[$ CAPITAL]]&gt;=0,FINANCIACION[[#This Row],[$ CAPITAL]]+FINANCIACION[[#This Row],[$ INTERESES]],0)</f>
        <v>1200000</v>
      </c>
    </row>
    <row r="593" spans="1:10" ht="24" hidden="1" customHeight="1" x14ac:dyDescent="0.3">
      <c r="A593" s="131">
        <v>44340</v>
      </c>
      <c r="B593" s="50" t="s">
        <v>545</v>
      </c>
      <c r="C593" s="5"/>
      <c r="D593" s="5">
        <v>120000</v>
      </c>
      <c r="E593" s="5">
        <f>+IF(FINANCIACION[[#This Row],[$ CAPITAL]]&gt;=0,FINANCIACION[[#This Row],[$ CAPITAL]]+FINANCIACION[[#This Row],[$ INTERESES]],"")</f>
        <v>120000</v>
      </c>
      <c r="F593" s="5">
        <f>+SUMIFS(FINANCIACION[$ CAPITAL],FINANCIACION[Fecha],"&lt;="&amp;FINANCIACION[[#This Row],[Fecha]],FINANCIACION[PRESTAMO],FINANCIACION[[#This Row],[PRESTAMO]])</f>
        <v>-12000000</v>
      </c>
      <c r="G593" s="7"/>
      <c r="H593" s="53"/>
      <c r="I593" s="5" t="b">
        <f>IF(FINANCIACION[[#This Row],[$ CAPITAL]]&gt;0,FINANCIACION[[#This Row],[$ CAPITAL]])</f>
        <v>0</v>
      </c>
      <c r="J593" s="33">
        <f>IF(FINANCIACION[[#This Row],[$ CAPITAL]]&gt;=0,FINANCIACION[[#This Row],[$ CAPITAL]]+FINANCIACION[[#This Row],[$ INTERESES]],0)</f>
        <v>120000</v>
      </c>
    </row>
    <row r="594" spans="1:10" ht="24" hidden="1" customHeight="1" x14ac:dyDescent="0.3">
      <c r="A594" s="131">
        <v>44340</v>
      </c>
      <c r="B594" s="50" t="s">
        <v>540</v>
      </c>
      <c r="C594" s="5">
        <v>1002261.0300000012</v>
      </c>
      <c r="D594" s="5">
        <v>4738.9699999988079</v>
      </c>
      <c r="E594" s="5">
        <f>+IF(FINANCIACION[[#This Row],[$ CAPITAL]]&gt;=0,FINANCIACION[[#This Row],[$ CAPITAL]]+FINANCIACION[[#This Row],[$ INTERESES]],"")</f>
        <v>1007000</v>
      </c>
      <c r="F594" s="5">
        <f>+SUMIFS(FINANCIACION[$ CAPITAL],FINANCIACION[Fecha],"&lt;="&amp;FINANCIACION[[#This Row],[Fecha]],FINANCIACION[PRESTAMO],FINANCIACION[[#This Row],[PRESTAMO]])</f>
        <v>-22007737.169999998</v>
      </c>
      <c r="G594" s="7"/>
      <c r="H594" s="53"/>
      <c r="I594" s="5">
        <f>IF(FINANCIACION[[#This Row],[$ CAPITAL]]&gt;0,FINANCIACION[[#This Row],[$ CAPITAL]])</f>
        <v>1002261.0300000012</v>
      </c>
      <c r="J594" s="8">
        <f>IF(FINANCIACION[[#This Row],[$ CAPITAL]]&gt;=0,FINANCIACION[[#This Row],[$ CAPITAL]]+FINANCIACION[[#This Row],[$ INTERESES]],0)</f>
        <v>1007000</v>
      </c>
    </row>
    <row r="595" spans="1:10" ht="24" hidden="1" customHeight="1" x14ac:dyDescent="0.3">
      <c r="A595" s="131">
        <v>44340</v>
      </c>
      <c r="B595" s="50" t="s">
        <v>542</v>
      </c>
      <c r="C595" s="5">
        <v>1055849.8999999985</v>
      </c>
      <c r="D595" s="5">
        <v>5150.1000000014901</v>
      </c>
      <c r="E595" s="5">
        <f>+IF(FINANCIACION[[#This Row],[$ CAPITAL]]&gt;=0,FINANCIACION[[#This Row],[$ CAPITAL]]+FINANCIACION[[#This Row],[$ INTERESES]],"")</f>
        <v>1061000</v>
      </c>
      <c r="F595" s="5">
        <f>+SUMIFS(FINANCIACION[$ CAPITAL],FINANCIACION[Fecha],"&lt;="&amp;FINANCIACION[[#This Row],[Fecha]],FINANCIACION[PRESTAMO],FINANCIACION[[#This Row],[PRESTAMO]])</f>
        <v>-24134649</v>
      </c>
      <c r="G595" s="7"/>
      <c r="H595" s="53"/>
      <c r="I595" s="5">
        <f>IF(FINANCIACION[[#This Row],[$ CAPITAL]]&gt;0,FINANCIACION[[#This Row],[$ CAPITAL]])</f>
        <v>1055849.8999999985</v>
      </c>
      <c r="J595" s="8">
        <f>IF(FINANCIACION[[#This Row],[$ CAPITAL]]&gt;=0,FINANCIACION[[#This Row],[$ CAPITAL]]+FINANCIACION[[#This Row],[$ INTERESES]],0)</f>
        <v>1061000</v>
      </c>
    </row>
    <row r="596" spans="1:10" ht="24" hidden="1" customHeight="1" x14ac:dyDescent="0.3">
      <c r="A596" s="131">
        <v>44340</v>
      </c>
      <c r="B596" s="50" t="s">
        <v>538</v>
      </c>
      <c r="C596" s="5">
        <v>2539245.3100000024</v>
      </c>
      <c r="D596" s="5">
        <v>11754.689999997616</v>
      </c>
      <c r="E596" s="5">
        <f>+IF(FINANCIACION[[#This Row],[$ CAPITAL]]&gt;=0,FINANCIACION[[#This Row],[$ CAPITAL]]+FINANCIACION[[#This Row],[$ INTERESES]],"")</f>
        <v>2551000</v>
      </c>
      <c r="F596" s="5">
        <f>+SUMIFS(FINANCIACION[$ CAPITAL],FINANCIACION[Fecha],"&lt;="&amp;FINANCIACION[[#This Row],[Fecha]],FINANCIACION[PRESTAMO],FINANCIACION[[#This Row],[PRESTAMO]])</f>
        <v>-54143148.659999996</v>
      </c>
      <c r="G596" s="7"/>
      <c r="H596" s="53"/>
      <c r="I596" s="5">
        <f>IF(FINANCIACION[[#This Row],[$ CAPITAL]]&gt;0,FINANCIACION[[#This Row],[$ CAPITAL]])</f>
        <v>2539245.3100000024</v>
      </c>
      <c r="J596" s="33">
        <f>IF(FINANCIACION[[#This Row],[$ CAPITAL]]&gt;=0,FINANCIACION[[#This Row],[$ CAPITAL]]+FINANCIACION[[#This Row],[$ INTERESES]],0)</f>
        <v>2551000</v>
      </c>
    </row>
    <row r="597" spans="1:10" ht="24" hidden="1" customHeight="1" x14ac:dyDescent="0.3">
      <c r="A597" s="131">
        <v>44340</v>
      </c>
      <c r="B597" s="50" t="s">
        <v>539</v>
      </c>
      <c r="C597" s="5">
        <v>3748005.3799999952</v>
      </c>
      <c r="D597" s="5">
        <v>18994.620000004768</v>
      </c>
      <c r="E597" s="5">
        <f>+IF(FINANCIACION[[#This Row],[$ CAPITAL]]&gt;=0,FINANCIACION[[#This Row],[$ CAPITAL]]+FINANCIACION[[#This Row],[$ INTERESES]],"")</f>
        <v>3767000</v>
      </c>
      <c r="F597" s="5">
        <f>+SUMIFS(FINANCIACION[$ CAPITAL],FINANCIACION[Fecha],"&lt;="&amp;FINANCIACION[[#This Row],[Fecha]],FINANCIACION[PRESTAMO],FINANCIACION[[#This Row],[PRESTAMO]])</f>
        <v>-78474969.300000012</v>
      </c>
      <c r="G597" s="7"/>
      <c r="H597" s="53"/>
      <c r="I597" s="5">
        <f>IF(FINANCIACION[[#This Row],[$ CAPITAL]]&gt;0,FINANCIACION[[#This Row],[$ CAPITAL]])</f>
        <v>3748005.3799999952</v>
      </c>
      <c r="J597" s="33">
        <f>IF(FINANCIACION[[#This Row],[$ CAPITAL]]&gt;=0,FINANCIACION[[#This Row],[$ CAPITAL]]+FINANCIACION[[#This Row],[$ INTERESES]],0)</f>
        <v>3767000</v>
      </c>
    </row>
    <row r="598" spans="1:10" ht="24" hidden="1" customHeight="1" x14ac:dyDescent="0.3">
      <c r="A598" s="131">
        <v>44340</v>
      </c>
      <c r="B598" s="50" t="s">
        <v>535</v>
      </c>
      <c r="C598" s="5">
        <v>1251291.4899999984</v>
      </c>
      <c r="D598" s="5">
        <v>5708.5100000016391</v>
      </c>
      <c r="E598" s="5">
        <f>+IF(FINANCIACION[[#This Row],[$ CAPITAL]]&gt;=0,FINANCIACION[[#This Row],[$ CAPITAL]]+FINANCIACION[[#This Row],[$ INTERESES]],"")</f>
        <v>1257000</v>
      </c>
      <c r="F598" s="5">
        <f>+SUMIFS(FINANCIACION[$ CAPITAL],FINANCIACION[Fecha],"&lt;="&amp;FINANCIACION[[#This Row],[Fecha]],FINANCIACION[PRESTAMO],FINANCIACION[[#This Row],[PRESTAMO]])</f>
        <v>-74228675.440000057</v>
      </c>
      <c r="G598" s="7"/>
      <c r="H598" s="53"/>
      <c r="I598" s="5">
        <f>IF(FINANCIACION[[#This Row],[$ CAPITAL]]&gt;0,FINANCIACION[[#This Row],[$ CAPITAL]])</f>
        <v>1251291.4899999984</v>
      </c>
      <c r="J598" s="8">
        <f>IF(FINANCIACION[[#This Row],[$ CAPITAL]]&gt;=0,FINANCIACION[[#This Row],[$ CAPITAL]]+FINANCIACION[[#This Row],[$ INTERESES]],0)</f>
        <v>1257000</v>
      </c>
    </row>
    <row r="599" spans="1:10" ht="24" hidden="1" customHeight="1" x14ac:dyDescent="0.3">
      <c r="A599" s="131">
        <v>44340</v>
      </c>
      <c r="B599" s="50" t="s">
        <v>535</v>
      </c>
      <c r="C599" s="5">
        <v>7476380</v>
      </c>
      <c r="D599" s="5"/>
      <c r="E599" s="5">
        <f>+IF(FINANCIACION[[#This Row],[$ CAPITAL]]&gt;=0,FINANCIACION[[#This Row],[$ CAPITAL]]+FINANCIACION[[#This Row],[$ INTERESES]],"")</f>
        <v>7476380</v>
      </c>
      <c r="F599" s="5">
        <f>+SUMIFS(FINANCIACION[$ CAPITAL],FINANCIACION[Fecha],"&lt;="&amp;FINANCIACION[[#This Row],[Fecha]],FINANCIACION[PRESTAMO],FINANCIACION[[#This Row],[PRESTAMO]])</f>
        <v>-74228675.440000057</v>
      </c>
      <c r="G599" s="7"/>
      <c r="H599" s="53"/>
      <c r="I599" s="5">
        <f>IF(FINANCIACION[[#This Row],[$ CAPITAL]]&gt;0,FINANCIACION[[#This Row],[$ CAPITAL]])</f>
        <v>7476380</v>
      </c>
      <c r="J599" s="33">
        <f>IF(FINANCIACION[[#This Row],[$ CAPITAL]]&gt;=0,FINANCIACION[[#This Row],[$ CAPITAL]]+FINANCIACION[[#This Row],[$ INTERESES]],0)</f>
        <v>7476380</v>
      </c>
    </row>
    <row r="600" spans="1:10" ht="24" hidden="1" customHeight="1" x14ac:dyDescent="0.3">
      <c r="A600" s="131">
        <v>44340</v>
      </c>
      <c r="B600" s="50" t="s">
        <v>535</v>
      </c>
      <c r="C600" s="5">
        <v>1508582.7400000021</v>
      </c>
      <c r="D600" s="5">
        <v>6417.2599999979138</v>
      </c>
      <c r="E600" s="5">
        <f>+IF(FINANCIACION[[#This Row],[$ CAPITAL]]&gt;=0,FINANCIACION[[#This Row],[$ CAPITAL]]+FINANCIACION[[#This Row],[$ INTERESES]],"")</f>
        <v>1515000</v>
      </c>
      <c r="F600" s="5">
        <f>+SUMIFS(FINANCIACION[$ CAPITAL],FINANCIACION[Fecha],"&lt;="&amp;FINANCIACION[[#This Row],[Fecha]],FINANCIACION[PRESTAMO],FINANCIACION[[#This Row],[PRESTAMO]])</f>
        <v>-74228675.440000057</v>
      </c>
      <c r="G600" s="7"/>
      <c r="H600" s="53"/>
      <c r="I600" s="5">
        <f>IF(FINANCIACION[[#This Row],[$ CAPITAL]]&gt;0,FINANCIACION[[#This Row],[$ CAPITAL]])</f>
        <v>1508582.7400000021</v>
      </c>
      <c r="J600" s="33">
        <f>IF(FINANCIACION[[#This Row],[$ CAPITAL]]&gt;=0,FINANCIACION[[#This Row],[$ CAPITAL]]+FINANCIACION[[#This Row],[$ INTERESES]],0)</f>
        <v>1515000</v>
      </c>
    </row>
    <row r="601" spans="1:10" ht="24" hidden="1" customHeight="1" x14ac:dyDescent="0.3">
      <c r="A601" s="131">
        <v>44341</v>
      </c>
      <c r="B601" s="50" t="s">
        <v>535</v>
      </c>
      <c r="C601" s="5"/>
      <c r="D601" s="5">
        <v>120000</v>
      </c>
      <c r="E601" s="5">
        <f>+IF(FINANCIACION[[#This Row],[$ CAPITAL]]&gt;=0,FINANCIACION[[#This Row],[$ CAPITAL]]+FINANCIACION[[#This Row],[$ INTERESES]],"")</f>
        <v>120000</v>
      </c>
      <c r="F601" s="5">
        <f>+SUMIFS(FINANCIACION[$ CAPITAL],FINANCIACION[Fecha],"&lt;="&amp;FINANCIACION[[#This Row],[Fecha]],FINANCIACION[PRESTAMO],FINANCIACION[[#This Row],[PRESTAMO]])</f>
        <v>-73770460.701400056</v>
      </c>
      <c r="G601" s="7"/>
      <c r="H601" s="53"/>
      <c r="I601" s="5" t="b">
        <f>IF(FINANCIACION[[#This Row],[$ CAPITAL]]&gt;0,FINANCIACION[[#This Row],[$ CAPITAL]])</f>
        <v>0</v>
      </c>
      <c r="J601" s="8">
        <f>IF(FINANCIACION[[#This Row],[$ CAPITAL]]&gt;=0,FINANCIACION[[#This Row],[$ CAPITAL]]+FINANCIACION[[#This Row],[$ INTERESES]],0)</f>
        <v>120000</v>
      </c>
    </row>
    <row r="602" spans="1:10" ht="24" hidden="1" customHeight="1" x14ac:dyDescent="0.3">
      <c r="A602" s="131">
        <v>44341</v>
      </c>
      <c r="B602" s="50" t="s">
        <v>535</v>
      </c>
      <c r="C602" s="5"/>
      <c r="D602" s="5">
        <v>220000</v>
      </c>
      <c r="E602" s="5">
        <f>+IF(FINANCIACION[[#This Row],[$ CAPITAL]]&gt;=0,FINANCIACION[[#This Row],[$ CAPITAL]]+FINANCIACION[[#This Row],[$ INTERESES]],"")</f>
        <v>220000</v>
      </c>
      <c r="F602" s="5">
        <f>+SUMIFS(FINANCIACION[$ CAPITAL],FINANCIACION[Fecha],"&lt;="&amp;FINANCIACION[[#This Row],[Fecha]],FINANCIACION[PRESTAMO],FINANCIACION[[#This Row],[PRESTAMO]])</f>
        <v>-73770460.701400056</v>
      </c>
      <c r="G602" s="7"/>
      <c r="H602" s="53"/>
      <c r="I602" s="5" t="b">
        <f>IF(FINANCIACION[[#This Row],[$ CAPITAL]]&gt;0,FINANCIACION[[#This Row],[$ CAPITAL]])</f>
        <v>0</v>
      </c>
      <c r="J602" s="8">
        <f>IF(FINANCIACION[[#This Row],[$ CAPITAL]]&gt;=0,FINANCIACION[[#This Row],[$ CAPITAL]]+FINANCIACION[[#This Row],[$ INTERESES]],0)</f>
        <v>220000</v>
      </c>
    </row>
    <row r="603" spans="1:10" ht="24" hidden="1" customHeight="1" x14ac:dyDescent="0.3">
      <c r="A603" s="131">
        <v>44341</v>
      </c>
      <c r="B603" s="50" t="s">
        <v>535</v>
      </c>
      <c r="C603" s="5">
        <v>458214.73859999992</v>
      </c>
      <c r="D603" s="5">
        <v>741785.26140000008</v>
      </c>
      <c r="E603" s="5">
        <f>+IF(FINANCIACION[[#This Row],[$ CAPITAL]]&gt;=0,FINANCIACION[[#This Row],[$ CAPITAL]]+FINANCIACION[[#This Row],[$ INTERESES]],"")</f>
        <v>1200000</v>
      </c>
      <c r="F603" s="5">
        <f>+SUMIFS(FINANCIACION[$ CAPITAL],FINANCIACION[Fecha],"&lt;="&amp;FINANCIACION[[#This Row],[Fecha]],FINANCIACION[PRESTAMO],FINANCIACION[[#This Row],[PRESTAMO]])</f>
        <v>-73770460.701400056</v>
      </c>
      <c r="G603" s="7"/>
      <c r="H603" s="53"/>
      <c r="I603" s="5">
        <f>IF(FINANCIACION[[#This Row],[$ CAPITAL]]&gt;0,FINANCIACION[[#This Row],[$ CAPITAL]])</f>
        <v>458214.73859999992</v>
      </c>
      <c r="J603" s="8">
        <f>IF(FINANCIACION[[#This Row],[$ CAPITAL]]&gt;=0,FINANCIACION[[#This Row],[$ CAPITAL]]+FINANCIACION[[#This Row],[$ INTERESES]],0)</f>
        <v>1200000</v>
      </c>
    </row>
    <row r="604" spans="1:10" ht="24" hidden="1" customHeight="1" x14ac:dyDescent="0.3">
      <c r="A604" s="131">
        <v>44343</v>
      </c>
      <c r="B604" s="50" t="s">
        <v>535</v>
      </c>
      <c r="C604" s="5">
        <v>1000000</v>
      </c>
      <c r="D604" s="5"/>
      <c r="E604" s="5">
        <f>+IF(FINANCIACION[[#This Row],[$ CAPITAL]]&gt;=0,FINANCIACION[[#This Row],[$ CAPITAL]]+FINANCIACION[[#This Row],[$ INTERESES]],"")</f>
        <v>1000000</v>
      </c>
      <c r="F604" s="5">
        <f>+SUMIFS(FINANCIACION[$ CAPITAL],FINANCIACION[Fecha],"&lt;="&amp;FINANCIACION[[#This Row],[Fecha]],FINANCIACION[PRESTAMO],FINANCIACION[[#This Row],[PRESTAMO]])</f>
        <v>-72770460.701400056</v>
      </c>
      <c r="G604" s="7"/>
      <c r="H604" s="53"/>
      <c r="I604" s="5">
        <f>IF(FINANCIACION[[#This Row],[$ CAPITAL]]&gt;0,FINANCIACION[[#This Row],[$ CAPITAL]])</f>
        <v>1000000</v>
      </c>
      <c r="J604" s="8">
        <f>IF(FINANCIACION[[#This Row],[$ CAPITAL]]&gt;=0,FINANCIACION[[#This Row],[$ CAPITAL]]+FINANCIACION[[#This Row],[$ INTERESES]],0)</f>
        <v>1000000</v>
      </c>
    </row>
    <row r="605" spans="1:10" ht="24" hidden="1" customHeight="1" x14ac:dyDescent="0.3">
      <c r="A605" s="131">
        <v>44344</v>
      </c>
      <c r="B605" s="50" t="s">
        <v>536</v>
      </c>
      <c r="C605" s="5">
        <v>706192</v>
      </c>
      <c r="D605" s="5">
        <v>593808</v>
      </c>
      <c r="E605" s="5">
        <f>+IF(FINANCIACION[[#This Row],[$ CAPITAL]]&gt;=0,FINANCIACION[[#This Row],[$ CAPITAL]]+FINANCIACION[[#This Row],[$ INTERESES]],"")</f>
        <v>1300000</v>
      </c>
      <c r="F605" s="5">
        <f>+SUMIFS(FINANCIACION[$ CAPITAL],FINANCIACION[Fecha],"&lt;="&amp;FINANCIACION[[#This Row],[Fecha]],FINANCIACION[PRESTAMO],FINANCIACION[[#This Row],[PRESTAMO]])</f>
        <v>-58674608</v>
      </c>
      <c r="G605" s="7"/>
      <c r="H605" s="53"/>
      <c r="I605" s="5">
        <f>IF(FINANCIACION[[#This Row],[$ CAPITAL]]&gt;0,FINANCIACION[[#This Row],[$ CAPITAL]])</f>
        <v>706192</v>
      </c>
      <c r="J605" s="8">
        <f>IF(FINANCIACION[[#This Row],[$ CAPITAL]]&gt;=0,FINANCIACION[[#This Row],[$ CAPITAL]]+FINANCIACION[[#This Row],[$ INTERESES]],0)</f>
        <v>1300000</v>
      </c>
    </row>
    <row r="606" spans="1:10" ht="24" hidden="1" customHeight="1" x14ac:dyDescent="0.3">
      <c r="A606" s="131">
        <v>44344</v>
      </c>
      <c r="B606" s="50" t="s">
        <v>535</v>
      </c>
      <c r="C606" s="5">
        <v>1100000</v>
      </c>
      <c r="D606" s="5">
        <v>200000</v>
      </c>
      <c r="E606" s="5">
        <f>+IF(FINANCIACION[[#This Row],[$ CAPITAL]]&gt;=0,FINANCIACION[[#This Row],[$ CAPITAL]]+FINANCIACION[[#This Row],[$ INTERESES]],"")</f>
        <v>1300000</v>
      </c>
      <c r="F606" s="5">
        <f>+SUMIFS(FINANCIACION[$ CAPITAL],FINANCIACION[Fecha],"&lt;="&amp;FINANCIACION[[#This Row],[Fecha]],FINANCIACION[PRESTAMO],FINANCIACION[[#This Row],[PRESTAMO]])</f>
        <v>-71670460.701400056</v>
      </c>
      <c r="G606" s="7"/>
      <c r="H606" s="53"/>
      <c r="I606" s="5">
        <f>IF(FINANCIACION[[#This Row],[$ CAPITAL]]&gt;0,FINANCIACION[[#This Row],[$ CAPITAL]])</f>
        <v>1100000</v>
      </c>
      <c r="J606" s="8">
        <f>IF(FINANCIACION[[#This Row],[$ CAPITAL]]&gt;=0,FINANCIACION[[#This Row],[$ CAPITAL]]+FINANCIACION[[#This Row],[$ INTERESES]],0)</f>
        <v>1300000</v>
      </c>
    </row>
    <row r="607" spans="1:10" ht="24" hidden="1" customHeight="1" x14ac:dyDescent="0.3">
      <c r="A607" s="131">
        <v>44346</v>
      </c>
      <c r="B607" s="50" t="s">
        <v>150</v>
      </c>
      <c r="C607" s="5">
        <v>6309583.1000000015</v>
      </c>
      <c r="D607" s="5"/>
      <c r="E607" s="5">
        <f>+IF(FINANCIACION[[#This Row],[$ CAPITAL]]&gt;=0,FINANCIACION[[#This Row],[$ CAPITAL]]+FINANCIACION[[#This Row],[$ INTERESES]],"")</f>
        <v>6309583.1000000015</v>
      </c>
      <c r="F607" s="5">
        <f>+SUMIFS(FINANCIACION[$ CAPITAL],FINANCIACION[Fecha],"&lt;="&amp;FINANCIACION[[#This Row],[Fecha]],FINANCIACION[PRESTAMO],FINANCIACION[[#This Row],[PRESTAMO]])</f>
        <v>-54039126</v>
      </c>
      <c r="G607" s="7" t="s">
        <v>170</v>
      </c>
      <c r="H607" s="53"/>
      <c r="I607" s="5">
        <f>IF(FINANCIACION[[#This Row],[$ CAPITAL]]&gt;0,FINANCIACION[[#This Row],[$ CAPITAL]])</f>
        <v>6309583.1000000015</v>
      </c>
      <c r="J607" s="8">
        <f>IF(FINANCIACION[[#This Row],[$ CAPITAL]]&gt;=0,FINANCIACION[[#This Row],[$ CAPITAL]]+FINANCIACION[[#This Row],[$ INTERESES]],0)</f>
        <v>6309583.1000000015</v>
      </c>
    </row>
    <row r="608" spans="1:10" ht="24" hidden="1" customHeight="1" x14ac:dyDescent="0.3">
      <c r="A608" s="131">
        <v>44346</v>
      </c>
      <c r="B608" s="50" t="s">
        <v>546</v>
      </c>
      <c r="C608" s="5">
        <v>-26031901.309999999</v>
      </c>
      <c r="D608" s="5"/>
      <c r="E608" s="5" t="str">
        <f>+IF(FINANCIACION[[#This Row],[$ CAPITAL]]&gt;=0,FINANCIACION[[#This Row],[$ CAPITAL]]+FINANCIACION[[#This Row],[$ INTERESES]],"")</f>
        <v/>
      </c>
      <c r="F608" s="5">
        <f>+SUMIFS(FINANCIACION[$ CAPITAL],FINANCIACION[Fecha],"&lt;="&amp;FINANCIACION[[#This Row],[Fecha]],FINANCIACION[PRESTAMO],FINANCIACION[[#This Row],[PRESTAMO]])</f>
        <v>-26031901.309999999</v>
      </c>
      <c r="G608" s="7" t="s">
        <v>170</v>
      </c>
      <c r="H608" s="53"/>
      <c r="I608" s="5" t="b">
        <f>IF(FINANCIACION[[#This Row],[$ CAPITAL]]&gt;0,FINANCIACION[[#This Row],[$ CAPITAL]])</f>
        <v>0</v>
      </c>
      <c r="J608" s="8">
        <f>IF(FINANCIACION[[#This Row],[$ CAPITAL]]&gt;=0,FINANCIACION[[#This Row],[$ CAPITAL]]+FINANCIACION[[#This Row],[$ INTERESES]],0)</f>
        <v>0</v>
      </c>
    </row>
    <row r="609" spans="1:10" ht="24" hidden="1" customHeight="1" x14ac:dyDescent="0.3">
      <c r="A609" s="131">
        <v>44346</v>
      </c>
      <c r="B609" s="50" t="s">
        <v>540</v>
      </c>
      <c r="C609" s="5">
        <v>-274364.74000000209</v>
      </c>
      <c r="D609" s="5"/>
      <c r="E609" s="5" t="str">
        <f>+IF(FINANCIACION[[#This Row],[$ CAPITAL]]&gt;=0,FINANCIACION[[#This Row],[$ CAPITAL]]+FINANCIACION[[#This Row],[$ INTERESES]],"")</f>
        <v/>
      </c>
      <c r="F609" s="5">
        <f>+SUMIFS(FINANCIACION[$ CAPITAL],FINANCIACION[Fecha],"&lt;="&amp;FINANCIACION[[#This Row],[Fecha]],FINANCIACION[PRESTAMO],FINANCIACION[[#This Row],[PRESTAMO]])</f>
        <v>-22282101.91</v>
      </c>
      <c r="G609" s="7" t="s">
        <v>170</v>
      </c>
      <c r="H609" s="53"/>
      <c r="I609" s="5" t="b">
        <f>IF(FINANCIACION[[#This Row],[$ CAPITAL]]&gt;0,FINANCIACION[[#This Row],[$ CAPITAL]])</f>
        <v>0</v>
      </c>
      <c r="J609" s="8">
        <f>IF(FINANCIACION[[#This Row],[$ CAPITAL]]&gt;=0,FINANCIACION[[#This Row],[$ CAPITAL]]+FINANCIACION[[#This Row],[$ INTERESES]],0)</f>
        <v>0</v>
      </c>
    </row>
    <row r="610" spans="1:10" ht="24" hidden="1" customHeight="1" x14ac:dyDescent="0.3">
      <c r="A610" s="131">
        <v>44346</v>
      </c>
      <c r="B610" s="50" t="s">
        <v>542</v>
      </c>
      <c r="C610" s="5">
        <v>-137423.60000000149</v>
      </c>
      <c r="D610" s="5"/>
      <c r="E610" s="5" t="str">
        <f>+IF(FINANCIACION[[#This Row],[$ CAPITAL]]&gt;=0,FINANCIACION[[#This Row],[$ CAPITAL]]+FINANCIACION[[#This Row],[$ INTERESES]],"")</f>
        <v/>
      </c>
      <c r="F610" s="5">
        <f>+SUMIFS(FINANCIACION[$ CAPITAL],FINANCIACION[Fecha],"&lt;="&amp;FINANCIACION[[#This Row],[Fecha]],FINANCIACION[PRESTAMO],FINANCIACION[[#This Row],[PRESTAMO]])</f>
        <v>-24272072.600000001</v>
      </c>
      <c r="G610" s="7" t="s">
        <v>170</v>
      </c>
      <c r="H610" s="53"/>
      <c r="I610" s="5" t="b">
        <f>IF(FINANCIACION[[#This Row],[$ CAPITAL]]&gt;0,FINANCIACION[[#This Row],[$ CAPITAL]])</f>
        <v>0</v>
      </c>
      <c r="J610" s="8">
        <f>IF(FINANCIACION[[#This Row],[$ CAPITAL]]&gt;=0,FINANCIACION[[#This Row],[$ CAPITAL]]+FINANCIACION[[#This Row],[$ INTERESES]],0)</f>
        <v>0</v>
      </c>
    </row>
    <row r="611" spans="1:10" ht="24" hidden="1" customHeight="1" x14ac:dyDescent="0.3">
      <c r="A611" s="131">
        <v>44346</v>
      </c>
      <c r="B611" s="50" t="s">
        <v>538</v>
      </c>
      <c r="C611" s="5">
        <v>-675338.46000000834</v>
      </c>
      <c r="D611" s="5"/>
      <c r="E611" s="5" t="str">
        <f>+IF(FINANCIACION[[#This Row],[$ CAPITAL]]&gt;=0,FINANCIACION[[#This Row],[$ CAPITAL]]+FINANCIACION[[#This Row],[$ INTERESES]],"")</f>
        <v/>
      </c>
      <c r="F611" s="5">
        <f>+SUMIFS(FINANCIACION[$ CAPITAL],FINANCIACION[Fecha],"&lt;="&amp;FINANCIACION[[#This Row],[Fecha]],FINANCIACION[PRESTAMO],FINANCIACION[[#This Row],[PRESTAMO]])</f>
        <v>-54818487.120000005</v>
      </c>
      <c r="G611" s="7" t="s">
        <v>170</v>
      </c>
      <c r="H611" s="53"/>
      <c r="I611" s="5" t="b">
        <f>IF(FINANCIACION[[#This Row],[$ CAPITAL]]&gt;0,FINANCIACION[[#This Row],[$ CAPITAL]])</f>
        <v>0</v>
      </c>
      <c r="J611" s="8">
        <f>IF(FINANCIACION[[#This Row],[$ CAPITAL]]&gt;=0,FINANCIACION[[#This Row],[$ CAPITAL]]+FINANCIACION[[#This Row],[$ INTERESES]],0)</f>
        <v>0</v>
      </c>
    </row>
    <row r="612" spans="1:10" ht="24" hidden="1" customHeight="1" x14ac:dyDescent="0.3">
      <c r="A612" s="131">
        <v>44346</v>
      </c>
      <c r="B612" s="50" t="s">
        <v>539</v>
      </c>
      <c r="C612" s="5">
        <v>-1092235.3799999803</v>
      </c>
      <c r="D612" s="5"/>
      <c r="E612" s="5" t="str">
        <f>+IF(FINANCIACION[[#This Row],[$ CAPITAL]]&gt;=0,FINANCIACION[[#This Row],[$ CAPITAL]]+FINANCIACION[[#This Row],[$ INTERESES]],"")</f>
        <v/>
      </c>
      <c r="F612" s="5">
        <f>+SUMIFS(FINANCIACION[$ CAPITAL],FINANCIACION[Fecha],"&lt;="&amp;FINANCIACION[[#This Row],[Fecha]],FINANCIACION[PRESTAMO],FINANCIACION[[#This Row],[PRESTAMO]])</f>
        <v>-79567204.679999992</v>
      </c>
      <c r="G612" s="7" t="s">
        <v>170</v>
      </c>
      <c r="H612" s="53"/>
      <c r="I612" s="5" t="b">
        <f>IF(FINANCIACION[[#This Row],[$ CAPITAL]]&gt;0,FINANCIACION[[#This Row],[$ CAPITAL]])</f>
        <v>0</v>
      </c>
      <c r="J612" s="8">
        <f>IF(FINANCIACION[[#This Row],[$ CAPITAL]]&gt;=0,FINANCIACION[[#This Row],[$ CAPITAL]]+FINANCIACION[[#This Row],[$ INTERESES]],0)</f>
        <v>0</v>
      </c>
    </row>
    <row r="613" spans="1:10" ht="24" hidden="1" customHeight="1" x14ac:dyDescent="0.3">
      <c r="A613" s="131">
        <v>44346</v>
      </c>
      <c r="B613" s="50" t="s">
        <v>534</v>
      </c>
      <c r="C613" s="5">
        <v>-7131410</v>
      </c>
      <c r="D613" s="5"/>
      <c r="E613" s="5" t="str">
        <f>+IF(FINANCIACION[[#This Row],[$ CAPITAL]]&gt;=0,FINANCIACION[[#This Row],[$ CAPITAL]]+FINANCIACION[[#This Row],[$ INTERESES]],"")</f>
        <v/>
      </c>
      <c r="F613" s="5">
        <f>+SUMIFS(FINANCIACION[$ CAPITAL],FINANCIACION[Fecha],"&lt;="&amp;FINANCIACION[[#This Row],[Fecha]],FINANCIACION[PRESTAMO],FINANCIACION[[#This Row],[PRESTAMO]])</f>
        <v>-356058032</v>
      </c>
      <c r="G613" s="7" t="s">
        <v>170</v>
      </c>
      <c r="H613" s="53"/>
      <c r="I613" s="5" t="b">
        <f>IF(FINANCIACION[[#This Row],[$ CAPITAL]]&gt;0,FINANCIACION[[#This Row],[$ CAPITAL]])</f>
        <v>0</v>
      </c>
      <c r="J613" s="8">
        <f>IF(FINANCIACION[[#This Row],[$ CAPITAL]]&gt;=0,FINANCIACION[[#This Row],[$ CAPITAL]]+FINANCIACION[[#This Row],[$ INTERESES]],0)</f>
        <v>0</v>
      </c>
    </row>
    <row r="614" spans="1:10" ht="24" hidden="1" customHeight="1" x14ac:dyDescent="0.3">
      <c r="A614" s="131">
        <v>44346</v>
      </c>
      <c r="B614" s="50" t="s">
        <v>535</v>
      </c>
      <c r="C614" s="5">
        <v>-2409465</v>
      </c>
      <c r="D614" s="5"/>
      <c r="E614" s="5" t="str">
        <f>+IF(FINANCIACION[[#This Row],[$ CAPITAL]]&gt;=0,FINANCIACION[[#This Row],[$ CAPITAL]]+FINANCIACION[[#This Row],[$ INTERESES]],"")</f>
        <v/>
      </c>
      <c r="F614" s="5">
        <f>+SUMIFS(FINANCIACION[$ CAPITAL],FINANCIACION[Fecha],"&lt;="&amp;FINANCIACION[[#This Row],[Fecha]],FINANCIACION[PRESTAMO],FINANCIACION[[#This Row],[PRESTAMO]])</f>
        <v>-51434041.962125674</v>
      </c>
      <c r="G614" s="7"/>
      <c r="H614" s="53"/>
      <c r="I614" s="5" t="b">
        <f>IF(FINANCIACION[[#This Row],[$ CAPITAL]]&gt;0,FINANCIACION[[#This Row],[$ CAPITAL]])</f>
        <v>0</v>
      </c>
      <c r="J614" s="8">
        <f>IF(FINANCIACION[[#This Row],[$ CAPITAL]]&gt;=0,FINANCIACION[[#This Row],[$ CAPITAL]]+FINANCIACION[[#This Row],[$ INTERESES]],0)</f>
        <v>0</v>
      </c>
    </row>
    <row r="615" spans="1:10" ht="24" hidden="1" customHeight="1" x14ac:dyDescent="0.3">
      <c r="A615" s="131">
        <v>44346</v>
      </c>
      <c r="B615" s="50" t="s">
        <v>535</v>
      </c>
      <c r="C615" s="5">
        <v>-21292270</v>
      </c>
      <c r="D615" s="5"/>
      <c r="E615" s="5" t="str">
        <f>+IF(FINANCIACION[[#This Row],[$ CAPITAL]]&gt;=0,FINANCIACION[[#This Row],[$ CAPITAL]]+FINANCIACION[[#This Row],[$ INTERESES]],"")</f>
        <v/>
      </c>
      <c r="F615" s="5">
        <f>+SUMIFS(FINANCIACION[$ CAPITAL],FINANCIACION[Fecha],"&lt;="&amp;FINANCIACION[[#This Row],[Fecha]],FINANCIACION[PRESTAMO],FINANCIACION[[#This Row],[PRESTAMO]])</f>
        <v>-51434041.962125674</v>
      </c>
      <c r="G615" s="7"/>
      <c r="H615" s="53"/>
      <c r="I615" s="5" t="b">
        <f>IF(FINANCIACION[[#This Row],[$ CAPITAL]]&gt;0,FINANCIACION[[#This Row],[$ CAPITAL]])</f>
        <v>0</v>
      </c>
      <c r="J615" s="8">
        <f>IF(FINANCIACION[[#This Row],[$ CAPITAL]]&gt;=0,FINANCIACION[[#This Row],[$ CAPITAL]]+FINANCIACION[[#This Row],[$ INTERESES]],0)</f>
        <v>0</v>
      </c>
    </row>
    <row r="616" spans="1:10" ht="24" hidden="1" customHeight="1" x14ac:dyDescent="0.3">
      <c r="A616" s="131">
        <v>44346</v>
      </c>
      <c r="B616" s="50" t="s">
        <v>535</v>
      </c>
      <c r="C616" s="5">
        <v>-5989831</v>
      </c>
      <c r="D616" s="5"/>
      <c r="E616" s="5" t="str">
        <f>+IF(FINANCIACION[[#This Row],[$ CAPITAL]]&gt;=0,FINANCIACION[[#This Row],[$ CAPITAL]]+FINANCIACION[[#This Row],[$ INTERESES]],"")</f>
        <v/>
      </c>
      <c r="F616" s="5">
        <f>+SUMIFS(FINANCIACION[$ CAPITAL],FINANCIACION[Fecha],"&lt;="&amp;FINANCIACION[[#This Row],[Fecha]],FINANCIACION[PRESTAMO],FINANCIACION[[#This Row],[PRESTAMO]])</f>
        <v>-51434041.962125674</v>
      </c>
      <c r="G616" s="7"/>
      <c r="H616" s="53"/>
      <c r="I616" s="5" t="b">
        <f>IF(FINANCIACION[[#This Row],[$ CAPITAL]]&gt;0,FINANCIACION[[#This Row],[$ CAPITAL]])</f>
        <v>0</v>
      </c>
      <c r="J616" s="8">
        <f>IF(FINANCIACION[[#This Row],[$ CAPITAL]]&gt;=0,FINANCIACION[[#This Row],[$ CAPITAL]]+FINANCIACION[[#This Row],[$ INTERESES]],0)</f>
        <v>0</v>
      </c>
    </row>
    <row r="617" spans="1:10" ht="24" hidden="1" customHeight="1" x14ac:dyDescent="0.3">
      <c r="A617" s="131">
        <v>44346</v>
      </c>
      <c r="B617" s="50" t="s">
        <v>535</v>
      </c>
      <c r="C617" s="5">
        <v>1130115</v>
      </c>
      <c r="D617" s="5"/>
      <c r="E617" s="5">
        <f>+IF(FINANCIACION[[#This Row],[$ CAPITAL]]&gt;=0,FINANCIACION[[#This Row],[$ CAPITAL]]+FINANCIACION[[#This Row],[$ INTERESES]],"")</f>
        <v>1130115</v>
      </c>
      <c r="F617" s="5">
        <f>+SUMIFS(FINANCIACION[$ CAPITAL],FINANCIACION[Fecha],"&lt;="&amp;FINANCIACION[[#This Row],[Fecha]],FINANCIACION[PRESTAMO],FINANCIACION[[#This Row],[PRESTAMO]])</f>
        <v>-51434041.962125674</v>
      </c>
      <c r="G617" s="7"/>
      <c r="H617" s="53"/>
      <c r="I617" s="5">
        <f>IF(FINANCIACION[[#This Row],[$ CAPITAL]]&gt;0,FINANCIACION[[#This Row],[$ CAPITAL]])</f>
        <v>1130115</v>
      </c>
      <c r="J617" s="8">
        <f>IF(FINANCIACION[[#This Row],[$ CAPITAL]]&gt;=0,FINANCIACION[[#This Row],[$ CAPITAL]]+FINANCIACION[[#This Row],[$ INTERESES]],0)</f>
        <v>1130115</v>
      </c>
    </row>
    <row r="618" spans="1:10" ht="24" hidden="1" customHeight="1" x14ac:dyDescent="0.3">
      <c r="A618" s="131">
        <v>44346</v>
      </c>
      <c r="B618" s="50" t="s">
        <v>535</v>
      </c>
      <c r="C618" s="5">
        <v>2575168</v>
      </c>
      <c r="D618" s="5"/>
      <c r="E618" s="5">
        <f>+IF(FINANCIACION[[#This Row],[$ CAPITAL]]&gt;=0,FINANCIACION[[#This Row],[$ CAPITAL]]+FINANCIACION[[#This Row],[$ INTERESES]],"")</f>
        <v>2575168</v>
      </c>
      <c r="F618" s="5">
        <f>+SUMIFS(FINANCIACION[$ CAPITAL],FINANCIACION[Fecha],"&lt;="&amp;FINANCIACION[[#This Row],[Fecha]],FINANCIACION[PRESTAMO],FINANCIACION[[#This Row],[PRESTAMO]])</f>
        <v>-51434041.962125674</v>
      </c>
      <c r="G618" s="7"/>
      <c r="H618" s="53"/>
      <c r="I618" s="5">
        <f>IF(FINANCIACION[[#This Row],[$ CAPITAL]]&gt;0,FINANCIACION[[#This Row],[$ CAPITAL]])</f>
        <v>2575168</v>
      </c>
      <c r="J618" s="8">
        <f>IF(FINANCIACION[[#This Row],[$ CAPITAL]]&gt;=0,FINANCIACION[[#This Row],[$ CAPITAL]]+FINANCIACION[[#This Row],[$ INTERESES]],0)</f>
        <v>2575168</v>
      </c>
    </row>
    <row r="619" spans="1:10" ht="24" hidden="1" customHeight="1" x14ac:dyDescent="0.3">
      <c r="A619" s="131">
        <v>44346</v>
      </c>
      <c r="B619" s="50" t="s">
        <v>535</v>
      </c>
      <c r="C619" s="5">
        <v>1498393</v>
      </c>
      <c r="D619" s="5"/>
      <c r="E619" s="5">
        <f>+IF(FINANCIACION[[#This Row],[$ CAPITAL]]&gt;=0,FINANCIACION[[#This Row],[$ CAPITAL]]+FINANCIACION[[#This Row],[$ INTERESES]],"")</f>
        <v>1498393</v>
      </c>
      <c r="F619" s="5">
        <f>+SUMIFS(FINANCIACION[$ CAPITAL],FINANCIACION[Fecha],"&lt;="&amp;FINANCIACION[[#This Row],[Fecha]],FINANCIACION[PRESTAMO],FINANCIACION[[#This Row],[PRESTAMO]])</f>
        <v>-51434041.962125674</v>
      </c>
      <c r="G619" s="7"/>
      <c r="H619" s="53"/>
      <c r="I619" s="5">
        <f>IF(FINANCIACION[[#This Row],[$ CAPITAL]]&gt;0,FINANCIACION[[#This Row],[$ CAPITAL]])</f>
        <v>1498393</v>
      </c>
      <c r="J619" s="8">
        <f>IF(FINANCIACION[[#This Row],[$ CAPITAL]]&gt;=0,FINANCIACION[[#This Row],[$ CAPITAL]]+FINANCIACION[[#This Row],[$ INTERESES]],0)</f>
        <v>1498393</v>
      </c>
    </row>
    <row r="620" spans="1:10" ht="24" hidden="1" customHeight="1" x14ac:dyDescent="0.3">
      <c r="A620" s="131">
        <v>44346</v>
      </c>
      <c r="B620" s="50" t="s">
        <v>535</v>
      </c>
      <c r="C620" s="5">
        <v>44724308.739274383</v>
      </c>
      <c r="D620" s="5"/>
      <c r="E620" s="5">
        <f>+IF(FINANCIACION[[#This Row],[$ CAPITAL]]&gt;=0,FINANCIACION[[#This Row],[$ CAPITAL]]+FINANCIACION[[#This Row],[$ INTERESES]],"")</f>
        <v>44724308.739274383</v>
      </c>
      <c r="F620" s="5">
        <f>+SUMIFS(FINANCIACION[$ CAPITAL],FINANCIACION[Fecha],"&lt;="&amp;FINANCIACION[[#This Row],[Fecha]],FINANCIACION[PRESTAMO],FINANCIACION[[#This Row],[PRESTAMO]])</f>
        <v>-51434041.962125674</v>
      </c>
      <c r="G620" s="7" t="s">
        <v>170</v>
      </c>
      <c r="H620" s="53"/>
      <c r="I620" s="5">
        <f>IF(FINANCIACION[[#This Row],[$ CAPITAL]]&gt;0,FINANCIACION[[#This Row],[$ CAPITAL]])</f>
        <v>44724308.739274383</v>
      </c>
      <c r="J620" s="8">
        <f>IF(FINANCIACION[[#This Row],[$ CAPITAL]]&gt;=0,FINANCIACION[[#This Row],[$ CAPITAL]]+FINANCIACION[[#This Row],[$ INTERESES]],0)</f>
        <v>44724308.739274383</v>
      </c>
    </row>
    <row r="621" spans="1:10" ht="24" hidden="1" customHeight="1" x14ac:dyDescent="0.3">
      <c r="A621" s="131">
        <v>44346</v>
      </c>
      <c r="B621" s="50" t="s">
        <v>154</v>
      </c>
      <c r="C621" s="5">
        <v>936000</v>
      </c>
      <c r="D621" s="5"/>
      <c r="E621" s="5">
        <f>+IF(FINANCIACION[[#This Row],[$ CAPITAL]]&gt;=0,FINANCIACION[[#This Row],[$ CAPITAL]]+FINANCIACION[[#This Row],[$ INTERESES]],"")</f>
        <v>936000</v>
      </c>
      <c r="F621" s="5">
        <f>+SUMIFS(FINANCIACION[$ CAPITAL],FINANCIACION[Fecha],"&lt;="&amp;FINANCIACION[[#This Row],[Fecha]],FINANCIACION[PRESTAMO],FINANCIACION[[#This Row],[PRESTAMO]])</f>
        <v>-33366600</v>
      </c>
      <c r="G621" s="7"/>
      <c r="H621" s="53"/>
      <c r="I621" s="5">
        <f>IF(FINANCIACION[[#This Row],[$ CAPITAL]]&gt;0,FINANCIACION[[#This Row],[$ CAPITAL]])</f>
        <v>936000</v>
      </c>
      <c r="J621" s="8">
        <f>IF(FINANCIACION[[#This Row],[$ CAPITAL]]&gt;=0,FINANCIACION[[#This Row],[$ CAPITAL]]+FINANCIACION[[#This Row],[$ INTERESES]],0)</f>
        <v>936000</v>
      </c>
    </row>
    <row r="622" spans="1:10" ht="24" hidden="1" customHeight="1" x14ac:dyDescent="0.3">
      <c r="A622" s="131">
        <v>44347</v>
      </c>
      <c r="B622" s="50" t="s">
        <v>146</v>
      </c>
      <c r="C622" s="5">
        <v>1468400</v>
      </c>
      <c r="D622" s="5">
        <v>477575</v>
      </c>
      <c r="E622" s="5">
        <f>+IF(FINANCIACION[[#This Row],[$ CAPITAL]]&gt;=0,FINANCIACION[[#This Row],[$ CAPITAL]]+FINANCIACION[[#This Row],[$ INTERESES]],"")</f>
        <v>1945975</v>
      </c>
      <c r="F622" s="5">
        <f>+SUMIFS(FINANCIACION[$ CAPITAL],FINANCIACION[Fecha],"&lt;="&amp;FINANCIACION[[#This Row],[Fecha]],FINANCIACION[PRESTAMO],FINANCIACION[[#This Row],[PRESTAMO]])</f>
        <v>-49925600</v>
      </c>
      <c r="G622" s="7"/>
      <c r="H622" s="53"/>
      <c r="I622" s="5">
        <f>IF(FINANCIACION[[#This Row],[$ CAPITAL]]&gt;0,FINANCIACION[[#This Row],[$ CAPITAL]])</f>
        <v>1468400</v>
      </c>
      <c r="J622" s="8">
        <f>IF(FINANCIACION[[#This Row],[$ CAPITAL]]&gt;=0,FINANCIACION[[#This Row],[$ CAPITAL]]+FINANCIACION[[#This Row],[$ INTERESES]],0)</f>
        <v>1945975</v>
      </c>
    </row>
    <row r="623" spans="1:10" ht="24" hidden="1" customHeight="1" x14ac:dyDescent="0.3">
      <c r="A623" s="131">
        <v>44347</v>
      </c>
      <c r="B623" s="50" t="s">
        <v>147</v>
      </c>
      <c r="C623" s="5">
        <v>76791</v>
      </c>
      <c r="D623" s="5"/>
      <c r="E623" s="5">
        <f>+IF(FINANCIACION[[#This Row],[$ CAPITAL]]&gt;=0,FINANCIACION[[#This Row],[$ CAPITAL]]+FINANCIACION[[#This Row],[$ INTERESES]],"")</f>
        <v>76791</v>
      </c>
      <c r="F623" s="5">
        <f>+SUMIFS(FINANCIACION[$ CAPITAL],FINANCIACION[Fecha],"&lt;="&amp;FINANCIACION[[#This Row],[Fecha]],FINANCIACION[PRESTAMO],FINANCIACION[[#This Row],[PRESTAMO]])</f>
        <v>-2610894</v>
      </c>
      <c r="G623" s="7"/>
      <c r="H623" s="53"/>
      <c r="I623" s="5">
        <f>IF(FINANCIACION[[#This Row],[$ CAPITAL]]&gt;0,FINANCIACION[[#This Row],[$ CAPITAL]])</f>
        <v>76791</v>
      </c>
      <c r="J623" s="8">
        <f>IF(FINANCIACION[[#This Row],[$ CAPITAL]]&gt;=0,FINANCIACION[[#This Row],[$ CAPITAL]]+FINANCIACION[[#This Row],[$ INTERESES]],0)</f>
        <v>76791</v>
      </c>
    </row>
    <row r="624" spans="1:10" ht="24" hidden="1" customHeight="1" x14ac:dyDescent="0.3">
      <c r="A624" s="131">
        <v>44347</v>
      </c>
      <c r="B624" s="50" t="s">
        <v>535</v>
      </c>
      <c r="C624" s="5">
        <v>1468400</v>
      </c>
      <c r="D624" s="5">
        <v>477575</v>
      </c>
      <c r="E624" s="5">
        <f>+IF(FINANCIACION[[#This Row],[$ CAPITAL]]&gt;=0,FINANCIACION[[#This Row],[$ CAPITAL]]+FINANCIACION[[#This Row],[$ INTERESES]],"")</f>
        <v>1945975</v>
      </c>
      <c r="F624" s="5">
        <f>+SUMIFS(FINANCIACION[$ CAPITAL],FINANCIACION[Fecha],"&lt;="&amp;FINANCIACION[[#This Row],[Fecha]],FINANCIACION[PRESTAMO],FINANCIACION[[#This Row],[PRESTAMO]])</f>
        <v>-43888850.962125674</v>
      </c>
      <c r="G624" s="7"/>
      <c r="H624" s="53"/>
      <c r="I624" s="5">
        <f>IF(FINANCIACION[[#This Row],[$ CAPITAL]]&gt;0,FINANCIACION[[#This Row],[$ CAPITAL]])</f>
        <v>1468400</v>
      </c>
      <c r="J624" s="8">
        <f>IF(FINANCIACION[[#This Row],[$ CAPITAL]]&gt;=0,FINANCIACION[[#This Row],[$ CAPITAL]]+FINANCIACION[[#This Row],[$ INTERESES]],0)</f>
        <v>1945975</v>
      </c>
    </row>
    <row r="625" spans="1:10" ht="24" hidden="1" customHeight="1" x14ac:dyDescent="0.3">
      <c r="A625" s="131">
        <v>44347</v>
      </c>
      <c r="B625" s="50" t="s">
        <v>535</v>
      </c>
      <c r="C625" s="5">
        <v>76791</v>
      </c>
      <c r="D625" s="5"/>
      <c r="E625" s="5">
        <f>+IF(FINANCIACION[[#This Row],[$ CAPITAL]]&gt;=0,FINANCIACION[[#This Row],[$ CAPITAL]]+FINANCIACION[[#This Row],[$ INTERESES]],"")</f>
        <v>76791</v>
      </c>
      <c r="F625" s="5">
        <f>+SUMIFS(FINANCIACION[$ CAPITAL],FINANCIACION[Fecha],"&lt;="&amp;FINANCIACION[[#This Row],[Fecha]],FINANCIACION[PRESTAMO],FINANCIACION[[#This Row],[PRESTAMO]])</f>
        <v>-43888850.962125674</v>
      </c>
      <c r="G625" s="7"/>
      <c r="H625" s="53"/>
      <c r="I625" s="5">
        <f>IF(FINANCIACION[[#This Row],[$ CAPITAL]]&gt;0,FINANCIACION[[#This Row],[$ CAPITAL]])</f>
        <v>76791</v>
      </c>
      <c r="J625" s="8">
        <f>IF(FINANCIACION[[#This Row],[$ CAPITAL]]&gt;=0,FINANCIACION[[#This Row],[$ CAPITAL]]+FINANCIACION[[#This Row],[$ INTERESES]],0)</f>
        <v>76791</v>
      </c>
    </row>
    <row r="626" spans="1:10" ht="24" hidden="1" customHeight="1" x14ac:dyDescent="0.3">
      <c r="A626" s="131">
        <v>44347</v>
      </c>
      <c r="B626" s="50" t="s">
        <v>535</v>
      </c>
      <c r="C626" s="5"/>
      <c r="D626" s="5">
        <v>919622</v>
      </c>
      <c r="E626" s="5">
        <f>+IF(FINANCIACION[[#This Row],[$ CAPITAL]]&gt;=0,FINANCIACION[[#This Row],[$ CAPITAL]]+FINANCIACION[[#This Row],[$ INTERESES]],"")</f>
        <v>919622</v>
      </c>
      <c r="F626" s="5">
        <f>+SUMIFS(FINANCIACION[$ CAPITAL],FINANCIACION[Fecha],"&lt;="&amp;FINANCIACION[[#This Row],[Fecha]],FINANCIACION[PRESTAMO],FINANCIACION[[#This Row],[PRESTAMO]])</f>
        <v>-43888850.962125674</v>
      </c>
      <c r="G626" s="7"/>
      <c r="H626" s="53"/>
      <c r="I626" s="5" t="b">
        <f>IF(FINANCIACION[[#This Row],[$ CAPITAL]]&gt;0,FINANCIACION[[#This Row],[$ CAPITAL]])</f>
        <v>0</v>
      </c>
      <c r="J626" s="8">
        <f>IF(FINANCIACION[[#This Row],[$ CAPITAL]]&gt;=0,FINANCIACION[[#This Row],[$ CAPITAL]]+FINANCIACION[[#This Row],[$ INTERESES]],0)</f>
        <v>919622</v>
      </c>
    </row>
    <row r="627" spans="1:10" ht="24" hidden="1" customHeight="1" x14ac:dyDescent="0.3">
      <c r="A627" s="131">
        <v>44347</v>
      </c>
      <c r="B627" s="50" t="s">
        <v>535</v>
      </c>
      <c r="C627" s="5">
        <v>6000000</v>
      </c>
      <c r="D627" s="5"/>
      <c r="E627" s="5">
        <f>+IF(FINANCIACION[[#This Row],[$ CAPITAL]]&gt;=0,FINANCIACION[[#This Row],[$ CAPITAL]]+FINANCIACION[[#This Row],[$ INTERESES]],"")</f>
        <v>6000000</v>
      </c>
      <c r="F627" s="5">
        <f>+SUMIFS(FINANCIACION[$ CAPITAL],FINANCIACION[Fecha],"&lt;="&amp;FINANCIACION[[#This Row],[Fecha]],FINANCIACION[PRESTAMO],FINANCIACION[[#This Row],[PRESTAMO]])</f>
        <v>-43888850.962125674</v>
      </c>
      <c r="G627" s="7"/>
      <c r="H627" s="53"/>
      <c r="I627" s="5">
        <f>IF(FINANCIACION[[#This Row],[$ CAPITAL]]&gt;0,FINANCIACION[[#This Row],[$ CAPITAL]])</f>
        <v>6000000</v>
      </c>
      <c r="J627" s="8">
        <f>IF(FINANCIACION[[#This Row],[$ CAPITAL]]&gt;=0,FINANCIACION[[#This Row],[$ CAPITAL]]+FINANCIACION[[#This Row],[$ INTERESES]],0)</f>
        <v>6000000</v>
      </c>
    </row>
    <row r="628" spans="1:10" ht="24" hidden="1" customHeight="1" x14ac:dyDescent="0.3">
      <c r="A628" s="131">
        <v>44350</v>
      </c>
      <c r="B628" s="50" t="s">
        <v>535</v>
      </c>
      <c r="C628" s="5">
        <v>1000000</v>
      </c>
      <c r="D628" s="5"/>
      <c r="E628" s="5">
        <f>+IF(FINANCIACION[[#This Row],[$ CAPITAL]]&gt;=0,FINANCIACION[[#This Row],[$ CAPITAL]]+FINANCIACION[[#This Row],[$ INTERESES]],"")</f>
        <v>1000000</v>
      </c>
      <c r="F628" s="5">
        <f>+SUMIFS(FINANCIACION[$ CAPITAL],FINANCIACION[Fecha],"&lt;="&amp;FINANCIACION[[#This Row],[Fecha]],FINANCIACION[PRESTAMO],FINANCIACION[[#This Row],[PRESTAMO]])</f>
        <v>-39246560.962125674</v>
      </c>
      <c r="G628" s="7"/>
      <c r="H628" s="53"/>
      <c r="I628" s="5">
        <f>IF(FINANCIACION[[#This Row],[$ CAPITAL]]&gt;0,FINANCIACION[[#This Row],[$ CAPITAL]])</f>
        <v>1000000</v>
      </c>
      <c r="J628" s="8">
        <f>IF(FINANCIACION[[#This Row],[$ CAPITAL]]&gt;=0,FINANCIACION[[#This Row],[$ CAPITAL]]+FINANCIACION[[#This Row],[$ INTERESES]],0)</f>
        <v>1000000</v>
      </c>
    </row>
    <row r="629" spans="1:10" ht="24" hidden="1" customHeight="1" x14ac:dyDescent="0.3">
      <c r="A629" s="131">
        <v>44350</v>
      </c>
      <c r="B629" s="50" t="s">
        <v>535</v>
      </c>
      <c r="C629" s="5">
        <v>3642290</v>
      </c>
      <c r="D629" s="5"/>
      <c r="E629" s="5">
        <f>+IF(FINANCIACION[[#This Row],[$ CAPITAL]]&gt;=0,FINANCIACION[[#This Row],[$ CAPITAL]]+FINANCIACION[[#This Row],[$ INTERESES]],"")</f>
        <v>3642290</v>
      </c>
      <c r="F629" s="5">
        <f>+SUMIFS(FINANCIACION[$ CAPITAL],FINANCIACION[Fecha],"&lt;="&amp;FINANCIACION[[#This Row],[Fecha]],FINANCIACION[PRESTAMO],FINANCIACION[[#This Row],[PRESTAMO]])</f>
        <v>-39246560.962125674</v>
      </c>
      <c r="G629" s="7"/>
      <c r="H629" s="53"/>
      <c r="I629" s="5">
        <f>IF(FINANCIACION[[#This Row],[$ CAPITAL]]&gt;0,FINANCIACION[[#This Row],[$ CAPITAL]])</f>
        <v>3642290</v>
      </c>
      <c r="J629" s="8">
        <f>IF(FINANCIACION[[#This Row],[$ CAPITAL]]&gt;=0,FINANCIACION[[#This Row],[$ CAPITAL]]+FINANCIACION[[#This Row],[$ INTERESES]],0)</f>
        <v>3642290</v>
      </c>
    </row>
    <row r="630" spans="1:10" ht="24" hidden="1" customHeight="1" x14ac:dyDescent="0.3">
      <c r="A630" s="131">
        <v>44350</v>
      </c>
      <c r="B630" s="50" t="s">
        <v>154</v>
      </c>
      <c r="C630" s="5">
        <v>3642290</v>
      </c>
      <c r="D630" s="5"/>
      <c r="E630" s="5">
        <f>+IF(FINANCIACION[[#This Row],[$ CAPITAL]]&gt;=0,FINANCIACION[[#This Row],[$ CAPITAL]]+FINANCIACION[[#This Row],[$ INTERESES]],"")</f>
        <v>3642290</v>
      </c>
      <c r="F630" s="5">
        <f>+SUMIFS(FINANCIACION[$ CAPITAL],FINANCIACION[Fecha],"&lt;="&amp;FINANCIACION[[#This Row],[Fecha]],FINANCIACION[PRESTAMO],FINANCIACION[[#This Row],[PRESTAMO]])</f>
        <v>-29724310</v>
      </c>
      <c r="G630" s="7"/>
      <c r="H630" s="53"/>
      <c r="I630" s="5">
        <f>IF(FINANCIACION[[#This Row],[$ CAPITAL]]&gt;0,FINANCIACION[[#This Row],[$ CAPITAL]])</f>
        <v>3642290</v>
      </c>
      <c r="J630" s="8">
        <f>IF(FINANCIACION[[#This Row],[$ CAPITAL]]&gt;=0,FINANCIACION[[#This Row],[$ CAPITAL]]+FINANCIACION[[#This Row],[$ INTERESES]],0)</f>
        <v>3642290</v>
      </c>
    </row>
    <row r="631" spans="1:10" ht="24" hidden="1" customHeight="1" x14ac:dyDescent="0.3">
      <c r="A631" s="131">
        <v>44356</v>
      </c>
      <c r="B631" s="50" t="s">
        <v>535</v>
      </c>
      <c r="C631" s="5">
        <v>6326000</v>
      </c>
      <c r="D631" s="5">
        <v>408134.11000000034</v>
      </c>
      <c r="E631" s="5">
        <f>+IF(FINANCIACION[[#This Row],[$ CAPITAL]]&gt;=0,FINANCIACION[[#This Row],[$ CAPITAL]]+FINANCIACION[[#This Row],[$ INTERESES]],"")</f>
        <v>6734134.1100000003</v>
      </c>
      <c r="F631" s="5">
        <f>+SUMIFS(FINANCIACION[$ CAPITAL],FINANCIACION[Fecha],"&lt;="&amp;FINANCIACION[[#This Row],[Fecha]],FINANCIACION[PRESTAMO],FINANCIACION[[#This Row],[PRESTAMO]])</f>
        <v>-32920560.962125674</v>
      </c>
      <c r="G631" s="7"/>
      <c r="H631" s="53"/>
      <c r="I631" s="5">
        <f>IF(FINANCIACION[[#This Row],[$ CAPITAL]]&gt;0,FINANCIACION[[#This Row],[$ CAPITAL]])</f>
        <v>6326000</v>
      </c>
      <c r="J631" s="8">
        <f>IF(FINANCIACION[[#This Row],[$ CAPITAL]]&gt;=0,FINANCIACION[[#This Row],[$ CAPITAL]]+FINANCIACION[[#This Row],[$ INTERESES]],0)</f>
        <v>6734134.1100000003</v>
      </c>
    </row>
    <row r="632" spans="1:10" ht="24" hidden="1" customHeight="1" x14ac:dyDescent="0.3">
      <c r="A632" s="131">
        <v>44357</v>
      </c>
      <c r="B632" s="50" t="s">
        <v>532</v>
      </c>
      <c r="C632" s="5">
        <v>1851506.0161396766</v>
      </c>
      <c r="D632" s="5">
        <v>825893.98386032344</v>
      </c>
      <c r="E632" s="5">
        <f>+IF(FINANCIACION[[#This Row],[$ CAPITAL]]&gt;=0,FINANCIACION[[#This Row],[$ CAPITAL]]+FINANCIACION[[#This Row],[$ INTERESES]],"")</f>
        <v>2677400</v>
      </c>
      <c r="F632" s="5">
        <f>+SUMIFS(FINANCIACION[$ CAPITAL],FINANCIACION[Fecha],"&lt;="&amp;FINANCIACION[[#This Row],[Fecha]],FINANCIACION[PRESTAMO],FINANCIACION[[#This Row],[PRESTAMO]])</f>
        <v>-80737892.369892672</v>
      </c>
      <c r="G632" s="7"/>
      <c r="H632" s="53"/>
      <c r="I632" s="5">
        <f>IF(FINANCIACION[[#This Row],[$ CAPITAL]]&gt;0,FINANCIACION[[#This Row],[$ CAPITAL]])</f>
        <v>1851506.0161396766</v>
      </c>
      <c r="J632" s="8">
        <f>IF(FINANCIACION[[#This Row],[$ CAPITAL]]&gt;=0,FINANCIACION[[#This Row],[$ CAPITAL]]+FINANCIACION[[#This Row],[$ INTERESES]],0)</f>
        <v>2677400</v>
      </c>
    </row>
    <row r="633" spans="1:10" ht="24" hidden="1" customHeight="1" x14ac:dyDescent="0.3">
      <c r="A633" s="131">
        <v>44358</v>
      </c>
      <c r="B633" s="50" t="s">
        <v>536</v>
      </c>
      <c r="C633" s="5">
        <v>713253.92</v>
      </c>
      <c r="D633" s="5">
        <v>586746.07999999996</v>
      </c>
      <c r="E633" s="5">
        <f>+IF(FINANCIACION[[#This Row],[$ CAPITAL]]&gt;=0,FINANCIACION[[#This Row],[$ CAPITAL]]+FINANCIACION[[#This Row],[$ INTERESES]],"")</f>
        <v>1300000</v>
      </c>
      <c r="F633" s="5">
        <f>+SUMIFS(FINANCIACION[$ CAPITAL],FINANCIACION[Fecha],"&lt;="&amp;FINANCIACION[[#This Row],[Fecha]],FINANCIACION[PRESTAMO],FINANCIACION[[#This Row],[PRESTAMO]])</f>
        <v>-57961354.079999998</v>
      </c>
      <c r="G633" s="7"/>
      <c r="H633" s="53"/>
      <c r="I633" s="5">
        <f>IF(FINANCIACION[[#This Row],[$ CAPITAL]]&gt;0,FINANCIACION[[#This Row],[$ CAPITAL]])</f>
        <v>713253.92</v>
      </c>
      <c r="J633" s="8">
        <f>IF(FINANCIACION[[#This Row],[$ CAPITAL]]&gt;=0,FINANCIACION[[#This Row],[$ CAPITAL]]+FINANCIACION[[#This Row],[$ INTERESES]],0)</f>
        <v>1300000</v>
      </c>
    </row>
    <row r="634" spans="1:10" ht="24" hidden="1" customHeight="1" x14ac:dyDescent="0.3">
      <c r="A634" s="131">
        <v>44358</v>
      </c>
      <c r="B634" s="50" t="s">
        <v>533</v>
      </c>
      <c r="C634" s="5">
        <v>462796.88598599995</v>
      </c>
      <c r="D634" s="5">
        <v>737203.11401400005</v>
      </c>
      <c r="E634" s="5">
        <f>+IF(FINANCIACION[[#This Row],[$ CAPITAL]]&gt;=0,FINANCIACION[[#This Row],[$ CAPITAL]]+FINANCIACION[[#This Row],[$ INTERESES]],"")</f>
        <v>1200000</v>
      </c>
      <c r="F634" s="5">
        <f>+SUMIFS(FINANCIACION[$ CAPITAL],FINANCIACION[Fecha],"&lt;="&amp;FINANCIACION[[#This Row],[Fecha]],FINANCIACION[PRESTAMO],FINANCIACION[[#This Row],[PRESTAMO]])</f>
        <v>-73428202.375413999</v>
      </c>
      <c r="G634" s="7"/>
      <c r="H634" s="53"/>
      <c r="I634" s="5">
        <f>IF(FINANCIACION[[#This Row],[$ CAPITAL]]&gt;0,FINANCIACION[[#This Row],[$ CAPITAL]])</f>
        <v>462796.88598599995</v>
      </c>
      <c r="J634" s="8">
        <f>IF(FINANCIACION[[#This Row],[$ CAPITAL]]&gt;=0,FINANCIACION[[#This Row],[$ CAPITAL]]+FINANCIACION[[#This Row],[$ INTERESES]],0)</f>
        <v>1200000</v>
      </c>
    </row>
    <row r="635" spans="1:10" ht="24" hidden="1" customHeight="1" x14ac:dyDescent="0.3">
      <c r="A635" s="131">
        <v>44358</v>
      </c>
      <c r="B635" s="50" t="s">
        <v>545</v>
      </c>
      <c r="C635" s="5"/>
      <c r="D635" s="5">
        <v>120000</v>
      </c>
      <c r="E635" s="5">
        <f>+IF(FINANCIACION[[#This Row],[$ CAPITAL]]&gt;=0,FINANCIACION[[#This Row],[$ CAPITAL]]+FINANCIACION[[#This Row],[$ INTERESES]],"")</f>
        <v>120000</v>
      </c>
      <c r="F635" s="5">
        <f>+SUMIFS(FINANCIACION[$ CAPITAL],FINANCIACION[Fecha],"&lt;="&amp;FINANCIACION[[#This Row],[Fecha]],FINANCIACION[PRESTAMO],FINANCIACION[[#This Row],[PRESTAMO]])</f>
        <v>-12000000</v>
      </c>
      <c r="G635" s="7"/>
      <c r="H635" s="53"/>
      <c r="I635" s="5" t="b">
        <f>IF(FINANCIACION[[#This Row],[$ CAPITAL]]&gt;0,FINANCIACION[[#This Row],[$ CAPITAL]])</f>
        <v>0</v>
      </c>
      <c r="J635" s="8">
        <f>IF(FINANCIACION[[#This Row],[$ CAPITAL]]&gt;=0,FINANCIACION[[#This Row],[$ CAPITAL]]+FINANCIACION[[#This Row],[$ INTERESES]],0)</f>
        <v>120000</v>
      </c>
    </row>
    <row r="636" spans="1:10" ht="24" hidden="1" customHeight="1" x14ac:dyDescent="0.3">
      <c r="A636" s="131">
        <v>44358</v>
      </c>
      <c r="B636" s="50" t="s">
        <v>535</v>
      </c>
      <c r="C636" s="5">
        <v>462796.88598599995</v>
      </c>
      <c r="D636" s="5">
        <v>737203.11401400005</v>
      </c>
      <c r="E636" s="5">
        <f>+IF(FINANCIACION[[#This Row],[$ CAPITAL]]&gt;=0,FINANCIACION[[#This Row],[$ CAPITAL]]+FINANCIACION[[#This Row],[$ INTERESES]],"")</f>
        <v>1200000</v>
      </c>
      <c r="F636" s="5">
        <f>+SUMIFS(FINANCIACION[$ CAPITAL],FINANCIACION[Fecha],"&lt;="&amp;FINANCIACION[[#This Row],[Fecha]],FINANCIACION[PRESTAMO],FINANCIACION[[#This Row],[PRESTAMO]])</f>
        <v>-29893004.139999997</v>
      </c>
      <c r="G636" s="7"/>
      <c r="H636" s="53"/>
      <c r="I636" s="5">
        <f>IF(FINANCIACION[[#This Row],[$ CAPITAL]]&gt;0,FINANCIACION[[#This Row],[$ CAPITAL]])</f>
        <v>462796.88598599995</v>
      </c>
      <c r="J636" s="8">
        <f>IF(FINANCIACION[[#This Row],[$ CAPITAL]]&gt;=0,FINANCIACION[[#This Row],[$ CAPITAL]]+FINANCIACION[[#This Row],[$ INTERESES]],0)</f>
        <v>1200000</v>
      </c>
    </row>
    <row r="637" spans="1:10" ht="24" hidden="1" customHeight="1" x14ac:dyDescent="0.3">
      <c r="A637" s="131">
        <v>44358</v>
      </c>
      <c r="B637" s="50" t="s">
        <v>535</v>
      </c>
      <c r="C637" s="5"/>
      <c r="D637" s="5">
        <v>120000</v>
      </c>
      <c r="E637" s="5">
        <f>+IF(FINANCIACION[[#This Row],[$ CAPITAL]]&gt;=0,FINANCIACION[[#This Row],[$ CAPITAL]]+FINANCIACION[[#This Row],[$ INTERESES]],"")</f>
        <v>120000</v>
      </c>
      <c r="F637" s="5">
        <f>+SUMIFS(FINANCIACION[$ CAPITAL],FINANCIACION[Fecha],"&lt;="&amp;FINANCIACION[[#This Row],[Fecha]],FINANCIACION[PRESTAMO],FINANCIACION[[#This Row],[PRESTAMO]])</f>
        <v>-29893004.139999997</v>
      </c>
      <c r="G637" s="7"/>
      <c r="H637" s="53"/>
      <c r="I637" s="5" t="b">
        <f>IF(FINANCIACION[[#This Row],[$ CAPITAL]]&gt;0,FINANCIACION[[#This Row],[$ CAPITAL]])</f>
        <v>0</v>
      </c>
      <c r="J637" s="8">
        <f>IF(FINANCIACION[[#This Row],[$ CAPITAL]]&gt;=0,FINANCIACION[[#This Row],[$ CAPITAL]]+FINANCIACION[[#This Row],[$ INTERESES]],0)</f>
        <v>120000</v>
      </c>
    </row>
    <row r="638" spans="1:10" ht="24" hidden="1" customHeight="1" x14ac:dyDescent="0.3">
      <c r="A638" s="131">
        <v>44358</v>
      </c>
      <c r="B638" s="50" t="s">
        <v>535</v>
      </c>
      <c r="C638" s="5"/>
      <c r="D638" s="5">
        <v>640000</v>
      </c>
      <c r="E638" s="5">
        <f>+IF(FINANCIACION[[#This Row],[$ CAPITAL]]&gt;=0,FINANCIACION[[#This Row],[$ CAPITAL]]+FINANCIACION[[#This Row],[$ INTERESES]],"")</f>
        <v>640000</v>
      </c>
      <c r="F638" s="5">
        <f>+SUMIFS(FINANCIACION[$ CAPITAL],FINANCIACION[Fecha],"&lt;="&amp;FINANCIACION[[#This Row],[Fecha]],FINANCIACION[PRESTAMO],FINANCIACION[[#This Row],[PRESTAMO]])</f>
        <v>-29893004.139999997</v>
      </c>
      <c r="G638" s="7"/>
      <c r="H638" s="53"/>
      <c r="I638" s="5" t="b">
        <f>IF(FINANCIACION[[#This Row],[$ CAPITAL]]&gt;0,FINANCIACION[[#This Row],[$ CAPITAL]])</f>
        <v>0</v>
      </c>
      <c r="J638" s="8">
        <f>IF(FINANCIACION[[#This Row],[$ CAPITAL]]&gt;=0,FINANCIACION[[#This Row],[$ CAPITAL]]+FINANCIACION[[#This Row],[$ INTERESES]],0)</f>
        <v>640000</v>
      </c>
    </row>
    <row r="639" spans="1:10" ht="24" hidden="1" customHeight="1" x14ac:dyDescent="0.3">
      <c r="A639" s="131">
        <v>44358</v>
      </c>
      <c r="B639" s="50" t="s">
        <v>535</v>
      </c>
      <c r="C639" s="5">
        <v>713253.92</v>
      </c>
      <c r="D639" s="5">
        <v>586746.07999999996</v>
      </c>
      <c r="E639" s="5">
        <f>+IF(FINANCIACION[[#This Row],[$ CAPITAL]]&gt;=0,FINANCIACION[[#This Row],[$ CAPITAL]]+FINANCIACION[[#This Row],[$ INTERESES]],"")</f>
        <v>1300000</v>
      </c>
      <c r="F639" s="5">
        <f>+SUMIFS(FINANCIACION[$ CAPITAL],FINANCIACION[Fecha],"&lt;="&amp;FINANCIACION[[#This Row],[Fecha]],FINANCIACION[PRESTAMO],FINANCIACION[[#This Row],[PRESTAMO]])</f>
        <v>-29893004.139999997</v>
      </c>
      <c r="G639" s="7"/>
      <c r="H639" s="53"/>
      <c r="I639" s="5">
        <f>IF(FINANCIACION[[#This Row],[$ CAPITAL]]&gt;0,FINANCIACION[[#This Row],[$ CAPITAL]])</f>
        <v>713253.92</v>
      </c>
      <c r="J639" s="8">
        <f>IF(FINANCIACION[[#This Row],[$ CAPITAL]]&gt;=0,FINANCIACION[[#This Row],[$ CAPITAL]]+FINANCIACION[[#This Row],[$ INTERESES]],0)</f>
        <v>1300000</v>
      </c>
    </row>
    <row r="640" spans="1:10" ht="24" hidden="1" customHeight="1" x14ac:dyDescent="0.3">
      <c r="A640" s="131">
        <v>44358</v>
      </c>
      <c r="B640" s="50" t="s">
        <v>535</v>
      </c>
      <c r="C640" s="5"/>
      <c r="D640" s="5">
        <v>220000</v>
      </c>
      <c r="E640" s="5">
        <f>+IF(FINANCIACION[[#This Row],[$ CAPITAL]]&gt;=0,FINANCIACION[[#This Row],[$ CAPITAL]]+FINANCIACION[[#This Row],[$ INTERESES]],"")</f>
        <v>220000</v>
      </c>
      <c r="F640" s="5">
        <f>+SUMIFS(FINANCIACION[$ CAPITAL],FINANCIACION[Fecha],"&lt;="&amp;FINANCIACION[[#This Row],[Fecha]],FINANCIACION[PRESTAMO],FINANCIACION[[#This Row],[PRESTAMO]])</f>
        <v>-29893004.139999997</v>
      </c>
      <c r="G640" s="53"/>
      <c r="H640" s="53"/>
      <c r="I640" s="5" t="b">
        <f>IF(FINANCIACION[[#This Row],[$ CAPITAL]]&gt;0,FINANCIACION[[#This Row],[$ CAPITAL]])</f>
        <v>0</v>
      </c>
      <c r="J640" s="33">
        <f>IF(FINANCIACION[[#This Row],[$ CAPITAL]]&gt;=0,FINANCIACION[[#This Row],[$ CAPITAL]]+FINANCIACION[[#This Row],[$ INTERESES]],0)</f>
        <v>220000</v>
      </c>
    </row>
    <row r="641" spans="1:10" ht="24" hidden="1" customHeight="1" x14ac:dyDescent="0.3">
      <c r="A641" s="131">
        <v>44358</v>
      </c>
      <c r="B641" s="50" t="s">
        <v>535</v>
      </c>
      <c r="C641" s="5">
        <v>1851506.0161396766</v>
      </c>
      <c r="D641" s="5">
        <v>825893.98386032344</v>
      </c>
      <c r="E641" s="5">
        <f>+IF(FINANCIACION[[#This Row],[$ CAPITAL]]&gt;=0,FINANCIACION[[#This Row],[$ CAPITAL]]+FINANCIACION[[#This Row],[$ INTERESES]],"")</f>
        <v>2677400</v>
      </c>
      <c r="F641" s="5">
        <f>+SUMIFS(FINANCIACION[$ CAPITAL],FINANCIACION[Fecha],"&lt;="&amp;FINANCIACION[[#This Row],[Fecha]],FINANCIACION[PRESTAMO],FINANCIACION[[#This Row],[PRESTAMO]])</f>
        <v>-29893004.139999997</v>
      </c>
      <c r="G641" s="53"/>
      <c r="H641" s="53"/>
      <c r="I641" s="5">
        <f>IF(FINANCIACION[[#This Row],[$ CAPITAL]]&gt;0,FINANCIACION[[#This Row],[$ CAPITAL]])</f>
        <v>1851506.0161396766</v>
      </c>
      <c r="J641" s="33">
        <f>IF(FINANCIACION[[#This Row],[$ CAPITAL]]&gt;=0,FINANCIACION[[#This Row],[$ CAPITAL]]+FINANCIACION[[#This Row],[$ INTERESES]],0)</f>
        <v>2677400</v>
      </c>
    </row>
    <row r="642" spans="1:10" ht="24" hidden="1" customHeight="1" x14ac:dyDescent="0.3">
      <c r="A642" s="131">
        <v>44362</v>
      </c>
      <c r="B642" s="50" t="s">
        <v>533</v>
      </c>
      <c r="C642" s="5">
        <v>-3000000</v>
      </c>
      <c r="D642" s="5"/>
      <c r="E642" s="5" t="str">
        <f>+IF(FINANCIACION[[#This Row],[$ CAPITAL]]&gt;=0,FINANCIACION[[#This Row],[$ CAPITAL]]+FINANCIACION[[#This Row],[$ INTERESES]],"")</f>
        <v/>
      </c>
      <c r="F642" s="5">
        <f>+SUMIFS(FINANCIACION[$ CAPITAL],FINANCIACION[Fecha],"&lt;="&amp;FINANCIACION[[#This Row],[Fecha]],FINANCIACION[PRESTAMO],FINANCIACION[[#This Row],[PRESTAMO]])</f>
        <v>-76428202.375413999</v>
      </c>
      <c r="G642" s="53" t="s">
        <v>236</v>
      </c>
      <c r="H642" s="53"/>
      <c r="I642" s="5" t="b">
        <f>IF(FINANCIACION[[#This Row],[$ CAPITAL]]&gt;0,FINANCIACION[[#This Row],[$ CAPITAL]])</f>
        <v>0</v>
      </c>
      <c r="J642" s="33">
        <f>IF(FINANCIACION[[#This Row],[$ CAPITAL]]&gt;=0,FINANCIACION[[#This Row],[$ CAPITAL]]+FINANCIACION[[#This Row],[$ INTERESES]],0)</f>
        <v>0</v>
      </c>
    </row>
    <row r="643" spans="1:10" ht="24" hidden="1" customHeight="1" x14ac:dyDescent="0.3">
      <c r="A643" s="131">
        <v>44362</v>
      </c>
      <c r="B643" s="50" t="s">
        <v>153</v>
      </c>
      <c r="C643" s="5"/>
      <c r="D643" s="5">
        <v>227850</v>
      </c>
      <c r="E643" s="5">
        <f>+IF(FINANCIACION[[#This Row],[$ CAPITAL]]&gt;=0,FINANCIACION[[#This Row],[$ CAPITAL]]+FINANCIACION[[#This Row],[$ INTERESES]],"")</f>
        <v>227850</v>
      </c>
      <c r="F643" s="5">
        <f>+SUMIFS(FINANCIACION[$ CAPITAL],FINANCIACION[Fecha],"&lt;="&amp;FINANCIACION[[#This Row],[Fecha]],FINANCIACION[PRESTAMO],FINANCIACION[[#This Row],[PRESTAMO]])</f>
        <v>-35000000</v>
      </c>
      <c r="G643" s="53"/>
      <c r="H643" s="53"/>
      <c r="I643" s="5" t="b">
        <f>IF(FINANCIACION[[#This Row],[$ CAPITAL]]&gt;0,FINANCIACION[[#This Row],[$ CAPITAL]])</f>
        <v>0</v>
      </c>
      <c r="J643" s="33">
        <f>IF(FINANCIACION[[#This Row],[$ CAPITAL]]&gt;=0,FINANCIACION[[#This Row],[$ CAPITAL]]+FINANCIACION[[#This Row],[$ INTERESES]],0)</f>
        <v>227850</v>
      </c>
    </row>
    <row r="644" spans="1:10" ht="24" hidden="1" customHeight="1" x14ac:dyDescent="0.3">
      <c r="A644" s="131">
        <v>44363</v>
      </c>
      <c r="B644" s="50" t="s">
        <v>543</v>
      </c>
      <c r="C644" s="5"/>
      <c r="D644" s="5">
        <v>390000</v>
      </c>
      <c r="E644" s="5">
        <f>+IF(FINANCIACION[[#This Row],[$ CAPITAL]]&gt;=0,FINANCIACION[[#This Row],[$ CAPITAL]]+FINANCIACION[[#This Row],[$ INTERESES]],"")</f>
        <v>390000</v>
      </c>
      <c r="F644" s="5">
        <f>+SUMIFS(FINANCIACION[$ CAPITAL],FINANCIACION[Fecha],"&lt;="&amp;FINANCIACION[[#This Row],[Fecha]],FINANCIACION[PRESTAMO],FINANCIACION[[#This Row],[PRESTAMO]])</f>
        <v>-13000000</v>
      </c>
      <c r="G644" s="53"/>
      <c r="H644" s="53"/>
      <c r="I644" s="5" t="b">
        <f>IF(FINANCIACION[[#This Row],[$ CAPITAL]]&gt;0,FINANCIACION[[#This Row],[$ CAPITAL]])</f>
        <v>0</v>
      </c>
      <c r="J644" s="33">
        <f>IF(FINANCIACION[[#This Row],[$ CAPITAL]]&gt;=0,FINANCIACION[[#This Row],[$ CAPITAL]]+FINANCIACION[[#This Row],[$ INTERESES]],0)</f>
        <v>390000</v>
      </c>
    </row>
    <row r="645" spans="1:10" ht="24" hidden="1" customHeight="1" x14ac:dyDescent="0.3">
      <c r="A645" s="131">
        <v>44363</v>
      </c>
      <c r="B645" s="50" t="s">
        <v>155</v>
      </c>
      <c r="C645" s="5">
        <v>2000000</v>
      </c>
      <c r="D645" s="5"/>
      <c r="E645" s="5">
        <f>+IF(FINANCIACION[[#This Row],[$ CAPITAL]]&gt;=0,FINANCIACION[[#This Row],[$ CAPITAL]]+FINANCIACION[[#This Row],[$ INTERESES]],"")</f>
        <v>2000000</v>
      </c>
      <c r="F645" s="5">
        <f>+SUMIFS(FINANCIACION[$ CAPITAL],FINANCIACION[Fecha],"&lt;="&amp;FINANCIACION[[#This Row],[Fecha]],FINANCIACION[PRESTAMO],FINANCIACION[[#This Row],[PRESTAMO]])</f>
        <v>-3450061</v>
      </c>
      <c r="G645" s="53"/>
      <c r="H645" s="53"/>
      <c r="I645" s="5">
        <f>IF(FINANCIACION[[#This Row],[$ CAPITAL]]&gt;0,FINANCIACION[[#This Row],[$ CAPITAL]])</f>
        <v>2000000</v>
      </c>
      <c r="J645" s="33">
        <f>IF(FINANCIACION[[#This Row],[$ CAPITAL]]&gt;=0,FINANCIACION[[#This Row],[$ CAPITAL]]+FINANCIACION[[#This Row],[$ INTERESES]],0)</f>
        <v>2000000</v>
      </c>
    </row>
    <row r="646" spans="1:10" ht="24" hidden="1" customHeight="1" x14ac:dyDescent="0.3">
      <c r="A646" s="131">
        <v>44363</v>
      </c>
      <c r="B646" s="50" t="s">
        <v>155</v>
      </c>
      <c r="C646" s="5">
        <v>-5450061</v>
      </c>
      <c r="D646" s="5"/>
      <c r="E646" s="5" t="str">
        <f>+IF(FINANCIACION[[#This Row],[$ CAPITAL]]&gt;=0,FINANCIACION[[#This Row],[$ CAPITAL]]+FINANCIACION[[#This Row],[$ INTERESES]],"")</f>
        <v/>
      </c>
      <c r="F646" s="5">
        <f>+SUMIFS(FINANCIACION[$ CAPITAL],FINANCIACION[Fecha],"&lt;="&amp;FINANCIACION[[#This Row],[Fecha]],FINANCIACION[PRESTAMO],FINANCIACION[[#This Row],[PRESTAMO]])</f>
        <v>-3450061</v>
      </c>
      <c r="G646" s="53"/>
      <c r="H646" s="53"/>
      <c r="I646" s="5" t="b">
        <f>IF(FINANCIACION[[#This Row],[$ CAPITAL]]&gt;0,FINANCIACION[[#This Row],[$ CAPITAL]])</f>
        <v>0</v>
      </c>
      <c r="J646" s="33">
        <f>IF(FINANCIACION[[#This Row],[$ CAPITAL]]&gt;=0,FINANCIACION[[#This Row],[$ CAPITAL]]+FINANCIACION[[#This Row],[$ INTERESES]],0)</f>
        <v>0</v>
      </c>
    </row>
    <row r="647" spans="1:10" ht="24" hidden="1" customHeight="1" x14ac:dyDescent="0.3">
      <c r="A647" s="131">
        <v>44365</v>
      </c>
      <c r="B647" s="50" t="s">
        <v>154</v>
      </c>
      <c r="C647" s="5">
        <v>5968720</v>
      </c>
      <c r="D647" s="5"/>
      <c r="E647" s="5">
        <f>+IF(FINANCIACION[[#This Row],[$ CAPITAL]]&gt;=0,FINANCIACION[[#This Row],[$ CAPITAL]]+FINANCIACION[[#This Row],[$ INTERESES]],"")</f>
        <v>5968720</v>
      </c>
      <c r="F647" s="5">
        <f>+SUMIFS(FINANCIACION[$ CAPITAL],FINANCIACION[Fecha],"&lt;="&amp;FINANCIACION[[#This Row],[Fecha]],FINANCIACION[PRESTAMO],FINANCIACION[[#This Row],[PRESTAMO]])</f>
        <v>-23755590</v>
      </c>
      <c r="G647" s="53"/>
      <c r="H647" s="53"/>
      <c r="I647" s="5">
        <f>IF(FINANCIACION[[#This Row],[$ CAPITAL]]&gt;0,FINANCIACION[[#This Row],[$ CAPITAL]])</f>
        <v>5968720</v>
      </c>
      <c r="J647" s="33">
        <f>IF(FINANCIACION[[#This Row],[$ CAPITAL]]&gt;=0,FINANCIACION[[#This Row],[$ CAPITAL]]+FINANCIACION[[#This Row],[$ INTERESES]],0)</f>
        <v>5968720</v>
      </c>
    </row>
    <row r="648" spans="1:10" ht="24" hidden="1" customHeight="1" x14ac:dyDescent="0.3">
      <c r="A648" s="131">
        <v>44369</v>
      </c>
      <c r="B648" s="50" t="s">
        <v>535</v>
      </c>
      <c r="C648" s="5">
        <v>1496187.629999999</v>
      </c>
      <c r="D648" s="5">
        <v>12812.370000001043</v>
      </c>
      <c r="E648" s="5">
        <f>+IF(FINANCIACION[[#This Row],[$ CAPITAL]]&gt;=0,FINANCIACION[[#This Row],[$ CAPITAL]]+FINANCIACION[[#This Row],[$ INTERESES]],"")</f>
        <v>1509000</v>
      </c>
      <c r="F648" s="5">
        <f>+SUMIFS(FINANCIACION[$ CAPITAL],FINANCIACION[Fecha],"&lt;="&amp;FINANCIACION[[#This Row],[Fecha]],FINANCIACION[PRESTAMO],FINANCIACION[[#This Row],[PRESTAMO]])</f>
        <v>-28396816.509999998</v>
      </c>
      <c r="G648" s="53"/>
      <c r="H648" s="53"/>
      <c r="I648" s="5">
        <f>IF(FINANCIACION[[#This Row],[$ CAPITAL]]&gt;0,FINANCIACION[[#This Row],[$ CAPITAL]])</f>
        <v>1496187.629999999</v>
      </c>
      <c r="J648" s="33">
        <f>IF(FINANCIACION[[#This Row],[$ CAPITAL]]&gt;=0,FINANCIACION[[#This Row],[$ CAPITAL]]+FINANCIACION[[#This Row],[$ INTERESES]],0)</f>
        <v>1509000</v>
      </c>
    </row>
    <row r="649" spans="1:10" ht="24" hidden="1" customHeight="1" x14ac:dyDescent="0.3">
      <c r="A649" s="131">
        <v>44370</v>
      </c>
      <c r="B649" s="50" t="s">
        <v>546</v>
      </c>
      <c r="C649" s="5">
        <v>1241305.5700000003</v>
      </c>
      <c r="D649" s="5">
        <v>10694.429999999702</v>
      </c>
      <c r="E649" s="5">
        <f>+IF(FINANCIACION[[#This Row],[$ CAPITAL]]&gt;=0,FINANCIACION[[#This Row],[$ CAPITAL]]+FINANCIACION[[#This Row],[$ INTERESES]],"")</f>
        <v>1252000</v>
      </c>
      <c r="F649" s="5">
        <f>+SUMIFS(FINANCIACION[$ CAPITAL],FINANCIACION[Fecha],"&lt;="&amp;FINANCIACION[[#This Row],[Fecha]],FINANCIACION[PRESTAMO],FINANCIACION[[#This Row],[PRESTAMO]])</f>
        <v>-24790595.739999998</v>
      </c>
      <c r="G649" s="53"/>
      <c r="H649" s="53"/>
      <c r="I649" s="5">
        <f>IF(FINANCIACION[[#This Row],[$ CAPITAL]]&gt;0,FINANCIACION[[#This Row],[$ CAPITAL]])</f>
        <v>1241305.5700000003</v>
      </c>
      <c r="J649" s="33">
        <f>IF(FINANCIACION[[#This Row],[$ CAPITAL]]&gt;=0,FINANCIACION[[#This Row],[$ CAPITAL]]+FINANCIACION[[#This Row],[$ INTERESES]],0)</f>
        <v>1252000</v>
      </c>
    </row>
    <row r="650" spans="1:10" ht="24" hidden="1" customHeight="1" x14ac:dyDescent="0.3">
      <c r="A650" s="131">
        <v>44371</v>
      </c>
      <c r="B650" s="50" t="s">
        <v>538</v>
      </c>
      <c r="C650" s="5">
        <v>2519439.0600000024</v>
      </c>
      <c r="D650" s="5">
        <v>22560.939999997616</v>
      </c>
      <c r="E650" s="5">
        <f>+IF(FINANCIACION[[#This Row],[$ CAPITAL]]&gt;=0,FINANCIACION[[#This Row],[$ CAPITAL]]+FINANCIACION[[#This Row],[$ INTERESES]],"")</f>
        <v>2542000</v>
      </c>
      <c r="F650" s="5">
        <f>+SUMIFS(FINANCIACION[$ CAPITAL],FINANCIACION[Fecha],"&lt;="&amp;FINANCIACION[[#This Row],[Fecha]],FINANCIACION[PRESTAMO],FINANCIACION[[#This Row],[PRESTAMO]])</f>
        <v>-52299048.060000002</v>
      </c>
      <c r="G650" s="53"/>
      <c r="H650" s="53"/>
      <c r="I650" s="5">
        <f>IF(FINANCIACION[[#This Row],[$ CAPITAL]]&gt;0,FINANCIACION[[#This Row],[$ CAPITAL]])</f>
        <v>2519439.0600000024</v>
      </c>
      <c r="J650" s="33">
        <f>IF(FINANCIACION[[#This Row],[$ CAPITAL]]&gt;=0,FINANCIACION[[#This Row],[$ CAPITAL]]+FINANCIACION[[#This Row],[$ INTERESES]],0)</f>
        <v>2542000</v>
      </c>
    </row>
    <row r="651" spans="1:10" ht="24" hidden="1" customHeight="1" x14ac:dyDescent="0.3">
      <c r="A651" s="131">
        <v>44372</v>
      </c>
      <c r="B651" s="50" t="s">
        <v>539</v>
      </c>
      <c r="C651" s="5">
        <v>3713546.1699999869</v>
      </c>
      <c r="D651" s="5">
        <v>36453.830000013113</v>
      </c>
      <c r="E651" s="5">
        <f>+IF(FINANCIACION[[#This Row],[$ CAPITAL]]&gt;=0,FINANCIACION[[#This Row],[$ CAPITAL]]+FINANCIACION[[#This Row],[$ INTERESES]],"")</f>
        <v>3750000</v>
      </c>
      <c r="F651" s="5">
        <f>+SUMIFS(FINANCIACION[$ CAPITAL],FINANCIACION[Fecha],"&lt;="&amp;FINANCIACION[[#This Row],[Fecha]],FINANCIACION[PRESTAMO],FINANCIACION[[#This Row],[PRESTAMO]])</f>
        <v>-75853658.510000005</v>
      </c>
      <c r="G651" s="53"/>
      <c r="H651" s="53"/>
      <c r="I651" s="5">
        <f>IF(FINANCIACION[[#This Row],[$ CAPITAL]]&gt;0,FINANCIACION[[#This Row],[$ CAPITAL]])</f>
        <v>3713546.1699999869</v>
      </c>
      <c r="J651" s="33">
        <f>IF(FINANCIACION[[#This Row],[$ CAPITAL]]&gt;=0,FINANCIACION[[#This Row],[$ CAPITAL]]+FINANCIACION[[#This Row],[$ INTERESES]],0)</f>
        <v>3750000</v>
      </c>
    </row>
    <row r="652" spans="1:10" ht="24" hidden="1" customHeight="1" x14ac:dyDescent="0.3">
      <c r="A652" s="131">
        <v>44373</v>
      </c>
      <c r="B652" s="50" t="s">
        <v>540</v>
      </c>
      <c r="C652" s="5">
        <v>993488.5700000003</v>
      </c>
      <c r="D652" s="5">
        <v>9511.429999999702</v>
      </c>
      <c r="E652" s="5">
        <f>+IF(FINANCIACION[[#This Row],[$ CAPITAL]]&gt;=0,FINANCIACION[[#This Row],[$ CAPITAL]]+FINANCIACION[[#This Row],[$ INTERESES]],"")</f>
        <v>1003000</v>
      </c>
      <c r="F652" s="5">
        <f>+SUMIFS(FINANCIACION[$ CAPITAL],FINANCIACION[Fecha],"&lt;="&amp;FINANCIACION[[#This Row],[Fecha]],FINANCIACION[PRESTAMO],FINANCIACION[[#This Row],[PRESTAMO]])</f>
        <v>-21288613.34</v>
      </c>
      <c r="G652" s="53"/>
      <c r="H652" s="53"/>
      <c r="I652" s="5">
        <f>IF(FINANCIACION[[#This Row],[$ CAPITAL]]&gt;0,FINANCIACION[[#This Row],[$ CAPITAL]])</f>
        <v>993488.5700000003</v>
      </c>
      <c r="J652" s="33">
        <f>IF(FINANCIACION[[#This Row],[$ CAPITAL]]&gt;=0,FINANCIACION[[#This Row],[$ CAPITAL]]+FINANCIACION[[#This Row],[$ INTERESES]],0)</f>
        <v>1003000</v>
      </c>
    </row>
    <row r="653" spans="1:10" ht="24" hidden="1" customHeight="1" x14ac:dyDescent="0.3">
      <c r="A653" s="131">
        <v>44374</v>
      </c>
      <c r="B653" s="50" t="s">
        <v>542</v>
      </c>
      <c r="C653" s="5">
        <v>1046623.2200000025</v>
      </c>
      <c r="D653" s="5">
        <v>10376.779999997467</v>
      </c>
      <c r="E653" s="5">
        <f>+IF(FINANCIACION[[#This Row],[$ CAPITAL]]&gt;=0,FINANCIACION[[#This Row],[$ CAPITAL]]+FINANCIACION[[#This Row],[$ INTERESES]],"")</f>
        <v>1057000</v>
      </c>
      <c r="F653" s="5">
        <f>+SUMIFS(FINANCIACION[$ CAPITAL],FINANCIACION[Fecha],"&lt;="&amp;FINANCIACION[[#This Row],[Fecha]],FINANCIACION[PRESTAMO],FINANCIACION[[#This Row],[PRESTAMO]])</f>
        <v>-23225449.379999999</v>
      </c>
      <c r="G653" s="53"/>
      <c r="H653" s="53"/>
      <c r="I653" s="5">
        <f>IF(FINANCIACION[[#This Row],[$ CAPITAL]]&gt;0,FINANCIACION[[#This Row],[$ CAPITAL]])</f>
        <v>1046623.2200000025</v>
      </c>
      <c r="J653" s="33">
        <f>IF(FINANCIACION[[#This Row],[$ CAPITAL]]&gt;=0,FINANCIACION[[#This Row],[$ CAPITAL]]+FINANCIACION[[#This Row],[$ INTERESES]],0)</f>
        <v>1057000</v>
      </c>
    </row>
    <row r="654" spans="1:10" ht="24" hidden="1" customHeight="1" x14ac:dyDescent="0.3">
      <c r="A654" s="131">
        <v>44375</v>
      </c>
      <c r="B654" s="50" t="s">
        <v>534</v>
      </c>
      <c r="C654" s="5">
        <v>11613334</v>
      </c>
      <c r="D654" s="5">
        <v>235877</v>
      </c>
      <c r="E654" s="5">
        <f>+IF(FINANCIACION[[#This Row],[$ CAPITAL]]&gt;=0,FINANCIACION[[#This Row],[$ CAPITAL]]+FINANCIACION[[#This Row],[$ INTERESES]],"")</f>
        <v>11849211</v>
      </c>
      <c r="F654" s="5">
        <f>+SUMIFS(FINANCIACION[$ CAPITAL],FINANCIACION[Fecha],"&lt;="&amp;FINANCIACION[[#This Row],[Fecha]],FINANCIACION[PRESTAMO],FINANCIACION[[#This Row],[PRESTAMO]])</f>
        <v>-344444698</v>
      </c>
      <c r="G654" s="53"/>
      <c r="H654" s="53"/>
      <c r="I654" s="5">
        <f>IF(FINANCIACION[[#This Row],[$ CAPITAL]]&gt;0,FINANCIACION[[#This Row],[$ CAPITAL]])</f>
        <v>11613334</v>
      </c>
      <c r="J654" s="33">
        <f>IF(FINANCIACION[[#This Row],[$ CAPITAL]]&gt;=0,FINANCIACION[[#This Row],[$ CAPITAL]]+FINANCIACION[[#This Row],[$ INTERESES]],0)</f>
        <v>11849211</v>
      </c>
    </row>
    <row r="655" spans="1:10" ht="24" hidden="1" customHeight="1" x14ac:dyDescent="0.3">
      <c r="A655" s="131">
        <v>44377</v>
      </c>
      <c r="B655" s="50" t="s">
        <v>146</v>
      </c>
      <c r="C655" s="5">
        <v>1468400</v>
      </c>
      <c r="D655" s="5">
        <v>453711</v>
      </c>
      <c r="E655" s="5">
        <f>+IF(FINANCIACION[[#This Row],[$ CAPITAL]]&gt;=0,FINANCIACION[[#This Row],[$ CAPITAL]]+FINANCIACION[[#This Row],[$ INTERESES]],"")</f>
        <v>1922111</v>
      </c>
      <c r="F655" s="5">
        <f>+SUMIFS(FINANCIACION[$ CAPITAL],FINANCIACION[Fecha],"&lt;="&amp;FINANCIACION[[#This Row],[Fecha]],FINANCIACION[PRESTAMO],FINANCIACION[[#This Row],[PRESTAMO]])</f>
        <v>-48457200</v>
      </c>
      <c r="G655" s="53"/>
      <c r="H655" s="53"/>
      <c r="I655" s="5">
        <f>IF(FINANCIACION[[#This Row],[$ CAPITAL]]&gt;0,FINANCIACION[[#This Row],[$ CAPITAL]])</f>
        <v>1468400</v>
      </c>
      <c r="J655" s="33">
        <f>IF(FINANCIACION[[#This Row],[$ CAPITAL]]&gt;=0,FINANCIACION[[#This Row],[$ CAPITAL]]+FINANCIACION[[#This Row],[$ INTERESES]],0)</f>
        <v>1922111</v>
      </c>
    </row>
    <row r="656" spans="1:10" ht="24" hidden="1" customHeight="1" x14ac:dyDescent="0.3">
      <c r="A656" s="131">
        <v>44377</v>
      </c>
      <c r="B656" s="50" t="s">
        <v>147</v>
      </c>
      <c r="C656" s="5">
        <v>76791</v>
      </c>
      <c r="D656" s="5"/>
      <c r="E656" s="5">
        <f>+IF(FINANCIACION[[#This Row],[$ CAPITAL]]&gt;=0,FINANCIACION[[#This Row],[$ CAPITAL]]+FINANCIACION[[#This Row],[$ INTERESES]],"")</f>
        <v>76791</v>
      </c>
      <c r="F656" s="5">
        <f>+SUMIFS(FINANCIACION[$ CAPITAL],FINANCIACION[Fecha],"&lt;="&amp;FINANCIACION[[#This Row],[Fecha]],FINANCIACION[PRESTAMO],FINANCIACION[[#This Row],[PRESTAMO]])</f>
        <v>-2534103</v>
      </c>
      <c r="G656" s="53"/>
      <c r="H656" s="53"/>
      <c r="I656" s="5">
        <f>IF(FINANCIACION[[#This Row],[$ CAPITAL]]&gt;0,FINANCIACION[[#This Row],[$ CAPITAL]])</f>
        <v>76791</v>
      </c>
      <c r="J656" s="33">
        <f>IF(FINANCIACION[[#This Row],[$ CAPITAL]]&gt;=0,FINANCIACION[[#This Row],[$ CAPITAL]]+FINANCIACION[[#This Row],[$ INTERESES]],0)</f>
        <v>76791</v>
      </c>
    </row>
    <row r="657" spans="1:34" ht="24" hidden="1" customHeight="1" x14ac:dyDescent="0.3">
      <c r="A657" s="131">
        <v>44377</v>
      </c>
      <c r="B657" s="50" t="s">
        <v>234</v>
      </c>
      <c r="C657" s="5">
        <v>-22522714</v>
      </c>
      <c r="D657" s="5"/>
      <c r="E657" s="5" t="str">
        <f>+IF(FINANCIACION[[#This Row],[$ CAPITAL]]&gt;=0,FINANCIACION[[#This Row],[$ CAPITAL]]+FINANCIACION[[#This Row],[$ INTERESES]],"")</f>
        <v/>
      </c>
      <c r="F657" s="5">
        <f>+SUMIFS(FINANCIACION[$ CAPITAL],FINANCIACION[Fecha],"&lt;="&amp;FINANCIACION[[#This Row],[Fecha]],FINANCIACION[PRESTAMO],FINANCIACION[[#This Row],[PRESTAMO]])</f>
        <v>-22522714</v>
      </c>
      <c r="G657" s="53" t="s">
        <v>235</v>
      </c>
      <c r="H657" s="53">
        <v>-5927.03</v>
      </c>
      <c r="I657" s="5" t="b">
        <f>IF(FINANCIACION[[#This Row],[$ CAPITAL]]&gt;0,FINANCIACION[[#This Row],[$ CAPITAL]])</f>
        <v>0</v>
      </c>
      <c r="J657" s="33">
        <f>IF(FINANCIACION[[#This Row],[$ CAPITAL]]&gt;=0,FINANCIACION[[#This Row],[$ CAPITAL]]+FINANCIACION[[#This Row],[$ INTERESES]],0)</f>
        <v>0</v>
      </c>
    </row>
    <row r="658" spans="1:34" ht="24" hidden="1" customHeight="1" x14ac:dyDescent="0.3">
      <c r="A658" s="131">
        <v>44377</v>
      </c>
      <c r="B658" s="50" t="s">
        <v>1488</v>
      </c>
      <c r="C658" s="5">
        <v>-1409465</v>
      </c>
      <c r="D658" s="5"/>
      <c r="E658" s="5" t="str">
        <f>+IF(FINANCIACION[[#This Row],[$ CAPITAL]]&gt;=0,FINANCIACION[[#This Row],[$ CAPITAL]]+FINANCIACION[[#This Row],[$ INTERESES]],"")</f>
        <v/>
      </c>
      <c r="F658" s="5">
        <f>+SUMIFS(FINANCIACION[$ CAPITAL],FINANCIACION[Fecha],"&lt;="&amp;FINANCIACION[[#This Row],[Fecha]],FINANCIACION[PRESTAMO],FINANCIACION[[#This Row],[PRESTAMO]])</f>
        <v>-1409465</v>
      </c>
      <c r="G658" s="53" t="s">
        <v>170</v>
      </c>
      <c r="H658" s="53"/>
      <c r="I658" s="5" t="b">
        <f>IF(FINANCIACION[[#This Row],[$ CAPITAL]]&gt;0,FINANCIACION[[#This Row],[$ CAPITAL]])</f>
        <v>0</v>
      </c>
      <c r="J658" s="33">
        <f>IF(FINANCIACION[[#This Row],[$ CAPITAL]]&gt;=0,FINANCIACION[[#This Row],[$ CAPITAL]]+FINANCIACION[[#This Row],[$ INTERESES]],0)</f>
        <v>0</v>
      </c>
    </row>
    <row r="659" spans="1:34" ht="24" hidden="1" customHeight="1" x14ac:dyDescent="0.3">
      <c r="A659" s="131">
        <v>44377</v>
      </c>
      <c r="B659" s="50" t="s">
        <v>154</v>
      </c>
      <c r="C659" s="5">
        <v>1790</v>
      </c>
      <c r="D659" s="5"/>
      <c r="E659" s="5">
        <f>+IF(FINANCIACION[[#This Row],[$ CAPITAL]]&gt;=0,FINANCIACION[[#This Row],[$ CAPITAL]]+FINANCIACION[[#This Row],[$ INTERESES]],"")</f>
        <v>1790</v>
      </c>
      <c r="F659" s="5">
        <f>+SUMIFS(FINANCIACION[$ CAPITAL],FINANCIACION[Fecha],"&lt;="&amp;FINANCIACION[[#This Row],[Fecha]],FINANCIACION[PRESTAMO],FINANCIACION[[#This Row],[PRESTAMO]])</f>
        <v>-23753800</v>
      </c>
      <c r="G659" s="53" t="s">
        <v>170</v>
      </c>
      <c r="H659" s="53"/>
      <c r="I659" s="5">
        <f>IF(FINANCIACION[[#This Row],[$ CAPITAL]]&gt;0,FINANCIACION[[#This Row],[$ CAPITAL]])</f>
        <v>1790</v>
      </c>
      <c r="J659" s="33">
        <f>IF(FINANCIACION[[#This Row],[$ CAPITAL]]&gt;=0,FINANCIACION[[#This Row],[$ CAPITAL]]+FINANCIACION[[#This Row],[$ INTERESES]],0)</f>
        <v>1790</v>
      </c>
    </row>
    <row r="660" spans="1:34" ht="24" hidden="1" customHeight="1" x14ac:dyDescent="0.3">
      <c r="A660" s="131">
        <v>44377</v>
      </c>
      <c r="B660" s="50" t="s">
        <v>155</v>
      </c>
      <c r="C660" s="5">
        <v>-2469502</v>
      </c>
      <c r="D660" s="5"/>
      <c r="E660" s="5" t="str">
        <f>+IF(FINANCIACION[[#This Row],[$ CAPITAL]]&gt;=0,FINANCIACION[[#This Row],[$ CAPITAL]]+FINANCIACION[[#This Row],[$ INTERESES]],"")</f>
        <v/>
      </c>
      <c r="F660" s="5">
        <f>+SUMIFS(FINANCIACION[$ CAPITAL],FINANCIACION[Fecha],"&lt;="&amp;FINANCIACION[[#This Row],[Fecha]],FINANCIACION[PRESTAMO],FINANCIACION[[#This Row],[PRESTAMO]])</f>
        <v>-5919563</v>
      </c>
      <c r="G660" s="53" t="s">
        <v>170</v>
      </c>
      <c r="H660" s="53"/>
      <c r="I660" s="5" t="b">
        <f>IF(FINANCIACION[[#This Row],[$ CAPITAL]]&gt;0,FINANCIACION[[#This Row],[$ CAPITAL]])</f>
        <v>0</v>
      </c>
      <c r="J660" s="33">
        <f>IF(FINANCIACION[[#This Row],[$ CAPITAL]]&gt;=0,FINANCIACION[[#This Row],[$ CAPITAL]]+FINANCIACION[[#This Row],[$ INTERESES]],0)</f>
        <v>0</v>
      </c>
    </row>
    <row r="661" spans="1:34" ht="24" hidden="1" customHeight="1" x14ac:dyDescent="0.3">
      <c r="A661" s="131">
        <v>44379</v>
      </c>
      <c r="B661" s="50" t="s">
        <v>150</v>
      </c>
      <c r="C661" s="5">
        <v>6326000</v>
      </c>
      <c r="D661" s="5">
        <v>365283.37</v>
      </c>
      <c r="E661" s="5">
        <f>+IF(FINANCIACION[[#This Row],[$ CAPITAL]]&gt;=0,FINANCIACION[[#This Row],[$ CAPITAL]]+FINANCIACION[[#This Row],[$ INTERESES]],"")</f>
        <v>6691283.3700000001</v>
      </c>
      <c r="F661" s="5">
        <f>+SUMIFS(FINANCIACION[$ CAPITAL],FINANCIACION[Fecha],"&lt;="&amp;FINANCIACION[[#This Row],[Fecha]],FINANCIACION[PRESTAMO],FINANCIACION[[#This Row],[PRESTAMO]])</f>
        <v>-47713126</v>
      </c>
      <c r="G661" s="53"/>
      <c r="H661" s="53"/>
      <c r="I661" s="5">
        <f>IF(FINANCIACION[[#This Row],[$ CAPITAL]]&gt;0,FINANCIACION[[#This Row],[$ CAPITAL]])</f>
        <v>6326000</v>
      </c>
      <c r="J661" s="33">
        <f>IF(FINANCIACION[[#This Row],[$ CAPITAL]]&gt;=0,FINANCIACION[[#This Row],[$ CAPITAL]]+FINANCIACION[[#This Row],[$ INTERESES]],0)</f>
        <v>6691283.3700000001</v>
      </c>
    </row>
    <row r="662" spans="1:34" ht="24" hidden="1" customHeight="1" x14ac:dyDescent="0.3">
      <c r="A662" s="131">
        <v>44389</v>
      </c>
      <c r="B662" s="50" t="s">
        <v>533</v>
      </c>
      <c r="C662" s="5">
        <v>3000000</v>
      </c>
      <c r="D662" s="5"/>
      <c r="E662" s="5">
        <f>+IF(FINANCIACION[[#This Row],[$ CAPITAL]]&gt;=0,FINANCIACION[[#This Row],[$ CAPITAL]]+FINANCIACION[[#This Row],[$ INTERESES]],"")</f>
        <v>3000000</v>
      </c>
      <c r="F662" s="5">
        <f>+SUMIFS(FINANCIACION[$ CAPITAL],FINANCIACION[Fecha],"&lt;="&amp;FINANCIACION[[#This Row],[Fecha]],FINANCIACION[PRESTAMO],FINANCIACION[[#This Row],[PRESTAMO]])</f>
        <v>-73428202.375413999</v>
      </c>
      <c r="G662" s="53"/>
      <c r="H662" s="53"/>
      <c r="I662" s="5">
        <f>IF(FINANCIACION[[#This Row],[$ CAPITAL]]&gt;0,FINANCIACION[[#This Row],[$ CAPITAL]])</f>
        <v>3000000</v>
      </c>
      <c r="J662" s="33">
        <f>IF(FINANCIACION[[#This Row],[$ CAPITAL]]&gt;=0,FINANCIACION[[#This Row],[$ CAPITAL]]+FINANCIACION[[#This Row],[$ INTERESES]],0)</f>
        <v>3000000</v>
      </c>
    </row>
    <row r="663" spans="1:34" ht="24" hidden="1" customHeight="1" x14ac:dyDescent="0.3">
      <c r="A663" s="131">
        <v>44389</v>
      </c>
      <c r="B663" s="50" t="s">
        <v>1488</v>
      </c>
      <c r="C663" s="5">
        <v>1000000</v>
      </c>
      <c r="D663" s="5"/>
      <c r="E663" s="5">
        <f>+IF(FINANCIACION[[#This Row],[$ CAPITAL]]&gt;=0,FINANCIACION[[#This Row],[$ CAPITAL]]+FINANCIACION[[#This Row],[$ INTERESES]],"")</f>
        <v>1000000</v>
      </c>
      <c r="F663" s="5">
        <f>+SUMIFS(FINANCIACION[$ CAPITAL],FINANCIACION[Fecha],"&lt;="&amp;FINANCIACION[[#This Row],[Fecha]],FINANCIACION[PRESTAMO],FINANCIACION[[#This Row],[PRESTAMO]])</f>
        <v>-409465</v>
      </c>
      <c r="G663" s="53"/>
      <c r="H663" s="53"/>
      <c r="I663" s="5">
        <f>IF(FINANCIACION[[#This Row],[$ CAPITAL]]&gt;0,FINANCIACION[[#This Row],[$ CAPITAL]])</f>
        <v>1000000</v>
      </c>
      <c r="J663" s="33">
        <f>IF(FINANCIACION[[#This Row],[$ CAPITAL]]&gt;=0,FINANCIACION[[#This Row],[$ CAPITAL]]+FINANCIACION[[#This Row],[$ INTERESES]],0)</f>
        <v>1000000</v>
      </c>
    </row>
    <row r="664" spans="1:34" ht="24" hidden="1" customHeight="1" x14ac:dyDescent="0.3">
      <c r="A664" s="131">
        <v>44389</v>
      </c>
      <c r="B664" s="50" t="s">
        <v>154</v>
      </c>
      <c r="C664" s="5">
        <v>3829460</v>
      </c>
      <c r="D664" s="5"/>
      <c r="E664" s="5">
        <f>+IF(FINANCIACION[[#This Row],[$ CAPITAL]]&gt;=0,FINANCIACION[[#This Row],[$ CAPITAL]]+FINANCIACION[[#This Row],[$ INTERESES]],"")</f>
        <v>3829460</v>
      </c>
      <c r="F664" s="5">
        <f>+SUMIFS(FINANCIACION[$ CAPITAL],FINANCIACION[Fecha],"&lt;="&amp;FINANCIACION[[#This Row],[Fecha]],FINANCIACION[PRESTAMO],FINANCIACION[[#This Row],[PRESTAMO]])</f>
        <v>-19924340</v>
      </c>
      <c r="G664" s="53"/>
      <c r="H664" s="53"/>
      <c r="I664" s="5">
        <f>IF(FINANCIACION[[#This Row],[$ CAPITAL]]&gt;0,FINANCIACION[[#This Row],[$ CAPITAL]])</f>
        <v>3829460</v>
      </c>
      <c r="J664" s="33">
        <f>IF(FINANCIACION[[#This Row],[$ CAPITAL]]&gt;=0,FINANCIACION[[#This Row],[$ CAPITAL]]+FINANCIACION[[#This Row],[$ INTERESES]],0)</f>
        <v>3829460</v>
      </c>
    </row>
    <row r="665" spans="1:34" ht="24" hidden="1" customHeight="1" x14ac:dyDescent="0.3">
      <c r="A665" s="131">
        <v>44389</v>
      </c>
      <c r="B665" s="50" t="s">
        <v>155</v>
      </c>
      <c r="C665" s="5">
        <v>1000000</v>
      </c>
      <c r="D665" s="5"/>
      <c r="E665" s="5">
        <f>+IF(FINANCIACION[[#This Row],[$ CAPITAL]]&gt;=0,FINANCIACION[[#This Row],[$ CAPITAL]]+FINANCIACION[[#This Row],[$ INTERESES]],"")</f>
        <v>1000000</v>
      </c>
      <c r="F665" s="5">
        <f>+SUMIFS(FINANCIACION[$ CAPITAL],FINANCIACION[Fecha],"&lt;="&amp;FINANCIACION[[#This Row],[Fecha]],FINANCIACION[PRESTAMO],FINANCIACION[[#This Row],[PRESTAMO]])</f>
        <v>-4919563</v>
      </c>
      <c r="G665" s="53"/>
      <c r="H665" s="53"/>
      <c r="I665" s="5">
        <f>IF(FINANCIACION[[#This Row],[$ CAPITAL]]&gt;0,FINANCIACION[[#This Row],[$ CAPITAL]])</f>
        <v>1000000</v>
      </c>
      <c r="J665" s="33">
        <f>IF(FINANCIACION[[#This Row],[$ CAPITAL]]&gt;=0,FINANCIACION[[#This Row],[$ CAPITAL]]+FINANCIACION[[#This Row],[$ INTERESES]],0)</f>
        <v>1000000</v>
      </c>
    </row>
    <row r="666" spans="1:34" ht="24" hidden="1" customHeight="1" x14ac:dyDescent="0.3">
      <c r="A666" s="131">
        <v>44390</v>
      </c>
      <c r="B666" s="50" t="s">
        <v>543</v>
      </c>
      <c r="C666" s="5"/>
      <c r="D666" s="5">
        <v>130000</v>
      </c>
      <c r="E666" s="5">
        <f>+IF(FINANCIACION[[#This Row],[$ CAPITAL]]&gt;=0,FINANCIACION[[#This Row],[$ CAPITAL]]+FINANCIACION[[#This Row],[$ INTERESES]],"")</f>
        <v>130000</v>
      </c>
      <c r="F666" s="5">
        <f>+SUMIFS(FINANCIACION[$ CAPITAL],FINANCIACION[Fecha],"&lt;="&amp;FINANCIACION[[#This Row],[Fecha]],FINANCIACION[PRESTAMO],FINANCIACION[[#This Row],[PRESTAMO]])</f>
        <v>-13000000</v>
      </c>
      <c r="G666" s="53"/>
      <c r="H666" s="53"/>
      <c r="I666" s="5" t="b">
        <f>IF(FINANCIACION[[#This Row],[$ CAPITAL]]&gt;0,FINANCIACION[[#This Row],[$ CAPITAL]])</f>
        <v>0</v>
      </c>
      <c r="J666" s="33">
        <f>IF(FINANCIACION[[#This Row],[$ CAPITAL]]&gt;=0,FINANCIACION[[#This Row],[$ CAPITAL]]+FINANCIACION[[#This Row],[$ INTERESES]],0)</f>
        <v>130000</v>
      </c>
      <c r="K666" s="180"/>
      <c r="L666" s="180"/>
      <c r="M666" s="180"/>
      <c r="N666" s="181"/>
      <c r="O666" s="185"/>
      <c r="P666" s="180"/>
      <c r="Q666" s="180"/>
      <c r="R666" s="180"/>
      <c r="S666" s="180"/>
      <c r="T666" s="180"/>
      <c r="U666" s="180"/>
      <c r="V666" s="180"/>
      <c r="W666" s="180"/>
      <c r="X666" s="180"/>
      <c r="Y666" s="180"/>
      <c r="Z666" s="180"/>
      <c r="AA666" s="180"/>
      <c r="AB666" s="180"/>
      <c r="AC666" s="180"/>
      <c r="AD666" s="180"/>
      <c r="AE666" s="180"/>
      <c r="AF666" s="180"/>
      <c r="AG666" s="180"/>
      <c r="AH666" s="180"/>
    </row>
    <row r="667" spans="1:34" ht="24" hidden="1" customHeight="1" x14ac:dyDescent="0.3">
      <c r="A667" s="131">
        <v>44390</v>
      </c>
      <c r="B667" s="50" t="s">
        <v>532</v>
      </c>
      <c r="C667" s="5">
        <v>1859999.0763010732</v>
      </c>
      <c r="D667" s="5">
        <v>807378.92369892669</v>
      </c>
      <c r="E667" s="5">
        <f>+IF(FINANCIACION[[#This Row],[$ CAPITAL]]&gt;=0,FINANCIACION[[#This Row],[$ CAPITAL]]+FINANCIACION[[#This Row],[$ INTERESES]],"")</f>
        <v>2667378</v>
      </c>
      <c r="F667" s="5">
        <f>+SUMIFS(FINANCIACION[$ CAPITAL],FINANCIACION[Fecha],"&lt;="&amp;FINANCIACION[[#This Row],[Fecha]],FINANCIACION[PRESTAMO],FINANCIACION[[#This Row],[PRESTAMO]])</f>
        <v>-78877893.293591604</v>
      </c>
      <c r="G667" s="7"/>
      <c r="H667" s="53"/>
      <c r="I667" s="5">
        <f>IF(FINANCIACION[[#This Row],[$ CAPITAL]]&gt;0,FINANCIACION[[#This Row],[$ CAPITAL]])</f>
        <v>1859999.0763010732</v>
      </c>
      <c r="J667" s="33">
        <f>IF(FINANCIACION[[#This Row],[$ CAPITAL]]&gt;=0,FINANCIACION[[#This Row],[$ CAPITAL]]+FINANCIACION[[#This Row],[$ INTERESES]],0)</f>
        <v>2667378</v>
      </c>
    </row>
    <row r="668" spans="1:34" ht="24" hidden="1" customHeight="1" x14ac:dyDescent="0.3">
      <c r="A668" s="131">
        <v>44390</v>
      </c>
      <c r="B668" s="50" t="s">
        <v>536</v>
      </c>
      <c r="C668" s="5">
        <v>720386.45920000004</v>
      </c>
      <c r="D668" s="5">
        <v>579613.54079999996</v>
      </c>
      <c r="E668" s="5">
        <f>+IF(FINANCIACION[[#This Row],[$ CAPITAL]]&gt;=0,FINANCIACION[[#This Row],[$ CAPITAL]]+FINANCIACION[[#This Row],[$ INTERESES]],"")</f>
        <v>1300000</v>
      </c>
      <c r="F668" s="5">
        <f>+SUMIFS(FINANCIACION[$ CAPITAL],FINANCIACION[Fecha],"&lt;="&amp;FINANCIACION[[#This Row],[Fecha]],FINANCIACION[PRESTAMO],FINANCIACION[[#This Row],[PRESTAMO]])</f>
        <v>-57240967.620799996</v>
      </c>
      <c r="G668" s="53"/>
      <c r="H668" s="53"/>
      <c r="I668" s="5">
        <f>IF(FINANCIACION[[#This Row],[$ CAPITAL]]&gt;0,FINANCIACION[[#This Row],[$ CAPITAL]])</f>
        <v>720386.45920000004</v>
      </c>
      <c r="J668" s="33">
        <f>IF(FINANCIACION[[#This Row],[$ CAPITAL]]&gt;=0,FINANCIACION[[#This Row],[$ CAPITAL]]+FINANCIACION[[#This Row],[$ INTERESES]],0)</f>
        <v>1300000</v>
      </c>
    </row>
    <row r="669" spans="1:34" ht="24" hidden="1" customHeight="1" x14ac:dyDescent="0.3">
      <c r="A669" s="131">
        <v>44390</v>
      </c>
      <c r="B669" s="50" t="s">
        <v>533</v>
      </c>
      <c r="C669" s="5">
        <v>467424.85484586004</v>
      </c>
      <c r="D669" s="5">
        <v>732575.14515413996</v>
      </c>
      <c r="E669" s="5">
        <f>+IF(FINANCIACION[[#This Row],[$ CAPITAL]]&gt;=0,FINANCIACION[[#This Row],[$ CAPITAL]]+FINANCIACION[[#This Row],[$ INTERESES]],"")</f>
        <v>1200000</v>
      </c>
      <c r="F669" s="5">
        <f>+SUMIFS(FINANCIACION[$ CAPITAL],FINANCIACION[Fecha],"&lt;="&amp;FINANCIACION[[#This Row],[Fecha]],FINANCIACION[PRESTAMO],FINANCIACION[[#This Row],[PRESTAMO]])</f>
        <v>-72960777.520568132</v>
      </c>
      <c r="G669" s="53"/>
      <c r="H669" s="53"/>
      <c r="I669" s="179">
        <f>IF(FINANCIACION[[#This Row],[$ CAPITAL]]&gt;0,FINANCIACION[[#This Row],[$ CAPITAL]])</f>
        <v>467424.85484586004</v>
      </c>
      <c r="J669" s="184">
        <f>IF(FINANCIACION[[#This Row],[$ CAPITAL]]&gt;=0,FINANCIACION[[#This Row],[$ CAPITAL]]+FINANCIACION[[#This Row],[$ INTERESES]],0)</f>
        <v>1200000</v>
      </c>
    </row>
    <row r="670" spans="1:34" ht="24" hidden="1" customHeight="1" x14ac:dyDescent="0.3">
      <c r="A670" s="131">
        <v>44390</v>
      </c>
      <c r="B670" s="50" t="s">
        <v>545</v>
      </c>
      <c r="C670" s="5"/>
      <c r="D670" s="5">
        <v>120000</v>
      </c>
      <c r="E670" s="5">
        <f>+IF(FINANCIACION[[#This Row],[$ CAPITAL]]&gt;=0,FINANCIACION[[#This Row],[$ CAPITAL]]+FINANCIACION[[#This Row],[$ INTERESES]],"")</f>
        <v>120000</v>
      </c>
      <c r="F670" s="5">
        <f>+SUMIFS(FINANCIACION[$ CAPITAL],FINANCIACION[Fecha],"&lt;="&amp;FINANCIACION[[#This Row],[Fecha]],FINANCIACION[PRESTAMO],FINANCIACION[[#This Row],[PRESTAMO]])</f>
        <v>-12000000</v>
      </c>
      <c r="G670" s="53"/>
      <c r="H670" s="53"/>
      <c r="I670" s="5" t="b">
        <f>IF(FINANCIACION[[#This Row],[$ CAPITAL]]&gt;0,FINANCIACION[[#This Row],[$ CAPITAL]])</f>
        <v>0</v>
      </c>
      <c r="J670" s="33">
        <f>IF(FINANCIACION[[#This Row],[$ CAPITAL]]&gt;=0,FINANCIACION[[#This Row],[$ CAPITAL]]+FINANCIACION[[#This Row],[$ INTERESES]],0)</f>
        <v>120000</v>
      </c>
    </row>
    <row r="671" spans="1:34" ht="24" hidden="1" customHeight="1" x14ac:dyDescent="0.3">
      <c r="A671" s="131">
        <v>44391</v>
      </c>
      <c r="B671" s="50" t="s">
        <v>153</v>
      </c>
      <c r="C671" s="5"/>
      <c r="D671" s="5">
        <v>227850</v>
      </c>
      <c r="E671" s="5">
        <f>+IF(FINANCIACION[[#This Row],[$ CAPITAL]]&gt;=0,FINANCIACION[[#This Row],[$ CAPITAL]]+FINANCIACION[[#This Row],[$ INTERESES]],"")</f>
        <v>227850</v>
      </c>
      <c r="F671" s="5">
        <f>+SUMIFS(FINANCIACION[$ CAPITAL],FINANCIACION[Fecha],"&lt;="&amp;FINANCIACION[[#This Row],[Fecha]],FINANCIACION[PRESTAMO],FINANCIACION[[#This Row],[PRESTAMO]])</f>
        <v>-35000000</v>
      </c>
      <c r="G671" s="53"/>
      <c r="H671" s="53"/>
      <c r="I671" s="5" t="b">
        <f>IF(FINANCIACION[[#This Row],[$ CAPITAL]]&gt;0,FINANCIACION[[#This Row],[$ CAPITAL]])</f>
        <v>0</v>
      </c>
      <c r="J671" s="33">
        <f>IF(FINANCIACION[[#This Row],[$ CAPITAL]]&gt;=0,FINANCIACION[[#This Row],[$ CAPITAL]]+FINANCIACION[[#This Row],[$ INTERESES]],0)</f>
        <v>227850</v>
      </c>
    </row>
    <row r="672" spans="1:34" ht="24" hidden="1" customHeight="1" x14ac:dyDescent="0.3">
      <c r="A672" s="131">
        <v>44396</v>
      </c>
      <c r="B672" s="50" t="s">
        <v>1488</v>
      </c>
      <c r="C672" s="5">
        <v>484706</v>
      </c>
      <c r="D672" s="5"/>
      <c r="E672" s="5">
        <f>+IF(FINANCIACION[[#This Row],[$ CAPITAL]]&gt;=0,FINANCIACION[[#This Row],[$ CAPITAL]]+FINANCIACION[[#This Row],[$ INTERESES]],"")</f>
        <v>484706</v>
      </c>
      <c r="F672" s="5">
        <f>+SUMIFS(FINANCIACION[$ CAPITAL],FINANCIACION[Fecha],"&lt;="&amp;FINANCIACION[[#This Row],[Fecha]],FINANCIACION[PRESTAMO],FINANCIACION[[#This Row],[PRESTAMO]])</f>
        <v>75241</v>
      </c>
      <c r="G672" s="53"/>
      <c r="H672" s="53"/>
      <c r="I672" s="5">
        <f>IF(FINANCIACION[[#This Row],[$ CAPITAL]]&gt;0,FINANCIACION[[#This Row],[$ CAPITAL]])</f>
        <v>484706</v>
      </c>
      <c r="J672" s="33">
        <f>IF(FINANCIACION[[#This Row],[$ CAPITAL]]&gt;=0,FINANCIACION[[#This Row],[$ CAPITAL]]+FINANCIACION[[#This Row],[$ INTERESES]],0)</f>
        <v>484706</v>
      </c>
    </row>
    <row r="673" spans="1:10" ht="24" hidden="1" customHeight="1" x14ac:dyDescent="0.3">
      <c r="A673" s="131">
        <v>44396</v>
      </c>
      <c r="B673" s="50" t="s">
        <v>154</v>
      </c>
      <c r="C673" s="5">
        <v>3808460</v>
      </c>
      <c r="D673" s="5"/>
      <c r="E673" s="5">
        <f>+IF(FINANCIACION[[#This Row],[$ CAPITAL]]&gt;=0,FINANCIACION[[#This Row],[$ CAPITAL]]+FINANCIACION[[#This Row],[$ INTERESES]],"")</f>
        <v>3808460</v>
      </c>
      <c r="F673" s="5">
        <f>+SUMIFS(FINANCIACION[$ CAPITAL],FINANCIACION[Fecha],"&lt;="&amp;FINANCIACION[[#This Row],[Fecha]],FINANCIACION[PRESTAMO],FINANCIACION[[#This Row],[PRESTAMO]])</f>
        <v>-16115880</v>
      </c>
      <c r="G673" s="53"/>
      <c r="H673" s="53"/>
      <c r="I673" s="5">
        <f>IF(FINANCIACION[[#This Row],[$ CAPITAL]]&gt;0,FINANCIACION[[#This Row],[$ CAPITAL]])</f>
        <v>3808460</v>
      </c>
      <c r="J673" s="33">
        <f>IF(FINANCIACION[[#This Row],[$ CAPITAL]]&gt;=0,FINANCIACION[[#This Row],[$ CAPITAL]]+FINANCIACION[[#This Row],[$ INTERESES]],0)</f>
        <v>3808460</v>
      </c>
    </row>
    <row r="674" spans="1:10" ht="24" hidden="1" customHeight="1" x14ac:dyDescent="0.3">
      <c r="A674" s="131">
        <v>44396</v>
      </c>
      <c r="B674" s="50" t="s">
        <v>155</v>
      </c>
      <c r="C674" s="5">
        <v>1000000</v>
      </c>
      <c r="D674" s="5"/>
      <c r="E674" s="5">
        <f>+IF(FINANCIACION[[#This Row],[$ CAPITAL]]&gt;=0,FINANCIACION[[#This Row],[$ CAPITAL]]+FINANCIACION[[#This Row],[$ INTERESES]],"")</f>
        <v>1000000</v>
      </c>
      <c r="F674" s="5">
        <f>+SUMIFS(FINANCIACION[$ CAPITAL],FINANCIACION[Fecha],"&lt;="&amp;FINANCIACION[[#This Row],[Fecha]],FINANCIACION[PRESTAMO],FINANCIACION[[#This Row],[PRESTAMO]])</f>
        <v>-3919563</v>
      </c>
      <c r="G674" s="53"/>
      <c r="H674" s="53"/>
      <c r="I674" s="5">
        <f>IF(FINANCIACION[[#This Row],[$ CAPITAL]]&gt;0,FINANCIACION[[#This Row],[$ CAPITAL]])</f>
        <v>1000000</v>
      </c>
      <c r="J674" s="33">
        <f>IF(FINANCIACION[[#This Row],[$ CAPITAL]]&gt;=0,FINANCIACION[[#This Row],[$ CAPITAL]]+FINANCIACION[[#This Row],[$ INTERESES]],0)</f>
        <v>1000000</v>
      </c>
    </row>
    <row r="675" spans="1:10" ht="24" hidden="1" customHeight="1" x14ac:dyDescent="0.3">
      <c r="A675" s="131">
        <v>44398</v>
      </c>
      <c r="B675" s="50" t="s">
        <v>546</v>
      </c>
      <c r="C675" s="5">
        <v>1234372.6199999973</v>
      </c>
      <c r="D675" s="5">
        <v>10627.380000002682</v>
      </c>
      <c r="E675" s="5">
        <f>+IF(FINANCIACION[[#This Row],[$ CAPITAL]]&gt;=0,FINANCIACION[[#This Row],[$ CAPITAL]]+FINANCIACION[[#This Row],[$ INTERESES]],"")</f>
        <v>1245000</v>
      </c>
      <c r="F675" s="5">
        <f>+SUMIFS(FINANCIACION[$ CAPITAL],FINANCIACION[Fecha],"&lt;="&amp;FINANCIACION[[#This Row],[Fecha]],FINANCIACION[PRESTAMO],FINANCIACION[[#This Row],[PRESTAMO]])</f>
        <v>-23556223.120000001</v>
      </c>
      <c r="G675" s="7"/>
      <c r="H675" s="53"/>
      <c r="I675" s="5">
        <f>IF(FINANCIACION[[#This Row],[$ CAPITAL]]&gt;0,FINANCIACION[[#This Row],[$ CAPITAL]])</f>
        <v>1234372.6199999973</v>
      </c>
      <c r="J675" s="33">
        <f>IF(FINANCIACION[[#This Row],[$ CAPITAL]]&gt;=0,FINANCIACION[[#This Row],[$ CAPITAL]]+FINANCIACION[[#This Row],[$ INTERESES]],0)</f>
        <v>1245000</v>
      </c>
    </row>
    <row r="676" spans="1:10" ht="24" hidden="1" customHeight="1" x14ac:dyDescent="0.3">
      <c r="A676" s="131">
        <v>44398</v>
      </c>
      <c r="B676" s="50" t="s">
        <v>540</v>
      </c>
      <c r="C676" s="5">
        <v>988148.28999999911</v>
      </c>
      <c r="D676" s="5">
        <v>8851.7100000008941</v>
      </c>
      <c r="E676" s="5">
        <f>+IF(FINANCIACION[[#This Row],[$ CAPITAL]]&gt;=0,FINANCIACION[[#This Row],[$ CAPITAL]]+FINANCIACION[[#This Row],[$ INTERESES]],"")</f>
        <v>997000</v>
      </c>
      <c r="F676" s="5">
        <f>+SUMIFS(FINANCIACION[$ CAPITAL],FINANCIACION[Fecha],"&lt;="&amp;FINANCIACION[[#This Row],[Fecha]],FINANCIACION[PRESTAMO],FINANCIACION[[#This Row],[PRESTAMO]])</f>
        <v>-20300465.050000001</v>
      </c>
      <c r="G676" s="53"/>
      <c r="H676" s="53"/>
      <c r="I676" s="5">
        <f>IF(FINANCIACION[[#This Row],[$ CAPITAL]]&gt;0,FINANCIACION[[#This Row],[$ CAPITAL]])</f>
        <v>988148.28999999911</v>
      </c>
      <c r="J676" s="33">
        <f>IF(FINANCIACION[[#This Row],[$ CAPITAL]]&gt;=0,FINANCIACION[[#This Row],[$ CAPITAL]]+FINANCIACION[[#This Row],[$ INTERESES]],0)</f>
        <v>997000</v>
      </c>
    </row>
    <row r="677" spans="1:10" ht="24" hidden="1" customHeight="1" x14ac:dyDescent="0.3">
      <c r="A677" s="131">
        <v>44398</v>
      </c>
      <c r="B677" s="50" t="s">
        <v>542</v>
      </c>
      <c r="C677" s="5">
        <v>1041327.2299999967</v>
      </c>
      <c r="D677" s="5">
        <v>9672.7700000032783</v>
      </c>
      <c r="E677" s="5">
        <f>+IF(FINANCIACION[[#This Row],[$ CAPITAL]]&gt;=0,FINANCIACION[[#This Row],[$ CAPITAL]]+FINANCIACION[[#This Row],[$ INTERESES]],"")</f>
        <v>1051000</v>
      </c>
      <c r="F677" s="5">
        <f>+SUMIFS(FINANCIACION[$ CAPITAL],FINANCIACION[Fecha],"&lt;="&amp;FINANCIACION[[#This Row],[Fecha]],FINANCIACION[PRESTAMO],FINANCIACION[[#This Row],[PRESTAMO]])</f>
        <v>-22184122.150000002</v>
      </c>
      <c r="G677" s="53"/>
      <c r="H677" s="53"/>
      <c r="I677" s="5">
        <f>IF(FINANCIACION[[#This Row],[$ CAPITAL]]&gt;0,FINANCIACION[[#This Row],[$ CAPITAL]])</f>
        <v>1041327.2299999967</v>
      </c>
      <c r="J677" s="33">
        <f>IF(FINANCIACION[[#This Row],[$ CAPITAL]]&gt;=0,FINANCIACION[[#This Row],[$ CAPITAL]]+FINANCIACION[[#This Row],[$ INTERESES]],0)</f>
        <v>1051000</v>
      </c>
    </row>
    <row r="678" spans="1:10" ht="24" hidden="1" customHeight="1" x14ac:dyDescent="0.3">
      <c r="A678" s="131">
        <v>44398</v>
      </c>
      <c r="B678" s="50" t="s">
        <v>538</v>
      </c>
      <c r="C678" s="5">
        <v>2507536.7899999991</v>
      </c>
      <c r="D678" s="5">
        <v>22463.210000000894</v>
      </c>
      <c r="E678" s="5">
        <f>+IF(FINANCIACION[[#This Row],[$ CAPITAL]]&gt;=0,FINANCIACION[[#This Row],[$ CAPITAL]]+FINANCIACION[[#This Row],[$ INTERESES]],"")</f>
        <v>2530000</v>
      </c>
      <c r="F678" s="5">
        <f>+SUMIFS(FINANCIACION[$ CAPITAL],FINANCIACION[Fecha],"&lt;="&amp;FINANCIACION[[#This Row],[Fecha]],FINANCIACION[PRESTAMO],FINANCIACION[[#This Row],[PRESTAMO]])</f>
        <v>-49791511.270000003</v>
      </c>
      <c r="G678" s="53"/>
      <c r="H678" s="53"/>
      <c r="I678" s="5">
        <f>IF(FINANCIACION[[#This Row],[$ CAPITAL]]&gt;0,FINANCIACION[[#This Row],[$ CAPITAL]])</f>
        <v>2507536.7899999991</v>
      </c>
      <c r="J678" s="33">
        <f>IF(FINANCIACION[[#This Row],[$ CAPITAL]]&gt;=0,FINANCIACION[[#This Row],[$ CAPITAL]]+FINANCIACION[[#This Row],[$ INTERESES]],0)</f>
        <v>2530000</v>
      </c>
    </row>
    <row r="679" spans="1:10" ht="24" hidden="1" customHeight="1" x14ac:dyDescent="0.3">
      <c r="A679" s="131">
        <v>44398</v>
      </c>
      <c r="B679" s="50" t="s">
        <v>539</v>
      </c>
      <c r="C679" s="5">
        <v>3693729.5600000024</v>
      </c>
      <c r="D679" s="5">
        <v>36270.439999997616</v>
      </c>
      <c r="E679" s="5">
        <f>+IF(FINANCIACION[[#This Row],[$ CAPITAL]]&gt;=0,FINANCIACION[[#This Row],[$ CAPITAL]]+FINANCIACION[[#This Row],[$ INTERESES]],"")</f>
        <v>3730000</v>
      </c>
      <c r="F679" s="5">
        <f>+SUMIFS(FINANCIACION[$ CAPITAL],FINANCIACION[Fecha],"&lt;="&amp;FINANCIACION[[#This Row],[Fecha]],FINANCIACION[PRESTAMO],FINANCIACION[[#This Row],[PRESTAMO]])</f>
        <v>-72159928.950000003</v>
      </c>
      <c r="G679" s="53"/>
      <c r="H679" s="53"/>
      <c r="I679" s="5">
        <f>IF(FINANCIACION[[#This Row],[$ CAPITAL]]&gt;0,FINANCIACION[[#This Row],[$ CAPITAL]])</f>
        <v>3693729.5600000024</v>
      </c>
      <c r="J679" s="33">
        <f>IF(FINANCIACION[[#This Row],[$ CAPITAL]]&gt;=0,FINANCIACION[[#This Row],[$ CAPITAL]]+FINANCIACION[[#This Row],[$ INTERESES]],0)</f>
        <v>3730000</v>
      </c>
    </row>
    <row r="680" spans="1:10" ht="24" hidden="1" customHeight="1" x14ac:dyDescent="0.3">
      <c r="A680" s="131">
        <v>44398</v>
      </c>
      <c r="B680" s="50" t="s">
        <v>535</v>
      </c>
      <c r="C680" s="5">
        <v>1488144.4800000004</v>
      </c>
      <c r="D680" s="5">
        <v>11855.519999999553</v>
      </c>
      <c r="E680" s="5">
        <f>+IF(FINANCIACION[[#This Row],[$ CAPITAL]]&gt;=0,FINANCIACION[[#This Row],[$ CAPITAL]]+FINANCIACION[[#This Row],[$ INTERESES]],"")</f>
        <v>1500000</v>
      </c>
      <c r="F680" s="5">
        <f>+SUMIFS(FINANCIACION[$ CAPITAL],FINANCIACION[Fecha],"&lt;="&amp;FINANCIACION[[#This Row],[Fecha]],FINANCIACION[PRESTAMO],FINANCIACION[[#This Row],[PRESTAMO]])</f>
        <v>-26908672.029999997</v>
      </c>
      <c r="G680" s="53"/>
      <c r="H680" s="53"/>
      <c r="I680" s="5">
        <f>IF(FINANCIACION[[#This Row],[$ CAPITAL]]&gt;0,FINANCIACION[[#This Row],[$ CAPITAL]])</f>
        <v>1488144.4800000004</v>
      </c>
      <c r="J680" s="33">
        <f>IF(FINANCIACION[[#This Row],[$ CAPITAL]]&gt;=0,FINANCIACION[[#This Row],[$ CAPITAL]]+FINANCIACION[[#This Row],[$ INTERESES]],0)</f>
        <v>1500000</v>
      </c>
    </row>
    <row r="681" spans="1:10" ht="24" hidden="1" customHeight="1" x14ac:dyDescent="0.3">
      <c r="A681" s="131">
        <v>44407</v>
      </c>
      <c r="B681" s="50" t="s">
        <v>155</v>
      </c>
      <c r="C681" s="5">
        <v>1000000</v>
      </c>
      <c r="D681" s="5"/>
      <c r="E681" s="5">
        <f>+IF(FINANCIACION[[#This Row],[$ CAPITAL]]&gt;=0,FINANCIACION[[#This Row],[$ CAPITAL]]+FINANCIACION[[#This Row],[$ INTERESES]],"")</f>
        <v>1000000</v>
      </c>
      <c r="F681" s="5">
        <f>+SUMIFS(FINANCIACION[$ CAPITAL],FINANCIACION[Fecha],"&lt;="&amp;FINANCIACION[[#This Row],[Fecha]],FINANCIACION[PRESTAMO],FINANCIACION[[#This Row],[PRESTAMO]])</f>
        <v>-2919563</v>
      </c>
      <c r="G681" s="53"/>
      <c r="H681" s="53"/>
      <c r="I681" s="5">
        <f>IF(FINANCIACION[[#This Row],[$ CAPITAL]]&gt;0,FINANCIACION[[#This Row],[$ CAPITAL]])</f>
        <v>1000000</v>
      </c>
      <c r="J681" s="33">
        <f>IF(FINANCIACION[[#This Row],[$ CAPITAL]]&gt;=0,FINANCIACION[[#This Row],[$ CAPITAL]]+FINANCIACION[[#This Row],[$ INTERESES]],0)</f>
        <v>1000000</v>
      </c>
    </row>
    <row r="682" spans="1:10" ht="24" hidden="1" customHeight="1" x14ac:dyDescent="0.3">
      <c r="A682" s="131">
        <v>44408</v>
      </c>
      <c r="B682" s="50" t="s">
        <v>149</v>
      </c>
      <c r="C682" s="5">
        <v>-2575168</v>
      </c>
      <c r="D682" s="5"/>
      <c r="E682" s="5" t="str">
        <f>+IF(FINANCIACION[[#This Row],[$ CAPITAL]]&gt;=0,FINANCIACION[[#This Row],[$ CAPITAL]]+FINANCIACION[[#This Row],[$ INTERESES]],"")</f>
        <v/>
      </c>
      <c r="F682" s="5">
        <f>+SUMIFS(FINANCIACION[$ CAPITAL],FINANCIACION[Fecha],"&lt;="&amp;FINANCIACION[[#This Row],[Fecha]],FINANCIACION[PRESTAMO],FINANCIACION[[#This Row],[PRESTAMO]])</f>
        <v>-100431552</v>
      </c>
      <c r="G682" s="7" t="s">
        <v>170</v>
      </c>
      <c r="H682" s="53"/>
      <c r="I682" s="5" t="b">
        <f>IF(FINANCIACION[[#This Row],[$ CAPITAL]]&gt;0,FINANCIACION[[#This Row],[$ CAPITAL]])</f>
        <v>0</v>
      </c>
      <c r="J682" s="33">
        <f>IF(FINANCIACION[[#This Row],[$ CAPITAL]]&gt;=0,FINANCIACION[[#This Row],[$ CAPITAL]]+FINANCIACION[[#This Row],[$ INTERESES]],0)</f>
        <v>0</v>
      </c>
    </row>
    <row r="683" spans="1:10" ht="24" hidden="1" customHeight="1" x14ac:dyDescent="0.3">
      <c r="A683" s="131">
        <v>44408</v>
      </c>
      <c r="B683" s="50" t="s">
        <v>206</v>
      </c>
      <c r="C683" s="5">
        <v>-1498393</v>
      </c>
      <c r="D683" s="5"/>
      <c r="E683" s="5" t="str">
        <f>+IF(FINANCIACION[[#This Row],[$ CAPITAL]]&gt;=0,FINANCIACION[[#This Row],[$ CAPITAL]]+FINANCIACION[[#This Row],[$ INTERESES]],"")</f>
        <v/>
      </c>
      <c r="F683" s="5">
        <f>+SUMIFS(FINANCIACION[$ CAPITAL],FINANCIACION[Fecha],"&lt;="&amp;FINANCIACION[[#This Row],[Fecha]],FINANCIACION[PRESTAMO],FINANCIACION[[#This Row],[PRESTAMO]])</f>
        <v>-58437327</v>
      </c>
      <c r="G683" s="7" t="s">
        <v>170</v>
      </c>
      <c r="H683" s="53"/>
      <c r="I683" s="5" t="b">
        <f>IF(FINANCIACION[[#This Row],[$ CAPITAL]]&gt;0,FINANCIACION[[#This Row],[$ CAPITAL]])</f>
        <v>0</v>
      </c>
      <c r="J683" s="33">
        <f>IF(FINANCIACION[[#This Row],[$ CAPITAL]]&gt;=0,FINANCIACION[[#This Row],[$ CAPITAL]]+FINANCIACION[[#This Row],[$ INTERESES]],0)</f>
        <v>0</v>
      </c>
    </row>
    <row r="684" spans="1:10" ht="24" hidden="1" customHeight="1" x14ac:dyDescent="0.3">
      <c r="A684" s="131">
        <v>44408</v>
      </c>
      <c r="B684" s="50" t="s">
        <v>234</v>
      </c>
      <c r="C684" s="5">
        <v>-592703</v>
      </c>
      <c r="D684" s="5"/>
      <c r="E684" s="5" t="str">
        <f>+IF(FINANCIACION[[#This Row],[$ CAPITAL]]&gt;=0,FINANCIACION[[#This Row],[$ CAPITAL]]+FINANCIACION[[#This Row],[$ INTERESES]],"")</f>
        <v/>
      </c>
      <c r="F684" s="5">
        <f>+SUMIFS(FINANCIACION[$ CAPITAL],FINANCIACION[Fecha],"&lt;="&amp;FINANCIACION[[#This Row],[Fecha]],FINANCIACION[PRESTAMO],FINANCIACION[[#This Row],[PRESTAMO]])</f>
        <v>-23115417</v>
      </c>
      <c r="G684" s="7" t="s">
        <v>170</v>
      </c>
      <c r="H684" s="53"/>
      <c r="I684" s="5" t="b">
        <f>IF(FINANCIACION[[#This Row],[$ CAPITAL]]&gt;0,FINANCIACION[[#This Row],[$ CAPITAL]])</f>
        <v>0</v>
      </c>
      <c r="J684" s="33">
        <f>IF(FINANCIACION[[#This Row],[$ CAPITAL]]&gt;=0,FINANCIACION[[#This Row],[$ CAPITAL]]+FINANCIACION[[#This Row],[$ INTERESES]],0)</f>
        <v>0</v>
      </c>
    </row>
    <row r="685" spans="1:10" ht="24" hidden="1" customHeight="1" x14ac:dyDescent="0.3">
      <c r="A685" s="131">
        <v>44408</v>
      </c>
      <c r="B685" s="50" t="s">
        <v>546</v>
      </c>
      <c r="C685" s="5">
        <v>-163555.28999999911</v>
      </c>
      <c r="D685" s="5"/>
      <c r="E685" s="5" t="str">
        <f>+IF(FINANCIACION[[#This Row],[$ CAPITAL]]&gt;=0,FINANCIACION[[#This Row],[$ CAPITAL]]+FINANCIACION[[#This Row],[$ INTERESES]],"")</f>
        <v/>
      </c>
      <c r="F685" s="5">
        <f>+SUMIFS(FINANCIACION[$ CAPITAL],FINANCIACION[Fecha],"&lt;="&amp;FINANCIACION[[#This Row],[Fecha]],FINANCIACION[PRESTAMO],FINANCIACION[[#This Row],[PRESTAMO]])</f>
        <v>-23719778.41</v>
      </c>
      <c r="G685" s="7" t="s">
        <v>170</v>
      </c>
      <c r="H685" s="53"/>
      <c r="I685" s="5" t="b">
        <f>IF(FINANCIACION[[#This Row],[$ CAPITAL]]&gt;0,FINANCIACION[[#This Row],[$ CAPITAL]])</f>
        <v>0</v>
      </c>
      <c r="J685" s="33">
        <f>IF(FINANCIACION[[#This Row],[$ CAPITAL]]&gt;=0,FINANCIACION[[#This Row],[$ CAPITAL]]+FINANCIACION[[#This Row],[$ INTERESES]],0)</f>
        <v>0</v>
      </c>
    </row>
    <row r="686" spans="1:10" ht="24" hidden="1" customHeight="1" x14ac:dyDescent="0.3">
      <c r="A686" s="131">
        <v>44408</v>
      </c>
      <c r="B686" s="50" t="s">
        <v>540</v>
      </c>
      <c r="C686" s="5">
        <v>-137370.62000000104</v>
      </c>
      <c r="D686" s="5"/>
      <c r="E686" s="5" t="str">
        <f>+IF(FINANCIACION[[#This Row],[$ CAPITAL]]&gt;=0,FINANCIACION[[#This Row],[$ CAPITAL]]+FINANCIACION[[#This Row],[$ INTERESES]],"")</f>
        <v/>
      </c>
      <c r="F686" s="5">
        <f>+SUMIFS(FINANCIACION[$ CAPITAL],FINANCIACION[Fecha],"&lt;="&amp;FINANCIACION[[#This Row],[Fecha]],FINANCIACION[PRESTAMO],FINANCIACION[[#This Row],[PRESTAMO]])</f>
        <v>-20437835.670000002</v>
      </c>
      <c r="G686" s="7" t="s">
        <v>170</v>
      </c>
      <c r="H686" s="53"/>
      <c r="I686" s="5" t="b">
        <f>IF(FINANCIACION[[#This Row],[$ CAPITAL]]&gt;0,FINANCIACION[[#This Row],[$ CAPITAL]])</f>
        <v>0</v>
      </c>
      <c r="J686" s="33">
        <f>IF(FINANCIACION[[#This Row],[$ CAPITAL]]&gt;=0,FINANCIACION[[#This Row],[$ CAPITAL]]+FINANCIACION[[#This Row],[$ INTERESES]],0)</f>
        <v>0</v>
      </c>
    </row>
    <row r="687" spans="1:10" ht="24" hidden="1" customHeight="1" x14ac:dyDescent="0.3">
      <c r="A687" s="131">
        <v>44408</v>
      </c>
      <c r="B687" s="50" t="s">
        <v>542</v>
      </c>
      <c r="C687" s="5">
        <v>-144629.48999999836</v>
      </c>
      <c r="D687" s="5"/>
      <c r="E687" s="5" t="str">
        <f>+IF(FINANCIACION[[#This Row],[$ CAPITAL]]&gt;=0,FINANCIACION[[#This Row],[$ CAPITAL]]+FINANCIACION[[#This Row],[$ INTERESES]],"")</f>
        <v/>
      </c>
      <c r="F687" s="5">
        <f>+SUMIFS(FINANCIACION[$ CAPITAL],FINANCIACION[Fecha],"&lt;="&amp;FINANCIACION[[#This Row],[Fecha]],FINANCIACION[PRESTAMO],FINANCIACION[[#This Row],[PRESTAMO]])</f>
        <v>-22328751.640000001</v>
      </c>
      <c r="G687" s="7" t="s">
        <v>170</v>
      </c>
      <c r="H687" s="53"/>
      <c r="I687" s="5" t="b">
        <f>IF(FINANCIACION[[#This Row],[$ CAPITAL]]&gt;0,FINANCIACION[[#This Row],[$ CAPITAL]])</f>
        <v>0</v>
      </c>
      <c r="J687" s="33">
        <f>IF(FINANCIACION[[#This Row],[$ CAPITAL]]&gt;=0,FINANCIACION[[#This Row],[$ CAPITAL]]+FINANCIACION[[#This Row],[$ INTERESES]],0)</f>
        <v>0</v>
      </c>
    </row>
    <row r="688" spans="1:10" ht="24" hidden="1" customHeight="1" x14ac:dyDescent="0.3">
      <c r="A688" s="131">
        <v>44408</v>
      </c>
      <c r="B688" s="50" t="s">
        <v>538</v>
      </c>
      <c r="C688" s="5">
        <v>-344502.33999999613</v>
      </c>
      <c r="D688" s="5"/>
      <c r="E688" s="5" t="str">
        <f>+IF(FINANCIACION[[#This Row],[$ CAPITAL]]&gt;=0,FINANCIACION[[#This Row],[$ CAPITAL]]+FINANCIACION[[#This Row],[$ INTERESES]],"")</f>
        <v/>
      </c>
      <c r="F688" s="5">
        <f>+SUMIFS(FINANCIACION[$ CAPITAL],FINANCIACION[Fecha],"&lt;="&amp;FINANCIACION[[#This Row],[Fecha]],FINANCIACION[PRESTAMO],FINANCIACION[[#This Row],[PRESTAMO]])</f>
        <v>-50136013.609999999</v>
      </c>
      <c r="G688" s="7" t="s">
        <v>170</v>
      </c>
      <c r="H688" s="53"/>
      <c r="I688" s="5" t="b">
        <f>IF(FINANCIACION[[#This Row],[$ CAPITAL]]&gt;0,FINANCIACION[[#This Row],[$ CAPITAL]])</f>
        <v>0</v>
      </c>
      <c r="J688" s="33">
        <f>IF(FINANCIACION[[#This Row],[$ CAPITAL]]&gt;=0,FINANCIACION[[#This Row],[$ CAPITAL]]+FINANCIACION[[#This Row],[$ INTERESES]],0)</f>
        <v>0</v>
      </c>
    </row>
    <row r="689" spans="1:34" ht="24" hidden="1" customHeight="1" x14ac:dyDescent="0.3">
      <c r="A689" s="131">
        <v>44408</v>
      </c>
      <c r="B689" s="50" t="s">
        <v>539</v>
      </c>
      <c r="C689" s="5">
        <v>-556501.06000000238</v>
      </c>
      <c r="D689" s="5"/>
      <c r="E689" s="5" t="str">
        <f>+IF(FINANCIACION[[#This Row],[$ CAPITAL]]&gt;=0,FINANCIACION[[#This Row],[$ CAPITAL]]+FINANCIACION[[#This Row],[$ INTERESES]],"")</f>
        <v/>
      </c>
      <c r="F689" s="5">
        <f>+SUMIFS(FINANCIACION[$ CAPITAL],FINANCIACION[Fecha],"&lt;="&amp;FINANCIACION[[#This Row],[Fecha]],FINANCIACION[PRESTAMO],FINANCIACION[[#This Row],[PRESTAMO]])</f>
        <v>-72716430.010000005</v>
      </c>
      <c r="G689" s="7" t="s">
        <v>170</v>
      </c>
      <c r="H689" s="53"/>
      <c r="I689" s="5" t="b">
        <f>IF(FINANCIACION[[#This Row],[$ CAPITAL]]&gt;0,FINANCIACION[[#This Row],[$ CAPITAL]])</f>
        <v>0</v>
      </c>
      <c r="J689" s="33">
        <f>IF(FINANCIACION[[#This Row],[$ CAPITAL]]&gt;=0,FINANCIACION[[#This Row],[$ CAPITAL]]+FINANCIACION[[#This Row],[$ INTERESES]],0)</f>
        <v>0</v>
      </c>
    </row>
    <row r="690" spans="1:34" ht="24" hidden="1" customHeight="1" x14ac:dyDescent="0.3">
      <c r="A690" s="131">
        <v>44408</v>
      </c>
      <c r="B690" s="50" t="s">
        <v>535</v>
      </c>
      <c r="C690" s="5">
        <v>-184703.77999999374</v>
      </c>
      <c r="D690" s="5"/>
      <c r="E690" s="5" t="str">
        <f>+IF(FINANCIACION[[#This Row],[$ CAPITAL]]&gt;=0,FINANCIACION[[#This Row],[$ CAPITAL]]+FINANCIACION[[#This Row],[$ INTERESES]],"")</f>
        <v/>
      </c>
      <c r="F690" s="5">
        <f>+SUMIFS(FINANCIACION[$ CAPITAL],FINANCIACION[Fecha],"&lt;="&amp;FINANCIACION[[#This Row],[Fecha]],FINANCIACION[PRESTAMO],FINANCIACION[[#This Row],[PRESTAMO]])</f>
        <v>-27093375.809999991</v>
      </c>
      <c r="G690" s="7" t="s">
        <v>170</v>
      </c>
      <c r="H690" s="53"/>
      <c r="I690" s="5" t="b">
        <f>IF(FINANCIACION[[#This Row],[$ CAPITAL]]&gt;0,FINANCIACION[[#This Row],[$ CAPITAL]])</f>
        <v>0</v>
      </c>
      <c r="J690" s="33">
        <f>IF(FINANCIACION[[#This Row],[$ CAPITAL]]&gt;=0,FINANCIACION[[#This Row],[$ CAPITAL]]+FINANCIACION[[#This Row],[$ INTERESES]],0)</f>
        <v>0</v>
      </c>
    </row>
    <row r="691" spans="1:34" ht="24" hidden="1" customHeight="1" x14ac:dyDescent="0.3">
      <c r="A691" s="131">
        <v>44408</v>
      </c>
      <c r="B691" s="50" t="s">
        <v>1488</v>
      </c>
      <c r="C691" s="5">
        <v>-1348569</v>
      </c>
      <c r="D691" s="5"/>
      <c r="E691" s="5" t="str">
        <f>+IF(FINANCIACION[[#This Row],[$ CAPITAL]]&gt;=0,FINANCIACION[[#This Row],[$ CAPITAL]]+FINANCIACION[[#This Row],[$ INTERESES]],"")</f>
        <v/>
      </c>
      <c r="F691" s="5">
        <f>+SUMIFS(FINANCIACION[$ CAPITAL],FINANCIACION[Fecha],"&lt;="&amp;FINANCIACION[[#This Row],[Fecha]],FINANCIACION[PRESTAMO],FINANCIACION[[#This Row],[PRESTAMO]])</f>
        <v>-1273328</v>
      </c>
      <c r="G691" s="7" t="s">
        <v>170</v>
      </c>
      <c r="H691" s="53"/>
      <c r="I691" s="5" t="b">
        <f>IF(FINANCIACION[[#This Row],[$ CAPITAL]]&gt;0,FINANCIACION[[#This Row],[$ CAPITAL]])</f>
        <v>0</v>
      </c>
      <c r="J691" s="8">
        <f>IF(FINANCIACION[[#This Row],[$ CAPITAL]]&gt;=0,FINANCIACION[[#This Row],[$ CAPITAL]]+FINANCIACION[[#This Row],[$ INTERESES]],0)</f>
        <v>0</v>
      </c>
    </row>
    <row r="692" spans="1:34" ht="24" hidden="1" customHeight="1" x14ac:dyDescent="0.3">
      <c r="A692" s="131">
        <v>44408</v>
      </c>
      <c r="B692" s="50" t="s">
        <v>154</v>
      </c>
      <c r="C692" s="5">
        <v>-11578020</v>
      </c>
      <c r="D692" s="5"/>
      <c r="E692" s="5" t="str">
        <f>+IF(FINANCIACION[[#This Row],[$ CAPITAL]]&gt;=0,FINANCIACION[[#This Row],[$ CAPITAL]]+FINANCIACION[[#This Row],[$ INTERESES]],"")</f>
        <v/>
      </c>
      <c r="F692" s="5">
        <f>+SUMIFS(FINANCIACION[$ CAPITAL],FINANCIACION[Fecha],"&lt;="&amp;FINANCIACION[[#This Row],[Fecha]],FINANCIACION[PRESTAMO],FINANCIACION[[#This Row],[PRESTAMO]])</f>
        <v>-27693900</v>
      </c>
      <c r="G692" s="7" t="s">
        <v>170</v>
      </c>
      <c r="H692" s="53"/>
      <c r="I692" s="5" t="b">
        <f>IF(FINANCIACION[[#This Row],[$ CAPITAL]]&gt;0,FINANCIACION[[#This Row],[$ CAPITAL]])</f>
        <v>0</v>
      </c>
      <c r="J692" s="8">
        <f>IF(FINANCIACION[[#This Row],[$ CAPITAL]]&gt;=0,FINANCIACION[[#This Row],[$ CAPITAL]]+FINANCIACION[[#This Row],[$ INTERESES]],0)</f>
        <v>0</v>
      </c>
    </row>
    <row r="693" spans="1:34" ht="24" hidden="1" customHeight="1" x14ac:dyDescent="0.3">
      <c r="A693" s="131">
        <v>44408</v>
      </c>
      <c r="B693" s="50" t="s">
        <v>155</v>
      </c>
      <c r="C693" s="5">
        <v>-992237</v>
      </c>
      <c r="D693" s="5"/>
      <c r="E693" s="5" t="str">
        <f>+IF(FINANCIACION[[#This Row],[$ CAPITAL]]&gt;=0,FINANCIACION[[#This Row],[$ CAPITAL]]+FINANCIACION[[#This Row],[$ INTERESES]],"")</f>
        <v/>
      </c>
      <c r="F693" s="5">
        <f>+SUMIFS(FINANCIACION[$ CAPITAL],FINANCIACION[Fecha],"&lt;="&amp;FINANCIACION[[#This Row],[Fecha]],FINANCIACION[PRESTAMO],FINANCIACION[[#This Row],[PRESTAMO]])</f>
        <v>-3911800</v>
      </c>
      <c r="G693" s="7" t="s">
        <v>170</v>
      </c>
      <c r="H693" s="53"/>
      <c r="I693" s="5" t="b">
        <f>IF(FINANCIACION[[#This Row],[$ CAPITAL]]&gt;0,FINANCIACION[[#This Row],[$ CAPITAL]])</f>
        <v>0</v>
      </c>
      <c r="J693" s="8">
        <f>IF(FINANCIACION[[#This Row],[$ CAPITAL]]&gt;=0,FINANCIACION[[#This Row],[$ CAPITAL]]+FINANCIACION[[#This Row],[$ INTERESES]],0)</f>
        <v>0</v>
      </c>
    </row>
    <row r="694" spans="1:34" ht="24" hidden="1" customHeight="1" x14ac:dyDescent="0.3">
      <c r="A694" s="131">
        <v>44410</v>
      </c>
      <c r="B694" s="50" t="s">
        <v>146</v>
      </c>
      <c r="C694" s="5">
        <v>1468400</v>
      </c>
      <c r="D694" s="5">
        <v>455909</v>
      </c>
      <c r="E694" s="5">
        <f>+IF(FINANCIACION[[#This Row],[$ CAPITAL]]&gt;=0,FINANCIACION[[#This Row],[$ CAPITAL]]+FINANCIACION[[#This Row],[$ INTERESES]],"")</f>
        <v>1924309</v>
      </c>
      <c r="F694" s="5">
        <f>+SUMIFS(FINANCIACION[$ CAPITAL],FINANCIACION[Fecha],"&lt;="&amp;FINANCIACION[[#This Row],[Fecha]],FINANCIACION[PRESTAMO],FINANCIACION[[#This Row],[PRESTAMO]])</f>
        <v>-46988800</v>
      </c>
      <c r="G694" s="7"/>
      <c r="H694" s="53"/>
      <c r="I694" s="5">
        <f>IF(FINANCIACION[[#This Row],[$ CAPITAL]]&gt;0,FINANCIACION[[#This Row],[$ CAPITAL]])</f>
        <v>1468400</v>
      </c>
      <c r="J694" s="8">
        <f>IF(FINANCIACION[[#This Row],[$ CAPITAL]]&gt;=0,FINANCIACION[[#This Row],[$ CAPITAL]]+FINANCIACION[[#This Row],[$ INTERESES]],0)</f>
        <v>1924309</v>
      </c>
    </row>
    <row r="695" spans="1:34" ht="24" hidden="1" customHeight="1" x14ac:dyDescent="0.3">
      <c r="A695" s="131">
        <v>44410</v>
      </c>
      <c r="B695" s="50" t="s">
        <v>147</v>
      </c>
      <c r="C695" s="5">
        <v>76791</v>
      </c>
      <c r="D695" s="5"/>
      <c r="E695" s="5">
        <f>+IF(FINANCIACION[[#This Row],[$ CAPITAL]]&gt;=0,FINANCIACION[[#This Row],[$ CAPITAL]]+FINANCIACION[[#This Row],[$ INTERESES]],"")</f>
        <v>76791</v>
      </c>
      <c r="F695" s="5">
        <f>+SUMIFS(FINANCIACION[$ CAPITAL],FINANCIACION[Fecha],"&lt;="&amp;FINANCIACION[[#This Row],[Fecha]],FINANCIACION[PRESTAMO],FINANCIACION[[#This Row],[PRESTAMO]])</f>
        <v>-2457312</v>
      </c>
      <c r="G695" s="7"/>
      <c r="H695" s="53"/>
      <c r="I695" s="5">
        <f>IF(FINANCIACION[[#This Row],[$ CAPITAL]]&gt;0,FINANCIACION[[#This Row],[$ CAPITAL]])</f>
        <v>76791</v>
      </c>
      <c r="J695" s="8">
        <f>IF(FINANCIACION[[#This Row],[$ CAPITAL]]&gt;=0,FINANCIACION[[#This Row],[$ CAPITAL]]+FINANCIACION[[#This Row],[$ INTERESES]],0)</f>
        <v>76791</v>
      </c>
    </row>
    <row r="696" spans="1:34" ht="24" hidden="1" customHeight="1" x14ac:dyDescent="0.3">
      <c r="A696" s="131">
        <v>44414</v>
      </c>
      <c r="B696" s="50" t="s">
        <v>150</v>
      </c>
      <c r="C696" s="5">
        <v>6326000</v>
      </c>
      <c r="D696" s="5">
        <v>316768.87</v>
      </c>
      <c r="E696" s="5">
        <f>+IF(FINANCIACION[[#This Row],[$ CAPITAL]]&gt;=0,FINANCIACION[[#This Row],[$ CAPITAL]]+FINANCIACION[[#This Row],[$ INTERESES]],"")</f>
        <v>6642768.8700000001</v>
      </c>
      <c r="F696" s="5">
        <f>+SUMIFS(FINANCIACION[$ CAPITAL],FINANCIACION[Fecha],"&lt;="&amp;FINANCIACION[[#This Row],[Fecha]],FINANCIACION[PRESTAMO],FINANCIACION[[#This Row],[PRESTAMO]])</f>
        <v>-41387126</v>
      </c>
      <c r="G696" s="7"/>
      <c r="H696" s="53"/>
      <c r="I696" s="5">
        <f>IF(FINANCIACION[[#This Row],[$ CAPITAL]]&gt;0,FINANCIACION[[#This Row],[$ CAPITAL]])</f>
        <v>6326000</v>
      </c>
      <c r="J696" s="8">
        <f>IF(FINANCIACION[[#This Row],[$ CAPITAL]]&gt;=0,FINANCIACION[[#This Row],[$ CAPITAL]]+FINANCIACION[[#This Row],[$ INTERESES]],0)</f>
        <v>6642768.8700000001</v>
      </c>
    </row>
    <row r="697" spans="1:34" ht="24" hidden="1" customHeight="1" x14ac:dyDescent="0.3">
      <c r="A697" s="131">
        <v>44414</v>
      </c>
      <c r="B697" s="50" t="s">
        <v>1488</v>
      </c>
      <c r="C697" s="5">
        <v>1200000</v>
      </c>
      <c r="D697" s="5"/>
      <c r="E697" s="5">
        <f>+IF(FINANCIACION[[#This Row],[$ CAPITAL]]&gt;=0,FINANCIACION[[#This Row],[$ CAPITAL]]+FINANCIACION[[#This Row],[$ INTERESES]],"")</f>
        <v>1200000</v>
      </c>
      <c r="F697" s="5">
        <f>+SUMIFS(FINANCIACION[$ CAPITAL],FINANCIACION[Fecha],"&lt;="&amp;FINANCIACION[[#This Row],[Fecha]],FINANCIACION[PRESTAMO],FINANCIACION[[#This Row],[PRESTAMO]])</f>
        <v>-73328</v>
      </c>
      <c r="G697" s="53"/>
      <c r="H697" s="53"/>
      <c r="I697" s="5">
        <f>IF(FINANCIACION[[#This Row],[$ CAPITAL]]&gt;0,FINANCIACION[[#This Row],[$ CAPITAL]])</f>
        <v>1200000</v>
      </c>
      <c r="J697" s="33">
        <f>IF(FINANCIACION[[#This Row],[$ CAPITAL]]&gt;=0,FINANCIACION[[#This Row],[$ CAPITAL]]+FINANCIACION[[#This Row],[$ INTERESES]],0)</f>
        <v>1200000</v>
      </c>
    </row>
    <row r="698" spans="1:34" ht="24" hidden="1" customHeight="1" x14ac:dyDescent="0.3">
      <c r="A698" s="131">
        <v>44414</v>
      </c>
      <c r="B698" s="50" t="s">
        <v>154</v>
      </c>
      <c r="C698" s="5">
        <v>3910810</v>
      </c>
      <c r="D698" s="5"/>
      <c r="E698" s="5">
        <f>+IF(FINANCIACION[[#This Row],[$ CAPITAL]]&gt;=0,FINANCIACION[[#This Row],[$ CAPITAL]]+FINANCIACION[[#This Row],[$ INTERESES]],"")</f>
        <v>3910810</v>
      </c>
      <c r="F698" s="5">
        <f>+SUMIFS(FINANCIACION[$ CAPITAL],FINANCIACION[Fecha],"&lt;="&amp;FINANCIACION[[#This Row],[Fecha]],FINANCIACION[PRESTAMO],FINANCIACION[[#This Row],[PRESTAMO]])</f>
        <v>-23783090</v>
      </c>
      <c r="G698" s="53"/>
      <c r="H698" s="53"/>
      <c r="I698" s="5">
        <f>IF(FINANCIACION[[#This Row],[$ CAPITAL]]&gt;0,FINANCIACION[[#This Row],[$ CAPITAL]])</f>
        <v>3910810</v>
      </c>
      <c r="J698" s="33">
        <f>IF(FINANCIACION[[#This Row],[$ CAPITAL]]&gt;=0,FINANCIACION[[#This Row],[$ CAPITAL]]+FINANCIACION[[#This Row],[$ INTERESES]],0)</f>
        <v>3910810</v>
      </c>
    </row>
    <row r="699" spans="1:34" ht="24" hidden="1" customHeight="1" x14ac:dyDescent="0.3">
      <c r="A699" s="131">
        <v>44414</v>
      </c>
      <c r="B699" s="50" t="s">
        <v>155</v>
      </c>
      <c r="C699" s="5">
        <v>2500000</v>
      </c>
      <c r="D699" s="5"/>
      <c r="E699" s="5">
        <f>+IF(FINANCIACION[[#This Row],[$ CAPITAL]]&gt;=0,FINANCIACION[[#This Row],[$ CAPITAL]]+FINANCIACION[[#This Row],[$ INTERESES]],"")</f>
        <v>2500000</v>
      </c>
      <c r="F699" s="5">
        <f>+SUMIFS(FINANCIACION[$ CAPITAL],FINANCIACION[Fecha],"&lt;="&amp;FINANCIACION[[#This Row],[Fecha]],FINANCIACION[PRESTAMO],FINANCIACION[[#This Row],[PRESTAMO]])</f>
        <v>-1411800</v>
      </c>
      <c r="G699" s="53"/>
      <c r="H699" s="53"/>
      <c r="I699" s="5">
        <f>IF(FINANCIACION[[#This Row],[$ CAPITAL]]&gt;0,FINANCIACION[[#This Row],[$ CAPITAL]])</f>
        <v>2500000</v>
      </c>
      <c r="J699" s="33">
        <f>IF(FINANCIACION[[#This Row],[$ CAPITAL]]&gt;=0,FINANCIACION[[#This Row],[$ CAPITAL]]+FINANCIACION[[#This Row],[$ INTERESES]],0)</f>
        <v>2500000</v>
      </c>
    </row>
    <row r="700" spans="1:34" ht="24" hidden="1" customHeight="1" x14ac:dyDescent="0.3">
      <c r="A700" s="131">
        <v>44420</v>
      </c>
      <c r="B700" s="50" t="s">
        <v>547</v>
      </c>
      <c r="C700" s="5">
        <v>-40000000</v>
      </c>
      <c r="D700" s="5"/>
      <c r="E700" s="5" t="str">
        <f>+IF(FINANCIACION[[#This Row],[$ CAPITAL]]&gt;=0,FINANCIACION[[#This Row],[$ CAPITAL]]+FINANCIACION[[#This Row],[$ INTERESES]],"")</f>
        <v/>
      </c>
      <c r="F700" s="5">
        <f>+SUMIFS(FINANCIACION[$ CAPITAL],FINANCIACION[Fecha],"&lt;="&amp;FINANCIACION[[#This Row],[Fecha]],FINANCIACION[PRESTAMO],FINANCIACION[[#This Row],[PRESTAMO]])</f>
        <v>-40000000</v>
      </c>
      <c r="G700" s="7" t="s">
        <v>249</v>
      </c>
      <c r="H700" s="53"/>
      <c r="I700" s="5" t="b">
        <f>IF(FINANCIACION[[#This Row],[$ CAPITAL]]&gt;0,FINANCIACION[[#This Row],[$ CAPITAL]])</f>
        <v>0</v>
      </c>
      <c r="J700" s="33">
        <f>IF(FINANCIACION[[#This Row],[$ CAPITAL]]&gt;=0,FINANCIACION[[#This Row],[$ CAPITAL]]+FINANCIACION[[#This Row],[$ INTERESES]],0)</f>
        <v>0</v>
      </c>
    </row>
    <row r="701" spans="1:34" ht="24" hidden="1" customHeight="1" x14ac:dyDescent="0.3">
      <c r="A701" s="131">
        <v>44421</v>
      </c>
      <c r="B701" s="50" t="s">
        <v>154</v>
      </c>
      <c r="C701" s="5">
        <v>3887070</v>
      </c>
      <c r="D701" s="5"/>
      <c r="E701" s="5">
        <f>+IF(FINANCIACION[[#This Row],[$ CAPITAL]]&gt;=0,FINANCIACION[[#This Row],[$ CAPITAL]]+FINANCIACION[[#This Row],[$ INTERESES]],"")</f>
        <v>3887070</v>
      </c>
      <c r="F701" s="5">
        <f>+SUMIFS(FINANCIACION[$ CAPITAL],FINANCIACION[Fecha],"&lt;="&amp;FINANCIACION[[#This Row],[Fecha]],FINANCIACION[PRESTAMO],FINANCIACION[[#This Row],[PRESTAMO]])</f>
        <v>-19896020</v>
      </c>
      <c r="G701" s="53"/>
      <c r="H701" s="53"/>
      <c r="I701" s="5">
        <f>IF(FINANCIACION[[#This Row],[$ CAPITAL]]&gt;0,FINANCIACION[[#This Row],[$ CAPITAL]])</f>
        <v>3887070</v>
      </c>
      <c r="J701" s="33">
        <f>IF(FINANCIACION[[#This Row],[$ CAPITAL]]&gt;=0,FINANCIACION[[#This Row],[$ CAPITAL]]+FINANCIACION[[#This Row],[$ INTERESES]],0)</f>
        <v>3887070</v>
      </c>
    </row>
    <row r="702" spans="1:34" ht="24" hidden="1" customHeight="1" x14ac:dyDescent="0.3">
      <c r="A702" s="131">
        <v>44422</v>
      </c>
      <c r="B702" s="50" t="s">
        <v>532</v>
      </c>
      <c r="C702" s="5">
        <v>1878599.0670640841</v>
      </c>
      <c r="D702" s="5">
        <v>788778.932935916</v>
      </c>
      <c r="E702" s="5">
        <f>+IF(FINANCIACION[[#This Row],[$ CAPITAL]]&gt;=0,FINANCIACION[[#This Row],[$ CAPITAL]]+FINANCIACION[[#This Row],[$ INTERESES]],"")</f>
        <v>2667378</v>
      </c>
      <c r="F702" s="5">
        <f>+SUMIFS(FINANCIACION[$ CAPITAL],FINANCIACION[Fecha],"&lt;="&amp;FINANCIACION[[#This Row],[Fecha]],FINANCIACION[PRESTAMO],FINANCIACION[[#This Row],[PRESTAMO]])</f>
        <v>-76999294.226527512</v>
      </c>
      <c r="G702" s="53"/>
      <c r="H702" s="53"/>
      <c r="I702" s="5">
        <f>IF(FINANCIACION[[#This Row],[$ CAPITAL]]&gt;0,FINANCIACION[[#This Row],[$ CAPITAL]])</f>
        <v>1878599.0670640841</v>
      </c>
      <c r="J702" s="33">
        <f>IF(FINANCIACION[[#This Row],[$ CAPITAL]]&gt;=0,FINANCIACION[[#This Row],[$ CAPITAL]]+FINANCIACION[[#This Row],[$ INTERESES]],0)</f>
        <v>2667378</v>
      </c>
      <c r="K702" s="180"/>
      <c r="L702" s="180"/>
      <c r="M702" s="180"/>
      <c r="N702" s="181"/>
      <c r="O702" s="185"/>
      <c r="P702" s="180"/>
      <c r="Q702" s="180"/>
      <c r="R702" s="180"/>
      <c r="S702" s="180"/>
      <c r="T702" s="180"/>
      <c r="U702" s="180"/>
      <c r="V702" s="180"/>
      <c r="W702" s="180"/>
      <c r="X702" s="180"/>
      <c r="Y702" s="180"/>
      <c r="Z702" s="180"/>
      <c r="AA702" s="180"/>
      <c r="AB702" s="180"/>
      <c r="AC702" s="180"/>
      <c r="AD702" s="180"/>
      <c r="AE702" s="180"/>
      <c r="AF702" s="180"/>
      <c r="AG702" s="180"/>
      <c r="AH702" s="180"/>
    </row>
    <row r="703" spans="1:34" ht="24" hidden="1" customHeight="1" x14ac:dyDescent="0.3">
      <c r="A703" s="131">
        <v>44425</v>
      </c>
      <c r="B703" s="50" t="s">
        <v>543</v>
      </c>
      <c r="C703" s="5"/>
      <c r="D703" s="5">
        <v>130000</v>
      </c>
      <c r="E703" s="5">
        <f>+IF(FINANCIACION[[#This Row],[$ CAPITAL]]&gt;=0,FINANCIACION[[#This Row],[$ CAPITAL]]+FINANCIACION[[#This Row],[$ INTERESES]],"")</f>
        <v>130000</v>
      </c>
      <c r="F703" s="5">
        <f>+SUMIFS(FINANCIACION[$ CAPITAL],FINANCIACION[Fecha],"&lt;="&amp;FINANCIACION[[#This Row],[Fecha]],FINANCIACION[PRESTAMO],FINANCIACION[[#This Row],[PRESTAMO]])</f>
        <v>-13000000</v>
      </c>
      <c r="G703" s="53"/>
      <c r="H703" s="53"/>
      <c r="I703" s="5" t="b">
        <f>IF(FINANCIACION[[#This Row],[$ CAPITAL]]&gt;0,FINANCIACION[[#This Row],[$ CAPITAL]])</f>
        <v>0</v>
      </c>
      <c r="J703" s="33">
        <f>IF(FINANCIACION[[#This Row],[$ CAPITAL]]&gt;=0,FINANCIACION[[#This Row],[$ CAPITAL]]+FINANCIACION[[#This Row],[$ INTERESES]],0)</f>
        <v>130000</v>
      </c>
    </row>
    <row r="704" spans="1:34" ht="24" hidden="1" customHeight="1" x14ac:dyDescent="0.3">
      <c r="A704" s="131">
        <v>44425</v>
      </c>
      <c r="B704" s="50" t="s">
        <v>536</v>
      </c>
      <c r="C704" s="5">
        <v>727590.32379200007</v>
      </c>
      <c r="D704" s="5">
        <v>572409.67620799993</v>
      </c>
      <c r="E704" s="5">
        <f>+IF(FINANCIACION[[#This Row],[$ CAPITAL]]&gt;=0,FINANCIACION[[#This Row],[$ CAPITAL]]+FINANCIACION[[#This Row],[$ INTERESES]],"")</f>
        <v>1300000</v>
      </c>
      <c r="F704" s="5">
        <f>+SUMIFS(FINANCIACION[$ CAPITAL],FINANCIACION[Fecha],"&lt;="&amp;FINANCIACION[[#This Row],[Fecha]],FINANCIACION[PRESTAMO],FINANCIACION[[#This Row],[PRESTAMO]])</f>
        <v>-56513377.297007993</v>
      </c>
      <c r="G704" s="53"/>
      <c r="H704" s="53"/>
      <c r="I704" s="5">
        <f>IF(FINANCIACION[[#This Row],[$ CAPITAL]]&gt;0,FINANCIACION[[#This Row],[$ CAPITAL]])</f>
        <v>727590.32379200007</v>
      </c>
      <c r="J704" s="33">
        <f>IF(FINANCIACION[[#This Row],[$ CAPITAL]]&gt;=0,FINANCIACION[[#This Row],[$ CAPITAL]]+FINANCIACION[[#This Row],[$ INTERESES]],0)</f>
        <v>1300000</v>
      </c>
    </row>
    <row r="705" spans="1:10" ht="24" hidden="1" customHeight="1" x14ac:dyDescent="0.3">
      <c r="A705" s="131">
        <v>44425</v>
      </c>
      <c r="B705" s="50" t="s">
        <v>533</v>
      </c>
      <c r="C705" s="5">
        <v>472099.1033943186</v>
      </c>
      <c r="D705" s="5">
        <v>727900.8966056814</v>
      </c>
      <c r="E705" s="5">
        <f>+IF(FINANCIACION[[#This Row],[$ CAPITAL]]&gt;=0,FINANCIACION[[#This Row],[$ CAPITAL]]+FINANCIACION[[#This Row],[$ INTERESES]],"")</f>
        <v>1200000</v>
      </c>
      <c r="F705" s="5">
        <f>+SUMIFS(FINANCIACION[$ CAPITAL],FINANCIACION[Fecha],"&lt;="&amp;FINANCIACION[[#This Row],[Fecha]],FINANCIACION[PRESTAMO],FINANCIACION[[#This Row],[PRESTAMO]])</f>
        <v>-72488678.417173818</v>
      </c>
      <c r="G705" s="53"/>
      <c r="H705" s="53"/>
      <c r="I705" s="179">
        <f>IF(FINANCIACION[[#This Row],[$ CAPITAL]]&gt;0,FINANCIACION[[#This Row],[$ CAPITAL]])</f>
        <v>472099.1033943186</v>
      </c>
      <c r="J705" s="184">
        <f>IF(FINANCIACION[[#This Row],[$ CAPITAL]]&gt;=0,FINANCIACION[[#This Row],[$ CAPITAL]]+FINANCIACION[[#This Row],[$ INTERESES]],0)</f>
        <v>1200000</v>
      </c>
    </row>
    <row r="706" spans="1:10" ht="24" hidden="1" customHeight="1" x14ac:dyDescent="0.3">
      <c r="A706" s="131">
        <v>44425</v>
      </c>
      <c r="B706" s="50" t="s">
        <v>545</v>
      </c>
      <c r="C706" s="5"/>
      <c r="D706" s="5">
        <v>120000</v>
      </c>
      <c r="E706" s="5">
        <f>+IF(FINANCIACION[[#This Row],[$ CAPITAL]]&gt;=0,FINANCIACION[[#This Row],[$ CAPITAL]]+FINANCIACION[[#This Row],[$ INTERESES]],"")</f>
        <v>120000</v>
      </c>
      <c r="F706" s="5">
        <f>+SUMIFS(FINANCIACION[$ CAPITAL],FINANCIACION[Fecha],"&lt;="&amp;FINANCIACION[[#This Row],[Fecha]],FINANCIACION[PRESTAMO],FINANCIACION[[#This Row],[PRESTAMO]])</f>
        <v>-12000000</v>
      </c>
      <c r="G706" s="7"/>
      <c r="H706" s="53"/>
      <c r="I706" s="5" t="b">
        <f>IF(FINANCIACION[[#This Row],[$ CAPITAL]]&gt;0,FINANCIACION[[#This Row],[$ CAPITAL]])</f>
        <v>0</v>
      </c>
      <c r="J706" s="33">
        <f>IF(FINANCIACION[[#This Row],[$ CAPITAL]]&gt;=0,FINANCIACION[[#This Row],[$ CAPITAL]]+FINANCIACION[[#This Row],[$ INTERESES]],0)</f>
        <v>120000</v>
      </c>
    </row>
    <row r="707" spans="1:10" ht="24" hidden="1" customHeight="1" x14ac:dyDescent="0.3">
      <c r="A707" s="131">
        <v>44425</v>
      </c>
      <c r="B707" s="50" t="s">
        <v>153</v>
      </c>
      <c r="C707" s="5"/>
      <c r="D707" s="5">
        <v>227850</v>
      </c>
      <c r="E707" s="5">
        <f>+IF(FINANCIACION[[#This Row],[$ CAPITAL]]&gt;=0,FINANCIACION[[#This Row],[$ CAPITAL]]+FINANCIACION[[#This Row],[$ INTERESES]],"")</f>
        <v>227850</v>
      </c>
      <c r="F707" s="5">
        <f>+SUMIFS(FINANCIACION[$ CAPITAL],FINANCIACION[Fecha],"&lt;="&amp;FINANCIACION[[#This Row],[Fecha]],FINANCIACION[PRESTAMO],FINANCIACION[[#This Row],[PRESTAMO]])</f>
        <v>-35000000</v>
      </c>
      <c r="G707" s="7"/>
      <c r="H707" s="53"/>
      <c r="I707" s="5" t="b">
        <f>IF(FINANCIACION[[#This Row],[$ CAPITAL]]&gt;0,FINANCIACION[[#This Row],[$ CAPITAL]])</f>
        <v>0</v>
      </c>
      <c r="J707" s="33">
        <f>IF(FINANCIACION[[#This Row],[$ CAPITAL]]&gt;=0,FINANCIACION[[#This Row],[$ CAPITAL]]+FINANCIACION[[#This Row],[$ INTERESES]],0)</f>
        <v>227850</v>
      </c>
    </row>
    <row r="708" spans="1:10" ht="24" hidden="1" customHeight="1" x14ac:dyDescent="0.3">
      <c r="A708" s="131">
        <v>44426</v>
      </c>
      <c r="B708" s="50" t="s">
        <v>546</v>
      </c>
      <c r="C708" s="5">
        <v>1233101.4399999976</v>
      </c>
      <c r="D708" s="5">
        <v>4898.5600000023842</v>
      </c>
      <c r="E708" s="5">
        <f>+IF(FINANCIACION[[#This Row],[$ CAPITAL]]&gt;=0,FINANCIACION[[#This Row],[$ CAPITAL]]+FINANCIACION[[#This Row],[$ INTERESES]],"")</f>
        <v>1238000</v>
      </c>
      <c r="F708" s="5">
        <f>+SUMIFS(FINANCIACION[$ CAPITAL],FINANCIACION[Fecha],"&lt;="&amp;FINANCIACION[[#This Row],[Fecha]],FINANCIACION[PRESTAMO],FINANCIACION[[#This Row],[PRESTAMO]])</f>
        <v>-22486676.970000003</v>
      </c>
      <c r="G708" s="7"/>
      <c r="H708" s="53"/>
      <c r="I708" s="5">
        <f>IF(FINANCIACION[[#This Row],[$ CAPITAL]]&gt;0,FINANCIACION[[#This Row],[$ CAPITAL]])</f>
        <v>1233101.4399999976</v>
      </c>
      <c r="J708" s="33">
        <f>IF(FINANCIACION[[#This Row],[$ CAPITAL]]&gt;=0,FINANCIACION[[#This Row],[$ CAPITAL]]+FINANCIACION[[#This Row],[$ INTERESES]],0)</f>
        <v>1238000</v>
      </c>
    </row>
    <row r="709" spans="1:10" ht="24" hidden="1" customHeight="1" x14ac:dyDescent="0.3">
      <c r="A709" s="131">
        <v>44426</v>
      </c>
      <c r="B709" s="50" t="s">
        <v>540</v>
      </c>
      <c r="C709" s="5">
        <v>988729.23999999836</v>
      </c>
      <c r="D709" s="5">
        <v>4270.7600000016391</v>
      </c>
      <c r="E709" s="5">
        <f>+IF(FINANCIACION[[#This Row],[$ CAPITAL]]&gt;=0,FINANCIACION[[#This Row],[$ CAPITAL]]+FINANCIACION[[#This Row],[$ INTERESES]],"")</f>
        <v>993000</v>
      </c>
      <c r="F709" s="5">
        <f>+SUMIFS(FINANCIACION[$ CAPITAL],FINANCIACION[Fecha],"&lt;="&amp;FINANCIACION[[#This Row],[Fecha]],FINANCIACION[PRESTAMO],FINANCIACION[[#This Row],[PRESTAMO]])</f>
        <v>-19449106.430000003</v>
      </c>
      <c r="G709" s="7"/>
      <c r="H709" s="53"/>
      <c r="I709" s="5">
        <f>IF(FINANCIACION[[#This Row],[$ CAPITAL]]&gt;0,FINANCIACION[[#This Row],[$ CAPITAL]])</f>
        <v>988729.23999999836</v>
      </c>
      <c r="J709" s="33">
        <f>IF(FINANCIACION[[#This Row],[$ CAPITAL]]&gt;=0,FINANCIACION[[#This Row],[$ CAPITAL]]+FINANCIACION[[#This Row],[$ INTERESES]],0)</f>
        <v>993000</v>
      </c>
    </row>
    <row r="710" spans="1:10" ht="24" hidden="1" customHeight="1" x14ac:dyDescent="0.3">
      <c r="A710" s="131">
        <v>44426</v>
      </c>
      <c r="B710" s="50" t="s">
        <v>542</v>
      </c>
      <c r="C710" s="5">
        <v>1040361.5199999996</v>
      </c>
      <c r="D710" s="5">
        <v>4638.480000000447</v>
      </c>
      <c r="E710" s="5">
        <f>+IF(FINANCIACION[[#This Row],[$ CAPITAL]]&gt;=0,FINANCIACION[[#This Row],[$ CAPITAL]]+FINANCIACION[[#This Row],[$ INTERESES]],"")</f>
        <v>1045000</v>
      </c>
      <c r="F710" s="5">
        <f>+SUMIFS(FINANCIACION[$ CAPITAL],FINANCIACION[Fecha],"&lt;="&amp;FINANCIACION[[#This Row],[Fecha]],FINANCIACION[PRESTAMO],FINANCIACION[[#This Row],[PRESTAMO]])</f>
        <v>-21288390.120000001</v>
      </c>
      <c r="G710" s="7"/>
      <c r="H710" s="53"/>
      <c r="I710" s="5">
        <f>IF(FINANCIACION[[#This Row],[$ CAPITAL]]&gt;0,FINANCIACION[[#This Row],[$ CAPITAL]])</f>
        <v>1040361.5199999996</v>
      </c>
      <c r="J710" s="33">
        <f>IF(FINANCIACION[[#This Row],[$ CAPITAL]]&gt;=0,FINANCIACION[[#This Row],[$ CAPITAL]]+FINANCIACION[[#This Row],[$ INTERESES]],0)</f>
        <v>1045000</v>
      </c>
    </row>
    <row r="711" spans="1:10" ht="24" hidden="1" customHeight="1" x14ac:dyDescent="0.3">
      <c r="A711" s="131">
        <v>44426</v>
      </c>
      <c r="B711" s="50" t="s">
        <v>538</v>
      </c>
      <c r="C711" s="5">
        <v>2504623.9299999997</v>
      </c>
      <c r="D711" s="5">
        <v>10376.070000000298</v>
      </c>
      <c r="E711" s="5">
        <f>+IF(FINANCIACION[[#This Row],[$ CAPITAL]]&gt;=0,FINANCIACION[[#This Row],[$ CAPITAL]]+FINANCIACION[[#This Row],[$ INTERESES]],"")</f>
        <v>2515000</v>
      </c>
      <c r="F711" s="5">
        <f>+SUMIFS(FINANCIACION[$ CAPITAL],FINANCIACION[Fecha],"&lt;="&amp;FINANCIACION[[#This Row],[Fecha]],FINANCIACION[PRESTAMO],FINANCIACION[[#This Row],[PRESTAMO]])</f>
        <v>-47631389.68</v>
      </c>
      <c r="G711" s="7"/>
      <c r="H711" s="53"/>
      <c r="I711" s="5">
        <f>IF(FINANCIACION[[#This Row],[$ CAPITAL]]&gt;0,FINANCIACION[[#This Row],[$ CAPITAL]])</f>
        <v>2504623.9299999997</v>
      </c>
      <c r="J711" s="33">
        <f>IF(FINANCIACION[[#This Row],[$ CAPITAL]]&gt;=0,FINANCIACION[[#This Row],[$ CAPITAL]]+FINANCIACION[[#This Row],[$ INTERESES]],0)</f>
        <v>2515000</v>
      </c>
    </row>
    <row r="712" spans="1:10" ht="24" hidden="1" customHeight="1" x14ac:dyDescent="0.3">
      <c r="A712" s="131">
        <v>44426</v>
      </c>
      <c r="B712" s="50" t="s">
        <v>539</v>
      </c>
      <c r="C712" s="5">
        <v>3688246.1700000018</v>
      </c>
      <c r="D712" s="5">
        <v>16753.829999998212</v>
      </c>
      <c r="E712" s="5">
        <f>+IF(FINANCIACION[[#This Row],[$ CAPITAL]]&gt;=0,FINANCIACION[[#This Row],[$ CAPITAL]]+FINANCIACION[[#This Row],[$ INTERESES]],"")</f>
        <v>3705000</v>
      </c>
      <c r="F712" s="5">
        <f>+SUMIFS(FINANCIACION[$ CAPITAL],FINANCIACION[Fecha],"&lt;="&amp;FINANCIACION[[#This Row],[Fecha]],FINANCIACION[PRESTAMO],FINANCIACION[[#This Row],[PRESTAMO]])</f>
        <v>-69028183.840000004</v>
      </c>
      <c r="G712" s="7"/>
      <c r="H712" s="53"/>
      <c r="I712" s="5">
        <f>IF(FINANCIACION[[#This Row],[$ CAPITAL]]&gt;0,FINANCIACION[[#This Row],[$ CAPITAL]])</f>
        <v>3688246.1700000018</v>
      </c>
      <c r="J712" s="33">
        <f>IF(FINANCIACION[[#This Row],[$ CAPITAL]]&gt;=0,FINANCIACION[[#This Row],[$ CAPITAL]]+FINANCIACION[[#This Row],[$ INTERESES]],0)</f>
        <v>3705000</v>
      </c>
    </row>
    <row r="713" spans="1:10" ht="24" hidden="1" customHeight="1" x14ac:dyDescent="0.3">
      <c r="A713" s="131">
        <v>44426</v>
      </c>
      <c r="B713" s="50" t="s">
        <v>534</v>
      </c>
      <c r="C713" s="5">
        <v>5709486</v>
      </c>
      <c r="D713" s="5">
        <v>242086</v>
      </c>
      <c r="E713" s="5">
        <f>+IF(FINANCIACION[[#This Row],[$ CAPITAL]]&gt;=0,FINANCIACION[[#This Row],[$ CAPITAL]]+FINANCIACION[[#This Row],[$ INTERESES]],"")</f>
        <v>5951572</v>
      </c>
      <c r="F713" s="5">
        <f>+SUMIFS(FINANCIACION[$ CAPITAL],FINANCIACION[Fecha],"&lt;="&amp;FINANCIACION[[#This Row],[Fecha]],FINANCIACION[PRESTAMO],FINANCIACION[[#This Row],[PRESTAMO]])</f>
        <v>-338735212</v>
      </c>
      <c r="G713" s="7"/>
      <c r="H713" s="53"/>
      <c r="I713" s="5">
        <f>IF(FINANCIACION[[#This Row],[$ CAPITAL]]&gt;0,FINANCIACION[[#This Row],[$ CAPITAL]])</f>
        <v>5709486</v>
      </c>
      <c r="J713" s="33">
        <f>IF(FINANCIACION[[#This Row],[$ CAPITAL]]&gt;=0,FINANCIACION[[#This Row],[$ CAPITAL]]+FINANCIACION[[#This Row],[$ INTERESES]],0)</f>
        <v>5951572</v>
      </c>
    </row>
    <row r="714" spans="1:10" ht="24" hidden="1" customHeight="1" x14ac:dyDescent="0.3">
      <c r="A714" s="131">
        <v>44426</v>
      </c>
      <c r="B714" s="50" t="s">
        <v>535</v>
      </c>
      <c r="C714" s="5">
        <v>1487315.6400000006</v>
      </c>
      <c r="D714" s="5">
        <v>5684.359999999404</v>
      </c>
      <c r="E714" s="5">
        <f>+IF(FINANCIACION[[#This Row],[$ CAPITAL]]&gt;=0,FINANCIACION[[#This Row],[$ CAPITAL]]+FINANCIACION[[#This Row],[$ INTERESES]],"")</f>
        <v>1493000</v>
      </c>
      <c r="F714" s="5">
        <f>+SUMIFS(FINANCIACION[$ CAPITAL],FINANCIACION[Fecha],"&lt;="&amp;FINANCIACION[[#This Row],[Fecha]],FINANCIACION[PRESTAMO],FINANCIACION[[#This Row],[PRESTAMO]])</f>
        <v>-25606060.169999991</v>
      </c>
      <c r="G714" s="7"/>
      <c r="H714" s="53"/>
      <c r="I714" s="5">
        <f>IF(FINANCIACION[[#This Row],[$ CAPITAL]]&gt;0,FINANCIACION[[#This Row],[$ CAPITAL]])</f>
        <v>1487315.6400000006</v>
      </c>
      <c r="J714" s="33">
        <f>IF(FINANCIACION[[#This Row],[$ CAPITAL]]&gt;=0,FINANCIACION[[#This Row],[$ CAPITAL]]+FINANCIACION[[#This Row],[$ INTERESES]],0)</f>
        <v>1493000</v>
      </c>
    </row>
    <row r="715" spans="1:10" ht="24" hidden="1" customHeight="1" x14ac:dyDescent="0.3">
      <c r="A715" s="131">
        <v>44426</v>
      </c>
      <c r="B715" s="50" t="s">
        <v>1488</v>
      </c>
      <c r="C715" s="5">
        <v>74118</v>
      </c>
      <c r="D715" s="5"/>
      <c r="E715" s="5">
        <f>+IF(FINANCIACION[[#This Row],[$ CAPITAL]]&gt;=0,FINANCIACION[[#This Row],[$ CAPITAL]]+FINANCIACION[[#This Row],[$ INTERESES]],"")</f>
        <v>74118</v>
      </c>
      <c r="F715" s="5">
        <f>+SUMIFS(FINANCIACION[$ CAPITAL],FINANCIACION[Fecha],"&lt;="&amp;FINANCIACION[[#This Row],[Fecha]],FINANCIACION[PRESTAMO],FINANCIACION[[#This Row],[PRESTAMO]])</f>
        <v>790</v>
      </c>
      <c r="G715" s="7"/>
      <c r="H715" s="53"/>
      <c r="I715" s="5">
        <f>IF(FINANCIACION[[#This Row],[$ CAPITAL]]&gt;0,FINANCIACION[[#This Row],[$ CAPITAL]])</f>
        <v>74118</v>
      </c>
      <c r="J715" s="33">
        <f>IF(FINANCIACION[[#This Row],[$ CAPITAL]]&gt;=0,FINANCIACION[[#This Row],[$ CAPITAL]]+FINANCIACION[[#This Row],[$ INTERESES]],0)</f>
        <v>74118</v>
      </c>
    </row>
    <row r="716" spans="1:10" ht="24" hidden="1" customHeight="1" x14ac:dyDescent="0.3">
      <c r="A716" s="131">
        <v>44426</v>
      </c>
      <c r="B716" s="50" t="s">
        <v>154</v>
      </c>
      <c r="C716" s="5">
        <v>3868410</v>
      </c>
      <c r="D716" s="5"/>
      <c r="E716" s="5">
        <f>+IF(FINANCIACION[[#This Row],[$ CAPITAL]]&gt;=0,FINANCIACION[[#This Row],[$ CAPITAL]]+FINANCIACION[[#This Row],[$ INTERESES]],"")</f>
        <v>3868410</v>
      </c>
      <c r="F716" s="5">
        <f>+SUMIFS(FINANCIACION[$ CAPITAL],FINANCIACION[Fecha],"&lt;="&amp;FINANCIACION[[#This Row],[Fecha]],FINANCIACION[PRESTAMO],FINANCIACION[[#This Row],[PRESTAMO]])</f>
        <v>-16027610</v>
      </c>
      <c r="G716" s="7"/>
      <c r="H716" s="53"/>
      <c r="I716" s="5">
        <f>IF(FINANCIACION[[#This Row],[$ CAPITAL]]&gt;0,FINANCIACION[[#This Row],[$ CAPITAL]])</f>
        <v>3868410</v>
      </c>
      <c r="J716" s="8">
        <f>IF(FINANCIACION[[#This Row],[$ CAPITAL]]&gt;=0,FINANCIACION[[#This Row],[$ CAPITAL]]+FINANCIACION[[#This Row],[$ INTERESES]],0)</f>
        <v>3868410</v>
      </c>
    </row>
    <row r="717" spans="1:10" ht="24" hidden="1" customHeight="1" x14ac:dyDescent="0.3">
      <c r="A717" s="131">
        <v>44426</v>
      </c>
      <c r="B717" s="50" t="s">
        <v>155</v>
      </c>
      <c r="C717" s="5">
        <v>1000000</v>
      </c>
      <c r="D717" s="5"/>
      <c r="E717" s="5">
        <f>+IF(FINANCIACION[[#This Row],[$ CAPITAL]]&gt;=0,FINANCIACION[[#This Row],[$ CAPITAL]]+FINANCIACION[[#This Row],[$ INTERESES]],"")</f>
        <v>1000000</v>
      </c>
      <c r="F717" s="5">
        <f>+SUMIFS(FINANCIACION[$ CAPITAL],FINANCIACION[Fecha],"&lt;="&amp;FINANCIACION[[#This Row],[Fecha]],FINANCIACION[PRESTAMO],FINANCIACION[[#This Row],[PRESTAMO]])</f>
        <v>-411800</v>
      </c>
      <c r="G717" s="7"/>
      <c r="H717" s="53"/>
      <c r="I717" s="5">
        <f>IF(FINANCIACION[[#This Row],[$ CAPITAL]]&gt;0,FINANCIACION[[#This Row],[$ CAPITAL]])</f>
        <v>1000000</v>
      </c>
      <c r="J717" s="8">
        <f>IF(FINANCIACION[[#This Row],[$ CAPITAL]]&gt;=0,FINANCIACION[[#This Row],[$ CAPITAL]]+FINANCIACION[[#This Row],[$ INTERESES]],0)</f>
        <v>1000000</v>
      </c>
    </row>
    <row r="718" spans="1:10" ht="24" hidden="1" customHeight="1" x14ac:dyDescent="0.3">
      <c r="A718" s="131">
        <v>44439</v>
      </c>
      <c r="B718" s="50" t="s">
        <v>146</v>
      </c>
      <c r="C718" s="5">
        <v>1468400</v>
      </c>
      <c r="D718" s="5">
        <v>442095</v>
      </c>
      <c r="E718" s="5">
        <f>+IF(FINANCIACION[[#This Row],[$ CAPITAL]]&gt;=0,FINANCIACION[[#This Row],[$ CAPITAL]]+FINANCIACION[[#This Row],[$ INTERESES]],"")</f>
        <v>1910495</v>
      </c>
      <c r="F718" s="5">
        <f>+SUMIFS(FINANCIACION[$ CAPITAL],FINANCIACION[Fecha],"&lt;="&amp;FINANCIACION[[#This Row],[Fecha]],FINANCIACION[PRESTAMO],FINANCIACION[[#This Row],[PRESTAMO]])</f>
        <v>-45520400</v>
      </c>
      <c r="G718" s="7"/>
      <c r="H718" s="53"/>
      <c r="I718" s="5">
        <f>IF(FINANCIACION[[#This Row],[$ CAPITAL]]&gt;0,FINANCIACION[[#This Row],[$ CAPITAL]])</f>
        <v>1468400</v>
      </c>
      <c r="J718" s="8">
        <f>IF(FINANCIACION[[#This Row],[$ CAPITAL]]&gt;=0,FINANCIACION[[#This Row],[$ CAPITAL]]+FINANCIACION[[#This Row],[$ INTERESES]],0)</f>
        <v>1910495</v>
      </c>
    </row>
    <row r="719" spans="1:10" ht="24" hidden="1" customHeight="1" x14ac:dyDescent="0.3">
      <c r="A719" s="131">
        <v>44439</v>
      </c>
      <c r="B719" s="50" t="s">
        <v>147</v>
      </c>
      <c r="C719" s="5">
        <v>76791</v>
      </c>
      <c r="D719" s="5"/>
      <c r="E719" s="5">
        <f>+IF(FINANCIACION[[#This Row],[$ CAPITAL]]&gt;=0,FINANCIACION[[#This Row],[$ CAPITAL]]+FINANCIACION[[#This Row],[$ INTERESES]],"")</f>
        <v>76791</v>
      </c>
      <c r="F719" s="5">
        <f>+SUMIFS(FINANCIACION[$ CAPITAL],FINANCIACION[Fecha],"&lt;="&amp;FINANCIACION[[#This Row],[Fecha]],FINANCIACION[PRESTAMO],FINANCIACION[[#This Row],[PRESTAMO]])</f>
        <v>-2380521</v>
      </c>
      <c r="G719" s="7"/>
      <c r="H719" s="53"/>
      <c r="I719" s="5">
        <f>IF(FINANCIACION[[#This Row],[$ CAPITAL]]&gt;0,FINANCIACION[[#This Row],[$ CAPITAL]])</f>
        <v>76791</v>
      </c>
      <c r="J719" s="8">
        <f>IF(FINANCIACION[[#This Row],[$ CAPITAL]]&gt;=0,FINANCIACION[[#This Row],[$ CAPITAL]]+FINANCIACION[[#This Row],[$ INTERESES]],0)</f>
        <v>76791</v>
      </c>
    </row>
    <row r="720" spans="1:10" ht="24" hidden="1" customHeight="1" x14ac:dyDescent="0.3">
      <c r="A720" s="131">
        <v>44439</v>
      </c>
      <c r="B720" s="50" t="s">
        <v>1488</v>
      </c>
      <c r="C720" s="5">
        <v>-790</v>
      </c>
      <c r="D720" s="5"/>
      <c r="E720" s="5" t="str">
        <f>+IF(FINANCIACION[[#This Row],[$ CAPITAL]]&gt;=0,FINANCIACION[[#This Row],[$ CAPITAL]]+FINANCIACION[[#This Row],[$ INTERESES]],"")</f>
        <v/>
      </c>
      <c r="F720" s="5">
        <f>+SUMIFS(FINANCIACION[$ CAPITAL],FINANCIACION[Fecha],"&lt;="&amp;FINANCIACION[[#This Row],[Fecha]],FINANCIACION[PRESTAMO],FINANCIACION[[#This Row],[PRESTAMO]])</f>
        <v>63580</v>
      </c>
      <c r="G720" s="7" t="s">
        <v>170</v>
      </c>
      <c r="H720" s="53"/>
      <c r="I720" s="5" t="b">
        <f>IF(FINANCIACION[[#This Row],[$ CAPITAL]]&gt;0,FINANCIACION[[#This Row],[$ CAPITAL]])</f>
        <v>0</v>
      </c>
      <c r="J720" s="8">
        <f>IF(FINANCIACION[[#This Row],[$ CAPITAL]]&gt;=0,FINANCIACION[[#This Row],[$ CAPITAL]]+FINANCIACION[[#This Row],[$ INTERESES]],0)</f>
        <v>0</v>
      </c>
    </row>
    <row r="721" spans="1:10" ht="24" hidden="1" customHeight="1" x14ac:dyDescent="0.3">
      <c r="A721" s="131">
        <v>44439</v>
      </c>
      <c r="B721" s="50" t="s">
        <v>1488</v>
      </c>
      <c r="C721" s="5">
        <v>63580</v>
      </c>
      <c r="D721" s="5"/>
      <c r="E721" s="5">
        <f>+IF(FINANCIACION[[#This Row],[$ CAPITAL]]&gt;=0,FINANCIACION[[#This Row],[$ CAPITAL]]+FINANCIACION[[#This Row],[$ INTERESES]],"")</f>
        <v>63580</v>
      </c>
      <c r="F721" s="5">
        <f>+SUMIFS(FINANCIACION[$ CAPITAL],FINANCIACION[Fecha],"&lt;="&amp;FINANCIACION[[#This Row],[Fecha]],FINANCIACION[PRESTAMO],FINANCIACION[[#This Row],[PRESTAMO]])</f>
        <v>63580</v>
      </c>
      <c r="G721" s="7"/>
      <c r="H721" s="53"/>
      <c r="I721" s="5">
        <f>IF(FINANCIACION[[#This Row],[$ CAPITAL]]&gt;0,FINANCIACION[[#This Row],[$ CAPITAL]])</f>
        <v>63580</v>
      </c>
      <c r="J721" s="8">
        <f>IF(FINANCIACION[[#This Row],[$ CAPITAL]]&gt;=0,FINANCIACION[[#This Row],[$ CAPITAL]]+FINANCIACION[[#This Row],[$ INTERESES]],0)</f>
        <v>63580</v>
      </c>
    </row>
    <row r="722" spans="1:10" ht="24" hidden="1" customHeight="1" x14ac:dyDescent="0.3">
      <c r="A722" s="131">
        <v>44439</v>
      </c>
      <c r="B722" s="50" t="s">
        <v>154</v>
      </c>
      <c r="C722" s="5">
        <v>38068.699999999997</v>
      </c>
      <c r="D722" s="5"/>
      <c r="E722" s="5">
        <f>+IF(FINANCIACION[[#This Row],[$ CAPITAL]]&gt;=0,FINANCIACION[[#This Row],[$ CAPITAL]]+FINANCIACION[[#This Row],[$ INTERESES]],"")</f>
        <v>38068.699999999997</v>
      </c>
      <c r="F722" s="5">
        <f>+SUMIFS(FINANCIACION[$ CAPITAL],FINANCIACION[Fecha],"&lt;="&amp;FINANCIACION[[#This Row],[Fecha]],FINANCIACION[PRESTAMO],FINANCIACION[[#This Row],[PRESTAMO]])</f>
        <v>-31683600</v>
      </c>
      <c r="G722" s="53"/>
      <c r="H722" s="53"/>
      <c r="I722" s="5">
        <f>IF(FINANCIACION[[#This Row],[$ CAPITAL]]&gt;0,FINANCIACION[[#This Row],[$ CAPITAL]])</f>
        <v>38068.699999999997</v>
      </c>
      <c r="J722" s="33">
        <f>IF(FINANCIACION[[#This Row],[$ CAPITAL]]&gt;=0,FINANCIACION[[#This Row],[$ CAPITAL]]+FINANCIACION[[#This Row],[$ INTERESES]],0)</f>
        <v>38068.699999999997</v>
      </c>
    </row>
    <row r="723" spans="1:10" ht="24" hidden="1" customHeight="1" x14ac:dyDescent="0.3">
      <c r="A723" s="131">
        <v>44439</v>
      </c>
      <c r="B723" s="50" t="s">
        <v>154</v>
      </c>
      <c r="C723" s="5">
        <v>-15694058.699999999</v>
      </c>
      <c r="D723" s="5"/>
      <c r="E723" s="5" t="str">
        <f>+IF(FINANCIACION[[#This Row],[$ CAPITAL]]&gt;=0,FINANCIACION[[#This Row],[$ CAPITAL]]+FINANCIACION[[#This Row],[$ INTERESES]],"")</f>
        <v/>
      </c>
      <c r="F723" s="5">
        <f>+SUMIFS(FINANCIACION[$ CAPITAL],FINANCIACION[Fecha],"&lt;="&amp;FINANCIACION[[#This Row],[Fecha]],FINANCIACION[PRESTAMO],FINANCIACION[[#This Row],[PRESTAMO]])</f>
        <v>-31683600</v>
      </c>
      <c r="G723" s="53" t="s">
        <v>170</v>
      </c>
      <c r="H723" s="53"/>
      <c r="I723" s="5" t="b">
        <f>IF(FINANCIACION[[#This Row],[$ CAPITAL]]&gt;0,FINANCIACION[[#This Row],[$ CAPITAL]])</f>
        <v>0</v>
      </c>
      <c r="J723" s="33">
        <f>IF(FINANCIACION[[#This Row],[$ CAPITAL]]&gt;=0,FINANCIACION[[#This Row],[$ CAPITAL]]+FINANCIACION[[#This Row],[$ INTERESES]],0)</f>
        <v>0</v>
      </c>
    </row>
    <row r="724" spans="1:10" ht="24" hidden="1" customHeight="1" x14ac:dyDescent="0.3">
      <c r="A724" s="131">
        <v>44439</v>
      </c>
      <c r="B724" s="50" t="s">
        <v>155</v>
      </c>
      <c r="C724" s="5">
        <v>-5634</v>
      </c>
      <c r="D724" s="5"/>
      <c r="E724" s="5" t="str">
        <f>+IF(FINANCIACION[[#This Row],[$ CAPITAL]]&gt;=0,FINANCIACION[[#This Row],[$ CAPITAL]]+FINANCIACION[[#This Row],[$ INTERESES]],"")</f>
        <v/>
      </c>
      <c r="F724" s="5">
        <f>+SUMIFS(FINANCIACION[$ CAPITAL],FINANCIACION[Fecha],"&lt;="&amp;FINANCIACION[[#This Row],[Fecha]],FINANCIACION[PRESTAMO],FINANCIACION[[#This Row],[PRESTAMO]])</f>
        <v>-417434</v>
      </c>
      <c r="G724" s="53" t="s">
        <v>170</v>
      </c>
      <c r="H724" s="53"/>
      <c r="I724" s="5" t="b">
        <f>IF(FINANCIACION[[#This Row],[$ CAPITAL]]&gt;0,FINANCIACION[[#This Row],[$ CAPITAL]])</f>
        <v>0</v>
      </c>
      <c r="J724" s="33">
        <f>IF(FINANCIACION[[#This Row],[$ CAPITAL]]&gt;=0,FINANCIACION[[#This Row],[$ CAPITAL]]+FINANCIACION[[#This Row],[$ INTERESES]],0)</f>
        <v>0</v>
      </c>
    </row>
    <row r="725" spans="1:10" ht="24" hidden="1" customHeight="1" x14ac:dyDescent="0.3">
      <c r="A725" s="131">
        <v>44440</v>
      </c>
      <c r="B725" s="50" t="s">
        <v>154</v>
      </c>
      <c r="C725" s="5">
        <v>11300000</v>
      </c>
      <c r="D725" s="5"/>
      <c r="E725" s="5">
        <f>+IF(FINANCIACION[[#This Row],[$ CAPITAL]]&gt;=0,FINANCIACION[[#This Row],[$ CAPITAL]]+FINANCIACION[[#This Row],[$ INTERESES]],"")</f>
        <v>11300000</v>
      </c>
      <c r="F725" s="5">
        <f>+SUMIFS(FINANCIACION[$ CAPITAL],FINANCIACION[Fecha],"&lt;="&amp;FINANCIACION[[#This Row],[Fecha]],FINANCIACION[PRESTAMO],FINANCIACION[[#This Row],[PRESTAMO]])</f>
        <v>-20383600</v>
      </c>
      <c r="G725" s="7"/>
      <c r="H725" s="53"/>
      <c r="I725" s="5">
        <f>IF(FINANCIACION[[#This Row],[$ CAPITAL]]&gt;0,FINANCIACION[[#This Row],[$ CAPITAL]])</f>
        <v>11300000</v>
      </c>
      <c r="J725" s="33">
        <f>IF(FINANCIACION[[#This Row],[$ CAPITAL]]&gt;=0,FINANCIACION[[#This Row],[$ CAPITAL]]+FINANCIACION[[#This Row],[$ INTERESES]],0)</f>
        <v>11300000</v>
      </c>
    </row>
    <row r="726" spans="1:10" ht="24" hidden="1" customHeight="1" x14ac:dyDescent="0.3">
      <c r="A726" s="131">
        <v>44440</v>
      </c>
      <c r="B726" s="50" t="s">
        <v>155</v>
      </c>
      <c r="C726" s="5">
        <v>417434</v>
      </c>
      <c r="D726" s="5"/>
      <c r="E726" s="5">
        <f>+IF(FINANCIACION[[#This Row],[$ CAPITAL]]&gt;=0,FINANCIACION[[#This Row],[$ CAPITAL]]+FINANCIACION[[#This Row],[$ INTERESES]],"")</f>
        <v>417434</v>
      </c>
      <c r="F726" s="5">
        <f>+SUMIFS(FINANCIACION[$ CAPITAL],FINANCIACION[Fecha],"&lt;="&amp;FINANCIACION[[#This Row],[Fecha]],FINANCIACION[PRESTAMO],FINANCIACION[[#This Row],[PRESTAMO]])</f>
        <v>0</v>
      </c>
      <c r="G726" s="53"/>
      <c r="H726" s="53"/>
      <c r="I726" s="5">
        <f>IF(FINANCIACION[[#This Row],[$ CAPITAL]]&gt;0,FINANCIACION[[#This Row],[$ CAPITAL]])</f>
        <v>417434</v>
      </c>
      <c r="J726" s="33">
        <f>IF(FINANCIACION[[#This Row],[$ CAPITAL]]&gt;=0,FINANCIACION[[#This Row],[$ CAPITAL]]+FINANCIACION[[#This Row],[$ INTERESES]],0)</f>
        <v>417434</v>
      </c>
    </row>
    <row r="727" spans="1:10" ht="24" hidden="1" customHeight="1" x14ac:dyDescent="0.3">
      <c r="A727" s="131">
        <v>44445</v>
      </c>
      <c r="B727" s="50" t="s">
        <v>150</v>
      </c>
      <c r="C727" s="5">
        <v>6326000</v>
      </c>
      <c r="D727" s="5">
        <v>282642.03000000003</v>
      </c>
      <c r="E727" s="5">
        <f>+IF(FINANCIACION[[#This Row],[$ CAPITAL]]&gt;=0,FINANCIACION[[#This Row],[$ CAPITAL]]+FINANCIACION[[#This Row],[$ INTERESES]],"")</f>
        <v>6608642.0300000003</v>
      </c>
      <c r="F727" s="5">
        <f>+SUMIFS(FINANCIACION[$ CAPITAL],FINANCIACION[Fecha],"&lt;="&amp;FINANCIACION[[#This Row],[Fecha]],FINANCIACION[PRESTAMO],FINANCIACION[[#This Row],[PRESTAMO]])</f>
        <v>-35061126</v>
      </c>
      <c r="G727" s="53"/>
      <c r="H727" s="53"/>
      <c r="I727" s="5">
        <f>IF(FINANCIACION[[#This Row],[$ CAPITAL]]&gt;0,FINANCIACION[[#This Row],[$ CAPITAL]])</f>
        <v>6326000</v>
      </c>
      <c r="J727" s="33">
        <f>IF(FINANCIACION[[#This Row],[$ CAPITAL]]&gt;=0,FINANCIACION[[#This Row],[$ CAPITAL]]+FINANCIACION[[#This Row],[$ INTERESES]],0)</f>
        <v>6608642.0300000003</v>
      </c>
    </row>
    <row r="728" spans="1:10" ht="24" hidden="1" customHeight="1" x14ac:dyDescent="0.3">
      <c r="A728" s="131">
        <v>44450</v>
      </c>
      <c r="B728" s="50" t="s">
        <v>543</v>
      </c>
      <c r="C728" s="5"/>
      <c r="D728" s="5">
        <v>130000</v>
      </c>
      <c r="E728" s="5">
        <f>+IF(FINANCIACION[[#This Row],[$ CAPITAL]]&gt;=0,FINANCIACION[[#This Row],[$ CAPITAL]]+FINANCIACION[[#This Row],[$ INTERESES]],"")</f>
        <v>130000</v>
      </c>
      <c r="F728" s="5">
        <f>+SUMIFS(FINANCIACION[$ CAPITAL],FINANCIACION[Fecha],"&lt;="&amp;FINANCIACION[[#This Row],[Fecha]],FINANCIACION[PRESTAMO],FINANCIACION[[#This Row],[PRESTAMO]])</f>
        <v>-13000000</v>
      </c>
      <c r="G728" s="53"/>
      <c r="H728" s="53"/>
      <c r="I728" s="5" t="b">
        <f>IF(FINANCIACION[[#This Row],[$ CAPITAL]]&gt;0,FINANCIACION[[#This Row],[$ CAPITAL]])</f>
        <v>0</v>
      </c>
      <c r="J728" s="33">
        <f>IF(FINANCIACION[[#This Row],[$ CAPITAL]]&gt;=0,FINANCIACION[[#This Row],[$ CAPITAL]]+FINANCIACION[[#This Row],[$ INTERESES]],0)</f>
        <v>130000</v>
      </c>
    </row>
    <row r="729" spans="1:10" ht="24" hidden="1" customHeight="1" x14ac:dyDescent="0.3">
      <c r="A729" s="131">
        <v>44450</v>
      </c>
      <c r="B729" s="50" t="s">
        <v>547</v>
      </c>
      <c r="C729" s="5"/>
      <c r="D729" s="5">
        <v>400000</v>
      </c>
      <c r="E729" s="5">
        <f>+IF(FINANCIACION[[#This Row],[$ CAPITAL]]&gt;=0,FINANCIACION[[#This Row],[$ CAPITAL]]+FINANCIACION[[#This Row],[$ INTERESES]],"")</f>
        <v>400000</v>
      </c>
      <c r="F729" s="5">
        <f>+SUMIFS(FINANCIACION[$ CAPITAL],FINANCIACION[Fecha],"&lt;="&amp;FINANCIACION[[#This Row],[Fecha]],FINANCIACION[PRESTAMO],FINANCIACION[[#This Row],[PRESTAMO]])</f>
        <v>-40000000</v>
      </c>
      <c r="G729" s="53" t="s">
        <v>268</v>
      </c>
      <c r="H729" s="53"/>
      <c r="I729" s="5" t="b">
        <f>IF(FINANCIACION[[#This Row],[$ CAPITAL]]&gt;0,FINANCIACION[[#This Row],[$ CAPITAL]])</f>
        <v>0</v>
      </c>
      <c r="J729" s="33">
        <f>IF(FINANCIACION[[#This Row],[$ CAPITAL]]&gt;=0,FINANCIACION[[#This Row],[$ CAPITAL]]+FINANCIACION[[#This Row],[$ INTERESES]],0)</f>
        <v>400000</v>
      </c>
    </row>
    <row r="730" spans="1:10" ht="24" hidden="1" customHeight="1" x14ac:dyDescent="0.3">
      <c r="A730" s="131">
        <v>44450</v>
      </c>
      <c r="B730" s="50" t="s">
        <v>532</v>
      </c>
      <c r="C730" s="5">
        <v>1907385.0577347248</v>
      </c>
      <c r="D730" s="5">
        <v>769992.94226527517</v>
      </c>
      <c r="E730" s="5">
        <f>+IF(FINANCIACION[[#This Row],[$ CAPITAL]]&gt;=0,FINANCIACION[[#This Row],[$ CAPITAL]]+FINANCIACION[[#This Row],[$ INTERESES]],"")</f>
        <v>2677378</v>
      </c>
      <c r="F730" s="5">
        <f>+SUMIFS(FINANCIACION[$ CAPITAL],FINANCIACION[Fecha],"&lt;="&amp;FINANCIACION[[#This Row],[Fecha]],FINANCIACION[PRESTAMO],FINANCIACION[[#This Row],[PRESTAMO]])</f>
        <v>-75091909.168792784</v>
      </c>
      <c r="G730" s="53"/>
      <c r="H730" s="53"/>
      <c r="I730" s="5">
        <f>IF(FINANCIACION[[#This Row],[$ CAPITAL]]&gt;0,FINANCIACION[[#This Row],[$ CAPITAL]])</f>
        <v>1907385.0577347248</v>
      </c>
      <c r="J730" s="33">
        <f>IF(FINANCIACION[[#This Row],[$ CAPITAL]]&gt;=0,FINANCIACION[[#This Row],[$ CAPITAL]]+FINANCIACION[[#This Row],[$ INTERESES]],0)</f>
        <v>2677378</v>
      </c>
    </row>
    <row r="731" spans="1:10" ht="24" hidden="1" customHeight="1" x14ac:dyDescent="0.3">
      <c r="A731" s="131">
        <v>44450</v>
      </c>
      <c r="B731" s="50" t="s">
        <v>536</v>
      </c>
      <c r="C731" s="5">
        <v>734866.22702992009</v>
      </c>
      <c r="D731" s="5">
        <v>565133.77297007991</v>
      </c>
      <c r="E731" s="5">
        <f>+IF(FINANCIACION[[#This Row],[$ CAPITAL]]&gt;=0,FINANCIACION[[#This Row],[$ CAPITAL]]+FINANCIACION[[#This Row],[$ INTERESES]],"")</f>
        <v>1300000</v>
      </c>
      <c r="F731" s="5">
        <f>+SUMIFS(FINANCIACION[$ CAPITAL],FINANCIACION[Fecha],"&lt;="&amp;FINANCIACION[[#This Row],[Fecha]],FINANCIACION[PRESTAMO],FINANCIACION[[#This Row],[PRESTAMO]])</f>
        <v>-55778511.069978073</v>
      </c>
      <c r="G731" s="7"/>
      <c r="H731" s="53"/>
      <c r="I731" s="5">
        <f>IF(FINANCIACION[[#This Row],[$ CAPITAL]]&gt;0,FINANCIACION[[#This Row],[$ CAPITAL]])</f>
        <v>734866.22702992009</v>
      </c>
      <c r="J731" s="33">
        <f>IF(FINANCIACION[[#This Row],[$ CAPITAL]]&gt;=0,FINANCIACION[[#This Row],[$ CAPITAL]]+FINANCIACION[[#This Row],[$ INTERESES]],0)</f>
        <v>1300000</v>
      </c>
    </row>
    <row r="732" spans="1:10" ht="24" hidden="1" customHeight="1" x14ac:dyDescent="0.3">
      <c r="A732" s="131">
        <v>44450</v>
      </c>
      <c r="B732" s="50" t="s">
        <v>533</v>
      </c>
      <c r="C732" s="5">
        <v>476820.09442826186</v>
      </c>
      <c r="D732" s="5">
        <v>723179.90557173814</v>
      </c>
      <c r="E732" s="5">
        <f>+IF(FINANCIACION[[#This Row],[$ CAPITAL]]&gt;=0,FINANCIACION[[#This Row],[$ CAPITAL]]+FINANCIACION[[#This Row],[$ INTERESES]],"")</f>
        <v>1200000</v>
      </c>
      <c r="F732" s="5">
        <f>+SUMIFS(FINANCIACION[$ CAPITAL],FINANCIACION[Fecha],"&lt;="&amp;FINANCIACION[[#This Row],[Fecha]],FINANCIACION[PRESTAMO],FINANCIACION[[#This Row],[PRESTAMO]])</f>
        <v>-72011858.322745562</v>
      </c>
      <c r="G732" s="7"/>
      <c r="H732" s="53"/>
      <c r="I732" s="5">
        <f>IF(FINANCIACION[[#This Row],[$ CAPITAL]]&gt;0,FINANCIACION[[#This Row],[$ CAPITAL]])</f>
        <v>476820.09442826186</v>
      </c>
      <c r="J732" s="33">
        <f>IF(FINANCIACION[[#This Row],[$ CAPITAL]]&gt;=0,FINANCIACION[[#This Row],[$ CAPITAL]]+FINANCIACION[[#This Row],[$ INTERESES]],0)</f>
        <v>1200000</v>
      </c>
    </row>
    <row r="733" spans="1:10" ht="24" hidden="1" customHeight="1" x14ac:dyDescent="0.3">
      <c r="A733" s="131">
        <v>44450</v>
      </c>
      <c r="B733" s="50" t="s">
        <v>545</v>
      </c>
      <c r="C733" s="5"/>
      <c r="D733" s="5">
        <v>120000</v>
      </c>
      <c r="E733" s="5">
        <f>+IF(FINANCIACION[[#This Row],[$ CAPITAL]]&gt;=0,FINANCIACION[[#This Row],[$ CAPITAL]]+FINANCIACION[[#This Row],[$ INTERESES]],"")</f>
        <v>120000</v>
      </c>
      <c r="F733" s="5">
        <f>+SUMIFS(FINANCIACION[$ CAPITAL],FINANCIACION[Fecha],"&lt;="&amp;FINANCIACION[[#This Row],[Fecha]],FINANCIACION[PRESTAMO],FINANCIACION[[#This Row],[PRESTAMO]])</f>
        <v>-12000000</v>
      </c>
      <c r="G733" s="7"/>
      <c r="H733" s="53"/>
      <c r="I733" s="5" t="b">
        <f>IF(FINANCIACION[[#This Row],[$ CAPITAL]]&gt;0,FINANCIACION[[#This Row],[$ CAPITAL]])</f>
        <v>0</v>
      </c>
      <c r="J733" s="33">
        <f>IF(FINANCIACION[[#This Row],[$ CAPITAL]]&gt;=0,FINANCIACION[[#This Row],[$ CAPITAL]]+FINANCIACION[[#This Row],[$ INTERESES]],0)</f>
        <v>120000</v>
      </c>
    </row>
    <row r="734" spans="1:10" ht="24" hidden="1" customHeight="1" x14ac:dyDescent="0.3">
      <c r="A734" s="131">
        <v>44453</v>
      </c>
      <c r="B734" s="50" t="s">
        <v>153</v>
      </c>
      <c r="C734" s="5"/>
      <c r="D734" s="5">
        <v>228229.16</v>
      </c>
      <c r="E734" s="5">
        <f>+IF(FINANCIACION[[#This Row],[$ CAPITAL]]&gt;=0,FINANCIACION[[#This Row],[$ CAPITAL]]+FINANCIACION[[#This Row],[$ INTERESES]],"")</f>
        <v>228229.16</v>
      </c>
      <c r="F734" s="5">
        <f>+SUMIFS(FINANCIACION[$ CAPITAL],FINANCIACION[Fecha],"&lt;="&amp;FINANCIACION[[#This Row],[Fecha]],FINANCIACION[PRESTAMO],FINANCIACION[[#This Row],[PRESTAMO]])</f>
        <v>-35000000</v>
      </c>
      <c r="G734" s="7"/>
      <c r="H734" s="53"/>
      <c r="I734" s="5" t="b">
        <f>IF(FINANCIACION[[#This Row],[$ CAPITAL]]&gt;0,FINANCIACION[[#This Row],[$ CAPITAL]])</f>
        <v>0</v>
      </c>
      <c r="J734" s="33">
        <f>IF(FINANCIACION[[#This Row],[$ CAPITAL]]&gt;=0,FINANCIACION[[#This Row],[$ CAPITAL]]+FINANCIACION[[#This Row],[$ INTERESES]],0)</f>
        <v>228229.16</v>
      </c>
    </row>
    <row r="735" spans="1:10" ht="24" hidden="1" customHeight="1" x14ac:dyDescent="0.3">
      <c r="A735" s="131">
        <v>44459</v>
      </c>
      <c r="B735" s="50" t="s">
        <v>546</v>
      </c>
      <c r="C735" s="5">
        <v>1218805.6799999997</v>
      </c>
      <c r="D735" s="5">
        <v>14194.320000000298</v>
      </c>
      <c r="E735" s="5">
        <f>+IF(FINANCIACION[[#This Row],[$ CAPITAL]]&gt;=0,FINANCIACION[[#This Row],[$ CAPITAL]]+FINANCIACION[[#This Row],[$ INTERESES]],"")</f>
        <v>1233000</v>
      </c>
      <c r="F735" s="5">
        <f>+SUMIFS(FINANCIACION[$ CAPITAL],FINANCIACION[Fecha],"&lt;="&amp;FINANCIACION[[#This Row],[Fecha]],FINANCIACION[PRESTAMO],FINANCIACION[[#This Row],[PRESTAMO]])</f>
        <v>-21267871.290000003</v>
      </c>
      <c r="G735" s="7"/>
      <c r="H735" s="53"/>
      <c r="I735" s="5">
        <f>IF(FINANCIACION[[#This Row],[$ CAPITAL]]&gt;0,FINANCIACION[[#This Row],[$ CAPITAL]])</f>
        <v>1218805.6799999997</v>
      </c>
      <c r="J735" s="33">
        <f>IF(FINANCIACION[[#This Row],[$ CAPITAL]]&gt;=0,FINANCIACION[[#This Row],[$ CAPITAL]]+FINANCIACION[[#This Row],[$ INTERESES]],0)</f>
        <v>1233000</v>
      </c>
    </row>
    <row r="736" spans="1:10" ht="24" hidden="1" customHeight="1" x14ac:dyDescent="0.3">
      <c r="A736" s="131">
        <v>44459</v>
      </c>
      <c r="B736" s="50" t="s">
        <v>540</v>
      </c>
      <c r="C736" s="5">
        <v>974272.16999999806</v>
      </c>
      <c r="D736" s="5">
        <v>12727.830000001937</v>
      </c>
      <c r="E736" s="5">
        <f>+IF(FINANCIACION[[#This Row],[$ CAPITAL]]&gt;=0,FINANCIACION[[#This Row],[$ CAPITAL]]+FINANCIACION[[#This Row],[$ INTERESES]],"")</f>
        <v>987000</v>
      </c>
      <c r="F736" s="5">
        <f>+SUMIFS(FINANCIACION[$ CAPITAL],FINANCIACION[Fecha],"&lt;="&amp;FINANCIACION[[#This Row],[Fecha]],FINANCIACION[PRESTAMO],FINANCIACION[[#This Row],[PRESTAMO]])</f>
        <v>-18474834.260000005</v>
      </c>
      <c r="G736" s="7"/>
      <c r="H736" s="53"/>
      <c r="I736" s="5">
        <f>IF(FINANCIACION[[#This Row],[$ CAPITAL]]&gt;0,FINANCIACION[[#This Row],[$ CAPITAL]])</f>
        <v>974272.16999999806</v>
      </c>
      <c r="J736" s="8">
        <f>IF(FINANCIACION[[#This Row],[$ CAPITAL]]&gt;=0,FINANCIACION[[#This Row],[$ CAPITAL]]+FINANCIACION[[#This Row],[$ INTERESES]],0)</f>
        <v>987000</v>
      </c>
    </row>
    <row r="737" spans="1:10" ht="24" hidden="1" customHeight="1" x14ac:dyDescent="0.3">
      <c r="A737" s="131">
        <v>44459</v>
      </c>
      <c r="B737" s="50" t="s">
        <v>542</v>
      </c>
      <c r="C737" s="5">
        <v>1027038.799999997</v>
      </c>
      <c r="D737" s="5">
        <v>13961.20000000298</v>
      </c>
      <c r="E737" s="5">
        <f>+IF(FINANCIACION[[#This Row],[$ CAPITAL]]&gt;=0,FINANCIACION[[#This Row],[$ CAPITAL]]+FINANCIACION[[#This Row],[$ INTERESES]],"")</f>
        <v>1041000</v>
      </c>
      <c r="F737" s="5">
        <f>+SUMIFS(FINANCIACION[$ CAPITAL],FINANCIACION[Fecha],"&lt;="&amp;FINANCIACION[[#This Row],[Fecha]],FINANCIACION[PRESTAMO],FINANCIACION[[#This Row],[PRESTAMO]])</f>
        <v>-20261351.320000004</v>
      </c>
      <c r="G737" s="7"/>
      <c r="H737" s="53"/>
      <c r="I737" s="5">
        <f>IF(FINANCIACION[[#This Row],[$ CAPITAL]]&gt;0,FINANCIACION[[#This Row],[$ CAPITAL]])</f>
        <v>1027038.799999997</v>
      </c>
      <c r="J737" s="8">
        <f>IF(FINANCIACION[[#This Row],[$ CAPITAL]]&gt;=0,FINANCIACION[[#This Row],[$ CAPITAL]]+FINANCIACION[[#This Row],[$ INTERESES]],0)</f>
        <v>1041000</v>
      </c>
    </row>
    <row r="738" spans="1:10" ht="24" hidden="1" customHeight="1" x14ac:dyDescent="0.3">
      <c r="A738" s="131">
        <v>44459</v>
      </c>
      <c r="B738" s="50" t="s">
        <v>538</v>
      </c>
      <c r="C738" s="5">
        <v>2473862.3900000006</v>
      </c>
      <c r="D738" s="5">
        <v>30137.609999999404</v>
      </c>
      <c r="E738" s="5">
        <f>+IF(FINANCIACION[[#This Row],[$ CAPITAL]]&gt;=0,FINANCIACION[[#This Row],[$ CAPITAL]]+FINANCIACION[[#This Row],[$ INTERESES]],"")</f>
        <v>2504000</v>
      </c>
      <c r="F738" s="5">
        <f>+SUMIFS(FINANCIACION[$ CAPITAL],FINANCIACION[Fecha],"&lt;="&amp;FINANCIACION[[#This Row],[Fecha]],FINANCIACION[PRESTAMO],FINANCIACION[[#This Row],[PRESTAMO]])</f>
        <v>-45157527.289999999</v>
      </c>
      <c r="G738" s="7"/>
      <c r="H738" s="53"/>
      <c r="I738" s="5">
        <f>IF(FINANCIACION[[#This Row],[$ CAPITAL]]&gt;0,FINANCIACION[[#This Row],[$ CAPITAL]])</f>
        <v>2473862.3900000006</v>
      </c>
      <c r="J738" s="33">
        <f>IF(FINANCIACION[[#This Row],[$ CAPITAL]]&gt;=0,FINANCIACION[[#This Row],[$ CAPITAL]]+FINANCIACION[[#This Row],[$ INTERESES]],0)</f>
        <v>2504000</v>
      </c>
    </row>
    <row r="739" spans="1:10" ht="24" hidden="1" customHeight="1" x14ac:dyDescent="0.3">
      <c r="A739" s="131">
        <v>44459</v>
      </c>
      <c r="B739" s="50" t="s">
        <v>539</v>
      </c>
      <c r="C739" s="5">
        <v>3639410.0100000054</v>
      </c>
      <c r="D739" s="5">
        <v>48589.989999994636</v>
      </c>
      <c r="E739" s="5">
        <f>+IF(FINANCIACION[[#This Row],[$ CAPITAL]]&gt;=0,FINANCIACION[[#This Row],[$ CAPITAL]]+FINANCIACION[[#This Row],[$ INTERESES]],"")</f>
        <v>3688000</v>
      </c>
      <c r="F739" s="5">
        <f>+SUMIFS(FINANCIACION[$ CAPITAL],FINANCIACION[Fecha],"&lt;="&amp;FINANCIACION[[#This Row],[Fecha]],FINANCIACION[PRESTAMO],FINANCIACION[[#This Row],[PRESTAMO]])</f>
        <v>-65388773.829999998</v>
      </c>
      <c r="G739" s="7"/>
      <c r="H739" s="53"/>
      <c r="I739" s="5">
        <f>IF(FINANCIACION[[#This Row],[$ CAPITAL]]&gt;0,FINANCIACION[[#This Row],[$ CAPITAL]])</f>
        <v>3639410.0100000054</v>
      </c>
      <c r="J739" s="33">
        <f>IF(FINANCIACION[[#This Row],[$ CAPITAL]]&gt;=0,FINANCIACION[[#This Row],[$ CAPITAL]]+FINANCIACION[[#This Row],[$ INTERESES]],0)</f>
        <v>3688000</v>
      </c>
    </row>
    <row r="740" spans="1:10" ht="24" hidden="1" customHeight="1" x14ac:dyDescent="0.3">
      <c r="A740" s="131">
        <v>44459</v>
      </c>
      <c r="B740" s="50" t="s">
        <v>534</v>
      </c>
      <c r="C740" s="5">
        <v>5238034</v>
      </c>
      <c r="D740" s="5">
        <v>713538</v>
      </c>
      <c r="E740" s="5">
        <f>+IF(FINANCIACION[[#This Row],[$ CAPITAL]]&gt;=0,FINANCIACION[[#This Row],[$ CAPITAL]]+FINANCIACION[[#This Row],[$ INTERESES]],"")</f>
        <v>5951572</v>
      </c>
      <c r="F740" s="5">
        <f>+SUMIFS(FINANCIACION[$ CAPITAL],FINANCIACION[Fecha],"&lt;="&amp;FINANCIACION[[#This Row],[Fecha]],FINANCIACION[PRESTAMO],FINANCIACION[[#This Row],[PRESTAMO]])</f>
        <v>-333497178</v>
      </c>
      <c r="G740" s="7"/>
      <c r="H740" s="53"/>
      <c r="I740" s="5">
        <f>IF(FINANCIACION[[#This Row],[$ CAPITAL]]&gt;0,FINANCIACION[[#This Row],[$ CAPITAL]])</f>
        <v>5238034</v>
      </c>
      <c r="J740" s="33">
        <f>IF(FINANCIACION[[#This Row],[$ CAPITAL]]&gt;=0,FINANCIACION[[#This Row],[$ CAPITAL]]+FINANCIACION[[#This Row],[$ INTERESES]],0)</f>
        <v>5951572</v>
      </c>
    </row>
    <row r="741" spans="1:10" ht="24" hidden="1" customHeight="1" x14ac:dyDescent="0.3">
      <c r="A741" s="131">
        <v>44459</v>
      </c>
      <c r="B741" s="50" t="s">
        <v>535</v>
      </c>
      <c r="C741" s="5">
        <v>1468176.0800000019</v>
      </c>
      <c r="D741" s="5">
        <v>16823.919999998063</v>
      </c>
      <c r="E741" s="5">
        <f>+IF(FINANCIACION[[#This Row],[$ CAPITAL]]&gt;=0,FINANCIACION[[#This Row],[$ CAPITAL]]+FINANCIACION[[#This Row],[$ INTERESES]],"")</f>
        <v>1485000</v>
      </c>
      <c r="F741" s="5">
        <f>+SUMIFS(FINANCIACION[$ CAPITAL],FINANCIACION[Fecha],"&lt;="&amp;FINANCIACION[[#This Row],[Fecha]],FINANCIACION[PRESTAMO],FINANCIACION[[#This Row],[PRESTAMO]])</f>
        <v>-24137884.089999989</v>
      </c>
      <c r="G741" s="7"/>
      <c r="H741" s="53"/>
      <c r="I741" s="5">
        <f>IF(FINANCIACION[[#This Row],[$ CAPITAL]]&gt;0,FINANCIACION[[#This Row],[$ CAPITAL]])</f>
        <v>1468176.0800000019</v>
      </c>
      <c r="J741" s="33">
        <f>IF(FINANCIACION[[#This Row],[$ CAPITAL]]&gt;=0,FINANCIACION[[#This Row],[$ CAPITAL]]+FINANCIACION[[#This Row],[$ INTERESES]],0)</f>
        <v>1485000</v>
      </c>
    </row>
    <row r="742" spans="1:10" ht="24" hidden="1" customHeight="1" x14ac:dyDescent="0.3">
      <c r="A742" s="131">
        <v>44466</v>
      </c>
      <c r="B742" s="50" t="s">
        <v>149</v>
      </c>
      <c r="C742" s="5">
        <v>2673800</v>
      </c>
      <c r="D742" s="5"/>
      <c r="E742" s="5">
        <f>+IF(FINANCIACION[[#This Row],[$ CAPITAL]]&gt;=0,FINANCIACION[[#This Row],[$ CAPITAL]]+FINANCIACION[[#This Row],[$ INTERESES]],"")</f>
        <v>2673800</v>
      </c>
      <c r="F742" s="5">
        <f>+SUMIFS(FINANCIACION[$ CAPITAL],FINANCIACION[Fecha],"&lt;="&amp;FINANCIACION[[#This Row],[Fecha]],FINANCIACION[PRESTAMO],FINANCIACION[[#This Row],[PRESTAMO]])</f>
        <v>-97757752</v>
      </c>
      <c r="G742" s="7" t="s">
        <v>271</v>
      </c>
      <c r="H742" s="53">
        <v>698.85</v>
      </c>
      <c r="I742" s="5">
        <f>IF(FINANCIACION[[#This Row],[$ CAPITAL]]&gt;0,FINANCIACION[[#This Row],[$ CAPITAL]])</f>
        <v>2673800</v>
      </c>
      <c r="J742" s="8">
        <f>IF(FINANCIACION[[#This Row],[$ CAPITAL]]&gt;=0,FINANCIACION[[#This Row],[$ CAPITAL]]+FINANCIACION[[#This Row],[$ INTERESES]],0)</f>
        <v>2673800</v>
      </c>
    </row>
    <row r="743" spans="1:10" ht="24" hidden="1" customHeight="1" x14ac:dyDescent="0.3">
      <c r="A743" s="131">
        <v>44469</v>
      </c>
      <c r="B743" s="50" t="s">
        <v>146</v>
      </c>
      <c r="C743" s="5">
        <v>1468400</v>
      </c>
      <c r="D743" s="5">
        <v>418397</v>
      </c>
      <c r="E743" s="5">
        <f>+IF(FINANCIACION[[#This Row],[$ CAPITAL]]&gt;=0,FINANCIACION[[#This Row],[$ CAPITAL]]+FINANCIACION[[#This Row],[$ INTERESES]],"")</f>
        <v>1886797</v>
      </c>
      <c r="F743" s="5">
        <f>+SUMIFS(FINANCIACION[$ CAPITAL],FINANCIACION[Fecha],"&lt;="&amp;FINANCIACION[[#This Row],[Fecha]],FINANCIACION[PRESTAMO],FINANCIACION[[#This Row],[PRESTAMO]])</f>
        <v>-44052000</v>
      </c>
      <c r="G743" s="7"/>
      <c r="H743" s="53"/>
      <c r="I743" s="5">
        <f>IF(FINANCIACION[[#This Row],[$ CAPITAL]]&gt;0,FINANCIACION[[#This Row],[$ CAPITAL]])</f>
        <v>1468400</v>
      </c>
      <c r="J743" s="8">
        <f>IF(FINANCIACION[[#This Row],[$ CAPITAL]]&gt;=0,FINANCIACION[[#This Row],[$ CAPITAL]]+FINANCIACION[[#This Row],[$ INTERESES]],0)</f>
        <v>1886797</v>
      </c>
    </row>
    <row r="744" spans="1:10" ht="24" hidden="1" customHeight="1" x14ac:dyDescent="0.3">
      <c r="A744" s="131">
        <v>44469</v>
      </c>
      <c r="B744" s="50" t="s">
        <v>147</v>
      </c>
      <c r="C744" s="5">
        <v>76791</v>
      </c>
      <c r="D744" s="5"/>
      <c r="E744" s="5">
        <f>+IF(FINANCIACION[[#This Row],[$ CAPITAL]]&gt;=0,FINANCIACION[[#This Row],[$ CAPITAL]]+FINANCIACION[[#This Row],[$ INTERESES]],"")</f>
        <v>76791</v>
      </c>
      <c r="F744" s="5">
        <f>+SUMIFS(FINANCIACION[$ CAPITAL],FINANCIACION[Fecha],"&lt;="&amp;FINANCIACION[[#This Row],[Fecha]],FINANCIACION[PRESTAMO],FINANCIACION[[#This Row],[PRESTAMO]])</f>
        <v>-2303730</v>
      </c>
      <c r="G744" s="7"/>
      <c r="H744" s="53"/>
      <c r="I744" s="5">
        <f>IF(FINANCIACION[[#This Row],[$ CAPITAL]]&gt;0,FINANCIACION[[#This Row],[$ CAPITAL]])</f>
        <v>76791</v>
      </c>
      <c r="J744" s="8">
        <f>IF(FINANCIACION[[#This Row],[$ CAPITAL]]&gt;=0,FINANCIACION[[#This Row],[$ CAPITAL]]+FINANCIACION[[#This Row],[$ INTERESES]],0)</f>
        <v>76791</v>
      </c>
    </row>
    <row r="745" spans="1:10" ht="24" hidden="1" customHeight="1" x14ac:dyDescent="0.3">
      <c r="A745" s="131">
        <v>44469</v>
      </c>
      <c r="B745" s="50" t="s">
        <v>149</v>
      </c>
      <c r="C745" s="5">
        <v>1304356.5</v>
      </c>
      <c r="D745" s="5"/>
      <c r="E745" s="5">
        <f>+IF(FINANCIACION[[#This Row],[$ CAPITAL]]&gt;=0,FINANCIACION[[#This Row],[$ CAPITAL]]+FINANCIACION[[#This Row],[$ INTERESES]],"")</f>
        <v>1304356.5</v>
      </c>
      <c r="F745" s="5">
        <f>+SUMIFS(FINANCIACION[$ CAPITAL],FINANCIACION[Fecha],"&lt;="&amp;FINANCIACION[[#This Row],[Fecha]],FINANCIACION[PRESTAMO],FINANCIACION[[#This Row],[PRESTAMO]])</f>
        <v>-96453395.5</v>
      </c>
      <c r="G745" s="7" t="s">
        <v>170</v>
      </c>
      <c r="H745" s="53"/>
      <c r="I745" s="5">
        <f>IF(FINANCIACION[[#This Row],[$ CAPITAL]]&gt;0,FINANCIACION[[#This Row],[$ CAPITAL]])</f>
        <v>1304356.5</v>
      </c>
      <c r="J745" s="8">
        <f>IF(FINANCIACION[[#This Row],[$ CAPITAL]]&gt;=0,FINANCIACION[[#This Row],[$ CAPITAL]]+FINANCIACION[[#This Row],[$ INTERESES]],0)</f>
        <v>1304356.5</v>
      </c>
    </row>
    <row r="746" spans="1:10" ht="24" hidden="1" customHeight="1" x14ac:dyDescent="0.3">
      <c r="A746" s="131">
        <v>44469</v>
      </c>
      <c r="B746" s="50" t="s">
        <v>206</v>
      </c>
      <c r="C746" s="5">
        <v>749196.5</v>
      </c>
      <c r="D746" s="5"/>
      <c r="E746" s="5">
        <f>+IF(FINANCIACION[[#This Row],[$ CAPITAL]]&gt;=0,FINANCIACION[[#This Row],[$ CAPITAL]]+FINANCIACION[[#This Row],[$ INTERESES]],"")</f>
        <v>749196.5</v>
      </c>
      <c r="F746" s="5">
        <f>+SUMIFS(FINANCIACION[$ CAPITAL],FINANCIACION[Fecha],"&lt;="&amp;FINANCIACION[[#This Row],[Fecha]],FINANCIACION[PRESTAMO],FINANCIACION[[#This Row],[PRESTAMO]])</f>
        <v>-57688130.5</v>
      </c>
      <c r="G746" s="7" t="s">
        <v>170</v>
      </c>
      <c r="H746" s="53"/>
      <c r="I746" s="5">
        <f>IF(FINANCIACION[[#This Row],[$ CAPITAL]]&gt;0,FINANCIACION[[#This Row],[$ CAPITAL]])</f>
        <v>749196.5</v>
      </c>
      <c r="J746" s="8">
        <f>IF(FINANCIACION[[#This Row],[$ CAPITAL]]&gt;=0,FINANCIACION[[#This Row],[$ CAPITAL]]+FINANCIACION[[#This Row],[$ INTERESES]],0)</f>
        <v>749196.5</v>
      </c>
    </row>
    <row r="747" spans="1:10" ht="24" hidden="1" customHeight="1" x14ac:dyDescent="0.3">
      <c r="A747" s="131">
        <v>44469</v>
      </c>
      <c r="B747" s="50" t="s">
        <v>234</v>
      </c>
      <c r="C747" s="5">
        <v>296351.5</v>
      </c>
      <c r="D747" s="5"/>
      <c r="E747" s="5">
        <f>+IF(FINANCIACION[[#This Row],[$ CAPITAL]]&gt;=0,FINANCIACION[[#This Row],[$ CAPITAL]]+FINANCIACION[[#This Row],[$ INTERESES]],"")</f>
        <v>296351.5</v>
      </c>
      <c r="F747" s="5">
        <f>+SUMIFS(FINANCIACION[$ CAPITAL],FINANCIACION[Fecha],"&lt;="&amp;FINANCIACION[[#This Row],[Fecha]],FINANCIACION[PRESTAMO],FINANCIACION[[#This Row],[PRESTAMO]])</f>
        <v>-22819065.5</v>
      </c>
      <c r="G747" s="53" t="s">
        <v>170</v>
      </c>
      <c r="H747" s="53"/>
      <c r="I747" s="5">
        <f>IF(FINANCIACION[[#This Row],[$ CAPITAL]]&gt;0,FINANCIACION[[#This Row],[$ CAPITAL]])</f>
        <v>296351.5</v>
      </c>
      <c r="J747" s="33">
        <f>IF(FINANCIACION[[#This Row],[$ CAPITAL]]&gt;=0,FINANCIACION[[#This Row],[$ CAPITAL]]+FINANCIACION[[#This Row],[$ INTERESES]],0)</f>
        <v>296351.5</v>
      </c>
    </row>
    <row r="748" spans="1:10" ht="24" hidden="1" customHeight="1" x14ac:dyDescent="0.3">
      <c r="A748" s="131">
        <v>44469</v>
      </c>
      <c r="B748" s="50" t="s">
        <v>1488</v>
      </c>
      <c r="C748" s="5">
        <v>-692683</v>
      </c>
      <c r="D748" s="5"/>
      <c r="E748" s="5" t="str">
        <f>+IF(FINANCIACION[[#This Row],[$ CAPITAL]]&gt;=0,FINANCIACION[[#This Row],[$ CAPITAL]]+FINANCIACION[[#This Row],[$ INTERESES]],"")</f>
        <v/>
      </c>
      <c r="F748" s="5">
        <f>+SUMIFS(FINANCIACION[$ CAPITAL],FINANCIACION[Fecha],"&lt;="&amp;FINANCIACION[[#This Row],[Fecha]],FINANCIACION[PRESTAMO],FINANCIACION[[#This Row],[PRESTAMO]])</f>
        <v>-629103</v>
      </c>
      <c r="G748" s="53" t="s">
        <v>170</v>
      </c>
      <c r="H748" s="53"/>
      <c r="I748" s="5" t="b">
        <f>IF(FINANCIACION[[#This Row],[$ CAPITAL]]&gt;0,FINANCIACION[[#This Row],[$ CAPITAL]])</f>
        <v>0</v>
      </c>
      <c r="J748" s="33">
        <f>IF(FINANCIACION[[#This Row],[$ CAPITAL]]&gt;=0,FINANCIACION[[#This Row],[$ CAPITAL]]+FINANCIACION[[#This Row],[$ INTERESES]],0)</f>
        <v>0</v>
      </c>
    </row>
    <row r="749" spans="1:10" ht="24" hidden="1" customHeight="1" x14ac:dyDescent="0.3">
      <c r="A749" s="131">
        <v>44469</v>
      </c>
      <c r="B749" s="50" t="s">
        <v>154</v>
      </c>
      <c r="C749" s="5">
        <v>-13423250</v>
      </c>
      <c r="D749" s="5"/>
      <c r="E749" s="5" t="str">
        <f>+IF(FINANCIACION[[#This Row],[$ CAPITAL]]&gt;=0,FINANCIACION[[#This Row],[$ CAPITAL]]+FINANCIACION[[#This Row],[$ INTERESES]],"")</f>
        <v/>
      </c>
      <c r="F749" s="5">
        <f>+SUMIFS(FINANCIACION[$ CAPITAL],FINANCIACION[Fecha],"&lt;="&amp;FINANCIACION[[#This Row],[Fecha]],FINANCIACION[PRESTAMO],FINANCIACION[[#This Row],[PRESTAMO]])</f>
        <v>-33806850</v>
      </c>
      <c r="G749" s="53" t="s">
        <v>170</v>
      </c>
      <c r="H749" s="53"/>
      <c r="I749" s="5" t="b">
        <f>IF(FINANCIACION[[#This Row],[$ CAPITAL]]&gt;0,FINANCIACION[[#This Row],[$ CAPITAL]])</f>
        <v>0</v>
      </c>
      <c r="J749" s="33">
        <f>IF(FINANCIACION[[#This Row],[$ CAPITAL]]&gt;=0,FINANCIACION[[#This Row],[$ CAPITAL]]+FINANCIACION[[#This Row],[$ INTERESES]],0)</f>
        <v>0</v>
      </c>
    </row>
    <row r="750" spans="1:10" ht="24" hidden="1" customHeight="1" x14ac:dyDescent="0.3">
      <c r="A750" s="131">
        <v>44469</v>
      </c>
      <c r="B750" s="50" t="s">
        <v>155</v>
      </c>
      <c r="C750" s="5">
        <v>-4108939</v>
      </c>
      <c r="D750" s="5"/>
      <c r="E750" s="5" t="str">
        <f>+IF(FINANCIACION[[#This Row],[$ CAPITAL]]&gt;=0,FINANCIACION[[#This Row],[$ CAPITAL]]+FINANCIACION[[#This Row],[$ INTERESES]],"")</f>
        <v/>
      </c>
      <c r="F750" s="5">
        <f>+SUMIFS(FINANCIACION[$ CAPITAL],FINANCIACION[Fecha],"&lt;="&amp;FINANCIACION[[#This Row],[Fecha]],FINANCIACION[PRESTAMO],FINANCIACION[[#This Row],[PRESTAMO]])</f>
        <v>-4108939</v>
      </c>
      <c r="G750" s="7" t="s">
        <v>170</v>
      </c>
      <c r="H750" s="53"/>
      <c r="I750" s="5" t="b">
        <f>IF(FINANCIACION[[#This Row],[$ CAPITAL]]&gt;0,FINANCIACION[[#This Row],[$ CAPITAL]])</f>
        <v>0</v>
      </c>
      <c r="J750" s="33">
        <f>IF(FINANCIACION[[#This Row],[$ CAPITAL]]&gt;=0,FINANCIACION[[#This Row],[$ CAPITAL]]+FINANCIACION[[#This Row],[$ INTERESES]],0)</f>
        <v>0</v>
      </c>
    </row>
    <row r="751" spans="1:10" ht="24" hidden="1" customHeight="1" x14ac:dyDescent="0.3">
      <c r="A751" s="131">
        <v>44474</v>
      </c>
      <c r="B751" s="50" t="s">
        <v>149</v>
      </c>
      <c r="C751" s="5">
        <v>30448000</v>
      </c>
      <c r="D751" s="5">
        <v>39337</v>
      </c>
      <c r="E751" s="5">
        <f>+IF(FINANCIACION[[#This Row],[$ CAPITAL]]&gt;=0,FINANCIACION[[#This Row],[$ CAPITAL]]+FINANCIACION[[#This Row],[$ INTERESES]],"")</f>
        <v>30487337</v>
      </c>
      <c r="F751" s="5">
        <f>+SUMIFS(FINANCIACION[$ CAPITAL],FINANCIACION[Fecha],"&lt;="&amp;FINANCIACION[[#This Row],[Fecha]],FINANCIACION[PRESTAMO],FINANCIACION[[#This Row],[PRESTAMO]])</f>
        <v>-66005395.5</v>
      </c>
      <c r="G751" s="53"/>
      <c r="H751" s="53">
        <v>8000</v>
      </c>
      <c r="I751" s="5">
        <f>IF(FINANCIACION[[#This Row],[$ CAPITAL]]&gt;0,FINANCIACION[[#This Row],[$ CAPITAL]])</f>
        <v>30448000</v>
      </c>
      <c r="J751" s="33">
        <f>IF(FINANCIACION[[#This Row],[$ CAPITAL]]&gt;=0,FINANCIACION[[#This Row],[$ CAPITAL]]+FINANCIACION[[#This Row],[$ INTERESES]],0)</f>
        <v>30487337</v>
      </c>
    </row>
    <row r="752" spans="1:10" ht="24" hidden="1" customHeight="1" x14ac:dyDescent="0.3">
      <c r="A752" s="131">
        <v>44475</v>
      </c>
      <c r="B752" s="50" t="s">
        <v>541</v>
      </c>
      <c r="C752" s="5"/>
      <c r="D752" s="5">
        <v>640000</v>
      </c>
      <c r="E752" s="5">
        <f>+IF(FINANCIACION[[#This Row],[$ CAPITAL]]&gt;=0,FINANCIACION[[#This Row],[$ CAPITAL]]+FINANCIACION[[#This Row],[$ INTERESES]],"")</f>
        <v>640000</v>
      </c>
      <c r="F752" s="5">
        <f>+SUMIFS(FINANCIACION[$ CAPITAL],FINANCIACION[Fecha],"&lt;="&amp;FINANCIACION[[#This Row],[Fecha]],FINANCIACION[PRESTAMO],FINANCIACION[[#This Row],[PRESTAMO]])</f>
        <v>-8000000</v>
      </c>
      <c r="G752" s="7"/>
      <c r="H752" s="53"/>
      <c r="I752" s="5" t="b">
        <f>IF(FINANCIACION[[#This Row],[$ CAPITAL]]&gt;0,FINANCIACION[[#This Row],[$ CAPITAL]])</f>
        <v>0</v>
      </c>
      <c r="J752" s="33">
        <f>IF(FINANCIACION[[#This Row],[$ CAPITAL]]&gt;=0,FINANCIACION[[#This Row],[$ CAPITAL]]+FINANCIACION[[#This Row],[$ INTERESES]],0)</f>
        <v>640000</v>
      </c>
    </row>
    <row r="753" spans="1:10" ht="24" hidden="1" customHeight="1" x14ac:dyDescent="0.3">
      <c r="A753" s="131">
        <v>44475</v>
      </c>
      <c r="B753" s="50" t="s">
        <v>272</v>
      </c>
      <c r="C753" s="5">
        <v>-52697606.5</v>
      </c>
      <c r="D753" s="5"/>
      <c r="E753" s="5" t="str">
        <f>+IF(FINANCIACION[[#This Row],[$ CAPITAL]]&gt;=0,FINANCIACION[[#This Row],[$ CAPITAL]]+FINANCIACION[[#This Row],[$ INTERESES]],"")</f>
        <v/>
      </c>
      <c r="F753" s="5">
        <f>+SUMIFS(FINANCIACION[$ CAPITAL],FINANCIACION[Fecha],"&lt;="&amp;FINANCIACION[[#This Row],[Fecha]],FINANCIACION[PRESTAMO],FINANCIACION[[#This Row],[PRESTAMO]])</f>
        <v>-52697606.5</v>
      </c>
      <c r="G753" s="53" t="s">
        <v>783</v>
      </c>
      <c r="H753" s="53">
        <v>-13687.69</v>
      </c>
      <c r="I753" s="5" t="b">
        <f>IF(FINANCIACION[[#This Row],[$ CAPITAL]]&gt;0,FINANCIACION[[#This Row],[$ CAPITAL]])</f>
        <v>0</v>
      </c>
      <c r="J753" s="33">
        <f>IF(FINANCIACION[[#This Row],[$ CAPITAL]]&gt;=0,FINANCIACION[[#This Row],[$ CAPITAL]]+FINANCIACION[[#This Row],[$ INTERESES]],0)</f>
        <v>0</v>
      </c>
    </row>
    <row r="754" spans="1:10" ht="24" hidden="1" customHeight="1" x14ac:dyDescent="0.3">
      <c r="A754" s="131">
        <v>44476</v>
      </c>
      <c r="B754" s="50" t="s">
        <v>1488</v>
      </c>
      <c r="C754" s="5">
        <v>1000000</v>
      </c>
      <c r="D754" s="5"/>
      <c r="E754" s="5">
        <f>+IF(FINANCIACION[[#This Row],[$ CAPITAL]]&gt;=0,FINANCIACION[[#This Row],[$ CAPITAL]]+FINANCIACION[[#This Row],[$ INTERESES]],"")</f>
        <v>1000000</v>
      </c>
      <c r="F754" s="5">
        <f>+SUMIFS(FINANCIACION[$ CAPITAL],FINANCIACION[Fecha],"&lt;="&amp;FINANCIACION[[#This Row],[Fecha]],FINANCIACION[PRESTAMO],FINANCIACION[[#This Row],[PRESTAMO]])</f>
        <v>370897</v>
      </c>
      <c r="G754" s="53"/>
      <c r="H754" s="53"/>
      <c r="I754" s="5">
        <f>IF(FINANCIACION[[#This Row],[$ CAPITAL]]&gt;0,FINANCIACION[[#This Row],[$ CAPITAL]])</f>
        <v>1000000</v>
      </c>
      <c r="J754" s="33">
        <f>IF(FINANCIACION[[#This Row],[$ CAPITAL]]&gt;=0,FINANCIACION[[#This Row],[$ CAPITAL]]+FINANCIACION[[#This Row],[$ INTERESES]],0)</f>
        <v>1000000</v>
      </c>
    </row>
    <row r="755" spans="1:10" ht="24" hidden="1" customHeight="1" x14ac:dyDescent="0.3">
      <c r="A755" s="131">
        <v>44476</v>
      </c>
      <c r="B755" s="50" t="s">
        <v>154</v>
      </c>
      <c r="C755" s="5">
        <v>3788030</v>
      </c>
      <c r="D755" s="5"/>
      <c r="E755" s="5">
        <f>+IF(FINANCIACION[[#This Row],[$ CAPITAL]]&gt;=0,FINANCIACION[[#This Row],[$ CAPITAL]]+FINANCIACION[[#This Row],[$ INTERESES]],"")</f>
        <v>3788030</v>
      </c>
      <c r="F755" s="5">
        <f>+SUMIFS(FINANCIACION[$ CAPITAL],FINANCIACION[Fecha],"&lt;="&amp;FINANCIACION[[#This Row],[Fecha]],FINANCIACION[PRESTAMO],FINANCIACION[[#This Row],[PRESTAMO]])</f>
        <v>-30018820</v>
      </c>
      <c r="G755" s="53"/>
      <c r="H755" s="53"/>
      <c r="I755" s="5">
        <f>IF(FINANCIACION[[#This Row],[$ CAPITAL]]&gt;0,FINANCIACION[[#This Row],[$ CAPITAL]])</f>
        <v>3788030</v>
      </c>
      <c r="J755" s="33">
        <f>IF(FINANCIACION[[#This Row],[$ CAPITAL]]&gt;=0,FINANCIACION[[#This Row],[$ CAPITAL]]+FINANCIACION[[#This Row],[$ INTERESES]],0)</f>
        <v>3788030</v>
      </c>
    </row>
    <row r="756" spans="1:10" ht="24" hidden="1" customHeight="1" x14ac:dyDescent="0.3">
      <c r="A756" s="131">
        <v>44476</v>
      </c>
      <c r="B756" s="50" t="s">
        <v>155</v>
      </c>
      <c r="C756" s="5">
        <v>1000000</v>
      </c>
      <c r="D756" s="5"/>
      <c r="E756" s="5">
        <f>+IF(FINANCIACION[[#This Row],[$ CAPITAL]]&gt;=0,FINANCIACION[[#This Row],[$ CAPITAL]]+FINANCIACION[[#This Row],[$ INTERESES]],"")</f>
        <v>1000000</v>
      </c>
      <c r="F756" s="5">
        <f>+SUMIFS(FINANCIACION[$ CAPITAL],FINANCIACION[Fecha],"&lt;="&amp;FINANCIACION[[#This Row],[Fecha]],FINANCIACION[PRESTAMO],FINANCIACION[[#This Row],[PRESTAMO]])</f>
        <v>-3108939</v>
      </c>
      <c r="G756" s="53"/>
      <c r="H756" s="53"/>
      <c r="I756" s="5">
        <f>IF(FINANCIACION[[#This Row],[$ CAPITAL]]&gt;0,FINANCIACION[[#This Row],[$ CAPITAL]])</f>
        <v>1000000</v>
      </c>
      <c r="J756" s="33">
        <f>IF(FINANCIACION[[#This Row],[$ CAPITAL]]&gt;=0,FINANCIACION[[#This Row],[$ CAPITAL]]+FINANCIACION[[#This Row],[$ INTERESES]],0)</f>
        <v>1000000</v>
      </c>
    </row>
    <row r="757" spans="1:10" ht="24" hidden="1" customHeight="1" x14ac:dyDescent="0.3">
      <c r="A757" s="131">
        <v>44477</v>
      </c>
      <c r="B757" s="50" t="s">
        <v>532</v>
      </c>
      <c r="C757" s="5">
        <v>1926458.90831207</v>
      </c>
      <c r="D757" s="5">
        <v>750919.09168792795</v>
      </c>
      <c r="E757" s="5">
        <f>+IF(FINANCIACION[[#This Row],[$ CAPITAL]]&gt;=0,FINANCIACION[[#This Row],[$ CAPITAL]]+FINANCIACION[[#This Row],[$ INTERESES]],"")</f>
        <v>2677377.9999999981</v>
      </c>
      <c r="F757" s="5">
        <f>+SUMIFS(FINANCIACION[$ CAPITAL],FINANCIACION[Fecha],"&lt;="&amp;FINANCIACION[[#This Row],[Fecha]],FINANCIACION[PRESTAMO],FINANCIACION[[#This Row],[PRESTAMO]])</f>
        <v>-73165450.260480717</v>
      </c>
      <c r="G757" s="7"/>
      <c r="H757" s="53"/>
      <c r="I757" s="5">
        <f>IF(FINANCIACION[[#This Row],[$ CAPITAL]]&gt;0,FINANCIACION[[#This Row],[$ CAPITAL]])</f>
        <v>1926458.90831207</v>
      </c>
      <c r="J757" s="33">
        <f>IF(FINANCIACION[[#This Row],[$ CAPITAL]]&gt;=0,FINANCIACION[[#This Row],[$ CAPITAL]]+FINANCIACION[[#This Row],[$ INTERESES]],0)</f>
        <v>2677377.9999999981</v>
      </c>
    </row>
    <row r="758" spans="1:10" ht="24" hidden="1" customHeight="1" x14ac:dyDescent="0.3">
      <c r="A758" s="131">
        <v>44480</v>
      </c>
      <c r="B758" s="50" t="s">
        <v>547</v>
      </c>
      <c r="C758" s="5"/>
      <c r="D758" s="5">
        <v>400000</v>
      </c>
      <c r="E758" s="5">
        <f>+IF(FINANCIACION[[#This Row],[$ CAPITAL]]&gt;=0,FINANCIACION[[#This Row],[$ CAPITAL]]+FINANCIACION[[#This Row],[$ INTERESES]],"")</f>
        <v>400000</v>
      </c>
      <c r="F758" s="5">
        <f>+SUMIFS(FINANCIACION[$ CAPITAL],FINANCIACION[Fecha],"&lt;="&amp;FINANCIACION[[#This Row],[Fecha]],FINANCIACION[PRESTAMO],FINANCIACION[[#This Row],[PRESTAMO]])</f>
        <v>-40000000</v>
      </c>
      <c r="G758" s="7" t="s">
        <v>268</v>
      </c>
      <c r="H758" s="53"/>
      <c r="I758" s="5" t="b">
        <f>IF(FINANCIACION[[#This Row],[$ CAPITAL]]&gt;0,FINANCIACION[[#This Row],[$ CAPITAL]])</f>
        <v>0</v>
      </c>
      <c r="J758" s="33">
        <f>IF(FINANCIACION[[#This Row],[$ CAPITAL]]&gt;=0,FINANCIACION[[#This Row],[$ CAPITAL]]+FINANCIACION[[#This Row],[$ INTERESES]],0)</f>
        <v>400000</v>
      </c>
    </row>
    <row r="759" spans="1:10" ht="24" hidden="1" customHeight="1" x14ac:dyDescent="0.3">
      <c r="A759" s="131">
        <v>44480</v>
      </c>
      <c r="B759" s="50" t="s">
        <v>536</v>
      </c>
      <c r="C759" s="5">
        <v>742214.88930021925</v>
      </c>
      <c r="D759" s="5">
        <v>557785.11069978075</v>
      </c>
      <c r="E759" s="5">
        <f>+IF(FINANCIACION[[#This Row],[$ CAPITAL]]&gt;=0,FINANCIACION[[#This Row],[$ CAPITAL]]+FINANCIACION[[#This Row],[$ INTERESES]],"")</f>
        <v>1300000</v>
      </c>
      <c r="F759" s="5">
        <f>+SUMIFS(FINANCIACION[$ CAPITAL],FINANCIACION[Fecha],"&lt;="&amp;FINANCIACION[[#This Row],[Fecha]],FINANCIACION[PRESTAMO],FINANCIACION[[#This Row],[PRESTAMO]])</f>
        <v>-55036296.180677854</v>
      </c>
      <c r="G759" s="7"/>
      <c r="H759" s="53"/>
      <c r="I759" s="5">
        <f>IF(FINANCIACION[[#This Row],[$ CAPITAL]]&gt;0,FINANCIACION[[#This Row],[$ CAPITAL]])</f>
        <v>742214.88930021925</v>
      </c>
      <c r="J759" s="33">
        <f>IF(FINANCIACION[[#This Row],[$ CAPITAL]]&gt;=0,FINANCIACION[[#This Row],[$ CAPITAL]]+FINANCIACION[[#This Row],[$ INTERESES]],0)</f>
        <v>1300000</v>
      </c>
    </row>
    <row r="760" spans="1:10" ht="24" hidden="1" customHeight="1" x14ac:dyDescent="0.3">
      <c r="A760" s="131">
        <v>44480</v>
      </c>
      <c r="B760" s="50" t="s">
        <v>533</v>
      </c>
      <c r="C760" s="5">
        <v>481588.29537254432</v>
      </c>
      <c r="D760" s="5">
        <v>718411.70462745568</v>
      </c>
      <c r="E760" s="5">
        <f>+IF(FINANCIACION[[#This Row],[$ CAPITAL]]&gt;=0,FINANCIACION[[#This Row],[$ CAPITAL]]+FINANCIACION[[#This Row],[$ INTERESES]],"")</f>
        <v>1200000</v>
      </c>
      <c r="F760" s="5">
        <f>+SUMIFS(FINANCIACION[$ CAPITAL],FINANCIACION[Fecha],"&lt;="&amp;FINANCIACION[[#This Row],[Fecha]],FINANCIACION[PRESTAMO],FINANCIACION[[#This Row],[PRESTAMO]])</f>
        <v>-71530270.027373016</v>
      </c>
      <c r="G760" s="7"/>
      <c r="H760" s="53"/>
      <c r="I760" s="5">
        <f>IF(FINANCIACION[[#This Row],[$ CAPITAL]]&gt;0,FINANCIACION[[#This Row],[$ CAPITAL]])</f>
        <v>481588.29537254432</v>
      </c>
      <c r="J760" s="33">
        <f>IF(FINANCIACION[[#This Row],[$ CAPITAL]]&gt;=0,FINANCIACION[[#This Row],[$ CAPITAL]]+FINANCIACION[[#This Row],[$ INTERESES]],0)</f>
        <v>1200000</v>
      </c>
    </row>
    <row r="761" spans="1:10" ht="24" hidden="1" customHeight="1" x14ac:dyDescent="0.3">
      <c r="A761" s="131">
        <v>44480</v>
      </c>
      <c r="B761" s="50" t="s">
        <v>545</v>
      </c>
      <c r="C761" s="5"/>
      <c r="D761" s="5">
        <v>120000</v>
      </c>
      <c r="E761" s="5">
        <f>+IF(FINANCIACION[[#This Row],[$ CAPITAL]]&gt;=0,FINANCIACION[[#This Row],[$ CAPITAL]]+FINANCIACION[[#This Row],[$ INTERESES]],"")</f>
        <v>120000</v>
      </c>
      <c r="F761" s="5">
        <f>+SUMIFS(FINANCIACION[$ CAPITAL],FINANCIACION[Fecha],"&lt;="&amp;FINANCIACION[[#This Row],[Fecha]],FINANCIACION[PRESTAMO],FINANCIACION[[#This Row],[PRESTAMO]])</f>
        <v>-12000000</v>
      </c>
      <c r="G761" s="7"/>
      <c r="H761" s="53"/>
      <c r="I761" s="5" t="b">
        <f>IF(FINANCIACION[[#This Row],[$ CAPITAL]]&gt;0,FINANCIACION[[#This Row],[$ CAPITAL]])</f>
        <v>0</v>
      </c>
      <c r="J761" s="33">
        <f>IF(FINANCIACION[[#This Row],[$ CAPITAL]]&gt;=0,FINANCIACION[[#This Row],[$ CAPITAL]]+FINANCIACION[[#This Row],[$ INTERESES]],0)</f>
        <v>120000</v>
      </c>
    </row>
    <row r="762" spans="1:10" ht="24" hidden="1" customHeight="1" x14ac:dyDescent="0.3">
      <c r="A762" s="131">
        <v>44480</v>
      </c>
      <c r="B762" s="50" t="s">
        <v>150</v>
      </c>
      <c r="C762" s="5">
        <v>6367304.5499999998</v>
      </c>
      <c r="D762" s="5">
        <v>241337.49</v>
      </c>
      <c r="E762" s="5">
        <f>+IF(FINANCIACION[[#This Row],[$ CAPITAL]]&gt;=0,FINANCIACION[[#This Row],[$ CAPITAL]]+FINANCIACION[[#This Row],[$ INTERESES]],"")</f>
        <v>6608642.04</v>
      </c>
      <c r="F762" s="5">
        <f>+SUMIFS(FINANCIACION[$ CAPITAL],FINANCIACION[Fecha],"&lt;="&amp;FINANCIACION[[#This Row],[Fecha]],FINANCIACION[PRESTAMO],FINANCIACION[[#This Row],[PRESTAMO]])</f>
        <v>-28693821.449999999</v>
      </c>
      <c r="G762" s="7"/>
      <c r="H762" s="53"/>
      <c r="I762" s="5">
        <f>IF(FINANCIACION[[#This Row],[$ CAPITAL]]&gt;0,FINANCIACION[[#This Row],[$ CAPITAL]])</f>
        <v>6367304.5499999998</v>
      </c>
      <c r="J762" s="33">
        <f>IF(FINANCIACION[[#This Row],[$ CAPITAL]]&gt;=0,FINANCIACION[[#This Row],[$ CAPITAL]]+FINANCIACION[[#This Row],[$ INTERESES]],0)</f>
        <v>6608642.04</v>
      </c>
    </row>
    <row r="763" spans="1:10" ht="24" hidden="1" customHeight="1" x14ac:dyDescent="0.3">
      <c r="A763" s="131">
        <v>44480</v>
      </c>
      <c r="B763" s="50" t="s">
        <v>154</v>
      </c>
      <c r="C763" s="5">
        <v>3765800</v>
      </c>
      <c r="D763" s="5"/>
      <c r="E763" s="5">
        <f>+IF(FINANCIACION[[#This Row],[$ CAPITAL]]&gt;=0,FINANCIACION[[#This Row],[$ CAPITAL]]+FINANCIACION[[#This Row],[$ INTERESES]],"")</f>
        <v>3765800</v>
      </c>
      <c r="F763" s="5">
        <f>+SUMIFS(FINANCIACION[$ CAPITAL],FINANCIACION[Fecha],"&lt;="&amp;FINANCIACION[[#This Row],[Fecha]],FINANCIACION[PRESTAMO],FINANCIACION[[#This Row],[PRESTAMO]])</f>
        <v>-26253020</v>
      </c>
      <c r="G763" s="7"/>
      <c r="H763" s="53"/>
      <c r="I763" s="5">
        <f>IF(FINANCIACION[[#This Row],[$ CAPITAL]]&gt;0,FINANCIACION[[#This Row],[$ CAPITAL]])</f>
        <v>3765800</v>
      </c>
      <c r="J763" s="33">
        <f>IF(FINANCIACION[[#This Row],[$ CAPITAL]]&gt;=0,FINANCIACION[[#This Row],[$ CAPITAL]]+FINANCIACION[[#This Row],[$ INTERESES]],0)</f>
        <v>3765800</v>
      </c>
    </row>
    <row r="764" spans="1:10" ht="24" hidden="1" customHeight="1" x14ac:dyDescent="0.3">
      <c r="A764" s="131">
        <v>44483</v>
      </c>
      <c r="B764" s="50" t="s">
        <v>153</v>
      </c>
      <c r="C764" s="5"/>
      <c r="D764" s="5">
        <v>231875</v>
      </c>
      <c r="E764" s="5">
        <f>+IF(FINANCIACION[[#This Row],[$ CAPITAL]]&gt;=0,FINANCIACION[[#This Row],[$ CAPITAL]]+FINANCIACION[[#This Row],[$ INTERESES]],"")</f>
        <v>231875</v>
      </c>
      <c r="F764" s="5">
        <f>+SUMIFS(FINANCIACION[$ CAPITAL],FINANCIACION[Fecha],"&lt;="&amp;FINANCIACION[[#This Row],[Fecha]],FINANCIACION[PRESTAMO],FINANCIACION[[#This Row],[PRESTAMO]])</f>
        <v>-35000000</v>
      </c>
      <c r="G764" s="7"/>
      <c r="H764" s="53"/>
      <c r="I764" s="5" t="b">
        <f>IF(FINANCIACION[[#This Row],[$ CAPITAL]]&gt;0,FINANCIACION[[#This Row],[$ CAPITAL]])</f>
        <v>0</v>
      </c>
      <c r="J764" s="8">
        <f>IF(FINANCIACION[[#This Row],[$ CAPITAL]]&gt;=0,FINANCIACION[[#This Row],[$ CAPITAL]]+FINANCIACION[[#This Row],[$ INTERESES]],0)</f>
        <v>231875</v>
      </c>
    </row>
    <row r="765" spans="1:10" ht="24" hidden="1" customHeight="1" x14ac:dyDescent="0.3">
      <c r="A765" s="131">
        <v>44483</v>
      </c>
      <c r="B765" s="50" t="s">
        <v>1488</v>
      </c>
      <c r="C765" s="5">
        <v>945175</v>
      </c>
      <c r="D765" s="5"/>
      <c r="E765" s="5">
        <f>+IF(FINANCIACION[[#This Row],[$ CAPITAL]]&gt;=0,FINANCIACION[[#This Row],[$ CAPITAL]]+FINANCIACION[[#This Row],[$ INTERESES]],"")</f>
        <v>945175</v>
      </c>
      <c r="F765" s="5">
        <f>+SUMIFS(FINANCIACION[$ CAPITAL],FINANCIACION[Fecha],"&lt;="&amp;FINANCIACION[[#This Row],[Fecha]],FINANCIACION[PRESTAMO],FINANCIACION[[#This Row],[PRESTAMO]])</f>
        <v>1316072</v>
      </c>
      <c r="G765" s="7"/>
      <c r="H765" s="53"/>
      <c r="I765" s="5">
        <f>IF(FINANCIACION[[#This Row],[$ CAPITAL]]&gt;0,FINANCIACION[[#This Row],[$ CAPITAL]])</f>
        <v>945175</v>
      </c>
      <c r="J765" s="8">
        <f>IF(FINANCIACION[[#This Row],[$ CAPITAL]]&gt;=0,FINANCIACION[[#This Row],[$ CAPITAL]]+FINANCIACION[[#This Row],[$ INTERESES]],0)</f>
        <v>945175</v>
      </c>
    </row>
    <row r="766" spans="1:10" ht="24" hidden="1" customHeight="1" x14ac:dyDescent="0.3">
      <c r="A766" s="131">
        <v>44483</v>
      </c>
      <c r="B766" s="50" t="s">
        <v>154</v>
      </c>
      <c r="C766" s="5">
        <v>5607720</v>
      </c>
      <c r="D766" s="5"/>
      <c r="E766" s="5">
        <f>+IF(FINANCIACION[[#This Row],[$ CAPITAL]]&gt;=0,FINANCIACION[[#This Row],[$ CAPITAL]]+FINANCIACION[[#This Row],[$ INTERESES]],"")</f>
        <v>5607720</v>
      </c>
      <c r="F766" s="5">
        <f>+SUMIFS(FINANCIACION[$ CAPITAL],FINANCIACION[Fecha],"&lt;="&amp;FINANCIACION[[#This Row],[Fecha]],FINANCIACION[PRESTAMO],FINANCIACION[[#This Row],[PRESTAMO]])</f>
        <v>-5691380</v>
      </c>
      <c r="G766" s="7"/>
      <c r="H766" s="53"/>
      <c r="I766" s="5">
        <f>IF(FINANCIACION[[#This Row],[$ CAPITAL]]&gt;0,FINANCIACION[[#This Row],[$ CAPITAL]])</f>
        <v>5607720</v>
      </c>
      <c r="J766" s="8">
        <f>IF(FINANCIACION[[#This Row],[$ CAPITAL]]&gt;=0,FINANCIACION[[#This Row],[$ CAPITAL]]+FINANCIACION[[#This Row],[$ INTERESES]],0)</f>
        <v>5607720</v>
      </c>
    </row>
    <row r="767" spans="1:10" ht="24" hidden="1" customHeight="1" x14ac:dyDescent="0.3">
      <c r="A767" s="131">
        <v>44483</v>
      </c>
      <c r="B767" s="50" t="s">
        <v>154</v>
      </c>
      <c r="C767" s="5">
        <v>14953920</v>
      </c>
      <c r="D767" s="5"/>
      <c r="E767" s="5">
        <f>+IF(FINANCIACION[[#This Row],[$ CAPITAL]]&gt;=0,FINANCIACION[[#This Row],[$ CAPITAL]]+FINANCIACION[[#This Row],[$ INTERESES]],"")</f>
        <v>14953920</v>
      </c>
      <c r="F767" s="5">
        <f>+SUMIFS(FINANCIACION[$ CAPITAL],FINANCIACION[Fecha],"&lt;="&amp;FINANCIACION[[#This Row],[Fecha]],FINANCIACION[PRESTAMO],FINANCIACION[[#This Row],[PRESTAMO]])</f>
        <v>-5691380</v>
      </c>
      <c r="G767" s="7"/>
      <c r="H767" s="53"/>
      <c r="I767" s="5">
        <f>IF(FINANCIACION[[#This Row],[$ CAPITAL]]&gt;0,FINANCIACION[[#This Row],[$ CAPITAL]])</f>
        <v>14953920</v>
      </c>
      <c r="J767" s="8">
        <f>IF(FINANCIACION[[#This Row],[$ CAPITAL]]&gt;=0,FINANCIACION[[#This Row],[$ CAPITAL]]+FINANCIACION[[#This Row],[$ INTERESES]],0)</f>
        <v>14953920</v>
      </c>
    </row>
    <row r="768" spans="1:10" ht="24" hidden="1" customHeight="1" x14ac:dyDescent="0.3">
      <c r="A768" s="131">
        <v>44483</v>
      </c>
      <c r="B768" s="50" t="s">
        <v>155</v>
      </c>
      <c r="C768" s="5">
        <v>1000000</v>
      </c>
      <c r="D768" s="5"/>
      <c r="E768" s="5">
        <f>+IF(FINANCIACION[[#This Row],[$ CAPITAL]]&gt;=0,FINANCIACION[[#This Row],[$ CAPITAL]]+FINANCIACION[[#This Row],[$ INTERESES]],"")</f>
        <v>1000000</v>
      </c>
      <c r="F768" s="5">
        <f>+SUMIFS(FINANCIACION[$ CAPITAL],FINANCIACION[Fecha],"&lt;="&amp;FINANCIACION[[#This Row],[Fecha]],FINANCIACION[PRESTAMO],FINANCIACION[[#This Row],[PRESTAMO]])</f>
        <v>-2108939</v>
      </c>
      <c r="G768" s="7"/>
      <c r="H768" s="53"/>
      <c r="I768" s="5">
        <f>IF(FINANCIACION[[#This Row],[$ CAPITAL]]&gt;0,FINANCIACION[[#This Row],[$ CAPITAL]])</f>
        <v>1000000</v>
      </c>
      <c r="J768" s="8">
        <f>IF(FINANCIACION[[#This Row],[$ CAPITAL]]&gt;=0,FINANCIACION[[#This Row],[$ CAPITAL]]+FINANCIACION[[#This Row],[$ INTERESES]],0)</f>
        <v>1000000</v>
      </c>
    </row>
    <row r="769" spans="1:10" ht="24" hidden="1" customHeight="1" x14ac:dyDescent="0.3">
      <c r="A769" s="131">
        <v>44488</v>
      </c>
      <c r="B769" s="50" t="s">
        <v>534</v>
      </c>
      <c r="C769" s="5">
        <v>5238034</v>
      </c>
      <c r="D769" s="5">
        <v>683538</v>
      </c>
      <c r="E769" s="5">
        <f>+IF(FINANCIACION[[#This Row],[$ CAPITAL]]&gt;=0,FINANCIACION[[#This Row],[$ CAPITAL]]+FINANCIACION[[#This Row],[$ INTERESES]],"")</f>
        <v>5921572</v>
      </c>
      <c r="F769" s="5">
        <f>+SUMIFS(FINANCIACION[$ CAPITAL],FINANCIACION[Fecha],"&lt;="&amp;FINANCIACION[[#This Row],[Fecha]],FINANCIACION[PRESTAMO],FINANCIACION[[#This Row],[PRESTAMO]])</f>
        <v>-328259144</v>
      </c>
      <c r="G769" s="53"/>
      <c r="H769" s="53"/>
      <c r="I769" s="5">
        <f>IF(FINANCIACION[[#This Row],[$ CAPITAL]]&gt;0,FINANCIACION[[#This Row],[$ CAPITAL]])</f>
        <v>5238034</v>
      </c>
      <c r="J769" s="33">
        <f>IF(FINANCIACION[[#This Row],[$ CAPITAL]]&gt;=0,FINANCIACION[[#This Row],[$ CAPITAL]]+FINANCIACION[[#This Row],[$ INTERESES]],0)</f>
        <v>5921572</v>
      </c>
    </row>
    <row r="770" spans="1:10" ht="24" hidden="1" customHeight="1" x14ac:dyDescent="0.3">
      <c r="A770" s="131">
        <v>44488</v>
      </c>
      <c r="B770" s="50" t="s">
        <v>1488</v>
      </c>
      <c r="C770" s="5">
        <v>1570289</v>
      </c>
      <c r="D770" s="5"/>
      <c r="E770" s="5">
        <f>+IF(FINANCIACION[[#This Row],[$ CAPITAL]]&gt;=0,FINANCIACION[[#This Row],[$ CAPITAL]]+FINANCIACION[[#This Row],[$ INTERESES]],"")</f>
        <v>1570289</v>
      </c>
      <c r="F770" s="5">
        <f>+SUMIFS(FINANCIACION[$ CAPITAL],FINANCIACION[Fecha],"&lt;="&amp;FINANCIACION[[#This Row],[Fecha]],FINANCIACION[PRESTAMO],FINANCIACION[[#This Row],[PRESTAMO]])</f>
        <v>2886361</v>
      </c>
      <c r="G770" s="7"/>
      <c r="H770" s="53"/>
      <c r="I770" s="5">
        <f>IF(FINANCIACION[[#This Row],[$ CAPITAL]]&gt;0,FINANCIACION[[#This Row],[$ CAPITAL]])</f>
        <v>1570289</v>
      </c>
      <c r="J770" s="8">
        <f>IF(FINANCIACION[[#This Row],[$ CAPITAL]]&gt;=0,FINANCIACION[[#This Row],[$ CAPITAL]]+FINANCIACION[[#This Row],[$ INTERESES]],0)</f>
        <v>1570289</v>
      </c>
    </row>
    <row r="771" spans="1:10" ht="24" hidden="1" customHeight="1" x14ac:dyDescent="0.3">
      <c r="A771" s="131">
        <v>44490</v>
      </c>
      <c r="B771" s="50" t="s">
        <v>546</v>
      </c>
      <c r="C771" s="5">
        <v>1207376.9100000001</v>
      </c>
      <c r="D771" s="5">
        <v>18623.089999999851</v>
      </c>
      <c r="E771" s="5">
        <f>+IF(FINANCIACION[[#This Row],[$ CAPITAL]]&gt;=0,FINANCIACION[[#This Row],[$ CAPITAL]]+FINANCIACION[[#This Row],[$ INTERESES]],"")</f>
        <v>1226000</v>
      </c>
      <c r="F771" s="5">
        <f>+SUMIFS(FINANCIACION[$ CAPITAL],FINANCIACION[Fecha],"&lt;="&amp;FINANCIACION[[#This Row],[Fecha]],FINANCIACION[PRESTAMO],FINANCIACION[[#This Row],[PRESTAMO]])</f>
        <v>-20060494.380000003</v>
      </c>
      <c r="G771" s="53"/>
      <c r="H771" s="53"/>
      <c r="I771" s="5">
        <f>IF(FINANCIACION[[#This Row],[$ CAPITAL]]&gt;0,FINANCIACION[[#This Row],[$ CAPITAL]])</f>
        <v>1207376.9100000001</v>
      </c>
      <c r="J771" s="33">
        <f>IF(FINANCIACION[[#This Row],[$ CAPITAL]]&gt;=0,FINANCIACION[[#This Row],[$ CAPITAL]]+FINANCIACION[[#This Row],[$ INTERESES]],0)</f>
        <v>1226000</v>
      </c>
    </row>
    <row r="772" spans="1:10" ht="24" hidden="1" customHeight="1" x14ac:dyDescent="0.3">
      <c r="A772" s="131">
        <v>44490</v>
      </c>
      <c r="B772" s="50" t="s">
        <v>540</v>
      </c>
      <c r="C772" s="5">
        <v>966289.62999999896</v>
      </c>
      <c r="D772" s="5">
        <v>15710.370000001043</v>
      </c>
      <c r="E772" s="5">
        <f>+IF(FINANCIACION[[#This Row],[$ CAPITAL]]&gt;=0,FINANCIACION[[#This Row],[$ CAPITAL]]+FINANCIACION[[#This Row],[$ INTERESES]],"")</f>
        <v>982000</v>
      </c>
      <c r="F772" s="5">
        <f>+SUMIFS(FINANCIACION[$ CAPITAL],FINANCIACION[Fecha],"&lt;="&amp;FINANCIACION[[#This Row],[Fecha]],FINANCIACION[PRESTAMO],FINANCIACION[[#This Row],[PRESTAMO]])</f>
        <v>-17508544.630000006</v>
      </c>
      <c r="G772" s="53"/>
      <c r="H772" s="53"/>
      <c r="I772" s="5">
        <f>IF(FINANCIACION[[#This Row],[$ CAPITAL]]&gt;0,FINANCIACION[[#This Row],[$ CAPITAL]])</f>
        <v>966289.62999999896</v>
      </c>
      <c r="J772" s="33">
        <f>IF(FINANCIACION[[#This Row],[$ CAPITAL]]&gt;=0,FINANCIACION[[#This Row],[$ CAPITAL]]+FINANCIACION[[#This Row],[$ INTERESES]],0)</f>
        <v>982000</v>
      </c>
    </row>
    <row r="773" spans="1:10" ht="24" hidden="1" customHeight="1" x14ac:dyDescent="0.3">
      <c r="A773" s="131">
        <v>44490</v>
      </c>
      <c r="B773" s="50" t="s">
        <v>542</v>
      </c>
      <c r="C773" s="5">
        <v>1018692.3000000007</v>
      </c>
      <c r="D773" s="5">
        <v>17307.699999999255</v>
      </c>
      <c r="E773" s="5">
        <f>+IF(FINANCIACION[[#This Row],[$ CAPITAL]]&gt;=0,FINANCIACION[[#This Row],[$ CAPITAL]]+FINANCIACION[[#This Row],[$ INTERESES]],"")</f>
        <v>1036000</v>
      </c>
      <c r="F773" s="5">
        <f>+SUMIFS(FINANCIACION[$ CAPITAL],FINANCIACION[Fecha],"&lt;="&amp;FINANCIACION[[#This Row],[Fecha]],FINANCIACION[PRESTAMO],FINANCIACION[[#This Row],[PRESTAMO]])</f>
        <v>-19242659.020000003</v>
      </c>
      <c r="G773" s="53"/>
      <c r="H773" s="53"/>
      <c r="I773" s="5">
        <f>IF(FINANCIACION[[#This Row],[$ CAPITAL]]&gt;0,FINANCIACION[[#This Row],[$ CAPITAL]])</f>
        <v>1018692.3000000007</v>
      </c>
      <c r="J773" s="33">
        <f>IF(FINANCIACION[[#This Row],[$ CAPITAL]]&gt;=0,FINANCIACION[[#This Row],[$ CAPITAL]]+FINANCIACION[[#This Row],[$ INTERESES]],0)</f>
        <v>1036000</v>
      </c>
    </row>
    <row r="774" spans="1:10" ht="24" hidden="1" customHeight="1" x14ac:dyDescent="0.3">
      <c r="A774" s="131">
        <v>44490</v>
      </c>
      <c r="B774" s="50" t="s">
        <v>538</v>
      </c>
      <c r="C774" s="5">
        <v>2460269.9600000009</v>
      </c>
      <c r="D774" s="5">
        <v>29730.039999999106</v>
      </c>
      <c r="E774" s="5">
        <f>+IF(FINANCIACION[[#This Row],[$ CAPITAL]]&gt;=0,FINANCIACION[[#This Row],[$ CAPITAL]]+FINANCIACION[[#This Row],[$ INTERESES]],"")</f>
        <v>2490000</v>
      </c>
      <c r="F774" s="5">
        <f>+SUMIFS(FINANCIACION[$ CAPITAL],FINANCIACION[Fecha],"&lt;="&amp;FINANCIACION[[#This Row],[Fecha]],FINANCIACION[PRESTAMO],FINANCIACION[[#This Row],[PRESTAMO]])</f>
        <v>-42697257.329999998</v>
      </c>
      <c r="G774" s="53"/>
      <c r="H774" s="53"/>
      <c r="I774" s="5">
        <f>IF(FINANCIACION[[#This Row],[$ CAPITAL]]&gt;0,FINANCIACION[[#This Row],[$ CAPITAL]])</f>
        <v>2460269.9600000009</v>
      </c>
      <c r="J774" s="33">
        <f>IF(FINANCIACION[[#This Row],[$ CAPITAL]]&gt;=0,FINANCIACION[[#This Row],[$ CAPITAL]]+FINANCIACION[[#This Row],[$ INTERESES]],0)</f>
        <v>2490000</v>
      </c>
    </row>
    <row r="775" spans="1:10" ht="24" hidden="1" customHeight="1" x14ac:dyDescent="0.3">
      <c r="A775" s="131">
        <v>44490</v>
      </c>
      <c r="B775" s="50" t="s">
        <v>539</v>
      </c>
      <c r="C775" s="5">
        <v>3617080.799999997</v>
      </c>
      <c r="D775" s="5">
        <v>47919.20000000298</v>
      </c>
      <c r="E775" s="5">
        <f>+IF(FINANCIACION[[#This Row],[$ CAPITAL]]&gt;=0,FINANCIACION[[#This Row],[$ CAPITAL]]+FINANCIACION[[#This Row],[$ INTERESES]],"")</f>
        <v>3665000</v>
      </c>
      <c r="F775" s="5">
        <f>+SUMIFS(FINANCIACION[$ CAPITAL],FINANCIACION[Fecha],"&lt;="&amp;FINANCIACION[[#This Row],[Fecha]],FINANCIACION[PRESTAMO],FINANCIACION[[#This Row],[PRESTAMO]])</f>
        <v>-61771693.030000001</v>
      </c>
      <c r="G775" s="7"/>
      <c r="H775" s="53"/>
      <c r="I775" s="5">
        <f>IF(FINANCIACION[[#This Row],[$ CAPITAL]]&gt;0,FINANCIACION[[#This Row],[$ CAPITAL]])</f>
        <v>3617080.799999997</v>
      </c>
      <c r="J775" s="33">
        <f>IF(FINANCIACION[[#This Row],[$ CAPITAL]]&gt;=0,FINANCIACION[[#This Row],[$ CAPITAL]]+FINANCIACION[[#This Row],[$ INTERESES]],0)</f>
        <v>3665000</v>
      </c>
    </row>
    <row r="776" spans="1:10" ht="24" hidden="1" customHeight="1" x14ac:dyDescent="0.3">
      <c r="A776" s="131">
        <v>44490</v>
      </c>
      <c r="B776" s="50" t="s">
        <v>535</v>
      </c>
      <c r="C776" s="5">
        <v>1455390.5800000019</v>
      </c>
      <c r="D776" s="5">
        <v>20609.419999998063</v>
      </c>
      <c r="E776" s="5">
        <f>+IF(FINANCIACION[[#This Row],[$ CAPITAL]]&gt;=0,FINANCIACION[[#This Row],[$ CAPITAL]]+FINANCIACION[[#This Row],[$ INTERESES]],"")</f>
        <v>1476000</v>
      </c>
      <c r="F776" s="5">
        <f>+SUMIFS(FINANCIACION[$ CAPITAL],FINANCIACION[Fecha],"&lt;="&amp;FINANCIACION[[#This Row],[Fecha]],FINANCIACION[PRESTAMO],FINANCIACION[[#This Row],[PRESTAMO]])</f>
        <v>-22682493.509999987</v>
      </c>
      <c r="G776" s="53"/>
      <c r="H776" s="53"/>
      <c r="I776" s="5">
        <f>IF(FINANCIACION[[#This Row],[$ CAPITAL]]&gt;0,FINANCIACION[[#This Row],[$ CAPITAL]])</f>
        <v>1455390.5800000019</v>
      </c>
      <c r="J776" s="33">
        <f>IF(FINANCIACION[[#This Row],[$ CAPITAL]]&gt;=0,FINANCIACION[[#This Row],[$ CAPITAL]]+FINANCIACION[[#This Row],[$ INTERESES]],0)</f>
        <v>1476000</v>
      </c>
    </row>
    <row r="777" spans="1:10" ht="24" hidden="1" customHeight="1" x14ac:dyDescent="0.3">
      <c r="A777" s="131">
        <v>44491</v>
      </c>
      <c r="B777" s="50" t="s">
        <v>154</v>
      </c>
      <c r="C777" s="5">
        <v>3783300</v>
      </c>
      <c r="D777" s="5"/>
      <c r="E777" s="5">
        <f>+IF(FINANCIACION[[#This Row],[$ CAPITAL]]&gt;=0,FINANCIACION[[#This Row],[$ CAPITAL]]+FINANCIACION[[#This Row],[$ INTERESES]],"")</f>
        <v>3783300</v>
      </c>
      <c r="F777" s="5">
        <f>+SUMIFS(FINANCIACION[$ CAPITAL],FINANCIACION[Fecha],"&lt;="&amp;FINANCIACION[[#This Row],[Fecha]],FINANCIACION[PRESTAMO],FINANCIACION[[#This Row],[PRESTAMO]])</f>
        <v>1875220</v>
      </c>
      <c r="G777" s="53"/>
      <c r="H777" s="53"/>
      <c r="I777" s="5">
        <f>IF(FINANCIACION[[#This Row],[$ CAPITAL]]&gt;0,FINANCIACION[[#This Row],[$ CAPITAL]])</f>
        <v>3783300</v>
      </c>
      <c r="J777" s="33">
        <f>IF(FINANCIACION[[#This Row],[$ CAPITAL]]&gt;=0,FINANCIACION[[#This Row],[$ CAPITAL]]+FINANCIACION[[#This Row],[$ INTERESES]],0)</f>
        <v>3783300</v>
      </c>
    </row>
    <row r="778" spans="1:10" ht="24" hidden="1" customHeight="1" x14ac:dyDescent="0.3">
      <c r="A778" s="131">
        <v>44491</v>
      </c>
      <c r="B778" s="50" t="s">
        <v>154</v>
      </c>
      <c r="C778" s="5">
        <v>3783300</v>
      </c>
      <c r="D778" s="5"/>
      <c r="E778" s="5">
        <f>+IF(FINANCIACION[[#This Row],[$ CAPITAL]]&gt;=0,FINANCIACION[[#This Row],[$ CAPITAL]]+FINANCIACION[[#This Row],[$ INTERESES]],"")</f>
        <v>3783300</v>
      </c>
      <c r="F778" s="5">
        <f>+SUMIFS(FINANCIACION[$ CAPITAL],FINANCIACION[Fecha],"&lt;="&amp;FINANCIACION[[#This Row],[Fecha]],FINANCIACION[PRESTAMO],FINANCIACION[[#This Row],[PRESTAMO]])</f>
        <v>1875220</v>
      </c>
      <c r="G778" s="53"/>
      <c r="H778" s="53"/>
      <c r="I778" s="5">
        <f>IF(FINANCIACION[[#This Row],[$ CAPITAL]]&gt;0,FINANCIACION[[#This Row],[$ CAPITAL]])</f>
        <v>3783300</v>
      </c>
      <c r="J778" s="33">
        <f>IF(FINANCIACION[[#This Row],[$ CAPITAL]]&gt;=0,FINANCIACION[[#This Row],[$ CAPITAL]]+FINANCIACION[[#This Row],[$ INTERESES]],0)</f>
        <v>3783300</v>
      </c>
    </row>
    <row r="779" spans="1:10" ht="24" hidden="1" customHeight="1" x14ac:dyDescent="0.3">
      <c r="A779" s="131">
        <v>44491</v>
      </c>
      <c r="B779" s="50" t="s">
        <v>155</v>
      </c>
      <c r="C779" s="5">
        <v>1000000</v>
      </c>
      <c r="D779" s="5"/>
      <c r="E779" s="5">
        <f>+IF(FINANCIACION[[#This Row],[$ CAPITAL]]&gt;=0,FINANCIACION[[#This Row],[$ CAPITAL]]+FINANCIACION[[#This Row],[$ INTERESES]],"")</f>
        <v>1000000</v>
      </c>
      <c r="F779" s="5">
        <f>+SUMIFS(FINANCIACION[$ CAPITAL],FINANCIACION[Fecha],"&lt;="&amp;FINANCIACION[[#This Row],[Fecha]],FINANCIACION[PRESTAMO],FINANCIACION[[#This Row],[PRESTAMO]])</f>
        <v>-1108939</v>
      </c>
      <c r="G779" s="53"/>
      <c r="H779" s="53"/>
      <c r="I779" s="5">
        <f>IF(FINANCIACION[[#This Row],[$ CAPITAL]]&gt;0,FINANCIACION[[#This Row],[$ CAPITAL]])</f>
        <v>1000000</v>
      </c>
      <c r="J779" s="33">
        <f>IF(FINANCIACION[[#This Row],[$ CAPITAL]]&gt;=0,FINANCIACION[[#This Row],[$ CAPITAL]]+FINANCIACION[[#This Row],[$ INTERESES]],0)</f>
        <v>1000000</v>
      </c>
    </row>
    <row r="780" spans="1:10" ht="24" hidden="1" customHeight="1" x14ac:dyDescent="0.3">
      <c r="A780" s="131">
        <v>44500</v>
      </c>
      <c r="B780" s="50" t="s">
        <v>149</v>
      </c>
      <c r="C780" s="5">
        <v>369052.82999999076</v>
      </c>
      <c r="D780" s="5"/>
      <c r="E780" s="5">
        <f>+IF(FINANCIACION[[#This Row],[$ CAPITAL]]&gt;=0,FINANCIACION[[#This Row],[$ CAPITAL]]+FINANCIACION[[#This Row],[$ INTERESES]],"")</f>
        <v>369052.82999999076</v>
      </c>
      <c r="F780" s="5">
        <f>+SUMIFS(FINANCIACION[$ CAPITAL],FINANCIACION[Fecha],"&lt;="&amp;FINANCIACION[[#This Row],[Fecha]],FINANCIACION[PRESTAMO],FINANCIACION[[#This Row],[PRESTAMO]])</f>
        <v>-65636342.670000009</v>
      </c>
      <c r="G780" s="53" t="s">
        <v>170</v>
      </c>
      <c r="H780" s="53"/>
      <c r="I780" s="5">
        <f>IF(FINANCIACION[[#This Row],[$ CAPITAL]]&gt;0,FINANCIACION[[#This Row],[$ CAPITAL]])</f>
        <v>369052.82999999076</v>
      </c>
      <c r="J780" s="33">
        <f>IF(FINANCIACION[[#This Row],[$ CAPITAL]]&gt;=0,FINANCIACION[[#This Row],[$ CAPITAL]]+FINANCIACION[[#This Row],[$ INTERESES]],0)</f>
        <v>369052.82999999076</v>
      </c>
    </row>
    <row r="781" spans="1:10" ht="24" hidden="1" customHeight="1" x14ac:dyDescent="0.3">
      <c r="A781" s="131">
        <v>44500</v>
      </c>
      <c r="B781" s="50" t="s">
        <v>206</v>
      </c>
      <c r="C781" s="5">
        <v>14983.929999999702</v>
      </c>
      <c r="D781" s="5"/>
      <c r="E781" s="5">
        <f>+IF(FINANCIACION[[#This Row],[$ CAPITAL]]&gt;=0,FINANCIACION[[#This Row],[$ CAPITAL]]+FINANCIACION[[#This Row],[$ INTERESES]],"")</f>
        <v>14983.929999999702</v>
      </c>
      <c r="F781" s="5">
        <f>+SUMIFS(FINANCIACION[$ CAPITAL],FINANCIACION[Fecha],"&lt;="&amp;FINANCIACION[[#This Row],[Fecha]],FINANCIACION[PRESTAMO],FINANCIACION[[#This Row],[PRESTAMO]])</f>
        <v>-57673146.57</v>
      </c>
      <c r="G781" s="53" t="s">
        <v>170</v>
      </c>
      <c r="H781" s="53"/>
      <c r="I781" s="5">
        <f>IF(FINANCIACION[[#This Row],[$ CAPITAL]]&gt;0,FINANCIACION[[#This Row],[$ CAPITAL]])</f>
        <v>14983.929999999702</v>
      </c>
      <c r="J781" s="33">
        <f>IF(FINANCIACION[[#This Row],[$ CAPITAL]]&gt;=0,FINANCIACION[[#This Row],[$ CAPITAL]]+FINANCIACION[[#This Row],[$ INTERESES]],0)</f>
        <v>14983.929999999702</v>
      </c>
    </row>
    <row r="782" spans="1:10" ht="24" hidden="1" customHeight="1" x14ac:dyDescent="0.3">
      <c r="A782" s="131">
        <v>44500</v>
      </c>
      <c r="B782" s="50" t="s">
        <v>234</v>
      </c>
      <c r="C782" s="5">
        <v>5927.0300000011921</v>
      </c>
      <c r="D782" s="5"/>
      <c r="E782" s="5">
        <f>+IF(FINANCIACION[[#This Row],[$ CAPITAL]]&gt;=0,FINANCIACION[[#This Row],[$ CAPITAL]]+FINANCIACION[[#This Row],[$ INTERESES]],"")</f>
        <v>5927.0300000011921</v>
      </c>
      <c r="F782" s="5">
        <f>+SUMIFS(FINANCIACION[$ CAPITAL],FINANCIACION[Fecha],"&lt;="&amp;FINANCIACION[[#This Row],[Fecha]],FINANCIACION[PRESTAMO],FINANCIACION[[#This Row],[PRESTAMO]])</f>
        <v>-22813138.469999999</v>
      </c>
      <c r="G782" s="53" t="s">
        <v>170</v>
      </c>
      <c r="H782" s="53"/>
      <c r="I782" s="5">
        <f>IF(FINANCIACION[[#This Row],[$ CAPITAL]]&gt;0,FINANCIACION[[#This Row],[$ CAPITAL]])</f>
        <v>5927.0300000011921</v>
      </c>
      <c r="J782" s="33">
        <f>IF(FINANCIACION[[#This Row],[$ CAPITAL]]&gt;=0,FINANCIACION[[#This Row],[$ CAPITAL]]+FINANCIACION[[#This Row],[$ INTERESES]],0)</f>
        <v>5927.0300000011921</v>
      </c>
    </row>
    <row r="783" spans="1:10" ht="24" hidden="1" customHeight="1" x14ac:dyDescent="0.3">
      <c r="A783" s="131">
        <v>44500</v>
      </c>
      <c r="B783" s="50" t="s">
        <v>272</v>
      </c>
      <c r="C783" s="5">
        <v>13687.689999997616</v>
      </c>
      <c r="D783" s="5"/>
      <c r="E783" s="5">
        <f>+IF(FINANCIACION[[#This Row],[$ CAPITAL]]&gt;=0,FINANCIACION[[#This Row],[$ CAPITAL]]+FINANCIACION[[#This Row],[$ INTERESES]],"")</f>
        <v>13687.689999997616</v>
      </c>
      <c r="F783" s="5">
        <f>+SUMIFS(FINANCIACION[$ CAPITAL],FINANCIACION[Fecha],"&lt;="&amp;FINANCIACION[[#This Row],[Fecha]],FINANCIACION[PRESTAMO],FINANCIACION[[#This Row],[PRESTAMO]])</f>
        <v>-52683918.810000002</v>
      </c>
      <c r="G783" s="53" t="s">
        <v>170</v>
      </c>
      <c r="H783" s="53"/>
      <c r="I783" s="5">
        <f>IF(FINANCIACION[[#This Row],[$ CAPITAL]]&gt;0,FINANCIACION[[#This Row],[$ CAPITAL]])</f>
        <v>13687.689999997616</v>
      </c>
      <c r="J783" s="33">
        <f>IF(FINANCIACION[[#This Row],[$ CAPITAL]]&gt;=0,FINANCIACION[[#This Row],[$ CAPITAL]]+FINANCIACION[[#This Row],[$ INTERESES]],0)</f>
        <v>13687.689999997616</v>
      </c>
    </row>
    <row r="784" spans="1:10" ht="24" hidden="1" customHeight="1" x14ac:dyDescent="0.3">
      <c r="A784" s="131">
        <v>44500</v>
      </c>
      <c r="B784" s="50" t="s">
        <v>1488</v>
      </c>
      <c r="C784" s="5">
        <v>-2886361</v>
      </c>
      <c r="D784" s="5"/>
      <c r="E784" s="5" t="str">
        <f>+IF(FINANCIACION[[#This Row],[$ CAPITAL]]&gt;=0,FINANCIACION[[#This Row],[$ CAPITAL]]+FINANCIACION[[#This Row],[$ INTERESES]],"")</f>
        <v/>
      </c>
      <c r="F784" s="5">
        <f>+SUMIFS(FINANCIACION[$ CAPITAL],FINANCIACION[Fecha],"&lt;="&amp;FINANCIACION[[#This Row],[Fecha]],FINANCIACION[PRESTAMO],FINANCIACION[[#This Row],[PRESTAMO]])</f>
        <v>0</v>
      </c>
      <c r="G784" s="53" t="s">
        <v>170</v>
      </c>
      <c r="H784" s="53"/>
      <c r="I784" s="5" t="b">
        <f>IF(FINANCIACION[[#This Row],[$ CAPITAL]]&gt;0,FINANCIACION[[#This Row],[$ CAPITAL]])</f>
        <v>0</v>
      </c>
      <c r="J784" s="33">
        <f>IF(FINANCIACION[[#This Row],[$ CAPITAL]]&gt;=0,FINANCIACION[[#This Row],[$ CAPITAL]]+FINANCIACION[[#This Row],[$ INTERESES]],0)</f>
        <v>0</v>
      </c>
    </row>
    <row r="785" spans="1:10" ht="24" hidden="1" customHeight="1" x14ac:dyDescent="0.3">
      <c r="A785" s="131">
        <v>44500</v>
      </c>
      <c r="B785" s="50" t="s">
        <v>154</v>
      </c>
      <c r="C785" s="5">
        <v>-1876641</v>
      </c>
      <c r="D785" s="5"/>
      <c r="E785" s="5" t="str">
        <f>+IF(FINANCIACION[[#This Row],[$ CAPITAL]]&gt;=0,FINANCIACION[[#This Row],[$ CAPITAL]]+FINANCIACION[[#This Row],[$ INTERESES]],"")</f>
        <v/>
      </c>
      <c r="F785" s="5">
        <f>+SUMIFS(FINANCIACION[$ CAPITAL],FINANCIACION[Fecha],"&lt;="&amp;FINANCIACION[[#This Row],[Fecha]],FINANCIACION[PRESTAMO],FINANCIACION[[#This Row],[PRESTAMO]])</f>
        <v>-1421</v>
      </c>
      <c r="G785" s="53" t="s">
        <v>170</v>
      </c>
      <c r="H785" s="53"/>
      <c r="I785" s="5" t="b">
        <f>IF(FINANCIACION[[#This Row],[$ CAPITAL]]&gt;0,FINANCIACION[[#This Row],[$ CAPITAL]])</f>
        <v>0</v>
      </c>
      <c r="J785" s="33">
        <f>IF(FINANCIACION[[#This Row],[$ CAPITAL]]&gt;=0,FINANCIACION[[#This Row],[$ CAPITAL]]+FINANCIACION[[#This Row],[$ INTERESES]],0)</f>
        <v>0</v>
      </c>
    </row>
    <row r="786" spans="1:10" ht="24" hidden="1" customHeight="1" x14ac:dyDescent="0.3">
      <c r="A786" s="131">
        <v>44500</v>
      </c>
      <c r="B786" s="50" t="s">
        <v>155</v>
      </c>
      <c r="C786" s="5">
        <v>141799</v>
      </c>
      <c r="D786" s="5"/>
      <c r="E786" s="5">
        <f>+IF(FINANCIACION[[#This Row],[$ CAPITAL]]&gt;=0,FINANCIACION[[#This Row],[$ CAPITAL]]+FINANCIACION[[#This Row],[$ INTERESES]],"")</f>
        <v>141799</v>
      </c>
      <c r="F786" s="5">
        <f>+SUMIFS(FINANCIACION[$ CAPITAL],FINANCIACION[Fecha],"&lt;="&amp;FINANCIACION[[#This Row],[Fecha]],FINANCIACION[PRESTAMO],FINANCIACION[[#This Row],[PRESTAMO]])</f>
        <v>-967140</v>
      </c>
      <c r="G786" s="53" t="s">
        <v>170</v>
      </c>
      <c r="H786" s="53"/>
      <c r="I786" s="5">
        <f>IF(FINANCIACION[[#This Row],[$ CAPITAL]]&gt;0,FINANCIACION[[#This Row],[$ CAPITAL]])</f>
        <v>141799</v>
      </c>
      <c r="J786" s="33">
        <f>IF(FINANCIACION[[#This Row],[$ CAPITAL]]&gt;=0,FINANCIACION[[#This Row],[$ CAPITAL]]+FINANCIACION[[#This Row],[$ INTERESES]],0)</f>
        <v>141799</v>
      </c>
    </row>
    <row r="787" spans="1:10" ht="24" hidden="1" customHeight="1" x14ac:dyDescent="0.3">
      <c r="A787" s="131">
        <v>44502</v>
      </c>
      <c r="B787" s="50" t="s">
        <v>146</v>
      </c>
      <c r="C787" s="5">
        <v>1468400</v>
      </c>
      <c r="D787" s="5">
        <v>418397</v>
      </c>
      <c r="E787" s="5">
        <f>+IF(FINANCIACION[[#This Row],[$ CAPITAL]]&gt;=0,FINANCIACION[[#This Row],[$ CAPITAL]]+FINANCIACION[[#This Row],[$ INTERESES]],"")</f>
        <v>1886797</v>
      </c>
      <c r="F787" s="5">
        <f>+SUMIFS(FINANCIACION[$ CAPITAL],FINANCIACION[Fecha],"&lt;="&amp;FINANCIACION[[#This Row],[Fecha]],FINANCIACION[PRESTAMO],FINANCIACION[[#This Row],[PRESTAMO]])</f>
        <v>-42583600</v>
      </c>
      <c r="G787" s="53"/>
      <c r="H787" s="53"/>
      <c r="I787" s="5">
        <f>IF(FINANCIACION[[#This Row],[$ CAPITAL]]&gt;0,FINANCIACION[[#This Row],[$ CAPITAL]])</f>
        <v>1468400</v>
      </c>
      <c r="J787" s="33">
        <f>IF(FINANCIACION[[#This Row],[$ CAPITAL]]&gt;=0,FINANCIACION[[#This Row],[$ CAPITAL]]+FINANCIACION[[#This Row],[$ INTERESES]],0)</f>
        <v>1886797</v>
      </c>
    </row>
    <row r="788" spans="1:10" ht="24" hidden="1" customHeight="1" x14ac:dyDescent="0.3">
      <c r="A788" s="131">
        <v>44502</v>
      </c>
      <c r="B788" s="50" t="s">
        <v>147</v>
      </c>
      <c r="C788" s="5">
        <v>76791</v>
      </c>
      <c r="D788" s="5"/>
      <c r="E788" s="5">
        <f>+IF(FINANCIACION[[#This Row],[$ CAPITAL]]&gt;=0,FINANCIACION[[#This Row],[$ CAPITAL]]+FINANCIACION[[#This Row],[$ INTERESES]],"")</f>
        <v>76791</v>
      </c>
      <c r="F788" s="5">
        <f>+SUMIFS(FINANCIACION[$ CAPITAL],FINANCIACION[Fecha],"&lt;="&amp;FINANCIACION[[#This Row],[Fecha]],FINANCIACION[PRESTAMO],FINANCIACION[[#This Row],[PRESTAMO]])</f>
        <v>-2226939</v>
      </c>
      <c r="G788" s="53"/>
      <c r="H788" s="53"/>
      <c r="I788" s="5">
        <f>IF(FINANCIACION[[#This Row],[$ CAPITAL]]&gt;0,FINANCIACION[[#This Row],[$ CAPITAL]])</f>
        <v>76791</v>
      </c>
      <c r="J788" s="33">
        <f>IF(FINANCIACION[[#This Row],[$ CAPITAL]]&gt;=0,FINANCIACION[[#This Row],[$ CAPITAL]]+FINANCIACION[[#This Row],[$ INTERESES]],0)</f>
        <v>76791</v>
      </c>
    </row>
    <row r="789" spans="1:10" ht="24" hidden="1" customHeight="1" x14ac:dyDescent="0.3">
      <c r="A789" s="131">
        <v>44502</v>
      </c>
      <c r="B789" s="50" t="s">
        <v>154</v>
      </c>
      <c r="C789" s="5">
        <v>1892220</v>
      </c>
      <c r="D789" s="5"/>
      <c r="E789" s="5">
        <f>+IF(FINANCIACION[[#This Row],[$ CAPITAL]]&gt;=0,FINANCIACION[[#This Row],[$ CAPITAL]]+FINANCIACION[[#This Row],[$ INTERESES]],"")</f>
        <v>1892220</v>
      </c>
      <c r="F789" s="5">
        <f>+SUMIFS(FINANCIACION[$ CAPITAL],FINANCIACION[Fecha],"&lt;="&amp;FINANCIACION[[#This Row],[Fecha]],FINANCIACION[PRESTAMO],FINANCIACION[[#This Row],[PRESTAMO]])</f>
        <v>1890799</v>
      </c>
      <c r="G789" s="53"/>
      <c r="H789" s="53"/>
      <c r="I789" s="5">
        <f>IF(FINANCIACION[[#This Row],[$ CAPITAL]]&gt;0,FINANCIACION[[#This Row],[$ CAPITAL]])</f>
        <v>1892220</v>
      </c>
      <c r="J789" s="33">
        <f>IF(FINANCIACION[[#This Row],[$ CAPITAL]]&gt;=0,FINANCIACION[[#This Row],[$ CAPITAL]]+FINANCIACION[[#This Row],[$ INTERESES]],0)</f>
        <v>1892220</v>
      </c>
    </row>
    <row r="790" spans="1:10" ht="24" hidden="1" customHeight="1" x14ac:dyDescent="0.3">
      <c r="A790" s="131">
        <v>44502</v>
      </c>
      <c r="B790" s="50" t="s">
        <v>155</v>
      </c>
      <c r="C790" s="5">
        <v>967140</v>
      </c>
      <c r="D790" s="5"/>
      <c r="E790" s="5">
        <f>+IF(FINANCIACION[[#This Row],[$ CAPITAL]]&gt;=0,FINANCIACION[[#This Row],[$ CAPITAL]]+FINANCIACION[[#This Row],[$ INTERESES]],"")</f>
        <v>967140</v>
      </c>
      <c r="F790" s="5">
        <f>+SUMIFS(FINANCIACION[$ CAPITAL],FINANCIACION[Fecha],"&lt;="&amp;FINANCIACION[[#This Row],[Fecha]],FINANCIACION[PRESTAMO],FINANCIACION[[#This Row],[PRESTAMO]])</f>
        <v>0</v>
      </c>
      <c r="G790" s="53"/>
      <c r="H790" s="53"/>
      <c r="I790" s="5">
        <f>IF(FINANCIACION[[#This Row],[$ CAPITAL]]&gt;0,FINANCIACION[[#This Row],[$ CAPITAL]])</f>
        <v>967140</v>
      </c>
      <c r="J790" s="33">
        <f>IF(FINANCIACION[[#This Row],[$ CAPITAL]]&gt;=0,FINANCIACION[[#This Row],[$ CAPITAL]]+FINANCIACION[[#This Row],[$ INTERESES]],0)</f>
        <v>967140</v>
      </c>
    </row>
    <row r="791" spans="1:10" ht="24" hidden="1" customHeight="1" x14ac:dyDescent="0.3">
      <c r="A791" s="131">
        <v>44508</v>
      </c>
      <c r="B791" s="50" t="s">
        <v>150</v>
      </c>
      <c r="C791" s="5">
        <v>6326000</v>
      </c>
      <c r="D791" s="5">
        <v>197571.44</v>
      </c>
      <c r="E791" s="5">
        <f>+IF(FINANCIACION[[#This Row],[$ CAPITAL]]&gt;=0,FINANCIACION[[#This Row],[$ CAPITAL]]+FINANCIACION[[#This Row],[$ INTERESES]],"")</f>
        <v>6523571.4400000004</v>
      </c>
      <c r="F791" s="5">
        <f>+SUMIFS(FINANCIACION[$ CAPITAL],FINANCIACION[Fecha],"&lt;="&amp;FINANCIACION[[#This Row],[Fecha]],FINANCIACION[PRESTAMO],FINANCIACION[[#This Row],[PRESTAMO]])</f>
        <v>-22367821.449999999</v>
      </c>
      <c r="G791" s="53"/>
      <c r="H791" s="53"/>
      <c r="I791" s="5">
        <f>IF(FINANCIACION[[#This Row],[$ CAPITAL]]&gt;0,FINANCIACION[[#This Row],[$ CAPITAL]])</f>
        <v>6326000</v>
      </c>
      <c r="J791" s="33">
        <f>IF(FINANCIACION[[#This Row],[$ CAPITAL]]&gt;=0,FINANCIACION[[#This Row],[$ CAPITAL]]+FINANCIACION[[#This Row],[$ INTERESES]],0)</f>
        <v>6523571.4400000004</v>
      </c>
    </row>
    <row r="792" spans="1:10" ht="24" hidden="1" customHeight="1" x14ac:dyDescent="0.3">
      <c r="A792" s="131">
        <v>44510</v>
      </c>
      <c r="B792" s="50" t="s">
        <v>543</v>
      </c>
      <c r="C792" s="5"/>
      <c r="D792" s="5">
        <v>130000</v>
      </c>
      <c r="E792" s="5">
        <f>+IF(FINANCIACION[[#This Row],[$ CAPITAL]]&gt;=0,FINANCIACION[[#This Row],[$ CAPITAL]]+FINANCIACION[[#This Row],[$ INTERESES]],"")</f>
        <v>130000</v>
      </c>
      <c r="F792" s="5">
        <f>+SUMIFS(FINANCIACION[$ CAPITAL],FINANCIACION[Fecha],"&lt;="&amp;FINANCIACION[[#This Row],[Fecha]],FINANCIACION[PRESTAMO],FINANCIACION[[#This Row],[PRESTAMO]])</f>
        <v>-13000000</v>
      </c>
      <c r="G792" s="53"/>
      <c r="H792" s="53"/>
      <c r="I792" s="5" t="b">
        <f>IF(FINANCIACION[[#This Row],[$ CAPITAL]]&gt;0,FINANCIACION[[#This Row],[$ CAPITAL]])</f>
        <v>0</v>
      </c>
      <c r="J792" s="33">
        <f>IF(FINANCIACION[[#This Row],[$ CAPITAL]]&gt;=0,FINANCIACION[[#This Row],[$ CAPITAL]]+FINANCIACION[[#This Row],[$ INTERESES]],0)</f>
        <v>130000</v>
      </c>
    </row>
    <row r="793" spans="1:10" ht="24" hidden="1" customHeight="1" x14ac:dyDescent="0.3">
      <c r="A793" s="131">
        <v>44510</v>
      </c>
      <c r="B793" s="50" t="s">
        <v>547</v>
      </c>
      <c r="C793" s="5"/>
      <c r="D793" s="5">
        <v>400000</v>
      </c>
      <c r="E793" s="5">
        <f>+IF(FINANCIACION[[#This Row],[$ CAPITAL]]&gt;=0,FINANCIACION[[#This Row],[$ CAPITAL]]+FINANCIACION[[#This Row],[$ INTERESES]],"")</f>
        <v>400000</v>
      </c>
      <c r="F793" s="5">
        <f>+SUMIFS(FINANCIACION[$ CAPITAL],FINANCIACION[Fecha],"&lt;="&amp;FINANCIACION[[#This Row],[Fecha]],FINANCIACION[PRESTAMO],FINANCIACION[[#This Row],[PRESTAMO]])</f>
        <v>-40000000</v>
      </c>
      <c r="G793" s="7"/>
      <c r="H793" s="53"/>
      <c r="I793" s="5" t="b">
        <f>IF(FINANCIACION[[#This Row],[$ CAPITAL]]&gt;0,FINANCIACION[[#This Row],[$ CAPITAL]])</f>
        <v>0</v>
      </c>
      <c r="J793" s="33">
        <f>IF(FINANCIACION[[#This Row],[$ CAPITAL]]&gt;=0,FINANCIACION[[#This Row],[$ CAPITAL]]+FINANCIACION[[#This Row],[$ INTERESES]],0)</f>
        <v>400000</v>
      </c>
    </row>
    <row r="794" spans="1:10" ht="24" hidden="1" customHeight="1" x14ac:dyDescent="0.3">
      <c r="A794" s="131">
        <v>44510</v>
      </c>
      <c r="B794" s="50" t="s">
        <v>532</v>
      </c>
      <c r="C794" s="5">
        <v>1945723.4973951909</v>
      </c>
      <c r="D794" s="5">
        <v>731654.50260480714</v>
      </c>
      <c r="E794" s="5">
        <f>+IF(FINANCIACION[[#This Row],[$ CAPITAL]]&gt;=0,FINANCIACION[[#This Row],[$ CAPITAL]]+FINANCIACION[[#This Row],[$ INTERESES]],"")</f>
        <v>2677377.9999999981</v>
      </c>
      <c r="F794" s="5">
        <f>+SUMIFS(FINANCIACION[$ CAPITAL],FINANCIACION[Fecha],"&lt;="&amp;FINANCIACION[[#This Row],[Fecha]],FINANCIACION[PRESTAMO],FINANCIACION[[#This Row],[PRESTAMO]])</f>
        <v>-71219726.763085529</v>
      </c>
      <c r="G794" s="53"/>
      <c r="H794" s="53"/>
      <c r="I794" s="5">
        <f>IF(FINANCIACION[[#This Row],[$ CAPITAL]]&gt;0,FINANCIACION[[#This Row],[$ CAPITAL]])</f>
        <v>1945723.4973951909</v>
      </c>
      <c r="J794" s="33">
        <f>IF(FINANCIACION[[#This Row],[$ CAPITAL]]&gt;=0,FINANCIACION[[#This Row],[$ CAPITAL]]+FINANCIACION[[#This Row],[$ INTERESES]],0)</f>
        <v>2677377.9999999981</v>
      </c>
    </row>
    <row r="795" spans="1:10" ht="24" hidden="1" customHeight="1" x14ac:dyDescent="0.3">
      <c r="A795" s="131">
        <v>44510</v>
      </c>
      <c r="B795" s="50" t="s">
        <v>536</v>
      </c>
      <c r="C795" s="5">
        <v>749637</v>
      </c>
      <c r="D795" s="5">
        <v>550363</v>
      </c>
      <c r="E795" s="5">
        <f>+IF(FINANCIACION[[#This Row],[$ CAPITAL]]&gt;=0,FINANCIACION[[#This Row],[$ CAPITAL]]+FINANCIACION[[#This Row],[$ INTERESES]],"")</f>
        <v>1300000</v>
      </c>
      <c r="F795" s="5">
        <f>+SUMIFS(FINANCIACION[$ CAPITAL],FINANCIACION[Fecha],"&lt;="&amp;FINANCIACION[[#This Row],[Fecha]],FINANCIACION[PRESTAMO],FINANCIACION[[#This Row],[PRESTAMO]])</f>
        <v>-54286659.180677854</v>
      </c>
      <c r="G795" s="53"/>
      <c r="H795" s="53"/>
      <c r="I795" s="5">
        <f>IF(FINANCIACION[[#This Row],[$ CAPITAL]]&gt;0,FINANCIACION[[#This Row],[$ CAPITAL]])</f>
        <v>749637</v>
      </c>
      <c r="J795" s="33">
        <f>IF(FINANCIACION[[#This Row],[$ CAPITAL]]&gt;=0,FINANCIACION[[#This Row],[$ CAPITAL]]+FINANCIACION[[#This Row],[$ INTERESES]],0)</f>
        <v>1300000</v>
      </c>
    </row>
    <row r="796" spans="1:10" ht="24" hidden="1" customHeight="1" x14ac:dyDescent="0.3">
      <c r="A796" s="131">
        <v>44510</v>
      </c>
      <c r="B796" s="50" t="s">
        <v>533</v>
      </c>
      <c r="C796" s="5">
        <v>486404.17832626984</v>
      </c>
      <c r="D796" s="5">
        <v>713595.82167373016</v>
      </c>
      <c r="E796" s="5">
        <f>+IF(FINANCIACION[[#This Row],[$ CAPITAL]]&gt;=0,FINANCIACION[[#This Row],[$ CAPITAL]]+FINANCIACION[[#This Row],[$ INTERESES]],"")</f>
        <v>1200000</v>
      </c>
      <c r="F796" s="5">
        <f>+SUMIFS(FINANCIACION[$ CAPITAL],FINANCIACION[Fecha],"&lt;="&amp;FINANCIACION[[#This Row],[Fecha]],FINANCIACION[PRESTAMO],FINANCIACION[[#This Row],[PRESTAMO]])</f>
        <v>-71043865.849046752</v>
      </c>
      <c r="G796" s="53"/>
      <c r="H796" s="53"/>
      <c r="I796" s="5">
        <f>IF(FINANCIACION[[#This Row],[$ CAPITAL]]&gt;0,FINANCIACION[[#This Row],[$ CAPITAL]])</f>
        <v>486404.17832626984</v>
      </c>
      <c r="J796" s="33">
        <f>IF(FINANCIACION[[#This Row],[$ CAPITAL]]&gt;=0,FINANCIACION[[#This Row],[$ CAPITAL]]+FINANCIACION[[#This Row],[$ INTERESES]],0)</f>
        <v>1200000</v>
      </c>
    </row>
    <row r="797" spans="1:10" ht="24" hidden="1" customHeight="1" x14ac:dyDescent="0.3">
      <c r="A797" s="131">
        <v>44510</v>
      </c>
      <c r="B797" s="50" t="s">
        <v>545</v>
      </c>
      <c r="C797" s="5"/>
      <c r="D797" s="5">
        <v>120000</v>
      </c>
      <c r="E797" s="5">
        <f>+IF(FINANCIACION[[#This Row],[$ CAPITAL]]&gt;=0,FINANCIACION[[#This Row],[$ CAPITAL]]+FINANCIACION[[#This Row],[$ INTERESES]],"")</f>
        <v>120000</v>
      </c>
      <c r="F797" s="5">
        <f>+SUMIFS(FINANCIACION[$ CAPITAL],FINANCIACION[Fecha],"&lt;="&amp;FINANCIACION[[#This Row],[Fecha]],FINANCIACION[PRESTAMO],FINANCIACION[[#This Row],[PRESTAMO]])</f>
        <v>-12000000</v>
      </c>
      <c r="G797" s="53"/>
      <c r="H797" s="53"/>
      <c r="I797" s="5" t="b">
        <f>IF(FINANCIACION[[#This Row],[$ CAPITAL]]&gt;0,FINANCIACION[[#This Row],[$ CAPITAL]])</f>
        <v>0</v>
      </c>
      <c r="J797" s="33">
        <f>IF(FINANCIACION[[#This Row],[$ CAPITAL]]&gt;=0,FINANCIACION[[#This Row],[$ CAPITAL]]+FINANCIACION[[#This Row],[$ INTERESES]],0)</f>
        <v>120000</v>
      </c>
    </row>
    <row r="798" spans="1:10" ht="24" hidden="1" customHeight="1" x14ac:dyDescent="0.3">
      <c r="A798" s="131">
        <v>44510</v>
      </c>
      <c r="B798" s="50" t="s">
        <v>154</v>
      </c>
      <c r="C798" s="52">
        <v>2713802</v>
      </c>
      <c r="D798" s="5"/>
      <c r="E798" s="5">
        <f>+IF(FINANCIACION[[#This Row],[$ CAPITAL]]&gt;=0,FINANCIACION[[#This Row],[$ CAPITAL]]+FINANCIACION[[#This Row],[$ INTERESES]],"")</f>
        <v>2713802</v>
      </c>
      <c r="F798" s="5">
        <f>+SUMIFS(FINANCIACION[$ CAPITAL],FINANCIACION[Fecha],"&lt;="&amp;FINANCIACION[[#This Row],[Fecha]],FINANCIACION[PRESTAMO],FINANCIACION[[#This Row],[PRESTAMO]])</f>
        <v>4604601</v>
      </c>
      <c r="G798" s="53"/>
      <c r="H798" s="53"/>
      <c r="I798" s="5">
        <f>IF(FINANCIACION[[#This Row],[$ CAPITAL]]&gt;0,FINANCIACION[[#This Row],[$ CAPITAL]])</f>
        <v>2713802</v>
      </c>
      <c r="J798" s="33">
        <f>IF(FINANCIACION[[#This Row],[$ CAPITAL]]&gt;=0,FINANCIACION[[#This Row],[$ CAPITAL]]+FINANCIACION[[#This Row],[$ INTERESES]],0)</f>
        <v>2713802</v>
      </c>
    </row>
    <row r="799" spans="1:10" ht="24" hidden="1" customHeight="1" x14ac:dyDescent="0.3">
      <c r="A799" s="131">
        <v>44516</v>
      </c>
      <c r="B799" s="50" t="s">
        <v>153</v>
      </c>
      <c r="C799" s="5"/>
      <c r="D799" s="5">
        <v>241004.17</v>
      </c>
      <c r="E799" s="5">
        <f>+IF(FINANCIACION[[#This Row],[$ CAPITAL]]&gt;=0,FINANCIACION[[#This Row],[$ CAPITAL]]+FINANCIACION[[#This Row],[$ INTERESES]],"")</f>
        <v>241004.17</v>
      </c>
      <c r="F799" s="5">
        <f>+SUMIFS(FINANCIACION[$ CAPITAL],FINANCIACION[Fecha],"&lt;="&amp;FINANCIACION[[#This Row],[Fecha]],FINANCIACION[PRESTAMO],FINANCIACION[[#This Row],[PRESTAMO]])</f>
        <v>-35000000</v>
      </c>
      <c r="G799" s="53"/>
      <c r="H799" s="53"/>
      <c r="I799" s="5" t="b">
        <f>IF(FINANCIACION[[#This Row],[$ CAPITAL]]&gt;0,FINANCIACION[[#This Row],[$ CAPITAL]])</f>
        <v>0</v>
      </c>
      <c r="J799" s="33">
        <f>IF(FINANCIACION[[#This Row],[$ CAPITAL]]&gt;=0,FINANCIACION[[#This Row],[$ CAPITAL]]+FINANCIACION[[#This Row],[$ INTERESES]],0)</f>
        <v>241004.17</v>
      </c>
    </row>
    <row r="800" spans="1:10" ht="24" hidden="1" customHeight="1" x14ac:dyDescent="0.3">
      <c r="A800" s="131">
        <v>44518</v>
      </c>
      <c r="B800" s="50" t="s">
        <v>534</v>
      </c>
      <c r="C800" s="5">
        <v>5143385</v>
      </c>
      <c r="D800" s="5">
        <v>835554</v>
      </c>
      <c r="E800" s="5">
        <f>+IF(FINANCIACION[[#This Row],[$ CAPITAL]]&gt;=0,FINANCIACION[[#This Row],[$ CAPITAL]]+FINANCIACION[[#This Row],[$ INTERESES]],"")</f>
        <v>5978939</v>
      </c>
      <c r="F800" s="5">
        <f>+SUMIFS(FINANCIACION[$ CAPITAL],FINANCIACION[Fecha],"&lt;="&amp;FINANCIACION[[#This Row],[Fecha]],FINANCIACION[PRESTAMO],FINANCIACION[[#This Row],[PRESTAMO]])</f>
        <v>-323115759</v>
      </c>
      <c r="G800" s="53"/>
      <c r="H800" s="53"/>
      <c r="I800" s="5">
        <f>IF(FINANCIACION[[#This Row],[$ CAPITAL]]&gt;0,FINANCIACION[[#This Row],[$ CAPITAL]])</f>
        <v>5143385</v>
      </c>
      <c r="J800" s="33">
        <f>IF(FINANCIACION[[#This Row],[$ CAPITAL]]&gt;=0,FINANCIACION[[#This Row],[$ CAPITAL]]+FINANCIACION[[#This Row],[$ INTERESES]],0)</f>
        <v>5978939</v>
      </c>
    </row>
    <row r="801" spans="1:10" ht="24" hidden="1" customHeight="1" x14ac:dyDescent="0.3">
      <c r="A801" s="131">
        <v>44522</v>
      </c>
      <c r="B801" s="50" t="s">
        <v>501</v>
      </c>
      <c r="C801" s="5">
        <v>-4500000</v>
      </c>
      <c r="D801" s="5"/>
      <c r="E801" s="5" t="str">
        <f>+IF(FINANCIACION[[#This Row],[$ CAPITAL]]&gt;=0,FINANCIACION[[#This Row],[$ CAPITAL]]+FINANCIACION[[#This Row],[$ INTERESES]],"")</f>
        <v/>
      </c>
      <c r="F801" s="5">
        <f>+SUMIFS(FINANCIACION[$ CAPITAL],FINANCIACION[Fecha],"&lt;="&amp;FINANCIACION[[#This Row],[Fecha]],FINANCIACION[PRESTAMO],FINANCIACION[[#This Row],[PRESTAMO]])</f>
        <v>-4500000</v>
      </c>
      <c r="G801" s="53" t="s">
        <v>294</v>
      </c>
      <c r="H801" s="53"/>
      <c r="I801" s="5" t="b">
        <f>IF(FINANCIACION[[#This Row],[$ CAPITAL]]&gt;0,FINANCIACION[[#This Row],[$ CAPITAL]])</f>
        <v>0</v>
      </c>
      <c r="J801" s="33">
        <f>IF(FINANCIACION[[#This Row],[$ CAPITAL]]&gt;=0,FINANCIACION[[#This Row],[$ CAPITAL]]+FINANCIACION[[#This Row],[$ INTERESES]],0)</f>
        <v>0</v>
      </c>
    </row>
    <row r="802" spans="1:10" ht="24" hidden="1" customHeight="1" x14ac:dyDescent="0.3">
      <c r="A802" s="131">
        <v>44523</v>
      </c>
      <c r="B802" s="50" t="s">
        <v>546</v>
      </c>
      <c r="C802" s="5">
        <v>1179959.2800000012</v>
      </c>
      <c r="D802" s="5">
        <v>41040.719999998808</v>
      </c>
      <c r="E802" s="5">
        <f>+IF(FINANCIACION[[#This Row],[$ CAPITAL]]&gt;=0,FINANCIACION[[#This Row],[$ CAPITAL]]+FINANCIACION[[#This Row],[$ INTERESES]],"")</f>
        <v>1221000</v>
      </c>
      <c r="F802" s="5">
        <f>+SUMIFS(FINANCIACION[$ CAPITAL],FINANCIACION[Fecha],"&lt;="&amp;FINANCIACION[[#This Row],[Fecha]],FINANCIACION[PRESTAMO],FINANCIACION[[#This Row],[PRESTAMO]])</f>
        <v>-18880535.100000001</v>
      </c>
      <c r="G802" s="53"/>
      <c r="H802" s="53"/>
      <c r="I802" s="5">
        <f>IF(FINANCIACION[[#This Row],[$ CAPITAL]]&gt;0,FINANCIACION[[#This Row],[$ CAPITAL]])</f>
        <v>1179959.2800000012</v>
      </c>
      <c r="J802" s="33">
        <f>IF(FINANCIACION[[#This Row],[$ CAPITAL]]&gt;=0,FINANCIACION[[#This Row],[$ CAPITAL]]+FINANCIACION[[#This Row],[$ INTERESES]],0)</f>
        <v>1221000</v>
      </c>
    </row>
    <row r="803" spans="1:10" ht="24" hidden="1" customHeight="1" x14ac:dyDescent="0.3">
      <c r="A803" s="131">
        <v>44523</v>
      </c>
      <c r="B803" s="50" t="s">
        <v>540</v>
      </c>
      <c r="C803" s="5">
        <v>943294.1799999997</v>
      </c>
      <c r="D803" s="5">
        <v>37705.820000000298</v>
      </c>
      <c r="E803" s="5">
        <f>+IF(FINANCIACION[[#This Row],[$ CAPITAL]]&gt;=0,FINANCIACION[[#This Row],[$ CAPITAL]]+FINANCIACION[[#This Row],[$ INTERESES]],"")</f>
        <v>981000</v>
      </c>
      <c r="F803" s="5">
        <f>+SUMIFS(FINANCIACION[$ CAPITAL],FINANCIACION[Fecha],"&lt;="&amp;FINANCIACION[[#This Row],[Fecha]],FINANCIACION[PRESTAMO],FINANCIACION[[#This Row],[PRESTAMO]])</f>
        <v>-16565250.450000007</v>
      </c>
      <c r="G803" s="53"/>
      <c r="H803" s="53"/>
      <c r="I803" s="5">
        <f>IF(FINANCIACION[[#This Row],[$ CAPITAL]]&gt;0,FINANCIACION[[#This Row],[$ CAPITAL]])</f>
        <v>943294.1799999997</v>
      </c>
      <c r="J803" s="33">
        <f>IF(FINANCIACION[[#This Row],[$ CAPITAL]]&gt;=0,FINANCIACION[[#This Row],[$ CAPITAL]]+FINANCIACION[[#This Row],[$ INTERESES]],0)</f>
        <v>981000</v>
      </c>
    </row>
    <row r="804" spans="1:10" ht="24" hidden="1" customHeight="1" x14ac:dyDescent="0.3">
      <c r="A804" s="131">
        <v>44523</v>
      </c>
      <c r="B804" s="50" t="s">
        <v>542</v>
      </c>
      <c r="C804" s="5">
        <v>992530.51999999955</v>
      </c>
      <c r="D804" s="5">
        <v>41469.480000000447</v>
      </c>
      <c r="E804" s="5">
        <f>+IF(FINANCIACION[[#This Row],[$ CAPITAL]]&gt;=0,FINANCIACION[[#This Row],[$ CAPITAL]]+FINANCIACION[[#This Row],[$ INTERESES]],"")</f>
        <v>1034000</v>
      </c>
      <c r="F804" s="5">
        <f>+SUMIFS(FINANCIACION[$ CAPITAL],FINANCIACION[Fecha],"&lt;="&amp;FINANCIACION[[#This Row],[Fecha]],FINANCIACION[PRESTAMO],FINANCIACION[[#This Row],[PRESTAMO]])</f>
        <v>-18250128.500000004</v>
      </c>
      <c r="G804" s="53"/>
      <c r="H804" s="53"/>
      <c r="I804" s="5">
        <f>IF(FINANCIACION[[#This Row],[$ CAPITAL]]&gt;0,FINANCIACION[[#This Row],[$ CAPITAL]])</f>
        <v>992530.51999999955</v>
      </c>
      <c r="J804" s="33">
        <f>IF(FINANCIACION[[#This Row],[$ CAPITAL]]&gt;=0,FINANCIACION[[#This Row],[$ CAPITAL]]+FINANCIACION[[#This Row],[$ INTERESES]],0)</f>
        <v>1034000</v>
      </c>
    </row>
    <row r="805" spans="1:10" ht="24" hidden="1" customHeight="1" x14ac:dyDescent="0.3">
      <c r="A805" s="131">
        <v>44523</v>
      </c>
      <c r="B805" s="50" t="s">
        <v>538</v>
      </c>
      <c r="C805" s="5">
        <v>2390422.3299999982</v>
      </c>
      <c r="D805" s="5">
        <v>87577.670000001788</v>
      </c>
      <c r="E805" s="5">
        <f>+IF(FINANCIACION[[#This Row],[$ CAPITAL]]&gt;=0,FINANCIACION[[#This Row],[$ CAPITAL]]+FINANCIACION[[#This Row],[$ INTERESES]],"")</f>
        <v>2478000</v>
      </c>
      <c r="F805" s="5">
        <f>+SUMIFS(FINANCIACION[$ CAPITAL],FINANCIACION[Fecha],"&lt;="&amp;FINANCIACION[[#This Row],[Fecha]],FINANCIACION[PRESTAMO],FINANCIACION[[#This Row],[PRESTAMO]])</f>
        <v>-40306835</v>
      </c>
      <c r="G805" s="53"/>
      <c r="H805" s="53"/>
      <c r="I805" s="5">
        <f>IF(FINANCIACION[[#This Row],[$ CAPITAL]]&gt;0,FINANCIACION[[#This Row],[$ CAPITAL]])</f>
        <v>2390422.3299999982</v>
      </c>
      <c r="J805" s="33">
        <f>IF(FINANCIACION[[#This Row],[$ CAPITAL]]&gt;=0,FINANCIACION[[#This Row],[$ CAPITAL]]+FINANCIACION[[#This Row],[$ INTERESES]],0)</f>
        <v>2478000</v>
      </c>
    </row>
    <row r="806" spans="1:10" ht="24" hidden="1" customHeight="1" x14ac:dyDescent="0.3">
      <c r="A806" s="131">
        <v>44523</v>
      </c>
      <c r="B806" s="50" t="s">
        <v>539</v>
      </c>
      <c r="C806" s="5">
        <v>3505028.4600000009</v>
      </c>
      <c r="D806" s="5">
        <v>140971.53999999911</v>
      </c>
      <c r="E806" s="5">
        <f>+IF(FINANCIACION[[#This Row],[$ CAPITAL]]&gt;=0,FINANCIACION[[#This Row],[$ CAPITAL]]+FINANCIACION[[#This Row],[$ INTERESES]],"")</f>
        <v>3646000</v>
      </c>
      <c r="F806" s="5">
        <f>+SUMIFS(FINANCIACION[$ CAPITAL],FINANCIACION[Fecha],"&lt;="&amp;FINANCIACION[[#This Row],[Fecha]],FINANCIACION[PRESTAMO],FINANCIACION[[#This Row],[PRESTAMO]])</f>
        <v>-58266664.57</v>
      </c>
      <c r="G806" s="53"/>
      <c r="H806" s="53"/>
      <c r="I806" s="5">
        <f>IF(FINANCIACION[[#This Row],[$ CAPITAL]]&gt;0,FINANCIACION[[#This Row],[$ CAPITAL]])</f>
        <v>3505028.4600000009</v>
      </c>
      <c r="J806" s="33">
        <f>IF(FINANCIACION[[#This Row],[$ CAPITAL]]&gt;=0,FINANCIACION[[#This Row],[$ CAPITAL]]+FINANCIACION[[#This Row],[$ INTERESES]],0)</f>
        <v>3646000</v>
      </c>
    </row>
    <row r="807" spans="1:10" ht="24" hidden="1" customHeight="1" x14ac:dyDescent="0.3">
      <c r="A807" s="131">
        <v>44523</v>
      </c>
      <c r="B807" s="50" t="s">
        <v>535</v>
      </c>
      <c r="C807" s="5">
        <v>1423624.1700000018</v>
      </c>
      <c r="D807" s="5">
        <v>49375.829999998212</v>
      </c>
      <c r="E807" s="5">
        <f>+IF(FINANCIACION[[#This Row],[$ CAPITAL]]&gt;=0,FINANCIACION[[#This Row],[$ CAPITAL]]+FINANCIACION[[#This Row],[$ INTERESES]],"")</f>
        <v>1473000</v>
      </c>
      <c r="F807" s="5">
        <f>+SUMIFS(FINANCIACION[$ CAPITAL],FINANCIACION[Fecha],"&lt;="&amp;FINANCIACION[[#This Row],[Fecha]],FINANCIACION[PRESTAMO],FINANCIACION[[#This Row],[PRESTAMO]])</f>
        <v>-21258869.339999985</v>
      </c>
      <c r="G807" s="53"/>
      <c r="H807" s="53"/>
      <c r="I807" s="5">
        <f>IF(FINANCIACION[[#This Row],[$ CAPITAL]]&gt;0,FINANCIACION[[#This Row],[$ CAPITAL]])</f>
        <v>1423624.1700000018</v>
      </c>
      <c r="J807" s="33">
        <f>IF(FINANCIACION[[#This Row],[$ CAPITAL]]&gt;=0,FINANCIACION[[#This Row],[$ CAPITAL]]+FINANCIACION[[#This Row],[$ INTERESES]],0)</f>
        <v>1473000</v>
      </c>
    </row>
    <row r="808" spans="1:10" ht="24" hidden="1" customHeight="1" x14ac:dyDescent="0.3">
      <c r="A808" s="131">
        <v>44525</v>
      </c>
      <c r="B808" s="50" t="s">
        <v>548</v>
      </c>
      <c r="C808" s="5">
        <v>-80206729.879999995</v>
      </c>
      <c r="D808" s="5">
        <v>6148159.1900000004</v>
      </c>
      <c r="E808" s="5" t="str">
        <f>+IF(FINANCIACION[[#This Row],[$ CAPITAL]]&gt;=0,FINANCIACION[[#This Row],[$ CAPITAL]]+FINANCIACION[[#This Row],[$ INTERESES]],"")</f>
        <v/>
      </c>
      <c r="F808" s="5">
        <f>+SUMIFS(FINANCIACION[$ CAPITAL],FINANCIACION[Fecha],"&lt;="&amp;FINANCIACION[[#This Row],[Fecha]],FINANCIACION[PRESTAMO],FINANCIACION[[#This Row],[PRESTAMO]])</f>
        <v>-80206729.879999995</v>
      </c>
      <c r="G808" s="53" t="s">
        <v>295</v>
      </c>
      <c r="H808" s="53"/>
      <c r="I808" s="5" t="b">
        <f>IF(FINANCIACION[[#This Row],[$ CAPITAL]]&gt;0,FINANCIACION[[#This Row],[$ CAPITAL]])</f>
        <v>0</v>
      </c>
      <c r="J808" s="33">
        <f>IF(FINANCIACION[[#This Row],[$ CAPITAL]]&gt;=0,FINANCIACION[[#This Row],[$ CAPITAL]]+FINANCIACION[[#This Row],[$ INTERESES]],0)</f>
        <v>0</v>
      </c>
    </row>
    <row r="809" spans="1:10" ht="24" hidden="1" customHeight="1" x14ac:dyDescent="0.3">
      <c r="A809" s="131">
        <v>44525</v>
      </c>
      <c r="B809" s="50" t="s">
        <v>154</v>
      </c>
      <c r="C809" s="5">
        <v>9244400</v>
      </c>
      <c r="D809" s="5"/>
      <c r="E809" s="5">
        <f>+IF(FINANCIACION[[#This Row],[$ CAPITAL]]&gt;=0,FINANCIACION[[#This Row],[$ CAPITAL]]+FINANCIACION[[#This Row],[$ INTERESES]],"")</f>
        <v>9244400</v>
      </c>
      <c r="F809" s="5">
        <f>+SUMIFS(FINANCIACION[$ CAPITAL],FINANCIACION[Fecha],"&lt;="&amp;FINANCIACION[[#This Row],[Fecha]],FINANCIACION[PRESTAMO],FINANCIACION[[#This Row],[PRESTAMO]])</f>
        <v>13849001</v>
      </c>
      <c r="G809" s="53"/>
      <c r="H809" s="53"/>
      <c r="I809" s="5">
        <f>IF(FINANCIACION[[#This Row],[$ CAPITAL]]&gt;0,FINANCIACION[[#This Row],[$ CAPITAL]])</f>
        <v>9244400</v>
      </c>
      <c r="J809" s="33">
        <f>IF(FINANCIACION[[#This Row],[$ CAPITAL]]&gt;=0,FINANCIACION[[#This Row],[$ CAPITAL]]+FINANCIACION[[#This Row],[$ INTERESES]],0)</f>
        <v>9244400</v>
      </c>
    </row>
    <row r="810" spans="1:10" ht="24" hidden="1" customHeight="1" x14ac:dyDescent="0.3">
      <c r="A810" s="131">
        <v>44530</v>
      </c>
      <c r="B810" s="50" t="s">
        <v>146</v>
      </c>
      <c r="C810" s="5">
        <v>1468400</v>
      </c>
      <c r="D810" s="5">
        <v>419971</v>
      </c>
      <c r="E810" s="5">
        <f>+IF(FINANCIACION[[#This Row],[$ CAPITAL]]&gt;=0,FINANCIACION[[#This Row],[$ CAPITAL]]+FINANCIACION[[#This Row],[$ INTERESES]],"")</f>
        <v>1888371</v>
      </c>
      <c r="F810" s="5">
        <f>+SUMIFS(FINANCIACION[$ CAPITAL],FINANCIACION[Fecha],"&lt;="&amp;FINANCIACION[[#This Row],[Fecha]],FINANCIACION[PRESTAMO],FINANCIACION[[#This Row],[PRESTAMO]])</f>
        <v>-41115200</v>
      </c>
      <c r="G810" s="53"/>
      <c r="H810" s="53"/>
      <c r="I810" s="5">
        <f>IF(FINANCIACION[[#This Row],[$ CAPITAL]]&gt;0,FINANCIACION[[#This Row],[$ CAPITAL]])</f>
        <v>1468400</v>
      </c>
      <c r="J810" s="33">
        <f>IF(FINANCIACION[[#This Row],[$ CAPITAL]]&gt;=0,FINANCIACION[[#This Row],[$ CAPITAL]]+FINANCIACION[[#This Row],[$ INTERESES]],0)</f>
        <v>1888371</v>
      </c>
    </row>
    <row r="811" spans="1:10" ht="24" hidden="1" customHeight="1" x14ac:dyDescent="0.3">
      <c r="A811" s="131">
        <v>44530</v>
      </c>
      <c r="B811" s="50" t="s">
        <v>147</v>
      </c>
      <c r="C811" s="5">
        <v>76791</v>
      </c>
      <c r="D811" s="5"/>
      <c r="E811" s="5">
        <f>+IF(FINANCIACION[[#This Row],[$ CAPITAL]]&gt;=0,FINANCIACION[[#This Row],[$ CAPITAL]]+FINANCIACION[[#This Row],[$ INTERESES]],"")</f>
        <v>76791</v>
      </c>
      <c r="F811" s="5">
        <f>+SUMIFS(FINANCIACION[$ CAPITAL],FINANCIACION[Fecha],"&lt;="&amp;FINANCIACION[[#This Row],[Fecha]],FINANCIACION[PRESTAMO],FINANCIACION[[#This Row],[PRESTAMO]])</f>
        <v>-2150148</v>
      </c>
      <c r="G811" s="53"/>
      <c r="H811" s="53"/>
      <c r="I811" s="5">
        <f>IF(FINANCIACION[[#This Row],[$ CAPITAL]]&gt;0,FINANCIACION[[#This Row],[$ CAPITAL]])</f>
        <v>76791</v>
      </c>
      <c r="J811" s="33">
        <f>IF(FINANCIACION[[#This Row],[$ CAPITAL]]&gt;=0,FINANCIACION[[#This Row],[$ CAPITAL]]+FINANCIACION[[#This Row],[$ INTERESES]],0)</f>
        <v>76791</v>
      </c>
    </row>
    <row r="812" spans="1:10" ht="24" hidden="1" customHeight="1" x14ac:dyDescent="0.3">
      <c r="A812" s="131">
        <v>44530</v>
      </c>
      <c r="B812" s="50" t="s">
        <v>149</v>
      </c>
      <c r="C812" s="5">
        <v>-1637071.6799999997</v>
      </c>
      <c r="D812" s="5"/>
      <c r="E812" s="5" t="str">
        <f>+IF(FINANCIACION[[#This Row],[$ CAPITAL]]&gt;=0,FINANCIACION[[#This Row],[$ CAPITAL]]+FINANCIACION[[#This Row],[$ INTERESES]],"")</f>
        <v/>
      </c>
      <c r="F812" s="5">
        <f>+SUMIFS(FINANCIACION[$ CAPITAL],FINANCIACION[Fecha],"&lt;="&amp;FINANCIACION[[#This Row],[Fecha]],FINANCIACION[PRESTAMO],FINANCIACION[[#This Row],[PRESTAMO]])</f>
        <v>-67273414.350000009</v>
      </c>
      <c r="G812" s="53"/>
      <c r="H812" s="53"/>
      <c r="I812" s="5" t="b">
        <f>IF(FINANCIACION[[#This Row],[$ CAPITAL]]&gt;0,FINANCIACION[[#This Row],[$ CAPITAL]])</f>
        <v>0</v>
      </c>
      <c r="J812" s="33">
        <f>IF(FINANCIACION[[#This Row],[$ CAPITAL]]&gt;=0,FINANCIACION[[#This Row],[$ CAPITAL]]+FINANCIACION[[#This Row],[$ INTERESES]],0)</f>
        <v>0</v>
      </c>
    </row>
    <row r="813" spans="1:10" ht="24" hidden="1" customHeight="1" x14ac:dyDescent="0.3">
      <c r="A813" s="131">
        <v>44530</v>
      </c>
      <c r="B813" s="50" t="s">
        <v>206</v>
      </c>
      <c r="C813" s="5">
        <v>-1438457.2800000012</v>
      </c>
      <c r="D813" s="5"/>
      <c r="E813" s="5" t="str">
        <f>+IF(FINANCIACION[[#This Row],[$ CAPITAL]]&gt;=0,FINANCIACION[[#This Row],[$ CAPITAL]]+FINANCIACION[[#This Row],[$ INTERESES]],"")</f>
        <v/>
      </c>
      <c r="F813" s="5">
        <f>+SUMIFS(FINANCIACION[$ CAPITAL],FINANCIACION[Fecha],"&lt;="&amp;FINANCIACION[[#This Row],[Fecha]],FINANCIACION[PRESTAMO],FINANCIACION[[#This Row],[PRESTAMO]])</f>
        <v>-59111603.850000001</v>
      </c>
      <c r="G813" s="53"/>
      <c r="H813" s="53"/>
      <c r="I813" s="5" t="b">
        <f>IF(FINANCIACION[[#This Row],[$ CAPITAL]]&gt;0,FINANCIACION[[#This Row],[$ CAPITAL]])</f>
        <v>0</v>
      </c>
      <c r="J813" s="33">
        <f>IF(FINANCIACION[[#This Row],[$ CAPITAL]]&gt;=0,FINANCIACION[[#This Row],[$ CAPITAL]]+FINANCIACION[[#This Row],[$ INTERESES]],0)</f>
        <v>0</v>
      </c>
    </row>
    <row r="814" spans="1:10" ht="24" hidden="1" customHeight="1" x14ac:dyDescent="0.3">
      <c r="A814" s="131">
        <v>44530</v>
      </c>
      <c r="B814" s="50" t="s">
        <v>234</v>
      </c>
      <c r="C814" s="5">
        <v>-568994.87999999896</v>
      </c>
      <c r="D814" s="5"/>
      <c r="E814" s="5" t="str">
        <f>+IF(FINANCIACION[[#This Row],[$ CAPITAL]]&gt;=0,FINANCIACION[[#This Row],[$ CAPITAL]]+FINANCIACION[[#This Row],[$ INTERESES]],"")</f>
        <v/>
      </c>
      <c r="F814" s="5">
        <f>+SUMIFS(FINANCIACION[$ CAPITAL],FINANCIACION[Fecha],"&lt;="&amp;FINANCIACION[[#This Row],[Fecha]],FINANCIACION[PRESTAMO],FINANCIACION[[#This Row],[PRESTAMO]])</f>
        <v>-23382133.349999998</v>
      </c>
      <c r="G814" s="53"/>
      <c r="H814" s="53"/>
      <c r="I814" s="5" t="b">
        <f>IF(FINANCIACION[[#This Row],[$ CAPITAL]]&gt;0,FINANCIACION[[#This Row],[$ CAPITAL]])</f>
        <v>0</v>
      </c>
      <c r="J814" s="33">
        <f>IF(FINANCIACION[[#This Row],[$ CAPITAL]]&gt;=0,FINANCIACION[[#This Row],[$ CAPITAL]]+FINANCIACION[[#This Row],[$ INTERESES]],0)</f>
        <v>0</v>
      </c>
    </row>
    <row r="815" spans="1:10" ht="24" hidden="1" customHeight="1" x14ac:dyDescent="0.3">
      <c r="A815" s="131">
        <v>44530</v>
      </c>
      <c r="B815" s="50" t="s">
        <v>272</v>
      </c>
      <c r="C815" s="5">
        <v>-1314018.2400000021</v>
      </c>
      <c r="D815" s="5"/>
      <c r="E815" s="5" t="str">
        <f>+IF(FINANCIACION[[#This Row],[$ CAPITAL]]&gt;=0,FINANCIACION[[#This Row],[$ CAPITAL]]+FINANCIACION[[#This Row],[$ INTERESES]],"")</f>
        <v/>
      </c>
      <c r="F815" s="5">
        <f>+SUMIFS(FINANCIACION[$ CAPITAL],FINANCIACION[Fecha],"&lt;="&amp;FINANCIACION[[#This Row],[Fecha]],FINANCIACION[PRESTAMO],FINANCIACION[[#This Row],[PRESTAMO]])</f>
        <v>-53997937.050000004</v>
      </c>
      <c r="G815" s="53" t="s">
        <v>170</v>
      </c>
      <c r="H815" s="53"/>
      <c r="I815" s="5" t="b">
        <f>IF(FINANCIACION[[#This Row],[$ CAPITAL]]&gt;0,FINANCIACION[[#This Row],[$ CAPITAL]])</f>
        <v>0</v>
      </c>
      <c r="J815" s="33">
        <f>IF(FINANCIACION[[#This Row],[$ CAPITAL]]&gt;=0,FINANCIACION[[#This Row],[$ CAPITAL]]+FINANCIACION[[#This Row],[$ INTERESES]],0)</f>
        <v>0</v>
      </c>
    </row>
    <row r="816" spans="1:10" ht="24" hidden="1" customHeight="1" x14ac:dyDescent="0.3">
      <c r="A816" s="131">
        <v>44530</v>
      </c>
      <c r="B816" s="50" t="s">
        <v>150</v>
      </c>
      <c r="C816" s="5">
        <v>-41304.550000000745</v>
      </c>
      <c r="D816" s="5"/>
      <c r="E816" s="5" t="str">
        <f>+IF(FINANCIACION[[#This Row],[$ CAPITAL]]&gt;=0,FINANCIACION[[#This Row],[$ CAPITAL]]+FINANCIACION[[#This Row],[$ INTERESES]],"")</f>
        <v/>
      </c>
      <c r="F816" s="5">
        <f>+SUMIFS(FINANCIACION[$ CAPITAL],FINANCIACION[Fecha],"&lt;="&amp;FINANCIACION[[#This Row],[Fecha]],FINANCIACION[PRESTAMO],FINANCIACION[[#This Row],[PRESTAMO]])</f>
        <v>-22409126</v>
      </c>
      <c r="G816" s="53" t="s">
        <v>170</v>
      </c>
      <c r="H816" s="53"/>
      <c r="I816" s="5" t="b">
        <f>IF(FINANCIACION[[#This Row],[$ CAPITAL]]&gt;0,FINANCIACION[[#This Row],[$ CAPITAL]])</f>
        <v>0</v>
      </c>
      <c r="J816" s="33">
        <f>IF(FINANCIACION[[#This Row],[$ CAPITAL]]&gt;=0,FINANCIACION[[#This Row],[$ CAPITAL]]+FINANCIACION[[#This Row],[$ INTERESES]],0)</f>
        <v>0</v>
      </c>
    </row>
    <row r="817" spans="1:10" ht="24" hidden="1" customHeight="1" x14ac:dyDescent="0.3">
      <c r="A817" s="131">
        <v>44530</v>
      </c>
      <c r="B817" s="50" t="s">
        <v>1488</v>
      </c>
      <c r="C817" s="5">
        <v>568232</v>
      </c>
      <c r="D817" s="5"/>
      <c r="E817" s="5">
        <f>+IF(FINANCIACION[[#This Row],[$ CAPITAL]]&gt;=0,FINANCIACION[[#This Row],[$ CAPITAL]]+FINANCIACION[[#This Row],[$ INTERESES]],"")</f>
        <v>568232</v>
      </c>
      <c r="F817" s="5">
        <f>+SUMIFS(FINANCIACION[$ CAPITAL],FINANCIACION[Fecha],"&lt;="&amp;FINANCIACION[[#This Row],[Fecha]],FINANCIACION[PRESTAMO],FINANCIACION[[#This Row],[PRESTAMO]])</f>
        <v>0</v>
      </c>
      <c r="G817" s="7"/>
      <c r="H817" s="53"/>
      <c r="I817" s="5">
        <f>IF(FINANCIACION[[#This Row],[$ CAPITAL]]&gt;0,FINANCIACION[[#This Row],[$ CAPITAL]])</f>
        <v>568232</v>
      </c>
      <c r="J817" s="33">
        <f>IF(FINANCIACION[[#This Row],[$ CAPITAL]]&gt;=0,FINANCIACION[[#This Row],[$ CAPITAL]]+FINANCIACION[[#This Row],[$ INTERESES]],0)</f>
        <v>568232</v>
      </c>
    </row>
    <row r="818" spans="1:10" ht="24" hidden="1" customHeight="1" x14ac:dyDescent="0.3">
      <c r="A818" s="131">
        <v>44530</v>
      </c>
      <c r="B818" s="50" t="s">
        <v>1488</v>
      </c>
      <c r="C818" s="5">
        <v>-568232</v>
      </c>
      <c r="D818" s="5"/>
      <c r="E818" s="5" t="str">
        <f>+IF(FINANCIACION[[#This Row],[$ CAPITAL]]&gt;=0,FINANCIACION[[#This Row],[$ CAPITAL]]+FINANCIACION[[#This Row],[$ INTERESES]],"")</f>
        <v/>
      </c>
      <c r="F818" s="5">
        <f>+SUMIFS(FINANCIACION[$ CAPITAL],FINANCIACION[Fecha],"&lt;="&amp;FINANCIACION[[#This Row],[Fecha]],FINANCIACION[PRESTAMO],FINANCIACION[[#This Row],[PRESTAMO]])</f>
        <v>0</v>
      </c>
      <c r="G818" s="53" t="s">
        <v>170</v>
      </c>
      <c r="H818" s="53"/>
      <c r="I818" s="5" t="b">
        <f>IF(FINANCIACION[[#This Row],[$ CAPITAL]]&gt;0,FINANCIACION[[#This Row],[$ CAPITAL]])</f>
        <v>0</v>
      </c>
      <c r="J818" s="33">
        <f>IF(FINANCIACION[[#This Row],[$ CAPITAL]]&gt;=0,FINANCIACION[[#This Row],[$ CAPITAL]]+FINANCIACION[[#This Row],[$ INTERESES]],0)</f>
        <v>0</v>
      </c>
    </row>
    <row r="819" spans="1:10" ht="24" hidden="1" customHeight="1" x14ac:dyDescent="0.3">
      <c r="A819" s="131">
        <v>44530</v>
      </c>
      <c r="B819" s="50" t="s">
        <v>154</v>
      </c>
      <c r="C819" s="5">
        <v>-42540986</v>
      </c>
      <c r="D819" s="5"/>
      <c r="E819" s="5" t="str">
        <f>+IF(FINANCIACION[[#This Row],[$ CAPITAL]]&gt;=0,FINANCIACION[[#This Row],[$ CAPITAL]]+FINANCIACION[[#This Row],[$ INTERESES]],"")</f>
        <v/>
      </c>
      <c r="F819" s="5">
        <f>+SUMIFS(FINANCIACION[$ CAPITAL],FINANCIACION[Fecha],"&lt;="&amp;FINANCIACION[[#This Row],[Fecha]],FINANCIACION[PRESTAMO],FINANCIACION[[#This Row],[PRESTAMO]])</f>
        <v>-28691985</v>
      </c>
      <c r="G819" s="53" t="s">
        <v>170</v>
      </c>
      <c r="H819" s="53"/>
      <c r="I819" s="5" t="b">
        <f>IF(FINANCIACION[[#This Row],[$ CAPITAL]]&gt;0,FINANCIACION[[#This Row],[$ CAPITAL]])</f>
        <v>0</v>
      </c>
      <c r="J819" s="33">
        <f>IF(FINANCIACION[[#This Row],[$ CAPITAL]]&gt;=0,FINANCIACION[[#This Row],[$ CAPITAL]]+FINANCIACION[[#This Row],[$ INTERESES]],0)</f>
        <v>0</v>
      </c>
    </row>
    <row r="820" spans="1:10" ht="24" hidden="1" customHeight="1" x14ac:dyDescent="0.3">
      <c r="A820" s="131">
        <v>44530</v>
      </c>
      <c r="B820" s="50" t="s">
        <v>155</v>
      </c>
      <c r="C820" s="5">
        <v>-454357</v>
      </c>
      <c r="D820" s="5"/>
      <c r="E820" s="5" t="str">
        <f>+IF(FINANCIACION[[#This Row],[$ CAPITAL]]&gt;=0,FINANCIACION[[#This Row],[$ CAPITAL]]+FINANCIACION[[#This Row],[$ INTERESES]],"")</f>
        <v/>
      </c>
      <c r="F820" s="5">
        <f>+SUMIFS(FINANCIACION[$ CAPITAL],FINANCIACION[Fecha],"&lt;="&amp;FINANCIACION[[#This Row],[Fecha]],FINANCIACION[PRESTAMO],FINANCIACION[[#This Row],[PRESTAMO]])</f>
        <v>-454357</v>
      </c>
      <c r="G820" s="53" t="s">
        <v>170</v>
      </c>
      <c r="H820" s="53"/>
      <c r="I820" s="5" t="b">
        <f>IF(FINANCIACION[[#This Row],[$ CAPITAL]]&gt;0,FINANCIACION[[#This Row],[$ CAPITAL]])</f>
        <v>0</v>
      </c>
      <c r="J820" s="33">
        <f>IF(FINANCIACION[[#This Row],[$ CAPITAL]]&gt;=0,FINANCIACION[[#This Row],[$ CAPITAL]]+FINANCIACION[[#This Row],[$ INTERESES]],0)</f>
        <v>0</v>
      </c>
    </row>
    <row r="821" spans="1:10" ht="24" hidden="1" customHeight="1" x14ac:dyDescent="0.3">
      <c r="A821" s="131">
        <v>44531</v>
      </c>
      <c r="B821" s="50" t="s">
        <v>549</v>
      </c>
      <c r="C821" s="5">
        <v>-30000000</v>
      </c>
      <c r="D821" s="5"/>
      <c r="E821" s="5" t="str">
        <f>+IF(FINANCIACION[[#This Row],[$ CAPITAL]]&gt;=0,FINANCIACION[[#This Row],[$ CAPITAL]]+FINANCIACION[[#This Row],[$ INTERESES]],"")</f>
        <v/>
      </c>
      <c r="F821" s="5">
        <f>+SUMIFS(FINANCIACION[$ CAPITAL],FINANCIACION[Fecha],"&lt;="&amp;FINANCIACION[[#This Row],[Fecha]],FINANCIACION[PRESTAMO],FINANCIACION[[#This Row],[PRESTAMO]])</f>
        <v>-30000000</v>
      </c>
      <c r="G821" s="53"/>
      <c r="H821" s="53"/>
      <c r="I821" s="5" t="b">
        <f>IF(FINANCIACION[[#This Row],[$ CAPITAL]]&gt;0,FINANCIACION[[#This Row],[$ CAPITAL]])</f>
        <v>0</v>
      </c>
      <c r="J821" s="33">
        <f>IF(FINANCIACION[[#This Row],[$ CAPITAL]]&gt;=0,FINANCIACION[[#This Row],[$ CAPITAL]]+FINANCIACION[[#This Row],[$ INTERESES]],0)</f>
        <v>0</v>
      </c>
    </row>
    <row r="822" spans="1:10" ht="24" hidden="1" customHeight="1" x14ac:dyDescent="0.3">
      <c r="A822" s="131">
        <v>44531</v>
      </c>
      <c r="B822" s="50" t="s">
        <v>149</v>
      </c>
      <c r="C822" s="5">
        <v>30376000</v>
      </c>
      <c r="D822" s="5"/>
      <c r="E822" s="5">
        <f>+IF(FINANCIACION[[#This Row],[$ CAPITAL]]&gt;=0,FINANCIACION[[#This Row],[$ CAPITAL]]+FINANCIACION[[#This Row],[$ INTERESES]],"")</f>
        <v>30376000</v>
      </c>
      <c r="F822" s="5">
        <f>+SUMIFS(FINANCIACION[$ CAPITAL],FINANCIACION[Fecha],"&lt;="&amp;FINANCIACION[[#This Row],[Fecha]],FINANCIACION[PRESTAMO],FINANCIACION[[#This Row],[PRESTAMO]])</f>
        <v>-1637071.68</v>
      </c>
      <c r="G822" s="53"/>
      <c r="H822" s="53">
        <v>8000</v>
      </c>
      <c r="I822" s="5">
        <f>IF(FINANCIACION[[#This Row],[$ CAPITAL]]&gt;0,FINANCIACION[[#This Row],[$ CAPITAL]])</f>
        <v>30376000</v>
      </c>
      <c r="J822" s="33">
        <f>IF(FINANCIACION[[#This Row],[$ CAPITAL]]&gt;=0,FINANCIACION[[#This Row],[$ CAPITAL]]+FINANCIACION[[#This Row],[$ INTERESES]],0)</f>
        <v>30376000</v>
      </c>
    </row>
    <row r="823" spans="1:10" ht="24" hidden="1" customHeight="1" x14ac:dyDescent="0.3">
      <c r="A823" s="131">
        <v>44531</v>
      </c>
      <c r="B823" s="50" t="s">
        <v>149</v>
      </c>
      <c r="C823" s="5">
        <v>35817522</v>
      </c>
      <c r="D823" s="5"/>
      <c r="E823" s="5">
        <f>+IF(FINANCIACION[[#This Row],[$ CAPITAL]]&gt;=0,FINANCIACION[[#This Row],[$ CAPITAL]]+FINANCIACION[[#This Row],[$ INTERESES]],"")</f>
        <v>35817522</v>
      </c>
      <c r="F823" s="5">
        <f>+SUMIFS(FINANCIACION[$ CAPITAL],FINANCIACION[Fecha],"&lt;="&amp;FINANCIACION[[#This Row],[Fecha]],FINANCIACION[PRESTAMO],FINANCIACION[[#This Row],[PRESTAMO]])</f>
        <v>-1637071.68</v>
      </c>
      <c r="G823" s="53"/>
      <c r="H823" s="53">
        <v>9052.83</v>
      </c>
      <c r="I823" s="5">
        <f>IF(FINANCIACION[[#This Row],[$ CAPITAL]]&gt;0,FINANCIACION[[#This Row],[$ CAPITAL]])</f>
        <v>35817522</v>
      </c>
      <c r="J823" s="33">
        <f>IF(FINANCIACION[[#This Row],[$ CAPITAL]]&gt;=0,FINANCIACION[[#This Row],[$ CAPITAL]]+FINANCIACION[[#This Row],[$ INTERESES]],0)</f>
        <v>35817522</v>
      </c>
    </row>
    <row r="824" spans="1:10" ht="24" hidden="1" customHeight="1" x14ac:dyDescent="0.3">
      <c r="A824" s="131">
        <v>44531</v>
      </c>
      <c r="B824" s="50" t="s">
        <v>149</v>
      </c>
      <c r="C824" s="52">
        <v>-557179.32999999099</v>
      </c>
      <c r="D824" s="5"/>
      <c r="E824" s="5" t="str">
        <f>+IF(FINANCIACION[[#This Row],[$ CAPITAL]]&gt;=0,FINANCIACION[[#This Row],[$ CAPITAL]]+FINANCIACION[[#This Row],[$ INTERESES]],"")</f>
        <v/>
      </c>
      <c r="F824" s="5">
        <f>+SUMIFS(FINANCIACION[$ CAPITAL],FINANCIACION[Fecha],"&lt;="&amp;FINANCIACION[[#This Row],[Fecha]],FINANCIACION[PRESTAMO],FINANCIACION[[#This Row],[PRESTAMO]])</f>
        <v>-1637071.68</v>
      </c>
      <c r="G824" s="53" t="s">
        <v>170</v>
      </c>
      <c r="H824" s="53"/>
      <c r="I824" s="5" t="b">
        <f>IF(FINANCIACION[[#This Row],[$ CAPITAL]]&gt;0,FINANCIACION[[#This Row],[$ CAPITAL]])</f>
        <v>0</v>
      </c>
      <c r="J824" s="33">
        <f>IF(FINANCIACION[[#This Row],[$ CAPITAL]]&gt;=0,FINANCIACION[[#This Row],[$ CAPITAL]]+FINANCIACION[[#This Row],[$ INTERESES]],0)</f>
        <v>0</v>
      </c>
    </row>
    <row r="825" spans="1:10" ht="24" hidden="1" customHeight="1" x14ac:dyDescent="0.3">
      <c r="A825" s="131">
        <v>44536</v>
      </c>
      <c r="B825" s="50" t="s">
        <v>154</v>
      </c>
      <c r="C825" s="5">
        <v>11844990</v>
      </c>
      <c r="D825" s="5"/>
      <c r="E825" s="5">
        <f>+IF(FINANCIACION[[#This Row],[$ CAPITAL]]&gt;=0,FINANCIACION[[#This Row],[$ CAPITAL]]+FINANCIACION[[#This Row],[$ INTERESES]],"")</f>
        <v>11844990</v>
      </c>
      <c r="F825" s="5">
        <f>+SUMIFS(FINANCIACION[$ CAPITAL],FINANCIACION[Fecha],"&lt;="&amp;FINANCIACION[[#This Row],[Fecha]],FINANCIACION[PRESTAMO],FINANCIACION[[#This Row],[PRESTAMO]])</f>
        <v>-16846995</v>
      </c>
      <c r="G825" s="53"/>
      <c r="H825" s="53"/>
      <c r="I825" s="5">
        <f>IF(FINANCIACION[[#This Row],[$ CAPITAL]]&gt;0,FINANCIACION[[#This Row],[$ CAPITAL]])</f>
        <v>11844990</v>
      </c>
      <c r="J825" s="33">
        <f>IF(FINANCIACION[[#This Row],[$ CAPITAL]]&gt;=0,FINANCIACION[[#This Row],[$ CAPITAL]]+FINANCIACION[[#This Row],[$ INTERESES]],0)</f>
        <v>11844990</v>
      </c>
    </row>
    <row r="826" spans="1:10" ht="24" hidden="1" customHeight="1" x14ac:dyDescent="0.3">
      <c r="A826" s="131">
        <v>44536</v>
      </c>
      <c r="B826" s="50" t="s">
        <v>155</v>
      </c>
      <c r="C826" s="5">
        <v>454357</v>
      </c>
      <c r="D826" s="5"/>
      <c r="E826" s="5">
        <f>+IF(FINANCIACION[[#This Row],[$ CAPITAL]]&gt;=0,FINANCIACION[[#This Row],[$ CAPITAL]]+FINANCIACION[[#This Row],[$ INTERESES]],"")</f>
        <v>454357</v>
      </c>
      <c r="F826" s="5">
        <f>+SUMIFS(FINANCIACION[$ CAPITAL],FINANCIACION[Fecha],"&lt;="&amp;FINANCIACION[[#This Row],[Fecha]],FINANCIACION[PRESTAMO],FINANCIACION[[#This Row],[PRESTAMO]])</f>
        <v>0</v>
      </c>
      <c r="G826" s="53"/>
      <c r="H826" s="53"/>
      <c r="I826" s="5">
        <f>IF(FINANCIACION[[#This Row],[$ CAPITAL]]&gt;0,FINANCIACION[[#This Row],[$ CAPITAL]])</f>
        <v>454357</v>
      </c>
      <c r="J826" s="33">
        <f>IF(FINANCIACION[[#This Row],[$ CAPITAL]]&gt;=0,FINANCIACION[[#This Row],[$ CAPITAL]]+FINANCIACION[[#This Row],[$ INTERESES]],0)</f>
        <v>454357</v>
      </c>
    </row>
    <row r="827" spans="1:10" ht="24" hidden="1" customHeight="1" x14ac:dyDescent="0.3">
      <c r="A827" s="131">
        <v>44537</v>
      </c>
      <c r="B827" s="50" t="s">
        <v>150</v>
      </c>
      <c r="C827" s="5">
        <v>6326000</v>
      </c>
      <c r="D827" s="5">
        <v>164148.5700000003</v>
      </c>
      <c r="E827" s="5">
        <f>+IF(FINANCIACION[[#This Row],[$ CAPITAL]]&gt;=0,FINANCIACION[[#This Row],[$ CAPITAL]]+FINANCIACION[[#This Row],[$ INTERESES]],"")</f>
        <v>6490148.5700000003</v>
      </c>
      <c r="F827" s="5">
        <f>+SUMIFS(FINANCIACION[$ CAPITAL],FINANCIACION[Fecha],"&lt;="&amp;FINANCIACION[[#This Row],[Fecha]],FINANCIACION[PRESTAMO],FINANCIACION[[#This Row],[PRESTAMO]])</f>
        <v>-16083126</v>
      </c>
      <c r="G827" s="53"/>
      <c r="H827" s="53"/>
      <c r="I827" s="5">
        <f>IF(FINANCIACION[[#This Row],[$ CAPITAL]]&gt;0,FINANCIACION[[#This Row],[$ CAPITAL]])</f>
        <v>6326000</v>
      </c>
      <c r="J827" s="33">
        <f>IF(FINANCIACION[[#This Row],[$ CAPITAL]]&gt;=0,FINANCIACION[[#This Row],[$ CAPITAL]]+FINANCIACION[[#This Row],[$ INTERESES]],0)</f>
        <v>6490148.5700000003</v>
      </c>
    </row>
    <row r="828" spans="1:10" ht="24" hidden="1" customHeight="1" x14ac:dyDescent="0.3">
      <c r="A828" s="131">
        <v>44539</v>
      </c>
      <c r="B828" s="50" t="s">
        <v>543</v>
      </c>
      <c r="C828" s="5"/>
      <c r="D828" s="5">
        <v>130000</v>
      </c>
      <c r="E828" s="5">
        <f>+IF(FINANCIACION[[#This Row],[$ CAPITAL]]&gt;=0,FINANCIACION[[#This Row],[$ CAPITAL]]+FINANCIACION[[#This Row],[$ INTERESES]],"")</f>
        <v>130000</v>
      </c>
      <c r="F828" s="5">
        <f>+SUMIFS(FINANCIACION[$ CAPITAL],FINANCIACION[Fecha],"&lt;="&amp;FINANCIACION[[#This Row],[Fecha]],FINANCIACION[PRESTAMO],FINANCIACION[[#This Row],[PRESTAMO]])</f>
        <v>-13000000</v>
      </c>
      <c r="G828" s="53"/>
      <c r="H828" s="53"/>
      <c r="I828" s="5" t="b">
        <f>IF(FINANCIACION[[#This Row],[$ CAPITAL]]&gt;0,FINANCIACION[[#This Row],[$ CAPITAL]])</f>
        <v>0</v>
      </c>
      <c r="J828" s="33">
        <f>IF(FINANCIACION[[#This Row],[$ CAPITAL]]&gt;=0,FINANCIACION[[#This Row],[$ CAPITAL]]+FINANCIACION[[#This Row],[$ INTERESES]],0)</f>
        <v>130000</v>
      </c>
    </row>
    <row r="829" spans="1:10" ht="24" hidden="1" customHeight="1" x14ac:dyDescent="0.3">
      <c r="A829" s="131">
        <v>44539</v>
      </c>
      <c r="B829" s="50" t="s">
        <v>547</v>
      </c>
      <c r="C829" s="5"/>
      <c r="D829" s="5">
        <v>400000</v>
      </c>
      <c r="E829" s="5">
        <f>+IF(FINANCIACION[[#This Row],[$ CAPITAL]]&gt;=0,FINANCIACION[[#This Row],[$ CAPITAL]]+FINANCIACION[[#This Row],[$ INTERESES]],"")</f>
        <v>400000</v>
      </c>
      <c r="F829" s="5">
        <f>+SUMIFS(FINANCIACION[$ CAPITAL],FINANCIACION[Fecha],"&lt;="&amp;FINANCIACION[[#This Row],[Fecha]],FINANCIACION[PRESTAMO],FINANCIACION[[#This Row],[PRESTAMO]])</f>
        <v>-40000000</v>
      </c>
      <c r="G829" s="53"/>
      <c r="H829" s="53"/>
      <c r="I829" s="5" t="b">
        <f>IF(FINANCIACION[[#This Row],[$ CAPITAL]]&gt;0,FINANCIACION[[#This Row],[$ CAPITAL]])</f>
        <v>0</v>
      </c>
      <c r="J829" s="33">
        <f>IF(FINANCIACION[[#This Row],[$ CAPITAL]]&gt;=0,FINANCIACION[[#This Row],[$ CAPITAL]]+FINANCIACION[[#This Row],[$ INTERESES]],0)</f>
        <v>400000</v>
      </c>
    </row>
    <row r="830" spans="1:10" ht="24" hidden="1" customHeight="1" x14ac:dyDescent="0.3">
      <c r="A830" s="131">
        <v>44539</v>
      </c>
      <c r="B830" s="50" t="s">
        <v>532</v>
      </c>
      <c r="C830" s="5">
        <v>1965180.7323691447</v>
      </c>
      <c r="D830" s="5">
        <v>712197.26763085532</v>
      </c>
      <c r="E830" s="5">
        <f>+IF(FINANCIACION[[#This Row],[$ CAPITAL]]&gt;=0,FINANCIACION[[#This Row],[$ CAPITAL]]+FINANCIACION[[#This Row],[$ INTERESES]],"")</f>
        <v>2677378</v>
      </c>
      <c r="F830" s="5">
        <f>+SUMIFS(FINANCIACION[$ CAPITAL],FINANCIACION[Fecha],"&lt;="&amp;FINANCIACION[[#This Row],[Fecha]],FINANCIACION[PRESTAMO],FINANCIACION[[#This Row],[PRESTAMO]])</f>
        <v>-69254546.030716389</v>
      </c>
      <c r="G830" s="53"/>
      <c r="H830" s="53"/>
      <c r="I830" s="5">
        <f>IF(FINANCIACION[[#This Row],[$ CAPITAL]]&gt;0,FINANCIACION[[#This Row],[$ CAPITAL]])</f>
        <v>1965180.7323691447</v>
      </c>
      <c r="J830" s="33">
        <f>IF(FINANCIACION[[#This Row],[$ CAPITAL]]&gt;=0,FINANCIACION[[#This Row],[$ CAPITAL]]+FINANCIACION[[#This Row],[$ INTERESES]],0)</f>
        <v>2677378</v>
      </c>
    </row>
    <row r="831" spans="1:10" ht="24" hidden="1" customHeight="1" x14ac:dyDescent="0.3">
      <c r="A831" s="131">
        <v>44539</v>
      </c>
      <c r="B831" s="50" t="s">
        <v>536</v>
      </c>
      <c r="C831" s="5">
        <v>757133.40857515368</v>
      </c>
      <c r="D831" s="5">
        <v>542866.59142484632</v>
      </c>
      <c r="E831" s="5">
        <f>+IF(FINANCIACION[[#This Row],[$ CAPITAL]]&gt;=0,FINANCIACION[[#This Row],[$ CAPITAL]]+FINANCIACION[[#This Row],[$ INTERESES]],"")</f>
        <v>1300000</v>
      </c>
      <c r="F831" s="5">
        <f>+SUMIFS(FINANCIACION[$ CAPITAL],FINANCIACION[Fecha],"&lt;="&amp;FINANCIACION[[#This Row],[Fecha]],FINANCIACION[PRESTAMO],FINANCIACION[[#This Row],[PRESTAMO]])</f>
        <v>-53529525.772102699</v>
      </c>
      <c r="G831" s="53"/>
      <c r="H831" s="53"/>
      <c r="I831" s="5">
        <f>IF(FINANCIACION[[#This Row],[$ CAPITAL]]&gt;0,FINANCIACION[[#This Row],[$ CAPITAL]])</f>
        <v>757133.40857515368</v>
      </c>
      <c r="J831" s="33">
        <f>IF(FINANCIACION[[#This Row],[$ CAPITAL]]&gt;=0,FINANCIACION[[#This Row],[$ CAPITAL]]+FINANCIACION[[#This Row],[$ INTERESES]],0)</f>
        <v>1300000</v>
      </c>
    </row>
    <row r="832" spans="1:10" ht="24" hidden="1" customHeight="1" x14ac:dyDescent="0.3">
      <c r="A832" s="131">
        <v>44539</v>
      </c>
      <c r="B832" s="50" t="s">
        <v>533</v>
      </c>
      <c r="C832" s="5">
        <v>491268.22010953247</v>
      </c>
      <c r="D832" s="5">
        <v>708731.77989046753</v>
      </c>
      <c r="E832" s="5">
        <f>+IF(FINANCIACION[[#This Row],[$ CAPITAL]]&gt;=0,FINANCIACION[[#This Row],[$ CAPITAL]]+FINANCIACION[[#This Row],[$ INTERESES]],"")</f>
        <v>1200000</v>
      </c>
      <c r="F832" s="5">
        <f>+SUMIFS(FINANCIACION[$ CAPITAL],FINANCIACION[Fecha],"&lt;="&amp;FINANCIACION[[#This Row],[Fecha]],FINANCIACION[PRESTAMO],FINANCIACION[[#This Row],[PRESTAMO]])</f>
        <v>-70552597.628937215</v>
      </c>
      <c r="G832" s="53"/>
      <c r="H832" s="53"/>
      <c r="I832" s="5">
        <f>IF(FINANCIACION[[#This Row],[$ CAPITAL]]&gt;0,FINANCIACION[[#This Row],[$ CAPITAL]])</f>
        <v>491268.22010953247</v>
      </c>
      <c r="J832" s="33">
        <f>IF(FINANCIACION[[#This Row],[$ CAPITAL]]&gt;=0,FINANCIACION[[#This Row],[$ CAPITAL]]+FINANCIACION[[#This Row],[$ INTERESES]],0)</f>
        <v>1200000</v>
      </c>
    </row>
    <row r="833" spans="1:10" ht="24" hidden="1" customHeight="1" x14ac:dyDescent="0.3">
      <c r="A833" s="131">
        <v>44539</v>
      </c>
      <c r="B833" s="50" t="s">
        <v>545</v>
      </c>
      <c r="C833" s="5"/>
      <c r="D833" s="5">
        <v>120000</v>
      </c>
      <c r="E833" s="5">
        <f>+IF(FINANCIACION[[#This Row],[$ CAPITAL]]&gt;=0,FINANCIACION[[#This Row],[$ CAPITAL]]+FINANCIACION[[#This Row],[$ INTERESES]],"")</f>
        <v>120000</v>
      </c>
      <c r="F833" s="5">
        <f>+SUMIFS(FINANCIACION[$ CAPITAL],FINANCIACION[Fecha],"&lt;="&amp;FINANCIACION[[#This Row],[Fecha]],FINANCIACION[PRESTAMO],FINANCIACION[[#This Row],[PRESTAMO]])</f>
        <v>-12000000</v>
      </c>
      <c r="G833" s="53"/>
      <c r="H833" s="53"/>
      <c r="I833" s="5" t="b">
        <f>IF(FINANCIACION[[#This Row],[$ CAPITAL]]&gt;0,FINANCIACION[[#This Row],[$ CAPITAL]])</f>
        <v>0</v>
      </c>
      <c r="J833" s="33">
        <f>IF(FINANCIACION[[#This Row],[$ CAPITAL]]&gt;=0,FINANCIACION[[#This Row],[$ CAPITAL]]+FINANCIACION[[#This Row],[$ INTERESES]],0)</f>
        <v>120000</v>
      </c>
    </row>
    <row r="834" spans="1:10" ht="24" hidden="1" customHeight="1" x14ac:dyDescent="0.3">
      <c r="A834" s="131">
        <v>44544</v>
      </c>
      <c r="B834" s="50" t="s">
        <v>546</v>
      </c>
      <c r="C834" s="5">
        <v>1173610.8600000031</v>
      </c>
      <c r="D834" s="5">
        <v>46389.139999996871</v>
      </c>
      <c r="E834" s="5">
        <f>+IF(FINANCIACION[[#This Row],[$ CAPITAL]]&gt;=0,FINANCIACION[[#This Row],[$ CAPITAL]]+FINANCIACION[[#This Row],[$ INTERESES]],"")</f>
        <v>1220000</v>
      </c>
      <c r="F834" s="5">
        <f>+SUMIFS(FINANCIACION[$ CAPITAL],FINANCIACION[Fecha],"&lt;="&amp;FINANCIACION[[#This Row],[Fecha]],FINANCIACION[PRESTAMO],FINANCIACION[[#This Row],[PRESTAMO]])</f>
        <v>-17706924.239999998</v>
      </c>
      <c r="G834" s="53"/>
      <c r="H834" s="53"/>
      <c r="I834" s="5">
        <f>IF(FINANCIACION[[#This Row],[$ CAPITAL]]&gt;0,FINANCIACION[[#This Row],[$ CAPITAL]])</f>
        <v>1173610.8600000031</v>
      </c>
      <c r="J834" s="33">
        <f>IF(FINANCIACION[[#This Row],[$ CAPITAL]]&gt;=0,FINANCIACION[[#This Row],[$ CAPITAL]]+FINANCIACION[[#This Row],[$ INTERESES]],0)</f>
        <v>1220000</v>
      </c>
    </row>
    <row r="835" spans="1:10" ht="24" hidden="1" customHeight="1" x14ac:dyDescent="0.3">
      <c r="A835" s="131">
        <v>44544</v>
      </c>
      <c r="B835" s="50" t="s">
        <v>540</v>
      </c>
      <c r="C835" s="5">
        <v>940063.25999999791</v>
      </c>
      <c r="D835" s="5">
        <v>39936.740000002086</v>
      </c>
      <c r="E835" s="5">
        <f>+IF(FINANCIACION[[#This Row],[$ CAPITAL]]&gt;=0,FINANCIACION[[#This Row],[$ CAPITAL]]+FINANCIACION[[#This Row],[$ INTERESES]],"")</f>
        <v>980000</v>
      </c>
      <c r="F835" s="5">
        <f>+SUMIFS(FINANCIACION[$ CAPITAL],FINANCIACION[Fecha],"&lt;="&amp;FINANCIACION[[#This Row],[Fecha]],FINANCIACION[PRESTAMO],FINANCIACION[[#This Row],[PRESTAMO]])</f>
        <v>-15625187.190000009</v>
      </c>
      <c r="G835" s="53"/>
      <c r="H835" s="53"/>
      <c r="I835" s="5">
        <f>IF(FINANCIACION[[#This Row],[$ CAPITAL]]&gt;0,FINANCIACION[[#This Row],[$ CAPITAL]])</f>
        <v>940063.25999999791</v>
      </c>
      <c r="J835" s="33">
        <f>IF(FINANCIACION[[#This Row],[$ CAPITAL]]&gt;=0,FINANCIACION[[#This Row],[$ CAPITAL]]+FINANCIACION[[#This Row],[$ INTERESES]],0)</f>
        <v>980000</v>
      </c>
    </row>
    <row r="836" spans="1:10" ht="24" hidden="1" customHeight="1" x14ac:dyDescent="0.3">
      <c r="A836" s="131">
        <v>44544</v>
      </c>
      <c r="B836" s="50" t="s">
        <v>548</v>
      </c>
      <c r="C836" s="5">
        <v>345651.39999999106</v>
      </c>
      <c r="D836" s="5">
        <v>172348.60000000894</v>
      </c>
      <c r="E836" s="5">
        <f>+IF(FINANCIACION[[#This Row],[$ CAPITAL]]&gt;=0,FINANCIACION[[#This Row],[$ CAPITAL]]+FINANCIACION[[#This Row],[$ INTERESES]],"")</f>
        <v>518000</v>
      </c>
      <c r="F836" s="5">
        <f>+SUMIFS(FINANCIACION[$ CAPITAL],FINANCIACION[Fecha],"&lt;="&amp;FINANCIACION[[#This Row],[Fecha]],FINANCIACION[PRESTAMO],FINANCIACION[[#This Row],[PRESTAMO]])</f>
        <v>-79861078.480000004</v>
      </c>
      <c r="G836" s="53"/>
      <c r="H836" s="53"/>
      <c r="I836" s="5">
        <f>IF(FINANCIACION[[#This Row],[$ CAPITAL]]&gt;0,FINANCIACION[[#This Row],[$ CAPITAL]])</f>
        <v>345651.39999999106</v>
      </c>
      <c r="J836" s="33">
        <f>IF(FINANCIACION[[#This Row],[$ CAPITAL]]&gt;=0,FINANCIACION[[#This Row],[$ CAPITAL]]+FINANCIACION[[#This Row],[$ INTERESES]],0)</f>
        <v>518000</v>
      </c>
    </row>
    <row r="837" spans="1:10" ht="24" hidden="1" customHeight="1" x14ac:dyDescent="0.3">
      <c r="A837" s="131">
        <v>44544</v>
      </c>
      <c r="B837" s="50" t="s">
        <v>542</v>
      </c>
      <c r="C837" s="5">
        <v>988960.98000000045</v>
      </c>
      <c r="D837" s="5">
        <v>44039.019999999553</v>
      </c>
      <c r="E837" s="5">
        <f>+IF(FINANCIACION[[#This Row],[$ CAPITAL]]&gt;=0,FINANCIACION[[#This Row],[$ CAPITAL]]+FINANCIACION[[#This Row],[$ INTERESES]],"")</f>
        <v>1033000</v>
      </c>
      <c r="F837" s="5">
        <f>+SUMIFS(FINANCIACION[$ CAPITAL],FINANCIACION[Fecha],"&lt;="&amp;FINANCIACION[[#This Row],[Fecha]],FINANCIACION[PRESTAMO],FINANCIACION[[#This Row],[PRESTAMO]])</f>
        <v>-17261167.520000003</v>
      </c>
      <c r="G837" s="53"/>
      <c r="H837" s="53"/>
      <c r="I837" s="5">
        <f>IF(FINANCIACION[[#This Row],[$ CAPITAL]]&gt;0,FINANCIACION[[#This Row],[$ CAPITAL]])</f>
        <v>988960.98000000045</v>
      </c>
      <c r="J837" s="33">
        <f>IF(FINANCIACION[[#This Row],[$ CAPITAL]]&gt;=0,FINANCIACION[[#This Row],[$ CAPITAL]]+FINANCIACION[[#This Row],[$ INTERESES]],0)</f>
        <v>1033000</v>
      </c>
    </row>
    <row r="838" spans="1:10" ht="24" hidden="1" customHeight="1" x14ac:dyDescent="0.3">
      <c r="A838" s="131">
        <v>44544</v>
      </c>
      <c r="B838" s="50" t="s">
        <v>538</v>
      </c>
      <c r="C838" s="5">
        <v>2379867.6799999997</v>
      </c>
      <c r="D838" s="5">
        <v>99132.320000000298</v>
      </c>
      <c r="E838" s="5">
        <f>+IF(FINANCIACION[[#This Row],[$ CAPITAL]]&gt;=0,FINANCIACION[[#This Row],[$ CAPITAL]]+FINANCIACION[[#This Row],[$ INTERESES]],"")</f>
        <v>2479000</v>
      </c>
      <c r="F838" s="5">
        <f>+SUMIFS(FINANCIACION[$ CAPITAL],FINANCIACION[Fecha],"&lt;="&amp;FINANCIACION[[#This Row],[Fecha]],FINANCIACION[PRESTAMO],FINANCIACION[[#This Row],[PRESTAMO]])</f>
        <v>-37926967.32</v>
      </c>
      <c r="G838" s="53"/>
      <c r="H838" s="53"/>
      <c r="I838" s="5">
        <f>IF(FINANCIACION[[#This Row],[$ CAPITAL]]&gt;0,FINANCIACION[[#This Row],[$ CAPITAL]])</f>
        <v>2379867.6799999997</v>
      </c>
      <c r="J838" s="33">
        <f>IF(FINANCIACION[[#This Row],[$ CAPITAL]]&gt;=0,FINANCIACION[[#This Row],[$ CAPITAL]]+FINANCIACION[[#This Row],[$ INTERESES]],0)</f>
        <v>2479000</v>
      </c>
    </row>
    <row r="839" spans="1:10" ht="24" hidden="1" customHeight="1" x14ac:dyDescent="0.3">
      <c r="A839" s="131">
        <v>44544</v>
      </c>
      <c r="B839" s="50" t="s">
        <v>539</v>
      </c>
      <c r="C839" s="5">
        <v>3485285.1499999985</v>
      </c>
      <c r="D839" s="5">
        <v>158714.85000000149</v>
      </c>
      <c r="E839" s="5">
        <f>+IF(FINANCIACION[[#This Row],[$ CAPITAL]]&gt;=0,FINANCIACION[[#This Row],[$ CAPITAL]]+FINANCIACION[[#This Row],[$ INTERESES]],"")</f>
        <v>3644000</v>
      </c>
      <c r="F839" s="5">
        <f>+SUMIFS(FINANCIACION[$ CAPITAL],FINANCIACION[Fecha],"&lt;="&amp;FINANCIACION[[#This Row],[Fecha]],FINANCIACION[PRESTAMO],FINANCIACION[[#This Row],[PRESTAMO]])</f>
        <v>-54781379.420000002</v>
      </c>
      <c r="G839" s="53"/>
      <c r="H839" s="53"/>
      <c r="I839" s="5">
        <f>IF(FINANCIACION[[#This Row],[$ CAPITAL]]&gt;0,FINANCIACION[[#This Row],[$ CAPITAL]])</f>
        <v>3485285.1499999985</v>
      </c>
      <c r="J839" s="33">
        <f>IF(FINANCIACION[[#This Row],[$ CAPITAL]]&gt;=0,FINANCIACION[[#This Row],[$ CAPITAL]]+FINANCIACION[[#This Row],[$ INTERESES]],0)</f>
        <v>3644000</v>
      </c>
    </row>
    <row r="840" spans="1:10" ht="24" hidden="1" customHeight="1" x14ac:dyDescent="0.3">
      <c r="A840" s="131">
        <v>44544</v>
      </c>
      <c r="B840" s="50" t="s">
        <v>534</v>
      </c>
      <c r="C840" s="5">
        <v>4796627</v>
      </c>
      <c r="D840" s="5">
        <v>1182312</v>
      </c>
      <c r="E840" s="5">
        <f>+IF(FINANCIACION[[#This Row],[$ CAPITAL]]&gt;=0,FINANCIACION[[#This Row],[$ CAPITAL]]+FINANCIACION[[#This Row],[$ INTERESES]],"")</f>
        <v>5978939</v>
      </c>
      <c r="F840" s="5">
        <f>+SUMIFS(FINANCIACION[$ CAPITAL],FINANCIACION[Fecha],"&lt;="&amp;FINANCIACION[[#This Row],[Fecha]],FINANCIACION[PRESTAMO],FINANCIACION[[#This Row],[PRESTAMO]])</f>
        <v>-318319132</v>
      </c>
      <c r="G840" s="53"/>
      <c r="H840" s="53"/>
      <c r="I840" s="5">
        <f>IF(FINANCIACION[[#This Row],[$ CAPITAL]]&gt;0,FINANCIACION[[#This Row],[$ CAPITAL]])</f>
        <v>4796627</v>
      </c>
      <c r="J840" s="33">
        <f>IF(FINANCIACION[[#This Row],[$ CAPITAL]]&gt;=0,FINANCIACION[[#This Row],[$ CAPITAL]]+FINANCIACION[[#This Row],[$ INTERESES]],0)</f>
        <v>5978939</v>
      </c>
    </row>
    <row r="841" spans="1:10" ht="24" hidden="1" customHeight="1" x14ac:dyDescent="0.3">
      <c r="A841" s="131">
        <v>44544</v>
      </c>
      <c r="B841" s="50" t="s">
        <v>535</v>
      </c>
      <c r="C841" s="5">
        <v>1419187.6499999985</v>
      </c>
      <c r="D841" s="5">
        <v>51812.35000000149</v>
      </c>
      <c r="E841" s="5">
        <f>+IF(FINANCIACION[[#This Row],[$ CAPITAL]]&gt;=0,FINANCIACION[[#This Row],[$ CAPITAL]]+FINANCIACION[[#This Row],[$ INTERESES]],"")</f>
        <v>1471000</v>
      </c>
      <c r="F841" s="5">
        <f>+SUMIFS(FINANCIACION[$ CAPITAL],FINANCIACION[Fecha],"&lt;="&amp;FINANCIACION[[#This Row],[Fecha]],FINANCIACION[PRESTAMO],FINANCIACION[[#This Row],[PRESTAMO]])</f>
        <v>-19839681.689999986</v>
      </c>
      <c r="G841" s="53"/>
      <c r="H841" s="53"/>
      <c r="I841" s="5">
        <f>IF(FINANCIACION[[#This Row],[$ CAPITAL]]&gt;0,FINANCIACION[[#This Row],[$ CAPITAL]])</f>
        <v>1419187.6499999985</v>
      </c>
      <c r="J841" s="33">
        <f>IF(FINANCIACION[[#This Row],[$ CAPITAL]]&gt;=0,FINANCIACION[[#This Row],[$ CAPITAL]]+FINANCIACION[[#This Row],[$ INTERESES]],0)</f>
        <v>1471000</v>
      </c>
    </row>
    <row r="842" spans="1:10" ht="24" hidden="1" customHeight="1" x14ac:dyDescent="0.3">
      <c r="A842" s="131">
        <v>44544</v>
      </c>
      <c r="B842" s="50" t="s">
        <v>153</v>
      </c>
      <c r="C842" s="5">
        <v>1944444</v>
      </c>
      <c r="D842" s="5">
        <v>240038</v>
      </c>
      <c r="E842" s="5">
        <f>+IF(FINANCIACION[[#This Row],[$ CAPITAL]]&gt;=0,FINANCIACION[[#This Row],[$ CAPITAL]]+FINANCIACION[[#This Row],[$ INTERESES]],"")</f>
        <v>2184482</v>
      </c>
      <c r="F842" s="5">
        <f>+SUMIFS(FINANCIACION[$ CAPITAL],FINANCIACION[Fecha],"&lt;="&amp;FINANCIACION[[#This Row],[Fecha]],FINANCIACION[PRESTAMO],FINANCIACION[[#This Row],[PRESTAMO]])</f>
        <v>-33055556</v>
      </c>
      <c r="G842" s="53"/>
      <c r="H842" s="53"/>
      <c r="I842" s="5">
        <f>IF(FINANCIACION[[#This Row],[$ CAPITAL]]&gt;0,FINANCIACION[[#This Row],[$ CAPITAL]])</f>
        <v>1944444</v>
      </c>
      <c r="J842" s="33">
        <f>IF(FINANCIACION[[#This Row],[$ CAPITAL]]&gt;=0,FINANCIACION[[#This Row],[$ CAPITAL]]+FINANCIACION[[#This Row],[$ INTERESES]],0)</f>
        <v>2184482</v>
      </c>
    </row>
    <row r="843" spans="1:10" ht="24" hidden="1" customHeight="1" x14ac:dyDescent="0.3">
      <c r="A843" s="131">
        <v>44550</v>
      </c>
      <c r="B843" s="50" t="s">
        <v>1488</v>
      </c>
      <c r="C843" s="5">
        <v>2882226</v>
      </c>
      <c r="D843" s="5"/>
      <c r="E843" s="5">
        <f>+IF(FINANCIACION[[#This Row],[$ CAPITAL]]&gt;=0,FINANCIACION[[#This Row],[$ CAPITAL]]+FINANCIACION[[#This Row],[$ INTERESES]],"")</f>
        <v>2882226</v>
      </c>
      <c r="F843" s="5">
        <f>+SUMIFS(FINANCIACION[$ CAPITAL],FINANCIACION[Fecha],"&lt;="&amp;FINANCIACION[[#This Row],[Fecha]],FINANCIACION[PRESTAMO],FINANCIACION[[#This Row],[PRESTAMO]])</f>
        <v>2882226</v>
      </c>
      <c r="G843" s="53"/>
      <c r="H843" s="53"/>
      <c r="I843" s="5">
        <f>IF(FINANCIACION[[#This Row],[$ CAPITAL]]&gt;0,FINANCIACION[[#This Row],[$ CAPITAL]])</f>
        <v>2882226</v>
      </c>
      <c r="J843" s="33">
        <f>IF(FINANCIACION[[#This Row],[$ CAPITAL]]&gt;=0,FINANCIACION[[#This Row],[$ CAPITAL]]+FINANCIACION[[#This Row],[$ INTERESES]],0)</f>
        <v>2882226</v>
      </c>
    </row>
    <row r="844" spans="1:10" ht="24" hidden="1" customHeight="1" x14ac:dyDescent="0.3">
      <c r="A844" s="131">
        <v>44554</v>
      </c>
      <c r="B844" s="50" t="s">
        <v>537</v>
      </c>
      <c r="C844" s="5"/>
      <c r="D844" s="5">
        <v>9000000</v>
      </c>
      <c r="E844" s="5">
        <f>+IF(FINANCIACION[[#This Row],[$ CAPITAL]]&gt;=0,FINANCIACION[[#This Row],[$ CAPITAL]]+FINANCIACION[[#This Row],[$ INTERESES]],"")</f>
        <v>9000000</v>
      </c>
      <c r="F844" s="5">
        <f>+SUMIFS(FINANCIACION[$ CAPITAL],FINANCIACION[Fecha],"&lt;="&amp;FINANCIACION[[#This Row],[Fecha]],FINANCIACION[PRESTAMO],FINANCIACION[[#This Row],[PRESTAMO]])</f>
        <v>-75000000</v>
      </c>
      <c r="G844" s="53"/>
      <c r="H844" s="53"/>
      <c r="I844" s="5" t="b">
        <f>IF(FINANCIACION[[#This Row],[$ CAPITAL]]&gt;0,FINANCIACION[[#This Row],[$ CAPITAL]])</f>
        <v>0</v>
      </c>
      <c r="J844" s="33">
        <f>IF(FINANCIACION[[#This Row],[$ CAPITAL]]&gt;=0,FINANCIACION[[#This Row],[$ CAPITAL]]+FINANCIACION[[#This Row],[$ INTERESES]],0)</f>
        <v>9000000</v>
      </c>
    </row>
    <row r="845" spans="1:10" ht="24" hidden="1" customHeight="1" x14ac:dyDescent="0.3">
      <c r="A845" s="131">
        <v>44554</v>
      </c>
      <c r="B845" s="50" t="s">
        <v>154</v>
      </c>
      <c r="C845" s="5">
        <v>3997090</v>
      </c>
      <c r="D845" s="5"/>
      <c r="E845" s="5">
        <f>+IF(FINANCIACION[[#This Row],[$ CAPITAL]]&gt;=0,FINANCIACION[[#This Row],[$ CAPITAL]]+FINANCIACION[[#This Row],[$ INTERESES]],"")</f>
        <v>3997090</v>
      </c>
      <c r="F845" s="5">
        <f>+SUMIFS(FINANCIACION[$ CAPITAL],FINANCIACION[Fecha],"&lt;="&amp;FINANCIACION[[#This Row],[Fecha]],FINANCIACION[PRESTAMO],FINANCIACION[[#This Row],[PRESTAMO]])</f>
        <v>-12849905</v>
      </c>
      <c r="G845" s="53"/>
      <c r="H845" s="53"/>
      <c r="I845" s="5">
        <f>IF(FINANCIACION[[#This Row],[$ CAPITAL]]&gt;0,FINANCIACION[[#This Row],[$ CAPITAL]])</f>
        <v>3997090</v>
      </c>
      <c r="J845" s="33">
        <f>IF(FINANCIACION[[#This Row],[$ CAPITAL]]&gt;=0,FINANCIACION[[#This Row],[$ CAPITAL]]+FINANCIACION[[#This Row],[$ INTERESES]],0)</f>
        <v>3997090</v>
      </c>
    </row>
    <row r="846" spans="1:10" ht="24" hidden="1" customHeight="1" x14ac:dyDescent="0.3">
      <c r="A846" s="131">
        <v>44557</v>
      </c>
      <c r="B846" s="50" t="s">
        <v>154</v>
      </c>
      <c r="C846" s="5">
        <v>3994150</v>
      </c>
      <c r="D846" s="5"/>
      <c r="E846" s="5">
        <f>+IF(FINANCIACION[[#This Row],[$ CAPITAL]]&gt;=0,FINANCIACION[[#This Row],[$ CAPITAL]]+FINANCIACION[[#This Row],[$ INTERESES]],"")</f>
        <v>3994150</v>
      </c>
      <c r="F846" s="5">
        <f>+SUMIFS(FINANCIACION[$ CAPITAL],FINANCIACION[Fecha],"&lt;="&amp;FINANCIACION[[#This Row],[Fecha]],FINANCIACION[PRESTAMO],FINANCIACION[[#This Row],[PRESTAMO]])</f>
        <v>-8855755</v>
      </c>
      <c r="G846" s="7"/>
      <c r="H846" s="53"/>
      <c r="I846" s="5">
        <f>IF(FINANCIACION[[#This Row],[$ CAPITAL]]&gt;0,FINANCIACION[[#This Row],[$ CAPITAL]])</f>
        <v>3994150</v>
      </c>
      <c r="J846" s="33">
        <f>IF(FINANCIACION[[#This Row],[$ CAPITAL]]&gt;=0,FINANCIACION[[#This Row],[$ CAPITAL]]+FINANCIACION[[#This Row],[$ INTERESES]],0)</f>
        <v>3994150</v>
      </c>
    </row>
    <row r="847" spans="1:10" ht="24" hidden="1" customHeight="1" x14ac:dyDescent="0.3">
      <c r="A847" s="131">
        <v>44560</v>
      </c>
      <c r="B847" s="50" t="s">
        <v>154</v>
      </c>
      <c r="C847" s="5">
        <v>4023680</v>
      </c>
      <c r="D847" s="5"/>
      <c r="E847" s="5">
        <f>+IF(FINANCIACION[[#This Row],[$ CAPITAL]]&gt;=0,FINANCIACION[[#This Row],[$ CAPITAL]]+FINANCIACION[[#This Row],[$ INTERESES]],"")</f>
        <v>4023680</v>
      </c>
      <c r="F847" s="5">
        <f>+SUMIFS(FINANCIACION[$ CAPITAL],FINANCIACION[Fecha],"&lt;="&amp;FINANCIACION[[#This Row],[Fecha]],FINANCIACION[PRESTAMO],FINANCIACION[[#This Row],[PRESTAMO]])</f>
        <v>-4832075</v>
      </c>
      <c r="G847" s="53"/>
      <c r="H847" s="53"/>
      <c r="I847" s="5">
        <f>IF(FINANCIACION[[#This Row],[$ CAPITAL]]&gt;0,FINANCIACION[[#This Row],[$ CAPITAL]])</f>
        <v>4023680</v>
      </c>
      <c r="J847" s="33">
        <f>IF(FINANCIACION[[#This Row],[$ CAPITAL]]&gt;=0,FINANCIACION[[#This Row],[$ CAPITAL]]+FINANCIACION[[#This Row],[$ INTERESES]],0)</f>
        <v>4023680</v>
      </c>
    </row>
    <row r="848" spans="1:10" ht="24" hidden="1" customHeight="1" x14ac:dyDescent="0.3">
      <c r="A848" s="131">
        <v>44560</v>
      </c>
      <c r="B848" s="50" t="s">
        <v>155</v>
      </c>
      <c r="C848" s="5">
        <v>1000000</v>
      </c>
      <c r="D848" s="5"/>
      <c r="E848" s="5">
        <f>+IF(FINANCIACION[[#This Row],[$ CAPITAL]]&gt;=0,FINANCIACION[[#This Row],[$ CAPITAL]]+FINANCIACION[[#This Row],[$ INTERESES]],"")</f>
        <v>1000000</v>
      </c>
      <c r="F848" s="5">
        <f>+SUMIFS(FINANCIACION[$ CAPITAL],FINANCIACION[Fecha],"&lt;="&amp;FINANCIACION[[#This Row],[Fecha]],FINANCIACION[PRESTAMO],FINANCIACION[[#This Row],[PRESTAMO]])</f>
        <v>1000000</v>
      </c>
      <c r="G848" s="53"/>
      <c r="H848" s="53"/>
      <c r="I848" s="5">
        <f>IF(FINANCIACION[[#This Row],[$ CAPITAL]]&gt;0,FINANCIACION[[#This Row],[$ CAPITAL]])</f>
        <v>1000000</v>
      </c>
      <c r="J848" s="33">
        <f>IF(FINANCIACION[[#This Row],[$ CAPITAL]]&gt;=0,FINANCIACION[[#This Row],[$ CAPITAL]]+FINANCIACION[[#This Row],[$ INTERESES]],0)</f>
        <v>1000000</v>
      </c>
    </row>
    <row r="849" spans="1:10" ht="24" hidden="1" customHeight="1" x14ac:dyDescent="0.3">
      <c r="A849" s="131">
        <v>44561</v>
      </c>
      <c r="B849" s="50" t="s">
        <v>149</v>
      </c>
      <c r="C849" s="52">
        <v>1637071.68</v>
      </c>
      <c r="D849" s="5"/>
      <c r="E849" s="5">
        <f>+IF(FINANCIACION[[#This Row],[$ CAPITAL]]&gt;=0,FINANCIACION[[#This Row],[$ CAPITAL]]+FINANCIACION[[#This Row],[$ INTERESES]],"")</f>
        <v>1637071.68</v>
      </c>
      <c r="F849" s="5">
        <f>+SUMIFS(FINANCIACION[$ CAPITAL],FINANCIACION[Fecha],"&lt;="&amp;FINANCIACION[[#This Row],[Fecha]],FINANCIACION[PRESTAMO],FINANCIACION[[#This Row],[PRESTAMO]])</f>
        <v>0</v>
      </c>
      <c r="G849" s="53" t="s">
        <v>170</v>
      </c>
      <c r="H849" s="53"/>
      <c r="I849" s="5">
        <f>IF(FINANCIACION[[#This Row],[$ CAPITAL]]&gt;0,FINANCIACION[[#This Row],[$ CAPITAL]])</f>
        <v>1637071.68</v>
      </c>
      <c r="J849" s="33">
        <f>IF(FINANCIACION[[#This Row],[$ CAPITAL]]&gt;=0,FINANCIACION[[#This Row],[$ CAPITAL]]+FINANCIACION[[#This Row],[$ INTERESES]],0)</f>
        <v>1637071.68</v>
      </c>
    </row>
    <row r="850" spans="1:10" ht="24" hidden="1" customHeight="1" x14ac:dyDescent="0.3">
      <c r="A850" s="131">
        <v>44561</v>
      </c>
      <c r="B850" s="50" t="s">
        <v>206</v>
      </c>
      <c r="C850" s="5">
        <v>-2322509.1499999985</v>
      </c>
      <c r="D850" s="5"/>
      <c r="E850" s="5" t="str">
        <f>+IF(FINANCIACION[[#This Row],[$ CAPITAL]]&gt;=0,FINANCIACION[[#This Row],[$ CAPITAL]]+FINANCIACION[[#This Row],[$ INTERESES]],"")</f>
        <v/>
      </c>
      <c r="F850" s="5">
        <f>+SUMIFS(FINANCIACION[$ CAPITAL],FINANCIACION[Fecha],"&lt;="&amp;FINANCIACION[[#This Row],[Fecha]],FINANCIACION[PRESTAMO],FINANCIACION[[#This Row],[PRESTAMO]])</f>
        <v>-61434113</v>
      </c>
      <c r="G850" s="53"/>
      <c r="H850" s="53"/>
      <c r="I850" s="5" t="b">
        <f>IF(FINANCIACION[[#This Row],[$ CAPITAL]]&gt;0,FINANCIACION[[#This Row],[$ CAPITAL]])</f>
        <v>0</v>
      </c>
      <c r="J850" s="33">
        <f>IF(FINANCIACION[[#This Row],[$ CAPITAL]]&gt;=0,FINANCIACION[[#This Row],[$ CAPITAL]]+FINANCIACION[[#This Row],[$ INTERESES]],0)</f>
        <v>0</v>
      </c>
    </row>
    <row r="851" spans="1:10" ht="24" hidden="1" customHeight="1" x14ac:dyDescent="0.3">
      <c r="A851" s="131">
        <v>44561</v>
      </c>
      <c r="B851" s="50" t="s">
        <v>234</v>
      </c>
      <c r="C851" s="5">
        <v>-918689.65000000224</v>
      </c>
      <c r="D851" s="5"/>
      <c r="E851" s="5" t="str">
        <f>+IF(FINANCIACION[[#This Row],[$ CAPITAL]]&gt;=0,FINANCIACION[[#This Row],[$ CAPITAL]]+FINANCIACION[[#This Row],[$ INTERESES]],"")</f>
        <v/>
      </c>
      <c r="F851" s="5">
        <f>+SUMIFS(FINANCIACION[$ CAPITAL],FINANCIACION[Fecha],"&lt;="&amp;FINANCIACION[[#This Row],[Fecha]],FINANCIACION[PRESTAMO],FINANCIACION[[#This Row],[PRESTAMO]])</f>
        <v>-24300823</v>
      </c>
      <c r="G851" s="53"/>
      <c r="H851" s="53"/>
      <c r="I851" s="5" t="b">
        <f>IF(FINANCIACION[[#This Row],[$ CAPITAL]]&gt;0,FINANCIACION[[#This Row],[$ CAPITAL]])</f>
        <v>0</v>
      </c>
      <c r="J851" s="33">
        <f>IF(FINANCIACION[[#This Row],[$ CAPITAL]]&gt;=0,FINANCIACION[[#This Row],[$ CAPITAL]]+FINANCIACION[[#This Row],[$ INTERESES]],0)</f>
        <v>0</v>
      </c>
    </row>
    <row r="852" spans="1:10" ht="24" hidden="1" customHeight="1" x14ac:dyDescent="0.3">
      <c r="A852" s="131">
        <v>44561</v>
      </c>
      <c r="B852" s="50" t="s">
        <v>272</v>
      </c>
      <c r="C852" s="5">
        <v>-2121591.9499999955</v>
      </c>
      <c r="D852" s="5"/>
      <c r="E852" s="5" t="str">
        <f>+IF(FINANCIACION[[#This Row],[$ CAPITAL]]&gt;=0,FINANCIACION[[#This Row],[$ CAPITAL]]+FINANCIACION[[#This Row],[$ INTERESES]],"")</f>
        <v/>
      </c>
      <c r="F852" s="5">
        <f>+SUMIFS(FINANCIACION[$ CAPITAL],FINANCIACION[Fecha],"&lt;="&amp;FINANCIACION[[#This Row],[Fecha]],FINANCIACION[PRESTAMO],FINANCIACION[[#This Row],[PRESTAMO]])</f>
        <v>-56119529</v>
      </c>
      <c r="G852" s="53" t="s">
        <v>170</v>
      </c>
      <c r="H852" s="53"/>
      <c r="I852" s="5" t="b">
        <f>IF(FINANCIACION[[#This Row],[$ CAPITAL]]&gt;0,FINANCIACION[[#This Row],[$ CAPITAL]])</f>
        <v>0</v>
      </c>
      <c r="J852" s="33">
        <f>IF(FINANCIACION[[#This Row],[$ CAPITAL]]&gt;=0,FINANCIACION[[#This Row],[$ CAPITAL]]+FINANCIACION[[#This Row],[$ INTERESES]],0)</f>
        <v>0</v>
      </c>
    </row>
    <row r="853" spans="1:10" ht="24" hidden="1" customHeight="1" x14ac:dyDescent="0.3">
      <c r="A853" s="131">
        <v>44561</v>
      </c>
      <c r="B853" s="50" t="s">
        <v>546</v>
      </c>
      <c r="C853" s="5">
        <v>-909657.26000000164</v>
      </c>
      <c r="D853" s="5"/>
      <c r="E853" s="5" t="str">
        <f>+IF(FINANCIACION[[#This Row],[$ CAPITAL]]&gt;=0,FINANCIACION[[#This Row],[$ CAPITAL]]+FINANCIACION[[#This Row],[$ INTERESES]],"")</f>
        <v/>
      </c>
      <c r="F853" s="5">
        <f>+SUMIFS(FINANCIACION[$ CAPITAL],FINANCIACION[Fecha],"&lt;="&amp;FINANCIACION[[#This Row],[Fecha]],FINANCIACION[PRESTAMO],FINANCIACION[[#This Row],[PRESTAMO]])</f>
        <v>-18770653.620000001</v>
      </c>
      <c r="G853" s="53" t="s">
        <v>589</v>
      </c>
      <c r="H853" s="53"/>
      <c r="I853" s="5" t="b">
        <f>+IF(FINANCIACION[[#This Row],[$ CAPITAL]]&gt;0,FINANCIACION[[#This Row],[$ CAPITAL]])</f>
        <v>0</v>
      </c>
      <c r="J853" s="33">
        <f>+IF(FINANCIACION[[#This Row],[$ CAPITAL]]&gt;=0,FINANCIACION[[#This Row],[$ CAPITAL]]+FINANCIACION[[#This Row],[$ INTERESES]],0)</f>
        <v>0</v>
      </c>
    </row>
    <row r="854" spans="1:10" ht="24" hidden="1" customHeight="1" x14ac:dyDescent="0.3">
      <c r="A854" s="131">
        <v>44561</v>
      </c>
      <c r="B854" s="50" t="s">
        <v>546</v>
      </c>
      <c r="C854" s="5">
        <v>-154072.12000000104</v>
      </c>
      <c r="D854" s="5"/>
      <c r="E854" s="5" t="str">
        <f>+IF(FINANCIACION[[#This Row],[$ CAPITAL]]&gt;=0,FINANCIACION[[#This Row],[$ CAPITAL]]+FINANCIACION[[#This Row],[$ INTERESES]],"")</f>
        <v/>
      </c>
      <c r="F854" s="5">
        <f>+SUMIFS(FINANCIACION[$ CAPITAL],FINANCIACION[Fecha],"&lt;="&amp;FINANCIACION[[#This Row],[Fecha]],FINANCIACION[PRESTAMO],FINANCIACION[[#This Row],[PRESTAMO]])</f>
        <v>-18770653.620000001</v>
      </c>
      <c r="G854" s="53" t="s">
        <v>757</v>
      </c>
      <c r="H854" s="53"/>
      <c r="I854" s="5" t="b">
        <f>+IF(FINANCIACION[[#This Row],[$ CAPITAL]]&gt;0,FINANCIACION[[#This Row],[$ CAPITAL]])</f>
        <v>0</v>
      </c>
      <c r="J854" s="33">
        <f>+IF(FINANCIACION[[#This Row],[$ CAPITAL]]&gt;=0,FINANCIACION[[#This Row],[$ CAPITAL]]+FINANCIACION[[#This Row],[$ INTERESES]],0)</f>
        <v>0</v>
      </c>
    </row>
    <row r="855" spans="1:10" ht="24" hidden="1" customHeight="1" x14ac:dyDescent="0.3">
      <c r="A855" s="131">
        <v>44561</v>
      </c>
      <c r="B855" s="50" t="s">
        <v>588</v>
      </c>
      <c r="C855" s="5">
        <v>-673307.35000000149</v>
      </c>
      <c r="D855" s="5"/>
      <c r="E855" s="5" t="str">
        <f>+IF(FINANCIACION[[#This Row],[$ CAPITAL]]&gt;=0,FINANCIACION[[#This Row],[$ CAPITAL]]+FINANCIACION[[#This Row],[$ INTERESES]],"")</f>
        <v/>
      </c>
      <c r="F855" s="5">
        <f>+SUMIFS(FINANCIACION[$ CAPITAL],FINANCIACION[Fecha],"&lt;="&amp;FINANCIACION[[#This Row],[Fecha]],FINANCIACION[PRESTAMO],FINANCIACION[[#This Row],[PRESTAMO]])</f>
        <v>-1469243.3599999994</v>
      </c>
      <c r="G855" s="53" t="s">
        <v>589</v>
      </c>
      <c r="H855" s="53"/>
      <c r="I855" s="5" t="b">
        <f>+IF(FINANCIACION[[#This Row],[$ CAPITAL]]&gt;0,FINANCIACION[[#This Row],[$ CAPITAL]])</f>
        <v>0</v>
      </c>
      <c r="J855" s="33">
        <f>+IF(FINANCIACION[[#This Row],[$ CAPITAL]]&gt;=0,FINANCIACION[[#This Row],[$ CAPITAL]]+FINANCIACION[[#This Row],[$ INTERESES]],0)</f>
        <v>0</v>
      </c>
    </row>
    <row r="856" spans="1:10" ht="24" hidden="1" customHeight="1" x14ac:dyDescent="0.3">
      <c r="A856" s="131">
        <v>44561</v>
      </c>
      <c r="B856" s="50" t="s">
        <v>588</v>
      </c>
      <c r="C856" s="5">
        <v>-795936.00999999791</v>
      </c>
      <c r="D856" s="5"/>
      <c r="E856" s="5" t="str">
        <f>+IF(FINANCIACION[[#This Row],[$ CAPITAL]]&gt;=0,FINANCIACION[[#This Row],[$ CAPITAL]]+FINANCIACION[[#This Row],[$ INTERESES]],"")</f>
        <v/>
      </c>
      <c r="F856" s="5">
        <f>+SUMIFS(FINANCIACION[$ CAPITAL],FINANCIACION[Fecha],"&lt;="&amp;FINANCIACION[[#This Row],[Fecha]],FINANCIACION[PRESTAMO],FINANCIACION[[#This Row],[PRESTAMO]])</f>
        <v>-1469243.3599999994</v>
      </c>
      <c r="G856" s="53" t="s">
        <v>757</v>
      </c>
      <c r="H856" s="53"/>
      <c r="I856" s="5" t="b">
        <f>+IF(FINANCIACION[[#This Row],[$ CAPITAL]]&gt;0,FINANCIACION[[#This Row],[$ CAPITAL]])</f>
        <v>0</v>
      </c>
      <c r="J856" s="33">
        <f>+IF(FINANCIACION[[#This Row],[$ CAPITAL]]&gt;=0,FINANCIACION[[#This Row],[$ CAPITAL]]+FINANCIACION[[#This Row],[$ INTERESES]],0)</f>
        <v>0</v>
      </c>
    </row>
    <row r="857" spans="1:10" ht="24" hidden="1" customHeight="1" x14ac:dyDescent="0.3">
      <c r="A857" s="131">
        <v>44561</v>
      </c>
      <c r="B857" s="50" t="s">
        <v>540</v>
      </c>
      <c r="C857" s="5">
        <v>-802312.08999998868</v>
      </c>
      <c r="D857" s="5"/>
      <c r="E857" s="5" t="str">
        <f>+IF(FINANCIACION[[#This Row],[$ CAPITAL]]&gt;=0,FINANCIACION[[#This Row],[$ CAPITAL]]+FINANCIACION[[#This Row],[$ INTERESES]],"")</f>
        <v/>
      </c>
      <c r="F857" s="5">
        <f>+SUMIFS(FINANCIACION[$ CAPITAL],FINANCIACION[Fecha],"&lt;="&amp;FINANCIACION[[#This Row],[Fecha]],FINANCIACION[PRESTAMO],FINANCIACION[[#This Row],[PRESTAMO]])</f>
        <v>-16602203.279999996</v>
      </c>
      <c r="G857" s="53" t="s">
        <v>589</v>
      </c>
      <c r="H857" s="53"/>
      <c r="I857" s="5" t="b">
        <f>+IF(FINANCIACION[[#This Row],[$ CAPITAL]]&gt;0,FINANCIACION[[#This Row],[$ CAPITAL]])</f>
        <v>0</v>
      </c>
      <c r="J857" s="33">
        <f>+IF(FINANCIACION[[#This Row],[$ CAPITAL]]&gt;=0,FINANCIACION[[#This Row],[$ CAPITAL]]+FINANCIACION[[#This Row],[$ INTERESES]],0)</f>
        <v>0</v>
      </c>
    </row>
    <row r="858" spans="1:10" ht="24" hidden="1" customHeight="1" x14ac:dyDescent="0.3">
      <c r="A858" s="131">
        <v>44561</v>
      </c>
      <c r="B858" s="50" t="s">
        <v>540</v>
      </c>
      <c r="C858" s="5">
        <v>-174703.99999999814</v>
      </c>
      <c r="D858" s="5"/>
      <c r="E858" s="5" t="str">
        <f>+IF(FINANCIACION[[#This Row],[$ CAPITAL]]&gt;=0,FINANCIACION[[#This Row],[$ CAPITAL]]+FINANCIACION[[#This Row],[$ INTERESES]],"")</f>
        <v/>
      </c>
      <c r="F858" s="5">
        <f>+SUMIFS(FINANCIACION[$ CAPITAL],FINANCIACION[Fecha],"&lt;="&amp;FINANCIACION[[#This Row],[Fecha]],FINANCIACION[PRESTAMO],FINANCIACION[[#This Row],[PRESTAMO]])</f>
        <v>-16602203.279999996</v>
      </c>
      <c r="G858" s="53" t="s">
        <v>757</v>
      </c>
      <c r="H858" s="53"/>
      <c r="I858" s="5" t="b">
        <f>+IF(FINANCIACION[[#This Row],[$ CAPITAL]]&gt;0,FINANCIACION[[#This Row],[$ CAPITAL]])</f>
        <v>0</v>
      </c>
      <c r="J858" s="33">
        <f>+IF(FINANCIACION[[#This Row],[$ CAPITAL]]&gt;=0,FINANCIACION[[#This Row],[$ CAPITAL]]+FINANCIACION[[#This Row],[$ INTERESES]],0)</f>
        <v>0</v>
      </c>
    </row>
    <row r="859" spans="1:10" ht="24" hidden="1" customHeight="1" x14ac:dyDescent="0.3">
      <c r="A859" s="131">
        <v>44561</v>
      </c>
      <c r="B859" s="50" t="s">
        <v>548</v>
      </c>
      <c r="C859" s="5">
        <v>-1661234.7599999905</v>
      </c>
      <c r="D859" s="5"/>
      <c r="E859" s="5" t="str">
        <f>+IF(FINANCIACION[[#This Row],[$ CAPITAL]]&gt;=0,FINANCIACION[[#This Row],[$ CAPITAL]]+FINANCIACION[[#This Row],[$ INTERESES]],"")</f>
        <v/>
      </c>
      <c r="F859" s="5">
        <f>+SUMIFS(FINANCIACION[$ CAPITAL],FINANCIACION[Fecha],"&lt;="&amp;FINANCIACION[[#This Row],[Fecha]],FINANCIACION[PRESTAMO],FINANCIACION[[#This Row],[PRESTAMO]])</f>
        <v>-82321407.039999992</v>
      </c>
      <c r="G859" s="53" t="s">
        <v>589</v>
      </c>
      <c r="H859" s="53"/>
      <c r="I859" s="5" t="b">
        <f>+IF(FINANCIACION[[#This Row],[$ CAPITAL]]&gt;0,FINANCIACION[[#This Row],[$ CAPITAL]])</f>
        <v>0</v>
      </c>
      <c r="J859" s="33">
        <f>+IF(FINANCIACION[[#This Row],[$ CAPITAL]]&gt;=0,FINANCIACION[[#This Row],[$ CAPITAL]]+FINANCIACION[[#This Row],[$ INTERESES]],0)</f>
        <v>0</v>
      </c>
    </row>
    <row r="860" spans="1:10" ht="24" hidden="1" customHeight="1" x14ac:dyDescent="0.3">
      <c r="A860" s="131">
        <v>44561</v>
      </c>
      <c r="B860" s="50" t="s">
        <v>548</v>
      </c>
      <c r="C860" s="5">
        <v>-799093.79999999702</v>
      </c>
      <c r="D860" s="5"/>
      <c r="E860" s="5" t="str">
        <f>+IF(FINANCIACION[[#This Row],[$ CAPITAL]]&gt;=0,FINANCIACION[[#This Row],[$ CAPITAL]]+FINANCIACION[[#This Row],[$ INTERESES]],"")</f>
        <v/>
      </c>
      <c r="F860" s="5">
        <f>+SUMIFS(FINANCIACION[$ CAPITAL],FINANCIACION[Fecha],"&lt;="&amp;FINANCIACION[[#This Row],[Fecha]],FINANCIACION[PRESTAMO],FINANCIACION[[#This Row],[PRESTAMO]])</f>
        <v>-82321407.039999992</v>
      </c>
      <c r="G860" s="53" t="s">
        <v>757</v>
      </c>
      <c r="H860" s="53"/>
      <c r="I860" s="5" t="b">
        <f>+IF(FINANCIACION[[#This Row],[$ CAPITAL]]&gt;0,FINANCIACION[[#This Row],[$ CAPITAL]])</f>
        <v>0</v>
      </c>
      <c r="J860" s="33">
        <f>+IF(FINANCIACION[[#This Row],[$ CAPITAL]]&gt;=0,FINANCIACION[[#This Row],[$ CAPITAL]]+FINANCIACION[[#This Row],[$ INTERESES]],0)</f>
        <v>0</v>
      </c>
    </row>
    <row r="861" spans="1:10" ht="24" hidden="1" customHeight="1" x14ac:dyDescent="0.3">
      <c r="A861" s="131">
        <v>44561</v>
      </c>
      <c r="B861" s="50" t="s">
        <v>542</v>
      </c>
      <c r="C861" s="5">
        <v>-891891.60999999382</v>
      </c>
      <c r="D861" s="5"/>
      <c r="E861" s="5" t="str">
        <f>+IF(FINANCIACION[[#This Row],[$ CAPITAL]]&gt;=0,FINANCIACION[[#This Row],[$ CAPITAL]]+FINANCIACION[[#This Row],[$ INTERESES]],"")</f>
        <v/>
      </c>
      <c r="F861" s="5">
        <f>+SUMIFS(FINANCIACION[$ CAPITAL],FINANCIACION[Fecha],"&lt;="&amp;FINANCIACION[[#This Row],[Fecha]],FINANCIACION[PRESTAMO],FINANCIACION[[#This Row],[PRESTAMO]])</f>
        <v>-18331709.669999994</v>
      </c>
      <c r="G861" s="53" t="s">
        <v>589</v>
      </c>
      <c r="H861" s="53"/>
      <c r="I861" s="5" t="b">
        <f>+IF(FINANCIACION[[#This Row],[$ CAPITAL]]&gt;0,FINANCIACION[[#This Row],[$ CAPITAL]])</f>
        <v>0</v>
      </c>
      <c r="J861" s="33">
        <f>+IF(FINANCIACION[[#This Row],[$ CAPITAL]]&gt;=0,FINANCIACION[[#This Row],[$ CAPITAL]]+FINANCIACION[[#This Row],[$ INTERESES]],0)</f>
        <v>0</v>
      </c>
    </row>
    <row r="862" spans="1:10" ht="24" hidden="1" customHeight="1" x14ac:dyDescent="0.3">
      <c r="A862" s="131">
        <v>44561</v>
      </c>
      <c r="B862" s="50" t="s">
        <v>542</v>
      </c>
      <c r="C862" s="5">
        <v>-178650.54000000097</v>
      </c>
      <c r="D862" s="5"/>
      <c r="E862" s="5" t="str">
        <f>+IF(FINANCIACION[[#This Row],[$ CAPITAL]]&gt;=0,FINANCIACION[[#This Row],[$ CAPITAL]]+FINANCIACION[[#This Row],[$ INTERESES]],"")</f>
        <v/>
      </c>
      <c r="F862" s="5">
        <f>+SUMIFS(FINANCIACION[$ CAPITAL],FINANCIACION[Fecha],"&lt;="&amp;FINANCIACION[[#This Row],[Fecha]],FINANCIACION[PRESTAMO],FINANCIACION[[#This Row],[PRESTAMO]])</f>
        <v>-18331709.669999994</v>
      </c>
      <c r="G862" s="53" t="s">
        <v>757</v>
      </c>
      <c r="H862" s="53"/>
      <c r="I862" s="5" t="b">
        <f>+IF(FINANCIACION[[#This Row],[$ CAPITAL]]&gt;0,FINANCIACION[[#This Row],[$ CAPITAL]])</f>
        <v>0</v>
      </c>
      <c r="J862" s="33">
        <f>+IF(FINANCIACION[[#This Row],[$ CAPITAL]]&gt;=0,FINANCIACION[[#This Row],[$ CAPITAL]]+FINANCIACION[[#This Row],[$ INTERESES]],0)</f>
        <v>0</v>
      </c>
    </row>
    <row r="863" spans="1:10" ht="24" hidden="1" customHeight="1" x14ac:dyDescent="0.3">
      <c r="A863" s="131">
        <v>44561</v>
      </c>
      <c r="B863" s="50" t="s">
        <v>538</v>
      </c>
      <c r="C863" s="5">
        <v>-1956200.2800000049</v>
      </c>
      <c r="D863" s="5"/>
      <c r="E863" s="5" t="str">
        <f>+IF(FINANCIACION[[#This Row],[$ CAPITAL]]&gt;=0,FINANCIACION[[#This Row],[$ CAPITAL]]+FINANCIACION[[#This Row],[$ INTERESES]],"")</f>
        <v/>
      </c>
      <c r="F863" s="5">
        <f>+SUMIFS(FINANCIACION[$ CAPITAL],FINANCIACION[Fecha],"&lt;="&amp;FINANCIACION[[#This Row],[Fecha]],FINANCIACION[PRESTAMO],FINANCIACION[[#This Row],[PRESTAMO]])</f>
        <v>-40198762.970000006</v>
      </c>
      <c r="G863" s="53" t="s">
        <v>589</v>
      </c>
      <c r="H863" s="53"/>
      <c r="I863" s="5" t="b">
        <f>+IF(FINANCIACION[[#This Row],[$ CAPITAL]]&gt;0,FINANCIACION[[#This Row],[$ CAPITAL]])</f>
        <v>0</v>
      </c>
      <c r="J863" s="33">
        <f>+IF(FINANCIACION[[#This Row],[$ CAPITAL]]&gt;=0,FINANCIACION[[#This Row],[$ CAPITAL]]+FINANCIACION[[#This Row],[$ INTERESES]],0)</f>
        <v>0</v>
      </c>
    </row>
    <row r="864" spans="1:10" ht="24" hidden="1" customHeight="1" x14ac:dyDescent="0.3">
      <c r="A864" s="131">
        <v>44561</v>
      </c>
      <c r="B864" s="50" t="s">
        <v>538</v>
      </c>
      <c r="C864" s="5">
        <v>-315595.36999999732</v>
      </c>
      <c r="D864" s="5"/>
      <c r="E864" s="5" t="str">
        <f>+IF(FINANCIACION[[#This Row],[$ CAPITAL]]&gt;=0,FINANCIACION[[#This Row],[$ CAPITAL]]+FINANCIACION[[#This Row],[$ INTERESES]],"")</f>
        <v/>
      </c>
      <c r="F864" s="5">
        <f>+SUMIFS(FINANCIACION[$ CAPITAL],FINANCIACION[Fecha],"&lt;="&amp;FINANCIACION[[#This Row],[Fecha]],FINANCIACION[PRESTAMO],FINANCIACION[[#This Row],[PRESTAMO]])</f>
        <v>-40198762.970000006</v>
      </c>
      <c r="G864" s="53" t="s">
        <v>757</v>
      </c>
      <c r="H864" s="53"/>
      <c r="I864" s="5" t="b">
        <f>+IF(FINANCIACION[[#This Row],[$ CAPITAL]]&gt;0,FINANCIACION[[#This Row],[$ CAPITAL]])</f>
        <v>0</v>
      </c>
      <c r="J864" s="33">
        <f>+IF(FINANCIACION[[#This Row],[$ CAPITAL]]&gt;=0,FINANCIACION[[#This Row],[$ CAPITAL]]+FINANCIACION[[#This Row],[$ INTERESES]],0)</f>
        <v>0</v>
      </c>
    </row>
    <row r="865" spans="1:10" ht="24" hidden="1" customHeight="1" x14ac:dyDescent="0.3">
      <c r="A865" s="131">
        <v>44561</v>
      </c>
      <c r="B865" s="50" t="s">
        <v>539</v>
      </c>
      <c r="C865" s="5">
        <v>-3127661</v>
      </c>
      <c r="D865" s="5"/>
      <c r="E865" s="5" t="str">
        <f>+IF(FINANCIACION[[#This Row],[$ CAPITAL]]&gt;=0,FINANCIACION[[#This Row],[$ CAPITAL]]+FINANCIACION[[#This Row],[$ INTERESES]],"")</f>
        <v/>
      </c>
      <c r="F865" s="5">
        <f>+SUMIFS(FINANCIACION[$ CAPITAL],FINANCIACION[Fecha],"&lt;="&amp;FINANCIACION[[#This Row],[Fecha]],FINANCIACION[PRESTAMO],FINANCIACION[[#This Row],[PRESTAMO]])</f>
        <v>-58401842.530000001</v>
      </c>
      <c r="G865" s="53" t="s">
        <v>589</v>
      </c>
      <c r="H865" s="53"/>
      <c r="I865" s="5" t="b">
        <f>+IF(FINANCIACION[[#This Row],[$ CAPITAL]]&gt;0,FINANCIACION[[#This Row],[$ CAPITAL]])</f>
        <v>0</v>
      </c>
      <c r="J865" s="33">
        <f>+IF(FINANCIACION[[#This Row],[$ CAPITAL]]&gt;=0,FINANCIACION[[#This Row],[$ CAPITAL]]+FINANCIACION[[#This Row],[$ INTERESES]],0)</f>
        <v>0</v>
      </c>
    </row>
    <row r="866" spans="1:10" ht="24" hidden="1" customHeight="1" x14ac:dyDescent="0.3">
      <c r="A866" s="131">
        <v>44561</v>
      </c>
      <c r="B866" s="50" t="s">
        <v>539</v>
      </c>
      <c r="C866" s="5">
        <v>-492802.1099999994</v>
      </c>
      <c r="D866" s="5"/>
      <c r="E866" s="5" t="str">
        <f>+IF(FINANCIACION[[#This Row],[$ CAPITAL]]&gt;=0,FINANCIACION[[#This Row],[$ CAPITAL]]+FINANCIACION[[#This Row],[$ INTERESES]],"")</f>
        <v/>
      </c>
      <c r="F866" s="5">
        <f>+SUMIFS(FINANCIACION[$ CAPITAL],FINANCIACION[Fecha],"&lt;="&amp;FINANCIACION[[#This Row],[Fecha]],FINANCIACION[PRESTAMO],FINANCIACION[[#This Row],[PRESTAMO]])</f>
        <v>-58401842.530000001</v>
      </c>
      <c r="G866" s="53" t="s">
        <v>757</v>
      </c>
      <c r="H866" s="53"/>
      <c r="I866" s="5" t="b">
        <f>+IF(FINANCIACION[[#This Row],[$ CAPITAL]]&gt;0,FINANCIACION[[#This Row],[$ CAPITAL]])</f>
        <v>0</v>
      </c>
      <c r="J866" s="33">
        <f>+IF(FINANCIACION[[#This Row],[$ CAPITAL]]&gt;=0,FINANCIACION[[#This Row],[$ CAPITAL]]+FINANCIACION[[#This Row],[$ INTERESES]],0)</f>
        <v>0</v>
      </c>
    </row>
    <row r="867" spans="1:10" ht="24" hidden="1" customHeight="1" x14ac:dyDescent="0.3">
      <c r="A867" s="131">
        <v>44561</v>
      </c>
      <c r="B867" s="50" t="s">
        <v>534</v>
      </c>
      <c r="C867" s="5">
        <v>-18803895</v>
      </c>
      <c r="D867" s="5"/>
      <c r="E867" s="5" t="str">
        <f>+IF(FINANCIACION[[#This Row],[$ CAPITAL]]&gt;=0,FINANCIACION[[#This Row],[$ CAPITAL]]+FINANCIACION[[#This Row],[$ INTERESES]],"")</f>
        <v/>
      </c>
      <c r="F867" s="5">
        <f>+SUMIFS(FINANCIACION[$ CAPITAL],FINANCIACION[Fecha],"&lt;="&amp;FINANCIACION[[#This Row],[Fecha]],FINANCIACION[PRESTAMO],FINANCIACION[[#This Row],[PRESTAMO]])</f>
        <v>-388924522</v>
      </c>
      <c r="G867" s="53" t="s">
        <v>170</v>
      </c>
      <c r="H867" s="53"/>
      <c r="I867" s="5" t="b">
        <f>IF(FINANCIACION[[#This Row],[$ CAPITAL]]&gt;0,FINANCIACION[[#This Row],[$ CAPITAL]])</f>
        <v>0</v>
      </c>
      <c r="J867" s="33">
        <f>IF(FINANCIACION[[#This Row],[$ CAPITAL]]&gt;=0,FINANCIACION[[#This Row],[$ CAPITAL]]+FINANCIACION[[#This Row],[$ INTERESES]],0)</f>
        <v>0</v>
      </c>
    </row>
    <row r="868" spans="1:10" ht="24" hidden="1" customHeight="1" x14ac:dyDescent="0.3">
      <c r="A868" s="131">
        <v>44561</v>
      </c>
      <c r="B868" s="50" t="s">
        <v>534</v>
      </c>
      <c r="C868" s="5">
        <v>-51801495</v>
      </c>
      <c r="D868" s="5"/>
      <c r="E868" s="5" t="str">
        <f>+IF(FINANCIACION[[#This Row],[$ CAPITAL]]&gt;=0,FINANCIACION[[#This Row],[$ CAPITAL]]+FINANCIACION[[#This Row],[$ INTERESES]],"")</f>
        <v/>
      </c>
      <c r="F868" s="5">
        <f>+SUMIFS(FINANCIACION[$ CAPITAL],FINANCIACION[Fecha],"&lt;="&amp;FINANCIACION[[#This Row],[Fecha]],FINANCIACION[PRESTAMO],FINANCIACION[[#This Row],[PRESTAMO]])</f>
        <v>-388924522</v>
      </c>
      <c r="G868" s="53" t="s">
        <v>822</v>
      </c>
      <c r="H868" s="53"/>
      <c r="I868" s="5" t="b">
        <f>+IF(FINANCIACION[[#This Row],[$ CAPITAL]]&gt;0,FINANCIACION[[#This Row],[$ CAPITAL]])</f>
        <v>0</v>
      </c>
      <c r="J868" s="33">
        <f>+IF(FINANCIACION[[#This Row],[$ CAPITAL]]&gt;=0,FINANCIACION[[#This Row],[$ CAPITAL]]+FINANCIACION[[#This Row],[$ INTERESES]],0)</f>
        <v>0</v>
      </c>
    </row>
    <row r="869" spans="1:10" ht="24" hidden="1" customHeight="1" x14ac:dyDescent="0.3">
      <c r="A869" s="131">
        <v>44561</v>
      </c>
      <c r="B869" s="50" t="s">
        <v>535</v>
      </c>
      <c r="C869" s="5">
        <v>-1321388.3700000159</v>
      </c>
      <c r="D869" s="5"/>
      <c r="E869" s="5" t="str">
        <f>+IF(FINANCIACION[[#This Row],[$ CAPITAL]]&gt;=0,FINANCIACION[[#This Row],[$ CAPITAL]]+FINANCIACION[[#This Row],[$ INTERESES]],"")</f>
        <v/>
      </c>
      <c r="F869" s="5">
        <f>+SUMIFS(FINANCIACION[$ CAPITAL],FINANCIACION[Fecha],"&lt;="&amp;FINANCIACION[[#This Row],[Fecha]],FINANCIACION[PRESTAMO],FINANCIACION[[#This Row],[PRESTAMO]])</f>
        <v>-21373447.600000005</v>
      </c>
      <c r="G869" s="53" t="s">
        <v>589</v>
      </c>
      <c r="H869" s="53"/>
      <c r="I869" s="5" t="b">
        <f>+IF(FINANCIACION[[#This Row],[$ CAPITAL]]&gt;0,FINANCIACION[[#This Row],[$ CAPITAL]])</f>
        <v>0</v>
      </c>
      <c r="J869" s="33">
        <f>+IF(FINANCIACION[[#This Row],[$ CAPITAL]]&gt;=0,FINANCIACION[[#This Row],[$ CAPITAL]]+FINANCIACION[[#This Row],[$ INTERESES]],0)</f>
        <v>0</v>
      </c>
    </row>
    <row r="870" spans="1:10" ht="24" hidden="1" customHeight="1" x14ac:dyDescent="0.3">
      <c r="A870" s="131">
        <v>44561</v>
      </c>
      <c r="B870" s="50" t="s">
        <v>535</v>
      </c>
      <c r="C870" s="5">
        <v>-212377.54000000283</v>
      </c>
      <c r="D870" s="5"/>
      <c r="E870" s="5" t="str">
        <f>+IF(FINANCIACION[[#This Row],[$ CAPITAL]]&gt;=0,FINANCIACION[[#This Row],[$ CAPITAL]]+FINANCIACION[[#This Row],[$ INTERESES]],"")</f>
        <v/>
      </c>
      <c r="F870" s="5">
        <f>+SUMIFS(FINANCIACION[$ CAPITAL],FINANCIACION[Fecha],"&lt;="&amp;FINANCIACION[[#This Row],[Fecha]],FINANCIACION[PRESTAMO],FINANCIACION[[#This Row],[PRESTAMO]])</f>
        <v>-21373447.600000005</v>
      </c>
      <c r="G870" s="53" t="s">
        <v>757</v>
      </c>
      <c r="H870" s="53"/>
      <c r="I870" s="5" t="b">
        <f>+IF(FINANCIACION[[#This Row],[$ CAPITAL]]&gt;0,FINANCIACION[[#This Row],[$ CAPITAL]])</f>
        <v>0</v>
      </c>
      <c r="J870" s="33">
        <f>+IF(FINANCIACION[[#This Row],[$ CAPITAL]]&gt;=0,FINANCIACION[[#This Row],[$ CAPITAL]]+FINANCIACION[[#This Row],[$ INTERESES]],0)</f>
        <v>0</v>
      </c>
    </row>
    <row r="871" spans="1:10" ht="24" hidden="1" customHeight="1" x14ac:dyDescent="0.3">
      <c r="A871" s="131">
        <v>44561</v>
      </c>
      <c r="B871" s="50" t="s">
        <v>1488</v>
      </c>
      <c r="C871" s="5">
        <v>-3484626</v>
      </c>
      <c r="D871" s="5"/>
      <c r="E871" s="5" t="str">
        <f>+IF(FINANCIACION[[#This Row],[$ CAPITAL]]&gt;=0,FINANCIACION[[#This Row],[$ CAPITAL]]+FINANCIACION[[#This Row],[$ INTERESES]],"")</f>
        <v/>
      </c>
      <c r="F871" s="5">
        <f>+SUMIFS(FINANCIACION[$ CAPITAL],FINANCIACION[Fecha],"&lt;="&amp;FINANCIACION[[#This Row],[Fecha]],FINANCIACION[PRESTAMO],FINANCIACION[[#This Row],[PRESTAMO]])</f>
        <v>-602400</v>
      </c>
      <c r="G871" s="53"/>
      <c r="H871" s="53"/>
      <c r="I871" s="5" t="b">
        <f>IF(FINANCIACION[[#This Row],[$ CAPITAL]]&gt;0,FINANCIACION[[#This Row],[$ CAPITAL]])</f>
        <v>0</v>
      </c>
      <c r="J871" s="33">
        <f>IF(FINANCIACION[[#This Row],[$ CAPITAL]]&gt;=0,FINANCIACION[[#This Row],[$ CAPITAL]]+FINANCIACION[[#This Row],[$ INTERESES]],0)</f>
        <v>0</v>
      </c>
    </row>
    <row r="872" spans="1:10" ht="24" hidden="1" customHeight="1" x14ac:dyDescent="0.3">
      <c r="A872" s="131">
        <v>44561</v>
      </c>
      <c r="B872" s="50" t="s">
        <v>154</v>
      </c>
      <c r="C872" s="5">
        <v>-15729425</v>
      </c>
      <c r="D872" s="5"/>
      <c r="E872" s="5" t="str">
        <f>+IF(FINANCIACION[[#This Row],[$ CAPITAL]]&gt;=0,FINANCIACION[[#This Row],[$ CAPITAL]]+FINANCIACION[[#This Row],[$ INTERESES]],"")</f>
        <v/>
      </c>
      <c r="F872" s="5">
        <f>+SUMIFS(FINANCIACION[$ CAPITAL],FINANCIACION[Fecha],"&lt;="&amp;FINANCIACION[[#This Row],[Fecha]],FINANCIACION[PRESTAMO],FINANCIACION[[#This Row],[PRESTAMO]])</f>
        <v>-20561500</v>
      </c>
      <c r="G872" s="53"/>
      <c r="H872" s="53"/>
      <c r="I872" s="5" t="b">
        <f>IF(FINANCIACION[[#This Row],[$ CAPITAL]]&gt;0,FINANCIACION[[#This Row],[$ CAPITAL]])</f>
        <v>0</v>
      </c>
      <c r="J872" s="33">
        <f>IF(FINANCIACION[[#This Row],[$ CAPITAL]]&gt;=0,FINANCIACION[[#This Row],[$ CAPITAL]]+FINANCIACION[[#This Row],[$ INTERESES]],0)</f>
        <v>0</v>
      </c>
    </row>
    <row r="873" spans="1:10" ht="24" hidden="1" customHeight="1" x14ac:dyDescent="0.3">
      <c r="A873" s="131">
        <v>44561</v>
      </c>
      <c r="B873" s="50" t="s">
        <v>155</v>
      </c>
      <c r="C873" s="5">
        <v>-1357536</v>
      </c>
      <c r="D873" s="5"/>
      <c r="E873" s="5" t="str">
        <f>+IF(FINANCIACION[[#This Row],[$ CAPITAL]]&gt;=0,FINANCIACION[[#This Row],[$ CAPITAL]]+FINANCIACION[[#This Row],[$ INTERESES]],"")</f>
        <v/>
      </c>
      <c r="F873" s="5">
        <f>+SUMIFS(FINANCIACION[$ CAPITAL],FINANCIACION[Fecha],"&lt;="&amp;FINANCIACION[[#This Row],[Fecha]],FINANCIACION[PRESTAMO],FINANCIACION[[#This Row],[PRESTAMO]])</f>
        <v>-357536</v>
      </c>
      <c r="G873" s="53"/>
      <c r="H873" s="53"/>
      <c r="I873" s="5" t="b">
        <f>IF(FINANCIACION[[#This Row],[$ CAPITAL]]&gt;0,FINANCIACION[[#This Row],[$ CAPITAL]])</f>
        <v>0</v>
      </c>
      <c r="J873" s="33">
        <f>IF(FINANCIACION[[#This Row],[$ CAPITAL]]&gt;=0,FINANCIACION[[#This Row],[$ CAPITAL]]+FINANCIACION[[#This Row],[$ INTERESES]],0)</f>
        <v>0</v>
      </c>
    </row>
    <row r="874" spans="1:10" ht="24" hidden="1" customHeight="1" x14ac:dyDescent="0.3">
      <c r="A874" s="131">
        <v>44564</v>
      </c>
      <c r="B874" s="50" t="s">
        <v>146</v>
      </c>
      <c r="C874" s="5">
        <v>1468400</v>
      </c>
      <c r="D874" s="5">
        <v>417344</v>
      </c>
      <c r="E874" s="5">
        <f>+IF(FINANCIACION[[#This Row],[$ CAPITAL]]&gt;=0,FINANCIACION[[#This Row],[$ CAPITAL]]+FINANCIACION[[#This Row],[$ INTERESES]],"")</f>
        <v>1885744</v>
      </c>
      <c r="F874" s="5">
        <f>+SUMIFS(FINANCIACION[$ CAPITAL],FINANCIACION[Fecha],"&lt;="&amp;FINANCIACION[[#This Row],[Fecha]],FINANCIACION[PRESTAMO],FINANCIACION[[#This Row],[PRESTAMO]])</f>
        <v>-39646800</v>
      </c>
      <c r="G874" s="53"/>
      <c r="H874" s="53"/>
      <c r="I874" s="5">
        <f>IF(FINANCIACION[[#This Row],[$ CAPITAL]]&gt;0,FINANCIACION[[#This Row],[$ CAPITAL]])</f>
        <v>1468400</v>
      </c>
      <c r="J874" s="33">
        <f>IF(FINANCIACION[[#This Row],[$ CAPITAL]]&gt;=0,FINANCIACION[[#This Row],[$ CAPITAL]]+FINANCIACION[[#This Row],[$ INTERESES]],0)</f>
        <v>1885744</v>
      </c>
    </row>
    <row r="875" spans="1:10" ht="24" hidden="1" customHeight="1" x14ac:dyDescent="0.3">
      <c r="A875" s="131">
        <v>44564</v>
      </c>
      <c r="B875" s="50" t="s">
        <v>147</v>
      </c>
      <c r="C875" s="5">
        <v>76791</v>
      </c>
      <c r="D875" s="5"/>
      <c r="E875" s="5">
        <f>+IF(FINANCIACION[[#This Row],[$ CAPITAL]]&gt;=0,FINANCIACION[[#This Row],[$ CAPITAL]]+FINANCIACION[[#This Row],[$ INTERESES]],"")</f>
        <v>76791</v>
      </c>
      <c r="F875" s="5">
        <f>+SUMIFS(FINANCIACION[$ CAPITAL],FINANCIACION[Fecha],"&lt;="&amp;FINANCIACION[[#This Row],[Fecha]],FINANCIACION[PRESTAMO],FINANCIACION[[#This Row],[PRESTAMO]])</f>
        <v>-2073357</v>
      </c>
      <c r="G875" s="53"/>
      <c r="H875" s="53"/>
      <c r="I875" s="5">
        <f>IF(FINANCIACION[[#This Row],[$ CAPITAL]]&gt;0,FINANCIACION[[#This Row],[$ CAPITAL]])</f>
        <v>76791</v>
      </c>
      <c r="J875" s="33">
        <f>IF(FINANCIACION[[#This Row],[$ CAPITAL]]&gt;=0,FINANCIACION[[#This Row],[$ CAPITAL]]+FINANCIACION[[#This Row],[$ INTERESES]],0)</f>
        <v>76791</v>
      </c>
    </row>
    <row r="876" spans="1:10" ht="24" hidden="1" customHeight="1" x14ac:dyDescent="0.3">
      <c r="A876" s="131">
        <v>44565</v>
      </c>
      <c r="B876" s="50" t="s">
        <v>549</v>
      </c>
      <c r="C876" s="5">
        <v>30000000</v>
      </c>
      <c r="D876" s="5">
        <v>465000</v>
      </c>
      <c r="E876" s="5">
        <f>+IF(FINANCIACION[[#This Row],[$ CAPITAL]]&gt;=0,FINANCIACION[[#This Row],[$ CAPITAL]]+FINANCIACION[[#This Row],[$ INTERESES]],"")</f>
        <v>30465000</v>
      </c>
      <c r="F876" s="5">
        <f>+SUMIFS(FINANCIACION[$ CAPITAL],FINANCIACION[Fecha],"&lt;="&amp;FINANCIACION[[#This Row],[Fecha]],FINANCIACION[PRESTAMO],FINANCIACION[[#This Row],[PRESTAMO]])</f>
        <v>0</v>
      </c>
      <c r="G876" s="53"/>
      <c r="H876" s="53"/>
      <c r="I876" s="5">
        <f>IF(FINANCIACION[[#This Row],[$ CAPITAL]]&gt;0,FINANCIACION[[#This Row],[$ CAPITAL]])</f>
        <v>30000000</v>
      </c>
      <c r="J876" s="33">
        <f>IF(FINANCIACION[[#This Row],[$ CAPITAL]]&gt;=0,FINANCIACION[[#This Row],[$ CAPITAL]]+FINANCIACION[[#This Row],[$ INTERESES]],0)</f>
        <v>30465000</v>
      </c>
    </row>
    <row r="877" spans="1:10" ht="24" hidden="1" customHeight="1" x14ac:dyDescent="0.3">
      <c r="A877" s="131">
        <v>44565</v>
      </c>
      <c r="B877" s="50" t="s">
        <v>150</v>
      </c>
      <c r="C877" s="5">
        <v>6326000</v>
      </c>
      <c r="D877" s="5">
        <v>1249384.54</v>
      </c>
      <c r="E877" s="5">
        <f>+IF(FINANCIACION[[#This Row],[$ CAPITAL]]&gt;=0,FINANCIACION[[#This Row],[$ CAPITAL]]+FINANCIACION[[#This Row],[$ INTERESES]],"")</f>
        <v>7575384.54</v>
      </c>
      <c r="F877" s="5">
        <f>+SUMIFS(FINANCIACION[$ CAPITAL],FINANCIACION[Fecha],"&lt;="&amp;FINANCIACION[[#This Row],[Fecha]],FINANCIACION[PRESTAMO],FINANCIACION[[#This Row],[PRESTAMO]])</f>
        <v>-9757126</v>
      </c>
      <c r="G877" s="53"/>
      <c r="H877" s="53"/>
      <c r="I877" s="5">
        <f>IF(FINANCIACION[[#This Row],[$ CAPITAL]]&gt;0,FINANCIACION[[#This Row],[$ CAPITAL]])</f>
        <v>6326000</v>
      </c>
      <c r="J877" s="33">
        <f>IF(FINANCIACION[[#This Row],[$ CAPITAL]]&gt;=0,FINANCIACION[[#This Row],[$ CAPITAL]]+FINANCIACION[[#This Row],[$ INTERESES]],0)</f>
        <v>7575384.54</v>
      </c>
    </row>
    <row r="878" spans="1:10" ht="24" hidden="1" customHeight="1" x14ac:dyDescent="0.3">
      <c r="A878" s="131">
        <v>44566</v>
      </c>
      <c r="B878" s="50" t="s">
        <v>155</v>
      </c>
      <c r="C878" s="5">
        <v>357536</v>
      </c>
      <c r="D878" s="5"/>
      <c r="E878" s="5">
        <f>+IF(FINANCIACION[[#This Row],[$ CAPITAL]]&gt;=0,FINANCIACION[[#This Row],[$ CAPITAL]]+FINANCIACION[[#This Row],[$ INTERESES]],"")</f>
        <v>357536</v>
      </c>
      <c r="F878" s="5">
        <f>+SUMIFS(FINANCIACION[$ CAPITAL],FINANCIACION[Fecha],"&lt;="&amp;FINANCIACION[[#This Row],[Fecha]],FINANCIACION[PRESTAMO],FINANCIACION[[#This Row],[PRESTAMO]])</f>
        <v>0</v>
      </c>
      <c r="G878" s="53"/>
      <c r="H878" s="53"/>
      <c r="I878" s="5">
        <f>IF(FINANCIACION[[#This Row],[$ CAPITAL]]&gt;0,FINANCIACION[[#This Row],[$ CAPITAL]])</f>
        <v>357536</v>
      </c>
      <c r="J878" s="33">
        <f>IF(FINANCIACION[[#This Row],[$ CAPITAL]]&gt;=0,FINANCIACION[[#This Row],[$ CAPITAL]]+FINANCIACION[[#This Row],[$ INTERESES]],0)</f>
        <v>357536</v>
      </c>
    </row>
    <row r="879" spans="1:10" ht="24" hidden="1" customHeight="1" x14ac:dyDescent="0.3">
      <c r="A879" s="131">
        <v>44567</v>
      </c>
      <c r="B879" s="50" t="s">
        <v>148</v>
      </c>
      <c r="C879" s="5"/>
      <c r="D879" s="5">
        <v>395585</v>
      </c>
      <c r="E879" s="5">
        <f>+IF(FINANCIACION[[#This Row],[$ CAPITAL]]&gt;=0,FINANCIACION[[#This Row],[$ CAPITAL]]+FINANCIACION[[#This Row],[$ INTERESES]],"")</f>
        <v>395585</v>
      </c>
      <c r="F879" s="5">
        <f>+SUMIFS(FINANCIACION[$ CAPITAL],FINANCIACION[Fecha],"&lt;="&amp;FINANCIACION[[#This Row],[Fecha]],FINANCIACION[PRESTAMO],FINANCIACION[[#This Row],[PRESTAMO]])</f>
        <v>0</v>
      </c>
      <c r="G879" s="53"/>
      <c r="H879" s="53"/>
      <c r="I879" s="5" t="b">
        <f>IF(FINANCIACION[[#This Row],[$ CAPITAL]]&gt;0,FINANCIACION[[#This Row],[$ CAPITAL]])</f>
        <v>0</v>
      </c>
      <c r="J879" s="33">
        <f>IF(FINANCIACION[[#This Row],[$ CAPITAL]]&gt;=0,FINANCIACION[[#This Row],[$ CAPITAL]]+FINANCIACION[[#This Row],[$ INTERESES]],0)</f>
        <v>395585</v>
      </c>
    </row>
    <row r="880" spans="1:10" ht="24" hidden="1" customHeight="1" x14ac:dyDescent="0.3">
      <c r="A880" s="131">
        <v>44572</v>
      </c>
      <c r="B880" s="50" t="s">
        <v>543</v>
      </c>
      <c r="C880" s="5"/>
      <c r="D880" s="5">
        <v>130000</v>
      </c>
      <c r="E880" s="5">
        <f>+IF(FINANCIACION[[#This Row],[$ CAPITAL]]&gt;=0,FINANCIACION[[#This Row],[$ CAPITAL]]+FINANCIACION[[#This Row],[$ INTERESES]],"")</f>
        <v>130000</v>
      </c>
      <c r="F880" s="5">
        <f>+SUMIFS(FINANCIACION[$ CAPITAL],FINANCIACION[Fecha],"&lt;="&amp;FINANCIACION[[#This Row],[Fecha]],FINANCIACION[PRESTAMO],FINANCIACION[[#This Row],[PRESTAMO]])</f>
        <v>-13000000</v>
      </c>
      <c r="G880" s="53"/>
      <c r="H880" s="53"/>
      <c r="I880" s="5" t="b">
        <f>IF(FINANCIACION[[#This Row],[$ CAPITAL]]&gt;0,FINANCIACION[[#This Row],[$ CAPITAL]])</f>
        <v>0</v>
      </c>
      <c r="J880" s="33">
        <f>IF(FINANCIACION[[#This Row],[$ CAPITAL]]&gt;=0,FINANCIACION[[#This Row],[$ CAPITAL]]+FINANCIACION[[#This Row],[$ INTERESES]],0)</f>
        <v>130000</v>
      </c>
    </row>
    <row r="881" spans="1:10" ht="24" hidden="1" customHeight="1" x14ac:dyDescent="0.3">
      <c r="A881" s="131">
        <v>44572</v>
      </c>
      <c r="B881" s="50" t="s">
        <v>547</v>
      </c>
      <c r="C881" s="5"/>
      <c r="D881" s="5">
        <v>400000</v>
      </c>
      <c r="E881" s="5">
        <f>+IF(FINANCIACION[[#This Row],[$ CAPITAL]]&gt;=0,FINANCIACION[[#This Row],[$ CAPITAL]]+FINANCIACION[[#This Row],[$ INTERESES]],"")</f>
        <v>400000</v>
      </c>
      <c r="F881" s="5">
        <f>+SUMIFS(FINANCIACION[$ CAPITAL],FINANCIACION[Fecha],"&lt;="&amp;FINANCIACION[[#This Row],[Fecha]],FINANCIACION[PRESTAMO],FINANCIACION[[#This Row],[PRESTAMO]])</f>
        <v>-40000000</v>
      </c>
      <c r="G881" s="53"/>
      <c r="H881" s="53"/>
      <c r="I881" s="5" t="b">
        <f>IF(FINANCIACION[[#This Row],[$ CAPITAL]]&gt;0,FINANCIACION[[#This Row],[$ CAPITAL]])</f>
        <v>0</v>
      </c>
      <c r="J881" s="33">
        <f>IF(FINANCIACION[[#This Row],[$ CAPITAL]]&gt;=0,FINANCIACION[[#This Row],[$ CAPITAL]]+FINANCIACION[[#This Row],[$ INTERESES]],0)</f>
        <v>400000</v>
      </c>
    </row>
    <row r="882" spans="1:10" ht="24" hidden="1" customHeight="1" x14ac:dyDescent="0.3">
      <c r="A882" s="131">
        <v>44572</v>
      </c>
      <c r="B882" s="50" t="s">
        <v>532</v>
      </c>
      <c r="C882" s="5">
        <v>1984832.5396928361</v>
      </c>
      <c r="D882" s="5">
        <v>692545.46030716388</v>
      </c>
      <c r="E882" s="5">
        <f>+IF(FINANCIACION[[#This Row],[$ CAPITAL]]&gt;=0,FINANCIACION[[#This Row],[$ CAPITAL]]+FINANCIACION[[#This Row],[$ INTERESES]],"")</f>
        <v>2677378</v>
      </c>
      <c r="F882" s="5">
        <f>+SUMIFS(FINANCIACION[$ CAPITAL],FINANCIACION[Fecha],"&lt;="&amp;FINANCIACION[[#This Row],[Fecha]],FINANCIACION[PRESTAMO],FINANCIACION[[#This Row],[PRESTAMO]])</f>
        <v>-67269713.491023555</v>
      </c>
      <c r="G882" s="53"/>
      <c r="H882" s="53"/>
      <c r="I882" s="5">
        <f>IF(FINANCIACION[[#This Row],[$ CAPITAL]]&gt;0,FINANCIACION[[#This Row],[$ CAPITAL]])</f>
        <v>1984832.5396928361</v>
      </c>
      <c r="J882" s="33">
        <f>IF(FINANCIACION[[#This Row],[$ CAPITAL]]&gt;=0,FINANCIACION[[#This Row],[$ CAPITAL]]+FINANCIACION[[#This Row],[$ INTERESES]],0)</f>
        <v>2677378</v>
      </c>
    </row>
    <row r="883" spans="1:10" ht="24" hidden="1" customHeight="1" x14ac:dyDescent="0.3">
      <c r="A883" s="131">
        <v>44572</v>
      </c>
      <c r="B883" s="50" t="s">
        <v>536</v>
      </c>
      <c r="C883" s="5">
        <v>764704.74227897299</v>
      </c>
      <c r="D883" s="5">
        <v>535295.25772102701</v>
      </c>
      <c r="E883" s="5">
        <f>+IF(FINANCIACION[[#This Row],[$ CAPITAL]]&gt;=0,FINANCIACION[[#This Row],[$ CAPITAL]]+FINANCIACION[[#This Row],[$ INTERESES]],"")</f>
        <v>1300000</v>
      </c>
      <c r="F883" s="5">
        <f>+SUMIFS(FINANCIACION[$ CAPITAL],FINANCIACION[Fecha],"&lt;="&amp;FINANCIACION[[#This Row],[Fecha]],FINANCIACION[PRESTAMO],FINANCIACION[[#This Row],[PRESTAMO]])</f>
        <v>-52764821.029823728</v>
      </c>
      <c r="G883" s="53"/>
      <c r="H883" s="53"/>
      <c r="I883" s="5">
        <f>IF(FINANCIACION[[#This Row],[$ CAPITAL]]&gt;0,FINANCIACION[[#This Row],[$ CAPITAL]])</f>
        <v>764704.74227897299</v>
      </c>
      <c r="J883" s="33">
        <f>IF(FINANCIACION[[#This Row],[$ CAPITAL]]&gt;=0,FINANCIACION[[#This Row],[$ CAPITAL]]+FINANCIACION[[#This Row],[$ INTERESES]],0)</f>
        <v>1300000</v>
      </c>
    </row>
    <row r="884" spans="1:10" ht="24" hidden="1" customHeight="1" x14ac:dyDescent="0.3">
      <c r="A884" s="131">
        <v>44572</v>
      </c>
      <c r="B884" s="50" t="s">
        <v>533</v>
      </c>
      <c r="C884" s="5">
        <v>496180.90231062786</v>
      </c>
      <c r="D884" s="5">
        <v>703819.09768937214</v>
      </c>
      <c r="E884" s="5">
        <f>+IF(FINANCIACION[[#This Row],[$ CAPITAL]]&gt;=0,FINANCIACION[[#This Row],[$ CAPITAL]]+FINANCIACION[[#This Row],[$ INTERESES]],"")</f>
        <v>1200000</v>
      </c>
      <c r="F884" s="5">
        <f>+SUMIFS(FINANCIACION[$ CAPITAL],FINANCIACION[Fecha],"&lt;="&amp;FINANCIACION[[#This Row],[Fecha]],FINANCIACION[PRESTAMO],FINANCIACION[[#This Row],[PRESTAMO]])</f>
        <v>-70056416.72662659</v>
      </c>
      <c r="G884" s="53"/>
      <c r="H884" s="53"/>
      <c r="I884" s="5">
        <f>IF(FINANCIACION[[#This Row],[$ CAPITAL]]&gt;0,FINANCIACION[[#This Row],[$ CAPITAL]])</f>
        <v>496180.90231062786</v>
      </c>
      <c r="J884" s="33">
        <f>IF(FINANCIACION[[#This Row],[$ CAPITAL]]&gt;=0,FINANCIACION[[#This Row],[$ CAPITAL]]+FINANCIACION[[#This Row],[$ INTERESES]],0)</f>
        <v>1200000</v>
      </c>
    </row>
    <row r="885" spans="1:10" ht="24" hidden="1" customHeight="1" x14ac:dyDescent="0.3">
      <c r="A885" s="131">
        <v>44572</v>
      </c>
      <c r="B885" s="50" t="s">
        <v>545</v>
      </c>
      <c r="C885" s="5"/>
      <c r="D885" s="5">
        <v>120000</v>
      </c>
      <c r="E885" s="5">
        <f>+IF(FINANCIACION[[#This Row],[$ CAPITAL]]&gt;=0,FINANCIACION[[#This Row],[$ CAPITAL]]+FINANCIACION[[#This Row],[$ INTERESES]],"")</f>
        <v>120000</v>
      </c>
      <c r="F885" s="5">
        <f>+SUMIFS(FINANCIACION[$ CAPITAL],FINANCIACION[Fecha],"&lt;="&amp;FINANCIACION[[#This Row],[Fecha]],FINANCIACION[PRESTAMO],FINANCIACION[[#This Row],[PRESTAMO]])</f>
        <v>-12000000</v>
      </c>
      <c r="G885" s="53"/>
      <c r="H885" s="53"/>
      <c r="I885" s="5" t="b">
        <f>IF(FINANCIACION[[#This Row],[$ CAPITAL]]&gt;0,FINANCIACION[[#This Row],[$ CAPITAL]])</f>
        <v>0</v>
      </c>
      <c r="J885" s="33">
        <f>IF(FINANCIACION[[#This Row],[$ CAPITAL]]&gt;=0,FINANCIACION[[#This Row],[$ CAPITAL]]+FINANCIACION[[#This Row],[$ INTERESES]],0)</f>
        <v>120000</v>
      </c>
    </row>
    <row r="886" spans="1:10" ht="24" hidden="1" customHeight="1" x14ac:dyDescent="0.3">
      <c r="A886" s="131">
        <v>44575</v>
      </c>
      <c r="B886" s="50" t="s">
        <v>153</v>
      </c>
      <c r="C886" s="5">
        <v>1944444</v>
      </c>
      <c r="D886" s="5">
        <v>246818.5</v>
      </c>
      <c r="E886" s="5">
        <f>+IF(FINANCIACION[[#This Row],[$ CAPITAL]]&gt;=0,FINANCIACION[[#This Row],[$ CAPITAL]]+FINANCIACION[[#This Row],[$ INTERESES]],"")</f>
        <v>2191262.5</v>
      </c>
      <c r="F886" s="5">
        <f>+SUMIFS(FINANCIACION[$ CAPITAL],FINANCIACION[Fecha],"&lt;="&amp;FINANCIACION[[#This Row],[Fecha]],FINANCIACION[PRESTAMO],FINANCIACION[[#This Row],[PRESTAMO]])</f>
        <v>-31111112</v>
      </c>
      <c r="G886" s="53"/>
      <c r="H886" s="53"/>
      <c r="I886" s="5">
        <f>IF(FINANCIACION[[#This Row],[$ CAPITAL]]&gt;0,FINANCIACION[[#This Row],[$ CAPITAL]])</f>
        <v>1944444</v>
      </c>
      <c r="J886" s="33">
        <f>IF(FINANCIACION[[#This Row],[$ CAPITAL]]&gt;=0,FINANCIACION[[#This Row],[$ CAPITAL]]+FINANCIACION[[#This Row],[$ INTERESES]],0)</f>
        <v>2191262.5</v>
      </c>
    </row>
    <row r="887" spans="1:10" ht="24" hidden="1" customHeight="1" x14ac:dyDescent="0.3">
      <c r="A887" s="131">
        <v>44578</v>
      </c>
      <c r="B887" s="50" t="s">
        <v>331</v>
      </c>
      <c r="C887" s="5">
        <v>-57896217.960000001</v>
      </c>
      <c r="D887" s="5"/>
      <c r="E887" s="5" t="str">
        <f>+IF(FINANCIACION[[#This Row],[$ CAPITAL]]&gt;=0,FINANCIACION[[#This Row],[$ CAPITAL]]+FINANCIACION[[#This Row],[$ INTERESES]],"")</f>
        <v/>
      </c>
      <c r="F887" s="5">
        <f>+SUMIFS(FINANCIACION[$ CAPITAL],FINANCIACION[Fecha],"&lt;="&amp;FINANCIACION[[#This Row],[Fecha]],FINANCIACION[PRESTAMO],FINANCIACION[[#This Row],[PRESTAMO]])</f>
        <v>-57896217.960000001</v>
      </c>
      <c r="G887" s="53" t="s">
        <v>1091</v>
      </c>
      <c r="H887" s="53"/>
      <c r="I887" s="5" t="b">
        <f>IF(FINANCIACION[[#This Row],[$ CAPITAL]]&gt;0,FINANCIACION[[#This Row],[$ CAPITAL]])</f>
        <v>0</v>
      </c>
      <c r="J887" s="33">
        <f>IF(FINANCIACION[[#This Row],[$ CAPITAL]]&gt;=0,FINANCIACION[[#This Row],[$ CAPITAL]]+FINANCIACION[[#This Row],[$ INTERESES]],0)</f>
        <v>0</v>
      </c>
    </row>
    <row r="888" spans="1:10" ht="24" hidden="1" customHeight="1" x14ac:dyDescent="0.3">
      <c r="A888" s="131">
        <v>44579</v>
      </c>
      <c r="B888" s="50" t="s">
        <v>546</v>
      </c>
      <c r="C888" s="5">
        <v>1080029.21</v>
      </c>
      <c r="D888" s="5">
        <v>136970.79</v>
      </c>
      <c r="E888" s="5">
        <f>+IF(FINANCIACION[[#This Row],[$ CAPITAL]]&gt;=0,FINANCIACION[[#This Row],[$ CAPITAL]]+FINANCIACION[[#This Row],[$ INTERESES]],"")</f>
        <v>1217000</v>
      </c>
      <c r="F888" s="5">
        <f>+SUMIFS(FINANCIACION[$ CAPITAL],FINANCIACION[Fecha],"&lt;="&amp;FINANCIACION[[#This Row],[Fecha]],FINANCIACION[PRESTAMO],FINANCIACION[[#This Row],[PRESTAMO]])</f>
        <v>-17690624.41</v>
      </c>
      <c r="G888" s="53"/>
      <c r="H888" s="53"/>
      <c r="I888" s="5">
        <f>IF(FINANCIACION[[#This Row],[$ CAPITAL]]&gt;0,FINANCIACION[[#This Row],[$ CAPITAL]])</f>
        <v>1080029.21</v>
      </c>
      <c r="J888" s="33">
        <f>IF(FINANCIACION[[#This Row],[$ CAPITAL]]&gt;=0,FINANCIACION[[#This Row],[$ CAPITAL]]+FINANCIACION[[#This Row],[$ INTERESES]],0)</f>
        <v>1217000</v>
      </c>
    </row>
    <row r="889" spans="1:10" ht="24" hidden="1" customHeight="1" x14ac:dyDescent="0.3">
      <c r="A889" s="131">
        <v>44579</v>
      </c>
      <c r="B889" s="50" t="s">
        <v>540</v>
      </c>
      <c r="C889" s="5">
        <v>857747.04</v>
      </c>
      <c r="D889" s="5">
        <v>121252.96</v>
      </c>
      <c r="E889" s="5">
        <f>+IF(FINANCIACION[[#This Row],[$ CAPITAL]]&gt;=0,FINANCIACION[[#This Row],[$ CAPITAL]]+FINANCIACION[[#This Row],[$ INTERESES]],"")</f>
        <v>979000</v>
      </c>
      <c r="F889" s="5">
        <f>+SUMIFS(FINANCIACION[$ CAPITAL],FINANCIACION[Fecha],"&lt;="&amp;FINANCIACION[[#This Row],[Fecha]],FINANCIACION[PRESTAMO],FINANCIACION[[#This Row],[PRESTAMO]])</f>
        <v>-15744456.239999995</v>
      </c>
      <c r="G889" s="53"/>
      <c r="H889" s="53"/>
      <c r="I889" s="5">
        <f>IF(FINANCIACION[[#This Row],[$ CAPITAL]]&gt;0,FINANCIACION[[#This Row],[$ CAPITAL]])</f>
        <v>857747.04</v>
      </c>
      <c r="J889" s="33">
        <f>IF(FINANCIACION[[#This Row],[$ CAPITAL]]&gt;=0,FINANCIACION[[#This Row],[$ CAPITAL]]+FINANCIACION[[#This Row],[$ INTERESES]],0)</f>
        <v>979000</v>
      </c>
    </row>
    <row r="890" spans="1:10" ht="24" hidden="1" customHeight="1" x14ac:dyDescent="0.3">
      <c r="A890" s="131">
        <v>44579</v>
      </c>
      <c r="B890" s="50" t="s">
        <v>548</v>
      </c>
      <c r="C890" s="5">
        <v>831.03</v>
      </c>
      <c r="D890" s="5">
        <v>541168.97</v>
      </c>
      <c r="E890" s="5">
        <f>+IF(FINANCIACION[[#This Row],[$ CAPITAL]]&gt;=0,FINANCIACION[[#This Row],[$ CAPITAL]]+FINANCIACION[[#This Row],[$ INTERESES]],"")</f>
        <v>542000</v>
      </c>
      <c r="F890" s="5">
        <f>+SUMIFS(FINANCIACION[$ CAPITAL],FINANCIACION[Fecha],"&lt;="&amp;FINANCIACION[[#This Row],[Fecha]],FINANCIACION[PRESTAMO],FINANCIACION[[#This Row],[PRESTAMO]])</f>
        <v>-82320576.00999999</v>
      </c>
      <c r="G890" s="53"/>
      <c r="H890" s="53"/>
      <c r="I890" s="5">
        <f>+IF(FINANCIACION[[#This Row],[$ CAPITAL]]&gt;0,FINANCIACION[[#This Row],[$ CAPITAL]])</f>
        <v>831.03</v>
      </c>
      <c r="J890" s="33">
        <f>+IF(FINANCIACION[[#This Row],[$ CAPITAL]]&gt;=0,FINANCIACION[[#This Row],[$ CAPITAL]]+FINANCIACION[[#This Row],[$ INTERESES]],0)</f>
        <v>542000</v>
      </c>
    </row>
    <row r="891" spans="1:10" ht="24" hidden="1" customHeight="1" x14ac:dyDescent="0.3">
      <c r="A891" s="131">
        <v>44579</v>
      </c>
      <c r="B891" s="50" t="s">
        <v>542</v>
      </c>
      <c r="C891" s="5">
        <v>898290.36</v>
      </c>
      <c r="D891" s="5">
        <v>134709.64000000001</v>
      </c>
      <c r="E891" s="5">
        <f>+IF(FINANCIACION[[#This Row],[$ CAPITAL]]&gt;=0,FINANCIACION[[#This Row],[$ CAPITAL]]+FINANCIACION[[#This Row],[$ INTERESES]],"")</f>
        <v>1033000</v>
      </c>
      <c r="F891" s="5">
        <f>+SUMIFS(FINANCIACION[$ CAPITAL],FINANCIACION[Fecha],"&lt;="&amp;FINANCIACION[[#This Row],[Fecha]],FINANCIACION[PRESTAMO],FINANCIACION[[#This Row],[PRESTAMO]])</f>
        <v>-17433419.309999995</v>
      </c>
      <c r="G891" s="53"/>
      <c r="H891" s="53"/>
      <c r="I891" s="5">
        <f>IF(FINANCIACION[[#This Row],[$ CAPITAL]]&gt;0,FINANCIACION[[#This Row],[$ CAPITAL]])</f>
        <v>898290.36</v>
      </c>
      <c r="J891" s="33">
        <f>IF(FINANCIACION[[#This Row],[$ CAPITAL]]&gt;=0,FINANCIACION[[#This Row],[$ CAPITAL]]+FINANCIACION[[#This Row],[$ INTERESES]],0)</f>
        <v>1033000</v>
      </c>
    </row>
    <row r="892" spans="1:10" ht="24" hidden="1" customHeight="1" x14ac:dyDescent="0.3">
      <c r="A892" s="131">
        <v>44579</v>
      </c>
      <c r="B892" s="50" t="s">
        <v>538</v>
      </c>
      <c r="C892" s="5">
        <v>2180296.02</v>
      </c>
      <c r="D892" s="5">
        <v>294703.98</v>
      </c>
      <c r="E892" s="5">
        <f>+IF(FINANCIACION[[#This Row],[$ CAPITAL]]&gt;=0,FINANCIACION[[#This Row],[$ CAPITAL]]+FINANCIACION[[#This Row],[$ INTERESES]],"")</f>
        <v>2475000</v>
      </c>
      <c r="F892" s="5">
        <f>+SUMIFS(FINANCIACION[$ CAPITAL],FINANCIACION[Fecha],"&lt;="&amp;FINANCIACION[[#This Row],[Fecha]],FINANCIACION[PRESTAMO],FINANCIACION[[#This Row],[PRESTAMO]])</f>
        <v>-38018466.950000003</v>
      </c>
      <c r="G892" s="53"/>
      <c r="H892" s="53"/>
      <c r="I892" s="5">
        <f>IF(FINANCIACION[[#This Row],[$ CAPITAL]]&gt;0,FINANCIACION[[#This Row],[$ CAPITAL]])</f>
        <v>2180296.02</v>
      </c>
      <c r="J892" s="33">
        <f>IF(FINANCIACION[[#This Row],[$ CAPITAL]]&gt;=0,FINANCIACION[[#This Row],[$ CAPITAL]]+FINANCIACION[[#This Row],[$ INTERESES]],0)</f>
        <v>2475000</v>
      </c>
    </row>
    <row r="893" spans="1:10" ht="24" hidden="1" customHeight="1" x14ac:dyDescent="0.3">
      <c r="A893" s="131">
        <v>44579</v>
      </c>
      <c r="B893" s="50" t="s">
        <v>539</v>
      </c>
      <c r="C893" s="5">
        <v>3165100.09</v>
      </c>
      <c r="D893" s="5">
        <v>469899.91</v>
      </c>
      <c r="E893" s="5">
        <f>+IF(FINANCIACION[[#This Row],[$ CAPITAL]]&gt;=0,FINANCIACION[[#This Row],[$ CAPITAL]]+FINANCIACION[[#This Row],[$ INTERESES]],"")</f>
        <v>3635000</v>
      </c>
      <c r="F893" s="5">
        <f>+SUMIFS(FINANCIACION[$ CAPITAL],FINANCIACION[Fecha],"&lt;="&amp;FINANCIACION[[#This Row],[Fecha]],FINANCIACION[PRESTAMO],FINANCIACION[[#This Row],[PRESTAMO]])</f>
        <v>-55236742.439999998</v>
      </c>
      <c r="G893" s="53"/>
      <c r="H893" s="53"/>
      <c r="I893" s="5">
        <f>IF(FINANCIACION[[#This Row],[$ CAPITAL]]&gt;0,FINANCIACION[[#This Row],[$ CAPITAL]])</f>
        <v>3165100.09</v>
      </c>
      <c r="J893" s="33">
        <f>IF(FINANCIACION[[#This Row],[$ CAPITAL]]&gt;=0,FINANCIACION[[#This Row],[$ CAPITAL]]+FINANCIACION[[#This Row],[$ INTERESES]],0)</f>
        <v>3635000</v>
      </c>
    </row>
    <row r="894" spans="1:10" ht="24" hidden="1" customHeight="1" x14ac:dyDescent="0.3">
      <c r="A894" s="131">
        <v>44579</v>
      </c>
      <c r="B894" s="50" t="s">
        <v>534</v>
      </c>
      <c r="C894" s="5">
        <v>506866</v>
      </c>
      <c r="D894" s="5">
        <v>5475236</v>
      </c>
      <c r="E894" s="5">
        <f>+IF(FINANCIACION[[#This Row],[$ CAPITAL]]&gt;=0,FINANCIACION[[#This Row],[$ CAPITAL]]+FINANCIACION[[#This Row],[$ INTERESES]],"")</f>
        <v>5982102</v>
      </c>
      <c r="F894" s="5">
        <f>+SUMIFS(FINANCIACION[$ CAPITAL],FINANCIACION[Fecha],"&lt;="&amp;FINANCIACION[[#This Row],[Fecha]],FINANCIACION[PRESTAMO],FINANCIACION[[#This Row],[PRESTAMO]])</f>
        <v>-388417656</v>
      </c>
      <c r="G894" s="53"/>
      <c r="H894" s="53"/>
      <c r="I894" s="5">
        <f>IF(FINANCIACION[[#This Row],[$ CAPITAL]]&gt;0,FINANCIACION[[#This Row],[$ CAPITAL]])</f>
        <v>506866</v>
      </c>
      <c r="J894" s="33">
        <f>IF(FINANCIACION[[#This Row],[$ CAPITAL]]&gt;=0,FINANCIACION[[#This Row],[$ CAPITAL]]+FINANCIACION[[#This Row],[$ INTERESES]],0)</f>
        <v>5982102</v>
      </c>
    </row>
    <row r="895" spans="1:10" ht="24" hidden="1" customHeight="1" x14ac:dyDescent="0.3">
      <c r="A895" s="131">
        <v>44579</v>
      </c>
      <c r="B895" s="50" t="s">
        <v>535</v>
      </c>
      <c r="C895" s="5">
        <v>1312621.1000000001</v>
      </c>
      <c r="D895" s="5">
        <v>155378.9</v>
      </c>
      <c r="E895" s="5">
        <f>+IF(FINANCIACION[[#This Row],[$ CAPITAL]]&gt;=0,FINANCIACION[[#This Row],[$ CAPITAL]]+FINANCIACION[[#This Row],[$ INTERESES]],"")</f>
        <v>1468000</v>
      </c>
      <c r="F895" s="5">
        <f>+SUMIFS(FINANCIACION[$ CAPITAL],FINANCIACION[Fecha],"&lt;="&amp;FINANCIACION[[#This Row],[Fecha]],FINANCIACION[PRESTAMO],FINANCIACION[[#This Row],[PRESTAMO]])</f>
        <v>-20060826.500000004</v>
      </c>
      <c r="G895" s="53"/>
      <c r="H895" s="53"/>
      <c r="I895" s="5">
        <f>IF(FINANCIACION[[#This Row],[$ CAPITAL]]&gt;0,FINANCIACION[[#This Row],[$ CAPITAL]])</f>
        <v>1312621.1000000001</v>
      </c>
      <c r="J895" s="33">
        <f>IF(FINANCIACION[[#This Row],[$ CAPITAL]]&gt;=0,FINANCIACION[[#This Row],[$ CAPITAL]]+FINANCIACION[[#This Row],[$ INTERESES]],0)</f>
        <v>1468000</v>
      </c>
    </row>
    <row r="896" spans="1:10" ht="24" hidden="1" customHeight="1" x14ac:dyDescent="0.3">
      <c r="A896" s="131">
        <v>44580</v>
      </c>
      <c r="B896" s="50" t="s">
        <v>501</v>
      </c>
      <c r="C896" s="5">
        <v>4500000</v>
      </c>
      <c r="D896" s="5">
        <v>90000</v>
      </c>
      <c r="E896" s="5">
        <f>+IF(FINANCIACION[[#This Row],[$ CAPITAL]]&gt;=0,FINANCIACION[[#This Row],[$ CAPITAL]]+FINANCIACION[[#This Row],[$ INTERESES]],"")</f>
        <v>4590000</v>
      </c>
      <c r="F896" s="5">
        <f>+SUMIFS(FINANCIACION[$ CAPITAL],FINANCIACION[Fecha],"&lt;="&amp;FINANCIACION[[#This Row],[Fecha]],FINANCIACION[PRESTAMO],FINANCIACION[[#This Row],[PRESTAMO]])</f>
        <v>0</v>
      </c>
      <c r="G896" s="53"/>
      <c r="H896" s="53"/>
      <c r="I896" s="5">
        <f>+IF(FINANCIACION[[#This Row],[$ CAPITAL]]&gt;0,FINANCIACION[[#This Row],[$ CAPITAL]])</f>
        <v>4500000</v>
      </c>
      <c r="J896" s="33">
        <f>+IF(FINANCIACION[[#This Row],[$ CAPITAL]]&gt;=0,FINANCIACION[[#This Row],[$ CAPITAL]]+FINANCIACION[[#This Row],[$ INTERESES]],0)</f>
        <v>4590000</v>
      </c>
    </row>
    <row r="897" spans="1:10" ht="24" hidden="1" customHeight="1" x14ac:dyDescent="0.3">
      <c r="A897" s="131">
        <v>44581</v>
      </c>
      <c r="B897" s="50" t="s">
        <v>1488</v>
      </c>
      <c r="C897" s="5">
        <v>628891</v>
      </c>
      <c r="D897" s="5"/>
      <c r="E897" s="5">
        <f>+IF(FINANCIACION[[#This Row],[$ CAPITAL]]&gt;=0,FINANCIACION[[#This Row],[$ CAPITAL]]+FINANCIACION[[#This Row],[$ INTERESES]],"")</f>
        <v>628891</v>
      </c>
      <c r="F897" s="5">
        <f>+SUMIFS(FINANCIACION[$ CAPITAL],FINANCIACION[Fecha],"&lt;="&amp;FINANCIACION[[#This Row],[Fecha]],FINANCIACION[PRESTAMO],FINANCIACION[[#This Row],[PRESTAMO]])</f>
        <v>26491</v>
      </c>
      <c r="G897" s="53"/>
      <c r="H897" s="53"/>
      <c r="I897" s="5">
        <f>+IF(FINANCIACION[[#This Row],[$ CAPITAL]]&gt;0,FINANCIACION[[#This Row],[$ CAPITAL]])</f>
        <v>628891</v>
      </c>
      <c r="J897" s="33">
        <f>+IF(FINANCIACION[[#This Row],[$ CAPITAL]]&gt;=0,FINANCIACION[[#This Row],[$ CAPITAL]]+FINANCIACION[[#This Row],[$ INTERESES]],0)</f>
        <v>628891</v>
      </c>
    </row>
    <row r="898" spans="1:10" ht="24" hidden="1" customHeight="1" x14ac:dyDescent="0.3">
      <c r="A898" s="131">
        <v>44581</v>
      </c>
      <c r="B898" s="50" t="s">
        <v>154</v>
      </c>
      <c r="C898" s="5">
        <v>2001975</v>
      </c>
      <c r="D898" s="5"/>
      <c r="E898" s="5">
        <f>+IF(FINANCIACION[[#This Row],[$ CAPITAL]]&gt;=0,FINANCIACION[[#This Row],[$ CAPITAL]]+FINANCIACION[[#This Row],[$ INTERESES]],"")</f>
        <v>2001975</v>
      </c>
      <c r="F898" s="5">
        <f>+SUMIFS(FINANCIACION[$ CAPITAL],FINANCIACION[Fecha],"&lt;="&amp;FINANCIACION[[#This Row],[Fecha]],FINANCIACION[PRESTAMO],FINANCIACION[[#This Row],[PRESTAMO]])</f>
        <v>-18559525</v>
      </c>
      <c r="G898" s="53"/>
      <c r="H898" s="53"/>
      <c r="I898" s="5">
        <f>+IF(FINANCIACION[[#This Row],[$ CAPITAL]]&gt;0,FINANCIACION[[#This Row],[$ CAPITAL]])</f>
        <v>2001975</v>
      </c>
      <c r="J898" s="33">
        <f>+IF(FINANCIACION[[#This Row],[$ CAPITAL]]&gt;=0,FINANCIACION[[#This Row],[$ CAPITAL]]+FINANCIACION[[#This Row],[$ INTERESES]],0)</f>
        <v>2001975</v>
      </c>
    </row>
    <row r="899" spans="1:10" ht="24" hidden="1" customHeight="1" x14ac:dyDescent="0.3">
      <c r="A899" s="131">
        <v>44592</v>
      </c>
      <c r="B899" s="50" t="s">
        <v>550</v>
      </c>
      <c r="C899" s="5">
        <v>-23305032.5</v>
      </c>
      <c r="D899" s="5"/>
      <c r="E899" s="5" t="str">
        <f>+IF(FINANCIACION[[#This Row],[$ CAPITAL]]&gt;=0,FINANCIACION[[#This Row],[$ CAPITAL]]+FINANCIACION[[#This Row],[$ INTERESES]],"")</f>
        <v/>
      </c>
      <c r="F899" s="5">
        <f>+SUMIFS(FINANCIACION[$ CAPITAL],FINANCIACION[Fecha],"&lt;="&amp;FINANCIACION[[#This Row],[Fecha]],FINANCIACION[PRESTAMO],FINANCIACION[[#This Row],[PRESTAMO]])</f>
        <v>-23305032.5</v>
      </c>
      <c r="G899" s="53" t="s">
        <v>551</v>
      </c>
      <c r="H899" s="53"/>
      <c r="I899" s="5" t="b">
        <f>+IF(FINANCIACION[[#This Row],[$ CAPITAL]]&gt;0,FINANCIACION[[#This Row],[$ CAPITAL]])</f>
        <v>0</v>
      </c>
      <c r="J899" s="33">
        <f>+IF(FINANCIACION[[#This Row],[$ CAPITAL]]&gt;=0,FINANCIACION[[#This Row],[$ CAPITAL]]+FINANCIACION[[#This Row],[$ INTERESES]],0)</f>
        <v>0</v>
      </c>
    </row>
    <row r="900" spans="1:10" ht="24" hidden="1" customHeight="1" x14ac:dyDescent="0.3">
      <c r="A900" s="131">
        <v>44592</v>
      </c>
      <c r="B900" s="50" t="s">
        <v>146</v>
      </c>
      <c r="C900" s="5">
        <v>1468400</v>
      </c>
      <c r="D900" s="5">
        <v>417717</v>
      </c>
      <c r="E900" s="5">
        <f>+IF(FINANCIACION[[#This Row],[$ CAPITAL]]&gt;=0,FINANCIACION[[#This Row],[$ CAPITAL]]+FINANCIACION[[#This Row],[$ INTERESES]],"")</f>
        <v>1886117</v>
      </c>
      <c r="F900" s="5">
        <f>+SUMIFS(FINANCIACION[$ CAPITAL],FINANCIACION[Fecha],"&lt;="&amp;FINANCIACION[[#This Row],[Fecha]],FINANCIACION[PRESTAMO],FINANCIACION[[#This Row],[PRESTAMO]])</f>
        <v>-38178400</v>
      </c>
      <c r="G900" s="53"/>
      <c r="H900" s="53">
        <v>-14434.36</v>
      </c>
      <c r="I900" s="5">
        <f>+IF(FINANCIACION[[#This Row],[$ CAPITAL]]&gt;0,FINANCIACION[[#This Row],[$ CAPITAL]])</f>
        <v>1468400</v>
      </c>
      <c r="J900" s="33">
        <f>+IF(FINANCIACION[[#This Row],[$ CAPITAL]]&gt;=0,FINANCIACION[[#This Row],[$ CAPITAL]]+FINANCIACION[[#This Row],[$ INTERESES]],0)</f>
        <v>1886117</v>
      </c>
    </row>
    <row r="901" spans="1:10" ht="24" hidden="1" customHeight="1" x14ac:dyDescent="0.3">
      <c r="A901" s="131">
        <v>44592</v>
      </c>
      <c r="B901" s="50" t="s">
        <v>147</v>
      </c>
      <c r="C901" s="5">
        <v>76791</v>
      </c>
      <c r="D901" s="5"/>
      <c r="E901" s="5">
        <f>+IF(FINANCIACION[[#This Row],[$ CAPITAL]]&gt;=0,FINANCIACION[[#This Row],[$ CAPITAL]]+FINANCIACION[[#This Row],[$ INTERESES]],"")</f>
        <v>76791</v>
      </c>
      <c r="F901" s="5">
        <f>+SUMIFS(FINANCIACION[$ CAPITAL],FINANCIACION[Fecha],"&lt;="&amp;FINANCIACION[[#This Row],[Fecha]],FINANCIACION[PRESTAMO],FINANCIACION[[#This Row],[PRESTAMO]])</f>
        <v>-1996566</v>
      </c>
      <c r="G901" s="53"/>
      <c r="H901" s="53"/>
      <c r="I901" s="5">
        <f>+IF(FINANCIACION[[#This Row],[$ CAPITAL]]&gt;0,FINANCIACION[[#This Row],[$ CAPITAL]])</f>
        <v>76791</v>
      </c>
      <c r="J901" s="33">
        <f>+IF(FINANCIACION[[#This Row],[$ CAPITAL]]&gt;=0,FINANCIACION[[#This Row],[$ CAPITAL]]+FINANCIACION[[#This Row],[$ INTERESES]],0)</f>
        <v>76791</v>
      </c>
    </row>
    <row r="902" spans="1:10" ht="24" hidden="1" customHeight="1" x14ac:dyDescent="0.3">
      <c r="A902" s="131">
        <v>44592</v>
      </c>
      <c r="B902" s="50" t="s">
        <v>148</v>
      </c>
      <c r="C902" s="5"/>
      <c r="D902" s="5">
        <v>142099</v>
      </c>
      <c r="E902" s="5">
        <f>+IF(FINANCIACION[[#This Row],[$ CAPITAL]]&gt;=0,FINANCIACION[[#This Row],[$ CAPITAL]]+FINANCIACION[[#This Row],[$ INTERESES]],"")</f>
        <v>142099</v>
      </c>
      <c r="F902" s="5">
        <f>+SUMIFS(FINANCIACION[$ CAPITAL],FINANCIACION[Fecha],"&lt;="&amp;FINANCIACION[[#This Row],[Fecha]],FINANCIACION[PRESTAMO],FINANCIACION[[#This Row],[PRESTAMO]])</f>
        <v>0</v>
      </c>
      <c r="G902" s="53"/>
      <c r="H902" s="53"/>
      <c r="I902" s="5" t="b">
        <f>+IF(FINANCIACION[[#This Row],[$ CAPITAL]]&gt;0,FINANCIACION[[#This Row],[$ CAPITAL]])</f>
        <v>0</v>
      </c>
      <c r="J902" s="33">
        <f>+IF(FINANCIACION[[#This Row],[$ CAPITAL]]&gt;=0,FINANCIACION[[#This Row],[$ CAPITAL]]+FINANCIACION[[#This Row],[$ INTERESES]],0)</f>
        <v>142099</v>
      </c>
    </row>
    <row r="903" spans="1:10" ht="24" hidden="1" customHeight="1" x14ac:dyDescent="0.3">
      <c r="A903" s="131">
        <v>44592</v>
      </c>
      <c r="B903" s="50" t="s">
        <v>206</v>
      </c>
      <c r="C903" s="5">
        <v>1498393</v>
      </c>
      <c r="D903" s="5"/>
      <c r="E903" s="5">
        <f>+IF(FINANCIACION[[#This Row],[$ CAPITAL]]&gt;=0,FINANCIACION[[#This Row],[$ CAPITAL]]+FINANCIACION[[#This Row],[$ INTERESES]],"")</f>
        <v>1498393</v>
      </c>
      <c r="F903" s="5">
        <f>+SUMIFS(FINANCIACION[$ CAPITAL],FINANCIACION[Fecha],"&lt;="&amp;FINANCIACION[[#This Row],[Fecha]],FINANCIACION[PRESTAMO],FINANCIACION[[#This Row],[PRESTAMO]])</f>
        <v>-59935720</v>
      </c>
      <c r="G903" s="53"/>
      <c r="H903" s="53"/>
      <c r="I903" s="5">
        <f>+IF(FINANCIACION[[#This Row],[$ CAPITAL]]&gt;0,FINANCIACION[[#This Row],[$ CAPITAL]])</f>
        <v>1498393</v>
      </c>
      <c r="J903" s="33">
        <f>+IF(FINANCIACION[[#This Row],[$ CAPITAL]]&gt;=0,FINANCIACION[[#This Row],[$ CAPITAL]]+FINANCIACION[[#This Row],[$ INTERESES]],0)</f>
        <v>1498393</v>
      </c>
    </row>
    <row r="904" spans="1:10" ht="24" hidden="1" customHeight="1" x14ac:dyDescent="0.3">
      <c r="A904" s="131">
        <v>44592</v>
      </c>
      <c r="B904" s="50" t="s">
        <v>234</v>
      </c>
      <c r="C904" s="5">
        <v>592703</v>
      </c>
      <c r="D904" s="5"/>
      <c r="E904" s="5">
        <f>+IF(FINANCIACION[[#This Row],[$ CAPITAL]]&gt;=0,FINANCIACION[[#This Row],[$ CAPITAL]]+FINANCIACION[[#This Row],[$ INTERESES]],"")</f>
        <v>592703</v>
      </c>
      <c r="F904" s="5">
        <f>+SUMIFS(FINANCIACION[$ CAPITAL],FINANCIACION[Fecha],"&lt;="&amp;FINANCIACION[[#This Row],[Fecha]],FINANCIACION[PRESTAMO],FINANCIACION[[#This Row],[PRESTAMO]])</f>
        <v>-23708120</v>
      </c>
      <c r="G904" s="53"/>
      <c r="H904" s="53"/>
      <c r="I904" s="5">
        <f>+IF(FINANCIACION[[#This Row],[$ CAPITAL]]&gt;0,FINANCIACION[[#This Row],[$ CAPITAL]])</f>
        <v>592703</v>
      </c>
      <c r="J904" s="33">
        <f>+IF(FINANCIACION[[#This Row],[$ CAPITAL]]&gt;=0,FINANCIACION[[#This Row],[$ CAPITAL]]+FINANCIACION[[#This Row],[$ INTERESES]],0)</f>
        <v>592703</v>
      </c>
    </row>
    <row r="905" spans="1:10" ht="24" hidden="1" customHeight="1" x14ac:dyDescent="0.3">
      <c r="A905" s="131">
        <v>44592</v>
      </c>
      <c r="B905" s="50" t="s">
        <v>272</v>
      </c>
      <c r="C905" s="5">
        <v>1368769</v>
      </c>
      <c r="D905" s="5"/>
      <c r="E905" s="5">
        <f>+IF(FINANCIACION[[#This Row],[$ CAPITAL]]&gt;=0,FINANCIACION[[#This Row],[$ CAPITAL]]+FINANCIACION[[#This Row],[$ INTERESES]],"")</f>
        <v>1368769</v>
      </c>
      <c r="F905" s="5">
        <f>+SUMIFS(FINANCIACION[$ CAPITAL],FINANCIACION[Fecha],"&lt;="&amp;FINANCIACION[[#This Row],[Fecha]],FINANCIACION[PRESTAMO],FINANCIACION[[#This Row],[PRESTAMO]])</f>
        <v>-54750760</v>
      </c>
      <c r="G905" s="53" t="s">
        <v>170</v>
      </c>
      <c r="H905" s="53"/>
      <c r="I905" s="5">
        <f>+IF(FINANCIACION[[#This Row],[$ CAPITAL]]&gt;0,FINANCIACION[[#This Row],[$ CAPITAL]])</f>
        <v>1368769</v>
      </c>
      <c r="J905" s="33">
        <f>+IF(FINANCIACION[[#This Row],[$ CAPITAL]]&gt;=0,FINANCIACION[[#This Row],[$ CAPITAL]]+FINANCIACION[[#This Row],[$ INTERESES]],0)</f>
        <v>1368769</v>
      </c>
    </row>
    <row r="906" spans="1:10" ht="24" hidden="1" customHeight="1" x14ac:dyDescent="0.3">
      <c r="A906" s="131">
        <v>44592</v>
      </c>
      <c r="B906" s="50" t="s">
        <v>331</v>
      </c>
      <c r="C906" s="5">
        <v>158777.96000000089</v>
      </c>
      <c r="D906" s="5"/>
      <c r="E906" s="5">
        <f>+IF(FINANCIACION[[#This Row],[$ CAPITAL]]&gt;=0,FINANCIACION[[#This Row],[$ CAPITAL]]+FINANCIACION[[#This Row],[$ INTERESES]],"")</f>
        <v>158777.96000000089</v>
      </c>
      <c r="F906" s="5">
        <f>+SUMIFS(FINANCIACION[$ CAPITAL],FINANCIACION[Fecha],"&lt;="&amp;FINANCIACION[[#This Row],[Fecha]],FINANCIACION[PRESTAMO],FINANCIACION[[#This Row],[PRESTAMO]])</f>
        <v>-57737440</v>
      </c>
      <c r="G906" s="53" t="s">
        <v>170</v>
      </c>
      <c r="H906" s="53"/>
      <c r="I906" s="5">
        <f>+IF(FINANCIACION[[#This Row],[$ CAPITAL]]&gt;0,FINANCIACION[[#This Row],[$ CAPITAL]])</f>
        <v>158777.96000000089</v>
      </c>
      <c r="J906" s="33">
        <f>+IF(FINANCIACION[[#This Row],[$ CAPITAL]]&gt;=0,FINANCIACION[[#This Row],[$ CAPITAL]]+FINANCIACION[[#This Row],[$ INTERESES]],0)</f>
        <v>158777.96000000089</v>
      </c>
    </row>
    <row r="907" spans="1:10" ht="24" hidden="1" customHeight="1" x14ac:dyDescent="0.3">
      <c r="A907" s="131">
        <v>44592</v>
      </c>
      <c r="B907" s="50" t="s">
        <v>1488</v>
      </c>
      <c r="C907" s="5">
        <v>-2574004</v>
      </c>
      <c r="D907" s="5"/>
      <c r="E907" s="5" t="str">
        <f>+IF(FINANCIACION[[#This Row],[$ CAPITAL]]&gt;=0,FINANCIACION[[#This Row],[$ CAPITAL]]+FINANCIACION[[#This Row],[$ INTERESES]],"")</f>
        <v/>
      </c>
      <c r="F907" s="5">
        <f>+SUMIFS(FINANCIACION[$ CAPITAL],FINANCIACION[Fecha],"&lt;="&amp;FINANCIACION[[#This Row],[Fecha]],FINANCIACION[PRESTAMO],FINANCIACION[[#This Row],[PRESTAMO]])</f>
        <v>-2547513</v>
      </c>
      <c r="G907" s="53"/>
      <c r="H907" s="53"/>
      <c r="I907" s="5" t="b">
        <f>+IF(FINANCIACION[[#This Row],[$ CAPITAL]]&gt;0,FINANCIACION[[#This Row],[$ CAPITAL]])</f>
        <v>0</v>
      </c>
      <c r="J907" s="33">
        <f>+IF(FINANCIACION[[#This Row],[$ CAPITAL]]&gt;=0,FINANCIACION[[#This Row],[$ CAPITAL]]+FINANCIACION[[#This Row],[$ INTERESES]],0)</f>
        <v>0</v>
      </c>
    </row>
    <row r="908" spans="1:10" ht="24" hidden="1" customHeight="1" x14ac:dyDescent="0.3">
      <c r="A908" s="131">
        <v>44592</v>
      </c>
      <c r="B908" s="50" t="s">
        <v>154</v>
      </c>
      <c r="C908" s="5">
        <v>-11936475</v>
      </c>
      <c r="D908" s="5"/>
      <c r="E908" s="5" t="str">
        <f>+IF(FINANCIACION[[#This Row],[$ CAPITAL]]&gt;=0,FINANCIACION[[#This Row],[$ CAPITAL]]+FINANCIACION[[#This Row],[$ INTERESES]],"")</f>
        <v/>
      </c>
      <c r="F908" s="5">
        <f>+SUMIFS(FINANCIACION[$ CAPITAL],FINANCIACION[Fecha],"&lt;="&amp;FINANCIACION[[#This Row],[Fecha]],FINANCIACION[PRESTAMO],FINANCIACION[[#This Row],[PRESTAMO]])</f>
        <v>-30496000</v>
      </c>
      <c r="G908" s="53"/>
      <c r="H908" s="53"/>
      <c r="I908" s="5" t="b">
        <f>+IF(FINANCIACION[[#This Row],[$ CAPITAL]]&gt;0,FINANCIACION[[#This Row],[$ CAPITAL]])</f>
        <v>0</v>
      </c>
      <c r="J908" s="33">
        <f>+IF(FINANCIACION[[#This Row],[$ CAPITAL]]&gt;=0,FINANCIACION[[#This Row],[$ CAPITAL]]+FINANCIACION[[#This Row],[$ INTERESES]],0)</f>
        <v>0</v>
      </c>
    </row>
    <row r="909" spans="1:10" ht="24" hidden="1" customHeight="1" x14ac:dyDescent="0.3">
      <c r="A909" s="131">
        <v>44592</v>
      </c>
      <c r="B909" s="50" t="s">
        <v>155</v>
      </c>
      <c r="C909" s="5">
        <v>-404277</v>
      </c>
      <c r="D909" s="5"/>
      <c r="E909" s="5" t="str">
        <f>+IF(FINANCIACION[[#This Row],[$ CAPITAL]]&gt;=0,FINANCIACION[[#This Row],[$ CAPITAL]]+FINANCIACION[[#This Row],[$ INTERESES]],"")</f>
        <v/>
      </c>
      <c r="F909" s="5">
        <f>+SUMIFS(FINANCIACION[$ CAPITAL],FINANCIACION[Fecha],"&lt;="&amp;FINANCIACION[[#This Row],[Fecha]],FINANCIACION[PRESTAMO],FINANCIACION[[#This Row],[PRESTAMO]])</f>
        <v>-404277</v>
      </c>
      <c r="G909" s="53"/>
      <c r="H909" s="53"/>
      <c r="I909" s="5" t="b">
        <f>+IF(FINANCIACION[[#This Row],[$ CAPITAL]]&gt;0,FINANCIACION[[#This Row],[$ CAPITAL]])</f>
        <v>0</v>
      </c>
      <c r="J909" s="33">
        <f>+IF(FINANCIACION[[#This Row],[$ CAPITAL]]&gt;=0,FINANCIACION[[#This Row],[$ CAPITAL]]+FINANCIACION[[#This Row],[$ INTERESES]],0)</f>
        <v>0</v>
      </c>
    </row>
    <row r="910" spans="1:10" ht="24" hidden="1" customHeight="1" x14ac:dyDescent="0.3">
      <c r="A910" s="131">
        <v>44595</v>
      </c>
      <c r="B910" s="50" t="s">
        <v>150</v>
      </c>
      <c r="C910" s="5">
        <v>6326000</v>
      </c>
      <c r="D910" s="5">
        <v>1202180.5199999996</v>
      </c>
      <c r="E910" s="5">
        <f>+IF(FINANCIACION[[#This Row],[$ CAPITAL]]&gt;=0,FINANCIACION[[#This Row],[$ CAPITAL]]+FINANCIACION[[#This Row],[$ INTERESES]],"")</f>
        <v>7528180.5199999996</v>
      </c>
      <c r="F910" s="5">
        <f>+SUMIFS(FINANCIACION[$ CAPITAL],FINANCIACION[Fecha],"&lt;="&amp;FINANCIACION[[#This Row],[Fecha]],FINANCIACION[PRESTAMO],FINANCIACION[[#This Row],[PRESTAMO]])</f>
        <v>-3431126</v>
      </c>
      <c r="G910" s="53"/>
      <c r="H910" s="53"/>
      <c r="I910" s="5">
        <f>+IF(FINANCIACION[[#This Row],[$ CAPITAL]]&gt;0,FINANCIACION[[#This Row],[$ CAPITAL]])</f>
        <v>6326000</v>
      </c>
      <c r="J910" s="33">
        <f>+IF(FINANCIACION[[#This Row],[$ CAPITAL]]&gt;=0,FINANCIACION[[#This Row],[$ CAPITAL]]+FINANCIACION[[#This Row],[$ INTERESES]],0)</f>
        <v>7528180.5199999996</v>
      </c>
    </row>
    <row r="911" spans="1:10" ht="24" hidden="1" customHeight="1" x14ac:dyDescent="0.3">
      <c r="A911" s="131">
        <v>44596</v>
      </c>
      <c r="B911" s="50" t="s">
        <v>552</v>
      </c>
      <c r="C911" s="5">
        <v>-20855747.98</v>
      </c>
      <c r="D911" s="5"/>
      <c r="E911" s="5" t="str">
        <f>+IF(FINANCIACION[[#This Row],[$ CAPITAL]]&gt;=0,FINANCIACION[[#This Row],[$ CAPITAL]]+FINANCIACION[[#This Row],[$ INTERESES]],"")</f>
        <v/>
      </c>
      <c r="F911" s="5">
        <f>+SUMIFS(FINANCIACION[$ CAPITAL],FINANCIACION[Fecha],"&lt;="&amp;FINANCIACION[[#This Row],[Fecha]],FINANCIACION[PRESTAMO],FINANCIACION[[#This Row],[PRESTAMO]])</f>
        <v>-20855747.98</v>
      </c>
      <c r="G911" s="53"/>
      <c r="H911" s="53"/>
      <c r="I911" s="5" t="b">
        <f>+IF(FINANCIACION[[#This Row],[$ CAPITAL]]&gt;0,FINANCIACION[[#This Row],[$ CAPITAL]])</f>
        <v>0</v>
      </c>
      <c r="J911" s="33">
        <f>+IF(FINANCIACION[[#This Row],[$ CAPITAL]]&gt;=0,FINANCIACION[[#This Row],[$ CAPITAL]]+FINANCIACION[[#This Row],[$ INTERESES]],0)</f>
        <v>0</v>
      </c>
    </row>
    <row r="912" spans="1:10" ht="24" hidden="1" customHeight="1" x14ac:dyDescent="0.3">
      <c r="A912" s="131">
        <v>44599</v>
      </c>
      <c r="B912" s="50" t="s">
        <v>148</v>
      </c>
      <c r="C912" s="5"/>
      <c r="D912" s="5">
        <v>387748</v>
      </c>
      <c r="E912" s="5">
        <f>+IF(FINANCIACION[[#This Row],[$ CAPITAL]]&gt;=0,FINANCIACION[[#This Row],[$ CAPITAL]]+FINANCIACION[[#This Row],[$ INTERESES]],"")</f>
        <v>387748</v>
      </c>
      <c r="F912" s="5">
        <f>+SUMIFS(FINANCIACION[$ CAPITAL],FINANCIACION[Fecha],"&lt;="&amp;FINANCIACION[[#This Row],[Fecha]],FINANCIACION[PRESTAMO],FINANCIACION[[#This Row],[PRESTAMO]])</f>
        <v>0</v>
      </c>
      <c r="G912" s="53"/>
      <c r="H912" s="53"/>
      <c r="I912" s="5" t="b">
        <f>+IF(FINANCIACION[[#This Row],[$ CAPITAL]]&gt;0,FINANCIACION[[#This Row],[$ CAPITAL]])</f>
        <v>0</v>
      </c>
      <c r="J912" s="33">
        <f>+IF(FINANCIACION[[#This Row],[$ CAPITAL]]&gt;=0,FINANCIACION[[#This Row],[$ CAPITAL]]+FINANCIACION[[#This Row],[$ INTERESES]],0)</f>
        <v>387748</v>
      </c>
    </row>
    <row r="913" spans="1:10" ht="24" hidden="1" customHeight="1" x14ac:dyDescent="0.3">
      <c r="A913" s="131">
        <v>44600</v>
      </c>
      <c r="B913" s="50" t="s">
        <v>155</v>
      </c>
      <c r="C913" s="5">
        <v>404277</v>
      </c>
      <c r="D913" s="5"/>
      <c r="E913" s="5">
        <f>+IF(FINANCIACION[[#This Row],[$ CAPITAL]]&gt;=0,FINANCIACION[[#This Row],[$ CAPITAL]]+FINANCIACION[[#This Row],[$ INTERESES]],"")</f>
        <v>404277</v>
      </c>
      <c r="F913" s="5">
        <f>+SUMIFS(FINANCIACION[$ CAPITAL],FINANCIACION[Fecha],"&lt;="&amp;FINANCIACION[[#This Row],[Fecha]],FINANCIACION[PRESTAMO],FINANCIACION[[#This Row],[PRESTAMO]])</f>
        <v>0</v>
      </c>
      <c r="G913" s="53"/>
      <c r="H913" s="53"/>
      <c r="I913" s="5">
        <f>+IF(FINANCIACION[[#This Row],[$ CAPITAL]]&gt;0,FINANCIACION[[#This Row],[$ CAPITAL]])</f>
        <v>404277</v>
      </c>
      <c r="J913" s="33">
        <f>+IF(FINANCIACION[[#This Row],[$ CAPITAL]]&gt;=0,FINANCIACION[[#This Row],[$ CAPITAL]]+FINANCIACION[[#This Row],[$ INTERESES]],0)</f>
        <v>404277</v>
      </c>
    </row>
    <row r="914" spans="1:10" ht="24" hidden="1" customHeight="1" x14ac:dyDescent="0.3">
      <c r="A914" s="131">
        <v>44602</v>
      </c>
      <c r="B914" s="50" t="s">
        <v>543</v>
      </c>
      <c r="C914" s="5"/>
      <c r="D914" s="5">
        <v>130000</v>
      </c>
      <c r="E914" s="5">
        <f>+IF(FINANCIACION[[#This Row],[$ CAPITAL]]&gt;=0,FINANCIACION[[#This Row],[$ CAPITAL]]+FINANCIACION[[#This Row],[$ INTERESES]],"")</f>
        <v>130000</v>
      </c>
      <c r="F914" s="5">
        <f>+SUMIFS(FINANCIACION[$ CAPITAL],FINANCIACION[Fecha],"&lt;="&amp;FINANCIACION[[#This Row],[Fecha]],FINANCIACION[PRESTAMO],FINANCIACION[[#This Row],[PRESTAMO]])</f>
        <v>-13000000</v>
      </c>
      <c r="G914" s="53"/>
      <c r="H914" s="53"/>
      <c r="I914" s="5" t="b">
        <f>+IF(FINANCIACION[[#This Row],[$ CAPITAL]]&gt;0,FINANCIACION[[#This Row],[$ CAPITAL]])</f>
        <v>0</v>
      </c>
      <c r="J914" s="33">
        <f>+IF(FINANCIACION[[#This Row],[$ CAPITAL]]&gt;=0,FINANCIACION[[#This Row],[$ CAPITAL]]+FINANCIACION[[#This Row],[$ INTERESES]],0)</f>
        <v>130000</v>
      </c>
    </row>
    <row r="915" spans="1:10" ht="24" hidden="1" customHeight="1" x14ac:dyDescent="0.3">
      <c r="A915" s="131">
        <v>44602</v>
      </c>
      <c r="B915" s="50" t="s">
        <v>547</v>
      </c>
      <c r="C915" s="5"/>
      <c r="D915" s="5">
        <v>400000</v>
      </c>
      <c r="E915" s="5">
        <f>+IF(FINANCIACION[[#This Row],[$ CAPITAL]]&gt;=0,FINANCIACION[[#This Row],[$ CAPITAL]]+FINANCIACION[[#This Row],[$ INTERESES]],"")</f>
        <v>400000</v>
      </c>
      <c r="F915" s="5">
        <f>+SUMIFS(FINANCIACION[$ CAPITAL],FINANCIACION[Fecha],"&lt;="&amp;FINANCIACION[[#This Row],[Fecha]],FINANCIACION[PRESTAMO],FINANCIACION[[#This Row],[PRESTAMO]])</f>
        <v>-40000000</v>
      </c>
      <c r="G915" s="53"/>
      <c r="H915" s="53"/>
      <c r="I915" s="5" t="b">
        <f>+IF(FINANCIACION[[#This Row],[$ CAPITAL]]&gt;0,FINANCIACION[[#This Row],[$ CAPITAL]])</f>
        <v>0</v>
      </c>
      <c r="J915" s="33">
        <f>+IF(FINANCIACION[[#This Row],[$ CAPITAL]]&gt;=0,FINANCIACION[[#This Row],[$ CAPITAL]]+FINANCIACION[[#This Row],[$ INTERESES]],0)</f>
        <v>400000</v>
      </c>
    </row>
    <row r="916" spans="1:10" ht="24" hidden="1" customHeight="1" x14ac:dyDescent="0.3">
      <c r="A916" s="131">
        <v>44602</v>
      </c>
      <c r="B916" s="50" t="s">
        <v>532</v>
      </c>
      <c r="C916" s="5">
        <v>2004680.8650897644</v>
      </c>
      <c r="D916" s="5">
        <v>672697.13491023553</v>
      </c>
      <c r="E916" s="5">
        <f>+IF(FINANCIACION[[#This Row],[$ CAPITAL]]&gt;=0,FINANCIACION[[#This Row],[$ CAPITAL]]+FINANCIACION[[#This Row],[$ INTERESES]],"")</f>
        <v>2677378</v>
      </c>
      <c r="F916" s="5">
        <f>+SUMIFS(FINANCIACION[$ CAPITAL],FINANCIACION[Fecha],"&lt;="&amp;FINANCIACION[[#This Row],[Fecha]],FINANCIACION[PRESTAMO],FINANCIACION[[#This Row],[PRESTAMO]])</f>
        <v>-65265032.625933789</v>
      </c>
      <c r="G916" s="53"/>
      <c r="H916" s="53"/>
      <c r="I916" s="5">
        <f>+IF(FINANCIACION[[#This Row],[$ CAPITAL]]&gt;0,FINANCIACION[[#This Row],[$ CAPITAL]])</f>
        <v>2004680.8650897644</v>
      </c>
      <c r="J916" s="33">
        <f>+IF(FINANCIACION[[#This Row],[$ CAPITAL]]&gt;=0,FINANCIACION[[#This Row],[$ CAPITAL]]+FINANCIACION[[#This Row],[$ INTERESES]],0)</f>
        <v>2677378</v>
      </c>
    </row>
    <row r="917" spans="1:10" ht="24" hidden="1" customHeight="1" x14ac:dyDescent="0.3">
      <c r="A917" s="131">
        <v>44602</v>
      </c>
      <c r="B917" s="50" t="s">
        <v>536</v>
      </c>
      <c r="C917" s="5">
        <v>772351.78970176273</v>
      </c>
      <c r="D917" s="5">
        <v>527648.21029823727</v>
      </c>
      <c r="E917" s="5">
        <f>+IF(FINANCIACION[[#This Row],[$ CAPITAL]]&gt;=0,FINANCIACION[[#This Row],[$ CAPITAL]]+FINANCIACION[[#This Row],[$ INTERESES]],"")</f>
        <v>1300000</v>
      </c>
      <c r="F917" s="5">
        <f>+SUMIFS(FINANCIACION[$ CAPITAL],FINANCIACION[Fecha],"&lt;="&amp;FINANCIACION[[#This Row],[Fecha]],FINANCIACION[PRESTAMO],FINANCIACION[[#This Row],[PRESTAMO]])</f>
        <v>-51992469.240121968</v>
      </c>
      <c r="G917" s="53"/>
      <c r="H917" s="53"/>
      <c r="I917" s="5">
        <f>+IF(FINANCIACION[[#This Row],[$ CAPITAL]]&gt;0,FINANCIACION[[#This Row],[$ CAPITAL]])</f>
        <v>772351.78970176273</v>
      </c>
      <c r="J917" s="33">
        <f>+IF(FINANCIACION[[#This Row],[$ CAPITAL]]&gt;=0,FINANCIACION[[#This Row],[$ CAPITAL]]+FINANCIACION[[#This Row],[$ INTERESES]],0)</f>
        <v>1300000</v>
      </c>
    </row>
    <row r="918" spans="1:10" ht="24" hidden="1" customHeight="1" x14ac:dyDescent="0.3">
      <c r="A918" s="131">
        <v>44602</v>
      </c>
      <c r="B918" s="50" t="s">
        <v>533</v>
      </c>
      <c r="C918" s="5">
        <v>501142.7113337341</v>
      </c>
      <c r="D918" s="5">
        <v>698857.2886662659</v>
      </c>
      <c r="E918" s="5">
        <f>+IF(FINANCIACION[[#This Row],[$ CAPITAL]]&gt;=0,FINANCIACION[[#This Row],[$ CAPITAL]]+FINANCIACION[[#This Row],[$ INTERESES]],"")</f>
        <v>1200000</v>
      </c>
      <c r="F918" s="5">
        <f>+SUMIFS(FINANCIACION[$ CAPITAL],FINANCIACION[Fecha],"&lt;="&amp;FINANCIACION[[#This Row],[Fecha]],FINANCIACION[PRESTAMO],FINANCIACION[[#This Row],[PRESTAMO]])</f>
        <v>-69555274.015292853</v>
      </c>
      <c r="G918" s="53"/>
      <c r="H918" s="53"/>
      <c r="I918" s="5">
        <f>+IF(FINANCIACION[[#This Row],[$ CAPITAL]]&gt;0,FINANCIACION[[#This Row],[$ CAPITAL]])</f>
        <v>501142.7113337341</v>
      </c>
      <c r="J918" s="33">
        <f>+IF(FINANCIACION[[#This Row],[$ CAPITAL]]&gt;=0,FINANCIACION[[#This Row],[$ CAPITAL]]+FINANCIACION[[#This Row],[$ INTERESES]],0)</f>
        <v>1200000</v>
      </c>
    </row>
    <row r="919" spans="1:10" ht="24" hidden="1" customHeight="1" x14ac:dyDescent="0.3">
      <c r="A919" s="131">
        <v>44602</v>
      </c>
      <c r="B919" s="50" t="s">
        <v>545</v>
      </c>
      <c r="C919" s="5"/>
      <c r="D919" s="5">
        <v>120000</v>
      </c>
      <c r="E919" s="5">
        <f>+IF(FINANCIACION[[#This Row],[$ CAPITAL]]&gt;=0,FINANCIACION[[#This Row],[$ CAPITAL]]+FINANCIACION[[#This Row],[$ INTERESES]],"")</f>
        <v>120000</v>
      </c>
      <c r="F919" s="5">
        <f>+SUMIFS(FINANCIACION[$ CAPITAL],FINANCIACION[Fecha],"&lt;="&amp;FINANCIACION[[#This Row],[Fecha]],FINANCIACION[PRESTAMO],FINANCIACION[[#This Row],[PRESTAMO]])</f>
        <v>-12000000</v>
      </c>
      <c r="G919" s="53"/>
      <c r="H919" s="53"/>
      <c r="I919" s="5" t="b">
        <f>+IF(FINANCIACION[[#This Row],[$ CAPITAL]]&gt;0,FINANCIACION[[#This Row],[$ CAPITAL]])</f>
        <v>0</v>
      </c>
      <c r="J919" s="33">
        <f>+IF(FINANCIACION[[#This Row],[$ CAPITAL]]&gt;=0,FINANCIACION[[#This Row],[$ CAPITAL]]+FINANCIACION[[#This Row],[$ INTERESES]],0)</f>
        <v>120000</v>
      </c>
    </row>
    <row r="920" spans="1:10" ht="24" hidden="1" customHeight="1" x14ac:dyDescent="0.3">
      <c r="A920" s="131">
        <v>44606</v>
      </c>
      <c r="B920" s="50" t="s">
        <v>153</v>
      </c>
      <c r="C920" s="5">
        <v>1944444</v>
      </c>
      <c r="D920" s="5">
        <v>243179.9</v>
      </c>
      <c r="E920" s="5">
        <f>+IF(FINANCIACION[[#This Row],[$ CAPITAL]]&gt;=0,FINANCIACION[[#This Row],[$ CAPITAL]]+FINANCIACION[[#This Row],[$ INTERESES]],"")</f>
        <v>2187623.9</v>
      </c>
      <c r="F920" s="5">
        <f>+SUMIFS(FINANCIACION[$ CAPITAL],FINANCIACION[Fecha],"&lt;="&amp;FINANCIACION[[#This Row],[Fecha]],FINANCIACION[PRESTAMO],FINANCIACION[[#This Row],[PRESTAMO]])</f>
        <v>-29166668</v>
      </c>
      <c r="G920" s="53"/>
      <c r="H920" s="53"/>
      <c r="I920" s="5">
        <f>+IF(FINANCIACION[[#This Row],[$ CAPITAL]]&gt;0,FINANCIACION[[#This Row],[$ CAPITAL]])</f>
        <v>1944444</v>
      </c>
      <c r="J920" s="33">
        <f>+IF(FINANCIACION[[#This Row],[$ CAPITAL]]&gt;=0,FINANCIACION[[#This Row],[$ CAPITAL]]+FINANCIACION[[#This Row],[$ INTERESES]],0)</f>
        <v>2187623.9</v>
      </c>
    </row>
    <row r="921" spans="1:10" ht="24" hidden="1" customHeight="1" x14ac:dyDescent="0.3">
      <c r="A921" s="131">
        <v>44606</v>
      </c>
      <c r="B921" s="50" t="s">
        <v>1488</v>
      </c>
      <c r="C921" s="5">
        <v>1500000</v>
      </c>
      <c r="D921" s="5"/>
      <c r="E921" s="5">
        <f>+IF(FINANCIACION[[#This Row],[$ CAPITAL]]&gt;=0,FINANCIACION[[#This Row],[$ CAPITAL]]+FINANCIACION[[#This Row],[$ INTERESES]],"")</f>
        <v>1500000</v>
      </c>
      <c r="F921" s="5">
        <f>+SUMIFS(FINANCIACION[$ CAPITAL],FINANCIACION[Fecha],"&lt;="&amp;FINANCIACION[[#This Row],[Fecha]],FINANCIACION[PRESTAMO],FINANCIACION[[#This Row],[PRESTAMO]])</f>
        <v>-1047513</v>
      </c>
      <c r="G921" s="53"/>
      <c r="H921" s="53"/>
      <c r="I921" s="5">
        <f>+IF(FINANCIACION[[#This Row],[$ CAPITAL]]&gt;0,FINANCIACION[[#This Row],[$ CAPITAL]])</f>
        <v>1500000</v>
      </c>
      <c r="J921" s="33">
        <f>+IF(FINANCIACION[[#This Row],[$ CAPITAL]]&gt;=0,FINANCIACION[[#This Row],[$ CAPITAL]]+FINANCIACION[[#This Row],[$ INTERESES]],0)</f>
        <v>1500000</v>
      </c>
    </row>
    <row r="922" spans="1:10" ht="24" hidden="1" customHeight="1" x14ac:dyDescent="0.3">
      <c r="A922" s="131">
        <v>44607</v>
      </c>
      <c r="B922" s="50" t="s">
        <v>550</v>
      </c>
      <c r="C922" s="5">
        <v>-640000</v>
      </c>
      <c r="D922" s="5"/>
      <c r="E922" s="5" t="str">
        <f>+IF(FINANCIACION[[#This Row],[$ CAPITAL]]&gt;=0,FINANCIACION[[#This Row],[$ CAPITAL]]+FINANCIACION[[#This Row],[$ INTERESES]],"")</f>
        <v/>
      </c>
      <c r="F922" s="5">
        <f>+SUMIFS(FINANCIACION[$ CAPITAL],FINANCIACION[Fecha],"&lt;="&amp;FINANCIACION[[#This Row],[Fecha]],FINANCIACION[PRESTAMO],FINANCIACION[[#This Row],[PRESTAMO]])</f>
        <v>-23945032.5</v>
      </c>
      <c r="G922" s="53" t="s">
        <v>553</v>
      </c>
      <c r="H922" s="53"/>
      <c r="I922" s="5" t="b">
        <f>+IF(FINANCIACION[[#This Row],[$ CAPITAL]]&gt;0,FINANCIACION[[#This Row],[$ CAPITAL]])</f>
        <v>0</v>
      </c>
      <c r="J922" s="33">
        <f>+IF(FINANCIACION[[#This Row],[$ CAPITAL]]&gt;=0,FINANCIACION[[#This Row],[$ CAPITAL]]+FINANCIACION[[#This Row],[$ INTERESES]],0)</f>
        <v>0</v>
      </c>
    </row>
    <row r="923" spans="1:10" ht="24" hidden="1" customHeight="1" x14ac:dyDescent="0.3">
      <c r="A923" s="131">
        <v>44608</v>
      </c>
      <c r="B923" s="50" t="s">
        <v>1488</v>
      </c>
      <c r="C923" s="5">
        <v>100000</v>
      </c>
      <c r="D923" s="5"/>
      <c r="E923" s="5">
        <f>+IF(FINANCIACION[[#This Row],[$ CAPITAL]]&gt;=0,FINANCIACION[[#This Row],[$ CAPITAL]]+FINANCIACION[[#This Row],[$ INTERESES]],"")</f>
        <v>100000</v>
      </c>
      <c r="F923" s="5">
        <f>+SUMIFS(FINANCIACION[$ CAPITAL],FINANCIACION[Fecha],"&lt;="&amp;FINANCIACION[[#This Row],[Fecha]],FINANCIACION[PRESTAMO],FINANCIACION[[#This Row],[PRESTAMO]])</f>
        <v>-947513</v>
      </c>
      <c r="G923" s="53"/>
      <c r="H923" s="53"/>
      <c r="I923" s="5">
        <f>+IF(FINANCIACION[[#This Row],[$ CAPITAL]]&gt;0,FINANCIACION[[#This Row],[$ CAPITAL]])</f>
        <v>100000</v>
      </c>
      <c r="J923" s="33">
        <f>+IF(FINANCIACION[[#This Row],[$ CAPITAL]]&gt;=0,FINANCIACION[[#This Row],[$ CAPITAL]]+FINANCIACION[[#This Row],[$ INTERESES]],0)</f>
        <v>100000</v>
      </c>
    </row>
    <row r="924" spans="1:10" ht="24" hidden="1" customHeight="1" x14ac:dyDescent="0.3">
      <c r="A924" s="131">
        <v>44609</v>
      </c>
      <c r="B924" s="50" t="s">
        <v>148</v>
      </c>
      <c r="C924" s="5"/>
      <c r="D924" s="5">
        <v>293434</v>
      </c>
      <c r="E924" s="5">
        <f>+IF(FINANCIACION[[#This Row],[$ CAPITAL]]&gt;=0,FINANCIACION[[#This Row],[$ CAPITAL]]+FINANCIACION[[#This Row],[$ INTERESES]],"")</f>
        <v>293434</v>
      </c>
      <c r="F924" s="5">
        <f>+SUMIFS(FINANCIACION[$ CAPITAL],FINANCIACION[Fecha],"&lt;="&amp;FINANCIACION[[#This Row],[Fecha]],FINANCIACION[PRESTAMO],FINANCIACION[[#This Row],[PRESTAMO]])</f>
        <v>0</v>
      </c>
      <c r="G924" s="53"/>
      <c r="H924" s="53"/>
      <c r="I924" s="5" t="b">
        <f>+IF(FINANCIACION[[#This Row],[$ CAPITAL]]&gt;0,FINANCIACION[[#This Row],[$ CAPITAL]])</f>
        <v>0</v>
      </c>
      <c r="J924" s="33">
        <f>+IF(FINANCIACION[[#This Row],[$ CAPITAL]]&gt;=0,FINANCIACION[[#This Row],[$ CAPITAL]]+FINANCIACION[[#This Row],[$ INTERESES]],0)</f>
        <v>293434</v>
      </c>
    </row>
    <row r="925" spans="1:10" ht="24" hidden="1" customHeight="1" x14ac:dyDescent="0.3">
      <c r="A925" s="131">
        <v>44610</v>
      </c>
      <c r="B925" s="50" t="s">
        <v>546</v>
      </c>
      <c r="C925" s="5">
        <v>1196742.2400000002</v>
      </c>
      <c r="D925" s="5">
        <v>16257.759999999776</v>
      </c>
      <c r="E925" s="5">
        <f>+IF(FINANCIACION[[#This Row],[$ CAPITAL]]&gt;=0,FINANCIACION[[#This Row],[$ CAPITAL]]+FINANCIACION[[#This Row],[$ INTERESES]],"")</f>
        <v>1213000</v>
      </c>
      <c r="F925" s="5">
        <f>+SUMIFS(FINANCIACION[$ CAPITAL],FINANCIACION[Fecha],"&lt;="&amp;FINANCIACION[[#This Row],[Fecha]],FINANCIACION[PRESTAMO],FINANCIACION[[#This Row],[PRESTAMO]])</f>
        <v>-16493882.17</v>
      </c>
      <c r="G925" s="53"/>
      <c r="H925" s="53"/>
      <c r="I925" s="5">
        <f>+IF(FINANCIACION[[#This Row],[$ CAPITAL]]&gt;0,FINANCIACION[[#This Row],[$ CAPITAL]])</f>
        <v>1196742.2400000002</v>
      </c>
      <c r="J925" s="33">
        <f>+IF(FINANCIACION[[#This Row],[$ CAPITAL]]&gt;=0,FINANCIACION[[#This Row],[$ CAPITAL]]+FINANCIACION[[#This Row],[$ INTERESES]],0)</f>
        <v>1213000</v>
      </c>
    </row>
    <row r="926" spans="1:10" ht="24" hidden="1" customHeight="1" x14ac:dyDescent="0.3">
      <c r="A926" s="131">
        <v>44610</v>
      </c>
      <c r="B926" s="50" t="s">
        <v>540</v>
      </c>
      <c r="C926" s="5">
        <v>959607.48000000045</v>
      </c>
      <c r="D926" s="5">
        <v>16392.519999999553</v>
      </c>
      <c r="E926" s="5">
        <f>+IF(FINANCIACION[[#This Row],[$ CAPITAL]]&gt;=0,FINANCIACION[[#This Row],[$ CAPITAL]]+FINANCIACION[[#This Row],[$ INTERESES]],"")</f>
        <v>976000</v>
      </c>
      <c r="F926" s="5">
        <f>+SUMIFS(FINANCIACION[$ CAPITAL],FINANCIACION[Fecha],"&lt;="&amp;FINANCIACION[[#This Row],[Fecha]],FINANCIACION[PRESTAMO],FINANCIACION[[#This Row],[PRESTAMO]])</f>
        <v>-14784848.759999994</v>
      </c>
      <c r="G926" s="53"/>
      <c r="H926" s="53"/>
      <c r="I926" s="5">
        <f>+IF(FINANCIACION[[#This Row],[$ CAPITAL]]&gt;0,FINANCIACION[[#This Row],[$ CAPITAL]])</f>
        <v>959607.48000000045</v>
      </c>
      <c r="J926" s="33">
        <f>+IF(FINANCIACION[[#This Row],[$ CAPITAL]]&gt;=0,FINANCIACION[[#This Row],[$ CAPITAL]]+FINANCIACION[[#This Row],[$ INTERESES]],0)</f>
        <v>976000</v>
      </c>
    </row>
    <row r="927" spans="1:10" ht="24" hidden="1" customHeight="1" x14ac:dyDescent="0.3">
      <c r="A927" s="131">
        <v>44610</v>
      </c>
      <c r="B927" s="50" t="s">
        <v>548</v>
      </c>
      <c r="C927" s="5">
        <v>489945.29999999702</v>
      </c>
      <c r="D927" s="5">
        <v>72054.70000000298</v>
      </c>
      <c r="E927" s="5">
        <f>+IF(FINANCIACION[[#This Row],[$ CAPITAL]]&gt;=0,FINANCIACION[[#This Row],[$ CAPITAL]]+FINANCIACION[[#This Row],[$ INTERESES]],"")</f>
        <v>562000</v>
      </c>
      <c r="F927" s="5">
        <f>+SUMIFS(FINANCIACION[$ CAPITAL],FINANCIACION[Fecha],"&lt;="&amp;FINANCIACION[[#This Row],[Fecha]],FINANCIACION[PRESTAMO],FINANCIACION[[#This Row],[PRESTAMO]])</f>
        <v>-81830630.709999993</v>
      </c>
      <c r="G927" s="53"/>
      <c r="H927" s="53"/>
      <c r="I927" s="5">
        <f>+IF(FINANCIACION[[#This Row],[$ CAPITAL]]&gt;0,FINANCIACION[[#This Row],[$ CAPITAL]])</f>
        <v>489945.29999999702</v>
      </c>
      <c r="J927" s="33">
        <f>+IF(FINANCIACION[[#This Row],[$ CAPITAL]]&gt;=0,FINANCIACION[[#This Row],[$ CAPITAL]]+FINANCIACION[[#This Row],[$ INTERESES]],0)</f>
        <v>562000</v>
      </c>
    </row>
    <row r="928" spans="1:10" ht="24" hidden="1" customHeight="1" x14ac:dyDescent="0.3">
      <c r="A928" s="131">
        <v>44610</v>
      </c>
      <c r="B928" s="50" t="s">
        <v>542</v>
      </c>
      <c r="C928" s="5">
        <v>1011776.2199999988</v>
      </c>
      <c r="D928" s="5">
        <v>18223.780000001192</v>
      </c>
      <c r="E928" s="5">
        <f>+IF(FINANCIACION[[#This Row],[$ CAPITAL]]&gt;=0,FINANCIACION[[#This Row],[$ CAPITAL]]+FINANCIACION[[#This Row],[$ INTERESES]],"")</f>
        <v>1030000</v>
      </c>
      <c r="F928" s="5">
        <f>+SUMIFS(FINANCIACION[$ CAPITAL],FINANCIACION[Fecha],"&lt;="&amp;FINANCIACION[[#This Row],[Fecha]],FINANCIACION[PRESTAMO],FINANCIACION[[#This Row],[PRESTAMO]])</f>
        <v>-16421643.089999996</v>
      </c>
      <c r="G928" s="53"/>
      <c r="H928" s="53"/>
      <c r="I928" s="5">
        <f>+IF(FINANCIACION[[#This Row],[$ CAPITAL]]&gt;0,FINANCIACION[[#This Row],[$ CAPITAL]])</f>
        <v>1011776.2199999988</v>
      </c>
      <c r="J928" s="33">
        <f>+IF(FINANCIACION[[#This Row],[$ CAPITAL]]&gt;=0,FINANCIACION[[#This Row],[$ CAPITAL]]+FINANCIACION[[#This Row],[$ INTERESES]],0)</f>
        <v>1030000</v>
      </c>
    </row>
    <row r="929" spans="1:10" ht="24" hidden="1" customHeight="1" x14ac:dyDescent="0.3">
      <c r="A929" s="131">
        <v>44610</v>
      </c>
      <c r="B929" s="50" t="s">
        <v>538</v>
      </c>
      <c r="C929" s="5">
        <v>2431910.3800000027</v>
      </c>
      <c r="D929" s="5">
        <v>35089.619999997318</v>
      </c>
      <c r="E929" s="5">
        <f>+IF(FINANCIACION[[#This Row],[$ CAPITAL]]&gt;=0,FINANCIACION[[#This Row],[$ CAPITAL]]+FINANCIACION[[#This Row],[$ INTERESES]],"")</f>
        <v>2467000</v>
      </c>
      <c r="F929" s="5">
        <f>+SUMIFS(FINANCIACION[$ CAPITAL],FINANCIACION[Fecha],"&lt;="&amp;FINANCIACION[[#This Row],[Fecha]],FINANCIACION[PRESTAMO],FINANCIACION[[#This Row],[PRESTAMO]])</f>
        <v>-35586556.57</v>
      </c>
      <c r="G929" s="53"/>
      <c r="H929" s="53"/>
      <c r="I929" s="5">
        <f>+IF(FINANCIACION[[#This Row],[$ CAPITAL]]&gt;0,FINANCIACION[[#This Row],[$ CAPITAL]])</f>
        <v>2431910.3800000027</v>
      </c>
      <c r="J929" s="33">
        <f>+IF(FINANCIACION[[#This Row],[$ CAPITAL]]&gt;=0,FINANCIACION[[#This Row],[$ CAPITAL]]+FINANCIACION[[#This Row],[$ INTERESES]],0)</f>
        <v>2467000</v>
      </c>
    </row>
    <row r="930" spans="1:10" ht="24" hidden="1" customHeight="1" x14ac:dyDescent="0.3">
      <c r="A930" s="131">
        <v>44610</v>
      </c>
      <c r="B930" s="50" t="s">
        <v>539</v>
      </c>
      <c r="C930" s="5">
        <v>3565246.3100000024</v>
      </c>
      <c r="D930" s="5">
        <v>55753.689999997616</v>
      </c>
      <c r="E930" s="5">
        <f>+IF(FINANCIACION[[#This Row],[$ CAPITAL]]&gt;=0,FINANCIACION[[#This Row],[$ CAPITAL]]+FINANCIACION[[#This Row],[$ INTERESES]],"")</f>
        <v>3621000</v>
      </c>
      <c r="F930" s="5">
        <f>+SUMIFS(FINANCIACION[$ CAPITAL],FINANCIACION[Fecha],"&lt;="&amp;FINANCIACION[[#This Row],[Fecha]],FINANCIACION[PRESTAMO],FINANCIACION[[#This Row],[PRESTAMO]])</f>
        <v>-51671496.129999995</v>
      </c>
      <c r="G930" s="53"/>
      <c r="H930" s="53"/>
      <c r="I930" s="5">
        <f>+IF(FINANCIACION[[#This Row],[$ CAPITAL]]&gt;0,FINANCIACION[[#This Row],[$ CAPITAL]])</f>
        <v>3565246.3100000024</v>
      </c>
      <c r="J930" s="33">
        <f>+IF(FINANCIACION[[#This Row],[$ CAPITAL]]&gt;=0,FINANCIACION[[#This Row],[$ CAPITAL]]+FINANCIACION[[#This Row],[$ INTERESES]],0)</f>
        <v>3621000</v>
      </c>
    </row>
    <row r="931" spans="1:10" ht="24" hidden="1" customHeight="1" x14ac:dyDescent="0.3">
      <c r="A931" s="131">
        <v>44610</v>
      </c>
      <c r="B931" s="50" t="s">
        <v>534</v>
      </c>
      <c r="C931" s="5">
        <v>5809351</v>
      </c>
      <c r="D931" s="5">
        <v>379619</v>
      </c>
      <c r="E931" s="5">
        <f>+IF(FINANCIACION[[#This Row],[$ CAPITAL]]&gt;=0,FINANCIACION[[#This Row],[$ CAPITAL]]+FINANCIACION[[#This Row],[$ INTERESES]],"")</f>
        <v>6188970</v>
      </c>
      <c r="F931" s="5">
        <f>+SUMIFS(FINANCIACION[$ CAPITAL],FINANCIACION[Fecha],"&lt;="&amp;FINANCIACION[[#This Row],[Fecha]],FINANCIACION[PRESTAMO],FINANCIACION[[#This Row],[PRESTAMO]])</f>
        <v>-382608305</v>
      </c>
      <c r="G931" s="53"/>
      <c r="H931" s="53"/>
      <c r="I931" s="5">
        <f>+IF(FINANCIACION[[#This Row],[$ CAPITAL]]&gt;0,FINANCIACION[[#This Row],[$ CAPITAL]])</f>
        <v>5809351</v>
      </c>
      <c r="J931" s="33">
        <f>+IF(FINANCIACION[[#This Row],[$ CAPITAL]]&gt;=0,FINANCIACION[[#This Row],[$ CAPITAL]]+FINANCIACION[[#This Row],[$ INTERESES]],0)</f>
        <v>6188970</v>
      </c>
    </row>
    <row r="932" spans="1:10" ht="24" hidden="1" customHeight="1" x14ac:dyDescent="0.3">
      <c r="A932" s="131">
        <v>44610</v>
      </c>
      <c r="B932" s="50" t="s">
        <v>535</v>
      </c>
      <c r="C932" s="5">
        <v>1442346.3600000031</v>
      </c>
      <c r="D932" s="5">
        <v>20653.639999996871</v>
      </c>
      <c r="E932" s="5">
        <f>+IF(FINANCIACION[[#This Row],[$ CAPITAL]]&gt;=0,FINANCIACION[[#This Row],[$ CAPITAL]]+FINANCIACION[[#This Row],[$ INTERESES]],"")</f>
        <v>1463000</v>
      </c>
      <c r="F932" s="5">
        <f>+SUMIFS(FINANCIACION[$ CAPITAL],FINANCIACION[Fecha],"&lt;="&amp;FINANCIACION[[#This Row],[Fecha]],FINANCIACION[PRESTAMO],FINANCIACION[[#This Row],[PRESTAMO]])</f>
        <v>-18618480.140000001</v>
      </c>
      <c r="G932" s="53"/>
      <c r="H932" s="53"/>
      <c r="I932" s="5">
        <f>+IF(FINANCIACION[[#This Row],[$ CAPITAL]]&gt;0,FINANCIACION[[#This Row],[$ CAPITAL]])</f>
        <v>1442346.3600000031</v>
      </c>
      <c r="J932" s="33">
        <f>+IF(FINANCIACION[[#This Row],[$ CAPITAL]]&gt;=0,FINANCIACION[[#This Row],[$ CAPITAL]]+FINANCIACION[[#This Row],[$ INTERESES]],0)</f>
        <v>1463000</v>
      </c>
    </row>
    <row r="933" spans="1:10" ht="24" hidden="1" customHeight="1" x14ac:dyDescent="0.3">
      <c r="A933" s="131">
        <v>44620</v>
      </c>
      <c r="B933" s="50" t="s">
        <v>550</v>
      </c>
      <c r="C933" s="5">
        <v>-1100000</v>
      </c>
      <c r="D933" s="5"/>
      <c r="E933" s="5" t="str">
        <f>+IF(FINANCIACION[[#This Row],[$ CAPITAL]]&gt;=0,FINANCIACION[[#This Row],[$ CAPITAL]]+FINANCIACION[[#This Row],[$ INTERESES]],"")</f>
        <v/>
      </c>
      <c r="F933" s="5">
        <f>+SUMIFS(FINANCIACION[$ CAPITAL],FINANCIACION[Fecha],"&lt;="&amp;FINANCIACION[[#This Row],[Fecha]],FINANCIACION[PRESTAMO],FINANCIACION[[#This Row],[PRESTAMO]])</f>
        <v>-33517032.5</v>
      </c>
      <c r="G933" s="53" t="s">
        <v>554</v>
      </c>
      <c r="H933" s="53"/>
      <c r="I933" s="5" t="b">
        <f>+IF(FINANCIACION[[#This Row],[$ CAPITAL]]&gt;0,FINANCIACION[[#This Row],[$ CAPITAL]])</f>
        <v>0</v>
      </c>
      <c r="J933" s="33">
        <f>+IF(FINANCIACION[[#This Row],[$ CAPITAL]]&gt;=0,FINANCIACION[[#This Row],[$ CAPITAL]]+FINANCIACION[[#This Row],[$ INTERESES]],0)</f>
        <v>0</v>
      </c>
    </row>
    <row r="934" spans="1:10" ht="24" hidden="1" customHeight="1" x14ac:dyDescent="0.3">
      <c r="A934" s="131">
        <v>44620</v>
      </c>
      <c r="B934" s="50" t="s">
        <v>550</v>
      </c>
      <c r="C934" s="5">
        <v>-1412000</v>
      </c>
      <c r="D934" s="5"/>
      <c r="E934" s="5" t="str">
        <f>+IF(FINANCIACION[[#This Row],[$ CAPITAL]]&gt;=0,FINANCIACION[[#This Row],[$ CAPITAL]]+FINANCIACION[[#This Row],[$ INTERESES]],"")</f>
        <v/>
      </c>
      <c r="F934" s="5">
        <f>+SUMIFS(FINANCIACION[$ CAPITAL],FINANCIACION[Fecha],"&lt;="&amp;FINANCIACION[[#This Row],[Fecha]],FINANCIACION[PRESTAMO],FINANCIACION[[#This Row],[PRESTAMO]])</f>
        <v>-33517032.5</v>
      </c>
      <c r="G934" s="53" t="s">
        <v>555</v>
      </c>
      <c r="H934" s="53"/>
      <c r="I934" s="5" t="b">
        <f>+IF(FINANCIACION[[#This Row],[$ CAPITAL]]&gt;0,FINANCIACION[[#This Row],[$ CAPITAL]])</f>
        <v>0</v>
      </c>
      <c r="J934" s="33">
        <f>+IF(FINANCIACION[[#This Row],[$ CAPITAL]]&gt;=0,FINANCIACION[[#This Row],[$ CAPITAL]]+FINANCIACION[[#This Row],[$ INTERESES]],0)</f>
        <v>0</v>
      </c>
    </row>
    <row r="935" spans="1:10" ht="24" hidden="1" customHeight="1" x14ac:dyDescent="0.3">
      <c r="A935" s="131">
        <v>44620</v>
      </c>
      <c r="B935" s="50" t="s">
        <v>550</v>
      </c>
      <c r="C935" s="5">
        <v>-7060000</v>
      </c>
      <c r="D935" s="5"/>
      <c r="E935" s="5" t="str">
        <f>+IF(FINANCIACION[[#This Row],[$ CAPITAL]]&gt;=0,FINANCIACION[[#This Row],[$ CAPITAL]]+FINANCIACION[[#This Row],[$ INTERESES]],"")</f>
        <v/>
      </c>
      <c r="F935" s="5">
        <f>+SUMIFS(FINANCIACION[$ CAPITAL],FINANCIACION[Fecha],"&lt;="&amp;FINANCIACION[[#This Row],[Fecha]],FINANCIACION[PRESTAMO],FINANCIACION[[#This Row],[PRESTAMO]])</f>
        <v>-33517032.5</v>
      </c>
      <c r="G935" s="53" t="s">
        <v>556</v>
      </c>
      <c r="H935" s="53"/>
      <c r="I935" s="5" t="b">
        <f>+IF(FINANCIACION[[#This Row],[$ CAPITAL]]&gt;0,FINANCIACION[[#This Row],[$ CAPITAL]])</f>
        <v>0</v>
      </c>
      <c r="J935" s="33">
        <f>+IF(FINANCIACION[[#This Row],[$ CAPITAL]]&gt;=0,FINANCIACION[[#This Row],[$ CAPITAL]]+FINANCIACION[[#This Row],[$ INTERESES]],0)</f>
        <v>0</v>
      </c>
    </row>
    <row r="936" spans="1:10" ht="24" hidden="1" customHeight="1" x14ac:dyDescent="0.3">
      <c r="A936" s="131">
        <v>44620</v>
      </c>
      <c r="B936" s="50" t="s">
        <v>146</v>
      </c>
      <c r="C936" s="5">
        <v>1468400</v>
      </c>
      <c r="D936" s="5">
        <v>372910</v>
      </c>
      <c r="E936" s="5">
        <f>+IF(FINANCIACION[[#This Row],[$ CAPITAL]]&gt;=0,FINANCIACION[[#This Row],[$ CAPITAL]]+FINANCIACION[[#This Row],[$ INTERESES]],"")</f>
        <v>1841310</v>
      </c>
      <c r="F936" s="5">
        <f>+SUMIFS(FINANCIACION[$ CAPITAL],FINANCIACION[Fecha],"&lt;="&amp;FINANCIACION[[#This Row],[Fecha]],FINANCIACION[PRESTAMO],FINANCIACION[[#This Row],[PRESTAMO]])</f>
        <v>-36710000</v>
      </c>
      <c r="G936" s="53"/>
      <c r="H936" s="53"/>
      <c r="I936" s="5">
        <f>+IF(FINANCIACION[[#This Row],[$ CAPITAL]]&gt;0,FINANCIACION[[#This Row],[$ CAPITAL]])</f>
        <v>1468400</v>
      </c>
      <c r="J936" s="33">
        <f>+IF(FINANCIACION[[#This Row],[$ CAPITAL]]&gt;=0,FINANCIACION[[#This Row],[$ CAPITAL]]+FINANCIACION[[#This Row],[$ INTERESES]],0)</f>
        <v>1841310</v>
      </c>
    </row>
    <row r="937" spans="1:10" ht="24" hidden="1" customHeight="1" x14ac:dyDescent="0.3">
      <c r="A937" s="131">
        <v>44620</v>
      </c>
      <c r="B937" s="50" t="s">
        <v>147</v>
      </c>
      <c r="C937" s="5">
        <v>76791</v>
      </c>
      <c r="D937" s="5"/>
      <c r="E937" s="5">
        <f>+IF(FINANCIACION[[#This Row],[$ CAPITAL]]&gt;=0,FINANCIACION[[#This Row],[$ CAPITAL]]+FINANCIACION[[#This Row],[$ INTERESES]],"")</f>
        <v>76791</v>
      </c>
      <c r="F937" s="5">
        <f>+SUMIFS(FINANCIACION[$ CAPITAL],FINANCIACION[Fecha],"&lt;="&amp;FINANCIACION[[#This Row],[Fecha]],FINANCIACION[PRESTAMO],FINANCIACION[[#This Row],[PRESTAMO]])</f>
        <v>-1919775</v>
      </c>
      <c r="G937" s="53"/>
      <c r="H937" s="53"/>
      <c r="I937" s="5">
        <f>+IF(FINANCIACION[[#This Row],[$ CAPITAL]]&gt;0,FINANCIACION[[#This Row],[$ CAPITAL]])</f>
        <v>76791</v>
      </c>
      <c r="J937" s="33">
        <f>+IF(FINANCIACION[[#This Row],[$ CAPITAL]]&gt;=0,FINANCIACION[[#This Row],[$ CAPITAL]]+FINANCIACION[[#This Row],[$ INTERESES]],0)</f>
        <v>76791</v>
      </c>
    </row>
    <row r="938" spans="1:10" ht="24" hidden="1" customHeight="1" x14ac:dyDescent="0.3">
      <c r="A938" s="131">
        <v>44620</v>
      </c>
      <c r="B938" s="50" t="s">
        <v>552</v>
      </c>
      <c r="C938" s="5">
        <v>-83758.019999999553</v>
      </c>
      <c r="D938" s="5"/>
      <c r="E938" s="5" t="str">
        <f>+IF(FINANCIACION[[#This Row],[$ CAPITAL]]&gt;=0,FINANCIACION[[#This Row],[$ CAPITAL]]+FINANCIACION[[#This Row],[$ INTERESES]],"")</f>
        <v/>
      </c>
      <c r="F938" s="5">
        <f>+SUMIFS(FINANCIACION[$ CAPITAL],FINANCIACION[Fecha],"&lt;="&amp;FINANCIACION[[#This Row],[Fecha]],FINANCIACION[PRESTAMO],FINANCIACION[[#This Row],[PRESTAMO]])</f>
        <v>-20939506</v>
      </c>
      <c r="G938" s="53" t="s">
        <v>170</v>
      </c>
      <c r="H938" s="53"/>
      <c r="I938" s="5" t="b">
        <f>+IF(FINANCIACION[[#This Row],[$ CAPITAL]]&gt;0,FINANCIACION[[#This Row],[$ CAPITAL]])</f>
        <v>0</v>
      </c>
      <c r="J938" s="33">
        <f>+IF(FINANCIACION[[#This Row],[$ CAPITAL]]&gt;=0,FINANCIACION[[#This Row],[$ CAPITAL]]+FINANCIACION[[#This Row],[$ INTERESES]],0)</f>
        <v>0</v>
      </c>
    </row>
    <row r="939" spans="1:10" ht="24" hidden="1" customHeight="1" x14ac:dyDescent="0.3">
      <c r="A939" s="131">
        <v>44620</v>
      </c>
      <c r="B939" s="50" t="s">
        <v>148</v>
      </c>
      <c r="C939" s="5"/>
      <c r="D939" s="5">
        <v>293845</v>
      </c>
      <c r="E939" s="5">
        <f>+IF(FINANCIACION[[#This Row],[$ CAPITAL]]&gt;=0,FINANCIACION[[#This Row],[$ CAPITAL]]+FINANCIACION[[#This Row],[$ INTERESES]],"")</f>
        <v>293845</v>
      </c>
      <c r="F939" s="5">
        <f>+SUMIFS(FINANCIACION[$ CAPITAL],FINANCIACION[Fecha],"&lt;="&amp;FINANCIACION[[#This Row],[Fecha]],FINANCIACION[PRESTAMO],FINANCIACION[[#This Row],[PRESTAMO]])</f>
        <v>0</v>
      </c>
      <c r="G939" s="53"/>
      <c r="H939" s="53"/>
      <c r="I939" s="5" t="b">
        <f>+IF(FINANCIACION[[#This Row],[$ CAPITAL]]&gt;0,FINANCIACION[[#This Row],[$ CAPITAL]])</f>
        <v>0</v>
      </c>
      <c r="J939" s="33">
        <f>+IF(FINANCIACION[[#This Row],[$ CAPITAL]]&gt;=0,FINANCIACION[[#This Row],[$ CAPITAL]]+FINANCIACION[[#This Row],[$ INTERESES]],0)</f>
        <v>293845</v>
      </c>
    </row>
    <row r="940" spans="1:10" ht="24" hidden="1" customHeight="1" x14ac:dyDescent="0.3">
      <c r="A940" s="131">
        <v>44620</v>
      </c>
      <c r="B940" s="50" t="s">
        <v>148</v>
      </c>
      <c r="C940" s="5"/>
      <c r="D940" s="5">
        <v>130615</v>
      </c>
      <c r="E940" s="5">
        <f>+IF(FINANCIACION[[#This Row],[$ CAPITAL]]&gt;=0,FINANCIACION[[#This Row],[$ CAPITAL]]+FINANCIACION[[#This Row],[$ INTERESES]],"")</f>
        <v>130615</v>
      </c>
      <c r="F940" s="5">
        <f>+SUMIFS(FINANCIACION[$ CAPITAL],FINANCIACION[Fecha],"&lt;="&amp;FINANCIACION[[#This Row],[Fecha]],FINANCIACION[PRESTAMO],FINANCIACION[[#This Row],[PRESTAMO]])</f>
        <v>0</v>
      </c>
      <c r="G940" s="53"/>
      <c r="H940" s="53"/>
      <c r="I940" s="5" t="b">
        <f>+IF(FINANCIACION[[#This Row],[$ CAPITAL]]&gt;0,FINANCIACION[[#This Row],[$ CAPITAL]])</f>
        <v>0</v>
      </c>
      <c r="J940" s="33">
        <f>+IF(FINANCIACION[[#This Row],[$ CAPITAL]]&gt;=0,FINANCIACION[[#This Row],[$ CAPITAL]]+FINANCIACION[[#This Row],[$ INTERESES]],0)</f>
        <v>130615</v>
      </c>
    </row>
    <row r="941" spans="1:10" ht="24" hidden="1" customHeight="1" x14ac:dyDescent="0.3">
      <c r="A941" s="131">
        <v>44620</v>
      </c>
      <c r="B941" s="50" t="s">
        <v>206</v>
      </c>
      <c r="C941" s="5">
        <v>1498393</v>
      </c>
      <c r="D941" s="5"/>
      <c r="E941" s="5">
        <f>+IF(FINANCIACION[[#This Row],[$ CAPITAL]]&gt;=0,FINANCIACION[[#This Row],[$ CAPITAL]]+FINANCIACION[[#This Row],[$ INTERESES]],"")</f>
        <v>1498393</v>
      </c>
      <c r="F941" s="5">
        <f>+SUMIFS(FINANCIACION[$ CAPITAL],FINANCIACION[Fecha],"&lt;="&amp;FINANCIACION[[#This Row],[Fecha]],FINANCIACION[PRESTAMO],FINANCIACION[[#This Row],[PRESTAMO]])</f>
        <v>-58437327</v>
      </c>
      <c r="G941" s="53" t="s">
        <v>170</v>
      </c>
      <c r="H941" s="53"/>
      <c r="I941" s="5">
        <f>+IF(FINANCIACION[[#This Row],[$ CAPITAL]]&gt;0,FINANCIACION[[#This Row],[$ CAPITAL]])</f>
        <v>1498393</v>
      </c>
      <c r="J941" s="33">
        <f>+IF(FINANCIACION[[#This Row],[$ CAPITAL]]&gt;=0,FINANCIACION[[#This Row],[$ CAPITAL]]+FINANCIACION[[#This Row],[$ INTERESES]],0)</f>
        <v>1498393</v>
      </c>
    </row>
    <row r="942" spans="1:10" ht="24" hidden="1" customHeight="1" x14ac:dyDescent="0.3">
      <c r="A942" s="131">
        <v>44620</v>
      </c>
      <c r="B942" s="50" t="s">
        <v>234</v>
      </c>
      <c r="C942" s="5">
        <v>592703</v>
      </c>
      <c r="D942" s="5"/>
      <c r="E942" s="5">
        <f>+IF(FINANCIACION[[#This Row],[$ CAPITAL]]&gt;=0,FINANCIACION[[#This Row],[$ CAPITAL]]+FINANCIACION[[#This Row],[$ INTERESES]],"")</f>
        <v>592703</v>
      </c>
      <c r="F942" s="5">
        <f>+SUMIFS(FINANCIACION[$ CAPITAL],FINANCIACION[Fecha],"&lt;="&amp;FINANCIACION[[#This Row],[Fecha]],FINANCIACION[PRESTAMO],FINANCIACION[[#This Row],[PRESTAMO]])</f>
        <v>-23115417</v>
      </c>
      <c r="G942" s="53" t="s">
        <v>170</v>
      </c>
      <c r="H942" s="53"/>
      <c r="I942" s="5">
        <f>+IF(FINANCIACION[[#This Row],[$ CAPITAL]]&gt;0,FINANCIACION[[#This Row],[$ CAPITAL]])</f>
        <v>592703</v>
      </c>
      <c r="J942" s="33">
        <f>+IF(FINANCIACION[[#This Row],[$ CAPITAL]]&gt;=0,FINANCIACION[[#This Row],[$ CAPITAL]]+FINANCIACION[[#This Row],[$ INTERESES]],0)</f>
        <v>592703</v>
      </c>
    </row>
    <row r="943" spans="1:10" ht="24" hidden="1" customHeight="1" x14ac:dyDescent="0.3">
      <c r="A943" s="131">
        <v>44620</v>
      </c>
      <c r="B943" s="50" t="s">
        <v>272</v>
      </c>
      <c r="C943" s="5">
        <v>1368769</v>
      </c>
      <c r="D943" s="5"/>
      <c r="E943" s="5">
        <f>+IF(FINANCIACION[[#This Row],[$ CAPITAL]]&gt;=0,FINANCIACION[[#This Row],[$ CAPITAL]]+FINANCIACION[[#This Row],[$ INTERESES]],"")</f>
        <v>1368769</v>
      </c>
      <c r="F943" s="5">
        <f>+SUMIFS(FINANCIACION[$ CAPITAL],FINANCIACION[Fecha],"&lt;="&amp;FINANCIACION[[#This Row],[Fecha]],FINANCIACION[PRESTAMO],FINANCIACION[[#This Row],[PRESTAMO]])</f>
        <v>-53381991</v>
      </c>
      <c r="G943" s="53" t="s">
        <v>170</v>
      </c>
      <c r="H943" s="53"/>
      <c r="I943" s="5">
        <f>+IF(FINANCIACION[[#This Row],[$ CAPITAL]]&gt;0,FINANCIACION[[#This Row],[$ CAPITAL]])</f>
        <v>1368769</v>
      </c>
      <c r="J943" s="33">
        <f>+IF(FINANCIACION[[#This Row],[$ CAPITAL]]&gt;=0,FINANCIACION[[#This Row],[$ CAPITAL]]+FINANCIACION[[#This Row],[$ INTERESES]],0)</f>
        <v>1368769</v>
      </c>
    </row>
    <row r="944" spans="1:10" ht="24" hidden="1" customHeight="1" x14ac:dyDescent="0.3">
      <c r="A944" s="131">
        <v>44620</v>
      </c>
      <c r="B944" s="50" t="s">
        <v>331</v>
      </c>
      <c r="C944" s="5">
        <v>1443436</v>
      </c>
      <c r="D944" s="5"/>
      <c r="E944" s="5">
        <f>+IF(FINANCIACION[[#This Row],[$ CAPITAL]]&gt;=0,FINANCIACION[[#This Row],[$ CAPITAL]]+FINANCIACION[[#This Row],[$ INTERESES]],"")</f>
        <v>1443436</v>
      </c>
      <c r="F944" s="5">
        <f>+SUMIFS(FINANCIACION[$ CAPITAL],FINANCIACION[Fecha],"&lt;="&amp;FINANCIACION[[#This Row],[Fecha]],FINANCIACION[PRESTAMO],FINANCIACION[[#This Row],[PRESTAMO]])</f>
        <v>-56294004</v>
      </c>
      <c r="G944" s="53" t="s">
        <v>170</v>
      </c>
      <c r="H944" s="53"/>
      <c r="I944" s="5">
        <f>+IF(FINANCIACION[[#This Row],[$ CAPITAL]]&gt;0,FINANCIACION[[#This Row],[$ CAPITAL]])</f>
        <v>1443436</v>
      </c>
      <c r="J944" s="33">
        <f>+IF(FINANCIACION[[#This Row],[$ CAPITAL]]&gt;=0,FINANCIACION[[#This Row],[$ CAPITAL]]+FINANCIACION[[#This Row],[$ INTERESES]],0)</f>
        <v>1443436</v>
      </c>
    </row>
    <row r="945" spans="1:10" ht="24" hidden="1" customHeight="1" x14ac:dyDescent="0.3">
      <c r="A945" s="131">
        <v>44620</v>
      </c>
      <c r="B945" s="50" t="s">
        <v>1488</v>
      </c>
      <c r="C945" s="5">
        <v>-3279583</v>
      </c>
      <c r="D945" s="5"/>
      <c r="E945" s="5" t="str">
        <f>+IF(FINANCIACION[[#This Row],[$ CAPITAL]]&gt;=0,FINANCIACION[[#This Row],[$ CAPITAL]]+FINANCIACION[[#This Row],[$ INTERESES]],"")</f>
        <v/>
      </c>
      <c r="F945" s="5">
        <f>+SUMIFS(FINANCIACION[$ CAPITAL],FINANCIACION[Fecha],"&lt;="&amp;FINANCIACION[[#This Row],[Fecha]],FINANCIACION[PRESTAMO],FINANCIACION[[#This Row],[PRESTAMO]])</f>
        <v>-4227096</v>
      </c>
      <c r="G945" s="53" t="s">
        <v>170</v>
      </c>
      <c r="H945" s="53"/>
      <c r="I945" s="5" t="b">
        <f>+IF(FINANCIACION[[#This Row],[$ CAPITAL]]&gt;0,FINANCIACION[[#This Row],[$ CAPITAL]])</f>
        <v>0</v>
      </c>
      <c r="J945" s="33">
        <f>+IF(FINANCIACION[[#This Row],[$ CAPITAL]]&gt;=0,FINANCIACION[[#This Row],[$ CAPITAL]]+FINANCIACION[[#This Row],[$ INTERESES]],0)</f>
        <v>0</v>
      </c>
    </row>
    <row r="946" spans="1:10" ht="24" hidden="1" customHeight="1" x14ac:dyDescent="0.3">
      <c r="A946" s="131">
        <v>44620</v>
      </c>
      <c r="B946" s="50" t="s">
        <v>154</v>
      </c>
      <c r="C946" s="5">
        <v>-1113500</v>
      </c>
      <c r="D946" s="5"/>
      <c r="E946" s="5" t="str">
        <f>+IF(FINANCIACION[[#This Row],[$ CAPITAL]]&gt;=0,FINANCIACION[[#This Row],[$ CAPITAL]]+FINANCIACION[[#This Row],[$ INTERESES]],"")</f>
        <v/>
      </c>
      <c r="F946" s="5">
        <f>+SUMIFS(FINANCIACION[$ CAPITAL],FINANCIACION[Fecha],"&lt;="&amp;FINANCIACION[[#This Row],[Fecha]],FINANCIACION[PRESTAMO],FINANCIACION[[#This Row],[PRESTAMO]])</f>
        <v>-31609500</v>
      </c>
      <c r="G946" s="53" t="s">
        <v>170</v>
      </c>
      <c r="H946" s="53"/>
      <c r="I946" s="5" t="b">
        <f>+IF(FINANCIACION[[#This Row],[$ CAPITAL]]&gt;0,FINANCIACION[[#This Row],[$ CAPITAL]])</f>
        <v>0</v>
      </c>
      <c r="J946" s="33">
        <f>+IF(FINANCIACION[[#This Row],[$ CAPITAL]]&gt;=0,FINANCIACION[[#This Row],[$ CAPITAL]]+FINANCIACION[[#This Row],[$ INTERESES]],0)</f>
        <v>0</v>
      </c>
    </row>
    <row r="947" spans="1:10" ht="24" hidden="1" customHeight="1" x14ac:dyDescent="0.3">
      <c r="A947" s="131">
        <v>44620</v>
      </c>
      <c r="B947" s="50" t="s">
        <v>155</v>
      </c>
      <c r="C947" s="5">
        <v>-770850</v>
      </c>
      <c r="D947" s="5"/>
      <c r="E947" s="5" t="str">
        <f>+IF(FINANCIACION[[#This Row],[$ CAPITAL]]&gt;=0,FINANCIACION[[#This Row],[$ CAPITAL]]+FINANCIACION[[#This Row],[$ INTERESES]],"")</f>
        <v/>
      </c>
      <c r="F947" s="5">
        <f>+SUMIFS(FINANCIACION[$ CAPITAL],FINANCIACION[Fecha],"&lt;="&amp;FINANCIACION[[#This Row],[Fecha]],FINANCIACION[PRESTAMO],FINANCIACION[[#This Row],[PRESTAMO]])</f>
        <v>-770850</v>
      </c>
      <c r="G947" s="53" t="s">
        <v>170</v>
      </c>
      <c r="H947" s="53"/>
      <c r="I947" s="5" t="b">
        <f>+IF(FINANCIACION[[#This Row],[$ CAPITAL]]&gt;0,FINANCIACION[[#This Row],[$ CAPITAL]])</f>
        <v>0</v>
      </c>
      <c r="J947" s="33">
        <f>+IF(FINANCIACION[[#This Row],[$ CAPITAL]]&gt;=0,FINANCIACION[[#This Row],[$ CAPITAL]]+FINANCIACION[[#This Row],[$ INTERESES]],0)</f>
        <v>0</v>
      </c>
    </row>
    <row r="948" spans="1:10" ht="24" hidden="1" customHeight="1" x14ac:dyDescent="0.3">
      <c r="A948" s="131">
        <v>44623</v>
      </c>
      <c r="B948" s="50" t="s">
        <v>549</v>
      </c>
      <c r="C948" s="5">
        <v>-30120000</v>
      </c>
      <c r="D948" s="5"/>
      <c r="E948" s="5" t="str">
        <f>+IF(FINANCIACION[[#This Row],[$ CAPITAL]]&gt;=0,FINANCIACION[[#This Row],[$ CAPITAL]]+FINANCIACION[[#This Row],[$ INTERESES]],"")</f>
        <v/>
      </c>
      <c r="F948" s="5">
        <f>+SUMIFS(FINANCIACION[$ CAPITAL],FINANCIACION[Fecha],"&lt;="&amp;FINANCIACION[[#This Row],[Fecha]],FINANCIACION[PRESTAMO],FINANCIACION[[#This Row],[PRESTAMO]])</f>
        <v>-30120000</v>
      </c>
      <c r="G948" s="53" t="s">
        <v>557</v>
      </c>
      <c r="H948" s="53"/>
      <c r="I948" s="5" t="b">
        <f>+IF(FINANCIACION[[#This Row],[$ CAPITAL]]&gt;0,FINANCIACION[[#This Row],[$ CAPITAL]])</f>
        <v>0</v>
      </c>
      <c r="J948" s="33">
        <f>+IF(FINANCIACION[[#This Row],[$ CAPITAL]]&gt;=0,FINANCIACION[[#This Row],[$ CAPITAL]]+FINANCIACION[[#This Row],[$ INTERESES]],0)</f>
        <v>0</v>
      </c>
    </row>
    <row r="949" spans="1:10" ht="24" hidden="1" customHeight="1" x14ac:dyDescent="0.3">
      <c r="A949" s="131">
        <v>44624</v>
      </c>
      <c r="B949" s="50" t="s">
        <v>552</v>
      </c>
      <c r="C949" s="5">
        <v>1744958</v>
      </c>
      <c r="D949" s="5">
        <v>206988</v>
      </c>
      <c r="E949" s="5">
        <f>+IF(FINANCIACION[[#This Row],[$ CAPITAL]]&gt;=0,FINANCIACION[[#This Row],[$ CAPITAL]]+FINANCIACION[[#This Row],[$ INTERESES]],"")</f>
        <v>1951946</v>
      </c>
      <c r="F949" s="5">
        <f>+SUMIFS(FINANCIACION[$ CAPITAL],FINANCIACION[Fecha],"&lt;="&amp;FINANCIACION[[#This Row],[Fecha]],FINANCIACION[PRESTAMO],FINANCIACION[[#This Row],[PRESTAMO]])</f>
        <v>-19194548</v>
      </c>
      <c r="G949" s="53"/>
      <c r="H949" s="53"/>
      <c r="I949" s="5">
        <f>+IF(FINANCIACION[[#This Row],[$ CAPITAL]]&gt;0,FINANCIACION[[#This Row],[$ CAPITAL]])</f>
        <v>1744958</v>
      </c>
      <c r="J949" s="33">
        <f>+IF(FINANCIACION[[#This Row],[$ CAPITAL]]&gt;=0,FINANCIACION[[#This Row],[$ CAPITAL]]+FINANCIACION[[#This Row],[$ INTERESES]],0)</f>
        <v>1951946</v>
      </c>
    </row>
    <row r="950" spans="1:10" ht="24" hidden="1" customHeight="1" x14ac:dyDescent="0.3">
      <c r="A950" s="131">
        <v>44624</v>
      </c>
      <c r="B950" s="50" t="s">
        <v>150</v>
      </c>
      <c r="C950" s="5">
        <v>3431126</v>
      </c>
      <c r="D950" s="5">
        <v>1152007.4500000002</v>
      </c>
      <c r="E950" s="5">
        <f>+IF(FINANCIACION[[#This Row],[$ CAPITAL]]&gt;=0,FINANCIACION[[#This Row],[$ CAPITAL]]+FINANCIACION[[#This Row],[$ INTERESES]],"")</f>
        <v>4583133.45</v>
      </c>
      <c r="F950" s="5">
        <f>+SUMIFS(FINANCIACION[$ CAPITAL],FINANCIACION[Fecha],"&lt;="&amp;FINANCIACION[[#This Row],[Fecha]],FINANCIACION[PRESTAMO],FINANCIACION[[#This Row],[PRESTAMO]])</f>
        <v>0</v>
      </c>
      <c r="G950" s="53"/>
      <c r="H950" s="53"/>
      <c r="I950" s="5">
        <f>+IF(FINANCIACION[[#This Row],[$ CAPITAL]]&gt;0,FINANCIACION[[#This Row],[$ CAPITAL]])</f>
        <v>3431126</v>
      </c>
      <c r="J950" s="33">
        <f>+IF(FINANCIACION[[#This Row],[$ CAPITAL]]&gt;=0,FINANCIACION[[#This Row],[$ CAPITAL]]+FINANCIACION[[#This Row],[$ INTERESES]],0)</f>
        <v>4583133.45</v>
      </c>
    </row>
    <row r="951" spans="1:10" ht="24" hidden="1" customHeight="1" x14ac:dyDescent="0.3">
      <c r="A951" s="131">
        <v>44627</v>
      </c>
      <c r="B951" s="50" t="s">
        <v>148</v>
      </c>
      <c r="C951" s="5"/>
      <c r="D951" s="5">
        <v>336802</v>
      </c>
      <c r="E951" s="5">
        <f>+IF(FINANCIACION[[#This Row],[$ CAPITAL]]&gt;=0,FINANCIACION[[#This Row],[$ CAPITAL]]+FINANCIACION[[#This Row],[$ INTERESES]],"")</f>
        <v>336802</v>
      </c>
      <c r="F951" s="5">
        <f>+SUMIFS(FINANCIACION[$ CAPITAL],FINANCIACION[Fecha],"&lt;="&amp;FINANCIACION[[#This Row],[Fecha]],FINANCIACION[PRESTAMO],FINANCIACION[[#This Row],[PRESTAMO]])</f>
        <v>0</v>
      </c>
      <c r="G951" s="53"/>
      <c r="H951" s="53"/>
      <c r="I951" s="5" t="b">
        <f>+IF(FINANCIACION[[#This Row],[$ CAPITAL]]&gt;0,FINANCIACION[[#This Row],[$ CAPITAL]])</f>
        <v>0</v>
      </c>
      <c r="J951" s="33">
        <f>+IF(FINANCIACION[[#This Row],[$ CAPITAL]]&gt;=0,FINANCIACION[[#This Row],[$ CAPITAL]]+FINANCIACION[[#This Row],[$ INTERESES]],0)</f>
        <v>336802</v>
      </c>
    </row>
    <row r="952" spans="1:10" ht="24" hidden="1" customHeight="1" x14ac:dyDescent="0.3">
      <c r="A952" s="131">
        <v>44629</v>
      </c>
      <c r="B952" s="50" t="s">
        <v>543</v>
      </c>
      <c r="C952" s="5"/>
      <c r="D952" s="5">
        <v>130000</v>
      </c>
      <c r="E952" s="5">
        <f>+IF(FINANCIACION[[#This Row],[$ CAPITAL]]&gt;=0,FINANCIACION[[#This Row],[$ CAPITAL]]+FINANCIACION[[#This Row],[$ INTERESES]],"")</f>
        <v>130000</v>
      </c>
      <c r="F952" s="5">
        <f>+SUMIFS(FINANCIACION[$ CAPITAL],FINANCIACION[Fecha],"&lt;="&amp;FINANCIACION[[#This Row],[Fecha]],FINANCIACION[PRESTAMO],FINANCIACION[[#This Row],[PRESTAMO]])</f>
        <v>-13000000</v>
      </c>
      <c r="G952" s="53"/>
      <c r="H952" s="53"/>
      <c r="I952" s="5" t="b">
        <f>+IF(FINANCIACION[[#This Row],[$ CAPITAL]]&gt;0,FINANCIACION[[#This Row],[$ CAPITAL]])</f>
        <v>0</v>
      </c>
      <c r="J952" s="33">
        <f>+IF(FINANCIACION[[#This Row],[$ CAPITAL]]&gt;=0,FINANCIACION[[#This Row],[$ CAPITAL]]+FINANCIACION[[#This Row],[$ INTERESES]],0)</f>
        <v>130000</v>
      </c>
    </row>
    <row r="953" spans="1:10" ht="24" hidden="1" customHeight="1" x14ac:dyDescent="0.3">
      <c r="A953" s="131">
        <v>44629</v>
      </c>
      <c r="B953" s="50" t="s">
        <v>547</v>
      </c>
      <c r="C953" s="5"/>
      <c r="D953" s="5">
        <v>400000</v>
      </c>
      <c r="E953" s="5">
        <f>+IF(FINANCIACION[[#This Row],[$ CAPITAL]]&gt;=0,FINANCIACION[[#This Row],[$ CAPITAL]]+FINANCIACION[[#This Row],[$ INTERESES]],"")</f>
        <v>400000</v>
      </c>
      <c r="F953" s="5">
        <f>+SUMIFS(FINANCIACION[$ CAPITAL],FINANCIACION[Fecha],"&lt;="&amp;FINANCIACION[[#This Row],[Fecha]],FINANCIACION[PRESTAMO],FINANCIACION[[#This Row],[PRESTAMO]])</f>
        <v>-40000000</v>
      </c>
      <c r="G953" s="53"/>
      <c r="H953" s="53"/>
      <c r="I953" s="5" t="b">
        <f>+IF(FINANCIACION[[#This Row],[$ CAPITAL]]&gt;0,FINANCIACION[[#This Row],[$ CAPITAL]])</f>
        <v>0</v>
      </c>
      <c r="J953" s="33">
        <f>+IF(FINANCIACION[[#This Row],[$ CAPITAL]]&gt;=0,FINANCIACION[[#This Row],[$ CAPITAL]]+FINANCIACION[[#This Row],[$ INTERESES]],0)</f>
        <v>400000</v>
      </c>
    </row>
    <row r="954" spans="1:10" ht="24" hidden="1" customHeight="1" x14ac:dyDescent="0.3">
      <c r="A954" s="131">
        <v>44629</v>
      </c>
      <c r="B954" s="50" t="s">
        <v>536</v>
      </c>
      <c r="C954" s="5">
        <v>780075.30759878037</v>
      </c>
      <c r="D954" s="5">
        <v>519924.69240121968</v>
      </c>
      <c r="E954" s="5">
        <f>+IF(FINANCIACION[[#This Row],[$ CAPITAL]]&gt;=0,FINANCIACION[[#This Row],[$ CAPITAL]]+FINANCIACION[[#This Row],[$ INTERESES]],"")</f>
        <v>1300000</v>
      </c>
      <c r="F954" s="5">
        <f>+SUMIFS(FINANCIACION[$ CAPITAL],FINANCIACION[Fecha],"&lt;="&amp;FINANCIACION[[#This Row],[Fecha]],FINANCIACION[PRESTAMO],FINANCIACION[[#This Row],[PRESTAMO]])</f>
        <v>-51212393.932523191</v>
      </c>
      <c r="G954" s="53"/>
      <c r="H954" s="53"/>
      <c r="I954" s="5">
        <f>+IF(FINANCIACION[[#This Row],[$ CAPITAL]]&gt;0,FINANCIACION[[#This Row],[$ CAPITAL]])</f>
        <v>780075.30759878037</v>
      </c>
      <c r="J954" s="33">
        <f>+IF(FINANCIACION[[#This Row],[$ CAPITAL]]&gt;=0,FINANCIACION[[#This Row],[$ CAPITAL]]+FINANCIACION[[#This Row],[$ INTERESES]],0)</f>
        <v>1300000</v>
      </c>
    </row>
    <row r="955" spans="1:10" ht="24" hidden="1" customHeight="1" x14ac:dyDescent="0.3">
      <c r="A955" s="131">
        <v>44629</v>
      </c>
      <c r="B955" s="50" t="s">
        <v>533</v>
      </c>
      <c r="C955" s="5">
        <v>506154.13844707143</v>
      </c>
      <c r="D955" s="5">
        <v>693845.86155292857</v>
      </c>
      <c r="E955" s="5">
        <f>+IF(FINANCIACION[[#This Row],[$ CAPITAL]]&gt;=0,FINANCIACION[[#This Row],[$ CAPITAL]]+FINANCIACION[[#This Row],[$ INTERESES]],"")</f>
        <v>1200000</v>
      </c>
      <c r="F955" s="5">
        <f>+SUMIFS(FINANCIACION[$ CAPITAL],FINANCIACION[Fecha],"&lt;="&amp;FINANCIACION[[#This Row],[Fecha]],FINANCIACION[PRESTAMO],FINANCIACION[[#This Row],[PRESTAMO]])</f>
        <v>-69049119.876845777</v>
      </c>
      <c r="G955" s="53"/>
      <c r="H955" s="53"/>
      <c r="I955" s="5">
        <f>+IF(FINANCIACION[[#This Row],[$ CAPITAL]]&gt;0,FINANCIACION[[#This Row],[$ CAPITAL]])</f>
        <v>506154.13844707143</v>
      </c>
      <c r="J955" s="33">
        <f>+IF(FINANCIACION[[#This Row],[$ CAPITAL]]&gt;=0,FINANCIACION[[#This Row],[$ CAPITAL]]+FINANCIACION[[#This Row],[$ INTERESES]],0)</f>
        <v>1200000</v>
      </c>
    </row>
    <row r="956" spans="1:10" ht="24" hidden="1" customHeight="1" x14ac:dyDescent="0.3">
      <c r="A956" s="131">
        <v>44629</v>
      </c>
      <c r="B956" s="50" t="s">
        <v>545</v>
      </c>
      <c r="C956" s="5"/>
      <c r="D956" s="5">
        <v>120000</v>
      </c>
      <c r="E956" s="5">
        <f>+IF(FINANCIACION[[#This Row],[$ CAPITAL]]&gt;=0,FINANCIACION[[#This Row],[$ CAPITAL]]+FINANCIACION[[#This Row],[$ INTERESES]],"")</f>
        <v>120000</v>
      </c>
      <c r="F956" s="5">
        <f>+SUMIFS(FINANCIACION[$ CAPITAL],FINANCIACION[Fecha],"&lt;="&amp;FINANCIACION[[#This Row],[Fecha]],FINANCIACION[PRESTAMO],FINANCIACION[[#This Row],[PRESTAMO]])</f>
        <v>-12000000</v>
      </c>
      <c r="G956" s="53"/>
      <c r="H956" s="53"/>
      <c r="I956" s="5" t="b">
        <f>+IF(FINANCIACION[[#This Row],[$ CAPITAL]]&gt;0,FINANCIACION[[#This Row],[$ CAPITAL]])</f>
        <v>0</v>
      </c>
      <c r="J956" s="33">
        <f>+IF(FINANCIACION[[#This Row],[$ CAPITAL]]&gt;=0,FINANCIACION[[#This Row],[$ CAPITAL]]+FINANCIACION[[#This Row],[$ INTERESES]],0)</f>
        <v>120000</v>
      </c>
    </row>
    <row r="957" spans="1:10" ht="24" hidden="1" customHeight="1" x14ac:dyDescent="0.3">
      <c r="A957" s="131">
        <v>44630</v>
      </c>
      <c r="B957" s="50" t="s">
        <v>532</v>
      </c>
      <c r="C957" s="5">
        <v>2024727.6737406622</v>
      </c>
      <c r="D957" s="5">
        <v>652650.32625933795</v>
      </c>
      <c r="E957" s="5">
        <f>+IF(FINANCIACION[[#This Row],[$ CAPITAL]]&gt;=0,FINANCIACION[[#This Row],[$ CAPITAL]]+FINANCIACION[[#This Row],[$ INTERESES]],"")</f>
        <v>2677378</v>
      </c>
      <c r="F957" s="5">
        <f>+SUMIFS(FINANCIACION[$ CAPITAL],FINANCIACION[Fecha],"&lt;="&amp;FINANCIACION[[#This Row],[Fecha]],FINANCIACION[PRESTAMO],FINANCIACION[[#This Row],[PRESTAMO]])</f>
        <v>-63240304.952193126</v>
      </c>
      <c r="G957" s="53"/>
      <c r="H957" s="53"/>
      <c r="I957" s="5">
        <f>+IF(FINANCIACION[[#This Row],[$ CAPITAL]]&gt;0,FINANCIACION[[#This Row],[$ CAPITAL]])</f>
        <v>2024727.6737406622</v>
      </c>
      <c r="J957" s="33">
        <f>+IF(FINANCIACION[[#This Row],[$ CAPITAL]]&gt;=0,FINANCIACION[[#This Row],[$ CAPITAL]]+FINANCIACION[[#This Row],[$ INTERESES]],0)</f>
        <v>2677378</v>
      </c>
    </row>
    <row r="958" spans="1:10" ht="24" hidden="1" customHeight="1" x14ac:dyDescent="0.3">
      <c r="A958" s="131">
        <v>44634</v>
      </c>
      <c r="B958" s="50" t="s">
        <v>153</v>
      </c>
      <c r="C958" s="5">
        <v>1944444</v>
      </c>
      <c r="D958" s="5">
        <v>244294.07</v>
      </c>
      <c r="E958" s="5">
        <f>+IF(FINANCIACION[[#This Row],[$ CAPITAL]]&gt;=0,FINANCIACION[[#This Row],[$ CAPITAL]]+FINANCIACION[[#This Row],[$ INTERESES]],"")</f>
        <v>2188738.0699999998</v>
      </c>
      <c r="F958" s="5">
        <f>+SUMIFS(FINANCIACION[$ CAPITAL],FINANCIACION[Fecha],"&lt;="&amp;FINANCIACION[[#This Row],[Fecha]],FINANCIACION[PRESTAMO],FINANCIACION[[#This Row],[PRESTAMO]])</f>
        <v>-27222224</v>
      </c>
      <c r="G958" s="53"/>
      <c r="H958" s="53"/>
      <c r="I958" s="5">
        <f>+IF(FINANCIACION[[#This Row],[$ CAPITAL]]&gt;0,FINANCIACION[[#This Row],[$ CAPITAL]])</f>
        <v>1944444</v>
      </c>
      <c r="J958" s="33">
        <f>+IF(FINANCIACION[[#This Row],[$ CAPITAL]]&gt;=0,FINANCIACION[[#This Row],[$ CAPITAL]]+FINANCIACION[[#This Row],[$ INTERESES]],0)</f>
        <v>2188738.0699999998</v>
      </c>
    </row>
    <row r="959" spans="1:10" ht="24" hidden="1" customHeight="1" x14ac:dyDescent="0.3">
      <c r="A959" s="131">
        <v>44637</v>
      </c>
      <c r="B959" s="50" t="s">
        <v>148</v>
      </c>
      <c r="C959" s="5"/>
      <c r="D959" s="5">
        <v>259156</v>
      </c>
      <c r="E959" s="5">
        <f>+IF(FINANCIACION[[#This Row],[$ CAPITAL]]&gt;=0,FINANCIACION[[#This Row],[$ CAPITAL]]+FINANCIACION[[#This Row],[$ INTERESES]],"")</f>
        <v>259156</v>
      </c>
      <c r="F959" s="5">
        <f>+SUMIFS(FINANCIACION[$ CAPITAL],FINANCIACION[Fecha],"&lt;="&amp;FINANCIACION[[#This Row],[Fecha]],FINANCIACION[PRESTAMO],FINANCIACION[[#This Row],[PRESTAMO]])</f>
        <v>0</v>
      </c>
      <c r="G959" s="53"/>
      <c r="H959" s="53"/>
      <c r="I959" s="5" t="b">
        <f>+IF(FINANCIACION[[#This Row],[$ CAPITAL]]&gt;0,FINANCIACION[[#This Row],[$ CAPITAL]])</f>
        <v>0</v>
      </c>
      <c r="J959" s="33">
        <f>+IF(FINANCIACION[[#This Row],[$ CAPITAL]]&gt;=0,FINANCIACION[[#This Row],[$ CAPITAL]]+FINANCIACION[[#This Row],[$ INTERESES]],0)</f>
        <v>259156</v>
      </c>
    </row>
    <row r="960" spans="1:10" ht="24" hidden="1" customHeight="1" x14ac:dyDescent="0.3">
      <c r="A960" s="131">
        <v>44638</v>
      </c>
      <c r="B960" s="50" t="s">
        <v>546</v>
      </c>
      <c r="C960" s="5">
        <v>1195055.379999999</v>
      </c>
      <c r="D960" s="5">
        <v>17944.620000001043</v>
      </c>
      <c r="E960" s="5">
        <f>+IF(FINANCIACION[[#This Row],[$ CAPITAL]]&gt;=0,FINANCIACION[[#This Row],[$ CAPITAL]]+FINANCIACION[[#This Row],[$ INTERESES]],"")</f>
        <v>1213000</v>
      </c>
      <c r="F960" s="5">
        <f>+SUMIFS(FINANCIACION[$ CAPITAL],FINANCIACION[Fecha],"&lt;="&amp;FINANCIACION[[#This Row],[Fecha]],FINANCIACION[PRESTAMO],FINANCIACION[[#This Row],[PRESTAMO]])</f>
        <v>-15298826.790000001</v>
      </c>
      <c r="G960" s="53"/>
      <c r="H960" s="53"/>
      <c r="I960" s="5">
        <f>+IF(FINANCIACION[[#This Row],[$ CAPITAL]]&gt;0,FINANCIACION[[#This Row],[$ CAPITAL]])</f>
        <v>1195055.379999999</v>
      </c>
      <c r="J960" s="33">
        <f>+IF(FINANCIACION[[#This Row],[$ CAPITAL]]&gt;=0,FINANCIACION[[#This Row],[$ CAPITAL]]+FINANCIACION[[#This Row],[$ INTERESES]],0)</f>
        <v>1213000</v>
      </c>
    </row>
    <row r="961" spans="1:10" ht="24" hidden="1" customHeight="1" x14ac:dyDescent="0.3">
      <c r="A961" s="131">
        <v>44638</v>
      </c>
      <c r="B961" s="50" t="s">
        <v>540</v>
      </c>
      <c r="C961" s="5">
        <v>963947.72999999858</v>
      </c>
      <c r="D961" s="5">
        <v>15052.270000001416</v>
      </c>
      <c r="E961" s="5">
        <f>+IF(FINANCIACION[[#This Row],[$ CAPITAL]]&gt;=0,FINANCIACION[[#This Row],[$ CAPITAL]]+FINANCIACION[[#This Row],[$ INTERESES]],"")</f>
        <v>979000</v>
      </c>
      <c r="F961" s="5">
        <f>+SUMIFS(FINANCIACION[$ CAPITAL],FINANCIACION[Fecha],"&lt;="&amp;FINANCIACION[[#This Row],[Fecha]],FINANCIACION[PRESTAMO],FINANCIACION[[#This Row],[PRESTAMO]])</f>
        <v>-13820901.029999996</v>
      </c>
      <c r="G961" s="53"/>
      <c r="H961" s="53"/>
      <c r="I961" s="5">
        <f>+IF(FINANCIACION[[#This Row],[$ CAPITAL]]&gt;0,FINANCIACION[[#This Row],[$ CAPITAL]])</f>
        <v>963947.72999999858</v>
      </c>
      <c r="J961" s="33">
        <f>+IF(FINANCIACION[[#This Row],[$ CAPITAL]]&gt;=0,FINANCIACION[[#This Row],[$ CAPITAL]]+FINANCIACION[[#This Row],[$ INTERESES]],0)</f>
        <v>979000</v>
      </c>
    </row>
    <row r="962" spans="1:10" ht="24" hidden="1" customHeight="1" x14ac:dyDescent="0.3">
      <c r="A962" s="131">
        <v>44638</v>
      </c>
      <c r="B962" s="50" t="s">
        <v>548</v>
      </c>
      <c r="C962" s="5">
        <v>519036.93999999762</v>
      </c>
      <c r="D962" s="5">
        <v>85963.060000002384</v>
      </c>
      <c r="E962" s="5">
        <f>+IF(FINANCIACION[[#This Row],[$ CAPITAL]]&gt;=0,FINANCIACION[[#This Row],[$ CAPITAL]]+FINANCIACION[[#This Row],[$ INTERESES]],"")</f>
        <v>605000</v>
      </c>
      <c r="F962" s="5">
        <f>+SUMIFS(FINANCIACION[$ CAPITAL],FINANCIACION[Fecha],"&lt;="&amp;FINANCIACION[[#This Row],[Fecha]],FINANCIACION[PRESTAMO],FINANCIACION[[#This Row],[PRESTAMO]])</f>
        <v>-81311593.769999996</v>
      </c>
      <c r="G962" s="53"/>
      <c r="H962" s="53"/>
      <c r="I962" s="5">
        <f>+IF(FINANCIACION[[#This Row],[$ CAPITAL]]&gt;0,FINANCIACION[[#This Row],[$ CAPITAL]])</f>
        <v>519036.93999999762</v>
      </c>
      <c r="J962" s="33">
        <f>+IF(FINANCIACION[[#This Row],[$ CAPITAL]]&gt;=0,FINANCIACION[[#This Row],[$ CAPITAL]]+FINANCIACION[[#This Row],[$ INTERESES]],0)</f>
        <v>605000</v>
      </c>
    </row>
    <row r="963" spans="1:10" ht="24" hidden="1" customHeight="1" x14ac:dyDescent="0.3">
      <c r="A963" s="131">
        <v>44638</v>
      </c>
      <c r="B963" s="50" t="s">
        <v>542</v>
      </c>
      <c r="C963" s="5">
        <v>1016204.9299999997</v>
      </c>
      <c r="D963" s="5">
        <v>16795.070000000298</v>
      </c>
      <c r="E963" s="5">
        <f>+IF(FINANCIACION[[#This Row],[$ CAPITAL]]&gt;=0,FINANCIACION[[#This Row],[$ CAPITAL]]+FINANCIACION[[#This Row],[$ INTERESES]],"")</f>
        <v>1033000</v>
      </c>
      <c r="F963" s="5">
        <f>+SUMIFS(FINANCIACION[$ CAPITAL],FINANCIACION[Fecha],"&lt;="&amp;FINANCIACION[[#This Row],[Fecha]],FINANCIACION[PRESTAMO],FINANCIACION[[#This Row],[PRESTAMO]])</f>
        <v>-15405438.159999996</v>
      </c>
      <c r="G963" s="53"/>
      <c r="H963" s="53"/>
      <c r="I963" s="5">
        <f>+IF(FINANCIACION[[#This Row],[$ CAPITAL]]&gt;0,FINANCIACION[[#This Row],[$ CAPITAL]])</f>
        <v>1016204.9299999997</v>
      </c>
      <c r="J963" s="33">
        <f>+IF(FINANCIACION[[#This Row],[$ CAPITAL]]&gt;=0,FINANCIACION[[#This Row],[$ CAPITAL]]+FINANCIACION[[#This Row],[$ INTERESES]],0)</f>
        <v>1033000</v>
      </c>
    </row>
    <row r="964" spans="1:10" ht="24" hidden="1" customHeight="1" x14ac:dyDescent="0.3">
      <c r="A964" s="131">
        <v>44638</v>
      </c>
      <c r="B964" s="50" t="s">
        <v>538</v>
      </c>
      <c r="C964" s="5">
        <v>2430087.4699999988</v>
      </c>
      <c r="D964" s="5">
        <v>38912.530000001192</v>
      </c>
      <c r="E964" s="5">
        <f>+IF(FINANCIACION[[#This Row],[$ CAPITAL]]&gt;=0,FINANCIACION[[#This Row],[$ CAPITAL]]+FINANCIACION[[#This Row],[$ INTERESES]],"")</f>
        <v>2469000</v>
      </c>
      <c r="F964" s="5">
        <f>+SUMIFS(FINANCIACION[$ CAPITAL],FINANCIACION[Fecha],"&lt;="&amp;FINANCIACION[[#This Row],[Fecha]],FINANCIACION[PRESTAMO],FINANCIACION[[#This Row],[PRESTAMO]])</f>
        <v>-33156469.100000001</v>
      </c>
      <c r="G964" s="53"/>
      <c r="H964" s="53"/>
      <c r="I964" s="5">
        <f>+IF(FINANCIACION[[#This Row],[$ CAPITAL]]&gt;0,FINANCIACION[[#This Row],[$ CAPITAL]])</f>
        <v>2430087.4699999988</v>
      </c>
      <c r="J964" s="33">
        <f>+IF(FINANCIACION[[#This Row],[$ CAPITAL]]&gt;=0,FINANCIACION[[#This Row],[$ CAPITAL]]+FINANCIACION[[#This Row],[$ INTERESES]],0)</f>
        <v>2469000</v>
      </c>
    </row>
    <row r="965" spans="1:10" ht="24" hidden="1" customHeight="1" x14ac:dyDescent="0.3">
      <c r="A965" s="131">
        <v>44638</v>
      </c>
      <c r="B965" s="50" t="s">
        <v>539</v>
      </c>
      <c r="C965" s="5">
        <v>3559559.6099999994</v>
      </c>
      <c r="D965" s="5">
        <v>61440.390000000596</v>
      </c>
      <c r="E965" s="5">
        <f>+IF(FINANCIACION[[#This Row],[$ CAPITAL]]&gt;=0,FINANCIACION[[#This Row],[$ CAPITAL]]+FINANCIACION[[#This Row],[$ INTERESES]],"")</f>
        <v>3621000</v>
      </c>
      <c r="F965" s="5">
        <f>+SUMIFS(FINANCIACION[$ CAPITAL],FINANCIACION[Fecha],"&lt;="&amp;FINANCIACION[[#This Row],[Fecha]],FINANCIACION[PRESTAMO],FINANCIACION[[#This Row],[PRESTAMO]])</f>
        <v>-48111936.519999996</v>
      </c>
      <c r="G965" s="53"/>
      <c r="H965" s="53"/>
      <c r="I965" s="5">
        <f>+IF(FINANCIACION[[#This Row],[$ CAPITAL]]&gt;0,FINANCIACION[[#This Row],[$ CAPITAL]])</f>
        <v>3559559.6099999994</v>
      </c>
      <c r="J965" s="33">
        <f>+IF(FINANCIACION[[#This Row],[$ CAPITAL]]&gt;=0,FINANCIACION[[#This Row],[$ CAPITAL]]+FINANCIACION[[#This Row],[$ INTERESES]],0)</f>
        <v>3621000</v>
      </c>
    </row>
    <row r="966" spans="1:10" ht="24" hidden="1" customHeight="1" x14ac:dyDescent="0.3">
      <c r="A966" s="131">
        <v>44638</v>
      </c>
      <c r="B966" s="50" t="s">
        <v>534</v>
      </c>
      <c r="C966" s="5">
        <v>5497957</v>
      </c>
      <c r="D966" s="5">
        <v>252367</v>
      </c>
      <c r="E966" s="5">
        <f>+IF(FINANCIACION[[#This Row],[$ CAPITAL]]&gt;=0,FINANCIACION[[#This Row],[$ CAPITAL]]+FINANCIACION[[#This Row],[$ INTERESES]],"")</f>
        <v>5750324</v>
      </c>
      <c r="F966" s="5">
        <f>+SUMIFS(FINANCIACION[$ CAPITAL],FINANCIACION[Fecha],"&lt;="&amp;FINANCIACION[[#This Row],[Fecha]],FINANCIACION[PRESTAMO],FINANCIACION[[#This Row],[PRESTAMO]])</f>
        <v>-377110348</v>
      </c>
      <c r="G966" s="53"/>
      <c r="H966" s="53"/>
      <c r="I966" s="5">
        <f>+IF(FINANCIACION[[#This Row],[$ CAPITAL]]&gt;0,FINANCIACION[[#This Row],[$ CAPITAL]])</f>
        <v>5497957</v>
      </c>
      <c r="J966" s="33">
        <f>+IF(FINANCIACION[[#This Row],[$ CAPITAL]]&gt;=0,FINANCIACION[[#This Row],[$ CAPITAL]]+FINANCIACION[[#This Row],[$ INTERESES]],0)</f>
        <v>5750324</v>
      </c>
    </row>
    <row r="967" spans="1:10" ht="24" hidden="1" customHeight="1" x14ac:dyDescent="0.3">
      <c r="A967" s="131">
        <v>44638</v>
      </c>
      <c r="B967" s="50" t="s">
        <v>535</v>
      </c>
      <c r="C967" s="5">
        <v>1445291.5799999982</v>
      </c>
      <c r="D967" s="5">
        <v>18708.420000001788</v>
      </c>
      <c r="E967" s="5">
        <f>+IF(FINANCIACION[[#This Row],[$ CAPITAL]]&gt;=0,FINANCIACION[[#This Row],[$ CAPITAL]]+FINANCIACION[[#This Row],[$ INTERESES]],"")</f>
        <v>1464000</v>
      </c>
      <c r="F967" s="5">
        <f>+SUMIFS(FINANCIACION[$ CAPITAL],FINANCIACION[Fecha],"&lt;="&amp;FINANCIACION[[#This Row],[Fecha]],FINANCIACION[PRESTAMO],FINANCIACION[[#This Row],[PRESTAMO]])</f>
        <v>-17173188.560000002</v>
      </c>
      <c r="G967" s="53"/>
      <c r="H967" s="53"/>
      <c r="I967" s="5">
        <f>+IF(FINANCIACION[[#This Row],[$ CAPITAL]]&gt;0,FINANCIACION[[#This Row],[$ CAPITAL]])</f>
        <v>1445291.5799999982</v>
      </c>
      <c r="J967" s="33">
        <f>+IF(FINANCIACION[[#This Row],[$ CAPITAL]]&gt;=0,FINANCIACION[[#This Row],[$ CAPITAL]]+FINANCIACION[[#This Row],[$ INTERESES]],0)</f>
        <v>1464000</v>
      </c>
    </row>
    <row r="968" spans="1:10" ht="24" hidden="1" customHeight="1" x14ac:dyDescent="0.3">
      <c r="A968" s="131">
        <v>44643</v>
      </c>
      <c r="B968" s="50" t="s">
        <v>550</v>
      </c>
      <c r="C968" s="5">
        <v>-1778500</v>
      </c>
      <c r="D968" s="5"/>
      <c r="E968" s="5" t="str">
        <f>+IF(FINANCIACION[[#This Row],[$ CAPITAL]]&gt;=0,FINANCIACION[[#This Row],[$ CAPITAL]]+FINANCIACION[[#This Row],[$ INTERESES]],"")</f>
        <v/>
      </c>
      <c r="F968" s="5">
        <f>+SUMIFS(FINANCIACION[$ CAPITAL],FINANCIACION[Fecha],"&lt;="&amp;FINANCIACION[[#This Row],[Fecha]],FINANCIACION[PRESTAMO],FINANCIACION[[#This Row],[PRESTAMO]])</f>
        <v>-35295532.5</v>
      </c>
      <c r="G968" s="53"/>
      <c r="H968" s="53"/>
      <c r="I968" s="5" t="b">
        <f>+IF(FINANCIACION[[#This Row],[$ CAPITAL]]&gt;0,FINANCIACION[[#This Row],[$ CAPITAL]])</f>
        <v>0</v>
      </c>
      <c r="J968" s="33">
        <f>+IF(FINANCIACION[[#This Row],[$ CAPITAL]]&gt;=0,FINANCIACION[[#This Row],[$ CAPITAL]]+FINANCIACION[[#This Row],[$ INTERESES]],0)</f>
        <v>0</v>
      </c>
    </row>
    <row r="969" spans="1:10" ht="24" hidden="1" customHeight="1" x14ac:dyDescent="0.3">
      <c r="A969" s="131">
        <v>44643</v>
      </c>
      <c r="B969" s="50" t="s">
        <v>148</v>
      </c>
      <c r="C969" s="5"/>
      <c r="D969" s="5">
        <v>228952</v>
      </c>
      <c r="E969" s="5">
        <f>+IF(FINANCIACION[[#This Row],[$ CAPITAL]]&gt;=0,FINANCIACION[[#This Row],[$ CAPITAL]]+FINANCIACION[[#This Row],[$ INTERESES]],"")</f>
        <v>228952</v>
      </c>
      <c r="F969" s="5">
        <f>+SUMIFS(FINANCIACION[$ CAPITAL],FINANCIACION[Fecha],"&lt;="&amp;FINANCIACION[[#This Row],[Fecha]],FINANCIACION[PRESTAMO],FINANCIACION[[#This Row],[PRESTAMO]])</f>
        <v>0</v>
      </c>
      <c r="G969" s="53"/>
      <c r="H969" s="53"/>
      <c r="I969" s="5" t="b">
        <f>+IF(FINANCIACION[[#This Row],[$ CAPITAL]]&gt;0,FINANCIACION[[#This Row],[$ CAPITAL]])</f>
        <v>0</v>
      </c>
      <c r="J969" s="33">
        <f>+IF(FINANCIACION[[#This Row],[$ CAPITAL]]&gt;=0,FINANCIACION[[#This Row],[$ CAPITAL]]+FINANCIACION[[#This Row],[$ INTERESES]],0)</f>
        <v>228952</v>
      </c>
    </row>
    <row r="970" spans="1:10" ht="24" hidden="1" customHeight="1" x14ac:dyDescent="0.3">
      <c r="A970" s="131">
        <v>44643</v>
      </c>
      <c r="B970" s="50" t="s">
        <v>206</v>
      </c>
      <c r="C970" s="5">
        <v>-1346606</v>
      </c>
      <c r="D970" s="5"/>
      <c r="E970" s="5" t="str">
        <f>+IF(FINANCIACION[[#This Row],[$ CAPITAL]]&gt;=0,FINANCIACION[[#This Row],[$ CAPITAL]]+FINANCIACION[[#This Row],[$ INTERESES]],"")</f>
        <v/>
      </c>
      <c r="F970" s="5">
        <f>+SUMIFS(FINANCIACION[$ CAPITAL],FINANCIACION[Fecha],"&lt;="&amp;FINANCIACION[[#This Row],[Fecha]],FINANCIACION[PRESTAMO],FINANCIACION[[#This Row],[PRESTAMO]])</f>
        <v>0</v>
      </c>
      <c r="G970" s="53" t="s">
        <v>170</v>
      </c>
      <c r="H970" s="53"/>
      <c r="I970" s="5" t="b">
        <f>+IF(FINANCIACION[[#This Row],[$ CAPITAL]]&gt;0,FINANCIACION[[#This Row],[$ CAPITAL]])</f>
        <v>0</v>
      </c>
      <c r="J970" s="33">
        <f>+IF(FINANCIACION[[#This Row],[$ CAPITAL]]&gt;=0,FINANCIACION[[#This Row],[$ CAPITAL]]+FINANCIACION[[#This Row],[$ INTERESES]],0)</f>
        <v>0</v>
      </c>
    </row>
    <row r="971" spans="1:10" ht="24" hidden="1" customHeight="1" x14ac:dyDescent="0.3">
      <c r="A971" s="131">
        <v>44643</v>
      </c>
      <c r="B971" s="50" t="s">
        <v>206</v>
      </c>
      <c r="C971" s="5">
        <v>59783933</v>
      </c>
      <c r="D971" s="5"/>
      <c r="E971" s="5">
        <f>+IF(FINANCIACION[[#This Row],[$ CAPITAL]]&gt;=0,FINANCIACION[[#This Row],[$ CAPITAL]]+FINANCIACION[[#This Row],[$ INTERESES]],"")</f>
        <v>59783933</v>
      </c>
      <c r="F971" s="5">
        <f>+SUMIFS(FINANCIACION[$ CAPITAL],FINANCIACION[Fecha],"&lt;="&amp;FINANCIACION[[#This Row],[Fecha]],FINANCIACION[PRESTAMO],FINANCIACION[[#This Row],[PRESTAMO]])</f>
        <v>0</v>
      </c>
      <c r="G971" s="53"/>
      <c r="H971" s="53"/>
      <c r="I971" s="5">
        <f>+IF(FINANCIACION[[#This Row],[$ CAPITAL]]&gt;0,FINANCIACION[[#This Row],[$ CAPITAL]])</f>
        <v>59783933</v>
      </c>
      <c r="J971" s="33">
        <f>+IF(FINANCIACION[[#This Row],[$ CAPITAL]]&gt;=0,FINANCIACION[[#This Row],[$ CAPITAL]]+FINANCIACION[[#This Row],[$ INTERESES]],0)</f>
        <v>59783933</v>
      </c>
    </row>
    <row r="972" spans="1:10" ht="24" hidden="1" customHeight="1" x14ac:dyDescent="0.3">
      <c r="A972" s="131">
        <v>44643</v>
      </c>
      <c r="B972" s="50" t="s">
        <v>588</v>
      </c>
      <c r="C972" s="5">
        <v>-60000000</v>
      </c>
      <c r="D972" s="5">
        <v>2043040</v>
      </c>
      <c r="E972" s="5" t="str">
        <f>+IF(FINANCIACION[[#This Row],[$ CAPITAL]]&gt;=0,FINANCIACION[[#This Row],[$ CAPITAL]]+FINANCIACION[[#This Row],[$ INTERESES]],"")</f>
        <v/>
      </c>
      <c r="F972" s="5">
        <f>+SUMIFS(FINANCIACION[$ CAPITAL],FINANCIACION[Fecha],"&lt;="&amp;FINANCIACION[[#This Row],[Fecha]],FINANCIACION[PRESTAMO],FINANCIACION[[#This Row],[PRESTAMO]])</f>
        <v>-61469243.359999999</v>
      </c>
      <c r="G972" s="53"/>
      <c r="H972" s="53"/>
      <c r="I972" s="5" t="b">
        <f>+IF(FINANCIACION[[#This Row],[$ CAPITAL]]&gt;0,FINANCIACION[[#This Row],[$ CAPITAL]])</f>
        <v>0</v>
      </c>
      <c r="J972" s="33">
        <f>+IF(FINANCIACION[[#This Row],[$ CAPITAL]]&gt;=0,FINANCIACION[[#This Row],[$ CAPITAL]]+FINANCIACION[[#This Row],[$ INTERESES]],0)</f>
        <v>0</v>
      </c>
    </row>
    <row r="973" spans="1:10" ht="24" hidden="1" customHeight="1" x14ac:dyDescent="0.3">
      <c r="A973" s="131">
        <v>44645</v>
      </c>
      <c r="B973" s="50" t="s">
        <v>550</v>
      </c>
      <c r="C973" s="5">
        <v>-2400000</v>
      </c>
      <c r="D973" s="5"/>
      <c r="E973" s="5" t="str">
        <f>+IF(FINANCIACION[[#This Row],[$ CAPITAL]]&gt;=0,FINANCIACION[[#This Row],[$ CAPITAL]]+FINANCIACION[[#This Row],[$ INTERESES]],"")</f>
        <v/>
      </c>
      <c r="F973" s="5">
        <f>+SUMIFS(FINANCIACION[$ CAPITAL],FINANCIACION[Fecha],"&lt;="&amp;FINANCIACION[[#This Row],[Fecha]],FINANCIACION[PRESTAMO],FINANCIACION[[#This Row],[PRESTAMO]])</f>
        <v>-37695532.5</v>
      </c>
      <c r="G973" s="53" t="s">
        <v>372</v>
      </c>
      <c r="H973" s="53"/>
      <c r="I973" s="5" t="b">
        <f>+IF(FINANCIACION[[#This Row],[$ CAPITAL]]&gt;0,FINANCIACION[[#This Row],[$ CAPITAL]])</f>
        <v>0</v>
      </c>
      <c r="J973" s="33">
        <f>+IF(FINANCIACION[[#This Row],[$ CAPITAL]]&gt;=0,FINANCIACION[[#This Row],[$ CAPITAL]]+FINANCIACION[[#This Row],[$ INTERESES]],0)</f>
        <v>0</v>
      </c>
    </row>
    <row r="974" spans="1:10" ht="24" hidden="1" customHeight="1" x14ac:dyDescent="0.3">
      <c r="A974" s="131">
        <v>44650</v>
      </c>
      <c r="B974" s="50" t="s">
        <v>148</v>
      </c>
      <c r="C974" s="5"/>
      <c r="D974" s="5">
        <v>132448</v>
      </c>
      <c r="E974" s="5">
        <f>+IF(FINANCIACION[[#This Row],[$ CAPITAL]]&gt;=0,FINANCIACION[[#This Row],[$ CAPITAL]]+FINANCIACION[[#This Row],[$ INTERESES]],"")</f>
        <v>132448</v>
      </c>
      <c r="F974" s="5">
        <f>+SUMIFS(FINANCIACION[$ CAPITAL],FINANCIACION[Fecha],"&lt;="&amp;FINANCIACION[[#This Row],[Fecha]],FINANCIACION[PRESTAMO],FINANCIACION[[#This Row],[PRESTAMO]])</f>
        <v>0</v>
      </c>
      <c r="G974" s="53"/>
      <c r="H974" s="53"/>
      <c r="I974" s="5" t="b">
        <f>+IF(FINANCIACION[[#This Row],[$ CAPITAL]]&gt;0,FINANCIACION[[#This Row],[$ CAPITAL]])</f>
        <v>0</v>
      </c>
      <c r="J974" s="33">
        <f>+IF(FINANCIACION[[#This Row],[$ CAPITAL]]&gt;=0,FINANCIACION[[#This Row],[$ CAPITAL]]+FINANCIACION[[#This Row],[$ INTERESES]],0)</f>
        <v>132448</v>
      </c>
    </row>
    <row r="975" spans="1:10" ht="24" hidden="1" customHeight="1" x14ac:dyDescent="0.3">
      <c r="A975" s="131">
        <v>44651</v>
      </c>
      <c r="B975" s="50" t="s">
        <v>550</v>
      </c>
      <c r="C975" s="5">
        <v>34517000</v>
      </c>
      <c r="D975" s="5"/>
      <c r="E975" s="5">
        <f>+IF(FINANCIACION[[#This Row],[$ CAPITAL]]&gt;=0,FINANCIACION[[#This Row],[$ CAPITAL]]+FINANCIACION[[#This Row],[$ INTERESES]],"")</f>
        <v>34517000</v>
      </c>
      <c r="F975" s="5">
        <f>+SUMIFS(FINANCIACION[$ CAPITAL],FINANCIACION[Fecha],"&lt;="&amp;FINANCIACION[[#This Row],[Fecha]],FINANCIACION[PRESTAMO],FINANCIACION[[#This Row],[PRESTAMO]])</f>
        <v>-3178532.5</v>
      </c>
      <c r="G975" s="53"/>
      <c r="H975" s="53"/>
      <c r="I975" s="5">
        <f>+IF(FINANCIACION[[#This Row],[$ CAPITAL]]&gt;0,FINANCIACION[[#This Row],[$ CAPITAL]])</f>
        <v>34517000</v>
      </c>
      <c r="J975" s="33">
        <f>+IF(FINANCIACION[[#This Row],[$ CAPITAL]]&gt;=0,FINANCIACION[[#This Row],[$ CAPITAL]]+FINANCIACION[[#This Row],[$ INTERESES]],0)</f>
        <v>34517000</v>
      </c>
    </row>
    <row r="976" spans="1:10" ht="24" hidden="1" customHeight="1" x14ac:dyDescent="0.3">
      <c r="A976" s="131">
        <v>44651</v>
      </c>
      <c r="B976" s="50" t="s">
        <v>146</v>
      </c>
      <c r="C976" s="5">
        <v>1468400</v>
      </c>
      <c r="D976" s="5">
        <v>424048</v>
      </c>
      <c r="E976" s="5">
        <f>+IF(FINANCIACION[[#This Row],[$ CAPITAL]]&gt;=0,FINANCIACION[[#This Row],[$ CAPITAL]]+FINANCIACION[[#This Row],[$ INTERESES]],"")</f>
        <v>1892448</v>
      </c>
      <c r="F976" s="5">
        <f>+SUMIFS(FINANCIACION[$ CAPITAL],FINANCIACION[Fecha],"&lt;="&amp;FINANCIACION[[#This Row],[Fecha]],FINANCIACION[PRESTAMO],FINANCIACION[[#This Row],[PRESTAMO]])</f>
        <v>-35241600</v>
      </c>
      <c r="G976" s="53"/>
      <c r="H976" s="53"/>
      <c r="I976" s="5">
        <f>+IF(FINANCIACION[[#This Row],[$ CAPITAL]]&gt;0,FINANCIACION[[#This Row],[$ CAPITAL]])</f>
        <v>1468400</v>
      </c>
      <c r="J976" s="33">
        <f>+IF(FINANCIACION[[#This Row],[$ CAPITAL]]&gt;=0,FINANCIACION[[#This Row],[$ CAPITAL]]+FINANCIACION[[#This Row],[$ INTERESES]],0)</f>
        <v>1892448</v>
      </c>
    </row>
    <row r="977" spans="1:10" ht="24" hidden="1" customHeight="1" x14ac:dyDescent="0.3">
      <c r="A977" s="131">
        <v>44651</v>
      </c>
      <c r="B977" s="50" t="s">
        <v>147</v>
      </c>
      <c r="C977" s="5">
        <v>76791</v>
      </c>
      <c r="D977" s="5">
        <v>0</v>
      </c>
      <c r="E977" s="5">
        <f>+IF(FINANCIACION[[#This Row],[$ CAPITAL]]&gt;=0,FINANCIACION[[#This Row],[$ CAPITAL]]+FINANCIACION[[#This Row],[$ INTERESES]],"")</f>
        <v>76791</v>
      </c>
      <c r="F977" s="5">
        <f>+SUMIFS(FINANCIACION[$ CAPITAL],FINANCIACION[Fecha],"&lt;="&amp;FINANCIACION[[#This Row],[Fecha]],FINANCIACION[PRESTAMO],FINANCIACION[[#This Row],[PRESTAMO]])</f>
        <v>-1842984</v>
      </c>
      <c r="G977" s="53"/>
      <c r="H977" s="53"/>
      <c r="I977" s="5">
        <f>+IF(FINANCIACION[[#This Row],[$ CAPITAL]]&gt;0,FINANCIACION[[#This Row],[$ CAPITAL]])</f>
        <v>76791</v>
      </c>
      <c r="J977" s="33">
        <f>+IF(FINANCIACION[[#This Row],[$ CAPITAL]]&gt;=0,FINANCIACION[[#This Row],[$ CAPITAL]]+FINANCIACION[[#This Row],[$ INTERESES]],0)</f>
        <v>76791</v>
      </c>
    </row>
    <row r="978" spans="1:10" ht="24" hidden="1" customHeight="1" x14ac:dyDescent="0.3">
      <c r="A978" s="131">
        <v>44651</v>
      </c>
      <c r="B978" s="50" t="s">
        <v>234</v>
      </c>
      <c r="C978" s="5">
        <v>592703</v>
      </c>
      <c r="D978" s="5"/>
      <c r="E978" s="5">
        <f>+IF(FINANCIACION[[#This Row],[$ CAPITAL]]&gt;=0,FINANCIACION[[#This Row],[$ CAPITAL]]+FINANCIACION[[#This Row],[$ INTERESES]],"")</f>
        <v>592703</v>
      </c>
      <c r="F978" s="5">
        <f>+SUMIFS(FINANCIACION[$ CAPITAL],FINANCIACION[Fecha],"&lt;="&amp;FINANCIACION[[#This Row],[Fecha]],FINANCIACION[PRESTAMO],FINANCIACION[[#This Row],[PRESTAMO]])</f>
        <v>-22522714</v>
      </c>
      <c r="G978" s="53"/>
      <c r="H978" s="53"/>
      <c r="I978" s="5">
        <f>+IF(FINANCIACION[[#This Row],[$ CAPITAL]]&gt;0,FINANCIACION[[#This Row],[$ CAPITAL]])</f>
        <v>592703</v>
      </c>
      <c r="J978" s="33">
        <f>+IF(FINANCIACION[[#This Row],[$ CAPITAL]]&gt;=0,FINANCIACION[[#This Row],[$ CAPITAL]]+FINANCIACION[[#This Row],[$ INTERESES]],0)</f>
        <v>592703</v>
      </c>
    </row>
    <row r="979" spans="1:10" ht="24" hidden="1" customHeight="1" x14ac:dyDescent="0.3">
      <c r="A979" s="131">
        <v>44651</v>
      </c>
      <c r="B979" s="50" t="s">
        <v>272</v>
      </c>
      <c r="C979" s="5">
        <v>1368769</v>
      </c>
      <c r="D979" s="5"/>
      <c r="E979" s="5">
        <f>+IF(FINANCIACION[[#This Row],[$ CAPITAL]]&gt;=0,FINANCIACION[[#This Row],[$ CAPITAL]]+FINANCIACION[[#This Row],[$ INTERESES]],"")</f>
        <v>1368769</v>
      </c>
      <c r="F979" s="5">
        <f>+SUMIFS(FINANCIACION[$ CAPITAL],FINANCIACION[Fecha],"&lt;="&amp;FINANCIACION[[#This Row],[Fecha]],FINANCIACION[PRESTAMO],FINANCIACION[[#This Row],[PRESTAMO]])</f>
        <v>-52013222</v>
      </c>
      <c r="G979" s="53" t="s">
        <v>170</v>
      </c>
      <c r="H979" s="53"/>
      <c r="I979" s="5">
        <f>+IF(FINANCIACION[[#This Row],[$ CAPITAL]]&gt;0,FINANCIACION[[#This Row],[$ CAPITAL]])</f>
        <v>1368769</v>
      </c>
      <c r="J979" s="33">
        <f>+IF(FINANCIACION[[#This Row],[$ CAPITAL]]&gt;=0,FINANCIACION[[#This Row],[$ CAPITAL]]+FINANCIACION[[#This Row],[$ INTERESES]],0)</f>
        <v>1368769</v>
      </c>
    </row>
    <row r="980" spans="1:10" ht="24" hidden="1" customHeight="1" x14ac:dyDescent="0.3">
      <c r="A980" s="131">
        <v>44651</v>
      </c>
      <c r="B980" s="50" t="s">
        <v>331</v>
      </c>
      <c r="C980" s="5">
        <v>1443436</v>
      </c>
      <c r="D980" s="5"/>
      <c r="E980" s="5">
        <f>+IF(FINANCIACION[[#This Row],[$ CAPITAL]]&gt;=0,FINANCIACION[[#This Row],[$ CAPITAL]]+FINANCIACION[[#This Row],[$ INTERESES]],"")</f>
        <v>1443436</v>
      </c>
      <c r="F980" s="5">
        <f>+SUMIFS(FINANCIACION[$ CAPITAL],FINANCIACION[Fecha],"&lt;="&amp;FINANCIACION[[#This Row],[Fecha]],FINANCIACION[PRESTAMO],FINANCIACION[[#This Row],[PRESTAMO]])</f>
        <v>-54850568</v>
      </c>
      <c r="G980" s="53" t="s">
        <v>170</v>
      </c>
      <c r="H980" s="53"/>
      <c r="I980" s="5">
        <f>+IF(FINANCIACION[[#This Row],[$ CAPITAL]]&gt;0,FINANCIACION[[#This Row],[$ CAPITAL]])</f>
        <v>1443436</v>
      </c>
      <c r="J980" s="33">
        <f>+IF(FINANCIACION[[#This Row],[$ CAPITAL]]&gt;=0,FINANCIACION[[#This Row],[$ CAPITAL]]+FINANCIACION[[#This Row],[$ INTERESES]],0)</f>
        <v>1443436</v>
      </c>
    </row>
    <row r="981" spans="1:10" ht="24" hidden="1" customHeight="1" x14ac:dyDescent="0.3">
      <c r="A981" s="131">
        <v>44651</v>
      </c>
      <c r="B981" s="50" t="s">
        <v>1488</v>
      </c>
      <c r="C981" s="5">
        <v>2916391</v>
      </c>
      <c r="D981" s="5"/>
      <c r="E981" s="5">
        <f>+IF(FINANCIACION[[#This Row],[$ CAPITAL]]&gt;=0,FINANCIACION[[#This Row],[$ CAPITAL]]+FINANCIACION[[#This Row],[$ INTERESES]],"")</f>
        <v>2916391</v>
      </c>
      <c r="F981" s="5">
        <f>+SUMIFS(FINANCIACION[$ CAPITAL],FINANCIACION[Fecha],"&lt;="&amp;FINANCIACION[[#This Row],[Fecha]],FINANCIACION[PRESTAMO],FINANCIACION[[#This Row],[PRESTAMO]])</f>
        <v>-1310705</v>
      </c>
      <c r="G981" s="53"/>
      <c r="H981" s="53"/>
      <c r="I981" s="5">
        <f>+IF(FINANCIACION[[#This Row],[$ CAPITAL]]&gt;0,FINANCIACION[[#This Row],[$ CAPITAL]])</f>
        <v>2916391</v>
      </c>
      <c r="J981" s="33">
        <f>+IF(FINANCIACION[[#This Row],[$ CAPITAL]]&gt;=0,FINANCIACION[[#This Row],[$ CAPITAL]]+FINANCIACION[[#This Row],[$ INTERESES]],0)</f>
        <v>2916391</v>
      </c>
    </row>
    <row r="982" spans="1:10" ht="24" hidden="1" customHeight="1" x14ac:dyDescent="0.3">
      <c r="A982" s="131">
        <v>44651</v>
      </c>
      <c r="B982" s="50" t="s">
        <v>154</v>
      </c>
      <c r="C982" s="5">
        <v>251900</v>
      </c>
      <c r="D982" s="5"/>
      <c r="E982" s="5">
        <f>+IF(FINANCIACION[[#This Row],[$ CAPITAL]]&gt;=0,FINANCIACION[[#This Row],[$ CAPITAL]]+FINANCIACION[[#This Row],[$ INTERESES]],"")</f>
        <v>251900</v>
      </c>
      <c r="F982" s="5">
        <f>+SUMIFS(FINANCIACION[$ CAPITAL],FINANCIACION[Fecha],"&lt;="&amp;FINANCIACION[[#This Row],[Fecha]],FINANCIACION[PRESTAMO],FINANCIACION[[#This Row],[PRESTAMO]])</f>
        <v>-31357600</v>
      </c>
      <c r="G982" s="53"/>
      <c r="H982" s="53"/>
      <c r="I982" s="5">
        <f>+IF(FINANCIACION[[#This Row],[$ CAPITAL]]&gt;0,FINANCIACION[[#This Row],[$ CAPITAL]])</f>
        <v>251900</v>
      </c>
      <c r="J982" s="33">
        <f>+IF(FINANCIACION[[#This Row],[$ CAPITAL]]&gt;=0,FINANCIACION[[#This Row],[$ CAPITAL]]+FINANCIACION[[#This Row],[$ INTERESES]],0)</f>
        <v>251900</v>
      </c>
    </row>
    <row r="983" spans="1:10" ht="24" hidden="1" customHeight="1" x14ac:dyDescent="0.3">
      <c r="A983" s="131">
        <v>44651</v>
      </c>
      <c r="B983" s="50" t="s">
        <v>155</v>
      </c>
      <c r="C983" s="5">
        <v>-10272336</v>
      </c>
      <c r="D983" s="5"/>
      <c r="E983" s="5" t="str">
        <f>+IF(FINANCIACION[[#This Row],[$ CAPITAL]]&gt;=0,FINANCIACION[[#This Row],[$ CAPITAL]]+FINANCIACION[[#This Row],[$ INTERESES]],"")</f>
        <v/>
      </c>
      <c r="F983" s="5">
        <f>+SUMIFS(FINANCIACION[$ CAPITAL],FINANCIACION[Fecha],"&lt;="&amp;FINANCIACION[[#This Row],[Fecha]],FINANCIACION[PRESTAMO],FINANCIACION[[#This Row],[PRESTAMO]])</f>
        <v>-11043186</v>
      </c>
      <c r="G983" s="53"/>
      <c r="H983" s="53"/>
      <c r="I983" s="5" t="b">
        <f>+IF(FINANCIACION[[#This Row],[$ CAPITAL]]&gt;0,FINANCIACION[[#This Row],[$ CAPITAL]])</f>
        <v>0</v>
      </c>
      <c r="J983" s="33">
        <f>+IF(FINANCIACION[[#This Row],[$ CAPITAL]]&gt;=0,FINANCIACION[[#This Row],[$ CAPITAL]]+FINANCIACION[[#This Row],[$ INTERESES]],0)</f>
        <v>0</v>
      </c>
    </row>
    <row r="984" spans="1:10" ht="24" hidden="1" customHeight="1" x14ac:dyDescent="0.3">
      <c r="A984" s="131">
        <v>44655</v>
      </c>
      <c r="B984" s="50" t="s">
        <v>552</v>
      </c>
      <c r="C984" s="5">
        <v>1744958</v>
      </c>
      <c r="D984" s="5">
        <v>206988</v>
      </c>
      <c r="E984" s="5">
        <f>+IF(FINANCIACION[[#This Row],[$ CAPITAL]]&gt;=0,FINANCIACION[[#This Row],[$ CAPITAL]]+FINANCIACION[[#This Row],[$ INTERESES]],"")</f>
        <v>1951946</v>
      </c>
      <c r="F984" s="5">
        <f>+SUMIFS(FINANCIACION[$ CAPITAL],FINANCIACION[Fecha],"&lt;="&amp;FINANCIACION[[#This Row],[Fecha]],FINANCIACION[PRESTAMO],FINANCIACION[[#This Row],[PRESTAMO]])</f>
        <v>-17449590</v>
      </c>
      <c r="G984" s="53"/>
      <c r="H984" s="53"/>
      <c r="I984" s="5">
        <f>+IF(FINANCIACION[[#This Row],[$ CAPITAL]]&gt;0,FINANCIACION[[#This Row],[$ CAPITAL]])</f>
        <v>1744958</v>
      </c>
      <c r="J984" s="33">
        <f>+IF(FINANCIACION[[#This Row],[$ CAPITAL]]&gt;=0,FINANCIACION[[#This Row],[$ CAPITAL]]+FINANCIACION[[#This Row],[$ INTERESES]],0)</f>
        <v>1951946</v>
      </c>
    </row>
    <row r="985" spans="1:10" ht="24" hidden="1" customHeight="1" x14ac:dyDescent="0.3">
      <c r="A985" s="131">
        <v>44657</v>
      </c>
      <c r="B985" s="50" t="s">
        <v>148</v>
      </c>
      <c r="C985" s="5"/>
      <c r="D985" s="5">
        <v>372565</v>
      </c>
      <c r="E985" s="5">
        <f>+IF(FINANCIACION[[#This Row],[$ CAPITAL]]&gt;=0,FINANCIACION[[#This Row],[$ CAPITAL]]+FINANCIACION[[#This Row],[$ INTERESES]],"")</f>
        <v>372565</v>
      </c>
      <c r="F985" s="5">
        <f>+SUMIFS(FINANCIACION[$ CAPITAL],FINANCIACION[Fecha],"&lt;="&amp;FINANCIACION[[#This Row],[Fecha]],FINANCIACION[PRESTAMO],FINANCIACION[[#This Row],[PRESTAMO]])</f>
        <v>0</v>
      </c>
      <c r="G985" s="53"/>
      <c r="H985" s="53"/>
      <c r="I985" s="5" t="b">
        <f>+IF(FINANCIACION[[#This Row],[$ CAPITAL]]&gt;0,FINANCIACION[[#This Row],[$ CAPITAL]])</f>
        <v>0</v>
      </c>
      <c r="J985" s="33">
        <f>+IF(FINANCIACION[[#This Row],[$ CAPITAL]]&gt;=0,FINANCIACION[[#This Row],[$ CAPITAL]]+FINANCIACION[[#This Row],[$ INTERESES]],0)</f>
        <v>372565</v>
      </c>
    </row>
    <row r="986" spans="1:10" ht="24" hidden="1" customHeight="1" x14ac:dyDescent="0.3">
      <c r="A986" s="131">
        <v>44659</v>
      </c>
      <c r="B986" s="50" t="s">
        <v>550</v>
      </c>
      <c r="C986" s="5">
        <v>778532.5</v>
      </c>
      <c r="D986" s="5"/>
      <c r="E986" s="5">
        <f>+IF(FINANCIACION[[#This Row],[$ CAPITAL]]&gt;=0,FINANCIACION[[#This Row],[$ CAPITAL]]+FINANCIACION[[#This Row],[$ INTERESES]],"")</f>
        <v>778532.5</v>
      </c>
      <c r="F986" s="5">
        <f>+SUMIFS(FINANCIACION[$ CAPITAL],FINANCIACION[Fecha],"&lt;="&amp;FINANCIACION[[#This Row],[Fecha]],FINANCIACION[PRESTAMO],FINANCIACION[[#This Row],[PRESTAMO]])</f>
        <v>-2400000</v>
      </c>
      <c r="G986" s="53"/>
      <c r="H986" s="53"/>
      <c r="I986" s="5">
        <f>+IF(FINANCIACION[[#This Row],[$ CAPITAL]]&gt;0,FINANCIACION[[#This Row],[$ CAPITAL]])</f>
        <v>778532.5</v>
      </c>
      <c r="J986" s="33">
        <f>+IF(FINANCIACION[[#This Row],[$ CAPITAL]]&gt;=0,FINANCIACION[[#This Row],[$ CAPITAL]]+FINANCIACION[[#This Row],[$ INTERESES]],0)</f>
        <v>778532.5</v>
      </c>
    </row>
    <row r="987" spans="1:10" ht="24" hidden="1" customHeight="1" x14ac:dyDescent="0.3">
      <c r="A987" s="131">
        <v>44662</v>
      </c>
      <c r="B987" s="50" t="s">
        <v>543</v>
      </c>
      <c r="C987" s="5"/>
      <c r="D987" s="5">
        <v>130000</v>
      </c>
      <c r="E987" s="5">
        <f>+IF(FINANCIACION[[#This Row],[$ CAPITAL]]&gt;=0,FINANCIACION[[#This Row],[$ CAPITAL]]+FINANCIACION[[#This Row],[$ INTERESES]],"")</f>
        <v>130000</v>
      </c>
      <c r="F987" s="5">
        <f>+SUMIFS(FINANCIACION[$ CAPITAL],FINANCIACION[Fecha],"&lt;="&amp;FINANCIACION[[#This Row],[Fecha]],FINANCIACION[PRESTAMO],FINANCIACION[[#This Row],[PRESTAMO]])</f>
        <v>-13000000</v>
      </c>
      <c r="G987" s="53"/>
      <c r="H987" s="53"/>
      <c r="I987" s="5" t="b">
        <f>+IF(FINANCIACION[[#This Row],[$ CAPITAL]]&gt;0,FINANCIACION[[#This Row],[$ CAPITAL]])</f>
        <v>0</v>
      </c>
      <c r="J987" s="33">
        <f>+IF(FINANCIACION[[#This Row],[$ CAPITAL]]&gt;=0,FINANCIACION[[#This Row],[$ CAPITAL]]+FINANCIACION[[#This Row],[$ INTERESES]],0)</f>
        <v>130000</v>
      </c>
    </row>
    <row r="988" spans="1:10" ht="24" hidden="1" customHeight="1" x14ac:dyDescent="0.3">
      <c r="A988" s="131">
        <v>44663</v>
      </c>
      <c r="B988" s="50" t="s">
        <v>547</v>
      </c>
      <c r="C988" s="5"/>
      <c r="D988" s="5">
        <v>400000</v>
      </c>
      <c r="E988" s="5">
        <f>+IF(FINANCIACION[[#This Row],[$ CAPITAL]]&gt;=0,FINANCIACION[[#This Row],[$ CAPITAL]]+FINANCIACION[[#This Row],[$ INTERESES]],"")</f>
        <v>400000</v>
      </c>
      <c r="F988" s="5">
        <f>+SUMIFS(FINANCIACION[$ CAPITAL],FINANCIACION[Fecha],"&lt;="&amp;FINANCIACION[[#This Row],[Fecha]],FINANCIACION[PRESTAMO],FINANCIACION[[#This Row],[PRESTAMO]])</f>
        <v>-40000000</v>
      </c>
      <c r="G988" s="53"/>
      <c r="H988" s="53"/>
      <c r="I988" s="5" t="b">
        <f>+IF(FINANCIACION[[#This Row],[$ CAPITAL]]&gt;0,FINANCIACION[[#This Row],[$ CAPITAL]])</f>
        <v>0</v>
      </c>
      <c r="J988" s="33">
        <f>+IF(FINANCIACION[[#This Row],[$ CAPITAL]]&gt;=0,FINANCIACION[[#This Row],[$ CAPITAL]]+FINANCIACION[[#This Row],[$ INTERESES]],0)</f>
        <v>400000</v>
      </c>
    </row>
    <row r="989" spans="1:10" ht="24" hidden="1" customHeight="1" x14ac:dyDescent="0.3">
      <c r="A989" s="131">
        <v>44664</v>
      </c>
      <c r="B989" s="50" t="s">
        <v>532</v>
      </c>
      <c r="C989" s="5">
        <v>2044974.9504780686</v>
      </c>
      <c r="D989" s="5">
        <v>632403.04952193133</v>
      </c>
      <c r="E989" s="5">
        <f>+IF(FINANCIACION[[#This Row],[$ CAPITAL]]&gt;=0,FINANCIACION[[#This Row],[$ CAPITAL]]+FINANCIACION[[#This Row],[$ INTERESES]],"")</f>
        <v>2677378</v>
      </c>
      <c r="F989" s="5">
        <f>+SUMIFS(FINANCIACION[$ CAPITAL],FINANCIACION[Fecha],"&lt;="&amp;FINANCIACION[[#This Row],[Fecha]],FINANCIACION[PRESTAMO],FINANCIACION[[#This Row],[PRESTAMO]])</f>
        <v>-61195330.001715057</v>
      </c>
      <c r="G989" s="53"/>
      <c r="H989" s="53"/>
      <c r="I989" s="5">
        <f>+IF(FINANCIACION[[#This Row],[$ CAPITAL]]&gt;0,FINANCIACION[[#This Row],[$ CAPITAL]])</f>
        <v>2044974.9504780686</v>
      </c>
      <c r="J989" s="33">
        <f>+IF(FINANCIACION[[#This Row],[$ CAPITAL]]&gt;=0,FINANCIACION[[#This Row],[$ CAPITAL]]+FINANCIACION[[#This Row],[$ INTERESES]],0)</f>
        <v>2677378</v>
      </c>
    </row>
    <row r="990" spans="1:10" ht="24" hidden="1" customHeight="1" x14ac:dyDescent="0.3">
      <c r="A990" s="131">
        <v>44665</v>
      </c>
      <c r="B990" s="50" t="s">
        <v>536</v>
      </c>
      <c r="C990" s="5">
        <v>787876.06067476806</v>
      </c>
      <c r="D990" s="5">
        <v>512123.93932523194</v>
      </c>
      <c r="E990" s="5">
        <f>+IF(FINANCIACION[[#This Row],[$ CAPITAL]]&gt;=0,FINANCIACION[[#This Row],[$ CAPITAL]]+FINANCIACION[[#This Row],[$ INTERESES]],"")</f>
        <v>1300000</v>
      </c>
      <c r="F990" s="5">
        <f>+SUMIFS(FINANCIACION[$ CAPITAL],FINANCIACION[Fecha],"&lt;="&amp;FINANCIACION[[#This Row],[Fecha]],FINANCIACION[PRESTAMO],FINANCIACION[[#This Row],[PRESTAMO]])</f>
        <v>-50424517.871848419</v>
      </c>
      <c r="G990" s="53"/>
      <c r="H990" s="53"/>
      <c r="I990" s="5">
        <f>+IF(FINANCIACION[[#This Row],[$ CAPITAL]]&gt;0,FINANCIACION[[#This Row],[$ CAPITAL]])</f>
        <v>787876.06067476806</v>
      </c>
      <c r="J990" s="33">
        <f>+IF(FINANCIACION[[#This Row],[$ CAPITAL]]&gt;=0,FINANCIACION[[#This Row],[$ CAPITAL]]+FINANCIACION[[#This Row],[$ INTERESES]],0)</f>
        <v>1300000</v>
      </c>
    </row>
    <row r="991" spans="1:10" ht="24" hidden="1" customHeight="1" x14ac:dyDescent="0.3">
      <c r="A991" s="131">
        <v>44665</v>
      </c>
      <c r="B991" s="50" t="s">
        <v>153</v>
      </c>
      <c r="C991" s="5">
        <v>1944444</v>
      </c>
      <c r="D991" s="5">
        <f>2197822.73-FINANCIACION[[#This Row],[$ CAPITAL]]</f>
        <v>253378.72999999998</v>
      </c>
      <c r="E991" s="5">
        <f>+IF(FINANCIACION[[#This Row],[$ CAPITAL]]&gt;=0,FINANCIACION[[#This Row],[$ CAPITAL]]+FINANCIACION[[#This Row],[$ INTERESES]],"")</f>
        <v>2197822.73</v>
      </c>
      <c r="F991" s="5">
        <f>+SUMIFS(FINANCIACION[$ CAPITAL],FINANCIACION[Fecha],"&lt;="&amp;FINANCIACION[[#This Row],[Fecha]],FINANCIACION[PRESTAMO],FINANCIACION[[#This Row],[PRESTAMO]])</f>
        <v>-25277780</v>
      </c>
      <c r="G991" s="53"/>
      <c r="H991" s="53"/>
      <c r="I991" s="5">
        <f>+IF(FINANCIACION[[#This Row],[$ CAPITAL]]&gt;0,FINANCIACION[[#This Row],[$ CAPITAL]])</f>
        <v>1944444</v>
      </c>
      <c r="J991" s="33">
        <f>+IF(FINANCIACION[[#This Row],[$ CAPITAL]]&gt;=0,FINANCIACION[[#This Row],[$ CAPITAL]]+FINANCIACION[[#This Row],[$ INTERESES]],0)</f>
        <v>2197822.73</v>
      </c>
    </row>
    <row r="992" spans="1:10" ht="24" hidden="1" customHeight="1" x14ac:dyDescent="0.3">
      <c r="A992" s="131">
        <v>44666</v>
      </c>
      <c r="B992" s="50" t="s">
        <v>533</v>
      </c>
      <c r="C992" s="5">
        <v>511215.67983154219</v>
      </c>
      <c r="D992" s="5">
        <v>688784.32016845781</v>
      </c>
      <c r="E992" s="5">
        <f>+IF(FINANCIACION[[#This Row],[$ CAPITAL]]&gt;=0,FINANCIACION[[#This Row],[$ CAPITAL]]+FINANCIACION[[#This Row],[$ INTERESES]],"")</f>
        <v>1200000</v>
      </c>
      <c r="F992" s="5">
        <f>+SUMIFS(FINANCIACION[$ CAPITAL],FINANCIACION[Fecha],"&lt;="&amp;FINANCIACION[[#This Row],[Fecha]],FINANCIACION[PRESTAMO],FINANCIACION[[#This Row],[PRESTAMO]])</f>
        <v>-68537904.197014228</v>
      </c>
      <c r="G992" s="53"/>
      <c r="H992" s="53"/>
      <c r="I992" s="5">
        <f>+IF(FINANCIACION[[#This Row],[$ CAPITAL]]&gt;0,FINANCIACION[[#This Row],[$ CAPITAL]])</f>
        <v>511215.67983154219</v>
      </c>
      <c r="J992" s="33">
        <f>+IF(FINANCIACION[[#This Row],[$ CAPITAL]]&gt;=0,FINANCIACION[[#This Row],[$ CAPITAL]]+FINANCIACION[[#This Row],[$ INTERESES]],0)</f>
        <v>1200000</v>
      </c>
    </row>
    <row r="993" spans="1:10" ht="24" hidden="1" customHeight="1" x14ac:dyDescent="0.3">
      <c r="A993" s="131">
        <v>44667</v>
      </c>
      <c r="B993" s="50" t="s">
        <v>549</v>
      </c>
      <c r="C993" s="5"/>
      <c r="D993" s="5">
        <v>300000</v>
      </c>
      <c r="E993" s="5">
        <f>+IF(FINANCIACION[[#This Row],[$ CAPITAL]]&gt;=0,FINANCIACION[[#This Row],[$ CAPITAL]]+FINANCIACION[[#This Row],[$ INTERESES]],"")</f>
        <v>300000</v>
      </c>
      <c r="F993" s="5">
        <f>+SUMIFS(FINANCIACION[$ CAPITAL],FINANCIACION[Fecha],"&lt;="&amp;FINANCIACION[[#This Row],[Fecha]],FINANCIACION[PRESTAMO],FINANCIACION[[#This Row],[PRESTAMO]])</f>
        <v>-30120000</v>
      </c>
      <c r="G993" s="53"/>
      <c r="H993" s="53"/>
      <c r="I993" s="5" t="b">
        <f>+IF(FINANCIACION[[#This Row],[$ CAPITAL]]&gt;0,FINANCIACION[[#This Row],[$ CAPITAL]])</f>
        <v>0</v>
      </c>
      <c r="J993" s="33">
        <f>+IF(FINANCIACION[[#This Row],[$ CAPITAL]]&gt;=0,FINANCIACION[[#This Row],[$ CAPITAL]]+FINANCIACION[[#This Row],[$ INTERESES]],0)</f>
        <v>300000</v>
      </c>
    </row>
    <row r="994" spans="1:10" ht="24" hidden="1" customHeight="1" x14ac:dyDescent="0.3">
      <c r="A994" s="131">
        <v>44668</v>
      </c>
      <c r="B994" s="50" t="s">
        <v>545</v>
      </c>
      <c r="C994" s="5"/>
      <c r="D994" s="5">
        <v>120000</v>
      </c>
      <c r="E994" s="5">
        <f>+IF(FINANCIACION[[#This Row],[$ CAPITAL]]&gt;=0,FINANCIACION[[#This Row],[$ CAPITAL]]+FINANCIACION[[#This Row],[$ INTERESES]],"")</f>
        <v>120000</v>
      </c>
      <c r="F994" s="5">
        <f>+SUMIFS(FINANCIACION[$ CAPITAL],FINANCIACION[Fecha],"&lt;="&amp;FINANCIACION[[#This Row],[Fecha]],FINANCIACION[PRESTAMO],FINANCIACION[[#This Row],[PRESTAMO]])</f>
        <v>-12000000</v>
      </c>
      <c r="G994" s="53"/>
      <c r="H994" s="53"/>
      <c r="I994" s="5" t="b">
        <f>+IF(FINANCIACION[[#This Row],[$ CAPITAL]]&gt;0,FINANCIACION[[#This Row],[$ CAPITAL]])</f>
        <v>0</v>
      </c>
      <c r="J994" s="33">
        <f>+IF(FINANCIACION[[#This Row],[$ CAPITAL]]&gt;=0,FINANCIACION[[#This Row],[$ CAPITAL]]+FINANCIACION[[#This Row],[$ INTERESES]],0)</f>
        <v>120000</v>
      </c>
    </row>
    <row r="995" spans="1:10" ht="24" hidden="1" customHeight="1" x14ac:dyDescent="0.3">
      <c r="A995" s="131">
        <v>44669</v>
      </c>
      <c r="B995" s="50" t="s">
        <v>148</v>
      </c>
      <c r="C995" s="5"/>
      <c r="D995" s="5">
        <v>289380</v>
      </c>
      <c r="E995" s="5">
        <f>+IF(FINANCIACION[[#This Row],[$ CAPITAL]]&gt;=0,FINANCIACION[[#This Row],[$ CAPITAL]]+FINANCIACION[[#This Row],[$ INTERESES]],"")</f>
        <v>289380</v>
      </c>
      <c r="F995" s="5">
        <f>+SUMIFS(FINANCIACION[$ CAPITAL],FINANCIACION[Fecha],"&lt;="&amp;FINANCIACION[[#This Row],[Fecha]],FINANCIACION[PRESTAMO],FINANCIACION[[#This Row],[PRESTAMO]])</f>
        <v>0</v>
      </c>
      <c r="G995" s="53"/>
      <c r="H995" s="53"/>
      <c r="I995" s="5" t="b">
        <f>+IF(FINANCIACION[[#This Row],[$ CAPITAL]]&gt;0,FINANCIACION[[#This Row],[$ CAPITAL]])</f>
        <v>0</v>
      </c>
      <c r="J995" s="33">
        <f>+IF(FINANCIACION[[#This Row],[$ CAPITAL]]&gt;=0,FINANCIACION[[#This Row],[$ CAPITAL]]+FINANCIACION[[#This Row],[$ INTERESES]],0)</f>
        <v>289380</v>
      </c>
    </row>
    <row r="996" spans="1:10" ht="24" hidden="1" customHeight="1" x14ac:dyDescent="0.3">
      <c r="A996" s="131">
        <v>44670</v>
      </c>
      <c r="B996" s="50" t="s">
        <v>546</v>
      </c>
      <c r="C996" s="5">
        <v>1207405.8900000006</v>
      </c>
      <c r="D996" s="5">
        <v>8594.109999999404</v>
      </c>
      <c r="E996" s="5">
        <f>+IF(FINANCIACION[[#This Row],[$ CAPITAL]]&gt;=0,FINANCIACION[[#This Row],[$ CAPITAL]]+FINANCIACION[[#This Row],[$ INTERESES]],"")</f>
        <v>1216000</v>
      </c>
      <c r="F996" s="5">
        <f>+SUMIFS(FINANCIACION[$ CAPITAL],FINANCIACION[Fecha],"&lt;="&amp;FINANCIACION[[#This Row],[Fecha]],FINANCIACION[PRESTAMO],FINANCIACION[[#This Row],[PRESTAMO]])</f>
        <v>-14091420.9</v>
      </c>
      <c r="G996" s="53"/>
      <c r="H996" s="53"/>
      <c r="I996" s="5">
        <f>+IF(FINANCIACION[[#This Row],[$ CAPITAL]]&gt;0,FINANCIACION[[#This Row],[$ CAPITAL]])</f>
        <v>1207405.8900000006</v>
      </c>
      <c r="J996" s="33">
        <f>+IF(FINANCIACION[[#This Row],[$ CAPITAL]]&gt;=0,FINANCIACION[[#This Row],[$ CAPITAL]]+FINANCIACION[[#This Row],[$ INTERESES]],0)</f>
        <v>1216000</v>
      </c>
    </row>
    <row r="997" spans="1:10" ht="24" hidden="1" customHeight="1" x14ac:dyDescent="0.3">
      <c r="A997" s="131">
        <v>44670</v>
      </c>
      <c r="B997" s="50" t="s">
        <v>588</v>
      </c>
      <c r="C997" s="5">
        <v>2391834.9400000051</v>
      </c>
      <c r="D997" s="5">
        <v>49165.059999994934</v>
      </c>
      <c r="E997" s="5">
        <f>+IF(FINANCIACION[[#This Row],[$ CAPITAL]]&gt;=0,FINANCIACION[[#This Row],[$ CAPITAL]]+FINANCIACION[[#This Row],[$ INTERESES]],"")</f>
        <v>2441000</v>
      </c>
      <c r="F997" s="5">
        <f>+SUMIFS(FINANCIACION[$ CAPITAL],FINANCIACION[Fecha],"&lt;="&amp;FINANCIACION[[#This Row],[Fecha]],FINANCIACION[PRESTAMO],FINANCIACION[[#This Row],[PRESTAMO]])</f>
        <v>-59077408.419999994</v>
      </c>
      <c r="G997" s="53"/>
      <c r="H997" s="53"/>
      <c r="I997" s="5">
        <f>+IF(FINANCIACION[[#This Row],[$ CAPITAL]]&gt;0,FINANCIACION[[#This Row],[$ CAPITAL]])</f>
        <v>2391834.9400000051</v>
      </c>
      <c r="J997" s="33">
        <f>+IF(FINANCIACION[[#This Row],[$ CAPITAL]]&gt;=0,FINANCIACION[[#This Row],[$ CAPITAL]]+FINANCIACION[[#This Row],[$ INTERESES]],0)</f>
        <v>2441000</v>
      </c>
    </row>
    <row r="998" spans="1:10" ht="24" hidden="1" customHeight="1" x14ac:dyDescent="0.3">
      <c r="A998" s="131">
        <v>44670</v>
      </c>
      <c r="B998" s="50" t="s">
        <v>540</v>
      </c>
      <c r="C998" s="5">
        <v>971857.97999999858</v>
      </c>
      <c r="D998" s="5">
        <v>8142.0200000014156</v>
      </c>
      <c r="E998" s="5">
        <f>+IF(FINANCIACION[[#This Row],[$ CAPITAL]]&gt;=0,FINANCIACION[[#This Row],[$ CAPITAL]]+FINANCIACION[[#This Row],[$ INTERESES]],"")</f>
        <v>980000</v>
      </c>
      <c r="F998" s="5">
        <f>+SUMIFS(FINANCIACION[$ CAPITAL],FINANCIACION[Fecha],"&lt;="&amp;FINANCIACION[[#This Row],[Fecha]],FINANCIACION[PRESTAMO],FINANCIACION[[#This Row],[PRESTAMO]])</f>
        <v>-12849043.049999997</v>
      </c>
      <c r="G998" s="53"/>
      <c r="H998" s="53"/>
      <c r="I998" s="5">
        <f>+IF(FINANCIACION[[#This Row],[$ CAPITAL]]&gt;0,FINANCIACION[[#This Row],[$ CAPITAL]])</f>
        <v>971857.97999999858</v>
      </c>
      <c r="J998" s="33">
        <f>+IF(FINANCIACION[[#This Row],[$ CAPITAL]]&gt;=0,FINANCIACION[[#This Row],[$ CAPITAL]]+FINANCIACION[[#This Row],[$ INTERESES]],0)</f>
        <v>980000</v>
      </c>
    </row>
    <row r="999" spans="1:10" ht="24" hidden="1" customHeight="1" x14ac:dyDescent="0.3">
      <c r="A999" s="131">
        <v>44670</v>
      </c>
      <c r="B999" s="50" t="s">
        <v>548</v>
      </c>
      <c r="C999" s="5">
        <v>626870.95999999344</v>
      </c>
      <c r="D999" s="5">
        <v>43129.040000006557</v>
      </c>
      <c r="E999" s="5">
        <f>+IF(FINANCIACION[[#This Row],[$ CAPITAL]]&gt;=0,FINANCIACION[[#This Row],[$ CAPITAL]]+FINANCIACION[[#This Row],[$ INTERESES]],"")</f>
        <v>670000</v>
      </c>
      <c r="F999" s="5">
        <f>+SUMIFS(FINANCIACION[$ CAPITAL],FINANCIACION[Fecha],"&lt;="&amp;FINANCIACION[[#This Row],[Fecha]],FINANCIACION[PRESTAMO],FINANCIACION[[#This Row],[PRESTAMO]])</f>
        <v>-80684722.810000002</v>
      </c>
      <c r="G999" s="53"/>
      <c r="H999" s="53"/>
      <c r="I999" s="5">
        <f>+IF(FINANCIACION[[#This Row],[$ CAPITAL]]&gt;0,FINANCIACION[[#This Row],[$ CAPITAL]])</f>
        <v>626870.95999999344</v>
      </c>
      <c r="J999" s="33">
        <f>+IF(FINANCIACION[[#This Row],[$ CAPITAL]]&gt;=0,FINANCIACION[[#This Row],[$ CAPITAL]]+FINANCIACION[[#This Row],[$ INTERESES]],0)</f>
        <v>670000</v>
      </c>
    </row>
    <row r="1000" spans="1:10" ht="24" hidden="1" customHeight="1" x14ac:dyDescent="0.3">
      <c r="A1000" s="131">
        <v>44670</v>
      </c>
      <c r="B1000" s="50" t="s">
        <v>542</v>
      </c>
      <c r="C1000" s="5">
        <v>1024991.6599999983</v>
      </c>
      <c r="D1000" s="5">
        <v>9008.3400000017136</v>
      </c>
      <c r="E1000" s="5">
        <f>+IF(FINANCIACION[[#This Row],[$ CAPITAL]]&gt;=0,FINANCIACION[[#This Row],[$ CAPITAL]]+FINANCIACION[[#This Row],[$ INTERESES]],"")</f>
        <v>1034000</v>
      </c>
      <c r="F1000" s="5">
        <f>+SUMIFS(FINANCIACION[$ CAPITAL],FINANCIACION[Fecha],"&lt;="&amp;FINANCIACION[[#This Row],[Fecha]],FINANCIACION[PRESTAMO],FINANCIACION[[#This Row],[PRESTAMO]])</f>
        <v>-14380446.499999998</v>
      </c>
      <c r="G1000" s="53"/>
      <c r="H1000" s="53"/>
      <c r="I1000" s="5">
        <f>+IF(FINANCIACION[[#This Row],[$ CAPITAL]]&gt;0,FINANCIACION[[#This Row],[$ CAPITAL]])</f>
        <v>1024991.6599999983</v>
      </c>
      <c r="J1000" s="33">
        <f>+IF(FINANCIACION[[#This Row],[$ CAPITAL]]&gt;=0,FINANCIACION[[#This Row],[$ CAPITAL]]+FINANCIACION[[#This Row],[$ INTERESES]],0)</f>
        <v>1034000</v>
      </c>
    </row>
    <row r="1001" spans="1:10" ht="24" hidden="1" customHeight="1" x14ac:dyDescent="0.3">
      <c r="A1001" s="131">
        <v>44670</v>
      </c>
      <c r="B1001" s="50" t="s">
        <v>538</v>
      </c>
      <c r="C1001" s="5">
        <v>2458316.7300000004</v>
      </c>
      <c r="D1001" s="5">
        <v>18683.269999999553</v>
      </c>
      <c r="E1001" s="5">
        <f>+IF(FINANCIACION[[#This Row],[$ CAPITAL]]&gt;=0,FINANCIACION[[#This Row],[$ CAPITAL]]+FINANCIACION[[#This Row],[$ INTERESES]],"")</f>
        <v>2477000</v>
      </c>
      <c r="F1001" s="5">
        <f>+SUMIFS(FINANCIACION[$ CAPITAL],FINANCIACION[Fecha],"&lt;="&amp;FINANCIACION[[#This Row],[Fecha]],FINANCIACION[PRESTAMO],FINANCIACION[[#This Row],[PRESTAMO]])</f>
        <v>-30698152.370000001</v>
      </c>
      <c r="G1001" s="53"/>
      <c r="H1001" s="53"/>
      <c r="I1001" s="5">
        <f>+IF(FINANCIACION[[#This Row],[$ CAPITAL]]&gt;0,FINANCIACION[[#This Row],[$ CAPITAL]])</f>
        <v>2458316.7300000004</v>
      </c>
      <c r="J1001" s="33">
        <f>+IF(FINANCIACION[[#This Row],[$ CAPITAL]]&gt;=0,FINANCIACION[[#This Row],[$ CAPITAL]]+FINANCIACION[[#This Row],[$ INTERESES]],0)</f>
        <v>2477000</v>
      </c>
    </row>
    <row r="1002" spans="1:10" ht="24" hidden="1" customHeight="1" x14ac:dyDescent="0.3">
      <c r="A1002" s="131">
        <v>44670</v>
      </c>
      <c r="B1002" s="50" t="s">
        <v>539</v>
      </c>
      <c r="C1002" s="5">
        <v>3600722.8999999985</v>
      </c>
      <c r="D1002" s="5">
        <v>29277.10000000149</v>
      </c>
      <c r="E1002" s="5">
        <f>+IF(FINANCIACION[[#This Row],[$ CAPITAL]]&gt;=0,FINANCIACION[[#This Row],[$ CAPITAL]]+FINANCIACION[[#This Row],[$ INTERESES]],"")</f>
        <v>3630000</v>
      </c>
      <c r="F1002" s="5">
        <f>+SUMIFS(FINANCIACION[$ CAPITAL],FINANCIACION[Fecha],"&lt;="&amp;FINANCIACION[[#This Row],[Fecha]],FINANCIACION[PRESTAMO],FINANCIACION[[#This Row],[PRESTAMO]])</f>
        <v>-44511213.619999997</v>
      </c>
      <c r="G1002" s="53"/>
      <c r="H1002" s="53"/>
      <c r="I1002" s="5">
        <f>+IF(FINANCIACION[[#This Row],[$ CAPITAL]]&gt;0,FINANCIACION[[#This Row],[$ CAPITAL]])</f>
        <v>3600722.8999999985</v>
      </c>
      <c r="J1002" s="33">
        <f>+IF(FINANCIACION[[#This Row],[$ CAPITAL]]&gt;=0,FINANCIACION[[#This Row],[$ CAPITAL]]+FINANCIACION[[#This Row],[$ INTERESES]],0)</f>
        <v>3630000</v>
      </c>
    </row>
    <row r="1003" spans="1:10" ht="24" hidden="1" customHeight="1" x14ac:dyDescent="0.3">
      <c r="A1003" s="131">
        <v>44670</v>
      </c>
      <c r="B1003" s="50" t="s">
        <v>534</v>
      </c>
      <c r="C1003" s="5">
        <v>4839732</v>
      </c>
      <c r="D1003" s="5">
        <v>910592</v>
      </c>
      <c r="E1003" s="5">
        <f>+IF(FINANCIACION[[#This Row],[$ CAPITAL]]&gt;=0,FINANCIACION[[#This Row],[$ CAPITAL]]+FINANCIACION[[#This Row],[$ INTERESES]],"")</f>
        <v>5750324</v>
      </c>
      <c r="F1003" s="5">
        <f>+SUMIFS(FINANCIACION[$ CAPITAL],FINANCIACION[Fecha],"&lt;="&amp;FINANCIACION[[#This Row],[Fecha]],FINANCIACION[PRESTAMO],FINANCIACION[[#This Row],[PRESTAMO]])</f>
        <v>-372270616</v>
      </c>
      <c r="G1003" s="53"/>
      <c r="H1003" s="53"/>
      <c r="I1003" s="5">
        <f>+IF(FINANCIACION[[#This Row],[$ CAPITAL]]&gt;0,FINANCIACION[[#This Row],[$ CAPITAL]])</f>
        <v>4839732</v>
      </c>
      <c r="J1003" s="33">
        <f>+IF(FINANCIACION[[#This Row],[$ CAPITAL]]&gt;=0,FINANCIACION[[#This Row],[$ CAPITAL]]+FINANCIACION[[#This Row],[$ INTERESES]],0)</f>
        <v>5750324</v>
      </c>
    </row>
    <row r="1004" spans="1:10" ht="24" hidden="1" customHeight="1" x14ac:dyDescent="0.3">
      <c r="A1004" s="131">
        <v>44670</v>
      </c>
      <c r="B1004" s="50" t="s">
        <v>535</v>
      </c>
      <c r="C1004" s="5">
        <v>1453956.4000000004</v>
      </c>
      <c r="D1004" s="5">
        <v>10043.599999999627</v>
      </c>
      <c r="E1004" s="5">
        <f>+IF(FINANCIACION[[#This Row],[$ CAPITAL]]&gt;=0,FINANCIACION[[#This Row],[$ CAPITAL]]+FINANCIACION[[#This Row],[$ INTERESES]],"")</f>
        <v>1464000</v>
      </c>
      <c r="F1004" s="5">
        <f>+SUMIFS(FINANCIACION[$ CAPITAL],FINANCIACION[Fecha],"&lt;="&amp;FINANCIACION[[#This Row],[Fecha]],FINANCIACION[PRESTAMO],FINANCIACION[[#This Row],[PRESTAMO]])</f>
        <v>-15719232.160000002</v>
      </c>
      <c r="G1004" s="53"/>
      <c r="H1004" s="53"/>
      <c r="I1004" s="5">
        <f>+IF(FINANCIACION[[#This Row],[$ CAPITAL]]&gt;0,FINANCIACION[[#This Row],[$ CAPITAL]])</f>
        <v>1453956.4000000004</v>
      </c>
      <c r="J1004" s="33">
        <f>+IF(FINANCIACION[[#This Row],[$ CAPITAL]]&gt;=0,FINANCIACION[[#This Row],[$ CAPITAL]]+FINANCIACION[[#This Row],[$ INTERESES]],0)</f>
        <v>1464000</v>
      </c>
    </row>
    <row r="1005" spans="1:10" ht="24" hidden="1" customHeight="1" x14ac:dyDescent="0.3">
      <c r="A1005" s="131">
        <v>44671</v>
      </c>
      <c r="B1005" s="50" t="s">
        <v>550</v>
      </c>
      <c r="C1005" s="5">
        <v>2400000</v>
      </c>
      <c r="D1005" s="5"/>
      <c r="E1005" s="5">
        <f>+IF(FINANCIACION[[#This Row],[$ CAPITAL]]&gt;=0,FINANCIACION[[#This Row],[$ CAPITAL]]+FINANCIACION[[#This Row],[$ INTERESES]],"")</f>
        <v>2400000</v>
      </c>
      <c r="F1005" s="5">
        <f>+SUMIFS(FINANCIACION[$ CAPITAL],FINANCIACION[Fecha],"&lt;="&amp;FINANCIACION[[#This Row],[Fecha]],FINANCIACION[PRESTAMO],FINANCIACION[[#This Row],[PRESTAMO]])</f>
        <v>0</v>
      </c>
      <c r="G1005" s="53" t="s">
        <v>590</v>
      </c>
      <c r="H1005" s="53"/>
      <c r="I1005" s="5">
        <f>+IF(FINANCIACION[[#This Row],[$ CAPITAL]]&gt;0,FINANCIACION[[#This Row],[$ CAPITAL]])</f>
        <v>2400000</v>
      </c>
      <c r="J1005" s="33">
        <f>+IF(FINANCIACION[[#This Row],[$ CAPITAL]]&gt;=0,FINANCIACION[[#This Row],[$ CAPITAL]]+FINANCIACION[[#This Row],[$ INTERESES]],0)</f>
        <v>2400000</v>
      </c>
    </row>
    <row r="1006" spans="1:10" ht="24" hidden="1" customHeight="1" x14ac:dyDescent="0.3">
      <c r="A1006" s="131">
        <v>44681</v>
      </c>
      <c r="B1006" s="50" t="s">
        <v>234</v>
      </c>
      <c r="C1006" s="5">
        <v>-1185406</v>
      </c>
      <c r="D1006" s="5"/>
      <c r="E1006" s="5" t="str">
        <f>+IF(FINANCIACION[[#This Row],[$ CAPITAL]]&gt;=0,FINANCIACION[[#This Row],[$ CAPITAL]]+FINANCIACION[[#This Row],[$ INTERESES]],"")</f>
        <v/>
      </c>
      <c r="F1006" s="5">
        <f>+SUMIFS(FINANCIACION[$ CAPITAL],FINANCIACION[Fecha],"&lt;="&amp;FINANCIACION[[#This Row],[Fecha]],FINANCIACION[PRESTAMO],FINANCIACION[[#This Row],[PRESTAMO]])</f>
        <v>-23708120</v>
      </c>
      <c r="G1006" s="53" t="s">
        <v>170</v>
      </c>
      <c r="H1006" s="53"/>
      <c r="I1006" s="5" t="b">
        <f>+IF(FINANCIACION[[#This Row],[$ CAPITAL]]&gt;0,FINANCIACION[[#This Row],[$ CAPITAL]])</f>
        <v>0</v>
      </c>
      <c r="J1006" s="33">
        <f>+IF(FINANCIACION[[#This Row],[$ CAPITAL]]&gt;=0,FINANCIACION[[#This Row],[$ CAPITAL]]+FINANCIACION[[#This Row],[$ INTERESES]],0)</f>
        <v>0</v>
      </c>
    </row>
    <row r="1007" spans="1:10" ht="24" hidden="1" customHeight="1" x14ac:dyDescent="0.3">
      <c r="A1007" s="131">
        <v>44681</v>
      </c>
      <c r="B1007" s="50" t="s">
        <v>272</v>
      </c>
      <c r="C1007" s="5">
        <v>-2737538</v>
      </c>
      <c r="D1007" s="5"/>
      <c r="E1007" s="5" t="str">
        <f>+IF(FINANCIACION[[#This Row],[$ CAPITAL]]&gt;=0,FINANCIACION[[#This Row],[$ CAPITAL]]+FINANCIACION[[#This Row],[$ INTERESES]],"")</f>
        <v/>
      </c>
      <c r="F1007" s="5">
        <f>+SUMIFS(FINANCIACION[$ CAPITAL],FINANCIACION[Fecha],"&lt;="&amp;FINANCIACION[[#This Row],[Fecha]],FINANCIACION[PRESTAMO],FINANCIACION[[#This Row],[PRESTAMO]])</f>
        <v>-54750760</v>
      </c>
      <c r="G1007" s="53" t="s">
        <v>170</v>
      </c>
      <c r="H1007" s="53"/>
      <c r="I1007" s="5" t="b">
        <f>+IF(FINANCIACION[[#This Row],[$ CAPITAL]]&gt;0,FINANCIACION[[#This Row],[$ CAPITAL]])</f>
        <v>0</v>
      </c>
      <c r="J1007" s="33">
        <f>+IF(FINANCIACION[[#This Row],[$ CAPITAL]]&gt;=0,FINANCIACION[[#This Row],[$ CAPITAL]]+FINANCIACION[[#This Row],[$ INTERESES]],0)</f>
        <v>0</v>
      </c>
    </row>
    <row r="1008" spans="1:10" ht="24" hidden="1" customHeight="1" x14ac:dyDescent="0.3">
      <c r="A1008" s="131">
        <v>44681</v>
      </c>
      <c r="B1008" s="50" t="s">
        <v>331</v>
      </c>
      <c r="C1008" s="5">
        <v>-2886872</v>
      </c>
      <c r="D1008" s="5"/>
      <c r="E1008" s="5" t="str">
        <f>+IF(FINANCIACION[[#This Row],[$ CAPITAL]]&gt;=0,FINANCIACION[[#This Row],[$ CAPITAL]]+FINANCIACION[[#This Row],[$ INTERESES]],"")</f>
        <v/>
      </c>
      <c r="F1008" s="5">
        <f>+SUMIFS(FINANCIACION[$ CAPITAL],FINANCIACION[Fecha],"&lt;="&amp;FINANCIACION[[#This Row],[Fecha]],FINANCIACION[PRESTAMO],FINANCIACION[[#This Row],[PRESTAMO]])</f>
        <v>-57737440</v>
      </c>
      <c r="G1008" s="53" t="s">
        <v>170</v>
      </c>
      <c r="H1008" s="53"/>
      <c r="I1008" s="5" t="b">
        <f>+IF(FINANCIACION[[#This Row],[$ CAPITAL]]&gt;0,FINANCIACION[[#This Row],[$ CAPITAL]])</f>
        <v>0</v>
      </c>
      <c r="J1008" s="33">
        <f>+IF(FINANCIACION[[#This Row],[$ CAPITAL]]&gt;=0,FINANCIACION[[#This Row],[$ CAPITAL]]+FINANCIACION[[#This Row],[$ INTERESES]],0)</f>
        <v>0</v>
      </c>
    </row>
    <row r="1009" spans="1:10" ht="24" hidden="1" customHeight="1" x14ac:dyDescent="0.3">
      <c r="A1009" s="131">
        <v>44681</v>
      </c>
      <c r="B1009" s="50" t="s">
        <v>1488</v>
      </c>
      <c r="C1009" s="5">
        <v>-469204</v>
      </c>
      <c r="D1009" s="5"/>
      <c r="E1009" s="5" t="str">
        <f>+IF(FINANCIACION[[#This Row],[$ CAPITAL]]&gt;=0,FINANCIACION[[#This Row],[$ CAPITAL]]+FINANCIACION[[#This Row],[$ INTERESES]],"")</f>
        <v/>
      </c>
      <c r="F1009" s="5">
        <f>+SUMIFS(FINANCIACION[$ CAPITAL],FINANCIACION[Fecha],"&lt;="&amp;FINANCIACION[[#This Row],[Fecha]],FINANCIACION[PRESTAMO],FINANCIACION[[#This Row],[PRESTAMO]])</f>
        <v>-1779909</v>
      </c>
      <c r="G1009" s="53" t="s">
        <v>170</v>
      </c>
      <c r="H1009" s="53"/>
      <c r="I1009" s="5" t="b">
        <f>+IF(FINANCIACION[[#This Row],[$ CAPITAL]]&gt;0,FINANCIACION[[#This Row],[$ CAPITAL]])</f>
        <v>0</v>
      </c>
      <c r="J1009" s="33">
        <f>+IF(FINANCIACION[[#This Row],[$ CAPITAL]]&gt;=0,FINANCIACION[[#This Row],[$ CAPITAL]]+FINANCIACION[[#This Row],[$ INTERESES]],0)</f>
        <v>0</v>
      </c>
    </row>
    <row r="1010" spans="1:10" ht="24" hidden="1" customHeight="1" x14ac:dyDescent="0.3">
      <c r="A1010" s="131">
        <v>44681</v>
      </c>
      <c r="B1010" s="50" t="s">
        <v>154</v>
      </c>
      <c r="C1010" s="5">
        <v>-1502400</v>
      </c>
      <c r="D1010" s="5"/>
      <c r="E1010" s="5" t="str">
        <f>+IF(FINANCIACION[[#This Row],[$ CAPITAL]]&gt;=0,FINANCIACION[[#This Row],[$ CAPITAL]]+FINANCIACION[[#This Row],[$ INTERESES]],"")</f>
        <v/>
      </c>
      <c r="F1010" s="5">
        <f>+SUMIFS(FINANCIACION[$ CAPITAL],FINANCIACION[Fecha],"&lt;="&amp;FINANCIACION[[#This Row],[Fecha]],FINANCIACION[PRESTAMO],FINANCIACION[[#This Row],[PRESTAMO]])</f>
        <v>-32860000</v>
      </c>
      <c r="G1010" s="53" t="s">
        <v>170</v>
      </c>
      <c r="H1010" s="53"/>
      <c r="I1010" s="5" t="b">
        <f>+IF(FINANCIACION[[#This Row],[$ CAPITAL]]&gt;0,FINANCIACION[[#This Row],[$ CAPITAL]])</f>
        <v>0</v>
      </c>
      <c r="J1010" s="33">
        <f>+IF(FINANCIACION[[#This Row],[$ CAPITAL]]&gt;=0,FINANCIACION[[#This Row],[$ CAPITAL]]+FINANCIACION[[#This Row],[$ INTERESES]],0)</f>
        <v>0</v>
      </c>
    </row>
    <row r="1011" spans="1:10" ht="24" hidden="1" customHeight="1" x14ac:dyDescent="0.3">
      <c r="A1011" s="131">
        <v>44681</v>
      </c>
      <c r="B1011" s="50" t="s">
        <v>155</v>
      </c>
      <c r="C1011" s="5">
        <v>947580</v>
      </c>
      <c r="D1011" s="5"/>
      <c r="E1011" s="5">
        <f>+IF(FINANCIACION[[#This Row],[$ CAPITAL]]&gt;=0,FINANCIACION[[#This Row],[$ CAPITAL]]+FINANCIACION[[#This Row],[$ INTERESES]],"")</f>
        <v>947580</v>
      </c>
      <c r="F1011" s="5">
        <f>+SUMIFS(FINANCIACION[$ CAPITAL],FINANCIACION[Fecha],"&lt;="&amp;FINANCIACION[[#This Row],[Fecha]],FINANCIACION[PRESTAMO],FINANCIACION[[#This Row],[PRESTAMO]])</f>
        <v>-10095606</v>
      </c>
      <c r="G1011" s="53" t="s">
        <v>170</v>
      </c>
      <c r="H1011" s="53"/>
      <c r="I1011" s="5">
        <f>+IF(FINANCIACION[[#This Row],[$ CAPITAL]]&gt;0,FINANCIACION[[#This Row],[$ CAPITAL]])</f>
        <v>947580</v>
      </c>
      <c r="J1011" s="33">
        <f>+IF(FINANCIACION[[#This Row],[$ CAPITAL]]&gt;=0,FINANCIACION[[#This Row],[$ CAPITAL]]+FINANCIACION[[#This Row],[$ INTERESES]],0)</f>
        <v>947580</v>
      </c>
    </row>
    <row r="1012" spans="1:10" ht="24" hidden="1" customHeight="1" x14ac:dyDescent="0.3">
      <c r="A1012" s="131">
        <v>44682</v>
      </c>
      <c r="B1012" s="50" t="s">
        <v>833</v>
      </c>
      <c r="C1012" s="5">
        <v>-5447976</v>
      </c>
      <c r="D1012" s="5"/>
      <c r="E1012" s="5" t="str">
        <f>+IF(FINANCIACION[[#This Row],[$ CAPITAL]]&gt;=0,FINANCIACION[[#This Row],[$ CAPITAL]]+FINANCIACION[[#This Row],[$ INTERESES]],"")</f>
        <v/>
      </c>
      <c r="F1012" s="5">
        <f>+SUMIFS(FINANCIACION[$ CAPITAL],FINANCIACION[Fecha],"&lt;="&amp;FINANCIACION[[#This Row],[Fecha]],FINANCIACION[PRESTAMO],FINANCIACION[[#This Row],[PRESTAMO]])</f>
        <v>-5447976</v>
      </c>
      <c r="G1012" s="53" t="s">
        <v>688</v>
      </c>
      <c r="H1012" s="53"/>
      <c r="I1012" s="5" t="b">
        <f>+IF(FINANCIACION[[#This Row],[$ CAPITAL]]&gt;0,FINANCIACION[[#This Row],[$ CAPITAL]])</f>
        <v>0</v>
      </c>
      <c r="J1012" s="33">
        <f>+IF(FINANCIACION[[#This Row],[$ CAPITAL]]&gt;=0,FINANCIACION[[#This Row],[$ CAPITAL]]+FINANCIACION[[#This Row],[$ INTERESES]],0)</f>
        <v>0</v>
      </c>
    </row>
    <row r="1013" spans="1:10" ht="24" hidden="1" customHeight="1" x14ac:dyDescent="0.3">
      <c r="A1013" s="131">
        <v>44683</v>
      </c>
      <c r="B1013" s="50" t="s">
        <v>146</v>
      </c>
      <c r="C1013" s="5">
        <v>1468400</v>
      </c>
      <c r="D1013" s="5">
        <f>1884180-FINANCIACION[[#This Row],[$ CAPITAL]]</f>
        <v>415780</v>
      </c>
      <c r="E1013" s="5">
        <f>+IF(FINANCIACION[[#This Row],[$ CAPITAL]]&gt;=0,FINANCIACION[[#This Row],[$ CAPITAL]]+FINANCIACION[[#This Row],[$ INTERESES]],"")</f>
        <v>1884180</v>
      </c>
      <c r="F1013" s="5">
        <f>+SUMIFS(FINANCIACION[$ CAPITAL],FINANCIACION[Fecha],"&lt;="&amp;FINANCIACION[[#This Row],[Fecha]],FINANCIACION[PRESTAMO],FINANCIACION[[#This Row],[PRESTAMO]])</f>
        <v>-33773200</v>
      </c>
      <c r="G1013" s="53"/>
      <c r="H1013" s="53"/>
      <c r="I1013" s="5">
        <f>+IF(FINANCIACION[[#This Row],[$ CAPITAL]]&gt;0,FINANCIACION[[#This Row],[$ CAPITAL]])</f>
        <v>1468400</v>
      </c>
      <c r="J1013" s="33">
        <f>+IF(FINANCIACION[[#This Row],[$ CAPITAL]]&gt;=0,FINANCIACION[[#This Row],[$ CAPITAL]]+FINANCIACION[[#This Row],[$ INTERESES]],0)</f>
        <v>1884180</v>
      </c>
    </row>
    <row r="1014" spans="1:10" ht="24" hidden="1" customHeight="1" x14ac:dyDescent="0.3">
      <c r="A1014" s="131">
        <v>44683</v>
      </c>
      <c r="B1014" s="50" t="s">
        <v>147</v>
      </c>
      <c r="C1014" s="5">
        <v>76791</v>
      </c>
      <c r="D1014" s="5"/>
      <c r="E1014" s="5">
        <f>+IF(FINANCIACION[[#This Row],[$ CAPITAL]]&gt;=0,FINANCIACION[[#This Row],[$ CAPITAL]]+FINANCIACION[[#This Row],[$ INTERESES]],"")</f>
        <v>76791</v>
      </c>
      <c r="F1014" s="5">
        <f>+SUMIFS(FINANCIACION[$ CAPITAL],FINANCIACION[Fecha],"&lt;="&amp;FINANCIACION[[#This Row],[Fecha]],FINANCIACION[PRESTAMO],FINANCIACION[[#This Row],[PRESTAMO]])</f>
        <v>-1766193</v>
      </c>
      <c r="G1014" s="53"/>
      <c r="H1014" s="53"/>
      <c r="I1014" s="5">
        <f>+IF(FINANCIACION[[#This Row],[$ CAPITAL]]&gt;0,FINANCIACION[[#This Row],[$ CAPITAL]])</f>
        <v>76791</v>
      </c>
      <c r="J1014" s="33">
        <f>+IF(FINANCIACION[[#This Row],[$ CAPITAL]]&gt;=0,FINANCIACION[[#This Row],[$ CAPITAL]]+FINANCIACION[[#This Row],[$ INTERESES]],0)</f>
        <v>76791</v>
      </c>
    </row>
    <row r="1015" spans="1:10" ht="24" hidden="1" customHeight="1" x14ac:dyDescent="0.3">
      <c r="A1015" s="131">
        <v>44683</v>
      </c>
      <c r="B1015" s="50" t="s">
        <v>148</v>
      </c>
      <c r="C1015" s="5"/>
      <c r="D1015" s="5">
        <v>148735</v>
      </c>
      <c r="E1015" s="5">
        <f>+IF(FINANCIACION[[#This Row],[$ CAPITAL]]&gt;=0,FINANCIACION[[#This Row],[$ CAPITAL]]+FINANCIACION[[#This Row],[$ INTERESES]],"")</f>
        <v>148735</v>
      </c>
      <c r="F1015" s="5">
        <f>+SUMIFS(FINANCIACION[$ CAPITAL],FINANCIACION[Fecha],"&lt;="&amp;FINANCIACION[[#This Row],[Fecha]],FINANCIACION[PRESTAMO],FINANCIACION[[#This Row],[PRESTAMO]])</f>
        <v>0</v>
      </c>
      <c r="G1015" s="53"/>
      <c r="H1015" s="53"/>
      <c r="I1015" s="5" t="b">
        <f>+IF(FINANCIACION[[#This Row],[$ CAPITAL]]&gt;0,FINANCIACION[[#This Row],[$ CAPITAL]])</f>
        <v>0</v>
      </c>
      <c r="J1015" s="33">
        <f>+IF(FINANCIACION[[#This Row],[$ CAPITAL]]&gt;=0,FINANCIACION[[#This Row],[$ CAPITAL]]+FINANCIACION[[#This Row],[$ INTERESES]],0)</f>
        <v>148735</v>
      </c>
    </row>
    <row r="1016" spans="1:10" ht="24" hidden="1" customHeight="1" x14ac:dyDescent="0.3">
      <c r="A1016" s="131">
        <v>44685</v>
      </c>
      <c r="B1016" s="50" t="s">
        <v>552</v>
      </c>
      <c r="C1016" s="5">
        <v>1744958</v>
      </c>
      <c r="D1016" s="5">
        <f>1939812-FINANCIACION[[#This Row],[$ CAPITAL]]</f>
        <v>194854</v>
      </c>
      <c r="E1016" s="5">
        <f>+IF(FINANCIACION[[#This Row],[$ CAPITAL]]&gt;=0,FINANCIACION[[#This Row],[$ CAPITAL]]+FINANCIACION[[#This Row],[$ INTERESES]],"")</f>
        <v>1939812</v>
      </c>
      <c r="F1016" s="5">
        <f>+SUMIFS(FINANCIACION[$ CAPITAL],FINANCIACION[Fecha],"&lt;="&amp;FINANCIACION[[#This Row],[Fecha]],FINANCIACION[PRESTAMO],FINANCIACION[[#This Row],[PRESTAMO]])</f>
        <v>-15704632</v>
      </c>
      <c r="G1016" s="53"/>
      <c r="H1016" s="53"/>
      <c r="I1016" s="5">
        <f>+IF(FINANCIACION[[#This Row],[$ CAPITAL]]&gt;0,FINANCIACION[[#This Row],[$ CAPITAL]])</f>
        <v>1744958</v>
      </c>
      <c r="J1016" s="33">
        <f>+IF(FINANCIACION[[#This Row],[$ CAPITAL]]&gt;=0,FINANCIACION[[#This Row],[$ CAPITAL]]+FINANCIACION[[#This Row],[$ INTERESES]],0)</f>
        <v>1939812</v>
      </c>
    </row>
    <row r="1017" spans="1:10" ht="24" hidden="1" customHeight="1" x14ac:dyDescent="0.3">
      <c r="A1017" s="131">
        <v>44687</v>
      </c>
      <c r="B1017" s="50" t="s">
        <v>148</v>
      </c>
      <c r="C1017" s="5"/>
      <c r="D1017" s="5">
        <v>402969</v>
      </c>
      <c r="E1017" s="5">
        <f>+IF(FINANCIACION[[#This Row],[$ CAPITAL]]&gt;=0,FINANCIACION[[#This Row],[$ CAPITAL]]+FINANCIACION[[#This Row],[$ INTERESES]],"")</f>
        <v>402969</v>
      </c>
      <c r="F1017" s="5">
        <f>+SUMIFS(FINANCIACION[$ CAPITAL],FINANCIACION[Fecha],"&lt;="&amp;FINANCIACION[[#This Row],[Fecha]],FINANCIACION[PRESTAMO],FINANCIACION[[#This Row],[PRESTAMO]])</f>
        <v>0</v>
      </c>
      <c r="G1017" s="53"/>
      <c r="H1017" s="53"/>
      <c r="I1017" s="5" t="b">
        <f>+IF(FINANCIACION[[#This Row],[$ CAPITAL]]&gt;0,FINANCIACION[[#This Row],[$ CAPITAL]])</f>
        <v>0</v>
      </c>
      <c r="J1017" s="33">
        <f>+IF(FINANCIACION[[#This Row],[$ CAPITAL]]&gt;=0,FINANCIACION[[#This Row],[$ CAPITAL]]+FINANCIACION[[#This Row],[$ INTERESES]],0)</f>
        <v>402969</v>
      </c>
    </row>
    <row r="1018" spans="1:10" ht="24" hidden="1" customHeight="1" x14ac:dyDescent="0.3">
      <c r="A1018" s="131">
        <v>44691</v>
      </c>
      <c r="B1018" s="50" t="s">
        <v>543</v>
      </c>
      <c r="C1018" s="5"/>
      <c r="D1018" s="5">
        <v>130000</v>
      </c>
      <c r="E1018" s="5">
        <f>+IF(FINANCIACION[[#This Row],[$ CAPITAL]]&gt;=0,FINANCIACION[[#This Row],[$ CAPITAL]]+FINANCIACION[[#This Row],[$ INTERESES]],"")</f>
        <v>130000</v>
      </c>
      <c r="F1018" s="5">
        <f>+SUMIFS(FINANCIACION[$ CAPITAL],FINANCIACION[Fecha],"&lt;="&amp;FINANCIACION[[#This Row],[Fecha]],FINANCIACION[PRESTAMO],FINANCIACION[[#This Row],[PRESTAMO]])</f>
        <v>-13000000</v>
      </c>
      <c r="G1018" s="53"/>
      <c r="H1018" s="53"/>
      <c r="I1018" s="5" t="b">
        <f>+IF(FINANCIACION[[#This Row],[$ CAPITAL]]&gt;0,FINANCIACION[[#This Row],[$ CAPITAL]])</f>
        <v>0</v>
      </c>
      <c r="J1018" s="33">
        <f>+IF(FINANCIACION[[#This Row],[$ CAPITAL]]&gt;=0,FINANCIACION[[#This Row],[$ CAPITAL]]+FINANCIACION[[#This Row],[$ INTERESES]],0)</f>
        <v>130000</v>
      </c>
    </row>
    <row r="1019" spans="1:10" ht="24" hidden="1" customHeight="1" x14ac:dyDescent="0.3">
      <c r="A1019" s="131">
        <v>44691</v>
      </c>
      <c r="B1019" s="50" t="s">
        <v>547</v>
      </c>
      <c r="C1019" s="5"/>
      <c r="D1019" s="5">
        <v>400000</v>
      </c>
      <c r="E1019" s="5">
        <f>+IF(FINANCIACION[[#This Row],[$ CAPITAL]]&gt;=0,FINANCIACION[[#This Row],[$ CAPITAL]]+FINANCIACION[[#This Row],[$ INTERESES]],"")</f>
        <v>400000</v>
      </c>
      <c r="F1019" s="5">
        <f>+SUMIFS(FINANCIACION[$ CAPITAL],FINANCIACION[Fecha],"&lt;="&amp;FINANCIACION[[#This Row],[Fecha]],FINANCIACION[PRESTAMO],FINANCIACION[[#This Row],[PRESTAMO]])</f>
        <v>-40000000</v>
      </c>
      <c r="G1019" s="53"/>
      <c r="H1019" s="53"/>
      <c r="I1019" s="5" t="b">
        <f>+IF(FINANCIACION[[#This Row],[$ CAPITAL]]&gt;0,FINANCIACION[[#This Row],[$ CAPITAL]])</f>
        <v>0</v>
      </c>
      <c r="J1019" s="33">
        <f>+IF(FINANCIACION[[#This Row],[$ CAPITAL]]&gt;=0,FINANCIACION[[#This Row],[$ CAPITAL]]+FINANCIACION[[#This Row],[$ INTERESES]],0)</f>
        <v>400000</v>
      </c>
    </row>
    <row r="1020" spans="1:10" ht="24" hidden="1" customHeight="1" x14ac:dyDescent="0.3">
      <c r="A1020" s="131">
        <v>44691</v>
      </c>
      <c r="B1020" s="50" t="s">
        <v>532</v>
      </c>
      <c r="C1020" s="5">
        <v>2065424.6999828494</v>
      </c>
      <c r="D1020" s="5">
        <v>611953.30001715058</v>
      </c>
      <c r="E1020" s="5">
        <f>+IF(FINANCIACION[[#This Row],[$ CAPITAL]]&gt;=0,FINANCIACION[[#This Row],[$ CAPITAL]]+FINANCIACION[[#This Row],[$ INTERESES]],"")</f>
        <v>2677378</v>
      </c>
      <c r="F1020" s="5">
        <f>+SUMIFS(FINANCIACION[$ CAPITAL],FINANCIACION[Fecha],"&lt;="&amp;FINANCIACION[[#This Row],[Fecha]],FINANCIACION[PRESTAMO],FINANCIACION[[#This Row],[PRESTAMO]])</f>
        <v>-59129905.301732205</v>
      </c>
      <c r="G1020" s="53"/>
      <c r="H1020" s="53"/>
      <c r="I1020" s="5">
        <f>+IF(FINANCIACION[[#This Row],[$ CAPITAL]]&gt;0,FINANCIACION[[#This Row],[$ CAPITAL]])</f>
        <v>2065424.6999828494</v>
      </c>
      <c r="J1020" s="33">
        <f>+IF(FINANCIACION[[#This Row],[$ CAPITAL]]&gt;=0,FINANCIACION[[#This Row],[$ CAPITAL]]+FINANCIACION[[#This Row],[$ INTERESES]],0)</f>
        <v>2677378</v>
      </c>
    </row>
    <row r="1021" spans="1:10" ht="24" hidden="1" customHeight="1" x14ac:dyDescent="0.3">
      <c r="A1021" s="131">
        <v>44691</v>
      </c>
      <c r="B1021" s="50" t="s">
        <v>549</v>
      </c>
      <c r="C1021" s="5"/>
      <c r="D1021" s="5">
        <v>300000</v>
      </c>
      <c r="E1021" s="5">
        <f>+IF(FINANCIACION[[#This Row],[$ CAPITAL]]&gt;=0,FINANCIACION[[#This Row],[$ CAPITAL]]+FINANCIACION[[#This Row],[$ INTERESES]],"")</f>
        <v>300000</v>
      </c>
      <c r="F1021" s="5">
        <f>+SUMIFS(FINANCIACION[$ CAPITAL],FINANCIACION[Fecha],"&lt;="&amp;FINANCIACION[[#This Row],[Fecha]],FINANCIACION[PRESTAMO],FINANCIACION[[#This Row],[PRESTAMO]])</f>
        <v>-30120000</v>
      </c>
      <c r="G1021" s="53"/>
      <c r="H1021" s="53"/>
      <c r="I1021" s="5" t="b">
        <f>+IF(FINANCIACION[[#This Row],[$ CAPITAL]]&gt;0,FINANCIACION[[#This Row],[$ CAPITAL]])</f>
        <v>0</v>
      </c>
      <c r="J1021" s="33">
        <f>+IF(FINANCIACION[[#This Row],[$ CAPITAL]]&gt;=0,FINANCIACION[[#This Row],[$ CAPITAL]]+FINANCIACION[[#This Row],[$ INTERESES]],0)</f>
        <v>300000</v>
      </c>
    </row>
    <row r="1022" spans="1:10" ht="24" hidden="1" customHeight="1" x14ac:dyDescent="0.3">
      <c r="A1022" s="131">
        <v>44691</v>
      </c>
      <c r="B1022" s="50" t="s">
        <v>536</v>
      </c>
      <c r="C1022" s="5">
        <v>795754.82128151576</v>
      </c>
      <c r="D1022" s="5">
        <v>504245.17871848418</v>
      </c>
      <c r="E1022" s="5">
        <f>+IF(FINANCIACION[[#This Row],[$ CAPITAL]]&gt;=0,FINANCIACION[[#This Row],[$ CAPITAL]]+FINANCIACION[[#This Row],[$ INTERESES]],"")</f>
        <v>1300000</v>
      </c>
      <c r="F1022" s="5">
        <f>+SUMIFS(FINANCIACION[$ CAPITAL],FINANCIACION[Fecha],"&lt;="&amp;FINANCIACION[[#This Row],[Fecha]],FINANCIACION[PRESTAMO],FINANCIACION[[#This Row],[PRESTAMO]])</f>
        <v>-49628763.050566904</v>
      </c>
      <c r="G1022" s="53"/>
      <c r="H1022" s="53"/>
      <c r="I1022" s="5">
        <f>+IF(FINANCIACION[[#This Row],[$ CAPITAL]]&gt;0,FINANCIACION[[#This Row],[$ CAPITAL]])</f>
        <v>795754.82128151576</v>
      </c>
      <c r="J1022" s="33">
        <f>+IF(FINANCIACION[[#This Row],[$ CAPITAL]]&gt;=0,FINANCIACION[[#This Row],[$ CAPITAL]]+FINANCIACION[[#This Row],[$ INTERESES]],0)</f>
        <v>1300000</v>
      </c>
    </row>
    <row r="1023" spans="1:10" ht="24" hidden="1" customHeight="1" x14ac:dyDescent="0.3">
      <c r="A1023" s="131">
        <v>44691</v>
      </c>
      <c r="B1023" s="50" t="s">
        <v>533</v>
      </c>
      <c r="C1023" s="5">
        <v>516327.83662985766</v>
      </c>
      <c r="D1023" s="5">
        <v>683672.16337014234</v>
      </c>
      <c r="E1023" s="5">
        <f>+IF(FINANCIACION[[#This Row],[$ CAPITAL]]&gt;=0,FINANCIACION[[#This Row],[$ CAPITAL]]+FINANCIACION[[#This Row],[$ INTERESES]],"")</f>
        <v>1200000</v>
      </c>
      <c r="F1023" s="5">
        <f>+SUMIFS(FINANCIACION[$ CAPITAL],FINANCIACION[Fecha],"&lt;="&amp;FINANCIACION[[#This Row],[Fecha]],FINANCIACION[PRESTAMO],FINANCIACION[[#This Row],[PRESTAMO]])</f>
        <v>-68021576.360384375</v>
      </c>
      <c r="G1023" s="53"/>
      <c r="H1023" s="53"/>
      <c r="I1023" s="5">
        <f>+IF(FINANCIACION[[#This Row],[$ CAPITAL]]&gt;0,FINANCIACION[[#This Row],[$ CAPITAL]])</f>
        <v>516327.83662985766</v>
      </c>
      <c r="J1023" s="33">
        <f>+IF(FINANCIACION[[#This Row],[$ CAPITAL]]&gt;=0,FINANCIACION[[#This Row],[$ CAPITAL]]+FINANCIACION[[#This Row],[$ INTERESES]],0)</f>
        <v>1200000</v>
      </c>
    </row>
    <row r="1024" spans="1:10" ht="24" hidden="1" customHeight="1" x14ac:dyDescent="0.3">
      <c r="A1024" s="131">
        <v>44691</v>
      </c>
      <c r="B1024" s="50" t="s">
        <v>545</v>
      </c>
      <c r="C1024" s="5"/>
      <c r="D1024" s="5">
        <v>120000</v>
      </c>
      <c r="E1024" s="5">
        <f>+IF(FINANCIACION[[#This Row],[$ CAPITAL]]&gt;=0,FINANCIACION[[#This Row],[$ CAPITAL]]+FINANCIACION[[#This Row],[$ INTERESES]],"")</f>
        <v>120000</v>
      </c>
      <c r="F1024" s="5">
        <f>+SUMIFS(FINANCIACION[$ CAPITAL],FINANCIACION[Fecha],"&lt;="&amp;FINANCIACION[[#This Row],[Fecha]],FINANCIACION[PRESTAMO],FINANCIACION[[#This Row],[PRESTAMO]])</f>
        <v>-12000000</v>
      </c>
      <c r="G1024" s="53"/>
      <c r="H1024" s="53"/>
      <c r="I1024" s="5" t="b">
        <f>+IF(FINANCIACION[[#This Row],[$ CAPITAL]]&gt;0,FINANCIACION[[#This Row],[$ CAPITAL]])</f>
        <v>0</v>
      </c>
      <c r="J1024" s="33">
        <f>+IF(FINANCIACION[[#This Row],[$ CAPITAL]]&gt;=0,FINANCIACION[[#This Row],[$ CAPITAL]]+FINANCIACION[[#This Row],[$ INTERESES]],0)</f>
        <v>120000</v>
      </c>
    </row>
    <row r="1025" spans="1:10" ht="24" hidden="1" customHeight="1" x14ac:dyDescent="0.3">
      <c r="A1025" s="131">
        <v>44695</v>
      </c>
      <c r="B1025" s="50" t="s">
        <v>153</v>
      </c>
      <c r="C1025" s="5">
        <v>1944444</v>
      </c>
      <c r="D1025" s="5">
        <f>2183656.48-FINANCIACION[[#This Row],[$ CAPITAL]]</f>
        <v>239212.47999999998</v>
      </c>
      <c r="E1025" s="5">
        <f>+IF(FINANCIACION[[#This Row],[$ CAPITAL]]&gt;=0,FINANCIACION[[#This Row],[$ CAPITAL]]+FINANCIACION[[#This Row],[$ INTERESES]],"")</f>
        <v>2183656.48</v>
      </c>
      <c r="F1025" s="5">
        <f>+SUMIFS(FINANCIACION[$ CAPITAL],FINANCIACION[Fecha],"&lt;="&amp;FINANCIACION[[#This Row],[Fecha]],FINANCIACION[PRESTAMO],FINANCIACION[[#This Row],[PRESTAMO]])</f>
        <v>-23333336</v>
      </c>
      <c r="G1025" s="53"/>
      <c r="H1025" s="53"/>
      <c r="I1025" s="5">
        <f>+IF(FINANCIACION[[#This Row],[$ CAPITAL]]&gt;0,FINANCIACION[[#This Row],[$ CAPITAL]])</f>
        <v>1944444</v>
      </c>
      <c r="J1025" s="33">
        <f>+IF(FINANCIACION[[#This Row],[$ CAPITAL]]&gt;=0,FINANCIACION[[#This Row],[$ CAPITAL]]+FINANCIACION[[#This Row],[$ INTERESES]],0)</f>
        <v>2183656.48</v>
      </c>
    </row>
    <row r="1026" spans="1:10" ht="24" hidden="1" customHeight="1" x14ac:dyDescent="0.3">
      <c r="A1026" s="131">
        <v>44698</v>
      </c>
      <c r="B1026" s="50" t="s">
        <v>148</v>
      </c>
      <c r="C1026" s="5"/>
      <c r="D1026" s="5">
        <v>313775</v>
      </c>
      <c r="E1026" s="5">
        <f>+IF(FINANCIACION[[#This Row],[$ CAPITAL]]&gt;=0,FINANCIACION[[#This Row],[$ CAPITAL]]+FINANCIACION[[#This Row],[$ INTERESES]],"")</f>
        <v>313775</v>
      </c>
      <c r="F1026" s="5">
        <f>+SUMIFS(FINANCIACION[$ CAPITAL],FINANCIACION[Fecha],"&lt;="&amp;FINANCIACION[[#This Row],[Fecha]],FINANCIACION[PRESTAMO],FINANCIACION[[#This Row],[PRESTAMO]])</f>
        <v>0</v>
      </c>
      <c r="G1026" s="53"/>
      <c r="H1026" s="53"/>
      <c r="I1026" s="5" t="b">
        <f>+IF(FINANCIACION[[#This Row],[$ CAPITAL]]&gt;0,FINANCIACION[[#This Row],[$ CAPITAL]])</f>
        <v>0</v>
      </c>
      <c r="J1026" s="33">
        <f>+IF(FINANCIACION[[#This Row],[$ CAPITAL]]&gt;=0,FINANCIACION[[#This Row],[$ CAPITAL]]+FINANCIACION[[#This Row],[$ INTERESES]],0)</f>
        <v>313775</v>
      </c>
    </row>
    <row r="1027" spans="1:10" ht="24" hidden="1" customHeight="1" x14ac:dyDescent="0.3">
      <c r="A1027" s="131">
        <v>44699</v>
      </c>
      <c r="B1027" s="50" t="s">
        <v>546</v>
      </c>
      <c r="C1027" s="5">
        <v>1210827.8000000007</v>
      </c>
      <c r="D1027" s="5">
        <v>4172.1999999992549</v>
      </c>
      <c r="E1027" s="5">
        <f>+IF(FINANCIACION[[#This Row],[$ CAPITAL]]&gt;=0,FINANCIACION[[#This Row],[$ CAPITAL]]+FINANCIACION[[#This Row],[$ INTERESES]],"")</f>
        <v>1215000</v>
      </c>
      <c r="F1027" s="5">
        <f>+SUMIFS(FINANCIACION[$ CAPITAL],FINANCIACION[Fecha],"&lt;="&amp;FINANCIACION[[#This Row],[Fecha]],FINANCIACION[PRESTAMO],FINANCIACION[[#This Row],[PRESTAMO]])</f>
        <v>-12880593.1</v>
      </c>
      <c r="G1027" s="53"/>
      <c r="H1027" s="53"/>
      <c r="I1027" s="5">
        <f>+IF(FINANCIACION[[#This Row],[$ CAPITAL]]&gt;0,FINANCIACION[[#This Row],[$ CAPITAL]])</f>
        <v>1210827.8000000007</v>
      </c>
      <c r="J1027" s="33">
        <f>+IF(FINANCIACION[[#This Row],[$ CAPITAL]]&gt;=0,FINANCIACION[[#This Row],[$ CAPITAL]]+FINANCIACION[[#This Row],[$ INTERESES]],0)</f>
        <v>1215000</v>
      </c>
    </row>
    <row r="1028" spans="1:10" ht="24" hidden="1" customHeight="1" x14ac:dyDescent="0.3">
      <c r="A1028" s="131">
        <v>44699</v>
      </c>
      <c r="B1028" s="50" t="s">
        <v>588</v>
      </c>
      <c r="C1028" s="5">
        <v>2419046.4499999955</v>
      </c>
      <c r="D1028" s="5">
        <v>24953.55000000447</v>
      </c>
      <c r="E1028" s="5">
        <f>+IF(FINANCIACION[[#This Row],[$ CAPITAL]]&gt;=0,FINANCIACION[[#This Row],[$ CAPITAL]]+FINANCIACION[[#This Row],[$ INTERESES]],"")</f>
        <v>2444000</v>
      </c>
      <c r="F1028" s="5">
        <f>+SUMIFS(FINANCIACION[$ CAPITAL],FINANCIACION[Fecha],"&lt;="&amp;FINANCIACION[[#This Row],[Fecha]],FINANCIACION[PRESTAMO],FINANCIACION[[#This Row],[PRESTAMO]])</f>
        <v>-56658361.969999999</v>
      </c>
      <c r="G1028" s="53"/>
      <c r="H1028" s="53"/>
      <c r="I1028" s="5">
        <f>+IF(FINANCIACION[[#This Row],[$ CAPITAL]]&gt;0,FINANCIACION[[#This Row],[$ CAPITAL]])</f>
        <v>2419046.4499999955</v>
      </c>
      <c r="J1028" s="33">
        <f>+IF(FINANCIACION[[#This Row],[$ CAPITAL]]&gt;=0,FINANCIACION[[#This Row],[$ CAPITAL]]+FINANCIACION[[#This Row],[$ INTERESES]],0)</f>
        <v>2444000</v>
      </c>
    </row>
    <row r="1029" spans="1:10" ht="24" hidden="1" customHeight="1" x14ac:dyDescent="0.3">
      <c r="A1029" s="131">
        <v>44699</v>
      </c>
      <c r="B1029" s="50" t="s">
        <v>540</v>
      </c>
      <c r="C1029" s="5">
        <v>978160.14999999851</v>
      </c>
      <c r="D1029" s="5">
        <v>3839.8500000014901</v>
      </c>
      <c r="E1029" s="5">
        <f>+IF(FINANCIACION[[#This Row],[$ CAPITAL]]&gt;=0,FINANCIACION[[#This Row],[$ CAPITAL]]+FINANCIACION[[#This Row],[$ INTERESES]],"")</f>
        <v>982000</v>
      </c>
      <c r="F1029" s="5">
        <f>+SUMIFS(FINANCIACION[$ CAPITAL],FINANCIACION[Fecha],"&lt;="&amp;FINANCIACION[[#This Row],[Fecha]],FINANCIACION[PRESTAMO],FINANCIACION[[#This Row],[PRESTAMO]])</f>
        <v>-11870882.899999999</v>
      </c>
      <c r="G1029" s="53"/>
      <c r="H1029" s="53"/>
      <c r="I1029" s="5">
        <f>+IF(FINANCIACION[[#This Row],[$ CAPITAL]]&gt;0,FINANCIACION[[#This Row],[$ CAPITAL]])</f>
        <v>978160.14999999851</v>
      </c>
      <c r="J1029" s="33">
        <f>+IF(FINANCIACION[[#This Row],[$ CAPITAL]]&gt;=0,FINANCIACION[[#This Row],[$ CAPITAL]]+FINANCIACION[[#This Row],[$ INTERESES]],0)</f>
        <v>982000</v>
      </c>
    </row>
    <row r="1030" spans="1:10" ht="24" hidden="1" customHeight="1" x14ac:dyDescent="0.3">
      <c r="A1030" s="131">
        <v>44699</v>
      </c>
      <c r="B1030" s="50" t="s">
        <v>548</v>
      </c>
      <c r="C1030" s="5">
        <v>693257.62999999523</v>
      </c>
      <c r="D1030" s="5">
        <v>23742.370000004768</v>
      </c>
      <c r="E1030" s="5">
        <f>+IF(FINANCIACION[[#This Row],[$ CAPITAL]]&gt;=0,FINANCIACION[[#This Row],[$ CAPITAL]]+FINANCIACION[[#This Row],[$ INTERESES]],"")</f>
        <v>717000</v>
      </c>
      <c r="F1030" s="5">
        <f>+SUMIFS(FINANCIACION[$ CAPITAL],FINANCIACION[Fecha],"&lt;="&amp;FINANCIACION[[#This Row],[Fecha]],FINANCIACION[PRESTAMO],FINANCIACION[[#This Row],[PRESTAMO]])</f>
        <v>-79991465.180000007</v>
      </c>
      <c r="G1030" s="53"/>
      <c r="H1030" s="53"/>
      <c r="I1030" s="5">
        <f>+IF(FINANCIACION[[#This Row],[$ CAPITAL]]&gt;0,FINANCIACION[[#This Row],[$ CAPITAL]])</f>
        <v>693257.62999999523</v>
      </c>
      <c r="J1030" s="33">
        <f>+IF(FINANCIACION[[#This Row],[$ CAPITAL]]&gt;=0,FINANCIACION[[#This Row],[$ CAPITAL]]+FINANCIACION[[#This Row],[$ INTERESES]],0)</f>
        <v>717000</v>
      </c>
    </row>
    <row r="1031" spans="1:10" ht="24" hidden="1" customHeight="1" x14ac:dyDescent="0.3">
      <c r="A1031" s="131">
        <v>44699</v>
      </c>
      <c r="B1031" s="50" t="s">
        <v>542</v>
      </c>
      <c r="C1031" s="5">
        <v>1029822.5999999996</v>
      </c>
      <c r="D1031" s="5">
        <v>4177.4000000003725</v>
      </c>
      <c r="E1031" s="5">
        <f>+IF(FINANCIACION[[#This Row],[$ CAPITAL]]&gt;=0,FINANCIACION[[#This Row],[$ CAPITAL]]+FINANCIACION[[#This Row],[$ INTERESES]],"")</f>
        <v>1034000</v>
      </c>
      <c r="F1031" s="5">
        <f>+SUMIFS(FINANCIACION[$ CAPITAL],FINANCIACION[Fecha],"&lt;="&amp;FINANCIACION[[#This Row],[Fecha]],FINANCIACION[PRESTAMO],FINANCIACION[[#This Row],[PRESTAMO]])</f>
        <v>-13350623.899999999</v>
      </c>
      <c r="G1031" s="53"/>
      <c r="H1031" s="53"/>
      <c r="I1031" s="5">
        <f>+IF(FINANCIACION[[#This Row],[$ CAPITAL]]&gt;0,FINANCIACION[[#This Row],[$ CAPITAL]])</f>
        <v>1029822.5999999996</v>
      </c>
      <c r="J1031" s="33">
        <f>+IF(FINANCIACION[[#This Row],[$ CAPITAL]]&gt;=0,FINANCIACION[[#This Row],[$ CAPITAL]]+FINANCIACION[[#This Row],[$ INTERESES]],0)</f>
        <v>1034000</v>
      </c>
    </row>
    <row r="1032" spans="1:10" ht="24" hidden="1" customHeight="1" x14ac:dyDescent="0.3">
      <c r="A1032" s="131">
        <v>44699</v>
      </c>
      <c r="B1032" s="50" t="s">
        <v>538</v>
      </c>
      <c r="C1032" s="5">
        <v>2460979.870000001</v>
      </c>
      <c r="D1032" s="5">
        <v>9020.1299999989569</v>
      </c>
      <c r="E1032" s="5">
        <f>+IF(FINANCIACION[[#This Row],[$ CAPITAL]]&gt;=0,FINANCIACION[[#This Row],[$ CAPITAL]]+FINANCIACION[[#This Row],[$ INTERESES]],"")</f>
        <v>2470000</v>
      </c>
      <c r="F1032" s="5">
        <f>+SUMIFS(FINANCIACION[$ CAPITAL],FINANCIACION[Fecha],"&lt;="&amp;FINANCIACION[[#This Row],[Fecha]],FINANCIACION[PRESTAMO],FINANCIACION[[#This Row],[PRESTAMO]])</f>
        <v>-28237172.5</v>
      </c>
      <c r="G1032" s="53"/>
      <c r="H1032" s="53"/>
      <c r="I1032" s="5">
        <f>+IF(FINANCIACION[[#This Row],[$ CAPITAL]]&gt;0,FINANCIACION[[#This Row],[$ CAPITAL]])</f>
        <v>2460979.870000001</v>
      </c>
      <c r="J1032" s="33">
        <f>+IF(FINANCIACION[[#This Row],[$ CAPITAL]]&gt;=0,FINANCIACION[[#This Row],[$ CAPITAL]]+FINANCIACION[[#This Row],[$ INTERESES]],0)</f>
        <v>2470000</v>
      </c>
    </row>
    <row r="1033" spans="1:10" ht="24" hidden="1" customHeight="1" x14ac:dyDescent="0.3">
      <c r="A1033" s="131">
        <v>44699</v>
      </c>
      <c r="B1033" s="50" t="s">
        <v>539</v>
      </c>
      <c r="C1033" s="5">
        <v>3603928</v>
      </c>
      <c r="D1033" s="5">
        <v>14072</v>
      </c>
      <c r="E1033" s="5">
        <f>+IF(FINANCIACION[[#This Row],[$ CAPITAL]]&gt;=0,FINANCIACION[[#This Row],[$ CAPITAL]]+FINANCIACION[[#This Row],[$ INTERESES]],"")</f>
        <v>3618000</v>
      </c>
      <c r="F1033" s="5">
        <f>+SUMIFS(FINANCIACION[$ CAPITAL],FINANCIACION[Fecha],"&lt;="&amp;FINANCIACION[[#This Row],[Fecha]],FINANCIACION[PRESTAMO],FINANCIACION[[#This Row],[PRESTAMO]])</f>
        <v>-40907285.619999997</v>
      </c>
      <c r="G1033" s="53"/>
      <c r="H1033" s="53"/>
      <c r="I1033" s="5">
        <f>+IF(FINANCIACION[[#This Row],[$ CAPITAL]]&gt;0,FINANCIACION[[#This Row],[$ CAPITAL]])</f>
        <v>3603928</v>
      </c>
      <c r="J1033" s="33">
        <f>+IF(FINANCIACION[[#This Row],[$ CAPITAL]]&gt;=0,FINANCIACION[[#This Row],[$ CAPITAL]]+FINANCIACION[[#This Row],[$ INTERESES]],0)</f>
        <v>3618000</v>
      </c>
    </row>
    <row r="1034" spans="1:10" ht="24" hidden="1" customHeight="1" x14ac:dyDescent="0.3">
      <c r="A1034" s="131">
        <v>44699</v>
      </c>
      <c r="B1034" s="50" t="s">
        <v>534</v>
      </c>
      <c r="C1034" s="5">
        <v>5828926</v>
      </c>
      <c r="D1034" s="5">
        <v>266879</v>
      </c>
      <c r="E1034" s="5">
        <f>+IF(FINANCIACION[[#This Row],[$ CAPITAL]]&gt;=0,FINANCIACION[[#This Row],[$ CAPITAL]]+FINANCIACION[[#This Row],[$ INTERESES]],"")</f>
        <v>6095805</v>
      </c>
      <c r="F1034" s="5">
        <f>+SUMIFS(FINANCIACION[$ CAPITAL],FINANCIACION[Fecha],"&lt;="&amp;FINANCIACION[[#This Row],[Fecha]],FINANCIACION[PRESTAMO],FINANCIACION[[#This Row],[PRESTAMO]])</f>
        <v>-366441690</v>
      </c>
      <c r="G1034" s="53"/>
      <c r="H1034" s="53"/>
      <c r="I1034" s="5">
        <f>+IF(FINANCIACION[[#This Row],[$ CAPITAL]]&gt;0,FINANCIACION[[#This Row],[$ CAPITAL]])</f>
        <v>5828926</v>
      </c>
      <c r="J1034" s="33">
        <f>+IF(FINANCIACION[[#This Row],[$ CAPITAL]]&gt;=0,FINANCIACION[[#This Row],[$ CAPITAL]]+FINANCIACION[[#This Row],[$ INTERESES]],0)</f>
        <v>6095805</v>
      </c>
    </row>
    <row r="1035" spans="1:10" ht="24" hidden="1" customHeight="1" x14ac:dyDescent="0.3">
      <c r="A1035" s="131">
        <v>44699</v>
      </c>
      <c r="B1035" s="50" t="s">
        <v>535</v>
      </c>
      <c r="C1035" s="5">
        <v>1459387.4000000004</v>
      </c>
      <c r="D1035" s="5">
        <v>4612.5999999996275</v>
      </c>
      <c r="E1035" s="5">
        <f>+IF(FINANCIACION[[#This Row],[$ CAPITAL]]&gt;=0,FINANCIACION[[#This Row],[$ CAPITAL]]+FINANCIACION[[#This Row],[$ INTERESES]],"")</f>
        <v>1464000</v>
      </c>
      <c r="F1035" s="5">
        <f>+SUMIFS(FINANCIACION[$ CAPITAL],FINANCIACION[Fecha],"&lt;="&amp;FINANCIACION[[#This Row],[Fecha]],FINANCIACION[PRESTAMO],FINANCIACION[[#This Row],[PRESTAMO]])</f>
        <v>-14259844.760000002</v>
      </c>
      <c r="G1035" s="53"/>
      <c r="H1035" s="53"/>
      <c r="I1035" s="5">
        <f>+IF(FINANCIACION[[#This Row],[$ CAPITAL]]&gt;0,FINANCIACION[[#This Row],[$ CAPITAL]])</f>
        <v>1459387.4000000004</v>
      </c>
      <c r="J1035" s="33">
        <f>+IF(FINANCIACION[[#This Row],[$ CAPITAL]]&gt;=0,FINANCIACION[[#This Row],[$ CAPITAL]]+FINANCIACION[[#This Row],[$ INTERESES]],0)</f>
        <v>1464000</v>
      </c>
    </row>
    <row r="1036" spans="1:10" ht="24" hidden="1" customHeight="1" x14ac:dyDescent="0.3">
      <c r="A1036" s="131">
        <v>44701</v>
      </c>
      <c r="B1036" s="50" t="s">
        <v>684</v>
      </c>
      <c r="C1036" s="5">
        <f>+FINANCIACION[[#This Row],[VALOR EN DOLARES]]*4100</f>
        <v>-42314501</v>
      </c>
      <c r="D1036" s="5"/>
      <c r="E1036" s="5" t="str">
        <f>+IF(FINANCIACION[[#This Row],[$ CAPITAL]]&gt;=0,FINANCIACION[[#This Row],[$ CAPITAL]]+FINANCIACION[[#This Row],[$ INTERESES]],"")</f>
        <v/>
      </c>
      <c r="F1036" s="5">
        <f>+SUMIFS(FINANCIACION[$ CAPITAL],FINANCIACION[Fecha],"&lt;="&amp;FINANCIACION[[#This Row],[Fecha]],FINANCIACION[PRESTAMO],FINANCIACION[[#This Row],[PRESTAMO]])</f>
        <v>-42314501</v>
      </c>
      <c r="G1036" s="53" t="s">
        <v>685</v>
      </c>
      <c r="H1036" s="53">
        <v>-10320.61</v>
      </c>
      <c r="I1036" s="5" t="b">
        <f>+IF(FINANCIACION[[#This Row],[$ CAPITAL]]&gt;0,FINANCIACION[[#This Row],[$ CAPITAL]])</f>
        <v>0</v>
      </c>
      <c r="J1036" s="33">
        <f>+IF(FINANCIACION[[#This Row],[$ CAPITAL]]&gt;=0,FINANCIACION[[#This Row],[$ CAPITAL]]+FINANCIACION[[#This Row],[$ INTERESES]],0)</f>
        <v>0</v>
      </c>
    </row>
    <row r="1037" spans="1:10" ht="24" hidden="1" customHeight="1" x14ac:dyDescent="0.3">
      <c r="A1037" s="131">
        <v>44704</v>
      </c>
      <c r="B1037" s="50" t="s">
        <v>833</v>
      </c>
      <c r="C1037" s="5">
        <v>453998</v>
      </c>
      <c r="D1037" s="5">
        <v>54470</v>
      </c>
      <c r="E1037" s="5">
        <f>+IF(FINANCIACION[[#This Row],[$ CAPITAL]]&gt;=0,FINANCIACION[[#This Row],[$ CAPITAL]]+FINANCIACION[[#This Row],[$ INTERESES]],"")</f>
        <v>508468</v>
      </c>
      <c r="F1037" s="5">
        <f>+SUMIFS(FINANCIACION[$ CAPITAL],FINANCIACION[Fecha],"&lt;="&amp;FINANCIACION[[#This Row],[Fecha]],FINANCIACION[PRESTAMO],FINANCIACION[[#This Row],[PRESTAMO]])</f>
        <v>-4993978</v>
      </c>
      <c r="G1037" s="53"/>
      <c r="H1037" s="53"/>
      <c r="I1037" s="5">
        <f>+IF(FINANCIACION[[#This Row],[$ CAPITAL]]&gt;0,FINANCIACION[[#This Row],[$ CAPITAL]])</f>
        <v>453998</v>
      </c>
      <c r="J1037" s="33">
        <f>+IF(FINANCIACION[[#This Row],[$ CAPITAL]]&gt;=0,FINANCIACION[[#This Row],[$ CAPITAL]]+FINANCIACION[[#This Row],[$ INTERESES]],0)</f>
        <v>508468</v>
      </c>
    </row>
    <row r="1038" spans="1:10" ht="24" hidden="1" customHeight="1" x14ac:dyDescent="0.3">
      <c r="A1038" s="131">
        <v>44712</v>
      </c>
      <c r="B1038" s="50" t="s">
        <v>146</v>
      </c>
      <c r="C1038" s="5">
        <v>1468400</v>
      </c>
      <c r="D1038" s="5">
        <f>1901499-FINANCIACION[[#This Row],[$ CAPITAL]]</f>
        <v>433099</v>
      </c>
      <c r="E1038" s="5">
        <f>+IF(FINANCIACION[[#This Row],[$ CAPITAL]]&gt;=0,FINANCIACION[[#This Row],[$ CAPITAL]]+FINANCIACION[[#This Row],[$ INTERESES]],"")</f>
        <v>1901499</v>
      </c>
      <c r="F1038" s="5">
        <f>+SUMIFS(FINANCIACION[$ CAPITAL],FINANCIACION[Fecha],"&lt;="&amp;FINANCIACION[[#This Row],[Fecha]],FINANCIACION[PRESTAMO],FINANCIACION[[#This Row],[PRESTAMO]])</f>
        <v>-32304800</v>
      </c>
      <c r="G1038" s="53"/>
      <c r="H1038" s="53"/>
      <c r="I1038" s="5">
        <f>+IF(FINANCIACION[[#This Row],[$ CAPITAL]]&gt;0,FINANCIACION[[#This Row],[$ CAPITAL]])</f>
        <v>1468400</v>
      </c>
      <c r="J1038" s="33">
        <f>+IF(FINANCIACION[[#This Row],[$ CAPITAL]]&gt;=0,FINANCIACION[[#This Row],[$ CAPITAL]]+FINANCIACION[[#This Row],[$ INTERESES]],0)</f>
        <v>1901499</v>
      </c>
    </row>
    <row r="1039" spans="1:10" ht="24" hidden="1" customHeight="1" x14ac:dyDescent="0.3">
      <c r="A1039" s="131">
        <v>44712</v>
      </c>
      <c r="B1039" s="50" t="s">
        <v>147</v>
      </c>
      <c r="C1039" s="5">
        <v>76791</v>
      </c>
      <c r="D1039" s="5"/>
      <c r="E1039" s="5">
        <f>+IF(FINANCIACION[[#This Row],[$ CAPITAL]]&gt;=0,FINANCIACION[[#This Row],[$ CAPITAL]]+FINANCIACION[[#This Row],[$ INTERESES]],"")</f>
        <v>76791</v>
      </c>
      <c r="F1039" s="5">
        <f>+SUMIFS(FINANCIACION[$ CAPITAL],FINANCIACION[Fecha],"&lt;="&amp;FINANCIACION[[#This Row],[Fecha]],FINANCIACION[PRESTAMO],FINANCIACION[[#This Row],[PRESTAMO]])</f>
        <v>-1689402</v>
      </c>
      <c r="G1039" s="53"/>
      <c r="H1039" s="53"/>
      <c r="I1039" s="5">
        <f>+IF(FINANCIACION[[#This Row],[$ CAPITAL]]&gt;0,FINANCIACION[[#This Row],[$ CAPITAL]])</f>
        <v>76791</v>
      </c>
      <c r="J1039" s="33">
        <f>+IF(FINANCIACION[[#This Row],[$ CAPITAL]]&gt;=0,FINANCIACION[[#This Row],[$ CAPITAL]]+FINANCIACION[[#This Row],[$ INTERESES]],0)</f>
        <v>76791</v>
      </c>
    </row>
    <row r="1040" spans="1:10" ht="24" hidden="1" customHeight="1" x14ac:dyDescent="0.3">
      <c r="A1040" s="131">
        <v>44712</v>
      </c>
      <c r="B1040" s="50" t="s">
        <v>148</v>
      </c>
      <c r="C1040" s="5"/>
      <c r="D1040" s="5">
        <v>148668</v>
      </c>
      <c r="E1040" s="5">
        <f>+IF(FINANCIACION[[#This Row],[$ CAPITAL]]&gt;=0,FINANCIACION[[#This Row],[$ CAPITAL]]+FINANCIACION[[#This Row],[$ INTERESES]],"")</f>
        <v>148668</v>
      </c>
      <c r="F1040" s="5">
        <f>+SUMIFS(FINANCIACION[$ CAPITAL],FINANCIACION[Fecha],"&lt;="&amp;FINANCIACION[[#This Row],[Fecha]],FINANCIACION[PRESTAMO],FINANCIACION[[#This Row],[PRESTAMO]])</f>
        <v>0</v>
      </c>
      <c r="G1040" s="53"/>
      <c r="H1040" s="53"/>
      <c r="I1040" s="5" t="b">
        <f>+IF(FINANCIACION[[#This Row],[$ CAPITAL]]&gt;0,FINANCIACION[[#This Row],[$ CAPITAL]])</f>
        <v>0</v>
      </c>
      <c r="J1040" s="33">
        <f>+IF(FINANCIACION[[#This Row],[$ CAPITAL]]&gt;=0,FINANCIACION[[#This Row],[$ CAPITAL]]+FINANCIACION[[#This Row],[$ INTERESES]],0)</f>
        <v>148668</v>
      </c>
    </row>
    <row r="1041" spans="1:10" ht="24" hidden="1" customHeight="1" x14ac:dyDescent="0.3">
      <c r="A1041" s="131">
        <v>44712</v>
      </c>
      <c r="B1041" s="50" t="s">
        <v>234</v>
      </c>
      <c r="C1041" s="5">
        <v>1185406</v>
      </c>
      <c r="D1041" s="5"/>
      <c r="E1041" s="5">
        <f>+IF(FINANCIACION[[#This Row],[$ CAPITAL]]&gt;=0,FINANCIACION[[#This Row],[$ CAPITAL]]+FINANCIACION[[#This Row],[$ INTERESES]],"")</f>
        <v>1185406</v>
      </c>
      <c r="F1041" s="5">
        <f>+SUMIFS(FINANCIACION[$ CAPITAL],FINANCIACION[Fecha],"&lt;="&amp;FINANCIACION[[#This Row],[Fecha]],FINANCIACION[PRESTAMO],FINANCIACION[[#This Row],[PRESTAMO]])</f>
        <v>-22522714</v>
      </c>
      <c r="G1041" s="53" t="s">
        <v>170</v>
      </c>
      <c r="H1041" s="53"/>
      <c r="I1041" s="5">
        <f>+IF(FINANCIACION[[#This Row],[$ CAPITAL]]&gt;0,FINANCIACION[[#This Row],[$ CAPITAL]])</f>
        <v>1185406</v>
      </c>
      <c r="J1041" s="33">
        <f>+IF(FINANCIACION[[#This Row],[$ CAPITAL]]&gt;=0,FINANCIACION[[#This Row],[$ CAPITAL]]+FINANCIACION[[#This Row],[$ INTERESES]],0)</f>
        <v>1185406</v>
      </c>
    </row>
    <row r="1042" spans="1:10" ht="24" hidden="1" customHeight="1" x14ac:dyDescent="0.3">
      <c r="A1042" s="131">
        <v>44712</v>
      </c>
      <c r="B1042" s="50" t="s">
        <v>272</v>
      </c>
      <c r="C1042" s="5">
        <v>2737538</v>
      </c>
      <c r="D1042" s="5"/>
      <c r="E1042" s="5">
        <f>+IF(FINANCIACION[[#This Row],[$ CAPITAL]]&gt;=0,FINANCIACION[[#This Row],[$ CAPITAL]]+FINANCIACION[[#This Row],[$ INTERESES]],"")</f>
        <v>2737538</v>
      </c>
      <c r="F1042" s="5">
        <f>+SUMIFS(FINANCIACION[$ CAPITAL],FINANCIACION[Fecha],"&lt;="&amp;FINANCIACION[[#This Row],[Fecha]],FINANCIACION[PRESTAMO],FINANCIACION[[#This Row],[PRESTAMO]])</f>
        <v>-52013222</v>
      </c>
      <c r="G1042" s="53" t="s">
        <v>170</v>
      </c>
      <c r="H1042" s="53"/>
      <c r="I1042" s="5">
        <f>+IF(FINANCIACION[[#This Row],[$ CAPITAL]]&gt;0,FINANCIACION[[#This Row],[$ CAPITAL]])</f>
        <v>2737538</v>
      </c>
      <c r="J1042" s="33">
        <f>+IF(FINANCIACION[[#This Row],[$ CAPITAL]]&gt;=0,FINANCIACION[[#This Row],[$ CAPITAL]]+FINANCIACION[[#This Row],[$ INTERESES]],0)</f>
        <v>2737538</v>
      </c>
    </row>
    <row r="1043" spans="1:10" ht="24" hidden="1" customHeight="1" x14ac:dyDescent="0.3">
      <c r="A1043" s="131">
        <v>44712</v>
      </c>
      <c r="B1043" s="50" t="s">
        <v>331</v>
      </c>
      <c r="C1043" s="5">
        <v>2886872</v>
      </c>
      <c r="D1043" s="5"/>
      <c r="E1043" s="5">
        <f>+IF(FINANCIACION[[#This Row],[$ CAPITAL]]&gt;=0,FINANCIACION[[#This Row],[$ CAPITAL]]+FINANCIACION[[#This Row],[$ INTERESES]],"")</f>
        <v>2886872</v>
      </c>
      <c r="F1043" s="5">
        <f>+SUMIFS(FINANCIACION[$ CAPITAL],FINANCIACION[Fecha],"&lt;="&amp;FINANCIACION[[#This Row],[Fecha]],FINANCIACION[PRESTAMO],FINANCIACION[[#This Row],[PRESTAMO]])</f>
        <v>-54850568</v>
      </c>
      <c r="G1043" s="53" t="s">
        <v>170</v>
      </c>
      <c r="H1043" s="53"/>
      <c r="I1043" s="5">
        <f>+IF(FINANCIACION[[#This Row],[$ CAPITAL]]&gt;0,FINANCIACION[[#This Row],[$ CAPITAL]])</f>
        <v>2886872</v>
      </c>
      <c r="J1043" s="33">
        <f>+IF(FINANCIACION[[#This Row],[$ CAPITAL]]&gt;=0,FINANCIACION[[#This Row],[$ CAPITAL]]+FINANCIACION[[#This Row],[$ INTERESES]],0)</f>
        <v>2886872</v>
      </c>
    </row>
    <row r="1044" spans="1:10" ht="24" hidden="1" customHeight="1" x14ac:dyDescent="0.3">
      <c r="A1044" s="131">
        <v>44712</v>
      </c>
      <c r="B1044" s="50" t="s">
        <v>684</v>
      </c>
      <c r="C1044" s="5">
        <v>3096183</v>
      </c>
      <c r="D1044" s="5"/>
      <c r="E1044" s="5">
        <f>+IF(FINANCIACION[[#This Row],[$ CAPITAL]]&gt;=0,FINANCIACION[[#This Row],[$ CAPITAL]]+FINANCIACION[[#This Row],[$ INTERESES]],"")</f>
        <v>3096183</v>
      </c>
      <c r="F1044" s="5">
        <f>+SUMIFS(FINANCIACION[$ CAPITAL],FINANCIACION[Fecha],"&lt;="&amp;FINANCIACION[[#This Row],[Fecha]],FINANCIACION[PRESTAMO],FINANCIACION[[#This Row],[PRESTAMO]])</f>
        <v>-39218318</v>
      </c>
      <c r="G1044" s="53" t="s">
        <v>170</v>
      </c>
      <c r="H1044" s="53"/>
      <c r="I1044" s="5">
        <f>+IF(FINANCIACION[[#This Row],[$ CAPITAL]]&gt;0,FINANCIACION[[#This Row],[$ CAPITAL]])</f>
        <v>3096183</v>
      </c>
      <c r="J1044" s="33">
        <f>+IF(FINANCIACION[[#This Row],[$ CAPITAL]]&gt;=0,FINANCIACION[[#This Row],[$ CAPITAL]]+FINANCIACION[[#This Row],[$ INTERESES]],0)</f>
        <v>3096183</v>
      </c>
    </row>
    <row r="1045" spans="1:10" ht="24" hidden="1" customHeight="1" x14ac:dyDescent="0.3">
      <c r="A1045" s="131">
        <v>44712</v>
      </c>
      <c r="B1045" s="50" t="s">
        <v>1488</v>
      </c>
      <c r="C1045" s="5">
        <v>-1169773</v>
      </c>
      <c r="D1045" s="5"/>
      <c r="E1045" s="5" t="str">
        <f>+IF(FINANCIACION[[#This Row],[$ CAPITAL]]&gt;=0,FINANCIACION[[#This Row],[$ CAPITAL]]+FINANCIACION[[#This Row],[$ INTERESES]],"")</f>
        <v/>
      </c>
      <c r="F1045" s="5">
        <f>+SUMIFS(FINANCIACION[$ CAPITAL],FINANCIACION[Fecha],"&lt;="&amp;FINANCIACION[[#This Row],[Fecha]],FINANCIACION[PRESTAMO],FINANCIACION[[#This Row],[PRESTAMO]])</f>
        <v>-2949682</v>
      </c>
      <c r="G1045" s="53" t="s">
        <v>170</v>
      </c>
      <c r="H1045" s="53"/>
      <c r="I1045" s="5" t="b">
        <f>+IF(FINANCIACION[[#This Row],[$ CAPITAL]]&gt;0,FINANCIACION[[#This Row],[$ CAPITAL]])</f>
        <v>0</v>
      </c>
      <c r="J1045" s="33">
        <f>+IF(FINANCIACION[[#This Row],[$ CAPITAL]]&gt;=0,FINANCIACION[[#This Row],[$ CAPITAL]]+FINANCIACION[[#This Row],[$ INTERESES]],0)</f>
        <v>0</v>
      </c>
    </row>
    <row r="1046" spans="1:10" ht="24" hidden="1" customHeight="1" x14ac:dyDescent="0.3">
      <c r="A1046" s="131">
        <v>44712</v>
      </c>
      <c r="B1046" s="50" t="s">
        <v>154</v>
      </c>
      <c r="C1046" s="5">
        <v>-773800</v>
      </c>
      <c r="D1046" s="5"/>
      <c r="E1046" s="5" t="str">
        <f>+IF(FINANCIACION[[#This Row],[$ CAPITAL]]&gt;=0,FINANCIACION[[#This Row],[$ CAPITAL]]+FINANCIACION[[#This Row],[$ INTERESES]],"")</f>
        <v/>
      </c>
      <c r="F1046" s="5">
        <f>+SUMIFS(FINANCIACION[$ CAPITAL],FINANCIACION[Fecha],"&lt;="&amp;FINANCIACION[[#This Row],[Fecha]],FINANCIACION[PRESTAMO],FINANCIACION[[#This Row],[PRESTAMO]])</f>
        <v>-33633800</v>
      </c>
      <c r="G1046" s="53" t="s">
        <v>170</v>
      </c>
      <c r="H1046" s="53"/>
      <c r="I1046" s="5" t="b">
        <f>+IF(FINANCIACION[[#This Row],[$ CAPITAL]]&gt;0,FINANCIACION[[#This Row],[$ CAPITAL]])</f>
        <v>0</v>
      </c>
      <c r="J1046" s="33">
        <f>+IF(FINANCIACION[[#This Row],[$ CAPITAL]]&gt;=0,FINANCIACION[[#This Row],[$ CAPITAL]]+FINANCIACION[[#This Row],[$ INTERESES]],0)</f>
        <v>0</v>
      </c>
    </row>
    <row r="1047" spans="1:10" ht="24" hidden="1" customHeight="1" x14ac:dyDescent="0.3">
      <c r="A1047" s="131">
        <v>44712</v>
      </c>
      <c r="B1047" s="50" t="s">
        <v>155</v>
      </c>
      <c r="C1047" s="5">
        <v>746388</v>
      </c>
      <c r="D1047" s="5"/>
      <c r="E1047" s="5">
        <f>+IF(FINANCIACION[[#This Row],[$ CAPITAL]]&gt;=0,FINANCIACION[[#This Row],[$ CAPITAL]]+FINANCIACION[[#This Row],[$ INTERESES]],"")</f>
        <v>746388</v>
      </c>
      <c r="F1047" s="5">
        <f>+SUMIFS(FINANCIACION[$ CAPITAL],FINANCIACION[Fecha],"&lt;="&amp;FINANCIACION[[#This Row],[Fecha]],FINANCIACION[PRESTAMO],FINANCIACION[[#This Row],[PRESTAMO]])</f>
        <v>-9349218</v>
      </c>
      <c r="G1047" s="53" t="s">
        <v>170</v>
      </c>
      <c r="H1047" s="53"/>
      <c r="I1047" s="5">
        <f>+IF(FINANCIACION[[#This Row],[$ CAPITAL]]&gt;0,FINANCIACION[[#This Row],[$ CAPITAL]])</f>
        <v>746388</v>
      </c>
      <c r="J1047" s="33">
        <f>+IF(FINANCIACION[[#This Row],[$ CAPITAL]]&gt;=0,FINANCIACION[[#This Row],[$ CAPITAL]]+FINANCIACION[[#This Row],[$ INTERESES]],0)</f>
        <v>746388</v>
      </c>
    </row>
    <row r="1048" spans="1:10" ht="24" hidden="1" customHeight="1" x14ac:dyDescent="0.3">
      <c r="A1048" s="131">
        <v>44718</v>
      </c>
      <c r="B1048" s="50" t="s">
        <v>552</v>
      </c>
      <c r="C1048" s="5">
        <v>1744958</v>
      </c>
      <c r="D1048" s="5">
        <v>192858</v>
      </c>
      <c r="E1048" s="5">
        <f>+IF(FINANCIACION[[#This Row],[$ CAPITAL]]&gt;=0,FINANCIACION[[#This Row],[$ CAPITAL]]+FINANCIACION[[#This Row],[$ INTERESES]],"")</f>
        <v>1937816</v>
      </c>
      <c r="F1048" s="5">
        <f>+SUMIFS(FINANCIACION[$ CAPITAL],FINANCIACION[Fecha],"&lt;="&amp;FINANCIACION[[#This Row],[Fecha]],FINANCIACION[PRESTAMO],FINANCIACION[[#This Row],[PRESTAMO]])</f>
        <v>-13959674</v>
      </c>
      <c r="G1048" s="53"/>
      <c r="H1048" s="53"/>
      <c r="I1048" s="5">
        <f>+IF(FINANCIACION[[#This Row],[$ CAPITAL]]&gt;0,FINANCIACION[[#This Row],[$ CAPITAL]])</f>
        <v>1744958</v>
      </c>
      <c r="J1048" s="33">
        <f>+IF(FINANCIACION[[#This Row],[$ CAPITAL]]&gt;=0,FINANCIACION[[#This Row],[$ CAPITAL]]+FINANCIACION[[#This Row],[$ INTERESES]],0)</f>
        <v>1937816</v>
      </c>
    </row>
    <row r="1049" spans="1:10" ht="24" hidden="1" customHeight="1" x14ac:dyDescent="0.3">
      <c r="A1049" s="131">
        <v>44718</v>
      </c>
      <c r="B1049" s="50" t="s">
        <v>148</v>
      </c>
      <c r="C1049" s="5"/>
      <c r="D1049" s="5">
        <v>401980</v>
      </c>
      <c r="E1049" s="5">
        <f>+IF(FINANCIACION[[#This Row],[$ CAPITAL]]&gt;=0,FINANCIACION[[#This Row],[$ CAPITAL]]+FINANCIACION[[#This Row],[$ INTERESES]],"")</f>
        <v>401980</v>
      </c>
      <c r="F1049" s="5">
        <f>+SUMIFS(FINANCIACION[$ CAPITAL],FINANCIACION[Fecha],"&lt;="&amp;FINANCIACION[[#This Row],[Fecha]],FINANCIACION[PRESTAMO],FINANCIACION[[#This Row],[PRESTAMO]])</f>
        <v>0</v>
      </c>
      <c r="G1049" s="53"/>
      <c r="H1049" s="53"/>
      <c r="I1049" s="5" t="b">
        <f>+IF(FINANCIACION[[#This Row],[$ CAPITAL]]&gt;0,FINANCIACION[[#This Row],[$ CAPITAL]])</f>
        <v>0</v>
      </c>
      <c r="J1049" s="33">
        <f>+IF(FINANCIACION[[#This Row],[$ CAPITAL]]&gt;=0,FINANCIACION[[#This Row],[$ CAPITAL]]+FINANCIACION[[#This Row],[$ INTERESES]],0)</f>
        <v>401980</v>
      </c>
    </row>
    <row r="1050" spans="1:10" ht="24" hidden="1" customHeight="1" x14ac:dyDescent="0.3">
      <c r="A1050" s="131">
        <v>44719</v>
      </c>
      <c r="B1050" s="50" t="s">
        <v>549</v>
      </c>
      <c r="C1050" s="5">
        <v>20120000</v>
      </c>
      <c r="D1050" s="5">
        <v>300000</v>
      </c>
      <c r="E1050" s="5">
        <f>+IF(FINANCIACION[[#This Row],[$ CAPITAL]]&gt;=0,FINANCIACION[[#This Row],[$ CAPITAL]]+FINANCIACION[[#This Row],[$ INTERESES]],"")</f>
        <v>20420000</v>
      </c>
      <c r="F1050" s="5">
        <f>+SUMIFS(FINANCIACION[$ CAPITAL],FINANCIACION[Fecha],"&lt;="&amp;FINANCIACION[[#This Row],[Fecha]],FINANCIACION[PRESTAMO],FINANCIACION[[#This Row],[PRESTAMO]])</f>
        <v>-10000000</v>
      </c>
      <c r="G1050" s="53" t="s">
        <v>729</v>
      </c>
      <c r="H1050" s="53"/>
      <c r="I1050" s="5">
        <f>+IF(FINANCIACION[[#This Row],[$ CAPITAL]]&gt;0,FINANCIACION[[#This Row],[$ CAPITAL]])</f>
        <v>20120000</v>
      </c>
      <c r="J1050" s="33">
        <f>+IF(FINANCIACION[[#This Row],[$ CAPITAL]]&gt;=0,FINANCIACION[[#This Row],[$ CAPITAL]]+FINANCIACION[[#This Row],[$ INTERESES]],0)</f>
        <v>20420000</v>
      </c>
    </row>
    <row r="1051" spans="1:10" ht="24" hidden="1" customHeight="1" x14ac:dyDescent="0.3">
      <c r="A1051" s="131">
        <v>44722</v>
      </c>
      <c r="B1051" s="50" t="s">
        <v>547</v>
      </c>
      <c r="C1051" s="5"/>
      <c r="D1051" s="5">
        <v>400000</v>
      </c>
      <c r="E1051" s="5">
        <f>+IF(FINANCIACION[[#This Row],[$ CAPITAL]]&gt;=0,FINANCIACION[[#This Row],[$ CAPITAL]]+FINANCIACION[[#This Row],[$ INTERESES]],"")</f>
        <v>400000</v>
      </c>
      <c r="F1051" s="5">
        <f>+SUMIFS(FINANCIACION[$ CAPITAL],FINANCIACION[Fecha],"&lt;="&amp;FINANCIACION[[#This Row],[Fecha]],FINANCIACION[PRESTAMO],FINANCIACION[[#This Row],[PRESTAMO]])</f>
        <v>-40000000</v>
      </c>
      <c r="G1051" s="53"/>
      <c r="H1051" s="53"/>
      <c r="I1051" s="5" t="b">
        <f>+IF(FINANCIACION[[#This Row],[$ CAPITAL]]&gt;0,FINANCIACION[[#This Row],[$ CAPITAL]])</f>
        <v>0</v>
      </c>
      <c r="J1051" s="33">
        <f>+IF(FINANCIACION[[#This Row],[$ CAPITAL]]&gt;=0,FINANCIACION[[#This Row],[$ CAPITAL]]+FINANCIACION[[#This Row],[$ INTERESES]],0)</f>
        <v>400000</v>
      </c>
    </row>
    <row r="1052" spans="1:10" ht="24" hidden="1" customHeight="1" x14ac:dyDescent="0.3">
      <c r="A1052" s="131">
        <v>44722</v>
      </c>
      <c r="B1052" s="50" t="s">
        <v>536</v>
      </c>
      <c r="C1052" s="5">
        <v>803712.36949433095</v>
      </c>
      <c r="D1052" s="5">
        <v>496287.63050566905</v>
      </c>
      <c r="E1052" s="5">
        <f>+IF(FINANCIACION[[#This Row],[$ CAPITAL]]&gt;=0,FINANCIACION[[#This Row],[$ CAPITAL]]+FINANCIACION[[#This Row],[$ INTERESES]],"")</f>
        <v>1300000</v>
      </c>
      <c r="F1052" s="5">
        <f>+SUMIFS(FINANCIACION[$ CAPITAL],FINANCIACION[Fecha],"&lt;="&amp;FINANCIACION[[#This Row],[Fecha]],FINANCIACION[PRESTAMO],FINANCIACION[[#This Row],[PRESTAMO]])</f>
        <v>-48825050.68107257</v>
      </c>
      <c r="G1052" s="53"/>
      <c r="H1052" s="53"/>
      <c r="I1052" s="5">
        <f>+IF(FINANCIACION[[#This Row],[$ CAPITAL]]&gt;0,FINANCIACION[[#This Row],[$ CAPITAL]])</f>
        <v>803712.36949433095</v>
      </c>
      <c r="J1052" s="33">
        <f>+IF(FINANCIACION[[#This Row],[$ CAPITAL]]&gt;=0,FINANCIACION[[#This Row],[$ CAPITAL]]+FINANCIACION[[#This Row],[$ INTERESES]],0)</f>
        <v>1300000</v>
      </c>
    </row>
    <row r="1053" spans="1:10" ht="24" hidden="1" customHeight="1" x14ac:dyDescent="0.3">
      <c r="A1053" s="131">
        <v>44722</v>
      </c>
      <c r="B1053" s="50" t="s">
        <v>533</v>
      </c>
      <c r="C1053" s="5">
        <v>1321491.1149961562</v>
      </c>
      <c r="D1053" s="5">
        <v>678508.88500384381</v>
      </c>
      <c r="E1053" s="5">
        <f>+IF(FINANCIACION[[#This Row],[$ CAPITAL]]&gt;=0,FINANCIACION[[#This Row],[$ CAPITAL]]+FINANCIACION[[#This Row],[$ INTERESES]],"")</f>
        <v>2000000</v>
      </c>
      <c r="F1053" s="5">
        <f>+SUMIFS(FINANCIACION[$ CAPITAL],FINANCIACION[Fecha],"&lt;="&amp;FINANCIACION[[#This Row],[Fecha]],FINANCIACION[PRESTAMO],FINANCIACION[[#This Row],[PRESTAMO]])</f>
        <v>-66700085.245388217</v>
      </c>
      <c r="G1053" s="53"/>
      <c r="H1053" s="53"/>
      <c r="I1053" s="5">
        <f>+IF(FINANCIACION[[#This Row],[$ CAPITAL]]&gt;0,FINANCIACION[[#This Row],[$ CAPITAL]])</f>
        <v>1321491.1149961562</v>
      </c>
      <c r="J1053" s="33">
        <f>+IF(FINANCIACION[[#This Row],[$ CAPITAL]]&gt;=0,FINANCIACION[[#This Row],[$ CAPITAL]]+FINANCIACION[[#This Row],[$ INTERESES]],0)</f>
        <v>2000000</v>
      </c>
    </row>
    <row r="1054" spans="1:10" ht="24" hidden="1" customHeight="1" x14ac:dyDescent="0.3">
      <c r="A1054" s="131">
        <v>44722</v>
      </c>
      <c r="B1054" s="50" t="s">
        <v>541</v>
      </c>
      <c r="C1054" s="5"/>
      <c r="D1054" s="5">
        <f>80000*12</f>
        <v>960000</v>
      </c>
      <c r="E1054" s="5">
        <f>+IF(FINANCIACION[[#This Row],[$ CAPITAL]]&gt;=0,FINANCIACION[[#This Row],[$ CAPITAL]]+FINANCIACION[[#This Row],[$ INTERESES]],"")</f>
        <v>960000</v>
      </c>
      <c r="F1054" s="5">
        <f>+SUMIFS(FINANCIACION[$ CAPITAL],FINANCIACION[Fecha],"&lt;="&amp;FINANCIACION[[#This Row],[Fecha]],FINANCIACION[PRESTAMO],FINANCIACION[[#This Row],[PRESTAMO]])</f>
        <v>-8000000</v>
      </c>
      <c r="G1054" s="53"/>
      <c r="H1054" s="53"/>
      <c r="I1054" s="5" t="b">
        <f>+IF(FINANCIACION[[#This Row],[$ CAPITAL]]&gt;0,FINANCIACION[[#This Row],[$ CAPITAL]])</f>
        <v>0</v>
      </c>
      <c r="J1054" s="33">
        <f>+IF(FINANCIACION[[#This Row],[$ CAPITAL]]&gt;=0,FINANCIACION[[#This Row],[$ CAPITAL]]+FINANCIACION[[#This Row],[$ INTERESES]],0)</f>
        <v>960000</v>
      </c>
    </row>
    <row r="1055" spans="1:10" ht="24" hidden="1" customHeight="1" x14ac:dyDescent="0.3">
      <c r="A1055" s="131">
        <v>44722</v>
      </c>
      <c r="B1055" s="50" t="s">
        <v>545</v>
      </c>
      <c r="C1055" s="5"/>
      <c r="D1055" s="5">
        <v>120000</v>
      </c>
      <c r="E1055" s="5">
        <f>+IF(FINANCIACION[[#This Row],[$ CAPITAL]]&gt;=0,FINANCIACION[[#This Row],[$ CAPITAL]]+FINANCIACION[[#This Row],[$ INTERESES]],"")</f>
        <v>120000</v>
      </c>
      <c r="F1055" s="5">
        <f>+SUMIFS(FINANCIACION[$ CAPITAL],FINANCIACION[Fecha],"&lt;="&amp;FINANCIACION[[#This Row],[Fecha]],FINANCIACION[PRESTAMO],FINANCIACION[[#This Row],[PRESTAMO]])</f>
        <v>-12000000</v>
      </c>
      <c r="G1055" s="53"/>
      <c r="H1055" s="53"/>
      <c r="I1055" s="5" t="b">
        <f>+IF(FINANCIACION[[#This Row],[$ CAPITAL]]&gt;0,FINANCIACION[[#This Row],[$ CAPITAL]])</f>
        <v>0</v>
      </c>
      <c r="J1055" s="33">
        <f>+IF(FINANCIACION[[#This Row],[$ CAPITAL]]&gt;=0,FINANCIACION[[#This Row],[$ CAPITAL]]+FINANCIACION[[#This Row],[$ INTERESES]],0)</f>
        <v>120000</v>
      </c>
    </row>
    <row r="1056" spans="1:10" ht="24" hidden="1" customHeight="1" x14ac:dyDescent="0.3">
      <c r="A1056" s="131">
        <v>44723</v>
      </c>
      <c r="B1056" s="50" t="s">
        <v>532</v>
      </c>
      <c r="C1056" s="5">
        <v>2086078.946982678</v>
      </c>
      <c r="D1056" s="5">
        <v>591299.05301732209</v>
      </c>
      <c r="E1056" s="5">
        <f>+IF(FINANCIACION[[#This Row],[$ CAPITAL]]&gt;=0,FINANCIACION[[#This Row],[$ CAPITAL]]+FINANCIACION[[#This Row],[$ INTERESES]],"")</f>
        <v>2677378</v>
      </c>
      <c r="F1056" s="5">
        <f>+SUMIFS(FINANCIACION[$ CAPITAL],FINANCIACION[Fecha],"&lt;="&amp;FINANCIACION[[#This Row],[Fecha]],FINANCIACION[PRESTAMO],FINANCIACION[[#This Row],[PRESTAMO]])</f>
        <v>-57043826.354749531</v>
      </c>
      <c r="G1056" s="53"/>
      <c r="H1056" s="53"/>
      <c r="I1056" s="5">
        <f>+IF(FINANCIACION[[#This Row],[$ CAPITAL]]&gt;0,FINANCIACION[[#This Row],[$ CAPITAL]])</f>
        <v>2086078.946982678</v>
      </c>
      <c r="J1056" s="33">
        <f>+IF(FINANCIACION[[#This Row],[$ CAPITAL]]&gt;=0,FINANCIACION[[#This Row],[$ CAPITAL]]+FINANCIACION[[#This Row],[$ INTERESES]],0)</f>
        <v>2677378</v>
      </c>
    </row>
    <row r="1057" spans="1:10" ht="24" hidden="1" customHeight="1" x14ac:dyDescent="0.3">
      <c r="A1057" s="131">
        <v>44726</v>
      </c>
      <c r="B1057" s="50" t="s">
        <v>153</v>
      </c>
      <c r="C1057" s="5">
        <v>1944444</v>
      </c>
      <c r="D1057" s="5">
        <f>2175094.44-FINANCIACION[[#This Row],[$ CAPITAL]]</f>
        <v>230650.43999999994</v>
      </c>
      <c r="E1057" s="5">
        <f>+IF(FINANCIACION[[#This Row],[$ CAPITAL]]&gt;=0,FINANCIACION[[#This Row],[$ CAPITAL]]+FINANCIACION[[#This Row],[$ INTERESES]],"")</f>
        <v>2175094.44</v>
      </c>
      <c r="F1057" s="5">
        <f>+SUMIFS(FINANCIACION[$ CAPITAL],FINANCIACION[Fecha],"&lt;="&amp;FINANCIACION[[#This Row],[Fecha]],FINANCIACION[PRESTAMO],FINANCIACION[[#This Row],[PRESTAMO]])</f>
        <v>-21388892</v>
      </c>
      <c r="G1057" s="53"/>
      <c r="H1057" s="53"/>
      <c r="I1057" s="5">
        <f>+IF(FINANCIACION[[#This Row],[$ CAPITAL]]&gt;0,FINANCIACION[[#This Row],[$ CAPITAL]])</f>
        <v>1944444</v>
      </c>
      <c r="J1057" s="33">
        <f>+IF(FINANCIACION[[#This Row],[$ CAPITAL]]&gt;=0,FINANCIACION[[#This Row],[$ CAPITAL]]+FINANCIACION[[#This Row],[$ INTERESES]],0)</f>
        <v>2175094.44</v>
      </c>
    </row>
    <row r="1058" spans="1:10" ht="24" hidden="1" customHeight="1" x14ac:dyDescent="0.3">
      <c r="A1058" s="131">
        <v>44727</v>
      </c>
      <c r="B1058" s="50" t="s">
        <v>150</v>
      </c>
      <c r="C1058" s="5">
        <v>-15000000</v>
      </c>
      <c r="D1058" s="5">
        <f>15000000-14530545</f>
        <v>469455</v>
      </c>
      <c r="E1058" s="5" t="str">
        <f>+IF(FINANCIACION[[#This Row],[$ CAPITAL]]&gt;=0,FINANCIACION[[#This Row],[$ CAPITAL]]+FINANCIACION[[#This Row],[$ INTERESES]],"")</f>
        <v/>
      </c>
      <c r="F1058" s="5">
        <f>+SUMIFS(FINANCIACION[$ CAPITAL],FINANCIACION[Fecha],"&lt;="&amp;FINANCIACION[[#This Row],[Fecha]],FINANCIACION[PRESTAMO],FINANCIACION[[#This Row],[PRESTAMO]])</f>
        <v>-15000000</v>
      </c>
      <c r="G1058" s="53" t="s">
        <v>758</v>
      </c>
      <c r="H1058" s="53"/>
      <c r="I1058" s="5" t="b">
        <f>+IF(FINANCIACION[[#This Row],[$ CAPITAL]]&gt;0,FINANCIACION[[#This Row],[$ CAPITAL]])</f>
        <v>0</v>
      </c>
      <c r="J1058" s="33">
        <f>+IF(FINANCIACION[[#This Row],[$ CAPITAL]]&gt;=0,FINANCIACION[[#This Row],[$ CAPITAL]]+FINANCIACION[[#This Row],[$ INTERESES]],0)</f>
        <v>0</v>
      </c>
    </row>
    <row r="1059" spans="1:10" ht="24" hidden="1" customHeight="1" x14ac:dyDescent="0.3">
      <c r="A1059" s="131">
        <v>44729</v>
      </c>
      <c r="B1059" s="50" t="s">
        <v>563</v>
      </c>
      <c r="C1059" s="5">
        <v>-50000000</v>
      </c>
      <c r="D1059" s="5"/>
      <c r="E1059" s="5" t="str">
        <f>+IF(FINANCIACION[[#This Row],[$ CAPITAL]]&gt;=0,FINANCIACION[[#This Row],[$ CAPITAL]]+FINANCIACION[[#This Row],[$ INTERESES]],"")</f>
        <v/>
      </c>
      <c r="F1059" s="5">
        <f>+SUMIFS(FINANCIACION[$ CAPITAL],FINANCIACION[Fecha],"&lt;="&amp;FINANCIACION[[#This Row],[Fecha]],FINANCIACION[PRESTAMO],FINANCIACION[[#This Row],[PRESTAMO]])</f>
        <v>-50000000</v>
      </c>
      <c r="G1059" s="53" t="s">
        <v>742</v>
      </c>
      <c r="H1059" s="53"/>
      <c r="I1059" s="5" t="b">
        <f>+IF(FINANCIACION[[#This Row],[$ CAPITAL]]&gt;0,FINANCIACION[[#This Row],[$ CAPITAL]])</f>
        <v>0</v>
      </c>
      <c r="J1059" s="33">
        <f>+IF(FINANCIACION[[#This Row],[$ CAPITAL]]&gt;=0,FINANCIACION[[#This Row],[$ CAPITAL]]+FINANCIACION[[#This Row],[$ INTERESES]],0)</f>
        <v>0</v>
      </c>
    </row>
    <row r="1060" spans="1:10" ht="24" hidden="1" customHeight="1" x14ac:dyDescent="0.3">
      <c r="A1060" s="131">
        <v>44729</v>
      </c>
      <c r="B1060" s="50" t="s">
        <v>148</v>
      </c>
      <c r="C1060" s="5"/>
      <c r="D1060" s="5">
        <v>328933</v>
      </c>
      <c r="E1060" s="5">
        <f>+IF(FINANCIACION[[#This Row],[$ CAPITAL]]&gt;=0,FINANCIACION[[#This Row],[$ CAPITAL]]+FINANCIACION[[#This Row],[$ INTERESES]],"")</f>
        <v>328933</v>
      </c>
      <c r="F1060" s="5">
        <f>+SUMIFS(FINANCIACION[$ CAPITAL],FINANCIACION[Fecha],"&lt;="&amp;FINANCIACION[[#This Row],[Fecha]],FINANCIACION[PRESTAMO],FINANCIACION[[#This Row],[PRESTAMO]])</f>
        <v>0</v>
      </c>
      <c r="G1060" s="53"/>
      <c r="H1060" s="53"/>
      <c r="I1060" s="5" t="b">
        <f>+IF(FINANCIACION[[#This Row],[$ CAPITAL]]&gt;0,FINANCIACION[[#This Row],[$ CAPITAL]])</f>
        <v>0</v>
      </c>
      <c r="J1060" s="33">
        <f>+IF(FINANCIACION[[#This Row],[$ CAPITAL]]&gt;=0,FINANCIACION[[#This Row],[$ CAPITAL]]+FINANCIACION[[#This Row],[$ INTERESES]],0)</f>
        <v>328933</v>
      </c>
    </row>
    <row r="1061" spans="1:10" ht="24" hidden="1" customHeight="1" x14ac:dyDescent="0.3">
      <c r="A1061" s="131">
        <v>44729</v>
      </c>
      <c r="B1061" s="50" t="s">
        <v>588</v>
      </c>
      <c r="C1061" s="5">
        <f>25000000-FINANCIACION[[#This Row],[$ INTERESES]]</f>
        <v>24198521.710000001</v>
      </c>
      <c r="D1061" s="5">
        <v>801478.29</v>
      </c>
      <c r="E1061" s="5">
        <f>+IF(FINANCIACION[[#This Row],[$ CAPITAL]]&gt;=0,FINANCIACION[[#This Row],[$ CAPITAL]]+FINANCIACION[[#This Row],[$ INTERESES]],"")</f>
        <v>25000000</v>
      </c>
      <c r="F1061" s="5">
        <f>+SUMIFS(FINANCIACION[$ CAPITAL],FINANCIACION[Fecha],"&lt;="&amp;FINANCIACION[[#This Row],[Fecha]],FINANCIACION[PRESTAMO],FINANCIACION[[#This Row],[PRESTAMO]])</f>
        <v>-24459840.259999998</v>
      </c>
      <c r="G1061" s="53"/>
      <c r="H1061" s="53"/>
      <c r="I1061" s="5">
        <f>+IF(FINANCIACION[[#This Row],[$ CAPITAL]]&gt;0,FINANCIACION[[#This Row],[$ CAPITAL]])</f>
        <v>24198521.710000001</v>
      </c>
      <c r="J1061" s="33">
        <f>+IF(FINANCIACION[[#This Row],[$ CAPITAL]]&gt;=0,FINANCIACION[[#This Row],[$ CAPITAL]]+FINANCIACION[[#This Row],[$ INTERESES]],0)</f>
        <v>25000000</v>
      </c>
    </row>
    <row r="1062" spans="1:10" ht="24" hidden="1" customHeight="1" x14ac:dyDescent="0.3">
      <c r="A1062" s="131">
        <v>44729</v>
      </c>
      <c r="B1062" s="50" t="s">
        <v>588</v>
      </c>
      <c r="C1062" s="5">
        <v>4500000</v>
      </c>
      <c r="D1062" s="5"/>
      <c r="E1062" s="5">
        <f>+IF(FINANCIACION[[#This Row],[$ CAPITAL]]&gt;=0,FINANCIACION[[#This Row],[$ CAPITAL]]+FINANCIACION[[#This Row],[$ INTERESES]],"")</f>
        <v>4500000</v>
      </c>
      <c r="F1062" s="5">
        <f>+SUMIFS(FINANCIACION[$ CAPITAL],FINANCIACION[Fecha],"&lt;="&amp;FINANCIACION[[#This Row],[Fecha]],FINANCIACION[PRESTAMO],FINANCIACION[[#This Row],[PRESTAMO]])</f>
        <v>-24459840.259999998</v>
      </c>
      <c r="G1062" s="53"/>
      <c r="H1062" s="53"/>
      <c r="I1062" s="5">
        <f>+IF(FINANCIACION[[#This Row],[$ CAPITAL]]&gt;0,FINANCIACION[[#This Row],[$ CAPITAL]])</f>
        <v>4500000</v>
      </c>
      <c r="J1062" s="33">
        <f>+IF(FINANCIACION[[#This Row],[$ CAPITAL]]&gt;=0,FINANCIACION[[#This Row],[$ CAPITAL]]+FINANCIACION[[#This Row],[$ INTERESES]],0)</f>
        <v>4500000</v>
      </c>
    </row>
    <row r="1063" spans="1:10" ht="24" hidden="1" customHeight="1" x14ac:dyDescent="0.3">
      <c r="A1063" s="131">
        <v>44729</v>
      </c>
      <c r="B1063" s="50" t="s">
        <v>588</v>
      </c>
      <c r="C1063" s="5">
        <v>3500000</v>
      </c>
      <c r="D1063" s="5"/>
      <c r="E1063" s="5">
        <f>+IF(FINANCIACION[[#This Row],[$ CAPITAL]]&gt;=0,FINANCIACION[[#This Row],[$ CAPITAL]]+FINANCIACION[[#This Row],[$ INTERESES]],"")</f>
        <v>3500000</v>
      </c>
      <c r="F1063" s="5">
        <f>+SUMIFS(FINANCIACION[$ CAPITAL],FINANCIACION[Fecha],"&lt;="&amp;FINANCIACION[[#This Row],[Fecha]],FINANCIACION[PRESTAMO],FINANCIACION[[#This Row],[PRESTAMO]])</f>
        <v>-24459840.259999998</v>
      </c>
      <c r="G1063" s="53"/>
      <c r="H1063" s="53"/>
      <c r="I1063" s="5">
        <f>+IF(FINANCIACION[[#This Row],[$ CAPITAL]]&gt;0,FINANCIACION[[#This Row],[$ CAPITAL]])</f>
        <v>3500000</v>
      </c>
      <c r="J1063" s="33">
        <f>+IF(FINANCIACION[[#This Row],[$ CAPITAL]]&gt;=0,FINANCIACION[[#This Row],[$ CAPITAL]]+FINANCIACION[[#This Row],[$ INTERESES]],0)</f>
        <v>3500000</v>
      </c>
    </row>
    <row r="1064" spans="1:10" ht="24" hidden="1" customHeight="1" x14ac:dyDescent="0.3">
      <c r="A1064" s="131">
        <v>44729</v>
      </c>
      <c r="B1064" s="50" t="s">
        <v>153</v>
      </c>
      <c r="C1064" s="5">
        <v>4480000</v>
      </c>
      <c r="D1064" s="5"/>
      <c r="E1064" s="5">
        <f>+IF(FINANCIACION[[#This Row],[$ CAPITAL]]&gt;=0,FINANCIACION[[#This Row],[$ CAPITAL]]+FINANCIACION[[#This Row],[$ INTERESES]],"")</f>
        <v>4480000</v>
      </c>
      <c r="F1064" s="5">
        <f>+SUMIFS(FINANCIACION[$ CAPITAL],FINANCIACION[Fecha],"&lt;="&amp;FINANCIACION[[#This Row],[Fecha]],FINANCIACION[PRESTAMO],FINANCIACION[[#This Row],[PRESTAMO]])</f>
        <v>0</v>
      </c>
      <c r="G1064" s="53"/>
      <c r="H1064" s="53"/>
      <c r="I1064" s="5">
        <f>+IF(FINANCIACION[[#This Row],[$ CAPITAL]]&gt;0,FINANCIACION[[#This Row],[$ CAPITAL]])</f>
        <v>4480000</v>
      </c>
      <c r="J1064" s="33">
        <f>+IF(FINANCIACION[[#This Row],[$ CAPITAL]]&gt;=0,FINANCIACION[[#This Row],[$ CAPITAL]]+FINANCIACION[[#This Row],[$ INTERESES]],0)</f>
        <v>4480000</v>
      </c>
    </row>
    <row r="1065" spans="1:10" ht="24" hidden="1" customHeight="1" x14ac:dyDescent="0.3">
      <c r="A1065" s="131">
        <v>44729</v>
      </c>
      <c r="B1065" s="50" t="s">
        <v>153</v>
      </c>
      <c r="C1065" s="5">
        <f>16929537-20645</f>
        <v>16908892</v>
      </c>
      <c r="D1065" s="5">
        <v>20645</v>
      </c>
      <c r="E1065" s="5">
        <f>+IF(FINANCIACION[[#This Row],[$ CAPITAL]]&gt;=0,FINANCIACION[[#This Row],[$ CAPITAL]]+FINANCIACION[[#This Row],[$ INTERESES]],"")</f>
        <v>16929537</v>
      </c>
      <c r="F1065" s="5">
        <f>+SUMIFS(FINANCIACION[$ CAPITAL],FINANCIACION[Fecha],"&lt;="&amp;FINANCIACION[[#This Row],[Fecha]],FINANCIACION[PRESTAMO],FINANCIACION[[#This Row],[PRESTAMO]])</f>
        <v>0</v>
      </c>
      <c r="G1065" s="53"/>
      <c r="H1065" s="53"/>
      <c r="I1065" s="5">
        <f>+IF(FINANCIACION[[#This Row],[$ CAPITAL]]&gt;0,FINANCIACION[[#This Row],[$ CAPITAL]])</f>
        <v>16908892</v>
      </c>
      <c r="J1065" s="33">
        <f>+IF(FINANCIACION[[#This Row],[$ CAPITAL]]&gt;=0,FINANCIACION[[#This Row],[$ CAPITAL]]+FINANCIACION[[#This Row],[$ INTERESES]],0)</f>
        <v>16929537</v>
      </c>
    </row>
    <row r="1066" spans="1:10" ht="24" hidden="1" customHeight="1" x14ac:dyDescent="0.3">
      <c r="A1066" s="131">
        <v>44733</v>
      </c>
      <c r="B1066" s="50" t="s">
        <v>148</v>
      </c>
      <c r="C1066" s="5"/>
      <c r="D1066" s="5">
        <v>250626</v>
      </c>
      <c r="E1066" s="5">
        <f>+IF(FINANCIACION[[#This Row],[$ CAPITAL]]&gt;=0,FINANCIACION[[#This Row],[$ CAPITAL]]+FINANCIACION[[#This Row],[$ INTERESES]],"")</f>
        <v>250626</v>
      </c>
      <c r="F1066" s="5">
        <f>+SUMIFS(FINANCIACION[$ CAPITAL],FINANCIACION[Fecha],"&lt;="&amp;FINANCIACION[[#This Row],[Fecha]],FINANCIACION[PRESTAMO],FINANCIACION[[#This Row],[PRESTAMO]])</f>
        <v>0</v>
      </c>
      <c r="G1066" s="53"/>
      <c r="H1066" s="53"/>
      <c r="I1066" s="5" t="b">
        <f>+IF(FINANCIACION[[#This Row],[$ CAPITAL]]&gt;0,FINANCIACION[[#This Row],[$ CAPITAL]])</f>
        <v>0</v>
      </c>
      <c r="J1066" s="33">
        <f>+IF(FINANCIACION[[#This Row],[$ CAPITAL]]&gt;=0,FINANCIACION[[#This Row],[$ CAPITAL]]+FINANCIACION[[#This Row],[$ INTERESES]],0)</f>
        <v>250626</v>
      </c>
    </row>
    <row r="1067" spans="1:10" ht="24" hidden="1" customHeight="1" x14ac:dyDescent="0.3">
      <c r="A1067" s="131">
        <v>44733</v>
      </c>
      <c r="B1067" s="50" t="s">
        <v>546</v>
      </c>
      <c r="C1067" s="5">
        <v>1078259.71</v>
      </c>
      <c r="D1067" s="5">
        <v>136740.29</v>
      </c>
      <c r="E1067" s="5">
        <f>+IF(FINANCIACION[[#This Row],[$ CAPITAL]]&gt;=0,FINANCIACION[[#This Row],[$ CAPITAL]]+FINANCIACION[[#This Row],[$ INTERESES]],"")</f>
        <v>1215000</v>
      </c>
      <c r="F1067" s="5">
        <f>+SUMIFS(FINANCIACION[$ CAPITAL],FINANCIACION[Fecha],"&lt;="&amp;FINANCIACION[[#This Row],[Fecha]],FINANCIACION[PRESTAMO],FINANCIACION[[#This Row],[PRESTAMO]])</f>
        <v>-11802333.390000001</v>
      </c>
      <c r="G1067" s="53"/>
      <c r="H1067" s="53"/>
      <c r="I1067" s="5">
        <f>+IF(FINANCIACION[[#This Row],[$ CAPITAL]]&gt;0,FINANCIACION[[#This Row],[$ CAPITAL]])</f>
        <v>1078259.71</v>
      </c>
      <c r="J1067" s="33">
        <f>+IF(FINANCIACION[[#This Row],[$ CAPITAL]]&gt;=0,FINANCIACION[[#This Row],[$ CAPITAL]]+FINANCIACION[[#This Row],[$ INTERESES]],0)</f>
        <v>1215000</v>
      </c>
    </row>
    <row r="1068" spans="1:10" ht="24" hidden="1" customHeight="1" x14ac:dyDescent="0.3">
      <c r="A1068" s="131">
        <v>44733</v>
      </c>
      <c r="B1068" s="50" t="s">
        <v>540</v>
      </c>
      <c r="C1068" s="5">
        <v>853549.25</v>
      </c>
      <c r="D1068" s="5">
        <v>129450.75</v>
      </c>
      <c r="E1068" s="5">
        <f>+IF(FINANCIACION[[#This Row],[$ CAPITAL]]&gt;=0,FINANCIACION[[#This Row],[$ CAPITAL]]+FINANCIACION[[#This Row],[$ INTERESES]],"")</f>
        <v>983000</v>
      </c>
      <c r="F1068" s="5">
        <f>+SUMIFS(FINANCIACION[$ CAPITAL],FINANCIACION[Fecha],"&lt;="&amp;FINANCIACION[[#This Row],[Fecha]],FINANCIACION[PRESTAMO],FINANCIACION[[#This Row],[PRESTAMO]])</f>
        <v>-11017333.649999999</v>
      </c>
      <c r="G1068" s="53"/>
      <c r="H1068" s="53"/>
      <c r="I1068" s="5">
        <f>+IF(FINANCIACION[[#This Row],[$ CAPITAL]]&gt;0,FINANCIACION[[#This Row],[$ CAPITAL]])</f>
        <v>853549.25</v>
      </c>
      <c r="J1068" s="33">
        <f>+IF(FINANCIACION[[#This Row],[$ CAPITAL]]&gt;=0,FINANCIACION[[#This Row],[$ CAPITAL]]+FINANCIACION[[#This Row],[$ INTERESES]],0)</f>
        <v>983000</v>
      </c>
    </row>
    <row r="1069" spans="1:10" ht="24" hidden="1" customHeight="1" x14ac:dyDescent="0.3">
      <c r="A1069" s="131">
        <v>44733</v>
      </c>
      <c r="B1069" s="50" t="s">
        <v>833</v>
      </c>
      <c r="C1069" s="5">
        <v>453998</v>
      </c>
      <c r="D1069" s="5">
        <v>49931</v>
      </c>
      <c r="E1069" s="5">
        <f>+IF(FINANCIACION[[#This Row],[$ CAPITAL]]&gt;=0,FINANCIACION[[#This Row],[$ CAPITAL]]+FINANCIACION[[#This Row],[$ INTERESES]],"")</f>
        <v>503929</v>
      </c>
      <c r="F1069" s="5">
        <f>+SUMIFS(FINANCIACION[$ CAPITAL],FINANCIACION[Fecha],"&lt;="&amp;FINANCIACION[[#This Row],[Fecha]],FINANCIACION[PRESTAMO],FINANCIACION[[#This Row],[PRESTAMO]])</f>
        <v>-4539980</v>
      </c>
      <c r="G1069" s="53"/>
      <c r="H1069" s="53"/>
      <c r="I1069" s="5">
        <f>+IF(FINANCIACION[[#This Row],[$ CAPITAL]]&gt;0,FINANCIACION[[#This Row],[$ CAPITAL]])</f>
        <v>453998</v>
      </c>
      <c r="J1069" s="33">
        <f>+IF(FINANCIACION[[#This Row],[$ CAPITAL]]&gt;=0,FINANCIACION[[#This Row],[$ CAPITAL]]+FINANCIACION[[#This Row],[$ INTERESES]],0)</f>
        <v>503929</v>
      </c>
    </row>
    <row r="1070" spans="1:10" ht="24" hidden="1" customHeight="1" x14ac:dyDescent="0.3">
      <c r="A1070" s="131">
        <v>44733</v>
      </c>
      <c r="B1070" s="50" t="s">
        <v>548</v>
      </c>
      <c r="C1070" s="5">
        <v>1482386.81</v>
      </c>
      <c r="D1070" s="5">
        <v>783613.19</v>
      </c>
      <c r="E1070" s="5">
        <f>+IF(FINANCIACION[[#This Row],[$ CAPITAL]]&gt;=0,FINANCIACION[[#This Row],[$ CAPITAL]]+FINANCIACION[[#This Row],[$ INTERESES]],"")</f>
        <v>2266000</v>
      </c>
      <c r="F1070" s="5">
        <f>+SUMIFS(FINANCIACION[$ CAPITAL],FINANCIACION[Fecha],"&lt;="&amp;FINANCIACION[[#This Row],[Fecha]],FINANCIACION[PRESTAMO],FINANCIACION[[#This Row],[PRESTAMO]])</f>
        <v>-78509078.370000005</v>
      </c>
      <c r="G1070" s="53"/>
      <c r="H1070" s="53"/>
      <c r="I1070" s="5">
        <f>+IF(FINANCIACION[[#This Row],[$ CAPITAL]]&gt;0,FINANCIACION[[#This Row],[$ CAPITAL]])</f>
        <v>1482386.81</v>
      </c>
      <c r="J1070" s="33">
        <f>+IF(FINANCIACION[[#This Row],[$ CAPITAL]]&gt;=0,FINANCIACION[[#This Row],[$ CAPITAL]]+FINANCIACION[[#This Row],[$ INTERESES]],0)</f>
        <v>2266000</v>
      </c>
    </row>
    <row r="1071" spans="1:10" ht="24" hidden="1" customHeight="1" x14ac:dyDescent="0.3">
      <c r="A1071" s="131">
        <v>44733</v>
      </c>
      <c r="B1071" s="50" t="s">
        <v>542</v>
      </c>
      <c r="C1071" s="5">
        <v>894412.83</v>
      </c>
      <c r="D1071" s="5">
        <v>145587.17000000001</v>
      </c>
      <c r="E1071" s="5">
        <f>+IF(FINANCIACION[[#This Row],[$ CAPITAL]]&gt;=0,FINANCIACION[[#This Row],[$ CAPITAL]]+FINANCIACION[[#This Row],[$ INTERESES]],"")</f>
        <v>1040000</v>
      </c>
      <c r="F1071" s="5">
        <f>+SUMIFS(FINANCIACION[$ CAPITAL],FINANCIACION[Fecha],"&lt;="&amp;FINANCIACION[[#This Row],[Fecha]],FINANCIACION[PRESTAMO],FINANCIACION[[#This Row],[PRESTAMO]])</f>
        <v>-12456211.069999998</v>
      </c>
      <c r="G1071" s="53"/>
      <c r="H1071" s="53"/>
      <c r="I1071" s="5">
        <f>+IF(FINANCIACION[[#This Row],[$ CAPITAL]]&gt;0,FINANCIACION[[#This Row],[$ CAPITAL]])</f>
        <v>894412.83</v>
      </c>
      <c r="J1071" s="33">
        <f>+IF(FINANCIACION[[#This Row],[$ CAPITAL]]&gt;=0,FINANCIACION[[#This Row],[$ CAPITAL]]+FINANCIACION[[#This Row],[$ INTERESES]],0)</f>
        <v>1040000</v>
      </c>
    </row>
    <row r="1072" spans="1:10" ht="24" hidden="1" customHeight="1" x14ac:dyDescent="0.3">
      <c r="A1072" s="131">
        <v>44733</v>
      </c>
      <c r="B1072" s="50" t="s">
        <v>538</v>
      </c>
      <c r="C1072" s="5">
        <v>2176234.36</v>
      </c>
      <c r="D1072" s="5">
        <v>299765.64</v>
      </c>
      <c r="E1072" s="5">
        <f>+IF(FINANCIACION[[#This Row],[$ CAPITAL]]&gt;=0,FINANCIACION[[#This Row],[$ CAPITAL]]+FINANCIACION[[#This Row],[$ INTERESES]],"")</f>
        <v>2476000</v>
      </c>
      <c r="F1072" s="5">
        <f>+SUMIFS(FINANCIACION[$ CAPITAL],FINANCIACION[Fecha],"&lt;="&amp;FINANCIACION[[#This Row],[Fecha]],FINANCIACION[PRESTAMO],FINANCIACION[[#This Row],[PRESTAMO]])</f>
        <v>-26060938.140000001</v>
      </c>
      <c r="G1072" s="53"/>
      <c r="H1072" s="53"/>
      <c r="I1072" s="5">
        <f>+IF(FINANCIACION[[#This Row],[$ CAPITAL]]&gt;0,FINANCIACION[[#This Row],[$ CAPITAL]])</f>
        <v>2176234.36</v>
      </c>
      <c r="J1072" s="33">
        <f>+IF(FINANCIACION[[#This Row],[$ CAPITAL]]&gt;=0,FINANCIACION[[#This Row],[$ CAPITAL]]+FINANCIACION[[#This Row],[$ INTERESES]],0)</f>
        <v>2476000</v>
      </c>
    </row>
    <row r="1073" spans="1:10" ht="24" hidden="1" customHeight="1" x14ac:dyDescent="0.3">
      <c r="A1073" s="131">
        <v>44733</v>
      </c>
      <c r="B1073" s="50" t="s">
        <v>539</v>
      </c>
      <c r="C1073" s="5">
        <v>3159499.56</v>
      </c>
      <c r="D1073" s="5">
        <v>464500.44</v>
      </c>
      <c r="E1073" s="5">
        <f>+IF(FINANCIACION[[#This Row],[$ CAPITAL]]&gt;=0,FINANCIACION[[#This Row],[$ CAPITAL]]+FINANCIACION[[#This Row],[$ INTERESES]],"")</f>
        <v>3624000</v>
      </c>
      <c r="F1073" s="5">
        <f>+SUMIFS(FINANCIACION[$ CAPITAL],FINANCIACION[Fecha],"&lt;="&amp;FINANCIACION[[#This Row],[Fecha]],FINANCIACION[PRESTAMO],FINANCIACION[[#This Row],[PRESTAMO]])</f>
        <v>-37747786.059999995</v>
      </c>
      <c r="G1073" s="53"/>
      <c r="H1073" s="53"/>
      <c r="I1073" s="5">
        <f>+IF(FINANCIACION[[#This Row],[$ CAPITAL]]&gt;0,FINANCIACION[[#This Row],[$ CAPITAL]])</f>
        <v>3159499.56</v>
      </c>
      <c r="J1073" s="33">
        <f>+IF(FINANCIACION[[#This Row],[$ CAPITAL]]&gt;=0,FINANCIACION[[#This Row],[$ CAPITAL]]+FINANCIACION[[#This Row],[$ INTERESES]],0)</f>
        <v>3624000</v>
      </c>
    </row>
    <row r="1074" spans="1:10" ht="24" hidden="1" customHeight="1" x14ac:dyDescent="0.3">
      <c r="A1074" s="131">
        <v>44733</v>
      </c>
      <c r="B1074" s="50" t="s">
        <v>534</v>
      </c>
      <c r="C1074" s="5">
        <v>1384152</v>
      </c>
      <c r="D1074" s="5">
        <v>4711653</v>
      </c>
      <c r="E1074" s="5">
        <f>+IF(FINANCIACION[[#This Row],[$ CAPITAL]]&gt;=0,FINANCIACION[[#This Row],[$ CAPITAL]]+FINANCIACION[[#This Row],[$ INTERESES]],"")</f>
        <v>6095805</v>
      </c>
      <c r="F1074" s="5">
        <f>+SUMIFS(FINANCIACION[$ CAPITAL],FINANCIACION[Fecha],"&lt;="&amp;FINANCIACION[[#This Row],[Fecha]],FINANCIACION[PRESTAMO],FINANCIACION[[#This Row],[PRESTAMO]])</f>
        <v>-365057538</v>
      </c>
      <c r="G1074" s="53"/>
      <c r="H1074" s="53"/>
      <c r="I1074" s="5">
        <f>+IF(FINANCIACION[[#This Row],[$ CAPITAL]]&gt;0,FINANCIACION[[#This Row],[$ CAPITAL]])</f>
        <v>1384152</v>
      </c>
      <c r="J1074" s="33">
        <f>+IF(FINANCIACION[[#This Row],[$ CAPITAL]]&gt;=0,FINANCIACION[[#This Row],[$ CAPITAL]]+FINANCIACION[[#This Row],[$ INTERESES]],0)</f>
        <v>6095805</v>
      </c>
    </row>
    <row r="1075" spans="1:10" ht="24" hidden="1" customHeight="1" x14ac:dyDescent="0.3">
      <c r="A1075" s="131">
        <v>44733</v>
      </c>
      <c r="B1075" s="50" t="s">
        <v>535</v>
      </c>
      <c r="C1075" s="5">
        <v>1306497.8700000001</v>
      </c>
      <c r="D1075" s="5">
        <v>155502.13</v>
      </c>
      <c r="E1075" s="5">
        <f>+IF(FINANCIACION[[#This Row],[$ CAPITAL]]&gt;=0,FINANCIACION[[#This Row],[$ CAPITAL]]+FINANCIACION[[#This Row],[$ INTERESES]],"")</f>
        <v>1462000</v>
      </c>
      <c r="F1075" s="5">
        <f>+SUMIFS(FINANCIACION[$ CAPITAL],FINANCIACION[Fecha],"&lt;="&amp;FINANCIACION[[#This Row],[Fecha]],FINANCIACION[PRESTAMO],FINANCIACION[[#This Row],[PRESTAMO]])</f>
        <v>-12953346.890000001</v>
      </c>
      <c r="G1075" s="53"/>
      <c r="H1075" s="53"/>
      <c r="I1075" s="5">
        <f>+IF(FINANCIACION[[#This Row],[$ CAPITAL]]&gt;0,FINANCIACION[[#This Row],[$ CAPITAL]])</f>
        <v>1306497.8700000001</v>
      </c>
      <c r="J1075" s="33">
        <f>+IF(FINANCIACION[[#This Row],[$ CAPITAL]]&gt;=0,FINANCIACION[[#This Row],[$ CAPITAL]]+FINANCIACION[[#This Row],[$ INTERESES]],0)</f>
        <v>1462000</v>
      </c>
    </row>
    <row r="1076" spans="1:10" ht="24" hidden="1" customHeight="1" x14ac:dyDescent="0.3">
      <c r="A1076" s="131">
        <v>44740</v>
      </c>
      <c r="B1076" s="50" t="s">
        <v>148</v>
      </c>
      <c r="C1076" s="5"/>
      <c r="D1076" s="5">
        <v>156811</v>
      </c>
      <c r="E1076" s="5">
        <f>+IF(FINANCIACION[[#This Row],[$ CAPITAL]]&gt;=0,FINANCIACION[[#This Row],[$ CAPITAL]]+FINANCIACION[[#This Row],[$ INTERESES]],"")</f>
        <v>156811</v>
      </c>
      <c r="F1076" s="5">
        <f>+SUMIFS(FINANCIACION[$ CAPITAL],FINANCIACION[Fecha],"&lt;="&amp;FINANCIACION[[#This Row],[Fecha]],FINANCIACION[PRESTAMO],FINANCIACION[[#This Row],[PRESTAMO]])</f>
        <v>0</v>
      </c>
      <c r="G1076" s="53"/>
      <c r="H1076" s="53"/>
      <c r="I1076" s="5" t="b">
        <f>+IF(FINANCIACION[[#This Row],[$ CAPITAL]]&gt;0,FINANCIACION[[#This Row],[$ CAPITAL]])</f>
        <v>0</v>
      </c>
      <c r="J1076" s="33">
        <f>+IF(FINANCIACION[[#This Row],[$ CAPITAL]]&gt;=0,FINANCIACION[[#This Row],[$ CAPITAL]]+FINANCIACION[[#This Row],[$ INTERESES]],0)</f>
        <v>156811</v>
      </c>
    </row>
    <row r="1077" spans="1:10" ht="24" hidden="1" customHeight="1" x14ac:dyDescent="0.3">
      <c r="A1077" s="131">
        <v>44740</v>
      </c>
      <c r="B1077" s="50" t="s">
        <v>234</v>
      </c>
      <c r="C1077" s="5">
        <v>23107178</v>
      </c>
      <c r="D1077" s="5"/>
      <c r="E1077" s="5">
        <f>+IF(FINANCIACION[[#This Row],[$ CAPITAL]]&gt;=0,FINANCIACION[[#This Row],[$ CAPITAL]]+FINANCIACION[[#This Row],[$ INTERESES]],"")</f>
        <v>23107178</v>
      </c>
      <c r="F1077" s="5">
        <f>+SUMIFS(FINANCIACION[$ CAPITAL],FINANCIACION[Fecha],"&lt;="&amp;FINANCIACION[[#This Row],[Fecha]],FINANCIACION[PRESTAMO],FINANCIACION[[#This Row],[PRESTAMO]])</f>
        <v>0</v>
      </c>
      <c r="G1077" s="53"/>
      <c r="H1077" s="53">
        <v>5927.03</v>
      </c>
      <c r="I1077" s="5">
        <f>+IF(FINANCIACION[[#This Row],[$ CAPITAL]]&gt;0,FINANCIACION[[#This Row],[$ CAPITAL]])</f>
        <v>23107178</v>
      </c>
      <c r="J1077" s="33">
        <f>+IF(FINANCIACION[[#This Row],[$ CAPITAL]]&gt;=0,FINANCIACION[[#This Row],[$ CAPITAL]]+FINANCIACION[[#This Row],[$ INTERESES]],0)</f>
        <v>23107178</v>
      </c>
    </row>
    <row r="1078" spans="1:10" ht="24" hidden="1" customHeight="1" x14ac:dyDescent="0.3">
      <c r="A1078" s="131">
        <v>44740</v>
      </c>
      <c r="B1078" s="50" t="s">
        <v>234</v>
      </c>
      <c r="C1078" s="5">
        <v>-584464</v>
      </c>
      <c r="D1078" s="5"/>
      <c r="E1078" s="5" t="str">
        <f>+IF(FINANCIACION[[#This Row],[$ CAPITAL]]&gt;=0,FINANCIACION[[#This Row],[$ CAPITAL]]+FINANCIACION[[#This Row],[$ INTERESES]],"")</f>
        <v/>
      </c>
      <c r="F1078" s="5">
        <f>+SUMIFS(FINANCIACION[$ CAPITAL],FINANCIACION[Fecha],"&lt;="&amp;FINANCIACION[[#This Row],[Fecha]],FINANCIACION[PRESTAMO],FINANCIACION[[#This Row],[PRESTAMO]])</f>
        <v>0</v>
      </c>
      <c r="G1078" s="53" t="s">
        <v>170</v>
      </c>
      <c r="H1078" s="53"/>
      <c r="I1078" s="5" t="b">
        <f>+IF(FINANCIACION[[#This Row],[$ CAPITAL]]&gt;0,FINANCIACION[[#This Row],[$ CAPITAL]])</f>
        <v>0</v>
      </c>
      <c r="J1078" s="33">
        <f>+IF(FINANCIACION[[#This Row],[$ CAPITAL]]&gt;=0,FINANCIACION[[#This Row],[$ CAPITAL]]+FINANCIACION[[#This Row],[$ INTERESES]],0)</f>
        <v>0</v>
      </c>
    </row>
    <row r="1079" spans="1:10" ht="24" hidden="1" customHeight="1" x14ac:dyDescent="0.3">
      <c r="A1079" s="131">
        <v>44742</v>
      </c>
      <c r="B1079" s="50" t="s">
        <v>146</v>
      </c>
      <c r="C1079" s="5">
        <v>1468400</v>
      </c>
      <c r="D1079" s="5">
        <v>440312</v>
      </c>
      <c r="E1079" s="5">
        <f>+IF(FINANCIACION[[#This Row],[$ CAPITAL]]&gt;=0,FINANCIACION[[#This Row],[$ CAPITAL]]+FINANCIACION[[#This Row],[$ INTERESES]],"")</f>
        <v>1908712</v>
      </c>
      <c r="F1079" s="5">
        <f>+SUMIFS(FINANCIACION[$ CAPITAL],FINANCIACION[Fecha],"&lt;="&amp;FINANCIACION[[#This Row],[Fecha]],FINANCIACION[PRESTAMO],FINANCIACION[[#This Row],[PRESTAMO]])</f>
        <v>-30836400</v>
      </c>
      <c r="G1079" s="53"/>
      <c r="H1079" s="53"/>
      <c r="I1079" s="5">
        <f>+IF(FINANCIACION[[#This Row],[$ CAPITAL]]&gt;0,FINANCIACION[[#This Row],[$ CAPITAL]])</f>
        <v>1468400</v>
      </c>
      <c r="J1079" s="33">
        <f>+IF(FINANCIACION[[#This Row],[$ CAPITAL]]&gt;=0,FINANCIACION[[#This Row],[$ CAPITAL]]+FINANCIACION[[#This Row],[$ INTERESES]],0)</f>
        <v>1908712</v>
      </c>
    </row>
    <row r="1080" spans="1:10" ht="24" hidden="1" customHeight="1" x14ac:dyDescent="0.3">
      <c r="A1080" s="131">
        <v>44742</v>
      </c>
      <c r="B1080" s="50" t="s">
        <v>147</v>
      </c>
      <c r="C1080" s="5">
        <v>76791</v>
      </c>
      <c r="D1080" s="5"/>
      <c r="E1080" s="5">
        <f>+IF(FINANCIACION[[#This Row],[$ CAPITAL]]&gt;=0,FINANCIACION[[#This Row],[$ CAPITAL]]+FINANCIACION[[#This Row],[$ INTERESES]],"")</f>
        <v>76791</v>
      </c>
      <c r="F1080" s="5">
        <f>+SUMIFS(FINANCIACION[$ CAPITAL],FINANCIACION[Fecha],"&lt;="&amp;FINANCIACION[[#This Row],[Fecha]],FINANCIACION[PRESTAMO],FINANCIACION[[#This Row],[PRESTAMO]])</f>
        <v>-1612611</v>
      </c>
      <c r="G1080" s="53"/>
      <c r="H1080" s="53"/>
      <c r="I1080" s="5">
        <f>+IF(FINANCIACION[[#This Row],[$ CAPITAL]]&gt;0,FINANCIACION[[#This Row],[$ CAPITAL]])</f>
        <v>76791</v>
      </c>
      <c r="J1080" s="33">
        <f>+IF(FINANCIACION[[#This Row],[$ CAPITAL]]&gt;=0,FINANCIACION[[#This Row],[$ CAPITAL]]+FINANCIACION[[#This Row],[$ INTERESES]],0)</f>
        <v>76791</v>
      </c>
    </row>
    <row r="1081" spans="1:10" ht="24" hidden="1" customHeight="1" x14ac:dyDescent="0.3">
      <c r="A1081" s="131">
        <v>44742</v>
      </c>
      <c r="B1081" s="50" t="s">
        <v>272</v>
      </c>
      <c r="C1081" s="5">
        <v>-6611554</v>
      </c>
      <c r="D1081" s="5"/>
      <c r="E1081" s="5" t="str">
        <f>+IF(FINANCIACION[[#This Row],[$ CAPITAL]]&gt;=0,FINANCIACION[[#This Row],[$ CAPITAL]]+FINANCIACION[[#This Row],[$ INTERESES]],"")</f>
        <v/>
      </c>
      <c r="F1081" s="5">
        <f>+SUMIFS(FINANCIACION[$ CAPITAL],FINANCIACION[Fecha],"&lt;="&amp;FINANCIACION[[#This Row],[Fecha]],FINANCIACION[PRESTAMO],FINANCIACION[[#This Row],[PRESTAMO]])</f>
        <v>-58624776</v>
      </c>
      <c r="G1081" s="53" t="s">
        <v>170</v>
      </c>
      <c r="H1081" s="53"/>
      <c r="I1081" s="5" t="b">
        <f>+IF(FINANCIACION[[#This Row],[$ CAPITAL]]&gt;0,FINANCIACION[[#This Row],[$ CAPITAL]])</f>
        <v>0</v>
      </c>
      <c r="J1081" s="33">
        <f>+IF(FINANCIACION[[#This Row],[$ CAPITAL]]&gt;=0,FINANCIACION[[#This Row],[$ CAPITAL]]+FINANCIACION[[#This Row],[$ INTERESES]],0)</f>
        <v>0</v>
      </c>
    </row>
    <row r="1082" spans="1:10" ht="24" hidden="1" customHeight="1" x14ac:dyDescent="0.3">
      <c r="A1082" s="131">
        <v>44742</v>
      </c>
      <c r="B1082" s="50" t="s">
        <v>331</v>
      </c>
      <c r="C1082" s="5">
        <v>-5773744</v>
      </c>
      <c r="D1082" s="5"/>
      <c r="E1082" s="5" t="str">
        <f>+IF(FINANCIACION[[#This Row],[$ CAPITAL]]&gt;=0,FINANCIACION[[#This Row],[$ CAPITAL]]+FINANCIACION[[#This Row],[$ INTERESES]],"")</f>
        <v/>
      </c>
      <c r="F1082" s="5">
        <f>+SUMIFS(FINANCIACION[$ CAPITAL],FINANCIACION[Fecha],"&lt;="&amp;FINANCIACION[[#This Row],[Fecha]],FINANCIACION[PRESTAMO],FINANCIACION[[#This Row],[PRESTAMO]])</f>
        <v>-60624312</v>
      </c>
      <c r="G1082" s="53" t="s">
        <v>170</v>
      </c>
      <c r="H1082" s="53"/>
      <c r="I1082" s="5" t="b">
        <f>+IF(FINANCIACION[[#This Row],[$ CAPITAL]]&gt;0,FINANCIACION[[#This Row],[$ CAPITAL]])</f>
        <v>0</v>
      </c>
      <c r="J1082" s="33">
        <f>+IF(FINANCIACION[[#This Row],[$ CAPITAL]]&gt;=0,FINANCIACION[[#This Row],[$ CAPITAL]]+FINANCIACION[[#This Row],[$ INTERESES]],0)</f>
        <v>0</v>
      </c>
    </row>
    <row r="1083" spans="1:10" ht="24" hidden="1" customHeight="1" x14ac:dyDescent="0.3">
      <c r="A1083" s="131">
        <v>44742</v>
      </c>
      <c r="B1083" s="50" t="s">
        <v>684</v>
      </c>
      <c r="C1083" s="5">
        <v>-4128244</v>
      </c>
      <c r="D1083" s="5"/>
      <c r="E1083" s="5" t="str">
        <f>+IF(FINANCIACION[[#This Row],[$ CAPITAL]]&gt;=0,FINANCIACION[[#This Row],[$ CAPITAL]]+FINANCIACION[[#This Row],[$ INTERESES]],"")</f>
        <v/>
      </c>
      <c r="F1083" s="5">
        <f>+SUMIFS(FINANCIACION[$ CAPITAL],FINANCIACION[Fecha],"&lt;="&amp;FINANCIACION[[#This Row],[Fecha]],FINANCIACION[PRESTAMO],FINANCIACION[[#This Row],[PRESTAMO]])</f>
        <v>-43346562</v>
      </c>
      <c r="G1083" s="53" t="s">
        <v>170</v>
      </c>
      <c r="H1083" s="53"/>
      <c r="I1083" s="5" t="b">
        <f>+IF(FINANCIACION[[#This Row],[$ CAPITAL]]&gt;0,FINANCIACION[[#This Row],[$ CAPITAL]])</f>
        <v>0</v>
      </c>
      <c r="J1083" s="33">
        <f>+IF(FINANCIACION[[#This Row],[$ CAPITAL]]&gt;=0,FINANCIACION[[#This Row],[$ CAPITAL]]+FINANCIACION[[#This Row],[$ INTERESES]],0)</f>
        <v>0</v>
      </c>
    </row>
    <row r="1084" spans="1:10" ht="24" hidden="1" customHeight="1" x14ac:dyDescent="0.3">
      <c r="A1084" s="131">
        <v>44742</v>
      </c>
      <c r="B1084" s="50" t="s">
        <v>1488</v>
      </c>
      <c r="C1084" s="5">
        <v>2087219</v>
      </c>
      <c r="D1084" s="5"/>
      <c r="E1084" s="5">
        <f>+IF(FINANCIACION[[#This Row],[$ CAPITAL]]&gt;=0,FINANCIACION[[#This Row],[$ CAPITAL]]+FINANCIACION[[#This Row],[$ INTERESES]],"")</f>
        <v>2087219</v>
      </c>
      <c r="F1084" s="5">
        <f>+SUMIFS(FINANCIACION[$ CAPITAL],FINANCIACION[Fecha],"&lt;="&amp;FINANCIACION[[#This Row],[Fecha]],FINANCIACION[PRESTAMO],FINANCIACION[[#This Row],[PRESTAMO]])</f>
        <v>-862463</v>
      </c>
      <c r="G1084" s="53" t="s">
        <v>170</v>
      </c>
      <c r="H1084" s="53"/>
      <c r="I1084" s="5">
        <f>+IF(FINANCIACION[[#This Row],[$ CAPITAL]]&gt;0,FINANCIACION[[#This Row],[$ CAPITAL]])</f>
        <v>2087219</v>
      </c>
      <c r="J1084" s="33">
        <f>+IF(FINANCIACION[[#This Row],[$ CAPITAL]]&gt;=0,FINANCIACION[[#This Row],[$ CAPITAL]]+FINANCIACION[[#This Row],[$ INTERESES]],0)</f>
        <v>2087219</v>
      </c>
    </row>
    <row r="1085" spans="1:10" ht="24" hidden="1" customHeight="1" x14ac:dyDescent="0.3">
      <c r="A1085" s="131">
        <v>44742</v>
      </c>
      <c r="B1085" s="50" t="s">
        <v>154</v>
      </c>
      <c r="C1085" s="5">
        <v>11583800</v>
      </c>
      <c r="D1085" s="5"/>
      <c r="E1085" s="5">
        <f>+IF(FINANCIACION[[#This Row],[$ CAPITAL]]&gt;=0,FINANCIACION[[#This Row],[$ CAPITAL]]+FINANCIACION[[#This Row],[$ INTERESES]],"")</f>
        <v>11583800</v>
      </c>
      <c r="F1085" s="5">
        <f>+SUMIFS(FINANCIACION[$ CAPITAL],FINANCIACION[Fecha],"&lt;="&amp;FINANCIACION[[#This Row],[Fecha]],FINANCIACION[PRESTAMO],FINANCIACION[[#This Row],[PRESTAMO]])</f>
        <v>-22050000</v>
      </c>
      <c r="G1085" s="53" t="s">
        <v>170</v>
      </c>
      <c r="H1085" s="53"/>
      <c r="I1085" s="5">
        <f>+IF(FINANCIACION[[#This Row],[$ CAPITAL]]&gt;0,FINANCIACION[[#This Row],[$ CAPITAL]])</f>
        <v>11583800</v>
      </c>
      <c r="J1085" s="33">
        <f>+IF(FINANCIACION[[#This Row],[$ CAPITAL]]&gt;=0,FINANCIACION[[#This Row],[$ CAPITAL]]+FINANCIACION[[#This Row],[$ INTERESES]],0)</f>
        <v>11583800</v>
      </c>
    </row>
    <row r="1086" spans="1:10" ht="24" hidden="1" customHeight="1" x14ac:dyDescent="0.3">
      <c r="A1086" s="131">
        <v>44742</v>
      </c>
      <c r="B1086" s="50" t="s">
        <v>155</v>
      </c>
      <c r="C1086" s="5">
        <v>-9942633</v>
      </c>
      <c r="D1086" s="5"/>
      <c r="E1086" s="5" t="str">
        <f>+IF(FINANCIACION[[#This Row],[$ CAPITAL]]&gt;=0,FINANCIACION[[#This Row],[$ CAPITAL]]+FINANCIACION[[#This Row],[$ INTERESES]],"")</f>
        <v/>
      </c>
      <c r="F1086" s="5">
        <f>+SUMIFS(FINANCIACION[$ CAPITAL],FINANCIACION[Fecha],"&lt;="&amp;FINANCIACION[[#This Row],[Fecha]],FINANCIACION[PRESTAMO],FINANCIACION[[#This Row],[PRESTAMO]])</f>
        <v>-19291851</v>
      </c>
      <c r="G1086" s="53" t="s">
        <v>170</v>
      </c>
      <c r="H1086" s="53"/>
      <c r="I1086" s="5" t="b">
        <f>+IF(FINANCIACION[[#This Row],[$ CAPITAL]]&gt;0,FINANCIACION[[#This Row],[$ CAPITAL]])</f>
        <v>0</v>
      </c>
      <c r="J1086" s="33">
        <f>+IF(FINANCIACION[[#This Row],[$ CAPITAL]]&gt;=0,FINANCIACION[[#This Row],[$ CAPITAL]]+FINANCIACION[[#This Row],[$ INTERESES]],0)</f>
        <v>0</v>
      </c>
    </row>
    <row r="1087" spans="1:10" ht="24" hidden="1" customHeight="1" x14ac:dyDescent="0.3">
      <c r="A1087" s="131">
        <v>44744</v>
      </c>
      <c r="B1087" s="50" t="s">
        <v>549</v>
      </c>
      <c r="C1087" s="5">
        <v>10000000</v>
      </c>
      <c r="D1087" s="5">
        <v>100000</v>
      </c>
      <c r="E1087" s="5">
        <f>+IF(FINANCIACION[[#This Row],[$ CAPITAL]]&gt;=0,FINANCIACION[[#This Row],[$ CAPITAL]]+FINANCIACION[[#This Row],[$ INTERESES]],"")</f>
        <v>10100000</v>
      </c>
      <c r="F1087" s="5">
        <f>+SUMIFS(FINANCIACION[$ CAPITAL],FINANCIACION[Fecha],"&lt;="&amp;FINANCIACION[[#This Row],[Fecha]],FINANCIACION[PRESTAMO],FINANCIACION[[#This Row],[PRESTAMO]])</f>
        <v>0</v>
      </c>
      <c r="G1087" s="53"/>
      <c r="H1087" s="53"/>
      <c r="I1087" s="5">
        <f>+IF(FINANCIACION[[#This Row],[$ CAPITAL]]&gt;0,FINANCIACION[[#This Row],[$ CAPITAL]])</f>
        <v>10000000</v>
      </c>
      <c r="J1087" s="33">
        <f>+IF(FINANCIACION[[#This Row],[$ CAPITAL]]&gt;=0,FINANCIACION[[#This Row],[$ CAPITAL]]+FINANCIACION[[#This Row],[$ INTERESES]],0)</f>
        <v>10100000</v>
      </c>
    </row>
    <row r="1088" spans="1:10" ht="24" hidden="1" customHeight="1" x14ac:dyDescent="0.3">
      <c r="A1088" s="131">
        <v>44746</v>
      </c>
      <c r="B1088" s="50" t="s">
        <v>552</v>
      </c>
      <c r="C1088" s="5">
        <v>1744958</v>
      </c>
      <c r="D1088" s="5">
        <v>167209</v>
      </c>
      <c r="E1088" s="5">
        <f>+IF(FINANCIACION[[#This Row],[$ CAPITAL]]&gt;=0,FINANCIACION[[#This Row],[$ CAPITAL]]+FINANCIACION[[#This Row],[$ INTERESES]],"")</f>
        <v>1912167</v>
      </c>
      <c r="F1088" s="5">
        <f>+SUMIFS(FINANCIACION[$ CAPITAL],FINANCIACION[Fecha],"&lt;="&amp;FINANCIACION[[#This Row],[Fecha]],FINANCIACION[PRESTAMO],FINANCIACION[[#This Row],[PRESTAMO]])</f>
        <v>-12214716</v>
      </c>
      <c r="G1088" s="53"/>
      <c r="H1088" s="53"/>
      <c r="I1088" s="5">
        <f>+IF(FINANCIACION[[#This Row],[$ CAPITAL]]&gt;0,FINANCIACION[[#This Row],[$ CAPITAL]])</f>
        <v>1744958</v>
      </c>
      <c r="J1088" s="33">
        <f>+IF(FINANCIACION[[#This Row],[$ CAPITAL]]&gt;=0,FINANCIACION[[#This Row],[$ CAPITAL]]+FINANCIACION[[#This Row],[$ INTERESES]],0)</f>
        <v>1912167</v>
      </c>
    </row>
    <row r="1089" spans="1:10" ht="24" hidden="1" customHeight="1" x14ac:dyDescent="0.3">
      <c r="A1089" s="131">
        <v>44747</v>
      </c>
      <c r="B1089" s="50" t="s">
        <v>272</v>
      </c>
      <c r="C1089" s="5">
        <f>3822.86*FINANCIACION[[#This Row],[VALOR EN DOLARES]]</f>
        <v>38228600</v>
      </c>
      <c r="D1089" s="5">
        <f>431424+4089</f>
        <v>435513</v>
      </c>
      <c r="E1089" s="5">
        <f>+IF(FINANCIACION[[#This Row],[$ CAPITAL]]&gt;=0,FINANCIACION[[#This Row],[$ CAPITAL]]+FINANCIACION[[#This Row],[$ INTERESES]],"")</f>
        <v>38664113</v>
      </c>
      <c r="F1089" s="5">
        <f>+SUMIFS(FINANCIACION[$ CAPITAL],FINANCIACION[Fecha],"&lt;="&amp;FINANCIACION[[#This Row],[Fecha]],FINANCIACION[PRESTAMO],FINANCIACION[[#This Row],[PRESTAMO]])</f>
        <v>-20396176</v>
      </c>
      <c r="G1089" s="53"/>
      <c r="H1089" s="53">
        <v>10000</v>
      </c>
      <c r="I1089" s="5">
        <f>+IF(FINANCIACION[[#This Row],[$ CAPITAL]]&gt;0,FINANCIACION[[#This Row],[$ CAPITAL]])</f>
        <v>38228600</v>
      </c>
      <c r="J1089" s="33">
        <f>+IF(FINANCIACION[[#This Row],[$ CAPITAL]]&gt;=0,FINANCIACION[[#This Row],[$ CAPITAL]]+FINANCIACION[[#This Row],[$ INTERESES]],0)</f>
        <v>38664113</v>
      </c>
    </row>
    <row r="1090" spans="1:10" ht="24" hidden="1" customHeight="1" x14ac:dyDescent="0.3">
      <c r="A1090" s="131">
        <v>44750</v>
      </c>
      <c r="B1090" s="50" t="s">
        <v>812</v>
      </c>
      <c r="C1090" s="5">
        <f>+FINANCIACION[[#This Row],[VALOR EN DOLARES]]*4500</f>
        <v>-72391950</v>
      </c>
      <c r="D1090" s="5"/>
      <c r="E1090" s="5" t="str">
        <f>+IF(FINANCIACION[[#This Row],[$ CAPITAL]]&gt;=0,FINANCIACION[[#This Row],[$ CAPITAL]]+FINANCIACION[[#This Row],[$ INTERESES]],"")</f>
        <v/>
      </c>
      <c r="F1090" s="5">
        <f>+SUMIFS(FINANCIACION[$ CAPITAL],FINANCIACION[Fecha],"&lt;="&amp;FINANCIACION[[#This Row],[Fecha]],FINANCIACION[PRESTAMO],FINANCIACION[[#This Row],[PRESTAMO]])</f>
        <v>-72391950</v>
      </c>
      <c r="G1090" s="53" t="s">
        <v>1364</v>
      </c>
      <c r="H1090" s="53">
        <v>-16087.1</v>
      </c>
      <c r="I1090" s="5" t="b">
        <f>+IF(FINANCIACION[[#This Row],[$ CAPITAL]]&gt;0,FINANCIACION[[#This Row],[$ CAPITAL]])</f>
        <v>0</v>
      </c>
      <c r="J1090" s="33">
        <f>+IF(FINANCIACION[[#This Row],[$ CAPITAL]]&gt;=0,FINANCIACION[[#This Row],[$ CAPITAL]]+FINANCIACION[[#This Row],[$ INTERESES]],0)</f>
        <v>0</v>
      </c>
    </row>
    <row r="1091" spans="1:10" ht="24" hidden="1" customHeight="1" x14ac:dyDescent="0.3">
      <c r="A1091" s="131">
        <v>44753</v>
      </c>
      <c r="B1091" s="50" t="s">
        <v>543</v>
      </c>
      <c r="C1091" s="5"/>
      <c r="D1091" s="5">
        <v>130000</v>
      </c>
      <c r="E1091" s="5">
        <f>+IF(FINANCIACION[[#This Row],[$ CAPITAL]]&gt;=0,FINANCIACION[[#This Row],[$ CAPITAL]]+FINANCIACION[[#This Row],[$ INTERESES]],"")</f>
        <v>130000</v>
      </c>
      <c r="F1091" s="5">
        <f>+SUMIFS(FINANCIACION[$ CAPITAL],FINANCIACION[Fecha],"&lt;="&amp;FINANCIACION[[#This Row],[Fecha]],FINANCIACION[PRESTAMO],FINANCIACION[[#This Row],[PRESTAMO]])</f>
        <v>-13000000</v>
      </c>
      <c r="G1091" s="53"/>
      <c r="H1091" s="53"/>
      <c r="I1091" s="5" t="b">
        <f>+IF(FINANCIACION[[#This Row],[$ CAPITAL]]&gt;0,FINANCIACION[[#This Row],[$ CAPITAL]])</f>
        <v>0</v>
      </c>
      <c r="J1091" s="33">
        <f>+IF(FINANCIACION[[#This Row],[$ CAPITAL]]&gt;=0,FINANCIACION[[#This Row],[$ CAPITAL]]+FINANCIACION[[#This Row],[$ INTERESES]],0)</f>
        <v>130000</v>
      </c>
    </row>
    <row r="1092" spans="1:10" ht="24" hidden="1" customHeight="1" x14ac:dyDescent="0.3">
      <c r="A1092" s="131">
        <v>44753</v>
      </c>
      <c r="B1092" s="50" t="s">
        <v>547</v>
      </c>
      <c r="C1092" s="5"/>
      <c r="D1092" s="5">
        <v>400000</v>
      </c>
      <c r="E1092" s="5">
        <f>+IF(FINANCIACION[[#This Row],[$ CAPITAL]]&gt;=0,FINANCIACION[[#This Row],[$ CAPITAL]]+FINANCIACION[[#This Row],[$ INTERESES]],"")</f>
        <v>400000</v>
      </c>
      <c r="F1092" s="5">
        <f>+SUMIFS(FINANCIACION[$ CAPITAL],FINANCIACION[Fecha],"&lt;="&amp;FINANCIACION[[#This Row],[Fecha]],FINANCIACION[PRESTAMO],FINANCIACION[[#This Row],[PRESTAMO]])</f>
        <v>-40000000</v>
      </c>
      <c r="G1092" s="53"/>
      <c r="H1092" s="53"/>
      <c r="I1092" s="5" t="b">
        <f>+IF(FINANCIACION[[#This Row],[$ CAPITAL]]&gt;0,FINANCIACION[[#This Row],[$ CAPITAL]])</f>
        <v>0</v>
      </c>
      <c r="J1092" s="33">
        <f>+IF(FINANCIACION[[#This Row],[$ CAPITAL]]&gt;=0,FINANCIACION[[#This Row],[$ CAPITAL]]+FINANCIACION[[#This Row],[$ INTERESES]],0)</f>
        <v>400000</v>
      </c>
    </row>
    <row r="1093" spans="1:10" ht="24" hidden="1" customHeight="1" x14ac:dyDescent="0.3">
      <c r="A1093" s="131">
        <v>44753</v>
      </c>
      <c r="B1093" s="50" t="s">
        <v>532</v>
      </c>
      <c r="C1093" s="5">
        <f>2667378-FINANCIACION[[#This Row],[$ INTERESES]]</f>
        <v>2096939.736452505</v>
      </c>
      <c r="D1093" s="5">
        <f>0.01*57043826.3547495</f>
        <v>570438.26354749501</v>
      </c>
      <c r="E1093" s="5">
        <f>+IF(FINANCIACION[[#This Row],[$ CAPITAL]]&gt;=0,FINANCIACION[[#This Row],[$ CAPITAL]]+FINANCIACION[[#This Row],[$ INTERESES]],"")</f>
        <v>2667378</v>
      </c>
      <c r="F1093" s="5">
        <f>+SUMIFS(FINANCIACION[$ CAPITAL],FINANCIACION[Fecha],"&lt;="&amp;FINANCIACION[[#This Row],[Fecha]],FINANCIACION[PRESTAMO],FINANCIACION[[#This Row],[PRESTAMO]])</f>
        <v>-54946886.618297026</v>
      </c>
      <c r="G1093" s="53"/>
      <c r="H1093" s="53"/>
      <c r="I1093" s="5">
        <f>+IF(FINANCIACION[[#This Row],[$ CAPITAL]]&gt;0,FINANCIACION[[#This Row],[$ CAPITAL]])</f>
        <v>2096939.736452505</v>
      </c>
      <c r="J1093" s="33">
        <f>+IF(FINANCIACION[[#This Row],[$ CAPITAL]]&gt;=0,FINANCIACION[[#This Row],[$ CAPITAL]]+FINANCIACION[[#This Row],[$ INTERESES]],0)</f>
        <v>2667378</v>
      </c>
    </row>
    <row r="1094" spans="1:10" ht="24" hidden="1" customHeight="1" x14ac:dyDescent="0.3">
      <c r="A1094" s="131">
        <v>44753</v>
      </c>
      <c r="B1094" s="50" t="s">
        <v>549</v>
      </c>
      <c r="C1094" s="5"/>
      <c r="D1094" s="5">
        <v>100000</v>
      </c>
      <c r="E1094" s="5">
        <f>+IF(FINANCIACION[[#This Row],[$ CAPITAL]]&gt;=0,FINANCIACION[[#This Row],[$ CAPITAL]]+FINANCIACION[[#This Row],[$ INTERESES]],"")</f>
        <v>100000</v>
      </c>
      <c r="F1094" s="5">
        <f>+SUMIFS(FINANCIACION[$ CAPITAL],FINANCIACION[Fecha],"&lt;="&amp;FINANCIACION[[#This Row],[Fecha]],FINANCIACION[PRESTAMO],FINANCIACION[[#This Row],[PRESTAMO]])</f>
        <v>0</v>
      </c>
      <c r="G1094" s="53"/>
      <c r="H1094" s="53"/>
      <c r="I1094" s="5" t="b">
        <f>+IF(FINANCIACION[[#This Row],[$ CAPITAL]]&gt;0,FINANCIACION[[#This Row],[$ CAPITAL]])</f>
        <v>0</v>
      </c>
      <c r="J1094" s="33">
        <f>+IF(FINANCIACION[[#This Row],[$ CAPITAL]]&gt;=0,FINANCIACION[[#This Row],[$ CAPITAL]]+FINANCIACION[[#This Row],[$ INTERESES]],0)</f>
        <v>100000</v>
      </c>
    </row>
    <row r="1095" spans="1:10" ht="24" hidden="1" customHeight="1" x14ac:dyDescent="0.3">
      <c r="A1095" s="131">
        <v>44753</v>
      </c>
      <c r="B1095" s="50" t="s">
        <v>536</v>
      </c>
      <c r="C1095" s="5">
        <f>1300000-FINANCIACION[[#This Row],[$ INTERESES]]</f>
        <v>811749.49318927398</v>
      </c>
      <c r="D1095" s="5">
        <f>-48825050.6810726*-0.01</f>
        <v>488250.50681072602</v>
      </c>
      <c r="E1095" s="5">
        <f>+IF(FINANCIACION[[#This Row],[$ CAPITAL]]&gt;=0,FINANCIACION[[#This Row],[$ CAPITAL]]+FINANCIACION[[#This Row],[$ INTERESES]],"")</f>
        <v>1300000</v>
      </c>
      <c r="F1095" s="5">
        <f>+SUMIFS(FINANCIACION[$ CAPITAL],FINANCIACION[Fecha],"&lt;="&amp;FINANCIACION[[#This Row],[Fecha]],FINANCIACION[PRESTAMO],FINANCIACION[[#This Row],[PRESTAMO]])</f>
        <v>-48013301.187883295</v>
      </c>
      <c r="G1095" s="53"/>
      <c r="H1095" s="53"/>
      <c r="I1095" s="5">
        <f>+IF(FINANCIACION[[#This Row],[$ CAPITAL]]&gt;0,FINANCIACION[[#This Row],[$ CAPITAL]])</f>
        <v>811749.49318927398</v>
      </c>
      <c r="J1095" s="33">
        <f>+IF(FINANCIACION[[#This Row],[$ CAPITAL]]&gt;=0,FINANCIACION[[#This Row],[$ CAPITAL]]+FINANCIACION[[#This Row],[$ INTERESES]],0)</f>
        <v>1300000</v>
      </c>
    </row>
    <row r="1096" spans="1:10" ht="24" hidden="1" customHeight="1" x14ac:dyDescent="0.3">
      <c r="A1096" s="131">
        <v>44753</v>
      </c>
      <c r="B1096" s="50" t="s">
        <v>533</v>
      </c>
      <c r="C1096" s="5">
        <v>1334706.0261461178</v>
      </c>
      <c r="D1096" s="5">
        <v>665293.97385388217</v>
      </c>
      <c r="E1096" s="5">
        <f>+IF(FINANCIACION[[#This Row],[$ CAPITAL]]&gt;=0,FINANCIACION[[#This Row],[$ CAPITAL]]+FINANCIACION[[#This Row],[$ INTERESES]],"")</f>
        <v>2000000</v>
      </c>
      <c r="F1096" s="5">
        <f>+SUMIFS(FINANCIACION[$ CAPITAL],FINANCIACION[Fecha],"&lt;="&amp;FINANCIACION[[#This Row],[Fecha]],FINANCIACION[PRESTAMO],FINANCIACION[[#This Row],[PRESTAMO]])</f>
        <v>-65365379.219242096</v>
      </c>
      <c r="G1096" s="53"/>
      <c r="H1096" s="53"/>
      <c r="I1096" s="5">
        <f>+IF(FINANCIACION[[#This Row],[$ CAPITAL]]&gt;0,FINANCIACION[[#This Row],[$ CAPITAL]])</f>
        <v>1334706.0261461178</v>
      </c>
      <c r="J1096" s="33">
        <f>+IF(FINANCIACION[[#This Row],[$ CAPITAL]]&gt;=0,FINANCIACION[[#This Row],[$ CAPITAL]]+FINANCIACION[[#This Row],[$ INTERESES]],0)</f>
        <v>2000000</v>
      </c>
    </row>
    <row r="1097" spans="1:10" ht="24" hidden="1" customHeight="1" x14ac:dyDescent="0.3">
      <c r="A1097" s="131">
        <v>44753</v>
      </c>
      <c r="B1097" s="50" t="s">
        <v>545</v>
      </c>
      <c r="C1097" s="5"/>
      <c r="D1097" s="5">
        <v>120000</v>
      </c>
      <c r="E1097" s="5">
        <f>+IF(FINANCIACION[[#This Row],[$ CAPITAL]]&gt;=0,FINANCIACION[[#This Row],[$ CAPITAL]]+FINANCIACION[[#This Row],[$ INTERESES]],"")</f>
        <v>120000</v>
      </c>
      <c r="F1097" s="5">
        <f>+SUMIFS(FINANCIACION[$ CAPITAL],FINANCIACION[Fecha],"&lt;="&amp;FINANCIACION[[#This Row],[Fecha]],FINANCIACION[PRESTAMO],FINANCIACION[[#This Row],[PRESTAMO]])</f>
        <v>-12000000</v>
      </c>
      <c r="G1097" s="53"/>
      <c r="H1097" s="53"/>
      <c r="I1097" s="5" t="b">
        <f>+IF(FINANCIACION[[#This Row],[$ CAPITAL]]&gt;0,FINANCIACION[[#This Row],[$ CAPITAL]])</f>
        <v>0</v>
      </c>
      <c r="J1097" s="33">
        <f>+IF(FINANCIACION[[#This Row],[$ CAPITAL]]&gt;=0,FINANCIACION[[#This Row],[$ CAPITAL]]+FINANCIACION[[#This Row],[$ INTERESES]],0)</f>
        <v>120000</v>
      </c>
    </row>
    <row r="1098" spans="1:10" ht="24" hidden="1" customHeight="1" x14ac:dyDescent="0.3">
      <c r="A1098" s="131">
        <v>44760</v>
      </c>
      <c r="B1098" s="50" t="s">
        <v>148</v>
      </c>
      <c r="C1098" s="5"/>
      <c r="D1098" s="5">
        <v>391650</v>
      </c>
      <c r="E1098" s="5">
        <f>+IF(FINANCIACION[[#This Row],[$ CAPITAL]]&gt;=0,FINANCIACION[[#This Row],[$ CAPITAL]]+FINANCIACION[[#This Row],[$ INTERESES]],"")</f>
        <v>391650</v>
      </c>
      <c r="F1098" s="5">
        <f>+SUMIFS(FINANCIACION[$ CAPITAL],FINANCIACION[Fecha],"&lt;="&amp;FINANCIACION[[#This Row],[Fecha]],FINANCIACION[PRESTAMO],FINANCIACION[[#This Row],[PRESTAMO]])</f>
        <v>0</v>
      </c>
      <c r="G1098" s="53"/>
      <c r="H1098" s="53"/>
      <c r="I1098" s="5" t="b">
        <f>+IF(FINANCIACION[[#This Row],[$ CAPITAL]]&gt;0,FINANCIACION[[#This Row],[$ CAPITAL]])</f>
        <v>0</v>
      </c>
      <c r="J1098" s="33">
        <f>+IF(FINANCIACION[[#This Row],[$ CAPITAL]]&gt;=0,FINANCIACION[[#This Row],[$ CAPITAL]]+FINANCIACION[[#This Row],[$ INTERESES]],0)</f>
        <v>391650</v>
      </c>
    </row>
    <row r="1099" spans="1:10" ht="24" hidden="1" customHeight="1" x14ac:dyDescent="0.3">
      <c r="A1099" s="131">
        <v>44761</v>
      </c>
      <c r="B1099" s="50" t="s">
        <v>150</v>
      </c>
      <c r="C1099" s="5">
        <v>417000</v>
      </c>
      <c r="D1099" s="5">
        <f>627251.99-FINANCIACION[[#This Row],[$ CAPITAL]]</f>
        <v>210251.99</v>
      </c>
      <c r="E1099" s="5">
        <f>+IF(FINANCIACION[[#This Row],[$ CAPITAL]]&gt;=0,FINANCIACION[[#This Row],[$ CAPITAL]]+FINANCIACION[[#This Row],[$ INTERESES]],"")</f>
        <v>627251.99</v>
      </c>
      <c r="F1099" s="5">
        <f>+SUMIFS(FINANCIACION[$ CAPITAL],FINANCIACION[Fecha],"&lt;="&amp;FINANCIACION[[#This Row],[Fecha]],FINANCIACION[PRESTAMO],FINANCIACION[[#This Row],[PRESTAMO]])</f>
        <v>-14583000</v>
      </c>
      <c r="G1099" s="53"/>
      <c r="H1099" s="53"/>
      <c r="I1099" s="5">
        <f>+IF(FINANCIACION[[#This Row],[$ CAPITAL]]&gt;0,FINANCIACION[[#This Row],[$ CAPITAL]])</f>
        <v>417000</v>
      </c>
      <c r="J1099" s="33">
        <f>+IF(FINANCIACION[[#This Row],[$ CAPITAL]]&gt;=0,FINANCIACION[[#This Row],[$ CAPITAL]]+FINANCIACION[[#This Row],[$ INTERESES]],0)</f>
        <v>627251.99</v>
      </c>
    </row>
    <row r="1100" spans="1:10" ht="24" hidden="1" customHeight="1" x14ac:dyDescent="0.3">
      <c r="A1100" s="131">
        <v>44761</v>
      </c>
      <c r="B1100" s="50" t="s">
        <v>546</v>
      </c>
      <c r="C1100" s="5">
        <v>1077529.3999999999</v>
      </c>
      <c r="D1100" s="5">
        <v>129470.60000000009</v>
      </c>
      <c r="E1100" s="5">
        <f>+IF(FINANCIACION[[#This Row],[$ CAPITAL]]&gt;=0,FINANCIACION[[#This Row],[$ CAPITAL]]+FINANCIACION[[#This Row],[$ INTERESES]],"")</f>
        <v>1207000</v>
      </c>
      <c r="F1100" s="5">
        <f>+SUMIFS(FINANCIACION[$ CAPITAL],FINANCIACION[Fecha],"&lt;="&amp;FINANCIACION[[#This Row],[Fecha]],FINANCIACION[PRESTAMO],FINANCIACION[[#This Row],[PRESTAMO]])</f>
        <v>-10724803.99</v>
      </c>
      <c r="G1100" s="53"/>
      <c r="H1100" s="53"/>
      <c r="I1100" s="5">
        <f>+IF(FINANCIACION[[#This Row],[$ CAPITAL]]&gt;0,FINANCIACION[[#This Row],[$ CAPITAL]])</f>
        <v>1077529.3999999999</v>
      </c>
      <c r="J1100" s="33">
        <f>+IF(FINANCIACION[[#This Row],[$ CAPITAL]]&gt;=0,FINANCIACION[[#This Row],[$ CAPITAL]]+FINANCIACION[[#This Row],[$ INTERESES]],0)</f>
        <v>1207000</v>
      </c>
    </row>
    <row r="1101" spans="1:10" ht="24" hidden="1" customHeight="1" x14ac:dyDescent="0.3">
      <c r="A1101" s="131">
        <v>44761</v>
      </c>
      <c r="B1101" s="50" t="s">
        <v>588</v>
      </c>
      <c r="C1101" s="5">
        <v>1666666.66</v>
      </c>
      <c r="D1101" s="5">
        <v>356333.34000000008</v>
      </c>
      <c r="E1101" s="5">
        <f>+IF(FINANCIACION[[#This Row],[$ CAPITAL]]&gt;=0,FINANCIACION[[#This Row],[$ CAPITAL]]+FINANCIACION[[#This Row],[$ INTERESES]],"")</f>
        <v>2023000</v>
      </c>
      <c r="F1101" s="5">
        <f>+SUMIFS(FINANCIACION[$ CAPITAL],FINANCIACION[Fecha],"&lt;="&amp;FINANCIACION[[#This Row],[Fecha]],FINANCIACION[PRESTAMO],FINANCIACION[[#This Row],[PRESTAMO]])</f>
        <v>-22793173.599999998</v>
      </c>
      <c r="G1101" s="53"/>
      <c r="H1101" s="53"/>
      <c r="I1101" s="5">
        <f>+IF(FINANCIACION[[#This Row],[$ CAPITAL]]&gt;0,FINANCIACION[[#This Row],[$ CAPITAL]])</f>
        <v>1666666.66</v>
      </c>
      <c r="J1101" s="33">
        <f>+IF(FINANCIACION[[#This Row],[$ CAPITAL]]&gt;=0,FINANCIACION[[#This Row],[$ CAPITAL]]+FINANCIACION[[#This Row],[$ INTERESES]],0)</f>
        <v>2023000</v>
      </c>
    </row>
    <row r="1102" spans="1:10" ht="24" hidden="1" customHeight="1" x14ac:dyDescent="0.3">
      <c r="A1102" s="131">
        <v>44761</v>
      </c>
      <c r="B1102" s="50" t="s">
        <v>540</v>
      </c>
      <c r="C1102" s="5">
        <v>853000</v>
      </c>
      <c r="D1102" s="5">
        <v>126000</v>
      </c>
      <c r="E1102" s="5">
        <f>+IF(FINANCIACION[[#This Row],[$ CAPITAL]]&gt;=0,FINANCIACION[[#This Row],[$ CAPITAL]]+FINANCIACION[[#This Row],[$ INTERESES]],"")</f>
        <v>979000</v>
      </c>
      <c r="F1102" s="5">
        <f>+SUMIFS(FINANCIACION[$ CAPITAL],FINANCIACION[Fecha],"&lt;="&amp;FINANCIACION[[#This Row],[Fecha]],FINANCIACION[PRESTAMO],FINANCIACION[[#This Row],[PRESTAMO]])</f>
        <v>-10164333.649999999</v>
      </c>
      <c r="G1102" s="53"/>
      <c r="H1102" s="53"/>
      <c r="I1102" s="5">
        <f>+IF(FINANCIACION[[#This Row],[$ CAPITAL]]&gt;0,FINANCIACION[[#This Row],[$ CAPITAL]])</f>
        <v>853000</v>
      </c>
      <c r="J1102" s="33">
        <f>+IF(FINANCIACION[[#This Row],[$ CAPITAL]]&gt;=0,FINANCIACION[[#This Row],[$ CAPITAL]]+FINANCIACION[[#This Row],[$ INTERESES]],0)</f>
        <v>979000</v>
      </c>
    </row>
    <row r="1103" spans="1:10" ht="24" hidden="1" customHeight="1" x14ac:dyDescent="0.3">
      <c r="A1103" s="131">
        <v>44761</v>
      </c>
      <c r="B1103" s="50" t="s">
        <v>833</v>
      </c>
      <c r="C1103" s="5">
        <v>453998</v>
      </c>
      <c r="D1103" s="5">
        <v>45391</v>
      </c>
      <c r="E1103" s="5">
        <f>+IF(FINANCIACION[[#This Row],[$ CAPITAL]]&gt;=0,FINANCIACION[[#This Row],[$ CAPITAL]]+FINANCIACION[[#This Row],[$ INTERESES]],"")</f>
        <v>499389</v>
      </c>
      <c r="F1103" s="5">
        <f>+SUMIFS(FINANCIACION[$ CAPITAL],FINANCIACION[Fecha],"&lt;="&amp;FINANCIACION[[#This Row],[Fecha]],FINANCIACION[PRESTAMO],FINANCIACION[[#This Row],[PRESTAMO]])</f>
        <v>-4085982</v>
      </c>
      <c r="G1103" s="53"/>
      <c r="H1103" s="53"/>
      <c r="I1103" s="5">
        <f>+IF(FINANCIACION[[#This Row],[$ CAPITAL]]&gt;0,FINANCIACION[[#This Row],[$ CAPITAL]])</f>
        <v>453998</v>
      </c>
      <c r="J1103" s="33">
        <f>+IF(FINANCIACION[[#This Row],[$ CAPITAL]]&gt;=0,FINANCIACION[[#This Row],[$ CAPITAL]]+FINANCIACION[[#This Row],[$ INTERESES]],0)</f>
        <v>499389</v>
      </c>
    </row>
    <row r="1104" spans="1:10" ht="24" hidden="1" customHeight="1" x14ac:dyDescent="0.3">
      <c r="A1104" s="131">
        <v>44761</v>
      </c>
      <c r="B1104" s="50" t="s">
        <v>548</v>
      </c>
      <c r="C1104" s="5">
        <v>1481481.48</v>
      </c>
      <c r="D1104" s="5">
        <v>797518.52</v>
      </c>
      <c r="E1104" s="5">
        <f>+IF(FINANCIACION[[#This Row],[$ CAPITAL]]&gt;=0,FINANCIACION[[#This Row],[$ CAPITAL]]+FINANCIACION[[#This Row],[$ INTERESES]],"")</f>
        <v>2279000</v>
      </c>
      <c r="F1104" s="5">
        <f>+SUMIFS(FINANCIACION[$ CAPITAL],FINANCIACION[Fecha],"&lt;="&amp;FINANCIACION[[#This Row],[Fecha]],FINANCIACION[PRESTAMO],FINANCIACION[[#This Row],[PRESTAMO]])</f>
        <v>-77027596.890000001</v>
      </c>
      <c r="G1104" s="53"/>
      <c r="H1104" s="53"/>
      <c r="I1104" s="5">
        <f>+IF(FINANCIACION[[#This Row],[$ CAPITAL]]&gt;0,FINANCIACION[[#This Row],[$ CAPITAL]])</f>
        <v>1481481.48</v>
      </c>
      <c r="J1104" s="33">
        <f>+IF(FINANCIACION[[#This Row],[$ CAPITAL]]&gt;=0,FINANCIACION[[#This Row],[$ CAPITAL]]+FINANCIACION[[#This Row],[$ INTERESES]],0)</f>
        <v>2279000</v>
      </c>
    </row>
    <row r="1105" spans="1:10" ht="24" hidden="1" customHeight="1" x14ac:dyDescent="0.3">
      <c r="A1105" s="131">
        <v>44761</v>
      </c>
      <c r="B1105" s="50" t="s">
        <v>542</v>
      </c>
      <c r="C1105" s="5">
        <v>894000</v>
      </c>
      <c r="D1105" s="5">
        <v>140000</v>
      </c>
      <c r="E1105" s="5">
        <f>+IF(FINANCIACION[[#This Row],[$ CAPITAL]]&gt;=0,FINANCIACION[[#This Row],[$ CAPITAL]]+FINANCIACION[[#This Row],[$ INTERESES]],"")</f>
        <v>1034000</v>
      </c>
      <c r="F1105" s="5">
        <f>+SUMIFS(FINANCIACION[$ CAPITAL],FINANCIACION[Fecha],"&lt;="&amp;FINANCIACION[[#This Row],[Fecha]],FINANCIACION[PRESTAMO],FINANCIACION[[#This Row],[PRESTAMO]])</f>
        <v>-11562211.069999998</v>
      </c>
      <c r="G1105" s="53"/>
      <c r="H1105" s="53"/>
      <c r="I1105" s="5">
        <f>+IF(FINANCIACION[[#This Row],[$ CAPITAL]]&gt;0,FINANCIACION[[#This Row],[$ CAPITAL]])</f>
        <v>894000</v>
      </c>
      <c r="J1105" s="33">
        <f>+IF(FINANCIACION[[#This Row],[$ CAPITAL]]&gt;=0,FINANCIACION[[#This Row],[$ CAPITAL]]+FINANCIACION[[#This Row],[$ INTERESES]],0)</f>
        <v>1034000</v>
      </c>
    </row>
    <row r="1106" spans="1:10" ht="24" hidden="1" customHeight="1" x14ac:dyDescent="0.3">
      <c r="A1106" s="131">
        <v>44761</v>
      </c>
      <c r="B1106" s="50" t="s">
        <v>538</v>
      </c>
      <c r="C1106" s="5">
        <v>2176175.9</v>
      </c>
      <c r="D1106" s="5">
        <v>286824.10000000009</v>
      </c>
      <c r="E1106" s="5">
        <f>+IF(FINANCIACION[[#This Row],[$ CAPITAL]]&gt;=0,FINANCIACION[[#This Row],[$ CAPITAL]]+FINANCIACION[[#This Row],[$ INTERESES]],"")</f>
        <v>2463000</v>
      </c>
      <c r="F1106" s="5">
        <f>+SUMIFS(FINANCIACION[$ CAPITAL],FINANCIACION[Fecha],"&lt;="&amp;FINANCIACION[[#This Row],[Fecha]],FINANCIACION[PRESTAMO],FINANCIACION[[#This Row],[PRESTAMO]])</f>
        <v>-23884762.240000002</v>
      </c>
      <c r="G1106" s="53"/>
      <c r="H1106" s="53"/>
      <c r="I1106" s="5">
        <f>+IF(FINANCIACION[[#This Row],[$ CAPITAL]]&gt;0,FINANCIACION[[#This Row],[$ CAPITAL]])</f>
        <v>2176175.9</v>
      </c>
      <c r="J1106" s="33">
        <f>+IF(FINANCIACION[[#This Row],[$ CAPITAL]]&gt;=0,FINANCIACION[[#This Row],[$ CAPITAL]]+FINANCIACION[[#This Row],[$ INTERESES]],0)</f>
        <v>2463000</v>
      </c>
    </row>
    <row r="1107" spans="1:10" ht="24" hidden="1" customHeight="1" x14ac:dyDescent="0.3">
      <c r="A1107" s="131">
        <v>44761</v>
      </c>
      <c r="B1107" s="50" t="s">
        <v>539</v>
      </c>
      <c r="C1107" s="5">
        <v>3159000</v>
      </c>
      <c r="D1107" s="5">
        <v>442000</v>
      </c>
      <c r="E1107" s="5">
        <f>+IF(FINANCIACION[[#This Row],[$ CAPITAL]]&gt;=0,FINANCIACION[[#This Row],[$ CAPITAL]]+FINANCIACION[[#This Row],[$ INTERESES]],"")</f>
        <v>3601000</v>
      </c>
      <c r="F1107" s="5">
        <f>+SUMIFS(FINANCIACION[$ CAPITAL],FINANCIACION[Fecha],"&lt;="&amp;FINANCIACION[[#This Row],[Fecha]],FINANCIACION[PRESTAMO],FINANCIACION[[#This Row],[PRESTAMO]])</f>
        <v>-34588786.059999995</v>
      </c>
      <c r="G1107" s="53"/>
      <c r="H1107" s="53"/>
      <c r="I1107" s="5">
        <f>+IF(FINANCIACION[[#This Row],[$ CAPITAL]]&gt;0,FINANCIACION[[#This Row],[$ CAPITAL]])</f>
        <v>3159000</v>
      </c>
      <c r="J1107" s="33">
        <f>+IF(FINANCIACION[[#This Row],[$ CAPITAL]]&gt;=0,FINANCIACION[[#This Row],[$ CAPITAL]]+FINANCIACION[[#This Row],[$ INTERESES]],0)</f>
        <v>3601000</v>
      </c>
    </row>
    <row r="1108" spans="1:10" ht="24" hidden="1" customHeight="1" x14ac:dyDescent="0.3">
      <c r="A1108" s="131">
        <v>44761</v>
      </c>
      <c r="B1108" s="50" t="s">
        <v>534</v>
      </c>
      <c r="C1108" s="5">
        <v>1336670</v>
      </c>
      <c r="D1108" s="5">
        <v>4759135</v>
      </c>
      <c r="E1108" s="5">
        <f>+IF(FINANCIACION[[#This Row],[$ CAPITAL]]&gt;=0,FINANCIACION[[#This Row],[$ CAPITAL]]+FINANCIACION[[#This Row],[$ INTERESES]],"")</f>
        <v>6095805</v>
      </c>
      <c r="F1108" s="5">
        <f>+SUMIFS(FINANCIACION[$ CAPITAL],FINANCIACION[Fecha],"&lt;="&amp;FINANCIACION[[#This Row],[Fecha]],FINANCIACION[PRESTAMO],FINANCIACION[[#This Row],[PRESTAMO]])</f>
        <v>-363720868</v>
      </c>
      <c r="G1108" s="53"/>
      <c r="H1108" s="53"/>
      <c r="I1108" s="5">
        <f>+IF(FINANCIACION[[#This Row],[$ CAPITAL]]&gt;0,FINANCIACION[[#This Row],[$ CAPITAL]])</f>
        <v>1336670</v>
      </c>
      <c r="J1108" s="33">
        <f>+IF(FINANCIACION[[#This Row],[$ CAPITAL]]&gt;=0,FINANCIACION[[#This Row],[$ CAPITAL]]+FINANCIACION[[#This Row],[$ INTERESES]],0)</f>
        <v>6095805</v>
      </c>
    </row>
    <row r="1109" spans="1:10" ht="24" hidden="1" customHeight="1" x14ac:dyDescent="0.3">
      <c r="A1109" s="131">
        <v>44761</v>
      </c>
      <c r="B1109" s="50" t="s">
        <v>535</v>
      </c>
      <c r="C1109" s="5">
        <v>1306000</v>
      </c>
      <c r="D1109" s="5">
        <v>148000</v>
      </c>
      <c r="E1109" s="5">
        <f>+IF(FINANCIACION[[#This Row],[$ CAPITAL]]&gt;=0,FINANCIACION[[#This Row],[$ CAPITAL]]+FINANCIACION[[#This Row],[$ INTERESES]],"")</f>
        <v>1454000</v>
      </c>
      <c r="F1109" s="5">
        <f>+SUMIFS(FINANCIACION[$ CAPITAL],FINANCIACION[Fecha],"&lt;="&amp;FINANCIACION[[#This Row],[Fecha]],FINANCIACION[PRESTAMO],FINANCIACION[[#This Row],[PRESTAMO]])</f>
        <v>-11647346.890000001</v>
      </c>
      <c r="G1109" s="53"/>
      <c r="H1109" s="53"/>
      <c r="I1109" s="5">
        <f>+IF(FINANCIACION[[#This Row],[$ CAPITAL]]&gt;0,FINANCIACION[[#This Row],[$ CAPITAL]])</f>
        <v>1306000</v>
      </c>
      <c r="J1109" s="33">
        <f>+IF(FINANCIACION[[#This Row],[$ CAPITAL]]&gt;=0,FINANCIACION[[#This Row],[$ CAPITAL]]+FINANCIACION[[#This Row],[$ INTERESES]],0)</f>
        <v>1454000</v>
      </c>
    </row>
    <row r="1110" spans="1:10" ht="24" hidden="1" customHeight="1" x14ac:dyDescent="0.3">
      <c r="A1110" s="131">
        <v>44762</v>
      </c>
      <c r="B1110" s="50" t="s">
        <v>563</v>
      </c>
      <c r="C1110" s="5"/>
      <c r="D1110" s="5">
        <v>500000</v>
      </c>
      <c r="E1110" s="5">
        <f>+IF(FINANCIACION[[#This Row],[$ CAPITAL]]&gt;=0,FINANCIACION[[#This Row],[$ CAPITAL]]+FINANCIACION[[#This Row],[$ INTERESES]],"")</f>
        <v>500000</v>
      </c>
      <c r="F1110" s="5">
        <f>+SUMIFS(FINANCIACION[$ CAPITAL],FINANCIACION[Fecha],"&lt;="&amp;FINANCIACION[[#This Row],[Fecha]],FINANCIACION[PRESTAMO],FINANCIACION[[#This Row],[PRESTAMO]])</f>
        <v>-50000000</v>
      </c>
      <c r="G1110" s="53"/>
      <c r="H1110" s="53"/>
      <c r="I1110" s="5" t="b">
        <f>+IF(FINANCIACION[[#This Row],[$ CAPITAL]]&gt;0,FINANCIACION[[#This Row],[$ CAPITAL]])</f>
        <v>0</v>
      </c>
      <c r="J1110" s="33">
        <f>+IF(FINANCIACION[[#This Row],[$ CAPITAL]]&gt;=0,FINANCIACION[[#This Row],[$ CAPITAL]]+FINANCIACION[[#This Row],[$ INTERESES]],0)</f>
        <v>500000</v>
      </c>
    </row>
    <row r="1111" spans="1:10" ht="24" hidden="1" customHeight="1" x14ac:dyDescent="0.3">
      <c r="A1111" s="131">
        <v>44763</v>
      </c>
      <c r="B1111" s="50" t="s">
        <v>148</v>
      </c>
      <c r="C1111" s="5"/>
      <c r="D1111" s="5">
        <v>288926</v>
      </c>
      <c r="E1111" s="5">
        <f>+IF(FINANCIACION[[#This Row],[$ CAPITAL]]&gt;=0,FINANCIACION[[#This Row],[$ CAPITAL]]+FINANCIACION[[#This Row],[$ INTERESES]],"")</f>
        <v>288926</v>
      </c>
      <c r="F1111" s="5">
        <f>+SUMIFS(FINANCIACION[$ CAPITAL],FINANCIACION[Fecha],"&lt;="&amp;FINANCIACION[[#This Row],[Fecha]],FINANCIACION[PRESTAMO],FINANCIACION[[#This Row],[PRESTAMO]])</f>
        <v>0</v>
      </c>
      <c r="G1111" s="53"/>
      <c r="H1111" s="53"/>
      <c r="I1111" s="5" t="b">
        <f>+IF(FINANCIACION[[#This Row],[$ CAPITAL]]&gt;0,FINANCIACION[[#This Row],[$ CAPITAL]])</f>
        <v>0</v>
      </c>
      <c r="J1111" s="33">
        <f>+IF(FINANCIACION[[#This Row],[$ CAPITAL]]&gt;=0,FINANCIACION[[#This Row],[$ CAPITAL]]+FINANCIACION[[#This Row],[$ INTERESES]],0)</f>
        <v>288926</v>
      </c>
    </row>
    <row r="1112" spans="1:10" ht="24" hidden="1" customHeight="1" x14ac:dyDescent="0.3">
      <c r="A1112" s="131">
        <v>44773</v>
      </c>
      <c r="B1112" s="50" t="s">
        <v>552</v>
      </c>
      <c r="C1112" s="5">
        <v>1394</v>
      </c>
      <c r="D1112" s="5"/>
      <c r="E1112" s="5">
        <f>+IF(FINANCIACION[[#This Row],[$ CAPITAL]]&gt;=0,FINANCIACION[[#This Row],[$ CAPITAL]]+FINANCIACION[[#This Row],[$ INTERESES]],"")</f>
        <v>1394</v>
      </c>
      <c r="F1112" s="5">
        <f>+SUMIFS(FINANCIACION[$ CAPITAL],FINANCIACION[Fecha],"&lt;="&amp;FINANCIACION[[#This Row],[Fecha]],FINANCIACION[PRESTAMO],FINANCIACION[[#This Row],[PRESTAMO]])</f>
        <v>-12213322</v>
      </c>
      <c r="G1112" s="53" t="s">
        <v>170</v>
      </c>
      <c r="H1112" s="53"/>
      <c r="I1112" s="5">
        <f>+IF(FINANCIACION[[#This Row],[$ CAPITAL]]&gt;0,FINANCIACION[[#This Row],[$ CAPITAL]])</f>
        <v>1394</v>
      </c>
      <c r="J1112" s="33">
        <f>+IF(FINANCIACION[[#This Row],[$ CAPITAL]]&gt;=0,FINANCIACION[[#This Row],[$ CAPITAL]]+FINANCIACION[[#This Row],[$ INTERESES]],0)</f>
        <v>1394</v>
      </c>
    </row>
    <row r="1113" spans="1:10" ht="24" hidden="1" customHeight="1" x14ac:dyDescent="0.3">
      <c r="A1113" s="131">
        <v>44773</v>
      </c>
      <c r="B1113" s="50" t="s">
        <v>1488</v>
      </c>
      <c r="C1113" s="5">
        <v>131423</v>
      </c>
      <c r="D1113" s="5"/>
      <c r="E1113" s="5">
        <f>+IF(FINANCIACION[[#This Row],[$ CAPITAL]]&gt;=0,FINANCIACION[[#This Row],[$ CAPITAL]]+FINANCIACION[[#This Row],[$ INTERESES]],"")</f>
        <v>131423</v>
      </c>
      <c r="F1113" s="5">
        <f>+SUMIFS(FINANCIACION[$ CAPITAL],FINANCIACION[Fecha],"&lt;="&amp;FINANCIACION[[#This Row],[Fecha]],FINANCIACION[PRESTAMO],FINANCIACION[[#This Row],[PRESTAMO]])</f>
        <v>-731040</v>
      </c>
      <c r="G1113" s="53" t="s">
        <v>170</v>
      </c>
      <c r="H1113" s="53"/>
      <c r="I1113" s="5">
        <f>+IF(FINANCIACION[[#This Row],[$ CAPITAL]]&gt;0,FINANCIACION[[#This Row],[$ CAPITAL]])</f>
        <v>131423</v>
      </c>
      <c r="J1113" s="33">
        <f>+IF(FINANCIACION[[#This Row],[$ CAPITAL]]&gt;=0,FINANCIACION[[#This Row],[$ CAPITAL]]+FINANCIACION[[#This Row],[$ INTERESES]],0)</f>
        <v>131423</v>
      </c>
    </row>
    <row r="1114" spans="1:10" ht="24" hidden="1" customHeight="1" x14ac:dyDescent="0.3">
      <c r="A1114" s="131">
        <v>44773</v>
      </c>
      <c r="B1114" s="50" t="s">
        <v>154</v>
      </c>
      <c r="C1114" s="5">
        <v>4909800</v>
      </c>
      <c r="D1114" s="5"/>
      <c r="E1114" s="5">
        <f>+IF(FINANCIACION[[#This Row],[$ CAPITAL]]&gt;=0,FINANCIACION[[#This Row],[$ CAPITAL]]+FINANCIACION[[#This Row],[$ INTERESES]],"")</f>
        <v>4909800</v>
      </c>
      <c r="F1114" s="5">
        <f>+SUMIFS(FINANCIACION[$ CAPITAL],FINANCIACION[Fecha],"&lt;="&amp;FINANCIACION[[#This Row],[Fecha]],FINANCIACION[PRESTAMO],FINANCIACION[[#This Row],[PRESTAMO]])</f>
        <v>-17140200</v>
      </c>
      <c r="G1114" s="53" t="s">
        <v>170</v>
      </c>
      <c r="H1114" s="53"/>
      <c r="I1114" s="5">
        <f>+IF(FINANCIACION[[#This Row],[$ CAPITAL]]&gt;0,FINANCIACION[[#This Row],[$ CAPITAL]])</f>
        <v>4909800</v>
      </c>
      <c r="J1114" s="33">
        <f>+IF(FINANCIACION[[#This Row],[$ CAPITAL]]&gt;=0,FINANCIACION[[#This Row],[$ CAPITAL]]+FINANCIACION[[#This Row],[$ INTERESES]],0)</f>
        <v>4909800</v>
      </c>
    </row>
    <row r="1115" spans="1:10" ht="24" hidden="1" customHeight="1" x14ac:dyDescent="0.3">
      <c r="A1115" s="131">
        <v>44773</v>
      </c>
      <c r="B1115" s="50" t="s">
        <v>155</v>
      </c>
      <c r="C1115" s="5">
        <v>-956704</v>
      </c>
      <c r="D1115" s="5"/>
      <c r="E1115" s="5" t="str">
        <f>+IF(FINANCIACION[[#This Row],[$ CAPITAL]]&gt;=0,FINANCIACION[[#This Row],[$ CAPITAL]]+FINANCIACION[[#This Row],[$ INTERESES]],"")</f>
        <v/>
      </c>
      <c r="F1115" s="5">
        <f>+SUMIFS(FINANCIACION[$ CAPITAL],FINANCIACION[Fecha],"&lt;="&amp;FINANCIACION[[#This Row],[Fecha]],FINANCIACION[PRESTAMO],FINANCIACION[[#This Row],[PRESTAMO]])</f>
        <v>-20248555</v>
      </c>
      <c r="G1115" s="53" t="s">
        <v>170</v>
      </c>
      <c r="H1115" s="53"/>
      <c r="I1115" s="5" t="b">
        <f>+IF(FINANCIACION[[#This Row],[$ CAPITAL]]&gt;0,FINANCIACION[[#This Row],[$ CAPITAL]])</f>
        <v>0</v>
      </c>
      <c r="J1115" s="33">
        <f>+IF(FINANCIACION[[#This Row],[$ CAPITAL]]&gt;=0,FINANCIACION[[#This Row],[$ CAPITAL]]+FINANCIACION[[#This Row],[$ INTERESES]],0)</f>
        <v>0</v>
      </c>
    </row>
    <row r="1116" spans="1:10" ht="24" hidden="1" customHeight="1" x14ac:dyDescent="0.3">
      <c r="A1116" s="131">
        <v>44774</v>
      </c>
      <c r="B1116" s="50" t="s">
        <v>146</v>
      </c>
      <c r="C1116" s="5">
        <v>1468400</v>
      </c>
      <c r="D1116" s="5">
        <v>444966</v>
      </c>
      <c r="E1116" s="5">
        <f>+IF(FINANCIACION[[#This Row],[$ CAPITAL]]&gt;=0,FINANCIACION[[#This Row],[$ CAPITAL]]+FINANCIACION[[#This Row],[$ INTERESES]],"")</f>
        <v>1913366</v>
      </c>
      <c r="F1116" s="5">
        <f>+SUMIFS(FINANCIACION[$ CAPITAL],FINANCIACION[Fecha],"&lt;="&amp;FINANCIACION[[#This Row],[Fecha]],FINANCIACION[PRESTAMO],FINANCIACION[[#This Row],[PRESTAMO]])</f>
        <v>-29368000</v>
      </c>
      <c r="G1116" s="53"/>
      <c r="H1116" s="53"/>
      <c r="I1116" s="5">
        <f>+IF(FINANCIACION[[#This Row],[$ CAPITAL]]&gt;0,FINANCIACION[[#This Row],[$ CAPITAL]])</f>
        <v>1468400</v>
      </c>
      <c r="J1116" s="33">
        <f>+IF(FINANCIACION[[#This Row],[$ CAPITAL]]&gt;=0,FINANCIACION[[#This Row],[$ CAPITAL]]+FINANCIACION[[#This Row],[$ INTERESES]],0)</f>
        <v>1913366</v>
      </c>
    </row>
    <row r="1117" spans="1:10" ht="24" hidden="1" customHeight="1" x14ac:dyDescent="0.3">
      <c r="A1117" s="131">
        <v>44774</v>
      </c>
      <c r="B1117" s="50" t="s">
        <v>147</v>
      </c>
      <c r="C1117" s="5">
        <v>76791</v>
      </c>
      <c r="D1117" s="5"/>
      <c r="E1117" s="5">
        <f>+IF(FINANCIACION[[#This Row],[$ CAPITAL]]&gt;=0,FINANCIACION[[#This Row],[$ CAPITAL]]+FINANCIACION[[#This Row],[$ INTERESES]],"")</f>
        <v>76791</v>
      </c>
      <c r="F1117" s="5">
        <f>+SUMIFS(FINANCIACION[$ CAPITAL],FINANCIACION[Fecha],"&lt;="&amp;FINANCIACION[[#This Row],[Fecha]],FINANCIACION[PRESTAMO],FINANCIACION[[#This Row],[PRESTAMO]])</f>
        <v>-1535820</v>
      </c>
      <c r="G1117" s="53"/>
      <c r="H1117" s="53"/>
      <c r="I1117" s="5">
        <f>+IF(FINANCIACION[[#This Row],[$ CAPITAL]]&gt;0,FINANCIACION[[#This Row],[$ CAPITAL]])</f>
        <v>76791</v>
      </c>
      <c r="J1117" s="33">
        <f>+IF(FINANCIACION[[#This Row],[$ CAPITAL]]&gt;=0,FINANCIACION[[#This Row],[$ CAPITAL]]+FINANCIACION[[#This Row],[$ INTERESES]],0)</f>
        <v>76791</v>
      </c>
    </row>
    <row r="1118" spans="1:10" ht="24" hidden="1" customHeight="1" x14ac:dyDescent="0.3">
      <c r="A1118" s="131">
        <v>44777</v>
      </c>
      <c r="B1118" s="50" t="s">
        <v>543</v>
      </c>
      <c r="C1118" s="5">
        <v>-8000000</v>
      </c>
      <c r="D1118" s="5"/>
      <c r="E1118" s="5" t="str">
        <f>+IF(FINANCIACION[[#This Row],[$ CAPITAL]]&gt;=0,FINANCIACION[[#This Row],[$ CAPITAL]]+FINANCIACION[[#This Row],[$ INTERESES]],"")</f>
        <v/>
      </c>
      <c r="F1118" s="5">
        <f>+SUMIFS(FINANCIACION[$ CAPITAL],FINANCIACION[Fecha],"&lt;="&amp;FINANCIACION[[#This Row],[Fecha]],FINANCIACION[PRESTAMO],FINANCIACION[[#This Row],[PRESTAMO]])</f>
        <v>-15347000</v>
      </c>
      <c r="G1118" s="53" t="s">
        <v>863</v>
      </c>
      <c r="H1118" s="53"/>
      <c r="I1118" s="5" t="b">
        <f>+IF(FINANCIACION[[#This Row],[$ CAPITAL]]&gt;0,FINANCIACION[[#This Row],[$ CAPITAL]])</f>
        <v>0</v>
      </c>
      <c r="J1118" s="33">
        <f>+IF(FINANCIACION[[#This Row],[$ CAPITAL]]&gt;=0,FINANCIACION[[#This Row],[$ CAPITAL]]+FINANCIACION[[#This Row],[$ INTERESES]],0)</f>
        <v>0</v>
      </c>
    </row>
    <row r="1119" spans="1:10" ht="24" hidden="1" customHeight="1" x14ac:dyDescent="0.3">
      <c r="A1119" s="131">
        <v>44777</v>
      </c>
      <c r="B1119" s="50" t="s">
        <v>543</v>
      </c>
      <c r="C1119" s="5">
        <v>1530000</v>
      </c>
      <c r="D1119" s="5"/>
      <c r="E1119" s="5">
        <f>+IF(FINANCIACION[[#This Row],[$ CAPITAL]]&gt;=0,FINANCIACION[[#This Row],[$ CAPITAL]]+FINANCIACION[[#This Row],[$ INTERESES]],"")</f>
        <v>1530000</v>
      </c>
      <c r="F1119" s="5">
        <f>+SUMIFS(FINANCIACION[$ CAPITAL],FINANCIACION[Fecha],"&lt;="&amp;FINANCIACION[[#This Row],[Fecha]],FINANCIACION[PRESTAMO],FINANCIACION[[#This Row],[PRESTAMO]])</f>
        <v>-15347000</v>
      </c>
      <c r="G1119" s="53" t="s">
        <v>863</v>
      </c>
      <c r="H1119" s="53"/>
      <c r="I1119" s="5">
        <f>+IF(FINANCIACION[[#This Row],[$ CAPITAL]]&gt;0,FINANCIACION[[#This Row],[$ CAPITAL]])</f>
        <v>1530000</v>
      </c>
      <c r="J1119" s="33">
        <f>+IF(FINANCIACION[[#This Row],[$ CAPITAL]]&gt;=0,FINANCIACION[[#This Row],[$ CAPITAL]]+FINANCIACION[[#This Row],[$ INTERESES]],0)</f>
        <v>1530000</v>
      </c>
    </row>
    <row r="1120" spans="1:10" ht="24" hidden="1" customHeight="1" x14ac:dyDescent="0.3">
      <c r="A1120" s="131">
        <v>44777</v>
      </c>
      <c r="B1120" s="50" t="s">
        <v>543</v>
      </c>
      <c r="C1120" s="5">
        <v>3300000</v>
      </c>
      <c r="D1120" s="5"/>
      <c r="E1120" s="5">
        <f>+IF(FINANCIACION[[#This Row],[$ CAPITAL]]&gt;=0,FINANCIACION[[#This Row],[$ CAPITAL]]+FINANCIACION[[#This Row],[$ INTERESES]],"")</f>
        <v>3300000</v>
      </c>
      <c r="F1120" s="5">
        <f>+SUMIFS(FINANCIACION[$ CAPITAL],FINANCIACION[Fecha],"&lt;="&amp;FINANCIACION[[#This Row],[Fecha]],FINANCIACION[PRESTAMO],FINANCIACION[[#This Row],[PRESTAMO]])</f>
        <v>-15347000</v>
      </c>
      <c r="G1120" s="53" t="s">
        <v>863</v>
      </c>
      <c r="H1120" s="53"/>
      <c r="I1120" s="5">
        <f>+IF(FINANCIACION[[#This Row],[$ CAPITAL]]&gt;0,FINANCIACION[[#This Row],[$ CAPITAL]])</f>
        <v>3300000</v>
      </c>
      <c r="J1120" s="33">
        <f>+IF(FINANCIACION[[#This Row],[$ CAPITAL]]&gt;=0,FINANCIACION[[#This Row],[$ CAPITAL]]+FINANCIACION[[#This Row],[$ INTERESES]],0)</f>
        <v>3300000</v>
      </c>
    </row>
    <row r="1121" spans="1:10" ht="24" hidden="1" customHeight="1" x14ac:dyDescent="0.3">
      <c r="A1121" s="131">
        <v>44777</v>
      </c>
      <c r="B1121" s="50" t="s">
        <v>543</v>
      </c>
      <c r="C1121" s="5">
        <v>823000</v>
      </c>
      <c r="D1121" s="5"/>
      <c r="E1121" s="5">
        <f>+IF(FINANCIACION[[#This Row],[$ CAPITAL]]&gt;=0,FINANCIACION[[#This Row],[$ CAPITAL]]+FINANCIACION[[#This Row],[$ INTERESES]],"")</f>
        <v>823000</v>
      </c>
      <c r="F1121" s="5">
        <f>+SUMIFS(FINANCIACION[$ CAPITAL],FINANCIACION[Fecha],"&lt;="&amp;FINANCIACION[[#This Row],[Fecha]],FINANCIACION[PRESTAMO],FINANCIACION[[#This Row],[PRESTAMO]])</f>
        <v>-15347000</v>
      </c>
      <c r="G1121" s="53" t="s">
        <v>863</v>
      </c>
      <c r="H1121" s="53"/>
      <c r="I1121" s="5">
        <f>+IF(FINANCIACION[[#This Row],[$ CAPITAL]]&gt;0,FINANCIACION[[#This Row],[$ CAPITAL]])</f>
        <v>823000</v>
      </c>
      <c r="J1121" s="33">
        <f>+IF(FINANCIACION[[#This Row],[$ CAPITAL]]&gt;=0,FINANCIACION[[#This Row],[$ CAPITAL]]+FINANCIACION[[#This Row],[$ INTERESES]],0)</f>
        <v>823000</v>
      </c>
    </row>
    <row r="1122" spans="1:10" ht="24" hidden="1" customHeight="1" x14ac:dyDescent="0.3">
      <c r="A1122" s="131">
        <v>44777</v>
      </c>
      <c r="B1122" s="50" t="s">
        <v>552</v>
      </c>
      <c r="C1122" s="5">
        <v>1744958</v>
      </c>
      <c r="D1122" s="5">
        <v>164602</v>
      </c>
      <c r="E1122" s="5">
        <f>+IF(FINANCIACION[[#This Row],[$ CAPITAL]]&gt;=0,FINANCIACION[[#This Row],[$ CAPITAL]]+FINANCIACION[[#This Row],[$ INTERESES]],"")</f>
        <v>1909560</v>
      </c>
      <c r="F1122" s="5">
        <f>+SUMIFS(FINANCIACION[$ CAPITAL],FINANCIACION[Fecha],"&lt;="&amp;FINANCIACION[[#This Row],[Fecha]],FINANCIACION[PRESTAMO],FINANCIACION[[#This Row],[PRESTAMO]])</f>
        <v>-10468364</v>
      </c>
      <c r="G1122" s="53"/>
      <c r="H1122" s="53"/>
      <c r="I1122" s="5">
        <f>+IF(FINANCIACION[[#This Row],[$ CAPITAL]]&gt;0,FINANCIACION[[#This Row],[$ CAPITAL]])</f>
        <v>1744958</v>
      </c>
      <c r="J1122" s="33">
        <f>+IF(FINANCIACION[[#This Row],[$ CAPITAL]]&gt;=0,FINANCIACION[[#This Row],[$ CAPITAL]]+FINANCIACION[[#This Row],[$ INTERESES]],0)</f>
        <v>1909560</v>
      </c>
    </row>
    <row r="1123" spans="1:10" ht="24" hidden="1" customHeight="1" x14ac:dyDescent="0.3">
      <c r="A1123" s="131">
        <v>44781</v>
      </c>
      <c r="B1123" s="50" t="s">
        <v>543</v>
      </c>
      <c r="C1123" s="5">
        <v>2347000</v>
      </c>
      <c r="D1123" s="5"/>
      <c r="E1123" s="5">
        <f>+IF(FINANCIACION[[#This Row],[$ CAPITAL]]&gt;=0,FINANCIACION[[#This Row],[$ CAPITAL]]+FINANCIACION[[#This Row],[$ INTERESES]],"")</f>
        <v>2347000</v>
      </c>
      <c r="F1123" s="5">
        <f>+SUMIFS(FINANCIACION[$ CAPITAL],FINANCIACION[Fecha],"&lt;="&amp;FINANCIACION[[#This Row],[Fecha]],FINANCIACION[PRESTAMO],FINANCIACION[[#This Row],[PRESTAMO]])</f>
        <v>-13000000</v>
      </c>
      <c r="G1123" s="53" t="s">
        <v>863</v>
      </c>
      <c r="H1123" s="53"/>
      <c r="I1123" s="5">
        <f>+IF(FINANCIACION[[#This Row],[$ CAPITAL]]&gt;0,FINANCIACION[[#This Row],[$ CAPITAL]])</f>
        <v>2347000</v>
      </c>
      <c r="J1123" s="33">
        <f>+IF(FINANCIACION[[#This Row],[$ CAPITAL]]&gt;=0,FINANCIACION[[#This Row],[$ CAPITAL]]+FINANCIACION[[#This Row],[$ INTERESES]],0)</f>
        <v>2347000</v>
      </c>
    </row>
    <row r="1124" spans="1:10" ht="24" hidden="1" customHeight="1" x14ac:dyDescent="0.3">
      <c r="A1124" s="131">
        <v>44781</v>
      </c>
      <c r="B1124" s="50" t="s">
        <v>148</v>
      </c>
      <c r="C1124" s="5"/>
      <c r="D1124" s="5">
        <v>472720</v>
      </c>
      <c r="E1124" s="5">
        <f>+IF(FINANCIACION[[#This Row],[$ CAPITAL]]&gt;=0,FINANCIACION[[#This Row],[$ CAPITAL]]+FINANCIACION[[#This Row],[$ INTERESES]],"")</f>
        <v>472720</v>
      </c>
      <c r="F1124" s="5">
        <f>+SUMIFS(FINANCIACION[$ CAPITAL],FINANCIACION[Fecha],"&lt;="&amp;FINANCIACION[[#This Row],[Fecha]],FINANCIACION[PRESTAMO],FINANCIACION[[#This Row],[PRESTAMO]])</f>
        <v>0</v>
      </c>
      <c r="G1124" s="53"/>
      <c r="H1124" s="53"/>
      <c r="I1124" s="5" t="b">
        <f>+IF(FINANCIACION[[#This Row],[$ CAPITAL]]&gt;0,FINANCIACION[[#This Row],[$ CAPITAL]])</f>
        <v>0</v>
      </c>
      <c r="J1124" s="33">
        <f>+IF(FINANCIACION[[#This Row],[$ CAPITAL]]&gt;=0,FINANCIACION[[#This Row],[$ CAPITAL]]+FINANCIACION[[#This Row],[$ INTERESES]],0)</f>
        <v>472720</v>
      </c>
    </row>
    <row r="1125" spans="1:10" ht="24" hidden="1" customHeight="1" x14ac:dyDescent="0.3">
      <c r="A1125" s="131">
        <v>44781</v>
      </c>
      <c r="B1125" s="50" t="s">
        <v>148</v>
      </c>
      <c r="C1125" s="5"/>
      <c r="D1125" s="5">
        <v>137838</v>
      </c>
      <c r="E1125" s="5">
        <f>+IF(FINANCIACION[[#This Row],[$ CAPITAL]]&gt;=0,FINANCIACION[[#This Row],[$ CAPITAL]]+FINANCIACION[[#This Row],[$ INTERESES]],"")</f>
        <v>137838</v>
      </c>
      <c r="F1125" s="5">
        <f>+SUMIFS(FINANCIACION[$ CAPITAL],FINANCIACION[Fecha],"&lt;="&amp;FINANCIACION[[#This Row],[Fecha]],FINANCIACION[PRESTAMO],FINANCIACION[[#This Row],[PRESTAMO]])</f>
        <v>0</v>
      </c>
      <c r="G1125" s="53"/>
      <c r="H1125" s="53"/>
      <c r="I1125" s="5" t="b">
        <f>+IF(FINANCIACION[[#This Row],[$ CAPITAL]]&gt;0,FINANCIACION[[#This Row],[$ CAPITAL]])</f>
        <v>0</v>
      </c>
      <c r="J1125" s="33">
        <f>+IF(FINANCIACION[[#This Row],[$ CAPITAL]]&gt;=0,FINANCIACION[[#This Row],[$ CAPITAL]]+FINANCIACION[[#This Row],[$ INTERESES]],0)</f>
        <v>137838</v>
      </c>
    </row>
    <row r="1126" spans="1:10" ht="24" hidden="1" customHeight="1" x14ac:dyDescent="0.3">
      <c r="A1126" s="131">
        <v>44783</v>
      </c>
      <c r="B1126" s="50" t="s">
        <v>563</v>
      </c>
      <c r="C1126" s="5"/>
      <c r="D1126" s="5">
        <v>500000</v>
      </c>
      <c r="E1126" s="5">
        <f>+IF(FINANCIACION[[#This Row],[$ CAPITAL]]&gt;=0,FINANCIACION[[#This Row],[$ CAPITAL]]+FINANCIACION[[#This Row],[$ INTERESES]],"")</f>
        <v>500000</v>
      </c>
      <c r="F1126" s="5">
        <f>+SUMIFS(FINANCIACION[$ CAPITAL],FINANCIACION[Fecha],"&lt;="&amp;FINANCIACION[[#This Row],[Fecha]],FINANCIACION[PRESTAMO],FINANCIACION[[#This Row],[PRESTAMO]])</f>
        <v>-50000000</v>
      </c>
      <c r="G1126" s="53"/>
      <c r="H1126" s="53"/>
      <c r="I1126" s="5" t="b">
        <f>+IF(FINANCIACION[[#This Row],[$ CAPITAL]]&gt;0,FINANCIACION[[#This Row],[$ CAPITAL]])</f>
        <v>0</v>
      </c>
      <c r="J1126" s="33">
        <f>+IF(FINANCIACION[[#This Row],[$ CAPITAL]]&gt;=0,FINANCIACION[[#This Row],[$ CAPITAL]]+FINANCIACION[[#This Row],[$ INTERESES]],0)</f>
        <v>500000</v>
      </c>
    </row>
    <row r="1127" spans="1:10" ht="24" hidden="1" customHeight="1" x14ac:dyDescent="0.3">
      <c r="A1127" s="131">
        <v>44784</v>
      </c>
      <c r="B1127" s="50" t="s">
        <v>150</v>
      </c>
      <c r="C1127" s="5">
        <v>417000</v>
      </c>
      <c r="D1127" s="5">
        <v>208327</v>
      </c>
      <c r="E1127" s="5">
        <f>+IF(FINANCIACION[[#This Row],[$ CAPITAL]]&gt;=0,FINANCIACION[[#This Row],[$ CAPITAL]]+FINANCIACION[[#This Row],[$ INTERESES]],"")</f>
        <v>625327</v>
      </c>
      <c r="F1127" s="5">
        <f>+SUMIFS(FINANCIACION[$ CAPITAL],FINANCIACION[Fecha],"&lt;="&amp;FINANCIACION[[#This Row],[Fecha]],FINANCIACION[PRESTAMO],FINANCIACION[[#This Row],[PRESTAMO]])</f>
        <v>-14166000</v>
      </c>
      <c r="G1127" s="53"/>
      <c r="H1127" s="53"/>
      <c r="I1127" s="5">
        <f>+IF(FINANCIACION[[#This Row],[$ CAPITAL]]&gt;0,FINANCIACION[[#This Row],[$ CAPITAL]])</f>
        <v>417000</v>
      </c>
      <c r="J1127" s="33">
        <f>+IF(FINANCIACION[[#This Row],[$ CAPITAL]]&gt;=0,FINANCIACION[[#This Row],[$ CAPITAL]]+FINANCIACION[[#This Row],[$ INTERESES]],0)</f>
        <v>625327</v>
      </c>
    </row>
    <row r="1128" spans="1:10" ht="24" hidden="1" customHeight="1" x14ac:dyDescent="0.3">
      <c r="A1128" s="131">
        <v>44786</v>
      </c>
      <c r="B1128" s="50" t="s">
        <v>543</v>
      </c>
      <c r="C1128" s="5"/>
      <c r="D1128" s="5">
        <v>130000</v>
      </c>
      <c r="E1128" s="5">
        <f>+IF(FINANCIACION[[#This Row],[$ CAPITAL]]&gt;=0,FINANCIACION[[#This Row],[$ CAPITAL]]+FINANCIACION[[#This Row],[$ INTERESES]],"")</f>
        <v>130000</v>
      </c>
      <c r="F1128" s="5">
        <f>+SUMIFS(FINANCIACION[$ CAPITAL],FINANCIACION[Fecha],"&lt;="&amp;FINANCIACION[[#This Row],[Fecha]],FINANCIACION[PRESTAMO],FINANCIACION[[#This Row],[PRESTAMO]])</f>
        <v>-13000000</v>
      </c>
      <c r="G1128" s="53"/>
      <c r="H1128" s="53"/>
      <c r="I1128" s="5" t="b">
        <f>+IF(FINANCIACION[[#This Row],[$ CAPITAL]]&gt;0,FINANCIACION[[#This Row],[$ CAPITAL]])</f>
        <v>0</v>
      </c>
      <c r="J1128" s="33">
        <f>+IF(FINANCIACION[[#This Row],[$ CAPITAL]]&gt;=0,FINANCIACION[[#This Row],[$ CAPITAL]]+FINANCIACION[[#This Row],[$ INTERESES]],0)</f>
        <v>130000</v>
      </c>
    </row>
    <row r="1129" spans="1:10" ht="24" hidden="1" customHeight="1" x14ac:dyDescent="0.3">
      <c r="A1129" s="131">
        <v>44786</v>
      </c>
      <c r="B1129" s="50" t="s">
        <v>547</v>
      </c>
      <c r="C1129" s="5"/>
      <c r="D1129" s="5">
        <v>400000</v>
      </c>
      <c r="E1129" s="5">
        <f>+IF(FINANCIACION[[#This Row],[$ CAPITAL]]&gt;=0,FINANCIACION[[#This Row],[$ CAPITAL]]+FINANCIACION[[#This Row],[$ INTERESES]],"")</f>
        <v>400000</v>
      </c>
      <c r="F1129" s="5">
        <f>+SUMIFS(FINANCIACION[$ CAPITAL],FINANCIACION[Fecha],"&lt;="&amp;FINANCIACION[[#This Row],[Fecha]],FINANCIACION[PRESTAMO],FINANCIACION[[#This Row],[PRESTAMO]])</f>
        <v>-40000000</v>
      </c>
      <c r="G1129" s="53"/>
      <c r="H1129" s="53"/>
      <c r="I1129" s="5" t="b">
        <f>+IF(FINANCIACION[[#This Row],[$ CAPITAL]]&gt;0,FINANCIACION[[#This Row],[$ CAPITAL]])</f>
        <v>0</v>
      </c>
      <c r="J1129" s="33">
        <f>+IF(FINANCIACION[[#This Row],[$ CAPITAL]]&gt;=0,FINANCIACION[[#This Row],[$ CAPITAL]]+FINANCIACION[[#This Row],[$ INTERESES]],0)</f>
        <v>400000</v>
      </c>
    </row>
    <row r="1130" spans="1:10" ht="24" hidden="1" customHeight="1" x14ac:dyDescent="0.3">
      <c r="A1130" s="131">
        <v>44786</v>
      </c>
      <c r="B1130" s="50" t="s">
        <v>532</v>
      </c>
      <c r="C1130" s="5">
        <f>2677378-FINANCIACION[[#This Row],[$ INTERESES]]</f>
        <v>2127909.1338170301</v>
      </c>
      <c r="D1130" s="5">
        <v>549468.86618297</v>
      </c>
      <c r="E1130" s="5">
        <f>+IF(FINANCIACION[[#This Row],[$ CAPITAL]]&gt;=0,FINANCIACION[[#This Row],[$ CAPITAL]]+FINANCIACION[[#This Row],[$ INTERESES]],"")</f>
        <v>2677378</v>
      </c>
      <c r="F1130" s="5">
        <f>+SUMIFS(FINANCIACION[$ CAPITAL],FINANCIACION[Fecha],"&lt;="&amp;FINANCIACION[[#This Row],[Fecha]],FINANCIACION[PRESTAMO],FINANCIACION[[#This Row],[PRESTAMO]])</f>
        <v>-52818977.484479994</v>
      </c>
      <c r="G1130" s="53"/>
      <c r="H1130" s="53"/>
      <c r="I1130" s="5">
        <f>+IF(FINANCIACION[[#This Row],[$ CAPITAL]]&gt;0,FINANCIACION[[#This Row],[$ CAPITAL]])</f>
        <v>2127909.1338170301</v>
      </c>
      <c r="J1130" s="33">
        <f>+IF(FINANCIACION[[#This Row],[$ CAPITAL]]&gt;=0,FINANCIACION[[#This Row],[$ CAPITAL]]+FINANCIACION[[#This Row],[$ INTERESES]],0)</f>
        <v>2677378</v>
      </c>
    </row>
    <row r="1131" spans="1:10" ht="24" hidden="1" customHeight="1" x14ac:dyDescent="0.3">
      <c r="A1131" s="131">
        <v>44786</v>
      </c>
      <c r="B1131" s="50" t="s">
        <v>536</v>
      </c>
      <c r="C1131" s="5">
        <f>1300000-FINANCIACION[[#This Row],[$ INTERESES]]</f>
        <v>819866.98812116706</v>
      </c>
      <c r="D1131" s="5">
        <v>480133.01187883294</v>
      </c>
      <c r="E1131" s="5">
        <f>+IF(FINANCIACION[[#This Row],[$ CAPITAL]]&gt;=0,FINANCIACION[[#This Row],[$ CAPITAL]]+FINANCIACION[[#This Row],[$ INTERESES]],"")</f>
        <v>1300000</v>
      </c>
      <c r="F1131" s="5">
        <f>+SUMIFS(FINANCIACION[$ CAPITAL],FINANCIACION[Fecha],"&lt;="&amp;FINANCIACION[[#This Row],[Fecha]],FINANCIACION[PRESTAMO],FINANCIACION[[#This Row],[PRESTAMO]])</f>
        <v>-47193434.199762128</v>
      </c>
      <c r="G1131" s="53"/>
      <c r="H1131" s="53"/>
      <c r="I1131" s="5">
        <f>+IF(FINANCIACION[[#This Row],[$ CAPITAL]]&gt;0,FINANCIACION[[#This Row],[$ CAPITAL]])</f>
        <v>819866.98812116706</v>
      </c>
      <c r="J1131" s="33">
        <f>+IF(FINANCIACION[[#This Row],[$ CAPITAL]]&gt;=0,FINANCIACION[[#This Row],[$ CAPITAL]]+FINANCIACION[[#This Row],[$ INTERESES]],0)</f>
        <v>1300000</v>
      </c>
    </row>
    <row r="1132" spans="1:10" ht="24" hidden="1" customHeight="1" x14ac:dyDescent="0.3">
      <c r="A1132" s="131">
        <v>44786</v>
      </c>
      <c r="B1132" s="50" t="s">
        <v>533</v>
      </c>
      <c r="C1132" s="5">
        <v>1348053.086407579</v>
      </c>
      <c r="D1132" s="5">
        <v>651946.91359242098</v>
      </c>
      <c r="E1132" s="5">
        <f>+IF(FINANCIACION[[#This Row],[$ CAPITAL]]&gt;=0,FINANCIACION[[#This Row],[$ CAPITAL]]+FINANCIACION[[#This Row],[$ INTERESES]],"")</f>
        <v>2000000</v>
      </c>
      <c r="F1132" s="5">
        <f>+SUMIFS(FINANCIACION[$ CAPITAL],FINANCIACION[Fecha],"&lt;="&amp;FINANCIACION[[#This Row],[Fecha]],FINANCIACION[PRESTAMO],FINANCIACION[[#This Row],[PRESTAMO]])</f>
        <v>-64017326.132834516</v>
      </c>
      <c r="G1132" s="53"/>
      <c r="H1132" s="53"/>
      <c r="I1132" s="5">
        <f>+IF(FINANCIACION[[#This Row],[$ CAPITAL]]&gt;0,FINANCIACION[[#This Row],[$ CAPITAL]])</f>
        <v>1348053.086407579</v>
      </c>
      <c r="J1132" s="33">
        <f>+IF(FINANCIACION[[#This Row],[$ CAPITAL]]&gt;=0,FINANCIACION[[#This Row],[$ CAPITAL]]+FINANCIACION[[#This Row],[$ INTERESES]],0)</f>
        <v>2000000</v>
      </c>
    </row>
    <row r="1133" spans="1:10" ht="24" hidden="1" customHeight="1" x14ac:dyDescent="0.3">
      <c r="A1133" s="131">
        <v>44786</v>
      </c>
      <c r="B1133" s="50" t="s">
        <v>545</v>
      </c>
      <c r="C1133" s="5"/>
      <c r="D1133" s="5">
        <v>120000</v>
      </c>
      <c r="E1133" s="5">
        <f>+IF(FINANCIACION[[#This Row],[$ CAPITAL]]&gt;=0,FINANCIACION[[#This Row],[$ CAPITAL]]+FINANCIACION[[#This Row],[$ INTERESES]],"")</f>
        <v>120000</v>
      </c>
      <c r="F1133" s="5">
        <f>+SUMIFS(FINANCIACION[$ CAPITAL],FINANCIACION[Fecha],"&lt;="&amp;FINANCIACION[[#This Row],[Fecha]],FINANCIACION[PRESTAMO],FINANCIACION[[#This Row],[PRESTAMO]])</f>
        <v>-12000000</v>
      </c>
      <c r="G1133" s="53"/>
      <c r="H1133" s="53"/>
      <c r="I1133" s="5" t="b">
        <f>+IF(FINANCIACION[[#This Row],[$ CAPITAL]]&gt;0,FINANCIACION[[#This Row],[$ CAPITAL]])</f>
        <v>0</v>
      </c>
      <c r="J1133" s="33">
        <f>+IF(FINANCIACION[[#This Row],[$ CAPITAL]]&gt;=0,FINANCIACION[[#This Row],[$ CAPITAL]]+FINANCIACION[[#This Row],[$ INTERESES]],0)</f>
        <v>120000</v>
      </c>
    </row>
    <row r="1134" spans="1:10" ht="24" hidden="1" customHeight="1" x14ac:dyDescent="0.3">
      <c r="A1134" s="131">
        <v>44790</v>
      </c>
      <c r="B1134" s="50" t="s">
        <v>148</v>
      </c>
      <c r="C1134" s="5"/>
      <c r="D1134" s="5">
        <v>422733</v>
      </c>
      <c r="E1134" s="5">
        <f>+IF(FINANCIACION[[#This Row],[$ CAPITAL]]&gt;=0,FINANCIACION[[#This Row],[$ CAPITAL]]+FINANCIACION[[#This Row],[$ INTERESES]],"")</f>
        <v>422733</v>
      </c>
      <c r="F1134" s="5">
        <f>+SUMIFS(FINANCIACION[$ CAPITAL],FINANCIACION[Fecha],"&lt;="&amp;FINANCIACION[[#This Row],[Fecha]],FINANCIACION[PRESTAMO],FINANCIACION[[#This Row],[PRESTAMO]])</f>
        <v>0</v>
      </c>
      <c r="G1134" s="53"/>
      <c r="H1134" s="53"/>
      <c r="I1134" s="5" t="b">
        <f>+IF(FINANCIACION[[#This Row],[$ CAPITAL]]&gt;0,FINANCIACION[[#This Row],[$ CAPITAL]])</f>
        <v>0</v>
      </c>
      <c r="J1134" s="33">
        <f>+IF(FINANCIACION[[#This Row],[$ CAPITAL]]&gt;=0,FINANCIACION[[#This Row],[$ CAPITAL]]+FINANCIACION[[#This Row],[$ INTERESES]],0)</f>
        <v>422733</v>
      </c>
    </row>
    <row r="1135" spans="1:10" ht="24" hidden="1" customHeight="1" x14ac:dyDescent="0.3">
      <c r="A1135" s="131">
        <v>44791</v>
      </c>
      <c r="B1135" s="50" t="s">
        <v>546</v>
      </c>
      <c r="C1135" s="5">
        <v>1077529.3999999999</v>
      </c>
      <c r="D1135" s="5">
        <v>132470.60000000009</v>
      </c>
      <c r="E1135" s="5">
        <f>+IF(FINANCIACION[[#This Row],[$ CAPITAL]]&gt;=0,FINANCIACION[[#This Row],[$ CAPITAL]]+FINANCIACION[[#This Row],[$ INTERESES]],"")</f>
        <v>1210000</v>
      </c>
      <c r="F1135" s="5">
        <f>+SUMIFS(FINANCIACION[$ CAPITAL],FINANCIACION[Fecha],"&lt;="&amp;FINANCIACION[[#This Row],[Fecha]],FINANCIACION[PRESTAMO],FINANCIACION[[#This Row],[PRESTAMO]])</f>
        <v>-9647274.5899999999</v>
      </c>
      <c r="G1135" s="53"/>
      <c r="H1135" s="53"/>
      <c r="I1135" s="5">
        <f>+IF(FINANCIACION[[#This Row],[$ CAPITAL]]&gt;0,FINANCIACION[[#This Row],[$ CAPITAL]])</f>
        <v>1077529.3999999999</v>
      </c>
      <c r="J1135" s="33">
        <f>+IF(FINANCIACION[[#This Row],[$ CAPITAL]]&gt;=0,FINANCIACION[[#This Row],[$ CAPITAL]]+FINANCIACION[[#This Row],[$ INTERESES]],0)</f>
        <v>1210000</v>
      </c>
    </row>
    <row r="1136" spans="1:10" ht="24" hidden="1" customHeight="1" x14ac:dyDescent="0.3">
      <c r="A1136" s="131">
        <v>44791</v>
      </c>
      <c r="B1136" s="50" t="s">
        <v>588</v>
      </c>
      <c r="C1136" s="5">
        <v>1666666.66</v>
      </c>
      <c r="D1136" s="5">
        <v>352333.34000000008</v>
      </c>
      <c r="E1136" s="5">
        <f>+IF(FINANCIACION[[#This Row],[$ CAPITAL]]&gt;=0,FINANCIACION[[#This Row],[$ CAPITAL]]+FINANCIACION[[#This Row],[$ INTERESES]],"")</f>
        <v>2019000</v>
      </c>
      <c r="F1136" s="5">
        <f>+SUMIFS(FINANCIACION[$ CAPITAL],FINANCIACION[Fecha],"&lt;="&amp;FINANCIACION[[#This Row],[Fecha]],FINANCIACION[PRESTAMO],FINANCIACION[[#This Row],[PRESTAMO]])</f>
        <v>-21126506.939999998</v>
      </c>
      <c r="G1136" s="53"/>
      <c r="H1136" s="53"/>
      <c r="I1136" s="5">
        <f>+IF(FINANCIACION[[#This Row],[$ CAPITAL]]&gt;0,FINANCIACION[[#This Row],[$ CAPITAL]])</f>
        <v>1666666.66</v>
      </c>
      <c r="J1136" s="33">
        <f>+IF(FINANCIACION[[#This Row],[$ CAPITAL]]&gt;=0,FINANCIACION[[#This Row],[$ CAPITAL]]+FINANCIACION[[#This Row],[$ INTERESES]],0)</f>
        <v>2019000</v>
      </c>
    </row>
    <row r="1137" spans="1:10" ht="24" hidden="1" customHeight="1" x14ac:dyDescent="0.3">
      <c r="A1137" s="131">
        <v>44791</v>
      </c>
      <c r="B1137" s="50" t="s">
        <v>540</v>
      </c>
      <c r="C1137" s="5">
        <v>853000</v>
      </c>
      <c r="D1137" s="5">
        <v>131000</v>
      </c>
      <c r="E1137" s="5">
        <f>+IF(FINANCIACION[[#This Row],[$ CAPITAL]]&gt;=0,FINANCIACION[[#This Row],[$ CAPITAL]]+FINANCIACION[[#This Row],[$ INTERESES]],"")</f>
        <v>984000</v>
      </c>
      <c r="F1137" s="5">
        <f>+SUMIFS(FINANCIACION[$ CAPITAL],FINANCIACION[Fecha],"&lt;="&amp;FINANCIACION[[#This Row],[Fecha]],FINANCIACION[PRESTAMO],FINANCIACION[[#This Row],[PRESTAMO]])</f>
        <v>-9311333.6499999985</v>
      </c>
      <c r="G1137" s="53"/>
      <c r="H1137" s="53"/>
      <c r="I1137" s="5">
        <f>+IF(FINANCIACION[[#This Row],[$ CAPITAL]]&gt;0,FINANCIACION[[#This Row],[$ CAPITAL]])</f>
        <v>853000</v>
      </c>
      <c r="J1137" s="33">
        <f>+IF(FINANCIACION[[#This Row],[$ CAPITAL]]&gt;=0,FINANCIACION[[#This Row],[$ CAPITAL]]+FINANCIACION[[#This Row],[$ INTERESES]],0)</f>
        <v>984000</v>
      </c>
    </row>
    <row r="1138" spans="1:10" ht="24" hidden="1" customHeight="1" x14ac:dyDescent="0.3">
      <c r="A1138" s="131">
        <v>44791</v>
      </c>
      <c r="B1138" s="50" t="s">
        <v>833</v>
      </c>
      <c r="C1138" s="5">
        <v>453998</v>
      </c>
      <c r="D1138" s="5">
        <v>36313</v>
      </c>
      <c r="E1138" s="5">
        <f>+IF(FINANCIACION[[#This Row],[$ CAPITAL]]&gt;=0,FINANCIACION[[#This Row],[$ CAPITAL]]+FINANCIACION[[#This Row],[$ INTERESES]],"")</f>
        <v>490311</v>
      </c>
      <c r="F1138" s="5">
        <f>+SUMIFS(FINANCIACION[$ CAPITAL],FINANCIACION[Fecha],"&lt;="&amp;FINANCIACION[[#This Row],[Fecha]],FINANCIACION[PRESTAMO],FINANCIACION[[#This Row],[PRESTAMO]])</f>
        <v>-3631984</v>
      </c>
      <c r="G1138" s="53"/>
      <c r="H1138" s="53"/>
      <c r="I1138" s="5">
        <f>+IF(FINANCIACION[[#This Row],[$ CAPITAL]]&gt;0,FINANCIACION[[#This Row],[$ CAPITAL]])</f>
        <v>453998</v>
      </c>
      <c r="J1138" s="33">
        <f>+IF(FINANCIACION[[#This Row],[$ CAPITAL]]&gt;=0,FINANCIACION[[#This Row],[$ CAPITAL]]+FINANCIACION[[#This Row],[$ INTERESES]],0)</f>
        <v>490311</v>
      </c>
    </row>
    <row r="1139" spans="1:10" ht="24" hidden="1" customHeight="1" x14ac:dyDescent="0.3">
      <c r="A1139" s="131">
        <v>44791</v>
      </c>
      <c r="B1139" s="50" t="s">
        <v>548</v>
      </c>
      <c r="C1139" s="5">
        <v>1481481.48</v>
      </c>
      <c r="D1139" s="5">
        <v>884518.52</v>
      </c>
      <c r="E1139" s="5">
        <f>+IF(FINANCIACION[[#This Row],[$ CAPITAL]]&gt;=0,FINANCIACION[[#This Row],[$ CAPITAL]]+FINANCIACION[[#This Row],[$ INTERESES]],"")</f>
        <v>2366000</v>
      </c>
      <c r="F1139" s="5">
        <f>+SUMIFS(FINANCIACION[$ CAPITAL],FINANCIACION[Fecha],"&lt;="&amp;FINANCIACION[[#This Row],[Fecha]],FINANCIACION[PRESTAMO],FINANCIACION[[#This Row],[PRESTAMO]])</f>
        <v>-75546115.409999996</v>
      </c>
      <c r="G1139" s="53"/>
      <c r="H1139" s="53"/>
      <c r="I1139" s="5">
        <f>+IF(FINANCIACION[[#This Row],[$ CAPITAL]]&gt;0,FINANCIACION[[#This Row],[$ CAPITAL]])</f>
        <v>1481481.48</v>
      </c>
      <c r="J1139" s="33">
        <f>+IF(FINANCIACION[[#This Row],[$ CAPITAL]]&gt;=0,FINANCIACION[[#This Row],[$ CAPITAL]]+FINANCIACION[[#This Row],[$ INTERESES]],0)</f>
        <v>2366000</v>
      </c>
    </row>
    <row r="1140" spans="1:10" ht="24" hidden="1" customHeight="1" x14ac:dyDescent="0.3">
      <c r="A1140" s="131">
        <v>44791</v>
      </c>
      <c r="B1140" s="50" t="s">
        <v>542</v>
      </c>
      <c r="C1140" s="5">
        <v>894000</v>
      </c>
      <c r="D1140" s="5">
        <v>149000</v>
      </c>
      <c r="E1140" s="5">
        <f>+IF(FINANCIACION[[#This Row],[$ CAPITAL]]&gt;=0,FINANCIACION[[#This Row],[$ CAPITAL]]+FINANCIACION[[#This Row],[$ INTERESES]],"")</f>
        <v>1043000</v>
      </c>
      <c r="F1140" s="5">
        <f>+SUMIFS(FINANCIACION[$ CAPITAL],FINANCIACION[Fecha],"&lt;="&amp;FINANCIACION[[#This Row],[Fecha]],FINANCIACION[PRESTAMO],FINANCIACION[[#This Row],[PRESTAMO]])</f>
        <v>-10668211.069999998</v>
      </c>
      <c r="G1140" s="53"/>
      <c r="H1140" s="53"/>
      <c r="I1140" s="5">
        <f>+IF(FINANCIACION[[#This Row],[$ CAPITAL]]&gt;0,FINANCIACION[[#This Row],[$ CAPITAL]])</f>
        <v>894000</v>
      </c>
      <c r="J1140" s="33">
        <f>+IF(FINANCIACION[[#This Row],[$ CAPITAL]]&gt;=0,FINANCIACION[[#This Row],[$ CAPITAL]]+FINANCIACION[[#This Row],[$ INTERESES]],0)</f>
        <v>1043000</v>
      </c>
    </row>
    <row r="1141" spans="1:10" ht="24" hidden="1" customHeight="1" x14ac:dyDescent="0.3">
      <c r="A1141" s="131">
        <v>44791</v>
      </c>
      <c r="B1141" s="50" t="s">
        <v>538</v>
      </c>
      <c r="C1141" s="5">
        <v>2176175.9</v>
      </c>
      <c r="D1141" s="5">
        <v>284824.10000000009</v>
      </c>
      <c r="E1141" s="5">
        <f>+IF(FINANCIACION[[#This Row],[$ CAPITAL]]&gt;=0,FINANCIACION[[#This Row],[$ CAPITAL]]+FINANCIACION[[#This Row],[$ INTERESES]],"")</f>
        <v>2461000</v>
      </c>
      <c r="F1141" s="5">
        <f>+SUMIFS(FINANCIACION[$ CAPITAL],FINANCIACION[Fecha],"&lt;="&amp;FINANCIACION[[#This Row],[Fecha]],FINANCIACION[PRESTAMO],FINANCIACION[[#This Row],[PRESTAMO]])</f>
        <v>-21708586.340000004</v>
      </c>
      <c r="G1141" s="53"/>
      <c r="H1141" s="53"/>
      <c r="I1141" s="5">
        <f>+IF(FINANCIACION[[#This Row],[$ CAPITAL]]&gt;0,FINANCIACION[[#This Row],[$ CAPITAL]])</f>
        <v>2176175.9</v>
      </c>
      <c r="J1141" s="33">
        <f>+IF(FINANCIACION[[#This Row],[$ CAPITAL]]&gt;=0,FINANCIACION[[#This Row],[$ CAPITAL]]+FINANCIACION[[#This Row],[$ INTERESES]],0)</f>
        <v>2461000</v>
      </c>
    </row>
    <row r="1142" spans="1:10" ht="24" hidden="1" customHeight="1" x14ac:dyDescent="0.3">
      <c r="A1142" s="131">
        <v>44791</v>
      </c>
      <c r="B1142" s="50" t="s">
        <v>539</v>
      </c>
      <c r="C1142" s="5">
        <v>3159000</v>
      </c>
      <c r="D1142" s="5">
        <v>437000</v>
      </c>
      <c r="E1142" s="5">
        <f>+IF(FINANCIACION[[#This Row],[$ CAPITAL]]&gt;=0,FINANCIACION[[#This Row],[$ CAPITAL]]+FINANCIACION[[#This Row],[$ INTERESES]],"")</f>
        <v>3596000</v>
      </c>
      <c r="F1142" s="5">
        <f>+SUMIFS(FINANCIACION[$ CAPITAL],FINANCIACION[Fecha],"&lt;="&amp;FINANCIACION[[#This Row],[Fecha]],FINANCIACION[PRESTAMO],FINANCIACION[[#This Row],[PRESTAMO]])</f>
        <v>-31429786.059999995</v>
      </c>
      <c r="G1142" s="53"/>
      <c r="H1142" s="53"/>
      <c r="I1142" s="5">
        <f>+IF(FINANCIACION[[#This Row],[$ CAPITAL]]&gt;0,FINANCIACION[[#This Row],[$ CAPITAL]])</f>
        <v>3159000</v>
      </c>
      <c r="J1142" s="33">
        <f>+IF(FINANCIACION[[#This Row],[$ CAPITAL]]&gt;=0,FINANCIACION[[#This Row],[$ CAPITAL]]+FINANCIACION[[#This Row],[$ INTERESES]],0)</f>
        <v>3596000</v>
      </c>
    </row>
    <row r="1143" spans="1:10" ht="24" hidden="1" customHeight="1" x14ac:dyDescent="0.3">
      <c r="A1143" s="131">
        <v>44791</v>
      </c>
      <c r="B1143" s="50" t="s">
        <v>534</v>
      </c>
      <c r="C1143" s="5">
        <v>1264566</v>
      </c>
      <c r="D1143" s="5">
        <v>5302748</v>
      </c>
      <c r="E1143" s="5">
        <f>+IF(FINANCIACION[[#This Row],[$ CAPITAL]]&gt;=0,FINANCIACION[[#This Row],[$ CAPITAL]]+FINANCIACION[[#This Row],[$ INTERESES]],"")</f>
        <v>6567314</v>
      </c>
      <c r="F1143" s="5">
        <f>+SUMIFS(FINANCIACION[$ CAPITAL],FINANCIACION[Fecha],"&lt;="&amp;FINANCIACION[[#This Row],[Fecha]],FINANCIACION[PRESTAMO],FINANCIACION[[#This Row],[PRESTAMO]])</f>
        <v>-362456302</v>
      </c>
      <c r="G1143" s="53"/>
      <c r="H1143" s="53"/>
      <c r="I1143" s="5">
        <f>+IF(FINANCIACION[[#This Row],[$ CAPITAL]]&gt;0,FINANCIACION[[#This Row],[$ CAPITAL]])</f>
        <v>1264566</v>
      </c>
      <c r="J1143" s="33">
        <f>+IF(FINANCIACION[[#This Row],[$ CAPITAL]]&gt;=0,FINANCIACION[[#This Row],[$ CAPITAL]]+FINANCIACION[[#This Row],[$ INTERESES]],0)</f>
        <v>6567314</v>
      </c>
    </row>
    <row r="1144" spans="1:10" ht="24" hidden="1" customHeight="1" x14ac:dyDescent="0.3">
      <c r="A1144" s="131">
        <v>44791</v>
      </c>
      <c r="B1144" s="50" t="s">
        <v>535</v>
      </c>
      <c r="C1144" s="5">
        <v>1306000</v>
      </c>
      <c r="D1144" s="5">
        <v>150000</v>
      </c>
      <c r="E1144" s="5">
        <f>+IF(FINANCIACION[[#This Row],[$ CAPITAL]]&gt;=0,FINANCIACION[[#This Row],[$ CAPITAL]]+FINANCIACION[[#This Row],[$ INTERESES]],"")</f>
        <v>1456000</v>
      </c>
      <c r="F1144" s="5">
        <f>+SUMIFS(FINANCIACION[$ CAPITAL],FINANCIACION[Fecha],"&lt;="&amp;FINANCIACION[[#This Row],[Fecha]],FINANCIACION[PRESTAMO],FINANCIACION[[#This Row],[PRESTAMO]])</f>
        <v>-10341346.890000001</v>
      </c>
      <c r="G1144" s="53"/>
      <c r="H1144" s="53"/>
      <c r="I1144" s="5">
        <f>+IF(FINANCIACION[[#This Row],[$ CAPITAL]]&gt;0,FINANCIACION[[#This Row],[$ CAPITAL]])</f>
        <v>1306000</v>
      </c>
      <c r="J1144" s="33">
        <f>+IF(FINANCIACION[[#This Row],[$ CAPITAL]]&gt;=0,FINANCIACION[[#This Row],[$ CAPITAL]]+FINANCIACION[[#This Row],[$ INTERESES]],0)</f>
        <v>1456000</v>
      </c>
    </row>
    <row r="1145" spans="1:10" ht="24" hidden="1" customHeight="1" x14ac:dyDescent="0.3">
      <c r="A1145" s="131">
        <v>44795</v>
      </c>
      <c r="B1145" s="50" t="s">
        <v>148</v>
      </c>
      <c r="C1145" s="5"/>
      <c r="D1145" s="5">
        <v>330590</v>
      </c>
      <c r="E1145" s="5">
        <f>+IF(FINANCIACION[[#This Row],[$ CAPITAL]]&gt;=0,FINANCIACION[[#This Row],[$ CAPITAL]]+FINANCIACION[[#This Row],[$ INTERESES]],"")</f>
        <v>330590</v>
      </c>
      <c r="F1145" s="5">
        <f>+SUMIFS(FINANCIACION[$ CAPITAL],FINANCIACION[Fecha],"&lt;="&amp;FINANCIACION[[#This Row],[Fecha]],FINANCIACION[PRESTAMO],FINANCIACION[[#This Row],[PRESTAMO]])</f>
        <v>0</v>
      </c>
      <c r="G1145" s="53"/>
      <c r="H1145" s="53"/>
      <c r="I1145" s="5" t="b">
        <f>+IF(FINANCIACION[[#This Row],[$ CAPITAL]]&gt;0,FINANCIACION[[#This Row],[$ CAPITAL]])</f>
        <v>0</v>
      </c>
      <c r="J1145" s="33">
        <f>+IF(FINANCIACION[[#This Row],[$ CAPITAL]]&gt;=0,FINANCIACION[[#This Row],[$ CAPITAL]]+FINANCIACION[[#This Row],[$ INTERESES]],0)</f>
        <v>330590</v>
      </c>
    </row>
    <row r="1146" spans="1:10" ht="24" hidden="1" customHeight="1" x14ac:dyDescent="0.3">
      <c r="A1146" s="131">
        <v>44804</v>
      </c>
      <c r="B1146" s="50" t="s">
        <v>146</v>
      </c>
      <c r="C1146" s="5">
        <v>1468400</v>
      </c>
      <c r="D1146" s="5">
        <v>459144</v>
      </c>
      <c r="E1146" s="5">
        <f>+IF(FINANCIACION[[#This Row],[$ CAPITAL]]&gt;=0,FINANCIACION[[#This Row],[$ CAPITAL]]+FINANCIACION[[#This Row],[$ INTERESES]],"")</f>
        <v>1927544</v>
      </c>
      <c r="F1146" s="5">
        <f>+SUMIFS(FINANCIACION[$ CAPITAL],FINANCIACION[Fecha],"&lt;="&amp;FINANCIACION[[#This Row],[Fecha]],FINANCIACION[PRESTAMO],FINANCIACION[[#This Row],[PRESTAMO]])</f>
        <v>-27899600</v>
      </c>
      <c r="G1146" s="53"/>
      <c r="H1146" s="53"/>
      <c r="I1146" s="5">
        <f>+IF(FINANCIACION[[#This Row],[$ CAPITAL]]&gt;0,FINANCIACION[[#This Row],[$ CAPITAL]])</f>
        <v>1468400</v>
      </c>
      <c r="J1146" s="33">
        <f>+IF(FINANCIACION[[#This Row],[$ CAPITAL]]&gt;=0,FINANCIACION[[#This Row],[$ CAPITAL]]+FINANCIACION[[#This Row],[$ INTERESES]],0)</f>
        <v>1927544</v>
      </c>
    </row>
    <row r="1147" spans="1:10" ht="24" hidden="1" customHeight="1" x14ac:dyDescent="0.3">
      <c r="A1147" s="131">
        <v>44804</v>
      </c>
      <c r="B1147" s="50" t="s">
        <v>147</v>
      </c>
      <c r="C1147" s="5">
        <v>76791</v>
      </c>
      <c r="D1147" s="5"/>
      <c r="E1147" s="5">
        <f>+IF(FINANCIACION[[#This Row],[$ CAPITAL]]&gt;=0,FINANCIACION[[#This Row],[$ CAPITAL]]+FINANCIACION[[#This Row],[$ INTERESES]],"")</f>
        <v>76791</v>
      </c>
      <c r="F1147" s="5">
        <f>+SUMIFS(FINANCIACION[$ CAPITAL],FINANCIACION[Fecha],"&lt;="&amp;FINANCIACION[[#This Row],[Fecha]],FINANCIACION[PRESTAMO],FINANCIACION[[#This Row],[PRESTAMO]])</f>
        <v>-1459029</v>
      </c>
      <c r="G1147" s="53"/>
      <c r="H1147" s="53"/>
      <c r="I1147" s="5">
        <f>+IF(FINANCIACION[[#This Row],[$ CAPITAL]]&gt;0,FINANCIACION[[#This Row],[$ CAPITAL]])</f>
        <v>76791</v>
      </c>
      <c r="J1147" s="33">
        <f>+IF(FINANCIACION[[#This Row],[$ CAPITAL]]&gt;=0,FINANCIACION[[#This Row],[$ CAPITAL]]+FINANCIACION[[#This Row],[$ INTERESES]],0)</f>
        <v>76791</v>
      </c>
    </row>
    <row r="1148" spans="1:10" ht="24" hidden="1" customHeight="1" x14ac:dyDescent="0.3">
      <c r="A1148" s="131">
        <v>44804</v>
      </c>
      <c r="B1148" s="50" t="s">
        <v>272</v>
      </c>
      <c r="C1148" s="5">
        <v>3875324.7999999989</v>
      </c>
      <c r="D1148" s="5"/>
      <c r="E1148" s="5">
        <f>+IF(FINANCIACION[[#This Row],[$ CAPITAL]]&gt;=0,FINANCIACION[[#This Row],[$ CAPITAL]]+FINANCIACION[[#This Row],[$ INTERESES]],"")</f>
        <v>3875324.7999999989</v>
      </c>
      <c r="F1148" s="5">
        <f>+SUMIFS(FINANCIACION[$ CAPITAL],FINANCIACION[Fecha],"&lt;="&amp;FINANCIACION[[#This Row],[Fecha]],FINANCIACION[PRESTAMO],FINANCIACION[[#This Row],[PRESTAMO]])</f>
        <v>-16520851.200000001</v>
      </c>
      <c r="G1148" s="53" t="s">
        <v>170</v>
      </c>
      <c r="H1148" s="53"/>
      <c r="I1148" s="5">
        <f>+IF(FINANCIACION[[#This Row],[$ CAPITAL]]&gt;0,FINANCIACION[[#This Row],[$ CAPITAL]])</f>
        <v>3875324.7999999989</v>
      </c>
      <c r="J1148" s="33">
        <f>+IF(FINANCIACION[[#This Row],[$ CAPITAL]]&gt;=0,FINANCIACION[[#This Row],[$ CAPITAL]]+FINANCIACION[[#This Row],[$ INTERESES]],0)</f>
        <v>3875324.7999999989</v>
      </c>
    </row>
    <row r="1149" spans="1:10" ht="24" hidden="1" customHeight="1" x14ac:dyDescent="0.3">
      <c r="A1149" s="131">
        <v>44804</v>
      </c>
      <c r="B1149" s="50" t="s">
        <v>331</v>
      </c>
      <c r="C1149" s="5">
        <v>-4041620.8000000045</v>
      </c>
      <c r="D1149" s="5"/>
      <c r="E1149" s="5" t="str">
        <f>+IF(FINANCIACION[[#This Row],[$ CAPITAL]]&gt;=0,FINANCIACION[[#This Row],[$ CAPITAL]]+FINANCIACION[[#This Row],[$ INTERESES]],"")</f>
        <v/>
      </c>
      <c r="F1149" s="5">
        <f>+SUMIFS(FINANCIACION[$ CAPITAL],FINANCIACION[Fecha],"&lt;="&amp;FINANCIACION[[#This Row],[Fecha]],FINANCIACION[PRESTAMO],FINANCIACION[[#This Row],[PRESTAMO]])</f>
        <v>-64665932.800000004</v>
      </c>
      <c r="G1149" s="53" t="s">
        <v>170</v>
      </c>
      <c r="H1149" s="53"/>
      <c r="I1149" s="5" t="b">
        <f>+IF(FINANCIACION[[#This Row],[$ CAPITAL]]&gt;0,FINANCIACION[[#This Row],[$ CAPITAL]])</f>
        <v>0</v>
      </c>
      <c r="J1149" s="33">
        <f>+IF(FINANCIACION[[#This Row],[$ CAPITAL]]&gt;=0,FINANCIACION[[#This Row],[$ CAPITAL]]+FINANCIACION[[#This Row],[$ INTERESES]],0)</f>
        <v>0</v>
      </c>
    </row>
    <row r="1150" spans="1:10" ht="24" hidden="1" customHeight="1" x14ac:dyDescent="0.3">
      <c r="A1150" s="131">
        <v>44804</v>
      </c>
      <c r="B1150" s="50" t="s">
        <v>684</v>
      </c>
      <c r="C1150" s="5">
        <v>-2907690.8000000045</v>
      </c>
      <c r="D1150" s="5"/>
      <c r="E1150" s="5" t="str">
        <f>+IF(FINANCIACION[[#This Row],[$ CAPITAL]]&gt;=0,FINANCIACION[[#This Row],[$ CAPITAL]]+FINANCIACION[[#This Row],[$ INTERESES]],"")</f>
        <v/>
      </c>
      <c r="F1150" s="5">
        <f>+SUMIFS(FINANCIACION[$ CAPITAL],FINANCIACION[Fecha],"&lt;="&amp;FINANCIACION[[#This Row],[Fecha]],FINANCIACION[PRESTAMO],FINANCIACION[[#This Row],[PRESTAMO]])</f>
        <v>-46254252.800000004</v>
      </c>
      <c r="G1150" s="53" t="s">
        <v>170</v>
      </c>
      <c r="H1150" s="53"/>
      <c r="I1150" s="5" t="b">
        <f>+IF(FINANCIACION[[#This Row],[$ CAPITAL]]&gt;0,FINANCIACION[[#This Row],[$ CAPITAL]])</f>
        <v>0</v>
      </c>
      <c r="J1150" s="33">
        <f>+IF(FINANCIACION[[#This Row],[$ CAPITAL]]&gt;=0,FINANCIACION[[#This Row],[$ CAPITAL]]+FINANCIACION[[#This Row],[$ INTERESES]],0)</f>
        <v>0</v>
      </c>
    </row>
    <row r="1151" spans="1:10" ht="24" hidden="1" customHeight="1" x14ac:dyDescent="0.3">
      <c r="A1151" s="131">
        <v>44804</v>
      </c>
      <c r="B1151" s="50" t="s">
        <v>812</v>
      </c>
      <c r="C1151" s="5">
        <v>321742</v>
      </c>
      <c r="D1151" s="5"/>
      <c r="E1151" s="5">
        <f>+IF(FINANCIACION[[#This Row],[$ CAPITAL]]&gt;=0,FINANCIACION[[#This Row],[$ CAPITAL]]+FINANCIACION[[#This Row],[$ INTERESES]],"")</f>
        <v>321742</v>
      </c>
      <c r="F1151" s="5">
        <f>+SUMIFS(FINANCIACION[$ CAPITAL],FINANCIACION[Fecha],"&lt;="&amp;FINANCIACION[[#This Row],[Fecha]],FINANCIACION[PRESTAMO],FINANCIACION[[#This Row],[PRESTAMO]])</f>
        <v>-72070208</v>
      </c>
      <c r="G1151" s="53" t="s">
        <v>170</v>
      </c>
      <c r="H1151" s="53"/>
      <c r="I1151" s="5">
        <f>+IF(FINANCIACION[[#This Row],[$ CAPITAL]]&gt;0,FINANCIACION[[#This Row],[$ CAPITAL]])</f>
        <v>321742</v>
      </c>
      <c r="J1151" s="33">
        <f>+IF(FINANCIACION[[#This Row],[$ CAPITAL]]&gt;=0,FINANCIACION[[#This Row],[$ CAPITAL]]+FINANCIACION[[#This Row],[$ INTERESES]],0)</f>
        <v>321742</v>
      </c>
    </row>
    <row r="1152" spans="1:10" ht="24" hidden="1" customHeight="1" x14ac:dyDescent="0.3">
      <c r="A1152" s="131">
        <v>44804</v>
      </c>
      <c r="B1152" s="50" t="s">
        <v>150</v>
      </c>
      <c r="C1152" s="5"/>
      <c r="D1152" s="5"/>
      <c r="E1152" s="5">
        <f>+IF(FINANCIACION[[#This Row],[$ CAPITAL]]&gt;=0,FINANCIACION[[#This Row],[$ CAPITAL]]+FINANCIACION[[#This Row],[$ INTERESES]],"")</f>
        <v>0</v>
      </c>
      <c r="F1152" s="5">
        <f>+SUMIFS(FINANCIACION[$ CAPITAL],FINANCIACION[Fecha],"&lt;="&amp;FINANCIACION[[#This Row],[Fecha]],FINANCIACION[PRESTAMO],FINANCIACION[[#This Row],[PRESTAMO]])</f>
        <v>-14166000</v>
      </c>
      <c r="G1152" s="53" t="s">
        <v>170</v>
      </c>
      <c r="H1152" s="53"/>
      <c r="I1152" s="5" t="b">
        <f>+IF(FINANCIACION[[#This Row],[$ CAPITAL]]&gt;0,FINANCIACION[[#This Row],[$ CAPITAL]])</f>
        <v>0</v>
      </c>
      <c r="J1152" s="33">
        <f>+IF(FINANCIACION[[#This Row],[$ CAPITAL]]&gt;=0,FINANCIACION[[#This Row],[$ CAPITAL]]+FINANCIACION[[#This Row],[$ INTERESES]],0)</f>
        <v>0</v>
      </c>
    </row>
    <row r="1153" spans="1:10" ht="24" hidden="1" customHeight="1" x14ac:dyDescent="0.3">
      <c r="A1153" s="131">
        <v>44804</v>
      </c>
      <c r="B1153" s="50" t="s">
        <v>1488</v>
      </c>
      <c r="C1153" s="52">
        <v>-1558290</v>
      </c>
      <c r="D1153" s="5"/>
      <c r="E1153" s="5" t="str">
        <f>+IF(FINANCIACION[[#This Row],[$ CAPITAL]]&gt;=0,FINANCIACION[[#This Row],[$ CAPITAL]]+FINANCIACION[[#This Row],[$ INTERESES]],"")</f>
        <v/>
      </c>
      <c r="F1153" s="5">
        <f>+SUMIFS(FINANCIACION[$ CAPITAL],FINANCIACION[Fecha],"&lt;="&amp;FINANCIACION[[#This Row],[Fecha]],FINANCIACION[PRESTAMO],FINANCIACION[[#This Row],[PRESTAMO]])</f>
        <v>-2289330</v>
      </c>
      <c r="G1153" s="53"/>
      <c r="H1153" s="53"/>
      <c r="I1153" s="5" t="b">
        <f>+IF(FINANCIACION[[#This Row],[$ CAPITAL]]&gt;0,FINANCIACION[[#This Row],[$ CAPITAL]])</f>
        <v>0</v>
      </c>
      <c r="J1153" s="33">
        <f>+IF(FINANCIACION[[#This Row],[$ CAPITAL]]&gt;=0,FINANCIACION[[#This Row],[$ CAPITAL]]+FINANCIACION[[#This Row],[$ INTERESES]],0)</f>
        <v>0</v>
      </c>
    </row>
    <row r="1154" spans="1:10" ht="24" hidden="1" customHeight="1" x14ac:dyDescent="0.3">
      <c r="A1154" s="131">
        <v>44804</v>
      </c>
      <c r="B1154" s="50" t="s">
        <v>154</v>
      </c>
      <c r="C1154" s="52">
        <v>-5300120</v>
      </c>
      <c r="D1154" s="5"/>
      <c r="E1154" s="5" t="str">
        <f>+IF(FINANCIACION[[#This Row],[$ CAPITAL]]&gt;=0,FINANCIACION[[#This Row],[$ CAPITAL]]+FINANCIACION[[#This Row],[$ INTERESES]],"")</f>
        <v/>
      </c>
      <c r="F1154" s="5">
        <f>+SUMIFS(FINANCIACION[$ CAPITAL],FINANCIACION[Fecha],"&lt;="&amp;FINANCIACION[[#This Row],[Fecha]],FINANCIACION[PRESTAMO],FINANCIACION[[#This Row],[PRESTAMO]])</f>
        <v>-22440320</v>
      </c>
      <c r="G1154" s="53"/>
      <c r="H1154" s="53"/>
      <c r="I1154" s="5" t="b">
        <f>+IF(FINANCIACION[[#This Row],[$ CAPITAL]]&gt;0,FINANCIACION[[#This Row],[$ CAPITAL]])</f>
        <v>0</v>
      </c>
      <c r="J1154" s="33">
        <f>+IF(FINANCIACION[[#This Row],[$ CAPITAL]]&gt;=0,FINANCIACION[[#This Row],[$ CAPITAL]]+FINANCIACION[[#This Row],[$ INTERESES]],0)</f>
        <v>0</v>
      </c>
    </row>
    <row r="1155" spans="1:10" ht="24" hidden="1" customHeight="1" x14ac:dyDescent="0.3">
      <c r="A1155" s="131">
        <v>44804</v>
      </c>
      <c r="B1155" s="50" t="s">
        <v>155</v>
      </c>
      <c r="C1155" s="52">
        <v>2705406</v>
      </c>
      <c r="D1155" s="5"/>
      <c r="E1155" s="5">
        <f>+IF(FINANCIACION[[#This Row],[$ CAPITAL]]&gt;=0,FINANCIACION[[#This Row],[$ CAPITAL]]+FINANCIACION[[#This Row],[$ INTERESES]],"")</f>
        <v>2705406</v>
      </c>
      <c r="F1155" s="5">
        <f>+SUMIFS(FINANCIACION[$ CAPITAL],FINANCIACION[Fecha],"&lt;="&amp;FINANCIACION[[#This Row],[Fecha]],FINANCIACION[PRESTAMO],FINANCIACION[[#This Row],[PRESTAMO]])</f>
        <v>-17543149</v>
      </c>
      <c r="G1155" s="53"/>
      <c r="H1155" s="53"/>
      <c r="I1155" s="5">
        <f>+IF(FINANCIACION[[#This Row],[$ CAPITAL]]&gt;0,FINANCIACION[[#This Row],[$ CAPITAL]])</f>
        <v>2705406</v>
      </c>
      <c r="J1155" s="33">
        <f>+IF(FINANCIACION[[#This Row],[$ CAPITAL]]&gt;=0,FINANCIACION[[#This Row],[$ CAPITAL]]+FINANCIACION[[#This Row],[$ INTERESES]],0)</f>
        <v>2705406</v>
      </c>
    </row>
    <row r="1156" spans="1:10" ht="24" hidden="1" customHeight="1" x14ac:dyDescent="0.3">
      <c r="A1156" s="131">
        <v>44809</v>
      </c>
      <c r="B1156" s="50" t="s">
        <v>552</v>
      </c>
      <c r="C1156" s="5">
        <v>1744958</v>
      </c>
      <c r="D1156" s="5">
        <v>153497</v>
      </c>
      <c r="E1156" s="5">
        <f>+IF(FINANCIACION[[#This Row],[$ CAPITAL]]&gt;=0,FINANCIACION[[#This Row],[$ CAPITAL]]+FINANCIACION[[#This Row],[$ INTERESES]],"")</f>
        <v>1898455</v>
      </c>
      <c r="F1156" s="5">
        <f>+SUMIFS(FINANCIACION[$ CAPITAL],FINANCIACION[Fecha],"&lt;="&amp;FINANCIACION[[#This Row],[Fecha]],FINANCIACION[PRESTAMO],FINANCIACION[[#This Row],[PRESTAMO]])</f>
        <v>-8723406</v>
      </c>
      <c r="G1156" s="53"/>
      <c r="H1156" s="53"/>
      <c r="I1156" s="5">
        <f>+IF(FINANCIACION[[#This Row],[$ CAPITAL]]&gt;0,FINANCIACION[[#This Row],[$ CAPITAL]])</f>
        <v>1744958</v>
      </c>
      <c r="J1156" s="33">
        <f>+IF(FINANCIACION[[#This Row],[$ CAPITAL]]&gt;=0,FINANCIACION[[#This Row],[$ CAPITAL]]+FINANCIACION[[#This Row],[$ INTERESES]],0)</f>
        <v>1898455</v>
      </c>
    </row>
    <row r="1157" spans="1:10" ht="24" hidden="1" customHeight="1" x14ac:dyDescent="0.3">
      <c r="A1157" s="131">
        <v>44810</v>
      </c>
      <c r="B1157" s="50" t="s">
        <v>148</v>
      </c>
      <c r="C1157" s="5"/>
      <c r="D1157" s="5">
        <v>149903</v>
      </c>
      <c r="E1157" s="5">
        <f>+IF(FINANCIACION[[#This Row],[$ CAPITAL]]&gt;=0,FINANCIACION[[#This Row],[$ CAPITAL]]+FINANCIACION[[#This Row],[$ INTERESES]],"")</f>
        <v>149903</v>
      </c>
      <c r="F1157" s="5">
        <f>+SUMIFS(FINANCIACION[$ CAPITAL],FINANCIACION[Fecha],"&lt;="&amp;FINANCIACION[[#This Row],[Fecha]],FINANCIACION[PRESTAMO],FINANCIACION[[#This Row],[PRESTAMO]])</f>
        <v>0</v>
      </c>
      <c r="G1157" s="53"/>
      <c r="H1157" s="53"/>
      <c r="I1157" s="5" t="b">
        <f>+IF(FINANCIACION[[#This Row],[$ CAPITAL]]&gt;0,FINANCIACION[[#This Row],[$ CAPITAL]])</f>
        <v>0</v>
      </c>
      <c r="J1157" s="33">
        <f>+IF(FINANCIACION[[#This Row],[$ CAPITAL]]&gt;=0,FINANCIACION[[#This Row],[$ CAPITAL]]+FINANCIACION[[#This Row],[$ INTERESES]],0)</f>
        <v>149903</v>
      </c>
    </row>
    <row r="1158" spans="1:10" ht="24" hidden="1" customHeight="1" x14ac:dyDescent="0.3">
      <c r="A1158" s="131">
        <v>44812</v>
      </c>
      <c r="B1158" s="50" t="s">
        <v>148</v>
      </c>
      <c r="C1158" s="5"/>
      <c r="D1158" s="5">
        <v>511464</v>
      </c>
      <c r="E1158" s="5">
        <f>+IF(FINANCIACION[[#This Row],[$ CAPITAL]]&gt;=0,FINANCIACION[[#This Row],[$ CAPITAL]]+FINANCIACION[[#This Row],[$ INTERESES]],"")</f>
        <v>511464</v>
      </c>
      <c r="F1158" s="5">
        <f>+SUMIFS(FINANCIACION[$ CAPITAL],FINANCIACION[Fecha],"&lt;="&amp;FINANCIACION[[#This Row],[Fecha]],FINANCIACION[PRESTAMO],FINANCIACION[[#This Row],[PRESTAMO]])</f>
        <v>0</v>
      </c>
      <c r="G1158" s="53"/>
      <c r="H1158" s="53"/>
      <c r="I1158" s="5" t="b">
        <f>+IF(FINANCIACION[[#This Row],[$ CAPITAL]]&gt;0,FINANCIACION[[#This Row],[$ CAPITAL]])</f>
        <v>0</v>
      </c>
      <c r="J1158" s="33">
        <f>+IF(FINANCIACION[[#This Row],[$ CAPITAL]]&gt;=0,FINANCIACION[[#This Row],[$ CAPITAL]]+FINANCIACION[[#This Row],[$ INTERESES]],0)</f>
        <v>511464</v>
      </c>
    </row>
    <row r="1159" spans="1:10" ht="24" hidden="1" customHeight="1" x14ac:dyDescent="0.3">
      <c r="A1159" s="131">
        <v>44817</v>
      </c>
      <c r="B1159" s="50" t="s">
        <v>543</v>
      </c>
      <c r="C1159" s="5"/>
      <c r="D1159" s="5">
        <v>130000</v>
      </c>
      <c r="E1159" s="5">
        <f>+IF(FINANCIACION[[#This Row],[$ CAPITAL]]&gt;=0,FINANCIACION[[#This Row],[$ CAPITAL]]+FINANCIACION[[#This Row],[$ INTERESES]],"")</f>
        <v>130000</v>
      </c>
      <c r="F1159" s="5">
        <f>+SUMIFS(FINANCIACION[$ CAPITAL],FINANCIACION[Fecha],"&lt;="&amp;FINANCIACION[[#This Row],[Fecha]],FINANCIACION[PRESTAMO],FINANCIACION[[#This Row],[PRESTAMO]])</f>
        <v>-13000000</v>
      </c>
      <c r="G1159" s="53"/>
      <c r="H1159" s="53"/>
      <c r="I1159" s="5" t="b">
        <f>+IF(FINANCIACION[[#This Row],[$ CAPITAL]]&gt;0,FINANCIACION[[#This Row],[$ CAPITAL]])</f>
        <v>0</v>
      </c>
      <c r="J1159" s="33">
        <f>+IF(FINANCIACION[[#This Row],[$ CAPITAL]]&gt;=0,FINANCIACION[[#This Row],[$ CAPITAL]]+FINANCIACION[[#This Row],[$ INTERESES]],0)</f>
        <v>130000</v>
      </c>
    </row>
    <row r="1160" spans="1:10" ht="24" hidden="1" customHeight="1" x14ac:dyDescent="0.3">
      <c r="A1160" s="131">
        <v>44817</v>
      </c>
      <c r="B1160" s="50" t="s">
        <v>547</v>
      </c>
      <c r="C1160" s="5"/>
      <c r="D1160" s="5">
        <v>400000</v>
      </c>
      <c r="E1160" s="5">
        <f>+IF(FINANCIACION[[#This Row],[$ CAPITAL]]&gt;=0,FINANCIACION[[#This Row],[$ CAPITAL]]+FINANCIACION[[#This Row],[$ INTERESES]],"")</f>
        <v>400000</v>
      </c>
      <c r="F1160" s="5">
        <f>+SUMIFS(FINANCIACION[$ CAPITAL],FINANCIACION[Fecha],"&lt;="&amp;FINANCIACION[[#This Row],[Fecha]],FINANCIACION[PRESTAMO],FINANCIACION[[#This Row],[PRESTAMO]])</f>
        <v>-40000000</v>
      </c>
      <c r="G1160" s="53"/>
      <c r="H1160" s="53"/>
      <c r="I1160" s="5" t="b">
        <f>+IF(FINANCIACION[[#This Row],[$ CAPITAL]]&gt;0,FINANCIACION[[#This Row],[$ CAPITAL]])</f>
        <v>0</v>
      </c>
      <c r="J1160" s="33">
        <f>+IF(FINANCIACION[[#This Row],[$ CAPITAL]]&gt;=0,FINANCIACION[[#This Row],[$ CAPITAL]]+FINANCIACION[[#This Row],[$ INTERESES]],0)</f>
        <v>400000</v>
      </c>
    </row>
    <row r="1161" spans="1:10" ht="24" hidden="1" customHeight="1" x14ac:dyDescent="0.3">
      <c r="A1161" s="131">
        <v>44817</v>
      </c>
      <c r="B1161" s="50" t="s">
        <v>536</v>
      </c>
      <c r="C1161" s="5">
        <f>1300000-FINANCIACION[[#This Row],[$ INTERESES]]</f>
        <v>828066</v>
      </c>
      <c r="D1161" s="5">
        <v>471934</v>
      </c>
      <c r="E1161" s="5">
        <f>+IF(FINANCIACION[[#This Row],[$ CAPITAL]]&gt;=0,FINANCIACION[[#This Row],[$ CAPITAL]]+FINANCIACION[[#This Row],[$ INTERESES]],"")</f>
        <v>1300000</v>
      </c>
      <c r="F1161" s="5">
        <f>+SUMIFS(FINANCIACION[$ CAPITAL],FINANCIACION[Fecha],"&lt;="&amp;FINANCIACION[[#This Row],[Fecha]],FINANCIACION[PRESTAMO],FINANCIACION[[#This Row],[PRESTAMO]])</f>
        <v>-46365368.199762128</v>
      </c>
      <c r="G1161" s="53"/>
      <c r="H1161" s="53"/>
      <c r="I1161" s="5">
        <f>+IF(FINANCIACION[[#This Row],[$ CAPITAL]]&gt;0,FINANCIACION[[#This Row],[$ CAPITAL]])</f>
        <v>828066</v>
      </c>
      <c r="J1161" s="33">
        <f>+IF(FINANCIACION[[#This Row],[$ CAPITAL]]&gt;=0,FINANCIACION[[#This Row],[$ CAPITAL]]+FINANCIACION[[#This Row],[$ INTERESES]],0)</f>
        <v>1300000</v>
      </c>
    </row>
    <row r="1162" spans="1:10" ht="24" hidden="1" customHeight="1" x14ac:dyDescent="0.3">
      <c r="A1162" s="131">
        <v>44817</v>
      </c>
      <c r="B1162" s="50" t="s">
        <v>545</v>
      </c>
      <c r="C1162" s="5"/>
      <c r="D1162" s="5">
        <v>120000</v>
      </c>
      <c r="E1162" s="5">
        <f>+IF(FINANCIACION[[#This Row],[$ CAPITAL]]&gt;=0,FINANCIACION[[#This Row],[$ CAPITAL]]+FINANCIACION[[#This Row],[$ INTERESES]],"")</f>
        <v>120000</v>
      </c>
      <c r="F1162" s="5">
        <f>+SUMIFS(FINANCIACION[$ CAPITAL],FINANCIACION[Fecha],"&lt;="&amp;FINANCIACION[[#This Row],[Fecha]],FINANCIACION[PRESTAMO],FINANCIACION[[#This Row],[PRESTAMO]])</f>
        <v>-12000000</v>
      </c>
      <c r="G1162" s="53"/>
      <c r="H1162" s="53"/>
      <c r="I1162" s="5" t="b">
        <f>+IF(FINANCIACION[[#This Row],[$ CAPITAL]]&gt;0,FINANCIACION[[#This Row],[$ CAPITAL]])</f>
        <v>0</v>
      </c>
      <c r="J1162" s="33">
        <f>+IF(FINANCIACION[[#This Row],[$ CAPITAL]]&gt;=0,FINANCIACION[[#This Row],[$ CAPITAL]]+FINANCIACION[[#This Row],[$ INTERESES]],0)</f>
        <v>120000</v>
      </c>
    </row>
    <row r="1163" spans="1:10" ht="24" hidden="1" customHeight="1" x14ac:dyDescent="0.3">
      <c r="A1163" s="131">
        <v>44819</v>
      </c>
      <c r="B1163" s="50" t="s">
        <v>150</v>
      </c>
      <c r="C1163" s="5">
        <v>417000</v>
      </c>
      <c r="D1163" s="5">
        <v>227121.46</v>
      </c>
      <c r="E1163" s="5">
        <f>+IF(FINANCIACION[[#This Row],[$ CAPITAL]]&gt;=0,FINANCIACION[[#This Row],[$ CAPITAL]]+FINANCIACION[[#This Row],[$ INTERESES]],"")</f>
        <v>644121.46</v>
      </c>
      <c r="F1163" s="5">
        <f>+SUMIFS(FINANCIACION[$ CAPITAL],FINANCIACION[Fecha],"&lt;="&amp;FINANCIACION[[#This Row],[Fecha]],FINANCIACION[PRESTAMO],FINANCIACION[[#This Row],[PRESTAMO]])</f>
        <v>-13749000</v>
      </c>
      <c r="G1163" s="53"/>
      <c r="H1163" s="53"/>
      <c r="I1163" s="5">
        <f>+IF(FINANCIACION[[#This Row],[$ CAPITAL]]&gt;0,FINANCIACION[[#This Row],[$ CAPITAL]])</f>
        <v>417000</v>
      </c>
      <c r="J1163" s="33">
        <f>+IF(FINANCIACION[[#This Row],[$ CAPITAL]]&gt;=0,FINANCIACION[[#This Row],[$ CAPITAL]]+FINANCIACION[[#This Row],[$ INTERESES]],0)</f>
        <v>644121.46</v>
      </c>
    </row>
    <row r="1164" spans="1:10" ht="24" hidden="1" customHeight="1" x14ac:dyDescent="0.3">
      <c r="A1164" s="131">
        <v>44823</v>
      </c>
      <c r="B1164" s="50" t="s">
        <v>532</v>
      </c>
      <c r="C1164" s="5">
        <v>2149210</v>
      </c>
      <c r="D1164" s="5">
        <v>528190</v>
      </c>
      <c r="E1164" s="5">
        <f>+IF(FINANCIACION[[#This Row],[$ CAPITAL]]&gt;=0,FINANCIACION[[#This Row],[$ CAPITAL]]+FINANCIACION[[#This Row],[$ INTERESES]],"")</f>
        <v>2677400</v>
      </c>
      <c r="F1164" s="5">
        <f>+SUMIFS(FINANCIACION[$ CAPITAL],FINANCIACION[Fecha],"&lt;="&amp;FINANCIACION[[#This Row],[Fecha]],FINANCIACION[PRESTAMO],FINANCIACION[[#This Row],[PRESTAMO]])</f>
        <v>-50669767.484479994</v>
      </c>
      <c r="G1164" s="53"/>
      <c r="H1164" s="53"/>
      <c r="I1164" s="5">
        <f>+IF(FINANCIACION[[#This Row],[$ CAPITAL]]&gt;0,FINANCIACION[[#This Row],[$ CAPITAL]])</f>
        <v>2149210</v>
      </c>
      <c r="J1164" s="33">
        <f>+IF(FINANCIACION[[#This Row],[$ CAPITAL]]&gt;=0,FINANCIACION[[#This Row],[$ CAPITAL]]+FINANCIACION[[#This Row],[$ INTERESES]],0)</f>
        <v>2677400</v>
      </c>
    </row>
    <row r="1165" spans="1:10" ht="24" hidden="1" customHeight="1" x14ac:dyDescent="0.3">
      <c r="A1165" s="131">
        <v>44823</v>
      </c>
      <c r="B1165" s="50" t="s">
        <v>533</v>
      </c>
      <c r="C1165" s="5">
        <v>1359827</v>
      </c>
      <c r="D1165" s="5">
        <v>640173</v>
      </c>
      <c r="E1165" s="5">
        <f>+IF(FINANCIACION[[#This Row],[$ CAPITAL]]&gt;=0,FINANCIACION[[#This Row],[$ CAPITAL]]+FINANCIACION[[#This Row],[$ INTERESES]],"")</f>
        <v>2000000</v>
      </c>
      <c r="F1165" s="5">
        <f>+SUMIFS(FINANCIACION[$ CAPITAL],FINANCIACION[Fecha],"&lt;="&amp;FINANCIACION[[#This Row],[Fecha]],FINANCIACION[PRESTAMO],FINANCIACION[[#This Row],[PRESTAMO]])</f>
        <v>-62657499.132834516</v>
      </c>
      <c r="G1165" s="53"/>
      <c r="H1165" s="53"/>
      <c r="I1165" s="5">
        <f>+IF(FINANCIACION[[#This Row],[$ CAPITAL]]&gt;0,FINANCIACION[[#This Row],[$ CAPITAL]])</f>
        <v>1359827</v>
      </c>
      <c r="J1165" s="33">
        <f>+IF(FINANCIACION[[#This Row],[$ CAPITAL]]&gt;=0,FINANCIACION[[#This Row],[$ CAPITAL]]+FINANCIACION[[#This Row],[$ INTERESES]],0)</f>
        <v>2000000</v>
      </c>
    </row>
    <row r="1166" spans="1:10" ht="24" hidden="1" customHeight="1" x14ac:dyDescent="0.3">
      <c r="A1166" s="131">
        <v>44823</v>
      </c>
      <c r="B1166" s="50" t="s">
        <v>563</v>
      </c>
      <c r="C1166" s="5"/>
      <c r="D1166" s="5">
        <v>500000</v>
      </c>
      <c r="E1166" s="5">
        <f>+IF(FINANCIACION[[#This Row],[$ CAPITAL]]&gt;=0,FINANCIACION[[#This Row],[$ CAPITAL]]+FINANCIACION[[#This Row],[$ INTERESES]],"")</f>
        <v>500000</v>
      </c>
      <c r="F1166" s="5">
        <f>+SUMIFS(FINANCIACION[$ CAPITAL],FINANCIACION[Fecha],"&lt;="&amp;FINANCIACION[[#This Row],[Fecha]],FINANCIACION[PRESTAMO],FINANCIACION[[#This Row],[PRESTAMO]])</f>
        <v>-50000000</v>
      </c>
      <c r="G1166" s="53"/>
      <c r="H1166" s="53"/>
      <c r="I1166" s="5" t="b">
        <f>+IF(FINANCIACION[[#This Row],[$ CAPITAL]]&gt;0,FINANCIACION[[#This Row],[$ CAPITAL]])</f>
        <v>0</v>
      </c>
      <c r="J1166" s="33">
        <f>+IF(FINANCIACION[[#This Row],[$ CAPITAL]]&gt;=0,FINANCIACION[[#This Row],[$ CAPITAL]]+FINANCIACION[[#This Row],[$ INTERESES]],0)</f>
        <v>500000</v>
      </c>
    </row>
    <row r="1167" spans="1:10" ht="24" hidden="1" customHeight="1" x14ac:dyDescent="0.3">
      <c r="A1167" s="131">
        <v>44823</v>
      </c>
      <c r="B1167" s="50" t="s">
        <v>148</v>
      </c>
      <c r="C1167" s="5"/>
      <c r="D1167" s="5">
        <v>452189</v>
      </c>
      <c r="E1167" s="5">
        <f>+IF(FINANCIACION[[#This Row],[$ CAPITAL]]&gt;=0,FINANCIACION[[#This Row],[$ CAPITAL]]+FINANCIACION[[#This Row],[$ INTERESES]],"")</f>
        <v>452189</v>
      </c>
      <c r="F1167" s="5">
        <f>+SUMIFS(FINANCIACION[$ CAPITAL],FINANCIACION[Fecha],"&lt;="&amp;FINANCIACION[[#This Row],[Fecha]],FINANCIACION[PRESTAMO],FINANCIACION[[#This Row],[PRESTAMO]])</f>
        <v>0</v>
      </c>
      <c r="G1167" s="53"/>
      <c r="H1167" s="53"/>
      <c r="I1167" s="5" t="b">
        <f>+IF(FINANCIACION[[#This Row],[$ CAPITAL]]&gt;0,FINANCIACION[[#This Row],[$ CAPITAL]])</f>
        <v>0</v>
      </c>
      <c r="J1167" s="33">
        <f>+IF(FINANCIACION[[#This Row],[$ CAPITAL]]&gt;=0,FINANCIACION[[#This Row],[$ CAPITAL]]+FINANCIACION[[#This Row],[$ INTERESES]],0)</f>
        <v>452189</v>
      </c>
    </row>
    <row r="1168" spans="1:10" ht="24" hidden="1" customHeight="1" x14ac:dyDescent="0.3">
      <c r="A1168" s="131">
        <v>44823</v>
      </c>
      <c r="B1168" s="50" t="s">
        <v>546</v>
      </c>
      <c r="C1168" s="5">
        <v>1077529.3999999999</v>
      </c>
      <c r="D1168" s="5">
        <v>126435.18</v>
      </c>
      <c r="E1168" s="5">
        <f>+IF(FINANCIACION[[#This Row],[$ CAPITAL]]&gt;=0,FINANCIACION[[#This Row],[$ CAPITAL]]+FINANCIACION[[#This Row],[$ INTERESES]],"")</f>
        <v>1203964.5799999998</v>
      </c>
      <c r="F1168" s="5">
        <f>+SUMIFS(FINANCIACION[$ CAPITAL],FINANCIACION[Fecha],"&lt;="&amp;FINANCIACION[[#This Row],[Fecha]],FINANCIACION[PRESTAMO],FINANCIACION[[#This Row],[PRESTAMO]])</f>
        <v>-8569745.1899999995</v>
      </c>
      <c r="G1168" s="53"/>
      <c r="H1168" s="53"/>
      <c r="I1168" s="5">
        <f>+IF(FINANCIACION[[#This Row],[$ CAPITAL]]&gt;0,FINANCIACION[[#This Row],[$ CAPITAL]])</f>
        <v>1077529.3999999999</v>
      </c>
      <c r="J1168" s="33">
        <f>+IF(FINANCIACION[[#This Row],[$ CAPITAL]]&gt;=0,FINANCIACION[[#This Row],[$ CAPITAL]]+FINANCIACION[[#This Row],[$ INTERESES]],0)</f>
        <v>1203964.5799999998</v>
      </c>
    </row>
    <row r="1169" spans="1:10" ht="24" hidden="1" customHeight="1" x14ac:dyDescent="0.3">
      <c r="A1169" s="131">
        <v>44823</v>
      </c>
      <c r="B1169" s="50" t="s">
        <v>588</v>
      </c>
      <c r="C1169" s="5">
        <v>1670635</v>
      </c>
      <c r="D1169" s="5">
        <v>347365</v>
      </c>
      <c r="E1169" s="5">
        <f>+IF(FINANCIACION[[#This Row],[$ CAPITAL]]&gt;=0,FINANCIACION[[#This Row],[$ CAPITAL]]+FINANCIACION[[#This Row],[$ INTERESES]],"")</f>
        <v>2018000</v>
      </c>
      <c r="F1169" s="5">
        <f>+SUMIFS(FINANCIACION[$ CAPITAL],FINANCIACION[Fecha],"&lt;="&amp;FINANCIACION[[#This Row],[Fecha]],FINANCIACION[PRESTAMO],FINANCIACION[[#This Row],[PRESTAMO]])</f>
        <v>-19455871.939999998</v>
      </c>
      <c r="G1169" s="53"/>
      <c r="H1169" s="53"/>
      <c r="I1169" s="5">
        <f>+IF(FINANCIACION[[#This Row],[$ CAPITAL]]&gt;0,FINANCIACION[[#This Row],[$ CAPITAL]])</f>
        <v>1670635</v>
      </c>
      <c r="J1169" s="33">
        <f>+IF(FINANCIACION[[#This Row],[$ CAPITAL]]&gt;=0,FINANCIACION[[#This Row],[$ CAPITAL]]+FINANCIACION[[#This Row],[$ INTERESES]],0)</f>
        <v>2018000</v>
      </c>
    </row>
    <row r="1170" spans="1:10" ht="24" hidden="1" customHeight="1" x14ac:dyDescent="0.3">
      <c r="A1170" s="131">
        <v>44823</v>
      </c>
      <c r="B1170" s="50" t="s">
        <v>833</v>
      </c>
      <c r="C1170" s="5">
        <v>453998</v>
      </c>
      <c r="D1170" s="5">
        <v>36313</v>
      </c>
      <c r="E1170" s="5">
        <f>+IF(FINANCIACION[[#This Row],[$ CAPITAL]]&gt;=0,FINANCIACION[[#This Row],[$ CAPITAL]]+FINANCIACION[[#This Row],[$ INTERESES]],"")</f>
        <v>490311</v>
      </c>
      <c r="F1170" s="5">
        <f>+SUMIFS(FINANCIACION[$ CAPITAL],FINANCIACION[Fecha],"&lt;="&amp;FINANCIACION[[#This Row],[Fecha]],FINANCIACION[PRESTAMO],FINANCIACION[[#This Row],[PRESTAMO]])</f>
        <v>-3177986</v>
      </c>
      <c r="G1170" s="53"/>
      <c r="H1170" s="53"/>
      <c r="I1170" s="5">
        <f>+IF(FINANCIACION[[#This Row],[$ CAPITAL]]&gt;0,FINANCIACION[[#This Row],[$ CAPITAL]])</f>
        <v>453998</v>
      </c>
      <c r="J1170" s="33">
        <f>+IF(FINANCIACION[[#This Row],[$ CAPITAL]]&gt;=0,FINANCIACION[[#This Row],[$ CAPITAL]]+FINANCIACION[[#This Row],[$ INTERESES]],0)</f>
        <v>490311</v>
      </c>
    </row>
    <row r="1171" spans="1:10" ht="24" hidden="1" customHeight="1" x14ac:dyDescent="0.3">
      <c r="A1171" s="131">
        <v>44823</v>
      </c>
      <c r="B1171" s="50" t="s">
        <v>534</v>
      </c>
      <c r="C1171" s="5">
        <v>1283103</v>
      </c>
      <c r="D1171" s="5">
        <v>4776103</v>
      </c>
      <c r="E1171" s="5">
        <f>+IF(FINANCIACION[[#This Row],[$ CAPITAL]]&gt;=0,FINANCIACION[[#This Row],[$ CAPITAL]]+FINANCIACION[[#This Row],[$ INTERESES]],"")</f>
        <v>6059206</v>
      </c>
      <c r="F1171" s="5">
        <f>+SUMIFS(FINANCIACION[$ CAPITAL],FINANCIACION[Fecha],"&lt;="&amp;FINANCIACION[[#This Row],[Fecha]],FINANCIACION[PRESTAMO],FINANCIACION[[#This Row],[PRESTAMO]])</f>
        <v>-361173199</v>
      </c>
      <c r="G1171" s="53"/>
      <c r="H1171" s="53"/>
      <c r="I1171" s="5">
        <f>+IF(FINANCIACION[[#This Row],[$ CAPITAL]]&gt;0,FINANCIACION[[#This Row],[$ CAPITAL]])</f>
        <v>1283103</v>
      </c>
      <c r="J1171" s="33">
        <f>+IF(FINANCIACION[[#This Row],[$ CAPITAL]]&gt;=0,FINANCIACION[[#This Row],[$ CAPITAL]]+FINANCIACION[[#This Row],[$ INTERESES]],0)</f>
        <v>6059206</v>
      </c>
    </row>
    <row r="1172" spans="1:10" ht="24" hidden="1" customHeight="1" x14ac:dyDescent="0.3">
      <c r="A1172" s="131">
        <v>44824</v>
      </c>
      <c r="B1172" s="50" t="s">
        <v>148</v>
      </c>
      <c r="C1172" s="5"/>
      <c r="D1172" s="5">
        <v>337976</v>
      </c>
      <c r="E1172" s="5">
        <f>+IF(FINANCIACION[[#This Row],[$ CAPITAL]]&gt;=0,FINANCIACION[[#This Row],[$ CAPITAL]]+FINANCIACION[[#This Row],[$ INTERESES]],"")</f>
        <v>337976</v>
      </c>
      <c r="F1172" s="5">
        <f>+SUMIFS(FINANCIACION[$ CAPITAL],FINANCIACION[Fecha],"&lt;="&amp;FINANCIACION[[#This Row],[Fecha]],FINANCIACION[PRESTAMO],FINANCIACION[[#This Row],[PRESTAMO]])</f>
        <v>0</v>
      </c>
      <c r="G1172" s="53"/>
      <c r="H1172" s="53"/>
      <c r="I1172" s="5" t="b">
        <f>+IF(FINANCIACION[[#This Row],[$ CAPITAL]]&gt;0,FINANCIACION[[#This Row],[$ CAPITAL]])</f>
        <v>0</v>
      </c>
      <c r="J1172" s="33">
        <f>+IF(FINANCIACION[[#This Row],[$ CAPITAL]]&gt;=0,FINANCIACION[[#This Row],[$ CAPITAL]]+FINANCIACION[[#This Row],[$ INTERESES]],0)</f>
        <v>337976</v>
      </c>
    </row>
    <row r="1173" spans="1:10" ht="24" hidden="1" customHeight="1" x14ac:dyDescent="0.3">
      <c r="A1173" s="131">
        <v>44830</v>
      </c>
      <c r="B1173" s="224" t="s">
        <v>540</v>
      </c>
      <c r="C1173" s="5">
        <v>853000</v>
      </c>
      <c r="D1173" s="5">
        <v>125187.79</v>
      </c>
      <c r="E1173" s="5">
        <f>+IF(FINANCIACION[[#This Row],[$ CAPITAL]]&gt;=0,FINANCIACION[[#This Row],[$ CAPITAL]]+FINANCIACION[[#This Row],[$ INTERESES]],"")</f>
        <v>978187.79</v>
      </c>
      <c r="F1173" s="5">
        <f>+SUMIFS(FINANCIACION[$ CAPITAL],FINANCIACION[Fecha],"&lt;="&amp;FINANCIACION[[#This Row],[Fecha]],FINANCIACION[PRESTAMO],FINANCIACION[[#This Row],[PRESTAMO]])</f>
        <v>-8458333.6499999985</v>
      </c>
      <c r="G1173" s="53"/>
      <c r="H1173" s="53"/>
      <c r="I1173" s="5">
        <f>+IF(FINANCIACION[[#This Row],[$ CAPITAL]]&gt;0,FINANCIACION[[#This Row],[$ CAPITAL]])</f>
        <v>853000</v>
      </c>
      <c r="J1173" s="33">
        <f>+IF(FINANCIACION[[#This Row],[$ CAPITAL]]&gt;=0,FINANCIACION[[#This Row],[$ CAPITAL]]+FINANCIACION[[#This Row],[$ INTERESES]],0)</f>
        <v>978187.79</v>
      </c>
    </row>
    <row r="1174" spans="1:10" ht="24" hidden="1" customHeight="1" x14ac:dyDescent="0.3">
      <c r="A1174" s="131">
        <v>44830</v>
      </c>
      <c r="B1174" s="50" t="s">
        <v>548</v>
      </c>
      <c r="C1174" s="5">
        <v>1481481.48</v>
      </c>
      <c r="D1174" s="5">
        <v>930667.62</v>
      </c>
      <c r="E1174" s="5">
        <f>+IF(FINANCIACION[[#This Row],[$ CAPITAL]]&gt;=0,FINANCIACION[[#This Row],[$ CAPITAL]]+FINANCIACION[[#This Row],[$ INTERESES]],"")</f>
        <v>2412149.1</v>
      </c>
      <c r="F1174" s="5">
        <f>+SUMIFS(FINANCIACION[$ CAPITAL],FINANCIACION[Fecha],"&lt;="&amp;FINANCIACION[[#This Row],[Fecha]],FINANCIACION[PRESTAMO],FINANCIACION[[#This Row],[PRESTAMO]])</f>
        <v>-74064633.929999992</v>
      </c>
      <c r="G1174" s="53"/>
      <c r="H1174" s="53"/>
      <c r="I1174" s="5">
        <f>+IF(FINANCIACION[[#This Row],[$ CAPITAL]]&gt;0,FINANCIACION[[#This Row],[$ CAPITAL]])</f>
        <v>1481481.48</v>
      </c>
      <c r="J1174" s="33">
        <f>+IF(FINANCIACION[[#This Row],[$ CAPITAL]]&gt;=0,FINANCIACION[[#This Row],[$ CAPITAL]]+FINANCIACION[[#This Row],[$ INTERESES]],0)</f>
        <v>2412149.1</v>
      </c>
    </row>
    <row r="1175" spans="1:10" ht="24" hidden="1" customHeight="1" x14ac:dyDescent="0.3">
      <c r="A1175" s="131">
        <v>44830</v>
      </c>
      <c r="B1175" s="224" t="s">
        <v>542</v>
      </c>
      <c r="C1175" s="5">
        <v>894000</v>
      </c>
      <c r="D1175" s="5">
        <v>136512.38</v>
      </c>
      <c r="E1175" s="5">
        <f>+IF(FINANCIACION[[#This Row],[$ CAPITAL]]&gt;=0,FINANCIACION[[#This Row],[$ CAPITAL]]+FINANCIACION[[#This Row],[$ INTERESES]],"")</f>
        <v>1030512.38</v>
      </c>
      <c r="F1175" s="5">
        <f>+SUMIFS(FINANCIACION[$ CAPITAL],FINANCIACION[Fecha],"&lt;="&amp;FINANCIACION[[#This Row],[Fecha]],FINANCIACION[PRESTAMO],FINANCIACION[[#This Row],[PRESTAMO]])</f>
        <v>-9774211.0699999984</v>
      </c>
      <c r="G1175" s="53"/>
      <c r="H1175" s="53"/>
      <c r="I1175" s="5">
        <f>+IF(FINANCIACION[[#This Row],[$ CAPITAL]]&gt;0,FINANCIACION[[#This Row],[$ CAPITAL]])</f>
        <v>894000</v>
      </c>
      <c r="J1175" s="33">
        <f>+IF(FINANCIACION[[#This Row],[$ CAPITAL]]&gt;=0,FINANCIACION[[#This Row],[$ CAPITAL]]+FINANCIACION[[#This Row],[$ INTERESES]],0)</f>
        <v>1030512.38</v>
      </c>
    </row>
    <row r="1176" spans="1:10" ht="24" hidden="1" customHeight="1" x14ac:dyDescent="0.3">
      <c r="A1176" s="131">
        <v>44830</v>
      </c>
      <c r="B1176" s="50" t="s">
        <v>538</v>
      </c>
      <c r="C1176" s="5">
        <v>2176175.9</v>
      </c>
      <c r="D1176" s="5">
        <v>284608.26</v>
      </c>
      <c r="E1176" s="5">
        <f>+IF(FINANCIACION[[#This Row],[$ CAPITAL]]&gt;=0,FINANCIACION[[#This Row],[$ CAPITAL]]+FINANCIACION[[#This Row],[$ INTERESES]],"")</f>
        <v>2460784.16</v>
      </c>
      <c r="F1176" s="5">
        <f>+SUMIFS(FINANCIACION[$ CAPITAL],FINANCIACION[Fecha],"&lt;="&amp;FINANCIACION[[#This Row],[Fecha]],FINANCIACION[PRESTAMO],FINANCIACION[[#This Row],[PRESTAMO]])</f>
        <v>-19532410.440000005</v>
      </c>
      <c r="G1176" s="53"/>
      <c r="H1176" s="53"/>
      <c r="I1176" s="5">
        <f>+IF(FINANCIACION[[#This Row],[$ CAPITAL]]&gt;0,FINANCIACION[[#This Row],[$ CAPITAL]])</f>
        <v>2176175.9</v>
      </c>
      <c r="J1176" s="33">
        <f>+IF(FINANCIACION[[#This Row],[$ CAPITAL]]&gt;=0,FINANCIACION[[#This Row],[$ CAPITAL]]+FINANCIACION[[#This Row],[$ INTERESES]],0)</f>
        <v>2460784.16</v>
      </c>
    </row>
    <row r="1177" spans="1:10" ht="24" hidden="1" customHeight="1" x14ac:dyDescent="0.3">
      <c r="A1177" s="131">
        <v>44830</v>
      </c>
      <c r="B1177" s="50" t="s">
        <v>539</v>
      </c>
      <c r="C1177" s="5">
        <v>3159000</v>
      </c>
      <c r="D1177" s="5">
        <v>434654.08</v>
      </c>
      <c r="E1177" s="5">
        <f>+IF(FINANCIACION[[#This Row],[$ CAPITAL]]&gt;=0,FINANCIACION[[#This Row],[$ CAPITAL]]+FINANCIACION[[#This Row],[$ INTERESES]],"")</f>
        <v>3593654.08</v>
      </c>
      <c r="F1177" s="5">
        <f>+SUMIFS(FINANCIACION[$ CAPITAL],FINANCIACION[Fecha],"&lt;="&amp;FINANCIACION[[#This Row],[Fecha]],FINANCIACION[PRESTAMO],FINANCIACION[[#This Row],[PRESTAMO]])</f>
        <v>-28270786.059999995</v>
      </c>
      <c r="G1177" s="53"/>
      <c r="H1177" s="53"/>
      <c r="I1177" s="5">
        <f>+IF(FINANCIACION[[#This Row],[$ CAPITAL]]&gt;0,FINANCIACION[[#This Row],[$ CAPITAL]])</f>
        <v>3159000</v>
      </c>
      <c r="J1177" s="33">
        <f>+IF(FINANCIACION[[#This Row],[$ CAPITAL]]&gt;=0,FINANCIACION[[#This Row],[$ CAPITAL]]+FINANCIACION[[#This Row],[$ INTERESES]],0)</f>
        <v>3593654.08</v>
      </c>
    </row>
    <row r="1178" spans="1:10" ht="24" hidden="1" customHeight="1" x14ac:dyDescent="0.3">
      <c r="A1178" s="131">
        <v>44830</v>
      </c>
      <c r="B1178" s="224" t="s">
        <v>535</v>
      </c>
      <c r="C1178" s="5">
        <v>1306000</v>
      </c>
      <c r="D1178" s="5">
        <v>139000</v>
      </c>
      <c r="E1178" s="5">
        <f>+IF(FINANCIACION[[#This Row],[$ CAPITAL]]&gt;=0,FINANCIACION[[#This Row],[$ CAPITAL]]+FINANCIACION[[#This Row],[$ INTERESES]],"")</f>
        <v>1445000</v>
      </c>
      <c r="F1178" s="5">
        <f>+SUMIFS(FINANCIACION[$ CAPITAL],FINANCIACION[Fecha],"&lt;="&amp;FINANCIACION[[#This Row],[Fecha]],FINANCIACION[PRESTAMO],FINANCIACION[[#This Row],[PRESTAMO]])</f>
        <v>-9035346.8900000006</v>
      </c>
      <c r="G1178" s="53"/>
      <c r="H1178" s="53"/>
      <c r="I1178" s="5">
        <f>+IF(FINANCIACION[[#This Row],[$ CAPITAL]]&gt;0,FINANCIACION[[#This Row],[$ CAPITAL]])</f>
        <v>1306000</v>
      </c>
      <c r="J1178" s="33">
        <f>+IF(FINANCIACION[[#This Row],[$ CAPITAL]]&gt;=0,FINANCIACION[[#This Row],[$ CAPITAL]]+FINANCIACION[[#This Row],[$ INTERESES]],0)</f>
        <v>1445000</v>
      </c>
    </row>
    <row r="1179" spans="1:10" ht="24" hidden="1" customHeight="1" x14ac:dyDescent="0.3">
      <c r="A1179" s="131">
        <v>44834</v>
      </c>
      <c r="B1179" s="50" t="s">
        <v>146</v>
      </c>
      <c r="C1179" s="5">
        <v>1468400</v>
      </c>
      <c r="D1179" s="5">
        <v>1586824</v>
      </c>
      <c r="E1179" s="5">
        <f>+IF(FINANCIACION[[#This Row],[$ CAPITAL]]&gt;=0,FINANCIACION[[#This Row],[$ CAPITAL]]+FINANCIACION[[#This Row],[$ INTERESES]],"")</f>
        <v>3055224</v>
      </c>
      <c r="F1179" s="5">
        <f>+SUMIFS(FINANCIACION[$ CAPITAL],FINANCIACION[Fecha],"&lt;="&amp;FINANCIACION[[#This Row],[Fecha]],FINANCIACION[PRESTAMO],FINANCIACION[[#This Row],[PRESTAMO]])</f>
        <v>-26431200</v>
      </c>
      <c r="G1179" s="53"/>
      <c r="H1179" s="53"/>
      <c r="I1179" s="5">
        <f>+IF(FINANCIACION[[#This Row],[$ CAPITAL]]&gt;0,FINANCIACION[[#This Row],[$ CAPITAL]])</f>
        <v>1468400</v>
      </c>
      <c r="J1179" s="33">
        <f>+IF(FINANCIACION[[#This Row],[$ CAPITAL]]&gt;=0,FINANCIACION[[#This Row],[$ CAPITAL]]+FINANCIACION[[#This Row],[$ INTERESES]],0)</f>
        <v>3055224</v>
      </c>
    </row>
    <row r="1180" spans="1:10" ht="24" hidden="1" customHeight="1" x14ac:dyDescent="0.3">
      <c r="A1180" s="131">
        <v>44834</v>
      </c>
      <c r="B1180" s="50" t="s">
        <v>147</v>
      </c>
      <c r="C1180" s="5">
        <v>76791</v>
      </c>
      <c r="D1180" s="5"/>
      <c r="E1180" s="5">
        <f>+IF(FINANCIACION[[#This Row],[$ CAPITAL]]&gt;=0,FINANCIACION[[#This Row],[$ CAPITAL]]+FINANCIACION[[#This Row],[$ INTERESES]],"")</f>
        <v>76791</v>
      </c>
      <c r="F1180" s="5">
        <f>+SUMIFS(FINANCIACION[$ CAPITAL],FINANCIACION[Fecha],"&lt;="&amp;FINANCIACION[[#This Row],[Fecha]],FINANCIACION[PRESTAMO],FINANCIACION[[#This Row],[PRESTAMO]])</f>
        <v>-1382238</v>
      </c>
      <c r="G1180" s="53"/>
      <c r="H1180" s="53"/>
      <c r="I1180" s="5">
        <f>+IF(FINANCIACION[[#This Row],[$ CAPITAL]]&gt;0,FINANCIACION[[#This Row],[$ CAPITAL]])</f>
        <v>76791</v>
      </c>
      <c r="J1180" s="33">
        <f>+IF(FINANCIACION[[#This Row],[$ CAPITAL]]&gt;=0,FINANCIACION[[#This Row],[$ CAPITAL]]+FINANCIACION[[#This Row],[$ INTERESES]],0)</f>
        <v>76791</v>
      </c>
    </row>
    <row r="1181" spans="1:10" ht="24" hidden="1" customHeight="1" x14ac:dyDescent="0.3">
      <c r="A1181" s="131">
        <v>44834</v>
      </c>
      <c r="B1181" s="50" t="s">
        <v>272</v>
      </c>
      <c r="C1181" s="5">
        <v>553153</v>
      </c>
      <c r="D1181" s="5"/>
      <c r="E1181" s="5">
        <f>+IF(FINANCIACION[[#This Row],[$ CAPITAL]]&gt;=0,FINANCIACION[[#This Row],[$ CAPITAL]]+FINANCIACION[[#This Row],[$ INTERESES]],"")</f>
        <v>553153</v>
      </c>
      <c r="F1181" s="5">
        <f>+SUMIFS(FINANCIACION[$ CAPITAL],FINANCIACION[Fecha],"&lt;="&amp;FINANCIACION[[#This Row],[Fecha]],FINANCIACION[PRESTAMO],FINANCIACION[[#This Row],[PRESTAMO]])</f>
        <v>-15967698.200000001</v>
      </c>
      <c r="G1181" s="53" t="s">
        <v>1145</v>
      </c>
      <c r="H1181" s="53"/>
      <c r="I1181" s="5">
        <f>+IF(FINANCIACION[[#This Row],[$ CAPITAL]]&gt;0,FINANCIACION[[#This Row],[$ CAPITAL]])</f>
        <v>553153</v>
      </c>
      <c r="J1181" s="33">
        <f>+IF(FINANCIACION[[#This Row],[$ CAPITAL]]&gt;=0,FINANCIACION[[#This Row],[$ CAPITAL]]+FINANCIACION[[#This Row],[$ INTERESES]],0)</f>
        <v>553153</v>
      </c>
    </row>
    <row r="1182" spans="1:10" ht="24" hidden="1" customHeight="1" x14ac:dyDescent="0.3">
      <c r="A1182" s="131">
        <v>44834</v>
      </c>
      <c r="B1182" s="50" t="s">
        <v>331</v>
      </c>
      <c r="C1182" s="5">
        <v>2165154</v>
      </c>
      <c r="D1182" s="5"/>
      <c r="E1182" s="5">
        <f>+IF(FINANCIACION[[#This Row],[$ CAPITAL]]&gt;=0,FINANCIACION[[#This Row],[$ CAPITAL]]+FINANCIACION[[#This Row],[$ INTERESES]],"")</f>
        <v>2165154</v>
      </c>
      <c r="F1182" s="5">
        <f>+SUMIFS(FINANCIACION[$ CAPITAL],FINANCIACION[Fecha],"&lt;="&amp;FINANCIACION[[#This Row],[Fecha]],FINANCIACION[PRESTAMO],FINANCIACION[[#This Row],[PRESTAMO]])</f>
        <v>-62500778.800000004</v>
      </c>
      <c r="G1182" s="53" t="s">
        <v>170</v>
      </c>
      <c r="H1182" s="53"/>
      <c r="I1182" s="5">
        <f>+IF(FINANCIACION[[#This Row],[$ CAPITAL]]&gt;0,FINANCIACION[[#This Row],[$ CAPITAL]])</f>
        <v>2165154</v>
      </c>
      <c r="J1182" s="33">
        <f>+IF(FINANCIACION[[#This Row],[$ CAPITAL]]&gt;=0,FINANCIACION[[#This Row],[$ CAPITAL]]+FINANCIACION[[#This Row],[$ INTERESES]],0)</f>
        <v>2165154</v>
      </c>
    </row>
    <row r="1183" spans="1:10" ht="24" hidden="1" customHeight="1" x14ac:dyDescent="0.3">
      <c r="A1183" s="131">
        <v>44834</v>
      </c>
      <c r="B1183" s="50" t="s">
        <v>684</v>
      </c>
      <c r="C1183" s="5">
        <v>1568653</v>
      </c>
      <c r="D1183" s="5"/>
      <c r="E1183" s="5">
        <f>+IF(FINANCIACION[[#This Row],[$ CAPITAL]]&gt;=0,FINANCIACION[[#This Row],[$ CAPITAL]]+FINANCIACION[[#This Row],[$ INTERESES]],"")</f>
        <v>1568653</v>
      </c>
      <c r="F1183" s="5">
        <f>+SUMIFS(FINANCIACION[$ CAPITAL],FINANCIACION[Fecha],"&lt;="&amp;FINANCIACION[[#This Row],[Fecha]],FINANCIACION[PRESTAMO],FINANCIACION[[#This Row],[PRESTAMO]])</f>
        <v>-44685599.800000004</v>
      </c>
      <c r="G1183" s="53" t="s">
        <v>170</v>
      </c>
      <c r="H1183" s="53"/>
      <c r="I1183" s="5">
        <f>+IF(FINANCIACION[[#This Row],[$ CAPITAL]]&gt;0,FINANCIACION[[#This Row],[$ CAPITAL]])</f>
        <v>1568653</v>
      </c>
      <c r="J1183" s="33">
        <f>+IF(FINANCIACION[[#This Row],[$ CAPITAL]]&gt;=0,FINANCIACION[[#This Row],[$ CAPITAL]]+FINANCIACION[[#This Row],[$ INTERESES]],0)</f>
        <v>1568653</v>
      </c>
    </row>
    <row r="1184" spans="1:10" ht="24" hidden="1" customHeight="1" x14ac:dyDescent="0.3">
      <c r="A1184" s="131">
        <v>44834</v>
      </c>
      <c r="B1184" s="50" t="s">
        <v>812</v>
      </c>
      <c r="C1184" s="5">
        <v>2413065</v>
      </c>
      <c r="D1184" s="5"/>
      <c r="E1184" s="5">
        <f>+IF(FINANCIACION[[#This Row],[$ CAPITAL]]&gt;=0,FINANCIACION[[#This Row],[$ CAPITAL]]+FINANCIACION[[#This Row],[$ INTERESES]],"")</f>
        <v>2413065</v>
      </c>
      <c r="F1184" s="5">
        <f>+SUMIFS(FINANCIACION[$ CAPITAL],FINANCIACION[Fecha],"&lt;="&amp;FINANCIACION[[#This Row],[Fecha]],FINANCIACION[PRESTAMO],FINANCIACION[[#This Row],[PRESTAMO]])</f>
        <v>-69657143</v>
      </c>
      <c r="G1184" s="53" t="s">
        <v>170</v>
      </c>
      <c r="H1184" s="53"/>
      <c r="I1184" s="5">
        <f>+IF(FINANCIACION[[#This Row],[$ CAPITAL]]&gt;0,FINANCIACION[[#This Row],[$ CAPITAL]])</f>
        <v>2413065</v>
      </c>
      <c r="J1184" s="33">
        <f>+IF(FINANCIACION[[#This Row],[$ CAPITAL]]&gt;=0,FINANCIACION[[#This Row],[$ CAPITAL]]+FINANCIACION[[#This Row],[$ INTERESES]],0)</f>
        <v>2413065</v>
      </c>
    </row>
    <row r="1185" spans="1:10" ht="24" hidden="1" customHeight="1" x14ac:dyDescent="0.3">
      <c r="A1185" s="131">
        <v>44834</v>
      </c>
      <c r="B1185" s="50" t="s">
        <v>1488</v>
      </c>
      <c r="C1185" s="5">
        <v>-236852</v>
      </c>
      <c r="D1185" s="5"/>
      <c r="E1185" s="5" t="str">
        <f>+IF(FINANCIACION[[#This Row],[$ CAPITAL]]&gt;=0,FINANCIACION[[#This Row],[$ CAPITAL]]+FINANCIACION[[#This Row],[$ INTERESES]],"")</f>
        <v/>
      </c>
      <c r="F1185" s="5">
        <f>+SUMIFS(FINANCIACION[$ CAPITAL],FINANCIACION[Fecha],"&lt;="&amp;FINANCIACION[[#This Row],[Fecha]],FINANCIACION[PRESTAMO],FINANCIACION[[#This Row],[PRESTAMO]])</f>
        <v>-2526182</v>
      </c>
      <c r="G1185" s="53"/>
      <c r="H1185" s="53"/>
      <c r="I1185" s="5" t="b">
        <f>+IF(FINANCIACION[[#This Row],[$ CAPITAL]]&gt;0,FINANCIACION[[#This Row],[$ CAPITAL]])</f>
        <v>0</v>
      </c>
      <c r="J1185" s="33">
        <f>+IF(FINANCIACION[[#This Row],[$ CAPITAL]]&gt;=0,FINANCIACION[[#This Row],[$ CAPITAL]]+FINANCIACION[[#This Row],[$ INTERESES]],0)</f>
        <v>0</v>
      </c>
    </row>
    <row r="1186" spans="1:10" ht="24" hidden="1" customHeight="1" x14ac:dyDescent="0.3">
      <c r="A1186" s="131">
        <v>44834</v>
      </c>
      <c r="B1186" s="50" t="s">
        <v>154</v>
      </c>
      <c r="C1186" s="5">
        <v>1444150</v>
      </c>
      <c r="D1186" s="5"/>
      <c r="E1186" s="5">
        <f>+IF(FINANCIACION[[#This Row],[$ CAPITAL]]&gt;=0,FINANCIACION[[#This Row],[$ CAPITAL]]+FINANCIACION[[#This Row],[$ INTERESES]],"")</f>
        <v>1444150</v>
      </c>
      <c r="F1186" s="5">
        <f>+SUMIFS(FINANCIACION[$ CAPITAL],FINANCIACION[Fecha],"&lt;="&amp;FINANCIACION[[#This Row],[Fecha]],FINANCIACION[PRESTAMO],FINANCIACION[[#This Row],[PRESTAMO]])</f>
        <v>-20996170</v>
      </c>
      <c r="G1186" s="53" t="s">
        <v>1144</v>
      </c>
      <c r="H1186" s="53"/>
      <c r="I1186" s="5">
        <f>+IF(FINANCIACION[[#This Row],[$ CAPITAL]]&gt;0,FINANCIACION[[#This Row],[$ CAPITAL]])</f>
        <v>1444150</v>
      </c>
      <c r="J1186" s="33">
        <f>+IF(FINANCIACION[[#This Row],[$ CAPITAL]]&gt;=0,FINANCIACION[[#This Row],[$ CAPITAL]]+FINANCIACION[[#This Row],[$ INTERESES]],0)</f>
        <v>1444150</v>
      </c>
    </row>
    <row r="1187" spans="1:10" ht="24" hidden="1" customHeight="1" x14ac:dyDescent="0.3">
      <c r="A1187" s="131">
        <v>44834</v>
      </c>
      <c r="B1187" s="50" t="s">
        <v>155</v>
      </c>
      <c r="C1187" s="5">
        <v>-4899547</v>
      </c>
      <c r="D1187" s="5"/>
      <c r="E1187" s="5" t="str">
        <f>+IF(FINANCIACION[[#This Row],[$ CAPITAL]]&gt;=0,FINANCIACION[[#This Row],[$ CAPITAL]]+FINANCIACION[[#This Row],[$ INTERESES]],"")</f>
        <v/>
      </c>
      <c r="F1187" s="5">
        <f>+SUMIFS(FINANCIACION[$ CAPITAL],FINANCIACION[Fecha],"&lt;="&amp;FINANCIACION[[#This Row],[Fecha]],FINANCIACION[PRESTAMO],FINANCIACION[[#This Row],[PRESTAMO]])</f>
        <v>-22442696</v>
      </c>
      <c r="G1187" s="53"/>
      <c r="H1187" s="53"/>
      <c r="I1187" s="5" t="b">
        <f>+IF(FINANCIACION[[#This Row],[$ CAPITAL]]&gt;0,FINANCIACION[[#This Row],[$ CAPITAL]])</f>
        <v>0</v>
      </c>
      <c r="J1187" s="33">
        <f>+IF(FINANCIACION[[#This Row],[$ CAPITAL]]&gt;=0,FINANCIACION[[#This Row],[$ CAPITAL]]+FINANCIACION[[#This Row],[$ INTERESES]],0)</f>
        <v>0</v>
      </c>
    </row>
    <row r="1188" spans="1:10" ht="24" hidden="1" customHeight="1" x14ac:dyDescent="0.3">
      <c r="A1188" s="131">
        <v>44837</v>
      </c>
      <c r="B1188" s="50" t="s">
        <v>552</v>
      </c>
      <c r="C1188" s="5">
        <v>1744958</v>
      </c>
      <c r="D1188" s="5">
        <v>123843</v>
      </c>
      <c r="E1188" s="5">
        <f>+IF(FINANCIACION[[#This Row],[$ CAPITAL]]&gt;=0,FINANCIACION[[#This Row],[$ CAPITAL]]+FINANCIACION[[#This Row],[$ INTERESES]],"")</f>
        <v>1868801</v>
      </c>
      <c r="F1188" s="5">
        <f>+SUMIFS(FINANCIACION[$ CAPITAL],FINANCIACION[Fecha],"&lt;="&amp;FINANCIACION[[#This Row],[Fecha]],FINANCIACION[PRESTAMO],FINANCIACION[[#This Row],[PRESTAMO]])</f>
        <v>-6978448</v>
      </c>
      <c r="G1188" s="53"/>
      <c r="H1188" s="53"/>
      <c r="I1188" s="5">
        <f>+IF(FINANCIACION[[#This Row],[$ CAPITAL]]&gt;0,FINANCIACION[[#This Row],[$ CAPITAL]])</f>
        <v>1744958</v>
      </c>
      <c r="J1188" s="33">
        <f>+IF(FINANCIACION[[#This Row],[$ CAPITAL]]&gt;=0,FINANCIACION[[#This Row],[$ CAPITAL]]+FINANCIACION[[#This Row],[$ INTERESES]],0)</f>
        <v>1868801</v>
      </c>
    </row>
    <row r="1189" spans="1:10" ht="24" hidden="1" customHeight="1" x14ac:dyDescent="0.3">
      <c r="A1189" s="131">
        <v>44838</v>
      </c>
      <c r="B1189" s="50" t="s">
        <v>148</v>
      </c>
      <c r="C1189" s="5"/>
      <c r="D1189" s="5">
        <v>141915</v>
      </c>
      <c r="E1189" s="5">
        <f>+IF(FINANCIACION[[#This Row],[$ CAPITAL]]&gt;=0,FINANCIACION[[#This Row],[$ CAPITAL]]+FINANCIACION[[#This Row],[$ INTERESES]],"")</f>
        <v>141915</v>
      </c>
      <c r="F1189" s="5">
        <f>+SUMIFS(FINANCIACION[$ CAPITAL],FINANCIACION[Fecha],"&lt;="&amp;FINANCIACION[[#This Row],[Fecha]],FINANCIACION[PRESTAMO],FINANCIACION[[#This Row],[PRESTAMO]])</f>
        <v>0</v>
      </c>
      <c r="G1189" s="53"/>
      <c r="H1189" s="53"/>
      <c r="I1189" s="5" t="b">
        <f>+IF(FINANCIACION[[#This Row],[$ CAPITAL]]&gt;0,FINANCIACION[[#This Row],[$ CAPITAL]])</f>
        <v>0</v>
      </c>
      <c r="J1189" s="33">
        <f>+IF(FINANCIACION[[#This Row],[$ CAPITAL]]&gt;=0,FINANCIACION[[#This Row],[$ CAPITAL]]+FINANCIACION[[#This Row],[$ INTERESES]],0)</f>
        <v>141915</v>
      </c>
    </row>
    <row r="1190" spans="1:10" ht="24" hidden="1" customHeight="1" x14ac:dyDescent="0.3">
      <c r="A1190" s="131">
        <v>44838</v>
      </c>
      <c r="B1190" s="50" t="s">
        <v>272</v>
      </c>
      <c r="C1190" s="5">
        <v>15794929</v>
      </c>
      <c r="D1190" s="5">
        <v>276512</v>
      </c>
      <c r="E1190" s="5">
        <f>+IF(FINANCIACION[[#This Row],[$ CAPITAL]]&gt;=0,FINANCIACION[[#This Row],[$ CAPITAL]]+FINANCIACION[[#This Row],[$ INTERESES]],"")</f>
        <v>16071441</v>
      </c>
      <c r="F1190" s="5">
        <f>+SUMIFS(FINANCIACION[$ CAPITAL],FINANCIACION[Fecha],"&lt;="&amp;FINANCIACION[[#This Row],[Fecha]],FINANCIACION[PRESTAMO],FINANCIACION[[#This Row],[PRESTAMO]])</f>
        <v>-0.20000000111758709</v>
      </c>
      <c r="G1190" s="53" t="s">
        <v>1171</v>
      </c>
      <c r="H1190" s="53">
        <v>3687</v>
      </c>
      <c r="I1190" s="5">
        <f>+IF(FINANCIACION[[#This Row],[$ CAPITAL]]&gt;0,FINANCIACION[[#This Row],[$ CAPITAL]])</f>
        <v>15794929</v>
      </c>
      <c r="J1190" s="33">
        <f>+IF(FINANCIACION[[#This Row],[$ CAPITAL]]&gt;=0,FINANCIACION[[#This Row],[$ CAPITAL]]+FINANCIACION[[#This Row],[$ INTERESES]],0)</f>
        <v>16071441</v>
      </c>
    </row>
    <row r="1191" spans="1:10" ht="24" hidden="1" customHeight="1" x14ac:dyDescent="0.3">
      <c r="A1191" s="131">
        <v>44838</v>
      </c>
      <c r="B1191" s="50" t="s">
        <v>272</v>
      </c>
      <c r="C1191" s="5">
        <v>172769</v>
      </c>
      <c r="D1191" s="5"/>
      <c r="E1191" s="5">
        <f>+IF(FINANCIACION[[#This Row],[$ CAPITAL]]&gt;=0,FINANCIACION[[#This Row],[$ CAPITAL]]+FINANCIACION[[#This Row],[$ INTERESES]],"")</f>
        <v>172769</v>
      </c>
      <c r="F1191" s="5">
        <f>+SUMIFS(FINANCIACION[$ CAPITAL],FINANCIACION[Fecha],"&lt;="&amp;FINANCIACION[[#This Row],[Fecha]],FINANCIACION[PRESTAMO],FINANCIACION[[#This Row],[PRESTAMO]])</f>
        <v>-0.20000000111758709</v>
      </c>
      <c r="G1191" s="53" t="s">
        <v>170</v>
      </c>
      <c r="H1191" s="53"/>
      <c r="I1191" s="5">
        <f>+IF(FINANCIACION[[#This Row],[$ CAPITAL]]&gt;0,FINANCIACION[[#This Row],[$ CAPITAL]])</f>
        <v>172769</v>
      </c>
      <c r="J1191" s="33">
        <f>+IF(FINANCIACION[[#This Row],[$ CAPITAL]]&gt;=0,FINANCIACION[[#This Row],[$ CAPITAL]]+FINANCIACION[[#This Row],[$ INTERESES]],0)</f>
        <v>172769</v>
      </c>
    </row>
    <row r="1192" spans="1:10" ht="24" hidden="1" customHeight="1" x14ac:dyDescent="0.3">
      <c r="A1192" s="131">
        <v>44838</v>
      </c>
      <c r="B1192" s="50" t="s">
        <v>331</v>
      </c>
      <c r="C1192" s="5">
        <v>44169171</v>
      </c>
      <c r="D1192" s="5"/>
      <c r="E1192" s="5">
        <f>+IF(FINANCIACION[[#This Row],[$ CAPITAL]]&gt;=0,FINANCIACION[[#This Row],[$ CAPITAL]]+FINANCIACION[[#This Row],[$ INTERESES]],"")</f>
        <v>44169171</v>
      </c>
      <c r="F1192" s="5">
        <f>+SUMIFS(FINANCIACION[$ CAPITAL],FINANCIACION[Fecha],"&lt;="&amp;FINANCIACION[[#This Row],[Fecha]],FINANCIACION[PRESTAMO],FINANCIACION[[#This Row],[PRESTAMO]])</f>
        <v>-18331607.800000004</v>
      </c>
      <c r="G1192" s="53" t="s">
        <v>1171</v>
      </c>
      <c r="H1192" s="53" t="s">
        <v>1172</v>
      </c>
      <c r="I1192" s="5">
        <f>+IF(FINANCIACION[[#This Row],[$ CAPITAL]]&gt;0,FINANCIACION[[#This Row],[$ CAPITAL]])</f>
        <v>44169171</v>
      </c>
      <c r="J1192" s="33">
        <f>+IF(FINANCIACION[[#This Row],[$ CAPITAL]]&gt;=0,FINANCIACION[[#This Row],[$ CAPITAL]]+FINANCIACION[[#This Row],[$ INTERESES]],0)</f>
        <v>44169171</v>
      </c>
    </row>
    <row r="1193" spans="1:10" ht="24" hidden="1" customHeight="1" x14ac:dyDescent="0.3">
      <c r="A1193" s="131">
        <v>44839</v>
      </c>
      <c r="B1193" s="50" t="s">
        <v>1173</v>
      </c>
      <c r="C1193" s="5">
        <f>-14000*4600</f>
        <v>-64400000</v>
      </c>
      <c r="D1193" s="5"/>
      <c r="E1193" s="5" t="str">
        <f>+IF(FINANCIACION[[#This Row],[$ CAPITAL]]&gt;=0,FINANCIACION[[#This Row],[$ CAPITAL]]+FINANCIACION[[#This Row],[$ INTERESES]],"")</f>
        <v/>
      </c>
      <c r="F1193" s="5">
        <f>+SUMIFS(FINANCIACION[$ CAPITAL],FINANCIACION[Fecha],"&lt;="&amp;FINANCIACION[[#This Row],[Fecha]],FINANCIACION[PRESTAMO],FINANCIACION[[#This Row],[PRESTAMO]])</f>
        <v>-64400000</v>
      </c>
      <c r="G1193" s="53" t="s">
        <v>1174</v>
      </c>
      <c r="H1193" s="53">
        <v>-14000</v>
      </c>
      <c r="I1193" s="5" t="b">
        <f>+IF(FINANCIACION[[#This Row],[$ CAPITAL]]&gt;0,FINANCIACION[[#This Row],[$ CAPITAL]])</f>
        <v>0</v>
      </c>
      <c r="J1193" s="33">
        <f>+IF(FINANCIACION[[#This Row],[$ CAPITAL]]&gt;=0,FINANCIACION[[#This Row],[$ CAPITAL]]+FINANCIACION[[#This Row],[$ INTERESES]],0)</f>
        <v>0</v>
      </c>
    </row>
    <row r="1194" spans="1:10" ht="24" hidden="1" customHeight="1" x14ac:dyDescent="0.3">
      <c r="A1194" s="131">
        <v>44844</v>
      </c>
      <c r="B1194" s="50" t="s">
        <v>563</v>
      </c>
      <c r="C1194" s="5">
        <v>-25000000</v>
      </c>
      <c r="D1194" s="5"/>
      <c r="E1194" s="5" t="str">
        <f>+IF(FINANCIACION[[#This Row],[$ CAPITAL]]&gt;=0,FINANCIACION[[#This Row],[$ CAPITAL]]+FINANCIACION[[#This Row],[$ INTERESES]],"")</f>
        <v/>
      </c>
      <c r="F1194" s="5">
        <f>+SUMIFS(FINANCIACION[$ CAPITAL],FINANCIACION[Fecha],"&lt;="&amp;FINANCIACION[[#This Row],[Fecha]],FINANCIACION[PRESTAMO],FINANCIACION[[#This Row],[PRESTAMO]])</f>
        <v>-75000000</v>
      </c>
      <c r="G1194" s="53" t="s">
        <v>1273</v>
      </c>
      <c r="H1194" s="53"/>
      <c r="I1194" s="5" t="b">
        <f>+IF(FINANCIACION[[#This Row],[$ CAPITAL]]&gt;0,FINANCIACION[[#This Row],[$ CAPITAL]])</f>
        <v>0</v>
      </c>
      <c r="J1194" s="33">
        <f>+IF(FINANCIACION[[#This Row],[$ CAPITAL]]&gt;=0,FINANCIACION[[#This Row],[$ CAPITAL]]+FINANCIACION[[#This Row],[$ INTERESES]],0)</f>
        <v>0</v>
      </c>
    </row>
    <row r="1195" spans="1:10" ht="24" hidden="1" customHeight="1" x14ac:dyDescent="0.3">
      <c r="A1195" s="131">
        <v>44844</v>
      </c>
      <c r="B1195" s="50" t="s">
        <v>148</v>
      </c>
      <c r="C1195" s="5"/>
      <c r="D1195" s="5">
        <v>540016</v>
      </c>
      <c r="E1195" s="5">
        <f>+IF(FINANCIACION[[#This Row],[$ CAPITAL]]&gt;=0,FINANCIACION[[#This Row],[$ CAPITAL]]+FINANCIACION[[#This Row],[$ INTERESES]],"")</f>
        <v>540016</v>
      </c>
      <c r="F1195" s="5">
        <f>+SUMIFS(FINANCIACION[$ CAPITAL],FINANCIACION[Fecha],"&lt;="&amp;FINANCIACION[[#This Row],[Fecha]],FINANCIACION[PRESTAMO],FINANCIACION[[#This Row],[PRESTAMO]])</f>
        <v>0</v>
      </c>
      <c r="G1195" s="53"/>
      <c r="H1195" s="53"/>
      <c r="I1195" s="5" t="b">
        <f>+IF(FINANCIACION[[#This Row],[$ CAPITAL]]&gt;0,FINANCIACION[[#This Row],[$ CAPITAL]])</f>
        <v>0</v>
      </c>
      <c r="J1195" s="33">
        <f>+IF(FINANCIACION[[#This Row],[$ CAPITAL]]&gt;=0,FINANCIACION[[#This Row],[$ CAPITAL]]+FINANCIACION[[#This Row],[$ INTERESES]],0)</f>
        <v>540016</v>
      </c>
    </row>
    <row r="1196" spans="1:10" ht="24" hidden="1" customHeight="1" x14ac:dyDescent="0.3">
      <c r="A1196" s="131">
        <v>44846</v>
      </c>
      <c r="B1196" s="50" t="s">
        <v>543</v>
      </c>
      <c r="C1196" s="5"/>
      <c r="D1196" s="5">
        <v>130000</v>
      </c>
      <c r="E1196" s="5">
        <f>+IF(FINANCIACION[[#This Row],[$ CAPITAL]]&gt;=0,FINANCIACION[[#This Row],[$ CAPITAL]]+FINANCIACION[[#This Row],[$ INTERESES]],"")</f>
        <v>130000</v>
      </c>
      <c r="F1196" s="5">
        <f>+SUMIFS(FINANCIACION[$ CAPITAL],FINANCIACION[Fecha],"&lt;="&amp;FINANCIACION[[#This Row],[Fecha]],FINANCIACION[PRESTAMO],FINANCIACION[[#This Row],[PRESTAMO]])</f>
        <v>-13000000</v>
      </c>
      <c r="G1196" s="53"/>
      <c r="H1196" s="53"/>
      <c r="I1196" s="5" t="b">
        <f>+IF(FINANCIACION[[#This Row],[$ CAPITAL]]&gt;0,FINANCIACION[[#This Row],[$ CAPITAL]])</f>
        <v>0</v>
      </c>
      <c r="J1196" s="33">
        <f>+IF(FINANCIACION[[#This Row],[$ CAPITAL]]&gt;=0,FINANCIACION[[#This Row],[$ CAPITAL]]+FINANCIACION[[#This Row],[$ INTERESES]],0)</f>
        <v>130000</v>
      </c>
    </row>
    <row r="1197" spans="1:10" ht="24" hidden="1" customHeight="1" x14ac:dyDescent="0.3">
      <c r="A1197" s="131">
        <v>44846</v>
      </c>
      <c r="B1197" s="50" t="s">
        <v>547</v>
      </c>
      <c r="C1197" s="5"/>
      <c r="D1197" s="5">
        <v>400000</v>
      </c>
      <c r="E1197" s="5">
        <f>+IF(FINANCIACION[[#This Row],[$ CAPITAL]]&gt;=0,FINANCIACION[[#This Row],[$ CAPITAL]]+FINANCIACION[[#This Row],[$ INTERESES]],"")</f>
        <v>400000</v>
      </c>
      <c r="F1197" s="5">
        <f>+SUMIFS(FINANCIACION[$ CAPITAL],FINANCIACION[Fecha],"&lt;="&amp;FINANCIACION[[#This Row],[Fecha]],FINANCIACION[PRESTAMO],FINANCIACION[[#This Row],[PRESTAMO]])</f>
        <v>-40000000</v>
      </c>
      <c r="G1197" s="53"/>
      <c r="H1197" s="53"/>
      <c r="I1197" s="5" t="b">
        <f>+IF(FINANCIACION[[#This Row],[$ CAPITAL]]&gt;0,FINANCIACION[[#This Row],[$ CAPITAL]])</f>
        <v>0</v>
      </c>
      <c r="J1197" s="33">
        <f>+IF(FINANCIACION[[#This Row],[$ CAPITAL]]&gt;=0,FINANCIACION[[#This Row],[$ CAPITAL]]+FINANCIACION[[#This Row],[$ INTERESES]],0)</f>
        <v>400000</v>
      </c>
    </row>
    <row r="1198" spans="1:10" ht="24" hidden="1" customHeight="1" x14ac:dyDescent="0.3">
      <c r="A1198" s="131">
        <v>44846</v>
      </c>
      <c r="B1198" s="50" t="s">
        <v>532</v>
      </c>
      <c r="C1198" s="5">
        <v>2170702</v>
      </c>
      <c r="D1198" s="5">
        <v>506698</v>
      </c>
      <c r="E1198" s="5">
        <f>+IF(FINANCIACION[[#This Row],[$ CAPITAL]]&gt;=0,FINANCIACION[[#This Row],[$ CAPITAL]]+FINANCIACION[[#This Row],[$ INTERESES]],"")</f>
        <v>2677400</v>
      </c>
      <c r="F1198" s="5">
        <f>+SUMIFS(FINANCIACION[$ CAPITAL],FINANCIACION[Fecha],"&lt;="&amp;FINANCIACION[[#This Row],[Fecha]],FINANCIACION[PRESTAMO],FINANCIACION[[#This Row],[PRESTAMO]])</f>
        <v>-48499065.484479994</v>
      </c>
      <c r="G1198" s="53"/>
      <c r="H1198" s="53"/>
      <c r="I1198" s="5">
        <f>+IF(FINANCIACION[[#This Row],[$ CAPITAL]]&gt;0,FINANCIACION[[#This Row],[$ CAPITAL]])</f>
        <v>2170702</v>
      </c>
      <c r="J1198" s="33">
        <f>+IF(FINANCIACION[[#This Row],[$ CAPITAL]]&gt;=0,FINANCIACION[[#This Row],[$ CAPITAL]]+FINANCIACION[[#This Row],[$ INTERESES]],0)</f>
        <v>2677400</v>
      </c>
    </row>
    <row r="1199" spans="1:10" ht="24" hidden="1" customHeight="1" x14ac:dyDescent="0.3">
      <c r="A1199" s="131">
        <v>44846</v>
      </c>
      <c r="B1199" s="50" t="s">
        <v>536</v>
      </c>
      <c r="C1199" s="5">
        <v>836346</v>
      </c>
      <c r="D1199" s="5">
        <v>463654</v>
      </c>
      <c r="E1199" s="5">
        <f>+IF(FINANCIACION[[#This Row],[$ CAPITAL]]&gt;=0,FINANCIACION[[#This Row],[$ CAPITAL]]+FINANCIACION[[#This Row],[$ INTERESES]],"")</f>
        <v>1300000</v>
      </c>
      <c r="F1199" s="5">
        <f>+SUMIFS(FINANCIACION[$ CAPITAL],FINANCIACION[Fecha],"&lt;="&amp;FINANCIACION[[#This Row],[Fecha]],FINANCIACION[PRESTAMO],FINANCIACION[[#This Row],[PRESTAMO]])</f>
        <v>-45529022.199762128</v>
      </c>
      <c r="G1199" s="53"/>
      <c r="H1199" s="53"/>
      <c r="I1199" s="5">
        <f>+IF(FINANCIACION[[#This Row],[$ CAPITAL]]&gt;0,FINANCIACION[[#This Row],[$ CAPITAL]])</f>
        <v>836346</v>
      </c>
      <c r="J1199" s="33">
        <f>+IF(FINANCIACION[[#This Row],[$ CAPITAL]]&gt;=0,FINANCIACION[[#This Row],[$ CAPITAL]]+FINANCIACION[[#This Row],[$ INTERESES]],0)</f>
        <v>1300000</v>
      </c>
    </row>
    <row r="1200" spans="1:10" ht="24" hidden="1" customHeight="1" x14ac:dyDescent="0.3">
      <c r="A1200" s="131">
        <v>44846</v>
      </c>
      <c r="B1200" s="50" t="s">
        <v>563</v>
      </c>
      <c r="C1200" s="5"/>
      <c r="D1200" s="5">
        <v>500000</v>
      </c>
      <c r="E1200" s="5">
        <f>+IF(FINANCIACION[[#This Row],[$ CAPITAL]]&gt;=0,FINANCIACION[[#This Row],[$ CAPITAL]]+FINANCIACION[[#This Row],[$ INTERESES]],"")</f>
        <v>500000</v>
      </c>
      <c r="F1200" s="5">
        <f>+SUMIFS(FINANCIACION[$ CAPITAL],FINANCIACION[Fecha],"&lt;="&amp;FINANCIACION[[#This Row],[Fecha]],FINANCIACION[PRESTAMO],FINANCIACION[[#This Row],[PRESTAMO]])</f>
        <v>-75000000</v>
      </c>
      <c r="G1200" s="53"/>
      <c r="H1200" s="53"/>
      <c r="I1200" s="5" t="b">
        <f>+IF(FINANCIACION[[#This Row],[$ CAPITAL]]&gt;0,FINANCIACION[[#This Row],[$ CAPITAL]])</f>
        <v>0</v>
      </c>
      <c r="J1200" s="33">
        <f>+IF(FINANCIACION[[#This Row],[$ CAPITAL]]&gt;=0,FINANCIACION[[#This Row],[$ CAPITAL]]+FINANCIACION[[#This Row],[$ INTERESES]],0)</f>
        <v>500000</v>
      </c>
    </row>
    <row r="1201" spans="1:10" ht="24" hidden="1" customHeight="1" x14ac:dyDescent="0.3">
      <c r="A1201" s="131">
        <v>44846</v>
      </c>
      <c r="B1201" s="50" t="s">
        <v>545</v>
      </c>
      <c r="C1201" s="5"/>
      <c r="D1201" s="5">
        <v>120000</v>
      </c>
      <c r="E1201" s="5">
        <f>+IF(FINANCIACION[[#This Row],[$ CAPITAL]]&gt;=0,FINANCIACION[[#This Row],[$ CAPITAL]]+FINANCIACION[[#This Row],[$ INTERESES]],"")</f>
        <v>120000</v>
      </c>
      <c r="F1201" s="5">
        <f>+SUMIFS(FINANCIACION[$ CAPITAL],FINANCIACION[Fecha],"&lt;="&amp;FINANCIACION[[#This Row],[Fecha]],FINANCIACION[PRESTAMO],FINANCIACION[[#This Row],[PRESTAMO]])</f>
        <v>-12000000</v>
      </c>
      <c r="G1201" s="53"/>
      <c r="H1201" s="53"/>
      <c r="I1201" s="5" t="b">
        <f>+IF(FINANCIACION[[#This Row],[$ CAPITAL]]&gt;0,FINANCIACION[[#This Row],[$ CAPITAL]])</f>
        <v>0</v>
      </c>
      <c r="J1201" s="33">
        <f>+IF(FINANCIACION[[#This Row],[$ CAPITAL]]&gt;=0,FINANCIACION[[#This Row],[$ CAPITAL]]+FINANCIACION[[#This Row],[$ INTERESES]],0)</f>
        <v>120000</v>
      </c>
    </row>
    <row r="1202" spans="1:10" ht="24" hidden="1" customHeight="1" x14ac:dyDescent="0.3">
      <c r="A1202" s="131">
        <v>44852</v>
      </c>
      <c r="B1202" s="50" t="s">
        <v>148</v>
      </c>
      <c r="C1202" s="5"/>
      <c r="D1202" s="5">
        <v>61577</v>
      </c>
      <c r="E1202" s="5">
        <f>+IF(FINANCIACION[[#This Row],[$ CAPITAL]]&gt;=0,FINANCIACION[[#This Row],[$ CAPITAL]]+FINANCIACION[[#This Row],[$ INTERESES]],"")</f>
        <v>61577</v>
      </c>
      <c r="F1202" s="5">
        <f>+SUMIFS(FINANCIACION[$ CAPITAL],FINANCIACION[Fecha],"&lt;="&amp;FINANCIACION[[#This Row],[Fecha]],FINANCIACION[PRESTAMO],FINANCIACION[[#This Row],[PRESTAMO]])</f>
        <v>0</v>
      </c>
      <c r="G1202" s="53"/>
      <c r="H1202" s="53"/>
      <c r="I1202" s="5" t="b">
        <f>+IF(FINANCIACION[[#This Row],[$ CAPITAL]]&gt;0,FINANCIACION[[#This Row],[$ CAPITAL]])</f>
        <v>0</v>
      </c>
      <c r="J1202" s="33">
        <f>+IF(FINANCIACION[[#This Row],[$ CAPITAL]]&gt;=0,FINANCIACION[[#This Row],[$ CAPITAL]]+FINANCIACION[[#This Row],[$ INTERESES]],0)</f>
        <v>61577</v>
      </c>
    </row>
    <row r="1203" spans="1:10" ht="24" hidden="1" customHeight="1" x14ac:dyDescent="0.3">
      <c r="A1203" s="131">
        <v>44852</v>
      </c>
      <c r="B1203" s="50" t="s">
        <v>150</v>
      </c>
      <c r="C1203" s="5">
        <v>417000</v>
      </c>
      <c r="D1203" s="5">
        <v>226863.81</v>
      </c>
      <c r="E1203" s="5">
        <f>+IF(FINANCIACION[[#This Row],[$ CAPITAL]]&gt;=0,FINANCIACION[[#This Row],[$ CAPITAL]]+FINANCIACION[[#This Row],[$ INTERESES]],"")</f>
        <v>643863.81000000006</v>
      </c>
      <c r="F1203" s="5">
        <f>+SUMIFS(FINANCIACION[$ CAPITAL],FINANCIACION[Fecha],"&lt;="&amp;FINANCIACION[[#This Row],[Fecha]],FINANCIACION[PRESTAMO],FINANCIACION[[#This Row],[PRESTAMO]])</f>
        <v>-13332000</v>
      </c>
      <c r="G1203" s="53"/>
      <c r="H1203" s="53"/>
      <c r="I1203" s="5">
        <f>+IF(FINANCIACION[[#This Row],[$ CAPITAL]]&gt;0,FINANCIACION[[#This Row],[$ CAPITAL]])</f>
        <v>417000</v>
      </c>
      <c r="J1203" s="33">
        <f>+IF(FINANCIACION[[#This Row],[$ CAPITAL]]&gt;=0,FINANCIACION[[#This Row],[$ CAPITAL]]+FINANCIACION[[#This Row],[$ INTERESES]],0)</f>
        <v>643863.81000000006</v>
      </c>
    </row>
    <row r="1204" spans="1:10" ht="24" hidden="1" customHeight="1" x14ac:dyDescent="0.3">
      <c r="A1204" s="131">
        <v>44853</v>
      </c>
      <c r="B1204" s="50" t="s">
        <v>588</v>
      </c>
      <c r="C1204" s="5">
        <v>1666666.66</v>
      </c>
      <c r="D1204" s="5">
        <v>326258.46999999997</v>
      </c>
      <c r="E1204" s="5">
        <f>+IF(FINANCIACION[[#This Row],[$ CAPITAL]]&gt;=0,FINANCIACION[[#This Row],[$ CAPITAL]]+FINANCIACION[[#This Row],[$ INTERESES]],"")</f>
        <v>1992925.13</v>
      </c>
      <c r="F1204" s="5">
        <f>+SUMIFS(FINANCIACION[$ CAPITAL],FINANCIACION[Fecha],"&lt;="&amp;FINANCIACION[[#This Row],[Fecha]],FINANCIACION[PRESTAMO],FINANCIACION[[#This Row],[PRESTAMO]])</f>
        <v>-17789205.279999997</v>
      </c>
      <c r="G1204" s="53"/>
      <c r="H1204" s="53"/>
      <c r="I1204" s="5">
        <f>+IF(FINANCIACION[[#This Row],[$ CAPITAL]]&gt;0,FINANCIACION[[#This Row],[$ CAPITAL]])</f>
        <v>1666666.66</v>
      </c>
      <c r="J1204" s="33">
        <f>+IF(FINANCIACION[[#This Row],[$ CAPITAL]]&gt;=0,FINANCIACION[[#This Row],[$ CAPITAL]]+FINANCIACION[[#This Row],[$ INTERESES]],0)</f>
        <v>1992925.13</v>
      </c>
    </row>
    <row r="1205" spans="1:10" ht="24" hidden="1" customHeight="1" x14ac:dyDescent="0.3">
      <c r="A1205" s="131">
        <v>44853</v>
      </c>
      <c r="B1205" s="50" t="s">
        <v>833</v>
      </c>
      <c r="C1205" s="5">
        <v>453998</v>
      </c>
      <c r="D1205" s="5">
        <v>31774</v>
      </c>
      <c r="E1205" s="5">
        <f>+IF(FINANCIACION[[#This Row],[$ CAPITAL]]&gt;=0,FINANCIACION[[#This Row],[$ CAPITAL]]+FINANCIACION[[#This Row],[$ INTERESES]],"")</f>
        <v>485772</v>
      </c>
      <c r="F1205" s="5">
        <f>+SUMIFS(FINANCIACION[$ CAPITAL],FINANCIACION[Fecha],"&lt;="&amp;FINANCIACION[[#This Row],[Fecha]],FINANCIACION[PRESTAMO],FINANCIACION[[#This Row],[PRESTAMO]])</f>
        <v>-2723988</v>
      </c>
      <c r="G1205" s="53"/>
      <c r="H1205" s="53"/>
      <c r="I1205" s="5">
        <f>+IF(FINANCIACION[[#This Row],[$ CAPITAL]]&gt;0,FINANCIACION[[#This Row],[$ CAPITAL]])</f>
        <v>453998</v>
      </c>
      <c r="J1205" s="33">
        <f>+IF(FINANCIACION[[#This Row],[$ CAPITAL]]&gt;=0,FINANCIACION[[#This Row],[$ CAPITAL]]+FINANCIACION[[#This Row],[$ INTERESES]],0)</f>
        <v>485772</v>
      </c>
    </row>
    <row r="1206" spans="1:10" ht="24" hidden="1" customHeight="1" x14ac:dyDescent="0.3">
      <c r="A1206" s="131">
        <v>44853</v>
      </c>
      <c r="B1206" s="50" t="s">
        <v>534</v>
      </c>
      <c r="C1206" s="5">
        <v>1301911</v>
      </c>
      <c r="D1206" s="5">
        <v>4884117</v>
      </c>
      <c r="E1206" s="5">
        <f>+IF(FINANCIACION[[#This Row],[$ CAPITAL]]&gt;=0,FINANCIACION[[#This Row],[$ CAPITAL]]+FINANCIACION[[#This Row],[$ INTERESES]],"")</f>
        <v>6186028</v>
      </c>
      <c r="F1206" s="5">
        <f>+SUMIFS(FINANCIACION[$ CAPITAL],FINANCIACION[Fecha],"&lt;="&amp;FINANCIACION[[#This Row],[Fecha]],FINANCIACION[PRESTAMO],FINANCIACION[[#This Row],[PRESTAMO]])</f>
        <v>-359871288</v>
      </c>
      <c r="G1206" s="53"/>
      <c r="H1206" s="53"/>
      <c r="I1206" s="5">
        <f>+IF(FINANCIACION[[#This Row],[$ CAPITAL]]&gt;0,FINANCIACION[[#This Row],[$ CAPITAL]])</f>
        <v>1301911</v>
      </c>
      <c r="J1206" s="33">
        <f>+IF(FINANCIACION[[#This Row],[$ CAPITAL]]&gt;=0,FINANCIACION[[#This Row],[$ CAPITAL]]+FINANCIACION[[#This Row],[$ INTERESES]],0)</f>
        <v>6186028</v>
      </c>
    </row>
    <row r="1207" spans="1:10" ht="24" hidden="1" customHeight="1" x14ac:dyDescent="0.3">
      <c r="A1207" s="131">
        <v>44854</v>
      </c>
      <c r="B1207" s="50" t="s">
        <v>148</v>
      </c>
      <c r="C1207" s="5"/>
      <c r="D1207" s="5">
        <v>388240</v>
      </c>
      <c r="E1207" s="5">
        <f>+IF(FINANCIACION[[#This Row],[$ CAPITAL]]&gt;=0,FINANCIACION[[#This Row],[$ CAPITAL]]+FINANCIACION[[#This Row],[$ INTERESES]],"")</f>
        <v>388240</v>
      </c>
      <c r="F1207" s="5">
        <f>+SUMIFS(FINANCIACION[$ CAPITAL],FINANCIACION[Fecha],"&lt;="&amp;FINANCIACION[[#This Row],[Fecha]],FINANCIACION[PRESTAMO],FINANCIACION[[#This Row],[PRESTAMO]])</f>
        <v>0</v>
      </c>
      <c r="G1207" s="53"/>
      <c r="H1207" s="53"/>
      <c r="I1207" s="5" t="b">
        <f>+IF(FINANCIACION[[#This Row],[$ CAPITAL]]&gt;0,FINANCIACION[[#This Row],[$ CAPITAL]])</f>
        <v>0</v>
      </c>
      <c r="J1207" s="33">
        <f>+IF(FINANCIACION[[#This Row],[$ CAPITAL]]&gt;=0,FINANCIACION[[#This Row],[$ CAPITAL]]+FINANCIACION[[#This Row],[$ INTERESES]],0)</f>
        <v>388240</v>
      </c>
    </row>
    <row r="1208" spans="1:10" ht="24" hidden="1" customHeight="1" x14ac:dyDescent="0.3">
      <c r="A1208" s="131">
        <v>44855</v>
      </c>
      <c r="B1208" s="50" t="s">
        <v>533</v>
      </c>
      <c r="C1208" s="5">
        <v>1373425</v>
      </c>
      <c r="D1208" s="5">
        <v>626575</v>
      </c>
      <c r="E1208" s="5">
        <f>+IF(FINANCIACION[[#This Row],[$ CAPITAL]]&gt;=0,FINANCIACION[[#This Row],[$ CAPITAL]]+FINANCIACION[[#This Row],[$ INTERESES]],"")</f>
        <v>2000000</v>
      </c>
      <c r="F1208" s="5">
        <f>+SUMIFS(FINANCIACION[$ CAPITAL],FINANCIACION[Fecha],"&lt;="&amp;FINANCIACION[[#This Row],[Fecha]],FINANCIACION[PRESTAMO],FINANCIACION[[#This Row],[PRESTAMO]])</f>
        <v>-61284074.132834516</v>
      </c>
      <c r="G1208" s="53"/>
      <c r="H1208" s="53"/>
      <c r="I1208" s="5">
        <f>+IF(FINANCIACION[[#This Row],[$ CAPITAL]]&gt;0,FINANCIACION[[#This Row],[$ CAPITAL]])</f>
        <v>1373425</v>
      </c>
      <c r="J1208" s="33">
        <f>+IF(FINANCIACION[[#This Row],[$ CAPITAL]]&gt;=0,FINANCIACION[[#This Row],[$ CAPITAL]]+FINANCIACION[[#This Row],[$ INTERESES]],0)</f>
        <v>2000000</v>
      </c>
    </row>
    <row r="1209" spans="1:10" ht="24" hidden="1" customHeight="1" x14ac:dyDescent="0.3">
      <c r="A1209" s="131">
        <v>44858</v>
      </c>
      <c r="B1209" s="50" t="s">
        <v>538</v>
      </c>
      <c r="C1209" s="5">
        <v>2176175.9</v>
      </c>
      <c r="D1209" s="5">
        <v>259716.36</v>
      </c>
      <c r="E1209" s="5">
        <f>+IF(FINANCIACION[[#This Row],[$ CAPITAL]]&gt;=0,FINANCIACION[[#This Row],[$ CAPITAL]]+FINANCIACION[[#This Row],[$ INTERESES]],"")</f>
        <v>2435892.2599999998</v>
      </c>
      <c r="F1209" s="5">
        <f>+SUMIFS(FINANCIACION[$ CAPITAL],FINANCIACION[Fecha],"&lt;="&amp;FINANCIACION[[#This Row],[Fecha]],FINANCIACION[PRESTAMO],FINANCIACION[[#This Row],[PRESTAMO]])</f>
        <v>-17356234.540000007</v>
      </c>
      <c r="G1209" s="53"/>
      <c r="H1209" s="53"/>
      <c r="I1209" s="5">
        <f>+IF(FINANCIACION[[#This Row],[$ CAPITAL]]&gt;0,FINANCIACION[[#This Row],[$ CAPITAL]])</f>
        <v>2176175.9</v>
      </c>
      <c r="J1209" s="33">
        <f>+IF(FINANCIACION[[#This Row],[$ CAPITAL]]&gt;=0,FINANCIACION[[#This Row],[$ CAPITAL]]+FINANCIACION[[#This Row],[$ INTERESES]],0)</f>
        <v>2435892.2599999998</v>
      </c>
    </row>
    <row r="1210" spans="1:10" ht="24" hidden="1" customHeight="1" x14ac:dyDescent="0.3">
      <c r="A1210" s="131">
        <v>44858</v>
      </c>
      <c r="B1210" s="50" t="s">
        <v>539</v>
      </c>
      <c r="C1210" s="5">
        <v>3159000</v>
      </c>
      <c r="D1210" s="5">
        <v>396190.99</v>
      </c>
      <c r="E1210" s="5">
        <f>+IF(FINANCIACION[[#This Row],[$ CAPITAL]]&gt;=0,FINANCIACION[[#This Row],[$ CAPITAL]]+FINANCIACION[[#This Row],[$ INTERESES]],"")</f>
        <v>3555190.99</v>
      </c>
      <c r="F1210" s="5">
        <f>+SUMIFS(FINANCIACION[$ CAPITAL],FINANCIACION[Fecha],"&lt;="&amp;FINANCIACION[[#This Row],[Fecha]],FINANCIACION[PRESTAMO],FINANCIACION[[#This Row],[PRESTAMO]])</f>
        <v>-25111786.059999995</v>
      </c>
      <c r="G1210" s="53"/>
      <c r="H1210" s="53"/>
      <c r="I1210" s="5">
        <f>+IF(FINANCIACION[[#This Row],[$ CAPITAL]]&gt;0,FINANCIACION[[#This Row],[$ CAPITAL]])</f>
        <v>3159000</v>
      </c>
      <c r="J1210" s="33">
        <f>+IF(FINANCIACION[[#This Row],[$ CAPITAL]]&gt;=0,FINANCIACION[[#This Row],[$ CAPITAL]]+FINANCIACION[[#This Row],[$ INTERESES]],0)</f>
        <v>3555190.99</v>
      </c>
    </row>
    <row r="1211" spans="1:10" ht="24" hidden="1" customHeight="1" x14ac:dyDescent="0.3">
      <c r="A1211" s="131">
        <v>44859</v>
      </c>
      <c r="B1211" s="50" t="s">
        <v>548</v>
      </c>
      <c r="C1211" s="5">
        <v>1481481.48</v>
      </c>
      <c r="D1211" s="5">
        <v>926400.64</v>
      </c>
      <c r="E1211" s="5">
        <f>+IF(FINANCIACION[[#This Row],[$ CAPITAL]]&gt;=0,FINANCIACION[[#This Row],[$ CAPITAL]]+FINANCIACION[[#This Row],[$ INTERESES]],"")</f>
        <v>2407882.12</v>
      </c>
      <c r="F1211" s="5">
        <f>+SUMIFS(FINANCIACION[$ CAPITAL],FINANCIACION[Fecha],"&lt;="&amp;FINANCIACION[[#This Row],[Fecha]],FINANCIACION[PRESTAMO],FINANCIACION[[#This Row],[PRESTAMO]])</f>
        <v>-72583152.449999988</v>
      </c>
      <c r="G1211" s="53"/>
      <c r="H1211" s="53"/>
      <c r="I1211" s="5">
        <f>+IF(FINANCIACION[[#This Row],[$ CAPITAL]]&gt;0,FINANCIACION[[#This Row],[$ CAPITAL]])</f>
        <v>1481481.48</v>
      </c>
      <c r="J1211" s="33">
        <f>+IF(FINANCIACION[[#This Row],[$ CAPITAL]]&gt;=0,FINANCIACION[[#This Row],[$ CAPITAL]]+FINANCIACION[[#This Row],[$ INTERESES]],0)</f>
        <v>2407882.12</v>
      </c>
    </row>
    <row r="1212" spans="1:10" ht="24" hidden="1" customHeight="1" x14ac:dyDescent="0.3">
      <c r="A1212" s="131">
        <v>44860</v>
      </c>
      <c r="B1212" s="50" t="s">
        <v>546</v>
      </c>
      <c r="C1212" s="5">
        <v>1077529.3999999999</v>
      </c>
      <c r="D1212" s="5">
        <v>115150.29</v>
      </c>
      <c r="E1212" s="5">
        <f>+IF(FINANCIACION[[#This Row],[$ CAPITAL]]&gt;=0,FINANCIACION[[#This Row],[$ CAPITAL]]+FINANCIACION[[#This Row],[$ INTERESES]],"")</f>
        <v>1192679.69</v>
      </c>
      <c r="F1212" s="5">
        <f>+SUMIFS(FINANCIACION[$ CAPITAL],FINANCIACION[Fecha],"&lt;="&amp;FINANCIACION[[#This Row],[Fecha]],FINANCIACION[PRESTAMO],FINANCIACION[[#This Row],[PRESTAMO]])</f>
        <v>-7492215.7899999991</v>
      </c>
      <c r="G1212" s="53"/>
      <c r="H1212" s="53"/>
      <c r="I1212" s="5">
        <f>+IF(FINANCIACION[[#This Row],[$ CAPITAL]]&gt;0,FINANCIACION[[#This Row],[$ CAPITAL]])</f>
        <v>1077529.3999999999</v>
      </c>
      <c r="J1212" s="33">
        <f>+IF(FINANCIACION[[#This Row],[$ CAPITAL]]&gt;=0,FINANCIACION[[#This Row],[$ CAPITAL]]+FINANCIACION[[#This Row],[$ INTERESES]],0)</f>
        <v>1192679.69</v>
      </c>
    </row>
    <row r="1213" spans="1:10" ht="24" hidden="1" customHeight="1" x14ac:dyDescent="0.3">
      <c r="A1213" s="131">
        <v>44865</v>
      </c>
      <c r="B1213" s="50" t="s">
        <v>146</v>
      </c>
      <c r="C1213" s="5">
        <v>1916280</v>
      </c>
      <c r="D1213" s="5">
        <v>447880</v>
      </c>
      <c r="E1213" s="5">
        <f>+IF(FINANCIACION[[#This Row],[$ CAPITAL]]&gt;=0,FINANCIACION[[#This Row],[$ CAPITAL]]+FINANCIACION[[#This Row],[$ INTERESES]],"")</f>
        <v>2364160</v>
      </c>
      <c r="F1213" s="5">
        <f>+SUMIFS(FINANCIACION[$ CAPITAL],FINANCIACION[Fecha],"&lt;="&amp;FINANCIACION[[#This Row],[Fecha]],FINANCIACION[PRESTAMO],FINANCIACION[[#This Row],[PRESTAMO]])</f>
        <v>-24514920</v>
      </c>
      <c r="G1213" s="53"/>
      <c r="H1213" s="53"/>
      <c r="I1213" s="5">
        <f>+IF(FINANCIACION[[#This Row],[$ CAPITAL]]&gt;0,FINANCIACION[[#This Row],[$ CAPITAL]])</f>
        <v>1916280</v>
      </c>
      <c r="J1213" s="33">
        <f>+IF(FINANCIACION[[#This Row],[$ CAPITAL]]&gt;=0,FINANCIACION[[#This Row],[$ CAPITAL]]+FINANCIACION[[#This Row],[$ INTERESES]],0)</f>
        <v>2364160</v>
      </c>
    </row>
    <row r="1214" spans="1:10" ht="24" hidden="1" customHeight="1" x14ac:dyDescent="0.3">
      <c r="A1214" s="131">
        <v>44865</v>
      </c>
      <c r="B1214" s="50" t="s">
        <v>147</v>
      </c>
      <c r="C1214" s="5">
        <v>76791</v>
      </c>
      <c r="D1214" s="5"/>
      <c r="E1214" s="5">
        <f>+IF(FINANCIACION[[#This Row],[$ CAPITAL]]&gt;=0,FINANCIACION[[#This Row],[$ CAPITAL]]+FINANCIACION[[#This Row],[$ INTERESES]],"")</f>
        <v>76791</v>
      </c>
      <c r="F1214" s="5">
        <f>+SUMIFS(FINANCIACION[$ CAPITAL],FINANCIACION[Fecha],"&lt;="&amp;FINANCIACION[[#This Row],[Fecha]],FINANCIACION[PRESTAMO],FINANCIACION[[#This Row],[PRESTAMO]])</f>
        <v>-1305447</v>
      </c>
      <c r="G1214" s="53"/>
      <c r="H1214" s="53"/>
      <c r="I1214" s="5">
        <f>+IF(FINANCIACION[[#This Row],[$ CAPITAL]]&gt;0,FINANCIACION[[#This Row],[$ CAPITAL]])</f>
        <v>76791</v>
      </c>
      <c r="J1214" s="33">
        <f>+IF(FINANCIACION[[#This Row],[$ CAPITAL]]&gt;=0,FINANCIACION[[#This Row],[$ CAPITAL]]+FINANCIACION[[#This Row],[$ INTERESES]],0)</f>
        <v>76791</v>
      </c>
    </row>
    <row r="1215" spans="1:10" ht="24" hidden="1" customHeight="1" x14ac:dyDescent="0.3">
      <c r="A1215" s="131">
        <v>44865</v>
      </c>
      <c r="B1215" s="50" t="s">
        <v>272</v>
      </c>
      <c r="C1215" s="5">
        <v>0</v>
      </c>
      <c r="D1215" s="5"/>
      <c r="E1215" s="5">
        <f>+IF(FINANCIACION[[#This Row],[$ CAPITAL]]&gt;=0,FINANCIACION[[#This Row],[$ CAPITAL]]+FINANCIACION[[#This Row],[$ INTERESES]],"")</f>
        <v>0</v>
      </c>
      <c r="F1215" s="5">
        <f>+SUMIFS(FINANCIACION[$ CAPITAL],FINANCIACION[Fecha],"&lt;="&amp;FINANCIACION[[#This Row],[Fecha]],FINANCIACION[PRESTAMO],FINANCIACION[[#This Row],[PRESTAMO]])</f>
        <v>-0.20000000111758709</v>
      </c>
      <c r="G1215" s="53" t="s">
        <v>1256</v>
      </c>
      <c r="H1215" s="53"/>
      <c r="I1215" s="5" t="b">
        <f>+IF(FINANCIACION[[#This Row],[$ CAPITAL]]&gt;0,FINANCIACION[[#This Row],[$ CAPITAL]])</f>
        <v>0</v>
      </c>
      <c r="J1215" s="33">
        <f>+IF(FINANCIACION[[#This Row],[$ CAPITAL]]&gt;=0,FINANCIACION[[#This Row],[$ CAPITAL]]+FINANCIACION[[#This Row],[$ INTERESES]],0)</f>
        <v>0</v>
      </c>
    </row>
    <row r="1216" spans="1:10" ht="24" hidden="1" customHeight="1" x14ac:dyDescent="0.3">
      <c r="A1216" s="131">
        <v>44865</v>
      </c>
      <c r="B1216" s="50" t="s">
        <v>331</v>
      </c>
      <c r="C1216" s="5">
        <f>-20198045+18331608</f>
        <v>-1866437</v>
      </c>
      <c r="D1216" s="5"/>
      <c r="E1216" s="5" t="str">
        <f>+IF(FINANCIACION[[#This Row],[$ CAPITAL]]&gt;=0,FINANCIACION[[#This Row],[$ CAPITAL]]+FINANCIACION[[#This Row],[$ INTERESES]],"")</f>
        <v/>
      </c>
      <c r="F1216" s="5">
        <f>+SUMIFS(FINANCIACION[$ CAPITAL],FINANCIACION[Fecha],"&lt;="&amp;FINANCIACION[[#This Row],[Fecha]],FINANCIACION[PRESTAMO],FINANCIACION[[#This Row],[PRESTAMO]])</f>
        <v>-20198044.800000004</v>
      </c>
      <c r="G1216" s="53" t="s">
        <v>170</v>
      </c>
      <c r="H1216" s="53"/>
      <c r="I1216" s="5" t="b">
        <f>+IF(FINANCIACION[[#This Row],[$ CAPITAL]]&gt;0,FINANCIACION[[#This Row],[$ CAPITAL]])</f>
        <v>0</v>
      </c>
      <c r="J1216" s="33">
        <f>+IF(FINANCIACION[[#This Row],[$ CAPITAL]]&gt;=0,FINANCIACION[[#This Row],[$ CAPITAL]]+FINANCIACION[[#This Row],[$ INTERESES]],0)</f>
        <v>0</v>
      </c>
    </row>
    <row r="1217" spans="1:10" ht="24" hidden="1" customHeight="1" x14ac:dyDescent="0.3">
      <c r="A1217" s="131">
        <v>44865</v>
      </c>
      <c r="B1217" s="50" t="s">
        <v>684</v>
      </c>
      <c r="C1217" s="5">
        <f>-50570989+44685600</f>
        <v>-5885389</v>
      </c>
      <c r="D1217" s="5"/>
      <c r="E1217" s="5" t="str">
        <f>+IF(FINANCIACION[[#This Row],[$ CAPITAL]]&gt;=0,FINANCIACION[[#This Row],[$ CAPITAL]]+FINANCIACION[[#This Row],[$ INTERESES]],"")</f>
        <v/>
      </c>
      <c r="F1217" s="5">
        <f>+SUMIFS(FINANCIACION[$ CAPITAL],FINANCIACION[Fecha],"&lt;="&amp;FINANCIACION[[#This Row],[Fecha]],FINANCIACION[PRESTAMO],FINANCIACION[[#This Row],[PRESTAMO]])</f>
        <v>-50570988.800000004</v>
      </c>
      <c r="G1217" s="53" t="s">
        <v>170</v>
      </c>
      <c r="H1217" s="53"/>
      <c r="I1217" s="5" t="b">
        <f>+IF(FINANCIACION[[#This Row],[$ CAPITAL]]&gt;0,FINANCIACION[[#This Row],[$ CAPITAL]])</f>
        <v>0</v>
      </c>
      <c r="J1217" s="33">
        <f>+IF(FINANCIACION[[#This Row],[$ CAPITAL]]&gt;=0,FINANCIACION[[#This Row],[$ CAPITAL]]+FINANCIACION[[#This Row],[$ INTERESES]],0)</f>
        <v>0</v>
      </c>
    </row>
    <row r="1218" spans="1:10" ht="24" hidden="1" customHeight="1" x14ac:dyDescent="0.3">
      <c r="A1218" s="131">
        <v>44865</v>
      </c>
      <c r="B1218" s="50" t="s">
        <v>812</v>
      </c>
      <c r="C1218" s="5">
        <f>-78826790+69657143</f>
        <v>-9169647</v>
      </c>
      <c r="D1218" s="5"/>
      <c r="E1218" s="5" t="str">
        <f>+IF(FINANCIACION[[#This Row],[$ CAPITAL]]&gt;=0,FINANCIACION[[#This Row],[$ CAPITAL]]+FINANCIACION[[#This Row],[$ INTERESES]],"")</f>
        <v/>
      </c>
      <c r="F1218" s="5">
        <f>+SUMIFS(FINANCIACION[$ CAPITAL],FINANCIACION[Fecha],"&lt;="&amp;FINANCIACION[[#This Row],[Fecha]],FINANCIACION[PRESTAMO],FINANCIACION[[#This Row],[PRESTAMO]])</f>
        <v>-78826790</v>
      </c>
      <c r="G1218" s="53" t="s">
        <v>170</v>
      </c>
      <c r="H1218" s="53"/>
      <c r="I1218" s="5" t="b">
        <f>+IF(FINANCIACION[[#This Row],[$ CAPITAL]]&gt;0,FINANCIACION[[#This Row],[$ CAPITAL]])</f>
        <v>0</v>
      </c>
      <c r="J1218" s="33">
        <f>+IF(FINANCIACION[[#This Row],[$ CAPITAL]]&gt;=0,FINANCIACION[[#This Row],[$ CAPITAL]]+FINANCIACION[[#This Row],[$ INTERESES]],0)</f>
        <v>0</v>
      </c>
    </row>
    <row r="1219" spans="1:10" ht="24" hidden="1" customHeight="1" x14ac:dyDescent="0.3">
      <c r="A1219" s="131">
        <v>44865</v>
      </c>
      <c r="B1219" s="50" t="s">
        <v>1173</v>
      </c>
      <c r="C1219" s="5">
        <f>-68600000+64400000</f>
        <v>-4200000</v>
      </c>
      <c r="D1219" s="5"/>
      <c r="E1219" s="5" t="str">
        <f>+IF(FINANCIACION[[#This Row],[$ CAPITAL]]&gt;=0,FINANCIACION[[#This Row],[$ CAPITAL]]+FINANCIACION[[#This Row],[$ INTERESES]],"")</f>
        <v/>
      </c>
      <c r="F1219" s="5">
        <f>+SUMIFS(FINANCIACION[$ CAPITAL],FINANCIACION[Fecha],"&lt;="&amp;FINANCIACION[[#This Row],[Fecha]],FINANCIACION[PRESTAMO],FINANCIACION[[#This Row],[PRESTAMO]])</f>
        <v>-68600000</v>
      </c>
      <c r="G1219" s="53" t="s">
        <v>1257</v>
      </c>
      <c r="H1219" s="53"/>
      <c r="I1219" s="5" t="b">
        <f>+IF(FINANCIACION[[#This Row],[$ CAPITAL]]&gt;0,FINANCIACION[[#This Row],[$ CAPITAL]])</f>
        <v>0</v>
      </c>
      <c r="J1219" s="33">
        <f>+IF(FINANCIACION[[#This Row],[$ CAPITAL]]&gt;=0,FINANCIACION[[#This Row],[$ CAPITAL]]+FINANCIACION[[#This Row],[$ INTERESES]],0)</f>
        <v>0</v>
      </c>
    </row>
    <row r="1220" spans="1:10" ht="24" hidden="1" customHeight="1" x14ac:dyDescent="0.3">
      <c r="A1220" s="235">
        <v>44865</v>
      </c>
      <c r="B1220" s="236" t="s">
        <v>540</v>
      </c>
      <c r="C1220" s="237">
        <v>0</v>
      </c>
      <c r="D1220" s="237">
        <v>0</v>
      </c>
      <c r="E1220" s="237">
        <f>+IF(FINANCIACION[[#This Row],[$ CAPITAL]]&gt;=0,FINANCIACION[[#This Row],[$ CAPITAL]]+FINANCIACION[[#This Row],[$ INTERESES]],"")</f>
        <v>0</v>
      </c>
      <c r="F1220" s="237">
        <f>+SUMIFS(FINANCIACION[$ CAPITAL],FINANCIACION[Fecha],"&lt;="&amp;FINANCIACION[[#This Row],[Fecha]],FINANCIACION[PRESTAMO],FINANCIACION[[#This Row],[PRESTAMO]])</f>
        <v>-8458333.6499999985</v>
      </c>
      <c r="G1220" s="53"/>
      <c r="H1220" s="53"/>
      <c r="I1220" s="5" t="b">
        <f>+IF(FINANCIACION[[#This Row],[$ CAPITAL]]&gt;0,FINANCIACION[[#This Row],[$ CAPITAL]])</f>
        <v>0</v>
      </c>
      <c r="J1220" s="33">
        <f>+IF(FINANCIACION[[#This Row],[$ CAPITAL]]&gt;=0,FINANCIACION[[#This Row],[$ CAPITAL]]+FINANCIACION[[#This Row],[$ INTERESES]],0)</f>
        <v>0</v>
      </c>
    </row>
    <row r="1221" spans="1:10" ht="24" hidden="1" customHeight="1" x14ac:dyDescent="0.3">
      <c r="A1221" s="235">
        <v>44865</v>
      </c>
      <c r="B1221" s="236" t="s">
        <v>542</v>
      </c>
      <c r="C1221" s="237">
        <v>0</v>
      </c>
      <c r="D1221" s="237">
        <v>0</v>
      </c>
      <c r="E1221" s="237">
        <f>+IF(FINANCIACION[[#This Row],[$ CAPITAL]]&gt;=0,FINANCIACION[[#This Row],[$ CAPITAL]]+FINANCIACION[[#This Row],[$ INTERESES]],"")</f>
        <v>0</v>
      </c>
      <c r="F1221" s="237">
        <f>+SUMIFS(FINANCIACION[$ CAPITAL],FINANCIACION[Fecha],"&lt;="&amp;FINANCIACION[[#This Row],[Fecha]],FINANCIACION[PRESTAMO],FINANCIACION[[#This Row],[PRESTAMO]])</f>
        <v>-9774211.0699999984</v>
      </c>
      <c r="G1221" s="53"/>
      <c r="H1221" s="53"/>
      <c r="I1221" s="5" t="b">
        <f>+IF(FINANCIACION[[#This Row],[$ CAPITAL]]&gt;0,FINANCIACION[[#This Row],[$ CAPITAL]])</f>
        <v>0</v>
      </c>
      <c r="J1221" s="33">
        <f>+IF(FINANCIACION[[#This Row],[$ CAPITAL]]&gt;=0,FINANCIACION[[#This Row],[$ CAPITAL]]+FINANCIACION[[#This Row],[$ INTERESES]],0)</f>
        <v>0</v>
      </c>
    </row>
    <row r="1222" spans="1:10" ht="24" hidden="1" customHeight="1" x14ac:dyDescent="0.3">
      <c r="A1222" s="235">
        <v>44865</v>
      </c>
      <c r="B1222" s="236" t="s">
        <v>535</v>
      </c>
      <c r="C1222" s="237">
        <v>0</v>
      </c>
      <c r="D1222" s="237">
        <v>0</v>
      </c>
      <c r="E1222" s="237">
        <f>+IF(FINANCIACION[[#This Row],[$ CAPITAL]]&gt;=0,FINANCIACION[[#This Row],[$ CAPITAL]]+FINANCIACION[[#This Row],[$ INTERESES]],"")</f>
        <v>0</v>
      </c>
      <c r="F1222" s="237">
        <f>+SUMIFS(FINANCIACION[$ CAPITAL],FINANCIACION[Fecha],"&lt;="&amp;FINANCIACION[[#This Row],[Fecha]],FINANCIACION[PRESTAMO],FINANCIACION[[#This Row],[PRESTAMO]])</f>
        <v>-9035346.8900000006</v>
      </c>
      <c r="G1222" s="53"/>
      <c r="H1222" s="53"/>
      <c r="I1222" s="5" t="b">
        <f>+IF(FINANCIACION[[#This Row],[$ CAPITAL]]&gt;0,FINANCIACION[[#This Row],[$ CAPITAL]])</f>
        <v>0</v>
      </c>
      <c r="J1222" s="33">
        <f>+IF(FINANCIACION[[#This Row],[$ CAPITAL]]&gt;=0,FINANCIACION[[#This Row],[$ CAPITAL]]+FINANCIACION[[#This Row],[$ INTERESES]],0)</f>
        <v>0</v>
      </c>
    </row>
    <row r="1223" spans="1:10" ht="24" hidden="1" customHeight="1" x14ac:dyDescent="0.3">
      <c r="A1223" s="131">
        <v>44865</v>
      </c>
      <c r="B1223" s="50" t="s">
        <v>1488</v>
      </c>
      <c r="C1223" s="5">
        <f>2526182-4644463</f>
        <v>-2118281</v>
      </c>
      <c r="D1223" s="5"/>
      <c r="E1223" s="5" t="str">
        <f>+IF(FINANCIACION[[#This Row],[$ CAPITAL]]&gt;=0,FINANCIACION[[#This Row],[$ CAPITAL]]+FINANCIACION[[#This Row],[$ INTERESES]],"")</f>
        <v/>
      </c>
      <c r="F1223" s="5">
        <f>+SUMIFS(FINANCIACION[$ CAPITAL],FINANCIACION[Fecha],"&lt;="&amp;FINANCIACION[[#This Row],[Fecha]],FINANCIACION[PRESTAMO],FINANCIACION[[#This Row],[PRESTAMO]])</f>
        <v>-4644463</v>
      </c>
      <c r="G1223" s="53"/>
      <c r="H1223" s="53"/>
      <c r="I1223" s="5" t="b">
        <f>+IF(FINANCIACION[[#This Row],[$ CAPITAL]]&gt;0,FINANCIACION[[#This Row],[$ CAPITAL]])</f>
        <v>0</v>
      </c>
      <c r="J1223" s="33">
        <f>+IF(FINANCIACION[[#This Row],[$ CAPITAL]]&gt;=0,FINANCIACION[[#This Row],[$ CAPITAL]]+FINANCIACION[[#This Row],[$ INTERESES]],0)</f>
        <v>0</v>
      </c>
    </row>
    <row r="1224" spans="1:10" ht="24" hidden="1" customHeight="1" x14ac:dyDescent="0.3">
      <c r="A1224" s="131">
        <v>44865</v>
      </c>
      <c r="B1224" s="50" t="s">
        <v>154</v>
      </c>
      <c r="C1224" s="5">
        <f>20996170-23005500</f>
        <v>-2009330</v>
      </c>
      <c r="D1224" s="5"/>
      <c r="E1224" s="5" t="str">
        <f>+IF(FINANCIACION[[#This Row],[$ CAPITAL]]&gt;=0,FINANCIACION[[#This Row],[$ CAPITAL]]+FINANCIACION[[#This Row],[$ INTERESES]],"")</f>
        <v/>
      </c>
      <c r="F1224" s="5">
        <f>+SUMIFS(FINANCIACION[$ CAPITAL],FINANCIACION[Fecha],"&lt;="&amp;FINANCIACION[[#This Row],[Fecha]],FINANCIACION[PRESTAMO],FINANCIACION[[#This Row],[PRESTAMO]])</f>
        <v>-23005500</v>
      </c>
      <c r="G1224" s="53" t="s">
        <v>1256</v>
      </c>
      <c r="H1224" s="53"/>
      <c r="I1224" s="5" t="b">
        <f>+IF(FINANCIACION[[#This Row],[$ CAPITAL]]&gt;0,FINANCIACION[[#This Row],[$ CAPITAL]])</f>
        <v>0</v>
      </c>
      <c r="J1224" s="33">
        <f>+IF(FINANCIACION[[#This Row],[$ CAPITAL]]&gt;=0,FINANCIACION[[#This Row],[$ CAPITAL]]+FINANCIACION[[#This Row],[$ INTERESES]],0)</f>
        <v>0</v>
      </c>
    </row>
    <row r="1225" spans="1:10" ht="24" hidden="1" customHeight="1" x14ac:dyDescent="0.3">
      <c r="A1225" s="131">
        <v>44865</v>
      </c>
      <c r="B1225" s="50" t="s">
        <v>155</v>
      </c>
      <c r="C1225" s="5">
        <f>22442696-19305362</f>
        <v>3137334</v>
      </c>
      <c r="D1225" s="5"/>
      <c r="E1225" s="5">
        <f>+IF(FINANCIACION[[#This Row],[$ CAPITAL]]&gt;=0,FINANCIACION[[#This Row],[$ CAPITAL]]+FINANCIACION[[#This Row],[$ INTERESES]],"")</f>
        <v>3137334</v>
      </c>
      <c r="F1225" s="5">
        <f>+SUMIFS(FINANCIACION[$ CAPITAL],FINANCIACION[Fecha],"&lt;="&amp;FINANCIACION[[#This Row],[Fecha]],FINANCIACION[PRESTAMO],FINANCIACION[[#This Row],[PRESTAMO]])</f>
        <v>-19305362</v>
      </c>
      <c r="G1225" s="53"/>
      <c r="H1225" s="53"/>
      <c r="I1225" s="5">
        <f>+IF(FINANCIACION[[#This Row],[$ CAPITAL]]&gt;0,FINANCIACION[[#This Row],[$ CAPITAL]])</f>
        <v>3137334</v>
      </c>
      <c r="J1225" s="33">
        <f>+IF(FINANCIACION[[#This Row],[$ CAPITAL]]&gt;=0,FINANCIACION[[#This Row],[$ CAPITAL]]+FINANCIACION[[#This Row],[$ INTERESES]],0)</f>
        <v>3137334</v>
      </c>
    </row>
    <row r="1226" spans="1:10" ht="24" hidden="1" customHeight="1" x14ac:dyDescent="0.3">
      <c r="A1226" s="131">
        <v>44869</v>
      </c>
      <c r="B1226" s="50" t="s">
        <v>552</v>
      </c>
      <c r="C1226" s="5">
        <v>1744958</v>
      </c>
      <c r="D1226" s="5">
        <v>111901</v>
      </c>
      <c r="E1226" s="5">
        <f>+IF(FINANCIACION[[#This Row],[$ CAPITAL]]&gt;=0,FINANCIACION[[#This Row],[$ CAPITAL]]+FINANCIACION[[#This Row],[$ INTERESES]],"")</f>
        <v>1856859</v>
      </c>
      <c r="F1226" s="5">
        <f>+SUMIFS(FINANCIACION[$ CAPITAL],FINANCIACION[Fecha],"&lt;="&amp;FINANCIACION[[#This Row],[Fecha]],FINANCIACION[PRESTAMO],FINANCIACION[[#This Row],[PRESTAMO]])</f>
        <v>-5233490</v>
      </c>
      <c r="G1226" s="53"/>
      <c r="H1226" s="53"/>
      <c r="I1226" s="5">
        <f>+IF(FINANCIACION[[#This Row],[$ CAPITAL]]&gt;0,FINANCIACION[[#This Row],[$ CAPITAL]])</f>
        <v>1744958</v>
      </c>
      <c r="J1226" s="33">
        <f>+IF(FINANCIACION[[#This Row],[$ CAPITAL]]&gt;=0,FINANCIACION[[#This Row],[$ CAPITAL]]+FINANCIACION[[#This Row],[$ INTERESES]],0)</f>
        <v>1856859</v>
      </c>
    </row>
    <row r="1227" spans="1:10" ht="24" hidden="1" customHeight="1" x14ac:dyDescent="0.3">
      <c r="A1227" s="131">
        <v>44869</v>
      </c>
      <c r="B1227" s="50" t="s">
        <v>540</v>
      </c>
      <c r="C1227" s="5">
        <v>853000</v>
      </c>
      <c r="D1227" s="5">
        <v>114608</v>
      </c>
      <c r="E1227" s="5">
        <f>+IF(FINANCIACION[[#This Row],[$ CAPITAL]]&gt;=0,FINANCIACION[[#This Row],[$ CAPITAL]]+FINANCIACION[[#This Row],[$ INTERESES]],"")</f>
        <v>967608</v>
      </c>
      <c r="F1227" s="5">
        <f>+SUMIFS(FINANCIACION[$ CAPITAL],FINANCIACION[Fecha],"&lt;="&amp;FINANCIACION[[#This Row],[Fecha]],FINANCIACION[PRESTAMO],FINANCIACION[[#This Row],[PRESTAMO]])</f>
        <v>-7605333.6499999985</v>
      </c>
      <c r="G1227" s="53"/>
      <c r="H1227" s="53"/>
      <c r="I1227" s="5">
        <f>+IF(FINANCIACION[[#This Row],[$ CAPITAL]]&gt;0,FINANCIACION[[#This Row],[$ CAPITAL]])</f>
        <v>853000</v>
      </c>
      <c r="J1227" s="33">
        <f>+IF(FINANCIACION[[#This Row],[$ CAPITAL]]&gt;=0,FINANCIACION[[#This Row],[$ CAPITAL]]+FINANCIACION[[#This Row],[$ INTERESES]],0)</f>
        <v>967608</v>
      </c>
    </row>
    <row r="1228" spans="1:10" ht="24" hidden="1" customHeight="1" x14ac:dyDescent="0.3">
      <c r="A1228" s="131">
        <v>44869</v>
      </c>
      <c r="B1228" s="50" t="s">
        <v>542</v>
      </c>
      <c r="C1228" s="5">
        <v>918700</v>
      </c>
      <c r="D1228" s="5">
        <v>131289</v>
      </c>
      <c r="E1228" s="5">
        <f>+IF(FINANCIACION[[#This Row],[$ CAPITAL]]&gt;=0,FINANCIACION[[#This Row],[$ CAPITAL]]+FINANCIACION[[#This Row],[$ INTERESES]],"")</f>
        <v>1049989</v>
      </c>
      <c r="F1228" s="5">
        <f>+SUMIFS(FINANCIACION[$ CAPITAL],FINANCIACION[Fecha],"&lt;="&amp;FINANCIACION[[#This Row],[Fecha]],FINANCIACION[PRESTAMO],FINANCIACION[[#This Row],[PRESTAMO]])</f>
        <v>-8855511.0699999984</v>
      </c>
      <c r="G1228" s="53"/>
      <c r="H1228" s="53"/>
      <c r="I1228" s="5">
        <f>+IF(FINANCIACION[[#This Row],[$ CAPITAL]]&gt;0,FINANCIACION[[#This Row],[$ CAPITAL]])</f>
        <v>918700</v>
      </c>
      <c r="J1228" s="33">
        <f>+IF(FINANCIACION[[#This Row],[$ CAPITAL]]&gt;=0,FINANCIACION[[#This Row],[$ CAPITAL]]+FINANCIACION[[#This Row],[$ INTERESES]],0)</f>
        <v>1049989</v>
      </c>
    </row>
    <row r="1229" spans="1:10" ht="24" hidden="1" customHeight="1" x14ac:dyDescent="0.3">
      <c r="A1229" s="131">
        <v>44869</v>
      </c>
      <c r="B1229" s="50" t="s">
        <v>535</v>
      </c>
      <c r="C1229" s="5">
        <v>1306000</v>
      </c>
      <c r="D1229" s="5">
        <v>122321</v>
      </c>
      <c r="E1229" s="5">
        <f>+IF(FINANCIACION[[#This Row],[$ CAPITAL]]&gt;=0,FINANCIACION[[#This Row],[$ CAPITAL]]+FINANCIACION[[#This Row],[$ INTERESES]],"")</f>
        <v>1428321</v>
      </c>
      <c r="F1229" s="5">
        <f>+SUMIFS(FINANCIACION[$ CAPITAL],FINANCIACION[Fecha],"&lt;="&amp;FINANCIACION[[#This Row],[Fecha]],FINANCIACION[PRESTAMO],FINANCIACION[[#This Row],[PRESTAMO]])</f>
        <v>-7729346.8900000006</v>
      </c>
      <c r="G1229" s="53"/>
      <c r="H1229" s="53"/>
      <c r="I1229" s="5">
        <f>+IF(FINANCIACION[[#This Row],[$ CAPITAL]]&gt;0,FINANCIACION[[#This Row],[$ CAPITAL]])</f>
        <v>1306000</v>
      </c>
      <c r="J1229" s="33">
        <f>+IF(FINANCIACION[[#This Row],[$ CAPITAL]]&gt;=0,FINANCIACION[[#This Row],[$ CAPITAL]]+FINANCIACION[[#This Row],[$ INTERESES]],0)</f>
        <v>1428321</v>
      </c>
    </row>
    <row r="1230" spans="1:10" ht="24" hidden="1" customHeight="1" x14ac:dyDescent="0.3">
      <c r="A1230" s="131">
        <v>44873</v>
      </c>
      <c r="B1230" s="50" t="s">
        <v>148</v>
      </c>
      <c r="C1230" s="5"/>
      <c r="D1230" s="5">
        <v>650264</v>
      </c>
      <c r="E1230" s="5">
        <f>+IF(FINANCIACION[[#This Row],[$ CAPITAL]]&gt;=0,FINANCIACION[[#This Row],[$ CAPITAL]]+FINANCIACION[[#This Row],[$ INTERESES]],"")</f>
        <v>650264</v>
      </c>
      <c r="F1230" s="5">
        <f>+SUMIFS(FINANCIACION[$ CAPITAL],FINANCIACION[Fecha],"&lt;="&amp;FINANCIACION[[#This Row],[Fecha]],FINANCIACION[PRESTAMO],FINANCIACION[[#This Row],[PRESTAMO]])</f>
        <v>0</v>
      </c>
      <c r="G1230" s="53"/>
      <c r="H1230" s="53"/>
      <c r="I1230" s="5" t="b">
        <f>+IF(FINANCIACION[[#This Row],[$ CAPITAL]]&gt;0,FINANCIACION[[#This Row],[$ CAPITAL]])</f>
        <v>0</v>
      </c>
      <c r="J1230" s="33">
        <f>+IF(FINANCIACION[[#This Row],[$ CAPITAL]]&gt;=0,FINANCIACION[[#This Row],[$ CAPITAL]]+FINANCIACION[[#This Row],[$ INTERESES]],0)</f>
        <v>650264</v>
      </c>
    </row>
    <row r="1231" spans="1:10" ht="24" hidden="1" customHeight="1" x14ac:dyDescent="0.3">
      <c r="A1231" s="131">
        <v>44873</v>
      </c>
      <c r="B1231" s="50" t="s">
        <v>148</v>
      </c>
      <c r="C1231" s="5"/>
      <c r="D1231" s="5">
        <v>617821</v>
      </c>
      <c r="E1231" s="5">
        <f>+IF(FINANCIACION[[#This Row],[$ CAPITAL]]&gt;=0,FINANCIACION[[#This Row],[$ CAPITAL]]+FINANCIACION[[#This Row],[$ INTERESES]],"")</f>
        <v>617821</v>
      </c>
      <c r="F1231" s="5">
        <f>+SUMIFS(FINANCIACION[$ CAPITAL],FINANCIACION[Fecha],"&lt;="&amp;FINANCIACION[[#This Row],[Fecha]],FINANCIACION[PRESTAMO],FINANCIACION[[#This Row],[PRESTAMO]])</f>
        <v>0</v>
      </c>
      <c r="G1231" s="53"/>
      <c r="H1231" s="53"/>
      <c r="I1231" s="5" t="b">
        <f>+IF(FINANCIACION[[#This Row],[$ CAPITAL]]&gt;0,FINANCIACION[[#This Row],[$ CAPITAL]])</f>
        <v>0</v>
      </c>
      <c r="J1231" s="33">
        <f>+IF(FINANCIACION[[#This Row],[$ CAPITAL]]&gt;=0,FINANCIACION[[#This Row],[$ CAPITAL]]+FINANCIACION[[#This Row],[$ INTERESES]],0)</f>
        <v>617821</v>
      </c>
    </row>
    <row r="1232" spans="1:10" ht="24" hidden="1" customHeight="1" x14ac:dyDescent="0.3">
      <c r="A1232" s="131">
        <v>44876</v>
      </c>
      <c r="B1232" s="50" t="s">
        <v>543</v>
      </c>
      <c r="C1232" s="5"/>
      <c r="D1232" s="5">
        <v>130000</v>
      </c>
      <c r="E1232" s="5">
        <f>+IF(FINANCIACION[[#This Row],[$ CAPITAL]]&gt;=0,FINANCIACION[[#This Row],[$ CAPITAL]]+FINANCIACION[[#This Row],[$ INTERESES]],"")</f>
        <v>130000</v>
      </c>
      <c r="F1232" s="5">
        <f>+SUMIFS(FINANCIACION[$ CAPITAL],FINANCIACION[Fecha],"&lt;="&amp;FINANCIACION[[#This Row],[Fecha]],FINANCIACION[PRESTAMO],FINANCIACION[[#This Row],[PRESTAMO]])</f>
        <v>-13000000</v>
      </c>
      <c r="G1232" s="53"/>
      <c r="H1232" s="53"/>
      <c r="I1232" s="5" t="b">
        <f>+IF(FINANCIACION[[#This Row],[$ CAPITAL]]&gt;0,FINANCIACION[[#This Row],[$ CAPITAL]])</f>
        <v>0</v>
      </c>
      <c r="J1232" s="33">
        <f>+IF(FINANCIACION[[#This Row],[$ CAPITAL]]&gt;=0,FINANCIACION[[#This Row],[$ CAPITAL]]+FINANCIACION[[#This Row],[$ INTERESES]],0)</f>
        <v>130000</v>
      </c>
    </row>
    <row r="1233" spans="1:10" ht="24" hidden="1" customHeight="1" x14ac:dyDescent="0.3">
      <c r="A1233" s="131">
        <v>44876</v>
      </c>
      <c r="B1233" s="50" t="s">
        <v>547</v>
      </c>
      <c r="C1233" s="5"/>
      <c r="D1233" s="5">
        <v>400000</v>
      </c>
      <c r="E1233" s="5">
        <f>+IF(FINANCIACION[[#This Row],[$ CAPITAL]]&gt;=0,FINANCIACION[[#This Row],[$ CAPITAL]]+FINANCIACION[[#This Row],[$ INTERESES]],"")</f>
        <v>400000</v>
      </c>
      <c r="F1233" s="5">
        <f>+SUMIFS(FINANCIACION[$ CAPITAL],FINANCIACION[Fecha],"&lt;="&amp;FINANCIACION[[#This Row],[Fecha]],FINANCIACION[PRESTAMO],FINANCIACION[[#This Row],[PRESTAMO]])</f>
        <v>-40000000</v>
      </c>
      <c r="G1233" s="53"/>
      <c r="H1233" s="53"/>
      <c r="I1233" s="5" t="b">
        <f>+IF(FINANCIACION[[#This Row],[$ CAPITAL]]&gt;0,FINANCIACION[[#This Row],[$ CAPITAL]])</f>
        <v>0</v>
      </c>
      <c r="J1233" s="33">
        <f>+IF(FINANCIACION[[#This Row],[$ CAPITAL]]&gt;=0,FINANCIACION[[#This Row],[$ CAPITAL]]+FINANCIACION[[#This Row],[$ INTERESES]],0)</f>
        <v>400000</v>
      </c>
    </row>
    <row r="1234" spans="1:10" ht="24" hidden="1" customHeight="1" x14ac:dyDescent="0.3">
      <c r="A1234" s="131">
        <v>44876</v>
      </c>
      <c r="B1234" s="50" t="s">
        <v>532</v>
      </c>
      <c r="C1234" s="5">
        <v>2192387</v>
      </c>
      <c r="D1234" s="5">
        <v>484991</v>
      </c>
      <c r="E1234" s="5">
        <f>+IF(FINANCIACION[[#This Row],[$ CAPITAL]]&gt;=0,FINANCIACION[[#This Row],[$ CAPITAL]]+FINANCIACION[[#This Row],[$ INTERESES]],"")</f>
        <v>2677378</v>
      </c>
      <c r="F1234" s="5">
        <f>+SUMIFS(FINANCIACION[$ CAPITAL],FINANCIACION[Fecha],"&lt;="&amp;FINANCIACION[[#This Row],[Fecha]],FINANCIACION[PRESTAMO],FINANCIACION[[#This Row],[PRESTAMO]])</f>
        <v>-46306678.484479994</v>
      </c>
      <c r="G1234" s="53"/>
      <c r="H1234" s="53"/>
      <c r="I1234" s="5">
        <f>+IF(FINANCIACION[[#This Row],[$ CAPITAL]]&gt;0,FINANCIACION[[#This Row],[$ CAPITAL]])</f>
        <v>2192387</v>
      </c>
      <c r="J1234" s="33">
        <f>+IF(FINANCIACION[[#This Row],[$ CAPITAL]]&gt;=0,FINANCIACION[[#This Row],[$ CAPITAL]]+FINANCIACION[[#This Row],[$ INTERESES]],0)</f>
        <v>2677378</v>
      </c>
    </row>
    <row r="1235" spans="1:10" ht="24" hidden="1" customHeight="1" x14ac:dyDescent="0.3">
      <c r="A1235" s="131">
        <v>44876</v>
      </c>
      <c r="B1235" s="50" t="s">
        <v>536</v>
      </c>
      <c r="C1235" s="5">
        <v>845000</v>
      </c>
      <c r="D1235" s="5">
        <v>455000</v>
      </c>
      <c r="E1235" s="5">
        <f>+IF(FINANCIACION[[#This Row],[$ CAPITAL]]&gt;=0,FINANCIACION[[#This Row],[$ CAPITAL]]+FINANCIACION[[#This Row],[$ INTERESES]],"")</f>
        <v>1300000</v>
      </c>
      <c r="F1235" s="5">
        <f>+SUMIFS(FINANCIACION[$ CAPITAL],FINANCIACION[Fecha],"&lt;="&amp;FINANCIACION[[#This Row],[Fecha]],FINANCIACION[PRESTAMO],FINANCIACION[[#This Row],[PRESTAMO]])</f>
        <v>-44684022.199762128</v>
      </c>
      <c r="G1235" s="53"/>
      <c r="H1235" s="53"/>
      <c r="I1235" s="5">
        <f>+IF(FINANCIACION[[#This Row],[$ CAPITAL]]&gt;0,FINANCIACION[[#This Row],[$ CAPITAL]])</f>
        <v>845000</v>
      </c>
      <c r="J1235" s="33">
        <f>+IF(FINANCIACION[[#This Row],[$ CAPITAL]]&gt;=0,FINANCIACION[[#This Row],[$ CAPITAL]]+FINANCIACION[[#This Row],[$ INTERESES]],0)</f>
        <v>1300000</v>
      </c>
    </row>
    <row r="1236" spans="1:10" ht="24" hidden="1" customHeight="1" x14ac:dyDescent="0.3">
      <c r="A1236" s="131">
        <v>44876</v>
      </c>
      <c r="B1236" s="50" t="s">
        <v>533</v>
      </c>
      <c r="C1236" s="5">
        <v>1387159</v>
      </c>
      <c r="D1236" s="5">
        <v>612841</v>
      </c>
      <c r="E1236" s="5">
        <f>+IF(FINANCIACION[[#This Row],[$ CAPITAL]]&gt;=0,FINANCIACION[[#This Row],[$ CAPITAL]]+FINANCIACION[[#This Row],[$ INTERESES]],"")</f>
        <v>2000000</v>
      </c>
      <c r="F1236" s="5">
        <f>+SUMIFS(FINANCIACION[$ CAPITAL],FINANCIACION[Fecha],"&lt;="&amp;FINANCIACION[[#This Row],[Fecha]],FINANCIACION[PRESTAMO],FINANCIACION[[#This Row],[PRESTAMO]])</f>
        <v>-59896915.132834516</v>
      </c>
      <c r="G1236" s="53"/>
      <c r="H1236" s="53"/>
      <c r="I1236" s="5">
        <f>+IF(FINANCIACION[[#This Row],[$ CAPITAL]]&gt;0,FINANCIACION[[#This Row],[$ CAPITAL]])</f>
        <v>1387159</v>
      </c>
      <c r="J1236" s="33">
        <f>+IF(FINANCIACION[[#This Row],[$ CAPITAL]]&gt;=0,FINANCIACION[[#This Row],[$ CAPITAL]]+FINANCIACION[[#This Row],[$ INTERESES]],0)</f>
        <v>2000000</v>
      </c>
    </row>
    <row r="1237" spans="1:10" ht="24" hidden="1" customHeight="1" x14ac:dyDescent="0.3">
      <c r="A1237" s="131">
        <v>44876</v>
      </c>
      <c r="B1237" s="50" t="s">
        <v>563</v>
      </c>
      <c r="C1237" s="5"/>
      <c r="D1237" s="5">
        <v>750000</v>
      </c>
      <c r="E1237" s="5">
        <f>+IF(FINANCIACION[[#This Row],[$ CAPITAL]]&gt;=0,FINANCIACION[[#This Row],[$ CAPITAL]]+FINANCIACION[[#This Row],[$ INTERESES]],"")</f>
        <v>750000</v>
      </c>
      <c r="F1237" s="5">
        <f>+SUMIFS(FINANCIACION[$ CAPITAL],FINANCIACION[Fecha],"&lt;="&amp;FINANCIACION[[#This Row],[Fecha]],FINANCIACION[PRESTAMO],FINANCIACION[[#This Row],[PRESTAMO]])</f>
        <v>-75000000</v>
      </c>
      <c r="G1237" s="53"/>
      <c r="H1237" s="53"/>
      <c r="I1237" s="5" t="b">
        <f>+IF(FINANCIACION[[#This Row],[$ CAPITAL]]&gt;0,FINANCIACION[[#This Row],[$ CAPITAL]])</f>
        <v>0</v>
      </c>
      <c r="J1237" s="33">
        <f>+IF(FINANCIACION[[#This Row],[$ CAPITAL]]&gt;=0,FINANCIACION[[#This Row],[$ CAPITAL]]+FINANCIACION[[#This Row],[$ INTERESES]],0)</f>
        <v>750000</v>
      </c>
    </row>
    <row r="1238" spans="1:10" ht="24" hidden="1" customHeight="1" x14ac:dyDescent="0.3">
      <c r="A1238" s="131">
        <v>44876</v>
      </c>
      <c r="B1238" s="50" t="s">
        <v>545</v>
      </c>
      <c r="C1238" s="5"/>
      <c r="D1238" s="5">
        <v>120000</v>
      </c>
      <c r="E1238" s="5">
        <f>+IF(FINANCIACION[[#This Row],[$ CAPITAL]]&gt;=0,FINANCIACION[[#This Row],[$ CAPITAL]]+FINANCIACION[[#This Row],[$ INTERESES]],"")</f>
        <v>120000</v>
      </c>
      <c r="F1238" s="5">
        <f>+SUMIFS(FINANCIACION[$ CAPITAL],FINANCIACION[Fecha],"&lt;="&amp;FINANCIACION[[#This Row],[Fecha]],FINANCIACION[PRESTAMO],FINANCIACION[[#This Row],[PRESTAMO]])</f>
        <v>-12000000</v>
      </c>
      <c r="G1238" s="53"/>
      <c r="H1238" s="53"/>
      <c r="I1238" s="5" t="b">
        <f>+IF(FINANCIACION[[#This Row],[$ CAPITAL]]&gt;0,FINANCIACION[[#This Row],[$ CAPITAL]])</f>
        <v>0</v>
      </c>
      <c r="J1238" s="33">
        <f>+IF(FINANCIACION[[#This Row],[$ CAPITAL]]&gt;=0,FINANCIACION[[#This Row],[$ CAPITAL]]+FINANCIACION[[#This Row],[$ INTERESES]],0)</f>
        <v>120000</v>
      </c>
    </row>
    <row r="1239" spans="1:10" ht="24" hidden="1" customHeight="1" x14ac:dyDescent="0.3">
      <c r="A1239" s="131">
        <v>44880</v>
      </c>
      <c r="B1239" s="50" t="s">
        <v>150</v>
      </c>
      <c r="C1239" s="5">
        <v>417000</v>
      </c>
      <c r="D1239" s="5">
        <v>219054</v>
      </c>
      <c r="E1239" s="5">
        <f>+IF(FINANCIACION[[#This Row],[$ CAPITAL]]&gt;=0,FINANCIACION[[#This Row],[$ CAPITAL]]+FINANCIACION[[#This Row],[$ INTERESES]],"")</f>
        <v>636054</v>
      </c>
      <c r="F1239" s="5">
        <f>+SUMIFS(FINANCIACION[$ CAPITAL],FINANCIACION[Fecha],"&lt;="&amp;FINANCIACION[[#This Row],[Fecha]],FINANCIACION[PRESTAMO],FINANCIACION[[#This Row],[PRESTAMO]])</f>
        <v>-12915000</v>
      </c>
      <c r="G1239" s="53"/>
      <c r="H1239" s="53"/>
      <c r="I1239" s="5">
        <f>+IF(FINANCIACION[[#This Row],[$ CAPITAL]]&gt;0,FINANCIACION[[#This Row],[$ CAPITAL]])</f>
        <v>417000</v>
      </c>
      <c r="J1239" s="33">
        <f>+IF(FINANCIACION[[#This Row],[$ CAPITAL]]&gt;=0,FINANCIACION[[#This Row],[$ CAPITAL]]+FINANCIACION[[#This Row],[$ INTERESES]],0)</f>
        <v>636054</v>
      </c>
    </row>
    <row r="1240" spans="1:10" ht="24" hidden="1" customHeight="1" x14ac:dyDescent="0.3">
      <c r="A1240" s="131">
        <v>44882</v>
      </c>
      <c r="B1240" s="50" t="s">
        <v>148</v>
      </c>
      <c r="C1240" s="5"/>
      <c r="D1240" s="5">
        <v>162793</v>
      </c>
      <c r="E1240" s="5">
        <f>+IF(FINANCIACION[[#This Row],[$ CAPITAL]]&gt;=0,FINANCIACION[[#This Row],[$ CAPITAL]]+FINANCIACION[[#This Row],[$ INTERESES]],"")</f>
        <v>162793</v>
      </c>
      <c r="F1240" s="5">
        <f>+SUMIFS(FINANCIACION[$ CAPITAL],FINANCIACION[Fecha],"&lt;="&amp;FINANCIACION[[#This Row],[Fecha]],FINANCIACION[PRESTAMO],FINANCIACION[[#This Row],[PRESTAMO]])</f>
        <v>0</v>
      </c>
      <c r="G1240" s="53"/>
      <c r="H1240" s="53"/>
      <c r="I1240" s="5" t="b">
        <f>+IF(FINANCIACION[[#This Row],[$ CAPITAL]]&gt;0,FINANCIACION[[#This Row],[$ CAPITAL]])</f>
        <v>0</v>
      </c>
      <c r="J1240" s="33">
        <f>+IF(FINANCIACION[[#This Row],[$ CAPITAL]]&gt;=0,FINANCIACION[[#This Row],[$ CAPITAL]]+FINANCIACION[[#This Row],[$ INTERESES]],0)</f>
        <v>162793</v>
      </c>
    </row>
    <row r="1241" spans="1:10" ht="24" hidden="1" customHeight="1" x14ac:dyDescent="0.3">
      <c r="A1241" s="131">
        <v>44884</v>
      </c>
      <c r="B1241" s="50" t="s">
        <v>534</v>
      </c>
      <c r="C1241" s="5">
        <v>1161336</v>
      </c>
      <c r="D1241" s="5">
        <v>5945012</v>
      </c>
      <c r="E1241" s="5">
        <f>+IF(FINANCIACION[[#This Row],[$ CAPITAL]]&gt;=0,FINANCIACION[[#This Row],[$ CAPITAL]]+FINANCIACION[[#This Row],[$ INTERESES]],"")</f>
        <v>7106348</v>
      </c>
      <c r="F1241" s="5">
        <f>+SUMIFS(FINANCIACION[$ CAPITAL],FINANCIACION[Fecha],"&lt;="&amp;FINANCIACION[[#This Row],[Fecha]],FINANCIACION[PRESTAMO],FINANCIACION[[#This Row],[PRESTAMO]])</f>
        <v>-358709952</v>
      </c>
      <c r="G1241" s="53"/>
      <c r="H1241" s="53"/>
      <c r="I1241" s="5">
        <f>+IF(FINANCIACION[[#This Row],[$ CAPITAL]]&gt;0,FINANCIACION[[#This Row],[$ CAPITAL]])</f>
        <v>1161336</v>
      </c>
      <c r="J1241" s="33">
        <f>+IF(FINANCIACION[[#This Row],[$ CAPITAL]]&gt;=0,FINANCIACION[[#This Row],[$ CAPITAL]]+FINANCIACION[[#This Row],[$ INTERESES]],0)</f>
        <v>7106348</v>
      </c>
    </row>
    <row r="1242" spans="1:10" ht="24" hidden="1" customHeight="1" x14ac:dyDescent="0.3">
      <c r="A1242" s="131">
        <v>44886</v>
      </c>
      <c r="B1242" s="50" t="s">
        <v>148</v>
      </c>
      <c r="C1242" s="5"/>
      <c r="D1242" s="5">
        <v>438526</v>
      </c>
      <c r="E1242" s="5">
        <f>+IF(FINANCIACION[[#This Row],[$ CAPITAL]]&gt;=0,FINANCIACION[[#This Row],[$ CAPITAL]]+FINANCIACION[[#This Row],[$ INTERESES]],"")</f>
        <v>438526</v>
      </c>
      <c r="F1242" s="5">
        <f>+SUMIFS(FINANCIACION[$ CAPITAL],FINANCIACION[Fecha],"&lt;="&amp;FINANCIACION[[#This Row],[Fecha]],FINANCIACION[PRESTAMO],FINANCIACION[[#This Row],[PRESTAMO]])</f>
        <v>0</v>
      </c>
      <c r="G1242" s="53"/>
      <c r="H1242" s="53"/>
      <c r="I1242" s="5" t="b">
        <f>+IF(FINANCIACION[[#This Row],[$ CAPITAL]]&gt;0,FINANCIACION[[#This Row],[$ CAPITAL]])</f>
        <v>0</v>
      </c>
      <c r="J1242" s="33">
        <f>+IF(FINANCIACION[[#This Row],[$ CAPITAL]]&gt;=0,FINANCIACION[[#This Row],[$ CAPITAL]]+FINANCIACION[[#This Row],[$ INTERESES]],0)</f>
        <v>438526</v>
      </c>
    </row>
    <row r="1243" spans="1:10" ht="24" hidden="1" customHeight="1" x14ac:dyDescent="0.3">
      <c r="A1243" s="131">
        <v>44886</v>
      </c>
      <c r="B1243" s="50" t="s">
        <v>588</v>
      </c>
      <c r="C1243" s="5">
        <v>1667000</v>
      </c>
      <c r="D1243" s="5">
        <v>304748</v>
      </c>
      <c r="E1243" s="5">
        <f>+IF(FINANCIACION[[#This Row],[$ CAPITAL]]&gt;=0,FINANCIACION[[#This Row],[$ CAPITAL]]+FINANCIACION[[#This Row],[$ INTERESES]],"")</f>
        <v>1971748</v>
      </c>
      <c r="F1243" s="5">
        <f>+SUMIFS(FINANCIACION[$ CAPITAL],FINANCIACION[Fecha],"&lt;="&amp;FINANCIACION[[#This Row],[Fecha]],FINANCIACION[PRESTAMO],FINANCIACION[[#This Row],[PRESTAMO]])</f>
        <v>-16122205.279999997</v>
      </c>
      <c r="G1243" s="53"/>
      <c r="H1243" s="53"/>
      <c r="I1243" s="5">
        <f>+IF(FINANCIACION[[#This Row],[$ CAPITAL]]&gt;0,FINANCIACION[[#This Row],[$ CAPITAL]])</f>
        <v>1667000</v>
      </c>
      <c r="J1243" s="33">
        <f>+IF(FINANCIACION[[#This Row],[$ CAPITAL]]&gt;=0,FINANCIACION[[#This Row],[$ CAPITAL]]+FINANCIACION[[#This Row],[$ INTERESES]],0)</f>
        <v>1971748</v>
      </c>
    </row>
    <row r="1244" spans="1:10" ht="24" hidden="1" customHeight="1" x14ac:dyDescent="0.3">
      <c r="A1244" s="131">
        <v>44886</v>
      </c>
      <c r="B1244" s="50" t="s">
        <v>833</v>
      </c>
      <c r="C1244" s="5">
        <v>453998</v>
      </c>
      <c r="D1244" s="5">
        <v>27235</v>
      </c>
      <c r="E1244" s="5">
        <f>+IF(FINANCIACION[[#This Row],[$ CAPITAL]]&gt;=0,FINANCIACION[[#This Row],[$ CAPITAL]]+FINANCIACION[[#This Row],[$ INTERESES]],"")</f>
        <v>481233</v>
      </c>
      <c r="F1244" s="5">
        <f>+SUMIFS(FINANCIACION[$ CAPITAL],FINANCIACION[Fecha],"&lt;="&amp;FINANCIACION[[#This Row],[Fecha]],FINANCIACION[PRESTAMO],FINANCIACION[[#This Row],[PRESTAMO]])</f>
        <v>-2269990</v>
      </c>
      <c r="G1244" s="53"/>
      <c r="H1244" s="53"/>
      <c r="I1244" s="5">
        <f>+IF(FINANCIACION[[#This Row],[$ CAPITAL]]&gt;0,FINANCIACION[[#This Row],[$ CAPITAL]])</f>
        <v>453998</v>
      </c>
      <c r="J1244" s="33">
        <f>+IF(FINANCIACION[[#This Row],[$ CAPITAL]]&gt;=0,FINANCIACION[[#This Row],[$ CAPITAL]]+FINANCIACION[[#This Row],[$ INTERESES]],0)</f>
        <v>481233</v>
      </c>
    </row>
    <row r="1245" spans="1:10" ht="24" hidden="1" customHeight="1" x14ac:dyDescent="0.3">
      <c r="A1245" s="131">
        <v>44890</v>
      </c>
      <c r="B1245" s="50" t="s">
        <v>546</v>
      </c>
      <c r="C1245" s="5">
        <v>1077327</v>
      </c>
      <c r="D1245" s="5">
        <v>103280</v>
      </c>
      <c r="E1245" s="5">
        <f>+IF(FINANCIACION[[#This Row],[$ CAPITAL]]&gt;=0,FINANCIACION[[#This Row],[$ CAPITAL]]+FINANCIACION[[#This Row],[$ INTERESES]],"")</f>
        <v>1180607</v>
      </c>
      <c r="F1245" s="5">
        <f>+SUMIFS(FINANCIACION[$ CAPITAL],FINANCIACION[Fecha],"&lt;="&amp;FINANCIACION[[#This Row],[Fecha]],FINANCIACION[PRESTAMO],FINANCIACION[[#This Row],[PRESTAMO]])</f>
        <v>-6414888.7899999991</v>
      </c>
      <c r="G1245" s="53"/>
      <c r="H1245" s="53"/>
      <c r="I1245" s="5">
        <f>+IF(FINANCIACION[[#This Row],[$ CAPITAL]]&gt;0,FINANCIACION[[#This Row],[$ CAPITAL]])</f>
        <v>1077327</v>
      </c>
      <c r="J1245" s="33">
        <f>+IF(FINANCIACION[[#This Row],[$ CAPITAL]]&gt;=0,FINANCIACION[[#This Row],[$ CAPITAL]]+FINANCIACION[[#This Row],[$ INTERESES]],0)</f>
        <v>1180607</v>
      </c>
    </row>
    <row r="1246" spans="1:10" ht="24" hidden="1" customHeight="1" x14ac:dyDescent="0.3">
      <c r="A1246" s="131">
        <v>44890</v>
      </c>
      <c r="B1246" s="50" t="s">
        <v>548</v>
      </c>
      <c r="C1246" s="5">
        <v>1481314</v>
      </c>
      <c r="D1246" s="5">
        <v>944686</v>
      </c>
      <c r="E1246" s="5">
        <f>+IF(FINANCIACION[[#This Row],[$ CAPITAL]]&gt;=0,FINANCIACION[[#This Row],[$ CAPITAL]]+FINANCIACION[[#This Row],[$ INTERESES]],"")</f>
        <v>2426000</v>
      </c>
      <c r="F1246" s="5">
        <f>+SUMIFS(FINANCIACION[$ CAPITAL],FINANCIACION[Fecha],"&lt;="&amp;FINANCIACION[[#This Row],[Fecha]],FINANCIACION[PRESTAMO],FINANCIACION[[#This Row],[PRESTAMO]])</f>
        <v>-71101838.449999988</v>
      </c>
      <c r="G1246" s="53"/>
      <c r="H1246" s="53"/>
      <c r="I1246" s="5">
        <f>+IF(FINANCIACION[[#This Row],[$ CAPITAL]]&gt;0,FINANCIACION[[#This Row],[$ CAPITAL]])</f>
        <v>1481314</v>
      </c>
      <c r="J1246" s="33">
        <f>+IF(FINANCIACION[[#This Row],[$ CAPITAL]]&gt;=0,FINANCIACION[[#This Row],[$ CAPITAL]]+FINANCIACION[[#This Row],[$ INTERESES]],0)</f>
        <v>2426000</v>
      </c>
    </row>
    <row r="1247" spans="1:10" ht="24" hidden="1" customHeight="1" x14ac:dyDescent="0.3">
      <c r="A1247" s="131">
        <v>44890</v>
      </c>
      <c r="B1247" s="50" t="s">
        <v>538</v>
      </c>
      <c r="C1247" s="5">
        <v>2169519</v>
      </c>
      <c r="D1247" s="5">
        <v>239481</v>
      </c>
      <c r="E1247" s="5">
        <f>+IF(FINANCIACION[[#This Row],[$ CAPITAL]]&gt;=0,FINANCIACION[[#This Row],[$ CAPITAL]]+FINANCIACION[[#This Row],[$ INTERESES]],"")</f>
        <v>2409000</v>
      </c>
      <c r="F1247" s="5">
        <f>+SUMIFS(FINANCIACION[$ CAPITAL],FINANCIACION[Fecha],"&lt;="&amp;FINANCIACION[[#This Row],[Fecha]],FINANCIACION[PRESTAMO],FINANCIACION[[#This Row],[PRESTAMO]])</f>
        <v>-15186715.540000007</v>
      </c>
      <c r="G1247" s="53"/>
      <c r="H1247" s="53"/>
      <c r="I1247" s="5">
        <f>+IF(FINANCIACION[[#This Row],[$ CAPITAL]]&gt;0,FINANCIACION[[#This Row],[$ CAPITAL]])</f>
        <v>2169519</v>
      </c>
      <c r="J1247" s="33">
        <f>+IF(FINANCIACION[[#This Row],[$ CAPITAL]]&gt;=0,FINANCIACION[[#This Row],[$ CAPITAL]]+FINANCIACION[[#This Row],[$ INTERESES]],0)</f>
        <v>2409000</v>
      </c>
    </row>
    <row r="1248" spans="1:10" ht="24" hidden="1" customHeight="1" x14ac:dyDescent="0.3">
      <c r="A1248" s="131">
        <v>44890</v>
      </c>
      <c r="B1248" s="50" t="s">
        <v>539</v>
      </c>
      <c r="C1248" s="5">
        <v>3147588</v>
      </c>
      <c r="D1248" s="5">
        <v>364412</v>
      </c>
      <c r="E1248" s="5">
        <f>+IF(FINANCIACION[[#This Row],[$ CAPITAL]]&gt;=0,FINANCIACION[[#This Row],[$ CAPITAL]]+FINANCIACION[[#This Row],[$ INTERESES]],"")</f>
        <v>3512000</v>
      </c>
      <c r="F1248" s="5">
        <f>+SUMIFS(FINANCIACION[$ CAPITAL],FINANCIACION[Fecha],"&lt;="&amp;FINANCIACION[[#This Row],[Fecha]],FINANCIACION[PRESTAMO],FINANCIACION[[#This Row],[PRESTAMO]])</f>
        <v>-21964198.059999995</v>
      </c>
      <c r="G1248" s="53"/>
      <c r="H1248" s="53"/>
      <c r="I1248" s="5">
        <f>+IF(FINANCIACION[[#This Row],[$ CAPITAL]]&gt;0,FINANCIACION[[#This Row],[$ CAPITAL]])</f>
        <v>3147588</v>
      </c>
      <c r="J1248" s="33">
        <f>+IF(FINANCIACION[[#This Row],[$ CAPITAL]]&gt;=0,FINANCIACION[[#This Row],[$ CAPITAL]]+FINANCIACION[[#This Row],[$ INTERESES]],0)</f>
        <v>3512000</v>
      </c>
    </row>
    <row r="1249" spans="1:10" ht="24" hidden="1" customHeight="1" x14ac:dyDescent="0.3">
      <c r="A1249" s="131">
        <v>44895</v>
      </c>
      <c r="B1249" s="50" t="s">
        <v>146</v>
      </c>
      <c r="C1249" s="5">
        <v>1468400</v>
      </c>
      <c r="D1249" s="5">
        <v>437833</v>
      </c>
      <c r="E1249" s="5">
        <f>+IF(FINANCIACION[[#This Row],[$ CAPITAL]]&gt;=0,FINANCIACION[[#This Row],[$ CAPITAL]]+FINANCIACION[[#This Row],[$ INTERESES]],"")</f>
        <v>1906233</v>
      </c>
      <c r="F1249" s="5">
        <f>+SUMIFS(FINANCIACION[$ CAPITAL],FINANCIACION[Fecha],"&lt;="&amp;FINANCIACION[[#This Row],[Fecha]],FINANCIACION[PRESTAMO],FINANCIACION[[#This Row],[PRESTAMO]])</f>
        <v>-23046520</v>
      </c>
      <c r="G1249" s="53"/>
      <c r="H1249" s="53"/>
      <c r="I1249" s="5">
        <f>+IF(FINANCIACION[[#This Row],[$ CAPITAL]]&gt;0,FINANCIACION[[#This Row],[$ CAPITAL]])</f>
        <v>1468400</v>
      </c>
      <c r="J1249" s="33">
        <f>+IF(FINANCIACION[[#This Row],[$ CAPITAL]]&gt;=0,FINANCIACION[[#This Row],[$ CAPITAL]]+FINANCIACION[[#This Row],[$ INTERESES]],0)</f>
        <v>1906233</v>
      </c>
    </row>
    <row r="1250" spans="1:10" ht="24" hidden="1" customHeight="1" x14ac:dyDescent="0.3">
      <c r="A1250" s="131">
        <v>44895</v>
      </c>
      <c r="B1250" s="50" t="s">
        <v>147</v>
      </c>
      <c r="C1250" s="5">
        <v>76791</v>
      </c>
      <c r="D1250" s="5"/>
      <c r="E1250" s="5">
        <f>+IF(FINANCIACION[[#This Row],[$ CAPITAL]]&gt;=0,FINANCIACION[[#This Row],[$ CAPITAL]]+FINANCIACION[[#This Row],[$ INTERESES]],"")</f>
        <v>76791</v>
      </c>
      <c r="F1250" s="5">
        <f>+SUMIFS(FINANCIACION[$ CAPITAL],FINANCIACION[Fecha],"&lt;="&amp;FINANCIACION[[#This Row],[Fecha]],FINANCIACION[PRESTAMO],FINANCIACION[[#This Row],[PRESTAMO]])</f>
        <v>-1228656</v>
      </c>
      <c r="G1250" s="53"/>
      <c r="H1250" s="53"/>
      <c r="I1250" s="5">
        <f>+IF(FINANCIACION[[#This Row],[$ CAPITAL]]&gt;0,FINANCIACION[[#This Row],[$ CAPITAL]])</f>
        <v>76791</v>
      </c>
      <c r="J1250" s="33">
        <f>+IF(FINANCIACION[[#This Row],[$ CAPITAL]]&gt;=0,FINANCIACION[[#This Row],[$ CAPITAL]]+FINANCIACION[[#This Row],[$ INTERESES]],0)</f>
        <v>76791</v>
      </c>
    </row>
    <row r="1251" spans="1:10" ht="24" hidden="1" customHeight="1" x14ac:dyDescent="0.3">
      <c r="A1251" s="131">
        <v>44895</v>
      </c>
      <c r="B1251" s="50" t="s">
        <v>331</v>
      </c>
      <c r="C1251" s="5">
        <v>0</v>
      </c>
      <c r="D1251" s="5"/>
      <c r="E1251" s="5">
        <f>+IF(FINANCIACION[[#This Row],[$ CAPITAL]]&gt;=0,FINANCIACION[[#This Row],[$ CAPITAL]]+FINANCIACION[[#This Row],[$ INTERESES]],"")</f>
        <v>0</v>
      </c>
      <c r="F1251" s="5">
        <f>+SUMIFS(FINANCIACION[$ CAPITAL],FINANCIACION[Fecha],"&lt;="&amp;FINANCIACION[[#This Row],[Fecha]],FINANCIACION[PRESTAMO],FINANCIACION[[#This Row],[PRESTAMO]])</f>
        <v>-20198044.800000004</v>
      </c>
      <c r="G1251" s="246" t="s">
        <v>1320</v>
      </c>
      <c r="H1251" s="53"/>
      <c r="I1251" s="5" t="b">
        <f>+IF(FINANCIACION[[#This Row],[$ CAPITAL]]&gt;0,FINANCIACION[[#This Row],[$ CAPITAL]])</f>
        <v>0</v>
      </c>
      <c r="J1251" s="33">
        <f>+IF(FINANCIACION[[#This Row],[$ CAPITAL]]&gt;=0,FINANCIACION[[#This Row],[$ CAPITAL]]+FINANCIACION[[#This Row],[$ INTERESES]],0)</f>
        <v>0</v>
      </c>
    </row>
    <row r="1252" spans="1:10" ht="24" hidden="1" customHeight="1" x14ac:dyDescent="0.3">
      <c r="A1252" s="131">
        <v>44895</v>
      </c>
      <c r="B1252" s="50" t="s">
        <v>684</v>
      </c>
      <c r="C1252" s="5">
        <v>0</v>
      </c>
      <c r="D1252" s="5"/>
      <c r="E1252" s="5">
        <f>+IF(FINANCIACION[[#This Row],[$ CAPITAL]]&gt;=0,FINANCIACION[[#This Row],[$ CAPITAL]]+FINANCIACION[[#This Row],[$ INTERESES]],"")</f>
        <v>0</v>
      </c>
      <c r="F1252" s="5">
        <f>+SUMIFS(FINANCIACION[$ CAPITAL],FINANCIACION[Fecha],"&lt;="&amp;FINANCIACION[[#This Row],[Fecha]],FINANCIACION[PRESTAMO],FINANCIACION[[#This Row],[PRESTAMO]])</f>
        <v>-50570988.800000004</v>
      </c>
      <c r="G1252" s="53"/>
      <c r="H1252" s="53"/>
      <c r="I1252" s="5" t="b">
        <f>+IF(FINANCIACION[[#This Row],[$ CAPITAL]]&gt;0,FINANCIACION[[#This Row],[$ CAPITAL]])</f>
        <v>0</v>
      </c>
      <c r="J1252" s="33">
        <f>+IF(FINANCIACION[[#This Row],[$ CAPITAL]]&gt;=0,FINANCIACION[[#This Row],[$ CAPITAL]]+FINANCIACION[[#This Row],[$ INTERESES]],0)</f>
        <v>0</v>
      </c>
    </row>
    <row r="1253" spans="1:10" ht="24" hidden="1" customHeight="1" x14ac:dyDescent="0.3">
      <c r="A1253" s="131">
        <v>44895</v>
      </c>
      <c r="B1253" s="50" t="s">
        <v>812</v>
      </c>
      <c r="C1253" s="5">
        <v>0</v>
      </c>
      <c r="D1253" s="5"/>
      <c r="E1253" s="5">
        <f>+IF(FINANCIACION[[#This Row],[$ CAPITAL]]&gt;=0,FINANCIACION[[#This Row],[$ CAPITAL]]+FINANCIACION[[#This Row],[$ INTERESES]],"")</f>
        <v>0</v>
      </c>
      <c r="F1253" s="5">
        <f>+SUMIFS(FINANCIACION[$ CAPITAL],FINANCIACION[Fecha],"&lt;="&amp;FINANCIACION[[#This Row],[Fecha]],FINANCIACION[PRESTAMO],FINANCIACION[[#This Row],[PRESTAMO]])</f>
        <v>-78826790</v>
      </c>
      <c r="G1253" s="53"/>
      <c r="H1253" s="53"/>
      <c r="I1253" s="5" t="b">
        <f>+IF(FINANCIACION[[#This Row],[$ CAPITAL]]&gt;0,FINANCIACION[[#This Row],[$ CAPITAL]])</f>
        <v>0</v>
      </c>
      <c r="J1253" s="33">
        <f>+IF(FINANCIACION[[#This Row],[$ CAPITAL]]&gt;=0,FINANCIACION[[#This Row],[$ CAPITAL]]+FINANCIACION[[#This Row],[$ INTERESES]],0)</f>
        <v>0</v>
      </c>
    </row>
    <row r="1254" spans="1:10" ht="24" hidden="1" customHeight="1" x14ac:dyDescent="0.3">
      <c r="A1254" s="131">
        <v>44895</v>
      </c>
      <c r="B1254" s="50" t="s">
        <v>1173</v>
      </c>
      <c r="C1254" s="5">
        <v>0</v>
      </c>
      <c r="D1254" s="5"/>
      <c r="E1254" s="5">
        <f>+IF(FINANCIACION[[#This Row],[$ CAPITAL]]&gt;=0,FINANCIACION[[#This Row],[$ CAPITAL]]+FINANCIACION[[#This Row],[$ INTERESES]],"")</f>
        <v>0</v>
      </c>
      <c r="F1254" s="5">
        <f>+SUMIFS(FINANCIACION[$ CAPITAL],FINANCIACION[Fecha],"&lt;="&amp;FINANCIACION[[#This Row],[Fecha]],FINANCIACION[PRESTAMO],FINANCIACION[[#This Row],[PRESTAMO]])</f>
        <v>-68600000</v>
      </c>
      <c r="G1254" s="53"/>
      <c r="H1254" s="53"/>
      <c r="I1254" s="5" t="b">
        <f>+IF(FINANCIACION[[#This Row],[$ CAPITAL]]&gt;0,FINANCIACION[[#This Row],[$ CAPITAL]])</f>
        <v>0</v>
      </c>
      <c r="J1254" s="33">
        <f>+IF(FINANCIACION[[#This Row],[$ CAPITAL]]&gt;=0,FINANCIACION[[#This Row],[$ CAPITAL]]+FINANCIACION[[#This Row],[$ INTERESES]],0)</f>
        <v>0</v>
      </c>
    </row>
    <row r="1255" spans="1:10" ht="24" hidden="1" customHeight="1" x14ac:dyDescent="0.3">
      <c r="A1255" s="131">
        <v>44895</v>
      </c>
      <c r="B1255" s="50" t="s">
        <v>1488</v>
      </c>
      <c r="C1255" s="5">
        <v>4644463</v>
      </c>
      <c r="D1255" s="5"/>
      <c r="E1255" s="5">
        <f>+IF(FINANCIACION[[#This Row],[$ CAPITAL]]&gt;=0,FINANCIACION[[#This Row],[$ CAPITAL]]+FINANCIACION[[#This Row],[$ INTERESES]],"")</f>
        <v>4644463</v>
      </c>
      <c r="F1255" s="5">
        <f>+SUMIFS(FINANCIACION[$ CAPITAL],FINANCIACION[Fecha],"&lt;="&amp;FINANCIACION[[#This Row],[Fecha]],FINANCIACION[PRESTAMO],FINANCIACION[[#This Row],[PRESTAMO]])</f>
        <v>0</v>
      </c>
      <c r="G1255" s="53"/>
      <c r="H1255" s="53"/>
      <c r="I1255" s="5">
        <f>+IF(FINANCIACION[[#This Row],[$ CAPITAL]]&gt;0,FINANCIACION[[#This Row],[$ CAPITAL]])</f>
        <v>4644463</v>
      </c>
      <c r="J1255" s="33">
        <f>+IF(FINANCIACION[[#This Row],[$ CAPITAL]]&gt;=0,FINANCIACION[[#This Row],[$ CAPITAL]]+FINANCIACION[[#This Row],[$ INTERESES]],0)</f>
        <v>4644463</v>
      </c>
    </row>
    <row r="1256" spans="1:10" ht="24" hidden="1" customHeight="1" x14ac:dyDescent="0.3">
      <c r="A1256" s="131">
        <v>44895</v>
      </c>
      <c r="B1256" s="50" t="s">
        <v>154</v>
      </c>
      <c r="C1256" s="5">
        <v>813400</v>
      </c>
      <c r="D1256" s="5"/>
      <c r="E1256" s="5">
        <f>+IF(FINANCIACION[[#This Row],[$ CAPITAL]]&gt;=0,FINANCIACION[[#This Row],[$ CAPITAL]]+FINANCIACION[[#This Row],[$ INTERESES]],"")</f>
        <v>813400</v>
      </c>
      <c r="F1256" s="5">
        <f>+SUMIFS(FINANCIACION[$ CAPITAL],FINANCIACION[Fecha],"&lt;="&amp;FINANCIACION[[#This Row],[Fecha]],FINANCIACION[PRESTAMO],FINANCIACION[[#This Row],[PRESTAMO]])</f>
        <v>-22192100</v>
      </c>
      <c r="G1256" s="53"/>
      <c r="H1256" s="53"/>
      <c r="I1256" s="5">
        <f>+IF(FINANCIACION[[#This Row],[$ CAPITAL]]&gt;0,FINANCIACION[[#This Row],[$ CAPITAL]])</f>
        <v>813400</v>
      </c>
      <c r="J1256" s="33">
        <f>+IF(FINANCIACION[[#This Row],[$ CAPITAL]]&gt;=0,FINANCIACION[[#This Row],[$ CAPITAL]]+FINANCIACION[[#This Row],[$ INTERESES]],0)</f>
        <v>813400</v>
      </c>
    </row>
    <row r="1257" spans="1:10" ht="24" hidden="1" customHeight="1" x14ac:dyDescent="0.3">
      <c r="A1257" s="131">
        <v>44895</v>
      </c>
      <c r="B1257" s="50" t="s">
        <v>155</v>
      </c>
      <c r="C1257" s="5">
        <v>984024</v>
      </c>
      <c r="D1257" s="5"/>
      <c r="E1257" s="5">
        <f>+IF(FINANCIACION[[#This Row],[$ CAPITAL]]&gt;=0,FINANCIACION[[#This Row],[$ CAPITAL]]+FINANCIACION[[#This Row],[$ INTERESES]],"")</f>
        <v>984024</v>
      </c>
      <c r="F1257" s="5">
        <f>+SUMIFS(FINANCIACION[$ CAPITAL],FINANCIACION[Fecha],"&lt;="&amp;FINANCIACION[[#This Row],[Fecha]],FINANCIACION[PRESTAMO],FINANCIACION[[#This Row],[PRESTAMO]])</f>
        <v>-18321338</v>
      </c>
      <c r="G1257" s="53"/>
      <c r="H1257" s="53"/>
      <c r="I1257" s="5">
        <f>+IF(FINANCIACION[[#This Row],[$ CAPITAL]]&gt;0,FINANCIACION[[#This Row],[$ CAPITAL]])</f>
        <v>984024</v>
      </c>
      <c r="J1257" s="33">
        <f>+IF(FINANCIACION[[#This Row],[$ CAPITAL]]&gt;=0,FINANCIACION[[#This Row],[$ CAPITAL]]+FINANCIACION[[#This Row],[$ INTERESES]],0)</f>
        <v>984024</v>
      </c>
    </row>
    <row r="1258" spans="1:10" ht="24" hidden="1" customHeight="1" x14ac:dyDescent="0.3">
      <c r="A1258" s="131">
        <v>44899</v>
      </c>
      <c r="B1258" s="50" t="s">
        <v>540</v>
      </c>
      <c r="C1258" s="5">
        <v>853009</v>
      </c>
      <c r="D1258" s="5">
        <v>109991</v>
      </c>
      <c r="E1258" s="5">
        <f>+IF(FINANCIACION[[#This Row],[$ CAPITAL]]&gt;=0,FINANCIACION[[#This Row],[$ CAPITAL]]+FINANCIACION[[#This Row],[$ INTERESES]],"")</f>
        <v>963000</v>
      </c>
      <c r="F1258" s="5">
        <f>+SUMIFS(FINANCIACION[$ CAPITAL],FINANCIACION[Fecha],"&lt;="&amp;FINANCIACION[[#This Row],[Fecha]],FINANCIACION[PRESTAMO],FINANCIACION[[#This Row],[PRESTAMO]])</f>
        <v>-6752324.6499999985</v>
      </c>
      <c r="G1258" s="53"/>
      <c r="H1258" s="53"/>
      <c r="I1258" s="5">
        <f>+IF(FINANCIACION[[#This Row],[$ CAPITAL]]&gt;0,FINANCIACION[[#This Row],[$ CAPITAL]])</f>
        <v>853009</v>
      </c>
      <c r="J1258" s="33">
        <f>+IF(FINANCIACION[[#This Row],[$ CAPITAL]]&gt;=0,FINANCIACION[[#This Row],[$ CAPITAL]]+FINANCIACION[[#This Row],[$ INTERESES]],0)</f>
        <v>963000</v>
      </c>
    </row>
    <row r="1259" spans="1:10" ht="24" hidden="1" customHeight="1" x14ac:dyDescent="0.3">
      <c r="A1259" s="131">
        <v>44899</v>
      </c>
      <c r="B1259" s="50" t="s">
        <v>542</v>
      </c>
      <c r="C1259" s="5">
        <v>884000</v>
      </c>
      <c r="D1259" s="5">
        <v>118000</v>
      </c>
      <c r="E1259" s="5">
        <f>+IF(FINANCIACION[[#This Row],[$ CAPITAL]]&gt;=0,FINANCIACION[[#This Row],[$ CAPITAL]]+FINANCIACION[[#This Row],[$ INTERESES]],"")</f>
        <v>1002000</v>
      </c>
      <c r="F1259" s="5">
        <f>+SUMIFS(FINANCIACION[$ CAPITAL],FINANCIACION[Fecha],"&lt;="&amp;FINANCIACION[[#This Row],[Fecha]],FINANCIACION[PRESTAMO],FINANCIACION[[#This Row],[PRESTAMO]])</f>
        <v>-7971511.0699999984</v>
      </c>
      <c r="G1259" s="53"/>
      <c r="H1259" s="53"/>
      <c r="I1259" s="5">
        <f>+IF(FINANCIACION[[#This Row],[$ CAPITAL]]&gt;0,FINANCIACION[[#This Row],[$ CAPITAL]])</f>
        <v>884000</v>
      </c>
      <c r="J1259" s="33">
        <f>+IF(FINANCIACION[[#This Row],[$ CAPITAL]]&gt;=0,FINANCIACION[[#This Row],[$ CAPITAL]]+FINANCIACION[[#This Row],[$ INTERESES]],0)</f>
        <v>1002000</v>
      </c>
    </row>
    <row r="1260" spans="1:10" ht="24" hidden="1" customHeight="1" x14ac:dyDescent="0.3">
      <c r="A1260" s="131">
        <v>44899</v>
      </c>
      <c r="B1260" s="50" t="s">
        <v>535</v>
      </c>
      <c r="C1260" s="5">
        <v>1306355</v>
      </c>
      <c r="D1260" s="5">
        <v>111645</v>
      </c>
      <c r="E1260" s="5">
        <f>+IF(FINANCIACION[[#This Row],[$ CAPITAL]]&gt;=0,FINANCIACION[[#This Row],[$ CAPITAL]]+FINANCIACION[[#This Row],[$ INTERESES]],"")</f>
        <v>1418000</v>
      </c>
      <c r="F1260" s="5">
        <f>+SUMIFS(FINANCIACION[$ CAPITAL],FINANCIACION[Fecha],"&lt;="&amp;FINANCIACION[[#This Row],[Fecha]],FINANCIACION[PRESTAMO],FINANCIACION[[#This Row],[PRESTAMO]])</f>
        <v>-6422991.8900000006</v>
      </c>
      <c r="G1260" s="53"/>
      <c r="H1260" s="53"/>
      <c r="I1260" s="5">
        <f>+IF(FINANCIACION[[#This Row],[$ CAPITAL]]&gt;0,FINANCIACION[[#This Row],[$ CAPITAL]])</f>
        <v>1306355</v>
      </c>
      <c r="J1260" s="33">
        <f>+IF(FINANCIACION[[#This Row],[$ CAPITAL]]&gt;=0,FINANCIACION[[#This Row],[$ CAPITAL]]+FINANCIACION[[#This Row],[$ INTERESES]],0)</f>
        <v>1418000</v>
      </c>
    </row>
    <row r="1261" spans="1:10" ht="24" hidden="1" customHeight="1" x14ac:dyDescent="0.3">
      <c r="A1261" s="131">
        <v>44900</v>
      </c>
      <c r="B1261" s="50" t="s">
        <v>552</v>
      </c>
      <c r="C1261" s="5">
        <v>1744958</v>
      </c>
      <c r="D1261" s="5">
        <v>57579</v>
      </c>
      <c r="E1261" s="5">
        <f>+IF(FINANCIACION[[#This Row],[$ CAPITAL]]&gt;=0,FINANCIACION[[#This Row],[$ CAPITAL]]+FINANCIACION[[#This Row],[$ INTERESES]],"")</f>
        <v>1802537</v>
      </c>
      <c r="F1261" s="5">
        <f>+SUMIFS(FINANCIACION[$ CAPITAL],FINANCIACION[Fecha],"&lt;="&amp;FINANCIACION[[#This Row],[Fecha]],FINANCIACION[PRESTAMO],FINANCIACION[[#This Row],[PRESTAMO]])</f>
        <v>-3488532</v>
      </c>
      <c r="G1261" s="53"/>
      <c r="H1261" s="53"/>
      <c r="I1261" s="5">
        <f>+IF(FINANCIACION[[#This Row],[$ CAPITAL]]&gt;0,FINANCIACION[[#This Row],[$ CAPITAL]])</f>
        <v>1744958</v>
      </c>
      <c r="J1261" s="33">
        <f>+IF(FINANCIACION[[#This Row],[$ CAPITAL]]&gt;=0,FINANCIACION[[#This Row],[$ CAPITAL]]+FINANCIACION[[#This Row],[$ INTERESES]],0)</f>
        <v>1802537</v>
      </c>
    </row>
    <row r="1262" spans="1:10" ht="24" hidden="1" customHeight="1" x14ac:dyDescent="0.3">
      <c r="A1262" s="131">
        <v>44900</v>
      </c>
      <c r="B1262" s="50" t="s">
        <v>148</v>
      </c>
      <c r="C1262" s="5"/>
      <c r="D1262" s="5">
        <v>600999</v>
      </c>
      <c r="E1262" s="5">
        <f>+IF(FINANCIACION[[#This Row],[$ CAPITAL]]&gt;=0,FINANCIACION[[#This Row],[$ CAPITAL]]+FINANCIACION[[#This Row],[$ INTERESES]],"")</f>
        <v>600999</v>
      </c>
      <c r="F1262" s="5">
        <f>+SUMIFS(FINANCIACION[$ CAPITAL],FINANCIACION[Fecha],"&lt;="&amp;FINANCIACION[[#This Row],[Fecha]],FINANCIACION[PRESTAMO],FINANCIACION[[#This Row],[PRESTAMO]])</f>
        <v>0</v>
      </c>
      <c r="G1262" s="53"/>
      <c r="H1262" s="53"/>
      <c r="I1262" s="5" t="b">
        <f>+IF(FINANCIACION[[#This Row],[$ CAPITAL]]&gt;0,FINANCIACION[[#This Row],[$ CAPITAL]])</f>
        <v>0</v>
      </c>
      <c r="J1262" s="33">
        <f>+IF(FINANCIACION[[#This Row],[$ CAPITAL]]&gt;=0,FINANCIACION[[#This Row],[$ CAPITAL]]+FINANCIACION[[#This Row],[$ INTERESES]],0)</f>
        <v>600999</v>
      </c>
    </row>
    <row r="1263" spans="1:10" ht="24" hidden="1" customHeight="1" x14ac:dyDescent="0.3">
      <c r="A1263" s="131">
        <v>44904</v>
      </c>
      <c r="B1263" s="50" t="s">
        <v>148</v>
      </c>
      <c r="C1263" s="5"/>
      <c r="D1263" s="5">
        <v>633921</v>
      </c>
      <c r="E1263" s="5">
        <f>+IF(FINANCIACION[[#This Row],[$ CAPITAL]]&gt;=0,FINANCIACION[[#This Row],[$ CAPITAL]]+FINANCIACION[[#This Row],[$ INTERESES]],"")</f>
        <v>633921</v>
      </c>
      <c r="F1263" s="5">
        <f>+SUMIFS(FINANCIACION[$ CAPITAL],FINANCIACION[Fecha],"&lt;="&amp;FINANCIACION[[#This Row],[Fecha]],FINANCIACION[PRESTAMO],FINANCIACION[[#This Row],[PRESTAMO]])</f>
        <v>0</v>
      </c>
      <c r="G1263" s="53"/>
      <c r="H1263" s="53"/>
      <c r="I1263" s="5" t="b">
        <f>+IF(FINANCIACION[[#This Row],[$ CAPITAL]]&gt;0,FINANCIACION[[#This Row],[$ CAPITAL]])</f>
        <v>0</v>
      </c>
      <c r="J1263" s="33">
        <f>+IF(FINANCIACION[[#This Row],[$ CAPITAL]]&gt;=0,FINANCIACION[[#This Row],[$ CAPITAL]]+FINANCIACION[[#This Row],[$ INTERESES]],0)</f>
        <v>633921</v>
      </c>
    </row>
    <row r="1264" spans="1:10" ht="24" hidden="1" customHeight="1" x14ac:dyDescent="0.3">
      <c r="A1264" s="131">
        <v>44909</v>
      </c>
      <c r="B1264" s="50" t="s">
        <v>543</v>
      </c>
      <c r="C1264" s="5"/>
      <c r="D1264" s="5">
        <v>130000</v>
      </c>
      <c r="E1264" s="5">
        <f>+IF(FINANCIACION[[#This Row],[$ CAPITAL]]&gt;=0,FINANCIACION[[#This Row],[$ CAPITAL]]+FINANCIACION[[#This Row],[$ INTERESES]],"")</f>
        <v>130000</v>
      </c>
      <c r="F1264" s="5">
        <f>+SUMIFS(FINANCIACION[$ CAPITAL],FINANCIACION[Fecha],"&lt;="&amp;FINANCIACION[[#This Row],[Fecha]],FINANCIACION[PRESTAMO],FINANCIACION[[#This Row],[PRESTAMO]])</f>
        <v>-13000000</v>
      </c>
      <c r="G1264" s="53"/>
      <c r="H1264" s="53"/>
      <c r="I1264" s="5" t="b">
        <f>+IF(FINANCIACION[[#This Row],[$ CAPITAL]]&gt;0,FINANCIACION[[#This Row],[$ CAPITAL]])</f>
        <v>0</v>
      </c>
      <c r="J1264" s="33">
        <f>+IF(FINANCIACION[[#This Row],[$ CAPITAL]]&gt;=0,FINANCIACION[[#This Row],[$ CAPITAL]]+FINANCIACION[[#This Row],[$ INTERESES]],0)</f>
        <v>130000</v>
      </c>
    </row>
    <row r="1265" spans="1:10" ht="24" hidden="1" customHeight="1" x14ac:dyDescent="0.3">
      <c r="A1265" s="131">
        <v>44909</v>
      </c>
      <c r="B1265" s="50" t="s">
        <v>547</v>
      </c>
      <c r="C1265" s="5"/>
      <c r="D1265" s="5">
        <v>400000</v>
      </c>
      <c r="E1265" s="5">
        <f>+IF(FINANCIACION[[#This Row],[$ CAPITAL]]&gt;=0,FINANCIACION[[#This Row],[$ CAPITAL]]+FINANCIACION[[#This Row],[$ INTERESES]],"")</f>
        <v>400000</v>
      </c>
      <c r="F1265" s="5">
        <f>+SUMIFS(FINANCIACION[$ CAPITAL],FINANCIACION[Fecha],"&lt;="&amp;FINANCIACION[[#This Row],[Fecha]],FINANCIACION[PRESTAMO],FINANCIACION[[#This Row],[PRESTAMO]])</f>
        <v>-40000000</v>
      </c>
      <c r="G1265" s="53"/>
      <c r="H1265" s="53"/>
      <c r="I1265" s="5" t="b">
        <f>+IF(FINANCIACION[[#This Row],[$ CAPITAL]]&gt;0,FINANCIACION[[#This Row],[$ CAPITAL]])</f>
        <v>0</v>
      </c>
      <c r="J1265" s="33">
        <f>+IF(FINANCIACION[[#This Row],[$ CAPITAL]]&gt;=0,FINANCIACION[[#This Row],[$ CAPITAL]]+FINANCIACION[[#This Row],[$ INTERESES]],0)</f>
        <v>400000</v>
      </c>
    </row>
    <row r="1266" spans="1:10" ht="24" hidden="1" customHeight="1" x14ac:dyDescent="0.3">
      <c r="A1266" s="131">
        <v>44909</v>
      </c>
      <c r="B1266" s="50" t="s">
        <v>532</v>
      </c>
      <c r="C1266" s="5">
        <v>2214311</v>
      </c>
      <c r="D1266" s="5">
        <v>463067</v>
      </c>
      <c r="E1266" s="5">
        <f>+IF(FINANCIACION[[#This Row],[$ CAPITAL]]&gt;=0,FINANCIACION[[#This Row],[$ CAPITAL]]+FINANCIACION[[#This Row],[$ INTERESES]],"")</f>
        <v>2677378</v>
      </c>
      <c r="F1266" s="5">
        <f>+SUMIFS(FINANCIACION[$ CAPITAL],FINANCIACION[Fecha],"&lt;="&amp;FINANCIACION[[#This Row],[Fecha]],FINANCIACION[PRESTAMO],FINANCIACION[[#This Row],[PRESTAMO]])</f>
        <v>-44092367.484479994</v>
      </c>
      <c r="G1266" s="53"/>
      <c r="H1266" s="53"/>
      <c r="I1266" s="5">
        <f>+IF(FINANCIACION[[#This Row],[$ CAPITAL]]&gt;0,FINANCIACION[[#This Row],[$ CAPITAL]])</f>
        <v>2214311</v>
      </c>
      <c r="J1266" s="33">
        <f>+IF(FINANCIACION[[#This Row],[$ CAPITAL]]&gt;=0,FINANCIACION[[#This Row],[$ CAPITAL]]+FINANCIACION[[#This Row],[$ INTERESES]],0)</f>
        <v>2677378</v>
      </c>
    </row>
    <row r="1267" spans="1:10" ht="24" hidden="1" customHeight="1" x14ac:dyDescent="0.3">
      <c r="A1267" s="131">
        <v>44909</v>
      </c>
      <c r="B1267" s="50" t="s">
        <v>536</v>
      </c>
      <c r="C1267" s="5">
        <v>853160</v>
      </c>
      <c r="D1267" s="5">
        <v>446840</v>
      </c>
      <c r="E1267" s="5">
        <f>+IF(FINANCIACION[[#This Row],[$ CAPITAL]]&gt;=0,FINANCIACION[[#This Row],[$ CAPITAL]]+FINANCIACION[[#This Row],[$ INTERESES]],"")</f>
        <v>1300000</v>
      </c>
      <c r="F1267" s="5">
        <f>+SUMIFS(FINANCIACION[$ CAPITAL],FINANCIACION[Fecha],"&lt;="&amp;FINANCIACION[[#This Row],[Fecha]],FINANCIACION[PRESTAMO],FINANCIACION[[#This Row],[PRESTAMO]])</f>
        <v>-43830862.199762128</v>
      </c>
      <c r="G1267" s="53"/>
      <c r="H1267" s="53"/>
      <c r="I1267" s="5">
        <f>+IF(FINANCIACION[[#This Row],[$ CAPITAL]]&gt;0,FINANCIACION[[#This Row],[$ CAPITAL]])</f>
        <v>853160</v>
      </c>
      <c r="J1267" s="33">
        <f>+IF(FINANCIACION[[#This Row],[$ CAPITAL]]&gt;=0,FINANCIACION[[#This Row],[$ CAPITAL]]+FINANCIACION[[#This Row],[$ INTERESES]],0)</f>
        <v>1300000</v>
      </c>
    </row>
    <row r="1268" spans="1:10" ht="24" hidden="1" customHeight="1" x14ac:dyDescent="0.3">
      <c r="A1268" s="131">
        <v>44909</v>
      </c>
      <c r="B1268" s="50" t="s">
        <v>533</v>
      </c>
      <c r="C1268" s="5">
        <v>1401030</v>
      </c>
      <c r="D1268" s="5">
        <v>598970</v>
      </c>
      <c r="E1268" s="5">
        <f>+IF(FINANCIACION[[#This Row],[$ CAPITAL]]&gt;=0,FINANCIACION[[#This Row],[$ CAPITAL]]+FINANCIACION[[#This Row],[$ INTERESES]],"")</f>
        <v>2000000</v>
      </c>
      <c r="F1268" s="5">
        <f>+SUMIFS(FINANCIACION[$ CAPITAL],FINANCIACION[Fecha],"&lt;="&amp;FINANCIACION[[#This Row],[Fecha]],FINANCIACION[PRESTAMO],FINANCIACION[[#This Row],[PRESTAMO]])</f>
        <v>-58495885.132834516</v>
      </c>
      <c r="G1268" s="53"/>
      <c r="H1268" s="53"/>
      <c r="I1268" s="5">
        <f>+IF(FINANCIACION[[#This Row],[$ CAPITAL]]&gt;0,FINANCIACION[[#This Row],[$ CAPITAL]])</f>
        <v>1401030</v>
      </c>
      <c r="J1268" s="33">
        <f>+IF(FINANCIACION[[#This Row],[$ CAPITAL]]&gt;=0,FINANCIACION[[#This Row],[$ CAPITAL]]+FINANCIACION[[#This Row],[$ INTERESES]],0)</f>
        <v>2000000</v>
      </c>
    </row>
    <row r="1269" spans="1:10" ht="24" hidden="1" customHeight="1" x14ac:dyDescent="0.3">
      <c r="A1269" s="131">
        <v>44909</v>
      </c>
      <c r="B1269" s="50" t="s">
        <v>563</v>
      </c>
      <c r="C1269" s="5"/>
      <c r="D1269" s="5">
        <v>750000</v>
      </c>
      <c r="E1269" s="5">
        <f>+IF(FINANCIACION[[#This Row],[$ CAPITAL]]&gt;=0,FINANCIACION[[#This Row],[$ CAPITAL]]+FINANCIACION[[#This Row],[$ INTERESES]],"")</f>
        <v>750000</v>
      </c>
      <c r="F1269" s="5">
        <f>+SUMIFS(FINANCIACION[$ CAPITAL],FINANCIACION[Fecha],"&lt;="&amp;FINANCIACION[[#This Row],[Fecha]],FINANCIACION[PRESTAMO],FINANCIACION[[#This Row],[PRESTAMO]])</f>
        <v>-75000000</v>
      </c>
      <c r="G1269" s="53"/>
      <c r="H1269" s="53"/>
      <c r="I1269" s="5" t="b">
        <f>+IF(FINANCIACION[[#This Row],[$ CAPITAL]]&gt;0,FINANCIACION[[#This Row],[$ CAPITAL]])</f>
        <v>0</v>
      </c>
      <c r="J1269" s="33">
        <f>+IF(FINANCIACION[[#This Row],[$ CAPITAL]]&gt;=0,FINANCIACION[[#This Row],[$ CAPITAL]]+FINANCIACION[[#This Row],[$ INTERESES]],0)</f>
        <v>750000</v>
      </c>
    </row>
    <row r="1270" spans="1:10" ht="24" hidden="1" customHeight="1" x14ac:dyDescent="0.3">
      <c r="A1270" s="131">
        <v>44909</v>
      </c>
      <c r="B1270" s="50" t="s">
        <v>545</v>
      </c>
      <c r="C1270" s="5"/>
      <c r="D1270" s="5">
        <v>120000</v>
      </c>
      <c r="E1270" s="5">
        <f>+IF(FINANCIACION[[#This Row],[$ CAPITAL]]&gt;=0,FINANCIACION[[#This Row],[$ CAPITAL]]+FINANCIACION[[#This Row],[$ INTERESES]],"")</f>
        <v>120000</v>
      </c>
      <c r="F1270" s="5">
        <f>+SUMIFS(FINANCIACION[$ CAPITAL],FINANCIACION[Fecha],"&lt;="&amp;FINANCIACION[[#This Row],[Fecha]],FINANCIACION[PRESTAMO],FINANCIACION[[#This Row],[PRESTAMO]])</f>
        <v>-12000000</v>
      </c>
      <c r="G1270" s="53"/>
      <c r="H1270" s="53"/>
      <c r="I1270" s="5" t="b">
        <f>+IF(FINANCIACION[[#This Row],[$ CAPITAL]]&gt;0,FINANCIACION[[#This Row],[$ CAPITAL]])</f>
        <v>0</v>
      </c>
      <c r="J1270" s="33">
        <f>+IF(FINANCIACION[[#This Row],[$ CAPITAL]]&gt;=0,FINANCIACION[[#This Row],[$ CAPITAL]]+FINANCIACION[[#This Row],[$ INTERESES]],0)</f>
        <v>120000</v>
      </c>
    </row>
    <row r="1271" spans="1:10" ht="24" hidden="1" customHeight="1" x14ac:dyDescent="0.3">
      <c r="A1271" s="132">
        <v>44910</v>
      </c>
      <c r="B1271" s="51" t="s">
        <v>150</v>
      </c>
      <c r="C1271" s="254">
        <v>417000</v>
      </c>
      <c r="D1271" s="254">
        <v>227044</v>
      </c>
      <c r="E1271" s="254">
        <f>+IF(FINANCIACION[[#This Row],[$ CAPITAL]]&gt;=0,FINANCIACION[[#This Row],[$ CAPITAL]]+FINANCIACION[[#This Row],[$ INTERESES]],"")</f>
        <v>644044</v>
      </c>
      <c r="F1271" s="254">
        <f>+SUMIFS(FINANCIACION[$ CAPITAL],FINANCIACION[Fecha],"&lt;="&amp;FINANCIACION[[#This Row],[Fecha]],FINANCIACION[PRESTAMO],FINANCIACION[[#This Row],[PRESTAMO]])</f>
        <v>-12498000</v>
      </c>
      <c r="G1271" s="53"/>
      <c r="H1271" s="53"/>
      <c r="I1271" s="5">
        <f>+IF(FINANCIACION[[#This Row],[$ CAPITAL]]&gt;0,FINANCIACION[[#This Row],[$ CAPITAL]])</f>
        <v>417000</v>
      </c>
      <c r="J1271" s="33">
        <f>+IF(FINANCIACION[[#This Row],[$ CAPITAL]]&gt;=0,FINANCIACION[[#This Row],[$ CAPITAL]]+FINANCIACION[[#This Row],[$ INTERESES]],0)</f>
        <v>644044</v>
      </c>
    </row>
    <row r="1272" spans="1:10" ht="24" hidden="1" customHeight="1" x14ac:dyDescent="0.3">
      <c r="A1272" s="131">
        <v>44911</v>
      </c>
      <c r="B1272" s="50" t="s">
        <v>534</v>
      </c>
      <c r="C1272" s="5">
        <v>1179230</v>
      </c>
      <c r="D1272" s="5">
        <v>4989908</v>
      </c>
      <c r="E1272" s="5">
        <f>+IF(FINANCIACION[[#This Row],[$ CAPITAL]]&gt;=0,FINANCIACION[[#This Row],[$ CAPITAL]]+FINANCIACION[[#This Row],[$ INTERESES]],"")</f>
        <v>6169138</v>
      </c>
      <c r="F1272" s="5">
        <f>+SUMIFS(FINANCIACION[$ CAPITAL],FINANCIACION[Fecha],"&lt;="&amp;FINANCIACION[[#This Row],[Fecha]],FINANCIACION[PRESTAMO],FINANCIACION[[#This Row],[PRESTAMO]])</f>
        <v>-357530722</v>
      </c>
      <c r="G1272" s="53"/>
      <c r="H1272" s="53"/>
      <c r="I1272" s="5">
        <f>+IF(FINANCIACION[[#This Row],[$ CAPITAL]]&gt;0,FINANCIACION[[#This Row],[$ CAPITAL]])</f>
        <v>1179230</v>
      </c>
      <c r="J1272" s="33">
        <f>+IF(FINANCIACION[[#This Row],[$ CAPITAL]]&gt;=0,FINANCIACION[[#This Row],[$ CAPITAL]]+FINANCIACION[[#This Row],[$ INTERESES]],0)</f>
        <v>6169138</v>
      </c>
    </row>
    <row r="1273" spans="1:10" ht="24" hidden="1" customHeight="1" x14ac:dyDescent="0.3">
      <c r="A1273" s="131">
        <v>44914</v>
      </c>
      <c r="B1273" s="50" t="s">
        <v>148</v>
      </c>
      <c r="C1273" s="5"/>
      <c r="D1273" s="5">
        <v>161659</v>
      </c>
      <c r="E1273" s="5">
        <f>+IF(FINANCIACION[[#This Row],[$ CAPITAL]]&gt;=0,FINANCIACION[[#This Row],[$ CAPITAL]]+FINANCIACION[[#This Row],[$ INTERESES]],"")</f>
        <v>161659</v>
      </c>
      <c r="F1273" s="5">
        <f>+SUMIFS(FINANCIACION[$ CAPITAL],FINANCIACION[Fecha],"&lt;="&amp;FINANCIACION[[#This Row],[Fecha]],FINANCIACION[PRESTAMO],FINANCIACION[[#This Row],[PRESTAMO]])</f>
        <v>0</v>
      </c>
      <c r="G1273" s="53"/>
      <c r="H1273" s="53"/>
      <c r="I1273" s="5" t="b">
        <f>+IF(FINANCIACION[[#This Row],[$ CAPITAL]]&gt;0,FINANCIACION[[#This Row],[$ CAPITAL]])</f>
        <v>0</v>
      </c>
      <c r="J1273" s="33">
        <f>+IF(FINANCIACION[[#This Row],[$ CAPITAL]]&gt;=0,FINANCIACION[[#This Row],[$ CAPITAL]]+FINANCIACION[[#This Row],[$ INTERESES]],0)</f>
        <v>161659</v>
      </c>
    </row>
    <row r="1274" spans="1:10" ht="24" hidden="1" customHeight="1" x14ac:dyDescent="0.3">
      <c r="A1274" s="131">
        <v>44915</v>
      </c>
      <c r="B1274" s="50" t="s">
        <v>537</v>
      </c>
      <c r="C1274" s="5"/>
      <c r="D1274" s="5">
        <v>9000000</v>
      </c>
      <c r="E1274" s="5">
        <f>+IF(FINANCIACION[[#This Row],[$ CAPITAL]]&gt;=0,FINANCIACION[[#This Row],[$ CAPITAL]]+FINANCIACION[[#This Row],[$ INTERESES]],"")</f>
        <v>9000000</v>
      </c>
      <c r="F1274" s="5">
        <f>+SUMIFS(FINANCIACION[$ CAPITAL],FINANCIACION[Fecha],"&lt;="&amp;FINANCIACION[[#This Row],[Fecha]],FINANCIACION[PRESTAMO],FINANCIACION[[#This Row],[PRESTAMO]])</f>
        <v>-75000000</v>
      </c>
      <c r="G1274" s="53"/>
      <c r="H1274" s="53"/>
      <c r="I1274" s="5" t="b">
        <f>+IF(FINANCIACION[[#This Row],[$ CAPITAL]]&gt;0,FINANCIACION[[#This Row],[$ CAPITAL]])</f>
        <v>0</v>
      </c>
      <c r="J1274" s="33">
        <f>+IF(FINANCIACION[[#This Row],[$ CAPITAL]]&gt;=0,FINANCIACION[[#This Row],[$ CAPITAL]]+FINANCIACION[[#This Row],[$ INTERESES]],0)</f>
        <v>9000000</v>
      </c>
    </row>
    <row r="1275" spans="1:10" ht="24" hidden="1" customHeight="1" x14ac:dyDescent="0.3">
      <c r="A1275" s="131">
        <v>44915</v>
      </c>
      <c r="B1275" s="50" t="s">
        <v>148</v>
      </c>
      <c r="C1275" s="5"/>
      <c r="D1275" s="5">
        <v>420704</v>
      </c>
      <c r="E1275" s="5">
        <f>+IF(FINANCIACION[[#This Row],[$ CAPITAL]]&gt;=0,FINANCIACION[[#This Row],[$ CAPITAL]]+FINANCIACION[[#This Row],[$ INTERESES]],"")</f>
        <v>420704</v>
      </c>
      <c r="F1275" s="5">
        <f>+SUMIFS(FINANCIACION[$ CAPITAL],FINANCIACION[Fecha],"&lt;="&amp;FINANCIACION[[#This Row],[Fecha]],FINANCIACION[PRESTAMO],FINANCIACION[[#This Row],[PRESTAMO]])</f>
        <v>0</v>
      </c>
      <c r="G1275" s="53"/>
      <c r="H1275" s="53"/>
      <c r="I1275" s="5" t="b">
        <f>+IF(FINANCIACION[[#This Row],[$ CAPITAL]]&gt;0,FINANCIACION[[#This Row],[$ CAPITAL]])</f>
        <v>0</v>
      </c>
      <c r="J1275" s="33">
        <f>+IF(FINANCIACION[[#This Row],[$ CAPITAL]]&gt;=0,FINANCIACION[[#This Row],[$ CAPITAL]]+FINANCIACION[[#This Row],[$ INTERESES]],0)</f>
        <v>420704</v>
      </c>
    </row>
    <row r="1276" spans="1:10" ht="24" hidden="1" customHeight="1" x14ac:dyDescent="0.3">
      <c r="A1276" s="131">
        <v>44916</v>
      </c>
      <c r="B1276" s="50" t="s">
        <v>588</v>
      </c>
      <c r="C1276" s="5">
        <v>1668160</v>
      </c>
      <c r="D1276" s="5">
        <v>289840</v>
      </c>
      <c r="E1276" s="5">
        <f>+IF(FINANCIACION[[#This Row],[$ CAPITAL]]&gt;=0,FINANCIACION[[#This Row],[$ CAPITAL]]+FINANCIACION[[#This Row],[$ INTERESES]],"")</f>
        <v>1958000</v>
      </c>
      <c r="F1276" s="5">
        <f>+SUMIFS(FINANCIACION[$ CAPITAL],FINANCIACION[Fecha],"&lt;="&amp;FINANCIACION[[#This Row],[Fecha]],FINANCIACION[PRESTAMO],FINANCIACION[[#This Row],[PRESTAMO]])</f>
        <v>-14454045.279999997</v>
      </c>
      <c r="G1276" s="53"/>
      <c r="H1276" s="53"/>
      <c r="I1276" s="5">
        <f>+IF(FINANCIACION[[#This Row],[$ CAPITAL]]&gt;0,FINANCIACION[[#This Row],[$ CAPITAL]])</f>
        <v>1668160</v>
      </c>
      <c r="J1276" s="33">
        <f>+IF(FINANCIACION[[#This Row],[$ CAPITAL]]&gt;=0,FINANCIACION[[#This Row],[$ CAPITAL]]+FINANCIACION[[#This Row],[$ INTERESES]],0)</f>
        <v>1958000</v>
      </c>
    </row>
    <row r="1277" spans="1:10" ht="24" hidden="1" customHeight="1" x14ac:dyDescent="0.3">
      <c r="A1277" s="131">
        <v>44916</v>
      </c>
      <c r="B1277" s="50" t="s">
        <v>833</v>
      </c>
      <c r="C1277" s="5">
        <v>449964</v>
      </c>
      <c r="D1277" s="5">
        <v>26650</v>
      </c>
      <c r="E1277" s="5">
        <f>+IF(FINANCIACION[[#This Row],[$ CAPITAL]]&gt;=0,FINANCIACION[[#This Row],[$ CAPITAL]]+FINANCIACION[[#This Row],[$ INTERESES]],"")</f>
        <v>476614</v>
      </c>
      <c r="F1277" s="5">
        <f>+SUMIFS(FINANCIACION[$ CAPITAL],FINANCIACION[Fecha],"&lt;="&amp;FINANCIACION[[#This Row],[Fecha]],FINANCIACION[PRESTAMO],FINANCIACION[[#This Row],[PRESTAMO]])</f>
        <v>-1820026</v>
      </c>
      <c r="G1277" s="53"/>
      <c r="H1277" s="53"/>
      <c r="I1277" s="5">
        <f>+IF(FINANCIACION[[#This Row],[$ CAPITAL]]&gt;0,FINANCIACION[[#This Row],[$ CAPITAL]])</f>
        <v>449964</v>
      </c>
      <c r="J1277" s="33">
        <f>+IF(FINANCIACION[[#This Row],[$ CAPITAL]]&gt;=0,FINANCIACION[[#This Row],[$ CAPITAL]]+FINANCIACION[[#This Row],[$ INTERESES]],0)</f>
        <v>476614</v>
      </c>
    </row>
    <row r="1278" spans="1:10" ht="24" hidden="1" customHeight="1" x14ac:dyDescent="0.3">
      <c r="A1278" s="131">
        <v>44918</v>
      </c>
      <c r="B1278" s="50" t="s">
        <v>548</v>
      </c>
      <c r="C1278" s="5">
        <v>1536477</v>
      </c>
      <c r="D1278" s="5">
        <v>932563</v>
      </c>
      <c r="E1278" s="5">
        <f>+IF(FINANCIACION[[#This Row],[$ CAPITAL]]&gt;=0,FINANCIACION[[#This Row],[$ CAPITAL]]+FINANCIACION[[#This Row],[$ INTERESES]],"")</f>
        <v>2469040</v>
      </c>
      <c r="F1278" s="5">
        <f>+SUMIFS(FINANCIACION[$ CAPITAL],FINANCIACION[Fecha],"&lt;="&amp;FINANCIACION[[#This Row],[Fecha]],FINANCIACION[PRESTAMO],FINANCIACION[[#This Row],[PRESTAMO]])</f>
        <v>-69565361.449999988</v>
      </c>
      <c r="G1278" s="53"/>
      <c r="H1278" s="53"/>
      <c r="I1278" s="5">
        <f>+IF(FINANCIACION[[#This Row],[$ CAPITAL]]&gt;0,FINANCIACION[[#This Row],[$ CAPITAL]])</f>
        <v>1536477</v>
      </c>
      <c r="J1278" s="33">
        <f>+IF(FINANCIACION[[#This Row],[$ CAPITAL]]&gt;=0,FINANCIACION[[#This Row],[$ CAPITAL]]+FINANCIACION[[#This Row],[$ INTERESES]],0)</f>
        <v>2469040</v>
      </c>
    </row>
    <row r="1279" spans="1:10" ht="24" hidden="1" customHeight="1" x14ac:dyDescent="0.3">
      <c r="A1279" s="131">
        <v>44921</v>
      </c>
      <c r="B1279" s="50" t="s">
        <v>546</v>
      </c>
      <c r="C1279" s="5">
        <v>1077530</v>
      </c>
      <c r="D1279" s="5">
        <v>94470</v>
      </c>
      <c r="E1279" s="5">
        <f>+IF(FINANCIACION[[#This Row],[$ CAPITAL]]&gt;=0,FINANCIACION[[#This Row],[$ CAPITAL]]+FINANCIACION[[#This Row],[$ INTERESES]],"")</f>
        <v>1172000</v>
      </c>
      <c r="F1279" s="5">
        <f>+SUMIFS(FINANCIACION[$ CAPITAL],FINANCIACION[Fecha],"&lt;="&amp;FINANCIACION[[#This Row],[Fecha]],FINANCIACION[PRESTAMO],FINANCIACION[[#This Row],[PRESTAMO]])</f>
        <v>-5337358.7899999991</v>
      </c>
      <c r="G1279" s="53"/>
      <c r="H1279" s="53"/>
      <c r="I1279" s="5">
        <f>+IF(FINANCIACION[[#This Row],[$ CAPITAL]]&gt;0,FINANCIACION[[#This Row],[$ CAPITAL]])</f>
        <v>1077530</v>
      </c>
      <c r="J1279" s="33">
        <f>+IF(FINANCIACION[[#This Row],[$ CAPITAL]]&gt;=0,FINANCIACION[[#This Row],[$ CAPITAL]]+FINANCIACION[[#This Row],[$ INTERESES]],0)</f>
        <v>1172000</v>
      </c>
    </row>
    <row r="1280" spans="1:10" ht="24" hidden="1" customHeight="1" x14ac:dyDescent="0.3">
      <c r="A1280" s="131">
        <v>44921</v>
      </c>
      <c r="B1280" s="50" t="s">
        <v>538</v>
      </c>
      <c r="C1280" s="5">
        <v>2185123</v>
      </c>
      <c r="D1280" s="5">
        <v>222232</v>
      </c>
      <c r="E1280" s="5">
        <f>+IF(FINANCIACION[[#This Row],[$ CAPITAL]]&gt;=0,FINANCIACION[[#This Row],[$ CAPITAL]]+FINANCIACION[[#This Row],[$ INTERESES]],"")</f>
        <v>2407355</v>
      </c>
      <c r="F1280" s="5">
        <f>+SUMIFS(FINANCIACION[$ CAPITAL],FINANCIACION[Fecha],"&lt;="&amp;FINANCIACION[[#This Row],[Fecha]],FINANCIACION[PRESTAMO],FINANCIACION[[#This Row],[PRESTAMO]])</f>
        <v>-13001592.540000007</v>
      </c>
      <c r="G1280" s="53"/>
      <c r="H1280" s="53"/>
      <c r="I1280" s="5">
        <f>+IF(FINANCIACION[[#This Row],[$ CAPITAL]]&gt;0,FINANCIACION[[#This Row],[$ CAPITAL]])</f>
        <v>2185123</v>
      </c>
      <c r="J1280" s="33">
        <f>+IF(FINANCIACION[[#This Row],[$ CAPITAL]]&gt;=0,FINANCIACION[[#This Row],[$ CAPITAL]]+FINANCIACION[[#This Row],[$ INTERESES]],0)</f>
        <v>2407355</v>
      </c>
    </row>
    <row r="1281" spans="1:10" ht="24" hidden="1" customHeight="1" x14ac:dyDescent="0.3">
      <c r="A1281" s="131">
        <v>44921</v>
      </c>
      <c r="B1281" s="50" t="s">
        <v>539</v>
      </c>
      <c r="C1281" s="5">
        <v>3215300</v>
      </c>
      <c r="D1281" s="5">
        <v>295639</v>
      </c>
      <c r="E1281" s="5">
        <f>+IF(FINANCIACION[[#This Row],[$ CAPITAL]]&gt;=0,FINANCIACION[[#This Row],[$ CAPITAL]]+FINANCIACION[[#This Row],[$ INTERESES]],"")</f>
        <v>3510939</v>
      </c>
      <c r="F1281" s="5">
        <f>+SUMIFS(FINANCIACION[$ CAPITAL],FINANCIACION[Fecha],"&lt;="&amp;FINANCIACION[[#This Row],[Fecha]],FINANCIACION[PRESTAMO],FINANCIACION[[#This Row],[PRESTAMO]])</f>
        <v>-18748898.059999995</v>
      </c>
      <c r="G1281" s="53"/>
      <c r="H1281" s="53"/>
      <c r="I1281" s="5">
        <f>+IF(FINANCIACION[[#This Row],[$ CAPITAL]]&gt;0,FINANCIACION[[#This Row],[$ CAPITAL]])</f>
        <v>3215300</v>
      </c>
      <c r="J1281" s="33">
        <f>+IF(FINANCIACION[[#This Row],[$ CAPITAL]]&gt;=0,FINANCIACION[[#This Row],[$ CAPITAL]]+FINANCIACION[[#This Row],[$ INTERESES]],0)</f>
        <v>3510939</v>
      </c>
    </row>
    <row r="1282" spans="1:10" ht="24" hidden="1" customHeight="1" x14ac:dyDescent="0.3">
      <c r="A1282" s="131">
        <v>44922</v>
      </c>
      <c r="B1282" s="50" t="s">
        <v>148</v>
      </c>
      <c r="C1282" s="5"/>
      <c r="D1282" s="5">
        <v>2799</v>
      </c>
      <c r="E1282" s="5">
        <f>+IF(FINANCIACION[[#This Row],[$ CAPITAL]]&gt;=0,FINANCIACION[[#This Row],[$ CAPITAL]]+FINANCIACION[[#This Row],[$ INTERESES]],"")</f>
        <v>2799</v>
      </c>
      <c r="F1282" s="5">
        <f>+SUMIFS(FINANCIACION[$ CAPITAL],FINANCIACION[Fecha],"&lt;="&amp;FINANCIACION[[#This Row],[Fecha]],FINANCIACION[PRESTAMO],FINANCIACION[[#This Row],[PRESTAMO]])</f>
        <v>0</v>
      </c>
      <c r="G1282" s="53" t="s">
        <v>1376</v>
      </c>
      <c r="H1282" s="53"/>
      <c r="I1282" s="5" t="b">
        <f>+IF(FINANCIACION[[#This Row],[$ CAPITAL]]&gt;0,FINANCIACION[[#This Row],[$ CAPITAL]])</f>
        <v>0</v>
      </c>
      <c r="J1282" s="33">
        <f>+IF(FINANCIACION[[#This Row],[$ CAPITAL]]&gt;=0,FINANCIACION[[#This Row],[$ CAPITAL]]+FINANCIACION[[#This Row],[$ INTERESES]],0)</f>
        <v>2799</v>
      </c>
    </row>
    <row r="1283" spans="1:10" ht="24" hidden="1" customHeight="1" x14ac:dyDescent="0.3">
      <c r="A1283" s="131">
        <v>44925</v>
      </c>
      <c r="B1283" s="50" t="s">
        <v>533</v>
      </c>
      <c r="C1283" s="5">
        <v>1415041</v>
      </c>
      <c r="D1283" s="5">
        <v>584959</v>
      </c>
      <c r="E1283" s="5">
        <f>+IF(FINANCIACION[[#This Row],[$ CAPITAL]]&gt;=0,FINANCIACION[[#This Row],[$ CAPITAL]]+FINANCIACION[[#This Row],[$ INTERESES]],"")</f>
        <v>2000000</v>
      </c>
      <c r="F1283" s="5">
        <f>+SUMIFS(FINANCIACION[$ CAPITAL],FINANCIACION[Fecha],"&lt;="&amp;FINANCIACION[[#This Row],[Fecha]],FINANCIACION[PRESTAMO],FINANCIACION[[#This Row],[PRESTAMO]])</f>
        <v>-57080844.132834516</v>
      </c>
      <c r="G1283" s="53"/>
      <c r="H1283" s="53"/>
      <c r="I1283" s="5">
        <f>+IF(FINANCIACION[[#This Row],[$ CAPITAL]]&gt;0,FINANCIACION[[#This Row],[$ CAPITAL]])</f>
        <v>1415041</v>
      </c>
      <c r="J1283" s="33">
        <f>+IF(FINANCIACION[[#This Row],[$ CAPITAL]]&gt;=0,FINANCIACION[[#This Row],[$ CAPITAL]]+FINANCIACION[[#This Row],[$ INTERESES]],0)</f>
        <v>2000000</v>
      </c>
    </row>
    <row r="1284" spans="1:10" ht="24" hidden="1" customHeight="1" x14ac:dyDescent="0.3">
      <c r="A1284" s="235">
        <v>44926</v>
      </c>
      <c r="B1284" s="236" t="s">
        <v>146</v>
      </c>
      <c r="C1284" s="237">
        <v>0</v>
      </c>
      <c r="D1284" s="237">
        <v>0</v>
      </c>
      <c r="E1284" s="237">
        <f>+IF(FINANCIACION[[#This Row],[$ CAPITAL]]&gt;=0,FINANCIACION[[#This Row],[$ CAPITAL]]+FINANCIACION[[#This Row],[$ INTERESES]],"")</f>
        <v>0</v>
      </c>
      <c r="F1284" s="237">
        <f>+SUMIFS(FINANCIACION[$ CAPITAL],FINANCIACION[Fecha],"&lt;="&amp;FINANCIACION[[#This Row],[Fecha]],FINANCIACION[PRESTAMO],FINANCIACION[[#This Row],[PRESTAMO]])</f>
        <v>-23046520</v>
      </c>
      <c r="G1284" s="53"/>
      <c r="H1284" s="53"/>
      <c r="I1284" s="5" t="b">
        <f>+IF(FINANCIACION[[#This Row],[$ CAPITAL]]&gt;0,FINANCIACION[[#This Row],[$ CAPITAL]])</f>
        <v>0</v>
      </c>
      <c r="J1284" s="33">
        <f>+IF(FINANCIACION[[#This Row],[$ CAPITAL]]&gt;=0,FINANCIACION[[#This Row],[$ CAPITAL]]+FINANCIACION[[#This Row],[$ INTERESES]],0)</f>
        <v>0</v>
      </c>
    </row>
    <row r="1285" spans="1:10" ht="24" hidden="1" customHeight="1" x14ac:dyDescent="0.3">
      <c r="A1285" s="235">
        <v>44926</v>
      </c>
      <c r="B1285" s="236" t="s">
        <v>147</v>
      </c>
      <c r="C1285" s="237">
        <v>0</v>
      </c>
      <c r="D1285" s="237">
        <v>0</v>
      </c>
      <c r="E1285" s="237">
        <f>+IF(FINANCIACION[[#This Row],[$ CAPITAL]]&gt;=0,FINANCIACION[[#This Row],[$ CAPITAL]]+FINANCIACION[[#This Row],[$ INTERESES]],"")</f>
        <v>0</v>
      </c>
      <c r="F1285" s="237">
        <f>+SUMIFS(FINANCIACION[$ CAPITAL],FINANCIACION[Fecha],"&lt;="&amp;FINANCIACION[[#This Row],[Fecha]],FINANCIACION[PRESTAMO],FINANCIACION[[#This Row],[PRESTAMO]])</f>
        <v>-1228656</v>
      </c>
      <c r="G1285" s="53"/>
      <c r="H1285" s="53"/>
      <c r="I1285" s="5" t="b">
        <f>+IF(FINANCIACION[[#This Row],[$ CAPITAL]]&gt;0,FINANCIACION[[#This Row],[$ CAPITAL]])</f>
        <v>0</v>
      </c>
      <c r="J1285" s="33">
        <f>+IF(FINANCIACION[[#This Row],[$ CAPITAL]]&gt;=0,FINANCIACION[[#This Row],[$ CAPITAL]]+FINANCIACION[[#This Row],[$ INTERESES]],0)</f>
        <v>0</v>
      </c>
    </row>
    <row r="1286" spans="1:10" ht="24" hidden="1" customHeight="1" x14ac:dyDescent="0.3">
      <c r="A1286" s="131">
        <v>44926</v>
      </c>
      <c r="B1286" s="50" t="s">
        <v>331</v>
      </c>
      <c r="C1286" s="5">
        <v>20198045</v>
      </c>
      <c r="D1286" s="5"/>
      <c r="E1286" s="5">
        <f>+IF(FINANCIACION[[#This Row],[$ CAPITAL]]&gt;=0,FINANCIACION[[#This Row],[$ CAPITAL]]+FINANCIACION[[#This Row],[$ INTERESES]],"")</f>
        <v>20198045</v>
      </c>
      <c r="F1286" s="5">
        <f>+SUMIFS(FINANCIACION[$ CAPITAL],FINANCIACION[Fecha],"&lt;="&amp;FINANCIACION[[#This Row],[Fecha]],FINANCIACION[PRESTAMO],FINANCIACION[[#This Row],[PRESTAMO]])</f>
        <v>0.19999999552965164</v>
      </c>
      <c r="G1286" s="53"/>
      <c r="H1286" s="53"/>
      <c r="I1286" s="5">
        <f>+IF(FINANCIACION[[#This Row],[$ CAPITAL]]&gt;0,FINANCIACION[[#This Row],[$ CAPITAL]])</f>
        <v>20198045</v>
      </c>
      <c r="J1286" s="33">
        <f>+IF(FINANCIACION[[#This Row],[$ CAPITAL]]&gt;=0,FINANCIACION[[#This Row],[$ CAPITAL]]+FINANCIACION[[#This Row],[$ INTERESES]],0)</f>
        <v>20198045</v>
      </c>
    </row>
    <row r="1287" spans="1:10" ht="24" hidden="1" customHeight="1" x14ac:dyDescent="0.3">
      <c r="A1287" s="131">
        <v>44926</v>
      </c>
      <c r="B1287" s="50" t="s">
        <v>684</v>
      </c>
      <c r="C1287" s="5">
        <v>24659088</v>
      </c>
      <c r="D1287" s="5"/>
      <c r="E1287" s="5">
        <f>+IF(FINANCIACION[[#This Row],[$ CAPITAL]]&gt;=0,FINANCIACION[[#This Row],[$ CAPITAL]]+FINANCIACION[[#This Row],[$ INTERESES]],"")</f>
        <v>24659088</v>
      </c>
      <c r="F1287" s="5">
        <f>+SUMIFS(FINANCIACION[$ CAPITAL],FINANCIACION[Fecha],"&lt;="&amp;FINANCIACION[[#This Row],[Fecha]],FINANCIACION[PRESTAMO],FINANCIACION[[#This Row],[PRESTAMO]])</f>
        <v>-25911900.800000004</v>
      </c>
      <c r="G1287" s="53"/>
      <c r="H1287" s="53"/>
      <c r="I1287" s="5">
        <f>+IF(FINANCIACION[[#This Row],[$ CAPITAL]]&gt;0,FINANCIACION[[#This Row],[$ CAPITAL]])</f>
        <v>24659088</v>
      </c>
      <c r="J1287" s="33">
        <f>+IF(FINANCIACION[[#This Row],[$ CAPITAL]]&gt;=0,FINANCIACION[[#This Row],[$ CAPITAL]]+FINANCIACION[[#This Row],[$ INTERESES]],0)</f>
        <v>24659088</v>
      </c>
    </row>
    <row r="1288" spans="1:10" ht="24" hidden="1" customHeight="1" x14ac:dyDescent="0.3">
      <c r="A1288" s="131">
        <v>44926</v>
      </c>
      <c r="B1288" s="50" t="s">
        <v>812</v>
      </c>
      <c r="C1288" s="5">
        <v>804355</v>
      </c>
      <c r="D1288" s="5"/>
      <c r="E1288" s="5">
        <f>+IF(FINANCIACION[[#This Row],[$ CAPITAL]]&gt;=0,FINANCIACION[[#This Row],[$ CAPITAL]]+FINANCIACION[[#This Row],[$ INTERESES]],"")</f>
        <v>804355</v>
      </c>
      <c r="F1288" s="5">
        <f>+SUMIFS(FINANCIACION[$ CAPITAL],FINANCIACION[Fecha],"&lt;="&amp;FINANCIACION[[#This Row],[Fecha]],FINANCIACION[PRESTAMO],FINANCIACION[[#This Row],[PRESTAMO]])</f>
        <v>-78022435</v>
      </c>
      <c r="G1288" s="53"/>
      <c r="H1288" s="53"/>
      <c r="I1288" s="5">
        <f>+IF(FINANCIACION[[#This Row],[$ CAPITAL]]&gt;0,FINANCIACION[[#This Row],[$ CAPITAL]])</f>
        <v>804355</v>
      </c>
      <c r="J1288" s="33">
        <f>+IF(FINANCIACION[[#This Row],[$ CAPITAL]]&gt;=0,FINANCIACION[[#This Row],[$ CAPITAL]]+FINANCIACION[[#This Row],[$ INTERESES]],0)</f>
        <v>804355</v>
      </c>
    </row>
    <row r="1289" spans="1:10" ht="24" hidden="1" customHeight="1" x14ac:dyDescent="0.3">
      <c r="A1289" s="131">
        <v>44926</v>
      </c>
      <c r="B1289" s="50" t="s">
        <v>1173</v>
      </c>
      <c r="C1289" s="5">
        <v>700000</v>
      </c>
      <c r="D1289" s="5"/>
      <c r="E1289" s="5">
        <f>+IF(FINANCIACION[[#This Row],[$ CAPITAL]]&gt;=0,FINANCIACION[[#This Row],[$ CAPITAL]]+FINANCIACION[[#This Row],[$ INTERESES]],"")</f>
        <v>700000</v>
      </c>
      <c r="F1289" s="5">
        <f>+SUMIFS(FINANCIACION[$ CAPITAL],FINANCIACION[Fecha],"&lt;="&amp;FINANCIACION[[#This Row],[Fecha]],FINANCIACION[PRESTAMO],FINANCIACION[[#This Row],[PRESTAMO]])</f>
        <v>-67900000</v>
      </c>
      <c r="G1289" s="53"/>
      <c r="H1289" s="53"/>
      <c r="I1289" s="5">
        <f>+IF(FINANCIACION[[#This Row],[$ CAPITAL]]&gt;0,FINANCIACION[[#This Row],[$ CAPITAL]])</f>
        <v>700000</v>
      </c>
      <c r="J1289" s="33">
        <f>+IF(FINANCIACION[[#This Row],[$ CAPITAL]]&gt;=0,FINANCIACION[[#This Row],[$ CAPITAL]]+FINANCIACION[[#This Row],[$ INTERESES]],0)</f>
        <v>700000</v>
      </c>
    </row>
    <row r="1290" spans="1:10" ht="24" hidden="1" customHeight="1" x14ac:dyDescent="0.3">
      <c r="A1290" s="131">
        <v>44926</v>
      </c>
      <c r="B1290" s="50" t="s">
        <v>1488</v>
      </c>
      <c r="C1290" s="5">
        <v>-3376485</v>
      </c>
      <c r="D1290" s="5"/>
      <c r="E1290" s="5" t="str">
        <f>+IF(FINANCIACION[[#This Row],[$ CAPITAL]]&gt;=0,FINANCIACION[[#This Row],[$ CAPITAL]]+FINANCIACION[[#This Row],[$ INTERESES]],"")</f>
        <v/>
      </c>
      <c r="F1290" s="5">
        <f>+SUMIFS(FINANCIACION[$ CAPITAL],FINANCIACION[Fecha],"&lt;="&amp;FINANCIACION[[#This Row],[Fecha]],FINANCIACION[PRESTAMO],FINANCIACION[[#This Row],[PRESTAMO]])</f>
        <v>-3376485</v>
      </c>
      <c r="G1290" s="53"/>
      <c r="H1290" s="53"/>
      <c r="I1290" s="5" t="b">
        <f>+IF(FINANCIACION[[#This Row],[$ CAPITAL]]&gt;0,FINANCIACION[[#This Row],[$ CAPITAL]])</f>
        <v>0</v>
      </c>
      <c r="J1290" s="33">
        <f>+IF(FINANCIACION[[#This Row],[$ CAPITAL]]&gt;=0,FINANCIACION[[#This Row],[$ CAPITAL]]+FINANCIACION[[#This Row],[$ INTERESES]],0)</f>
        <v>0</v>
      </c>
    </row>
    <row r="1291" spans="1:10" ht="24" hidden="1" customHeight="1" x14ac:dyDescent="0.3">
      <c r="A1291" s="131">
        <v>44926</v>
      </c>
      <c r="B1291" s="50" t="s">
        <v>154</v>
      </c>
      <c r="C1291" s="5">
        <v>22192100</v>
      </c>
      <c r="D1291" s="5"/>
      <c r="E1291" s="5">
        <f>+IF(FINANCIACION[[#This Row],[$ CAPITAL]]&gt;=0,FINANCIACION[[#This Row],[$ CAPITAL]]+FINANCIACION[[#This Row],[$ INTERESES]],"")</f>
        <v>22192100</v>
      </c>
      <c r="F1291" s="5">
        <f>+SUMIFS(FINANCIACION[$ CAPITAL],FINANCIACION[Fecha],"&lt;="&amp;FINANCIACION[[#This Row],[Fecha]],FINANCIACION[PRESTAMO],FINANCIACION[[#This Row],[PRESTAMO]])</f>
        <v>0</v>
      </c>
      <c r="G1291" s="53"/>
      <c r="H1291" s="53"/>
      <c r="I1291" s="5">
        <f>+IF(FINANCIACION[[#This Row],[$ CAPITAL]]&gt;0,FINANCIACION[[#This Row],[$ CAPITAL]])</f>
        <v>22192100</v>
      </c>
      <c r="J1291" s="33">
        <f>+IF(FINANCIACION[[#This Row],[$ CAPITAL]]&gt;=0,FINANCIACION[[#This Row],[$ CAPITAL]]+FINANCIACION[[#This Row],[$ INTERESES]],0)</f>
        <v>22192100</v>
      </c>
    </row>
    <row r="1292" spans="1:10" ht="24" hidden="1" customHeight="1" x14ac:dyDescent="0.3">
      <c r="A1292" s="131">
        <v>44926</v>
      </c>
      <c r="B1292" s="50" t="s">
        <v>155</v>
      </c>
      <c r="C1292" s="5">
        <v>7050652</v>
      </c>
      <c r="D1292" s="5"/>
      <c r="E1292" s="5">
        <f>+IF(FINANCIACION[[#This Row],[$ CAPITAL]]&gt;=0,FINANCIACION[[#This Row],[$ CAPITAL]]+FINANCIACION[[#This Row],[$ INTERESES]],"")</f>
        <v>7050652</v>
      </c>
      <c r="F1292" s="5">
        <f>+SUMIFS(FINANCIACION[$ CAPITAL],FINANCIACION[Fecha],"&lt;="&amp;FINANCIACION[[#This Row],[Fecha]],FINANCIACION[PRESTAMO],FINANCIACION[[#This Row],[PRESTAMO]])</f>
        <v>-11270686</v>
      </c>
      <c r="G1292" s="53"/>
      <c r="H1292" s="53"/>
      <c r="I1292" s="5">
        <f>+IF(FINANCIACION[[#This Row],[$ CAPITAL]]&gt;0,FINANCIACION[[#This Row],[$ CAPITAL]])</f>
        <v>7050652</v>
      </c>
      <c r="J1292" s="33">
        <f>+IF(FINANCIACION[[#This Row],[$ CAPITAL]]&gt;=0,FINANCIACION[[#This Row],[$ CAPITAL]]+FINANCIACION[[#This Row],[$ INTERESES]],0)</f>
        <v>7050652</v>
      </c>
    </row>
    <row r="1293" spans="1:10" ht="24" hidden="1" customHeight="1" x14ac:dyDescent="0.3">
      <c r="A1293" s="131">
        <v>44928</v>
      </c>
      <c r="B1293" s="50" t="s">
        <v>146</v>
      </c>
      <c r="C1293" s="5">
        <v>1468400</v>
      </c>
      <c r="D1293" s="5">
        <v>435146</v>
      </c>
      <c r="E1293" s="5">
        <f>+IF(FINANCIACION[[#This Row],[$ CAPITAL]]&gt;=0,FINANCIACION[[#This Row],[$ CAPITAL]]+FINANCIACION[[#This Row],[$ INTERESES]],"")</f>
        <v>1903546</v>
      </c>
      <c r="F1293" s="5">
        <f>+SUMIFS(FINANCIACION[$ CAPITAL],FINANCIACION[Fecha],"&lt;="&amp;FINANCIACION[[#This Row],[Fecha]],FINANCIACION[PRESTAMO],FINANCIACION[[#This Row],[PRESTAMO]])</f>
        <v>-21578120</v>
      </c>
      <c r="G1293" s="53"/>
      <c r="H1293" s="53"/>
      <c r="I1293" s="5">
        <f>+IF(FINANCIACION[[#This Row],[$ CAPITAL]]&gt;0,FINANCIACION[[#This Row],[$ CAPITAL]])</f>
        <v>1468400</v>
      </c>
      <c r="J1293" s="33">
        <f>+IF(FINANCIACION[[#This Row],[$ CAPITAL]]&gt;=0,FINANCIACION[[#This Row],[$ CAPITAL]]+FINANCIACION[[#This Row],[$ INTERESES]],0)</f>
        <v>1903546</v>
      </c>
    </row>
    <row r="1294" spans="1:10" ht="24" hidden="1" customHeight="1" x14ac:dyDescent="0.3">
      <c r="A1294" s="131">
        <v>44928</v>
      </c>
      <c r="B1294" s="50" t="s">
        <v>147</v>
      </c>
      <c r="C1294" s="5">
        <v>76791</v>
      </c>
      <c r="D1294" s="5"/>
      <c r="E1294" s="5">
        <f>+IF(FINANCIACION[[#This Row],[$ CAPITAL]]&gt;=0,FINANCIACION[[#This Row],[$ CAPITAL]]+FINANCIACION[[#This Row],[$ INTERESES]],"")</f>
        <v>76791</v>
      </c>
      <c r="F1294" s="5">
        <f>+SUMIFS(FINANCIACION[$ CAPITAL],FINANCIACION[Fecha],"&lt;="&amp;FINANCIACION[[#This Row],[Fecha]],FINANCIACION[PRESTAMO],FINANCIACION[[#This Row],[PRESTAMO]])</f>
        <v>-1151865</v>
      </c>
      <c r="G1294" s="53"/>
      <c r="H1294" s="53"/>
      <c r="I1294" s="5">
        <f>+IF(FINANCIACION[[#This Row],[$ CAPITAL]]&gt;0,FINANCIACION[[#This Row],[$ CAPITAL]])</f>
        <v>76791</v>
      </c>
      <c r="J1294" s="33">
        <f>+IF(FINANCIACION[[#This Row],[$ CAPITAL]]&gt;=0,FINANCIACION[[#This Row],[$ CAPITAL]]+FINANCIACION[[#This Row],[$ INTERESES]],0)</f>
        <v>76791</v>
      </c>
    </row>
    <row r="1295" spans="1:10" ht="24" hidden="1" customHeight="1" x14ac:dyDescent="0.3">
      <c r="A1295" s="131">
        <v>44928</v>
      </c>
      <c r="B1295" s="50" t="s">
        <v>540</v>
      </c>
      <c r="C1295" s="5">
        <v>853000</v>
      </c>
      <c r="D1295" s="5">
        <v>100000</v>
      </c>
      <c r="E1295" s="5">
        <f>+IF(FINANCIACION[[#This Row],[$ CAPITAL]]&gt;=0,FINANCIACION[[#This Row],[$ CAPITAL]]+FINANCIACION[[#This Row],[$ INTERESES]],"")</f>
        <v>953000</v>
      </c>
      <c r="F1295" s="5">
        <f>+SUMIFS(FINANCIACION[$ CAPITAL],FINANCIACION[Fecha],"&lt;="&amp;FINANCIACION[[#This Row],[Fecha]],FINANCIACION[PRESTAMO],FINANCIACION[[#This Row],[PRESTAMO]])</f>
        <v>-5899324.6499999985</v>
      </c>
      <c r="G1295" s="53"/>
      <c r="H1295" s="53"/>
      <c r="I1295" s="5">
        <f>+IF(FINANCIACION[[#This Row],[$ CAPITAL]]&gt;0,FINANCIACION[[#This Row],[$ CAPITAL]])</f>
        <v>853000</v>
      </c>
      <c r="J1295" s="33">
        <f>+IF(FINANCIACION[[#This Row],[$ CAPITAL]]&gt;=0,FINANCIACION[[#This Row],[$ CAPITAL]]+FINANCIACION[[#This Row],[$ INTERESES]],0)</f>
        <v>953000</v>
      </c>
    </row>
    <row r="1296" spans="1:10" ht="24" hidden="1" customHeight="1" x14ac:dyDescent="0.3">
      <c r="A1296" s="131">
        <v>44928</v>
      </c>
      <c r="B1296" s="50" t="s">
        <v>542</v>
      </c>
      <c r="C1296" s="5">
        <v>894000</v>
      </c>
      <c r="D1296" s="5">
        <v>119000</v>
      </c>
      <c r="E1296" s="5">
        <f>+IF(FINANCIACION[[#This Row],[$ CAPITAL]]&gt;=0,FINANCIACION[[#This Row],[$ CAPITAL]]+FINANCIACION[[#This Row],[$ INTERESES]],"")</f>
        <v>1013000</v>
      </c>
      <c r="F1296" s="5">
        <f>+SUMIFS(FINANCIACION[$ CAPITAL],FINANCIACION[Fecha],"&lt;="&amp;FINANCIACION[[#This Row],[Fecha]],FINANCIACION[PRESTAMO],FINANCIACION[[#This Row],[PRESTAMO]])</f>
        <v>-7077511.0699999984</v>
      </c>
      <c r="G1296" s="53"/>
      <c r="H1296" s="53"/>
      <c r="I1296" s="5">
        <f>+IF(FINANCIACION[[#This Row],[$ CAPITAL]]&gt;0,FINANCIACION[[#This Row],[$ CAPITAL]])</f>
        <v>894000</v>
      </c>
      <c r="J1296" s="33">
        <f>+IF(FINANCIACION[[#This Row],[$ CAPITAL]]&gt;=0,FINANCIACION[[#This Row],[$ CAPITAL]]+FINANCIACION[[#This Row],[$ INTERESES]],0)</f>
        <v>1013000</v>
      </c>
    </row>
    <row r="1297" spans="1:10" ht="24" hidden="1" customHeight="1" x14ac:dyDescent="0.3">
      <c r="A1297" s="131">
        <v>44928</v>
      </c>
      <c r="B1297" s="50" t="s">
        <v>535</v>
      </c>
      <c r="C1297" s="5">
        <v>1306000</v>
      </c>
      <c r="D1297" s="5">
        <v>95000</v>
      </c>
      <c r="E1297" s="5">
        <f>+IF(FINANCIACION[[#This Row],[$ CAPITAL]]&gt;=0,FINANCIACION[[#This Row],[$ CAPITAL]]+FINANCIACION[[#This Row],[$ INTERESES]],"")</f>
        <v>1401000</v>
      </c>
      <c r="F1297" s="5">
        <f>+SUMIFS(FINANCIACION[$ CAPITAL],FINANCIACION[Fecha],"&lt;="&amp;FINANCIACION[[#This Row],[Fecha]],FINANCIACION[PRESTAMO],FINANCIACION[[#This Row],[PRESTAMO]])</f>
        <v>-5116991.8900000006</v>
      </c>
      <c r="G1297" s="53"/>
      <c r="H1297" s="53"/>
      <c r="I1297" s="5">
        <f>+IF(FINANCIACION[[#This Row],[$ CAPITAL]]&gt;0,FINANCIACION[[#This Row],[$ CAPITAL]])</f>
        <v>1306000</v>
      </c>
      <c r="J1297" s="33">
        <f>+IF(FINANCIACION[[#This Row],[$ CAPITAL]]&gt;=0,FINANCIACION[[#This Row],[$ CAPITAL]]+FINANCIACION[[#This Row],[$ INTERESES]],0)</f>
        <v>1401000</v>
      </c>
    </row>
    <row r="1298" spans="1:10" ht="24" hidden="1" customHeight="1" x14ac:dyDescent="0.3">
      <c r="A1298" s="131">
        <v>44930</v>
      </c>
      <c r="B1298" s="50" t="s">
        <v>552</v>
      </c>
      <c r="C1298" s="5">
        <v>1744958</v>
      </c>
      <c r="D1298" s="5">
        <v>57579</v>
      </c>
      <c r="E1298" s="5">
        <f>+IF(FINANCIACION[[#This Row],[$ CAPITAL]]&gt;=0,FINANCIACION[[#This Row],[$ CAPITAL]]+FINANCIACION[[#This Row],[$ INTERESES]],"")</f>
        <v>1802537</v>
      </c>
      <c r="F1298" s="5">
        <f>+SUMIFS(FINANCIACION[$ CAPITAL],FINANCIACION[Fecha],"&lt;="&amp;FINANCIACION[[#This Row],[Fecha]],FINANCIACION[PRESTAMO],FINANCIACION[[#This Row],[PRESTAMO]])</f>
        <v>-1743574</v>
      </c>
      <c r="G1298" s="53"/>
      <c r="H1298" s="53"/>
      <c r="I1298" s="5">
        <f>+IF(FINANCIACION[[#This Row],[$ CAPITAL]]&gt;0,FINANCIACION[[#This Row],[$ CAPITAL]])</f>
        <v>1744958</v>
      </c>
      <c r="J1298" s="33">
        <f>+IF(FINANCIACION[[#This Row],[$ CAPITAL]]&gt;=0,FINANCIACION[[#This Row],[$ CAPITAL]]+FINANCIACION[[#This Row],[$ INTERESES]],0)</f>
        <v>1802537</v>
      </c>
    </row>
    <row r="1299" spans="1:10" ht="24" hidden="1" customHeight="1" x14ac:dyDescent="0.3">
      <c r="A1299" s="131">
        <v>44930</v>
      </c>
      <c r="B1299" s="50" t="s">
        <v>148</v>
      </c>
      <c r="C1299" s="5"/>
      <c r="D1299" s="5">
        <v>61060</v>
      </c>
      <c r="E1299" s="5">
        <f>+IF(FINANCIACION[[#This Row],[$ CAPITAL]]&gt;=0,FINANCIACION[[#This Row],[$ CAPITAL]]+FINANCIACION[[#This Row],[$ INTERESES]],"")</f>
        <v>61060</v>
      </c>
      <c r="F1299" s="5">
        <f>+SUMIFS(FINANCIACION[$ CAPITAL],FINANCIACION[Fecha],"&lt;="&amp;FINANCIACION[[#This Row],[Fecha]],FINANCIACION[PRESTAMO],FINANCIACION[[#This Row],[PRESTAMO]])</f>
        <v>0</v>
      </c>
      <c r="G1299" s="53"/>
      <c r="H1299" s="53"/>
      <c r="I1299" s="5" t="b">
        <f>+IF(FINANCIACION[[#This Row],[$ CAPITAL]]&gt;0,FINANCIACION[[#This Row],[$ CAPITAL]])</f>
        <v>0</v>
      </c>
      <c r="J1299" s="33">
        <f>+IF(FINANCIACION[[#This Row],[$ CAPITAL]]&gt;=0,FINANCIACION[[#This Row],[$ CAPITAL]]+FINANCIACION[[#This Row],[$ INTERESES]],0)</f>
        <v>61060</v>
      </c>
    </row>
    <row r="1300" spans="1:10" ht="24" hidden="1" customHeight="1" x14ac:dyDescent="0.3">
      <c r="A1300" s="131">
        <v>44930</v>
      </c>
      <c r="B1300" s="50" t="s">
        <v>684</v>
      </c>
      <c r="C1300" s="5">
        <v>25655079</v>
      </c>
      <c r="D1300" s="5">
        <v>597874</v>
      </c>
      <c r="E1300" s="5">
        <f>+IF(FINANCIACION[[#This Row],[$ CAPITAL]]&gt;=0,FINANCIACION[[#This Row],[$ CAPITAL]]+FINANCIACION[[#This Row],[$ INTERESES]],"")</f>
        <v>26252953</v>
      </c>
      <c r="F1300" s="5">
        <f>+SUMIFS(FINANCIACION[$ CAPITAL],FINANCIACION[Fecha],"&lt;="&amp;FINANCIACION[[#This Row],[Fecha]],FINANCIACION[PRESTAMO],FINANCIACION[[#This Row],[PRESTAMO]])</f>
        <v>0.19999999552965164</v>
      </c>
      <c r="G1300" s="53"/>
      <c r="H1300" s="53"/>
      <c r="I1300" s="5">
        <f>+IF(FINANCIACION[[#This Row],[$ CAPITAL]]&gt;0,FINANCIACION[[#This Row],[$ CAPITAL]])</f>
        <v>25655079</v>
      </c>
      <c r="J1300" s="33">
        <f>+IF(FINANCIACION[[#This Row],[$ CAPITAL]]&gt;=0,FINANCIACION[[#This Row],[$ CAPITAL]]+FINANCIACION[[#This Row],[$ INTERESES]],0)</f>
        <v>26252953</v>
      </c>
    </row>
    <row r="1301" spans="1:10" ht="24" hidden="1" customHeight="1" x14ac:dyDescent="0.3">
      <c r="A1301" s="131">
        <v>44930</v>
      </c>
      <c r="B1301" s="50" t="s">
        <v>684</v>
      </c>
      <c r="C1301" s="5">
        <v>256822</v>
      </c>
      <c r="D1301" s="5"/>
      <c r="E1301" s="5">
        <f>+IF(FINANCIACION[[#This Row],[$ CAPITAL]]&gt;=0,FINANCIACION[[#This Row],[$ CAPITAL]]+FINANCIACION[[#This Row],[$ INTERESES]],"")</f>
        <v>256822</v>
      </c>
      <c r="F1301" s="5">
        <f>+SUMIFS(FINANCIACION[$ CAPITAL],FINANCIACION[Fecha],"&lt;="&amp;FINANCIACION[[#This Row],[Fecha]],FINANCIACION[PRESTAMO],FINANCIACION[[#This Row],[PRESTAMO]])</f>
        <v>0.19999999552965164</v>
      </c>
      <c r="G1301" s="53" t="s">
        <v>1384</v>
      </c>
      <c r="H1301" s="53"/>
      <c r="I1301" s="5">
        <f>+IF(FINANCIACION[[#This Row],[$ CAPITAL]]&gt;0,FINANCIACION[[#This Row],[$ CAPITAL]])</f>
        <v>256822</v>
      </c>
      <c r="J1301" s="33">
        <f>+IF(FINANCIACION[[#This Row],[$ CAPITAL]]&gt;=0,FINANCIACION[[#This Row],[$ CAPITAL]]+FINANCIACION[[#This Row],[$ INTERESES]],0)</f>
        <v>256822</v>
      </c>
    </row>
    <row r="1302" spans="1:10" ht="24" hidden="1" customHeight="1" x14ac:dyDescent="0.3">
      <c r="A1302" s="131">
        <v>44930</v>
      </c>
      <c r="B1302" s="50" t="s">
        <v>812</v>
      </c>
      <c r="C1302" s="5">
        <v>41571941</v>
      </c>
      <c r="D1302" s="5"/>
      <c r="E1302" s="5">
        <f>+IF(FINANCIACION[[#This Row],[$ CAPITAL]]&gt;=0,FINANCIACION[[#This Row],[$ CAPITAL]]+FINANCIACION[[#This Row],[$ INTERESES]],"")</f>
        <v>41571941</v>
      </c>
      <c r="F1302" s="5">
        <f>+SUMIFS(FINANCIACION[$ CAPITAL],FINANCIACION[Fecha],"&lt;="&amp;FINANCIACION[[#This Row],[Fecha]],FINANCIACION[PRESTAMO],FINANCIACION[[#This Row],[PRESTAMO]])</f>
        <v>-36450494</v>
      </c>
      <c r="G1302" s="53"/>
      <c r="H1302" s="53"/>
      <c r="I1302" s="5">
        <f>+IF(FINANCIACION[[#This Row],[$ CAPITAL]]&gt;0,FINANCIACION[[#This Row],[$ CAPITAL]])</f>
        <v>41571941</v>
      </c>
      <c r="J1302" s="33">
        <f>+IF(FINANCIACION[[#This Row],[$ CAPITAL]]&gt;=0,FINANCIACION[[#This Row],[$ CAPITAL]]+FINANCIACION[[#This Row],[$ INTERESES]],0)</f>
        <v>41571941</v>
      </c>
    </row>
    <row r="1303" spans="1:10" ht="24" hidden="1" customHeight="1" x14ac:dyDescent="0.3">
      <c r="A1303" s="131">
        <v>44931</v>
      </c>
      <c r="B1303" s="50" t="s">
        <v>148</v>
      </c>
      <c r="C1303" s="5"/>
      <c r="D1303" s="5">
        <v>665872</v>
      </c>
      <c r="E1303" s="5">
        <f>+IF(FINANCIACION[[#This Row],[$ CAPITAL]]&gt;=0,FINANCIACION[[#This Row],[$ CAPITAL]]+FINANCIACION[[#This Row],[$ INTERESES]],"")</f>
        <v>665872</v>
      </c>
      <c r="F1303" s="5">
        <f>+SUMIFS(FINANCIACION[$ CAPITAL],FINANCIACION[Fecha],"&lt;="&amp;FINANCIACION[[#This Row],[Fecha]],FINANCIACION[PRESTAMO],FINANCIACION[[#This Row],[PRESTAMO]])</f>
        <v>0</v>
      </c>
      <c r="G1303" s="53"/>
      <c r="H1303" s="53"/>
      <c r="I1303" s="5" t="b">
        <f>+IF(FINANCIACION[[#This Row],[$ CAPITAL]]&gt;0,FINANCIACION[[#This Row],[$ CAPITAL]])</f>
        <v>0</v>
      </c>
      <c r="J1303" s="33">
        <f>+IF(FINANCIACION[[#This Row],[$ CAPITAL]]&gt;=0,FINANCIACION[[#This Row],[$ CAPITAL]]+FINANCIACION[[#This Row],[$ INTERESES]],0)</f>
        <v>665872</v>
      </c>
    </row>
    <row r="1304" spans="1:10" ht="24" hidden="1" customHeight="1" x14ac:dyDescent="0.3">
      <c r="A1304" s="131">
        <v>44936</v>
      </c>
      <c r="B1304" s="50" t="s">
        <v>148</v>
      </c>
      <c r="C1304" s="5"/>
      <c r="D1304" s="5">
        <v>41283</v>
      </c>
      <c r="E1304" s="5">
        <f>+IF(FINANCIACION[[#This Row],[$ CAPITAL]]&gt;=0,FINANCIACION[[#This Row],[$ CAPITAL]]+FINANCIACION[[#This Row],[$ INTERESES]],"")</f>
        <v>41283</v>
      </c>
      <c r="F1304" s="5">
        <f>+SUMIFS(FINANCIACION[$ CAPITAL],FINANCIACION[Fecha],"&lt;="&amp;FINANCIACION[[#This Row],[Fecha]],FINANCIACION[PRESTAMO],FINANCIACION[[#This Row],[PRESTAMO]])</f>
        <v>0</v>
      </c>
      <c r="G1304" s="53"/>
      <c r="H1304" s="53"/>
      <c r="I1304" s="5" t="b">
        <f>+IF(FINANCIACION[[#This Row],[$ CAPITAL]]&gt;0,FINANCIACION[[#This Row],[$ CAPITAL]])</f>
        <v>0</v>
      </c>
      <c r="J1304" s="33">
        <f>+IF(FINANCIACION[[#This Row],[$ CAPITAL]]&gt;=0,FINANCIACION[[#This Row],[$ CAPITAL]]+FINANCIACION[[#This Row],[$ INTERESES]],0)</f>
        <v>41283</v>
      </c>
    </row>
    <row r="1305" spans="1:10" ht="24" hidden="1" customHeight="1" x14ac:dyDescent="0.3">
      <c r="A1305" s="131">
        <v>44938</v>
      </c>
      <c r="B1305" s="50" t="s">
        <v>543</v>
      </c>
      <c r="C1305" s="5"/>
      <c r="D1305" s="5">
        <v>130000</v>
      </c>
      <c r="E1305" s="5">
        <f>+IF(FINANCIACION[[#This Row],[$ CAPITAL]]&gt;=0,FINANCIACION[[#This Row],[$ CAPITAL]]+FINANCIACION[[#This Row],[$ INTERESES]],"")</f>
        <v>130000</v>
      </c>
      <c r="F1305" s="5">
        <f>+SUMIFS(FINANCIACION[$ CAPITAL],FINANCIACION[Fecha],"&lt;="&amp;FINANCIACION[[#This Row],[Fecha]],FINANCIACION[PRESTAMO],FINANCIACION[[#This Row],[PRESTAMO]])</f>
        <v>-13000000</v>
      </c>
      <c r="G1305" s="53"/>
      <c r="H1305" s="53"/>
      <c r="I1305" s="5" t="b">
        <f>+IF(FINANCIACION[[#This Row],[$ CAPITAL]]&gt;0,FINANCIACION[[#This Row],[$ CAPITAL]])</f>
        <v>0</v>
      </c>
      <c r="J1305" s="33">
        <f>+IF(FINANCIACION[[#This Row],[$ CAPITAL]]&gt;=0,FINANCIACION[[#This Row],[$ CAPITAL]]+FINANCIACION[[#This Row],[$ INTERESES]],0)</f>
        <v>130000</v>
      </c>
    </row>
    <row r="1306" spans="1:10" ht="24" hidden="1" customHeight="1" x14ac:dyDescent="0.3">
      <c r="A1306" s="131">
        <v>44938</v>
      </c>
      <c r="B1306" s="50" t="s">
        <v>547</v>
      </c>
      <c r="C1306" s="5"/>
      <c r="D1306" s="5">
        <v>400000</v>
      </c>
      <c r="E1306" s="5">
        <f>+IF(FINANCIACION[[#This Row],[$ CAPITAL]]&gt;=0,FINANCIACION[[#This Row],[$ CAPITAL]]+FINANCIACION[[#This Row],[$ INTERESES]],"")</f>
        <v>400000</v>
      </c>
      <c r="F1306" s="5">
        <f>+SUMIFS(FINANCIACION[$ CAPITAL],FINANCIACION[Fecha],"&lt;="&amp;FINANCIACION[[#This Row],[Fecha]],FINANCIACION[PRESTAMO],FINANCIACION[[#This Row],[PRESTAMO]])</f>
        <v>-40000000</v>
      </c>
      <c r="G1306" s="53"/>
      <c r="H1306" s="53"/>
      <c r="I1306" s="5" t="b">
        <f>+IF(FINANCIACION[[#This Row],[$ CAPITAL]]&gt;0,FINANCIACION[[#This Row],[$ CAPITAL]])</f>
        <v>0</v>
      </c>
      <c r="J1306" s="33">
        <f>+IF(FINANCIACION[[#This Row],[$ CAPITAL]]&gt;=0,FINANCIACION[[#This Row],[$ CAPITAL]]+FINANCIACION[[#This Row],[$ INTERESES]],0)</f>
        <v>400000</v>
      </c>
    </row>
    <row r="1307" spans="1:10" ht="24" hidden="1" customHeight="1" x14ac:dyDescent="0.3">
      <c r="A1307" s="131">
        <v>44938</v>
      </c>
      <c r="B1307" s="50" t="s">
        <v>532</v>
      </c>
      <c r="C1307" s="5">
        <v>2236454</v>
      </c>
      <c r="D1307" s="5">
        <v>440924</v>
      </c>
      <c r="E1307" s="5">
        <f>+IF(FINANCIACION[[#This Row],[$ CAPITAL]]&gt;=0,FINANCIACION[[#This Row],[$ CAPITAL]]+FINANCIACION[[#This Row],[$ INTERESES]],"")</f>
        <v>2677378</v>
      </c>
      <c r="F1307" s="5">
        <f>+SUMIFS(FINANCIACION[$ CAPITAL],FINANCIACION[Fecha],"&lt;="&amp;FINANCIACION[[#This Row],[Fecha]],FINANCIACION[PRESTAMO],FINANCIACION[[#This Row],[PRESTAMO]])</f>
        <v>-41855913.484479994</v>
      </c>
      <c r="G1307" s="53"/>
      <c r="H1307" s="53"/>
      <c r="I1307" s="5">
        <f>+IF(FINANCIACION[[#This Row],[$ CAPITAL]]&gt;0,FINANCIACION[[#This Row],[$ CAPITAL]])</f>
        <v>2236454</v>
      </c>
      <c r="J1307" s="33">
        <f>+IF(FINANCIACION[[#This Row],[$ CAPITAL]]&gt;=0,FINANCIACION[[#This Row],[$ CAPITAL]]+FINANCIACION[[#This Row],[$ INTERESES]],0)</f>
        <v>2677378</v>
      </c>
    </row>
    <row r="1308" spans="1:10" ht="24" hidden="1" customHeight="1" x14ac:dyDescent="0.3">
      <c r="A1308" s="131">
        <v>44938</v>
      </c>
      <c r="B1308" s="50" t="s">
        <v>536</v>
      </c>
      <c r="C1308" s="5">
        <v>861691</v>
      </c>
      <c r="D1308" s="5">
        <v>438309</v>
      </c>
      <c r="E1308" s="5">
        <f>+IF(FINANCIACION[[#This Row],[$ CAPITAL]]&gt;=0,FINANCIACION[[#This Row],[$ CAPITAL]]+FINANCIACION[[#This Row],[$ INTERESES]],"")</f>
        <v>1300000</v>
      </c>
      <c r="F1308" s="5">
        <f>+SUMIFS(FINANCIACION[$ CAPITAL],FINANCIACION[Fecha],"&lt;="&amp;FINANCIACION[[#This Row],[Fecha]],FINANCIACION[PRESTAMO],FINANCIACION[[#This Row],[PRESTAMO]])</f>
        <v>-42969171.199762128</v>
      </c>
      <c r="G1308" s="53"/>
      <c r="H1308" s="53"/>
      <c r="I1308" s="5">
        <f>+IF(FINANCIACION[[#This Row],[$ CAPITAL]]&gt;0,FINANCIACION[[#This Row],[$ CAPITAL]])</f>
        <v>861691</v>
      </c>
      <c r="J1308" s="33">
        <f>+IF(FINANCIACION[[#This Row],[$ CAPITAL]]&gt;=0,FINANCIACION[[#This Row],[$ CAPITAL]]+FINANCIACION[[#This Row],[$ INTERESES]],0)</f>
        <v>1300000</v>
      </c>
    </row>
    <row r="1309" spans="1:10" ht="24" hidden="1" customHeight="1" x14ac:dyDescent="0.3">
      <c r="A1309" s="131">
        <v>44938</v>
      </c>
      <c r="B1309" s="50" t="s">
        <v>533</v>
      </c>
      <c r="C1309" s="5">
        <v>1429192</v>
      </c>
      <c r="D1309" s="5">
        <v>570808</v>
      </c>
      <c r="E1309" s="5">
        <f>+IF(FINANCIACION[[#This Row],[$ CAPITAL]]&gt;=0,FINANCIACION[[#This Row],[$ CAPITAL]]+FINANCIACION[[#This Row],[$ INTERESES]],"")</f>
        <v>2000000</v>
      </c>
      <c r="F1309" s="5">
        <f>+SUMIFS(FINANCIACION[$ CAPITAL],FINANCIACION[Fecha],"&lt;="&amp;FINANCIACION[[#This Row],[Fecha]],FINANCIACION[PRESTAMO],FINANCIACION[[#This Row],[PRESTAMO]])</f>
        <v>-55651652.132834516</v>
      </c>
      <c r="G1309" s="53"/>
      <c r="H1309" s="53"/>
      <c r="I1309" s="5">
        <f>+IF(FINANCIACION[[#This Row],[$ CAPITAL]]&gt;0,FINANCIACION[[#This Row],[$ CAPITAL]])</f>
        <v>1429192</v>
      </c>
      <c r="J1309" s="33">
        <f>+IF(FINANCIACION[[#This Row],[$ CAPITAL]]&gt;=0,FINANCIACION[[#This Row],[$ CAPITAL]]+FINANCIACION[[#This Row],[$ INTERESES]],0)</f>
        <v>2000000</v>
      </c>
    </row>
    <row r="1310" spans="1:10" ht="24" hidden="1" customHeight="1" x14ac:dyDescent="0.3">
      <c r="A1310" s="131">
        <v>44938</v>
      </c>
      <c r="B1310" s="50" t="s">
        <v>563</v>
      </c>
      <c r="C1310" s="5"/>
      <c r="D1310" s="5">
        <v>750000</v>
      </c>
      <c r="E1310" s="5">
        <f>+IF(FINANCIACION[[#This Row],[$ CAPITAL]]&gt;=0,FINANCIACION[[#This Row],[$ CAPITAL]]+FINANCIACION[[#This Row],[$ INTERESES]],"")</f>
        <v>750000</v>
      </c>
      <c r="F1310" s="5">
        <f>+SUMIFS(FINANCIACION[$ CAPITAL],FINANCIACION[Fecha],"&lt;="&amp;FINANCIACION[[#This Row],[Fecha]],FINANCIACION[PRESTAMO],FINANCIACION[[#This Row],[PRESTAMO]])</f>
        <v>-75000000</v>
      </c>
      <c r="G1310" s="53"/>
      <c r="H1310" s="53"/>
      <c r="I1310" s="5" t="b">
        <f>+IF(FINANCIACION[[#This Row],[$ CAPITAL]]&gt;0,FINANCIACION[[#This Row],[$ CAPITAL]])</f>
        <v>0</v>
      </c>
      <c r="J1310" s="33">
        <f>+IF(FINANCIACION[[#This Row],[$ CAPITAL]]&gt;=0,FINANCIACION[[#This Row],[$ CAPITAL]]+FINANCIACION[[#This Row],[$ INTERESES]],0)</f>
        <v>750000</v>
      </c>
    </row>
    <row r="1311" spans="1:10" ht="24" hidden="1" customHeight="1" x14ac:dyDescent="0.3">
      <c r="A1311" s="131">
        <v>44938</v>
      </c>
      <c r="B1311" s="50" t="s">
        <v>545</v>
      </c>
      <c r="C1311" s="5"/>
      <c r="D1311" s="5">
        <v>120000</v>
      </c>
      <c r="E1311" s="5">
        <f>+IF(FINANCIACION[[#This Row],[$ CAPITAL]]&gt;=0,FINANCIACION[[#This Row],[$ CAPITAL]]+FINANCIACION[[#This Row],[$ INTERESES]],"")</f>
        <v>120000</v>
      </c>
      <c r="F1311" s="5">
        <f>+SUMIFS(FINANCIACION[$ CAPITAL],FINANCIACION[Fecha],"&lt;="&amp;FINANCIACION[[#This Row],[Fecha]],FINANCIACION[PRESTAMO],FINANCIACION[[#This Row],[PRESTAMO]])</f>
        <v>-12000000</v>
      </c>
      <c r="G1311" s="53"/>
      <c r="H1311" s="53"/>
      <c r="I1311" s="5" t="b">
        <f>+IF(FINANCIACION[[#This Row],[$ CAPITAL]]&gt;0,FINANCIACION[[#This Row],[$ CAPITAL]])</f>
        <v>0</v>
      </c>
      <c r="J1311" s="33">
        <f>+IF(FINANCIACION[[#This Row],[$ CAPITAL]]&gt;=0,FINANCIACION[[#This Row],[$ CAPITAL]]+FINANCIACION[[#This Row],[$ INTERESES]],0)</f>
        <v>120000</v>
      </c>
    </row>
    <row r="1312" spans="1:10" ht="24" hidden="1" customHeight="1" x14ac:dyDescent="0.3">
      <c r="A1312" s="131">
        <v>44938</v>
      </c>
      <c r="B1312" s="50" t="s">
        <v>1382</v>
      </c>
      <c r="C1312" s="5">
        <v>-94165500</v>
      </c>
      <c r="D1312" s="5"/>
      <c r="E1312" s="5" t="str">
        <f>+IF(FINANCIACION[[#This Row],[$ CAPITAL]]&gt;=0,FINANCIACION[[#This Row],[$ CAPITAL]]+FINANCIACION[[#This Row],[$ INTERESES]],"")</f>
        <v/>
      </c>
      <c r="F1312" s="5">
        <f>+SUMIFS(FINANCIACION[$ CAPITAL],FINANCIACION[Fecha],"&lt;="&amp;FINANCIACION[[#This Row],[Fecha]],FINANCIACION[PRESTAMO],FINANCIACION[[#This Row],[PRESTAMO]])</f>
        <v>-94165500</v>
      </c>
      <c r="G1312" s="53" t="s">
        <v>1383</v>
      </c>
      <c r="H1312" s="53">
        <v>19500</v>
      </c>
      <c r="I1312" s="5" t="b">
        <f>+IF(FINANCIACION[[#This Row],[$ CAPITAL]]&gt;0,FINANCIACION[[#This Row],[$ CAPITAL]])</f>
        <v>0</v>
      </c>
      <c r="J1312" s="33">
        <f>+IF(FINANCIACION[[#This Row],[$ CAPITAL]]&gt;=0,FINANCIACION[[#This Row],[$ CAPITAL]]+FINANCIACION[[#This Row],[$ INTERESES]],0)</f>
        <v>0</v>
      </c>
    </row>
    <row r="1313" spans="1:10" ht="24" hidden="1" customHeight="1" x14ac:dyDescent="0.3">
      <c r="A1313" s="131">
        <v>44943</v>
      </c>
      <c r="B1313" s="50" t="s">
        <v>534</v>
      </c>
      <c r="C1313" s="5">
        <v>1200732</v>
      </c>
      <c r="D1313" s="5">
        <v>5930311</v>
      </c>
      <c r="E1313" s="5">
        <f>+IF(FINANCIACION[[#This Row],[$ CAPITAL]]&gt;=0,FINANCIACION[[#This Row],[$ CAPITAL]]+FINANCIACION[[#This Row],[$ INTERESES]],"")</f>
        <v>7131043</v>
      </c>
      <c r="F1313" s="5">
        <f>+SUMIFS(FINANCIACION[$ CAPITAL],FINANCIACION[Fecha],"&lt;="&amp;FINANCIACION[[#This Row],[Fecha]],FINANCIACION[PRESTAMO],FINANCIACION[[#This Row],[PRESTAMO]])</f>
        <v>-356329990</v>
      </c>
      <c r="G1313" s="53"/>
      <c r="H1313" s="53"/>
      <c r="I1313" s="5">
        <f>+IF(FINANCIACION[[#This Row],[$ CAPITAL]]&gt;0,FINANCIACION[[#This Row],[$ CAPITAL]])</f>
        <v>1200732</v>
      </c>
      <c r="J1313" s="33">
        <f>+IF(FINANCIACION[[#This Row],[$ CAPITAL]]&gt;=0,FINANCIACION[[#This Row],[$ CAPITAL]]+FINANCIACION[[#This Row],[$ INTERESES]],0)</f>
        <v>7131043</v>
      </c>
    </row>
    <row r="1314" spans="1:10" ht="24" hidden="1" customHeight="1" x14ac:dyDescent="0.3">
      <c r="A1314" s="131">
        <v>44945</v>
      </c>
      <c r="B1314" s="50" t="s">
        <v>150</v>
      </c>
      <c r="C1314" s="5">
        <v>417000</v>
      </c>
      <c r="D1314" s="5">
        <v>224894</v>
      </c>
      <c r="E1314" s="5">
        <f>+IF(FINANCIACION[[#This Row],[$ CAPITAL]]&gt;=0,FINANCIACION[[#This Row],[$ CAPITAL]]+FINANCIACION[[#This Row],[$ INTERESES]],"")</f>
        <v>641894</v>
      </c>
      <c r="F1314" s="5">
        <f>+SUMIFS(FINANCIACION[$ CAPITAL],FINANCIACION[Fecha],"&lt;="&amp;FINANCIACION[[#This Row],[Fecha]],FINANCIACION[PRESTAMO],FINANCIACION[[#This Row],[PRESTAMO]])</f>
        <v>-12081000</v>
      </c>
      <c r="G1314" s="53"/>
      <c r="H1314" s="53"/>
      <c r="I1314" s="5">
        <f>+IF(FINANCIACION[[#This Row],[$ CAPITAL]]&gt;0,FINANCIACION[[#This Row],[$ CAPITAL]])</f>
        <v>417000</v>
      </c>
      <c r="J1314" s="33">
        <f>+IF(FINANCIACION[[#This Row],[$ CAPITAL]]&gt;=0,FINANCIACION[[#This Row],[$ CAPITAL]]+FINANCIACION[[#This Row],[$ INTERESES]],0)</f>
        <v>641894</v>
      </c>
    </row>
    <row r="1315" spans="1:10" ht="24" hidden="1" customHeight="1" x14ac:dyDescent="0.3">
      <c r="A1315" s="131">
        <v>44946</v>
      </c>
      <c r="B1315" s="50" t="s">
        <v>547</v>
      </c>
      <c r="C1315" s="5">
        <v>5000000</v>
      </c>
      <c r="D1315" s="5"/>
      <c r="E1315" s="5">
        <f>+IF(FINANCIACION[[#This Row],[$ CAPITAL]]&gt;=0,FINANCIACION[[#This Row],[$ CAPITAL]]+FINANCIACION[[#This Row],[$ INTERESES]],"")</f>
        <v>5000000</v>
      </c>
      <c r="F1315" s="5">
        <f>+SUMIFS(FINANCIACION[$ CAPITAL],FINANCIACION[Fecha],"&lt;="&amp;FINANCIACION[[#This Row],[Fecha]],FINANCIACION[PRESTAMO],FINANCIACION[[#This Row],[PRESTAMO]])</f>
        <v>-35000000</v>
      </c>
      <c r="G1315" s="53"/>
      <c r="H1315" s="53"/>
      <c r="I1315" s="5">
        <f>+IF(FINANCIACION[[#This Row],[$ CAPITAL]]&gt;0,FINANCIACION[[#This Row],[$ CAPITAL]])</f>
        <v>5000000</v>
      </c>
      <c r="J1315" s="33">
        <f>+IF(FINANCIACION[[#This Row],[$ CAPITAL]]&gt;=0,FINANCIACION[[#This Row],[$ CAPITAL]]+FINANCIACION[[#This Row],[$ INTERESES]],0)</f>
        <v>5000000</v>
      </c>
    </row>
    <row r="1316" spans="1:10" ht="24" hidden="1" customHeight="1" x14ac:dyDescent="0.3">
      <c r="A1316" s="131">
        <v>44949</v>
      </c>
      <c r="B1316" s="50" t="s">
        <v>546</v>
      </c>
      <c r="C1316" s="5">
        <v>1077530</v>
      </c>
      <c r="D1316" s="5">
        <v>82470</v>
      </c>
      <c r="E1316" s="5">
        <f>+IF(FINANCIACION[[#This Row],[$ CAPITAL]]&gt;=0,FINANCIACION[[#This Row],[$ CAPITAL]]+FINANCIACION[[#This Row],[$ INTERESES]],"")</f>
        <v>1160000</v>
      </c>
      <c r="F1316" s="5">
        <f>+SUMIFS(FINANCIACION[$ CAPITAL],FINANCIACION[Fecha],"&lt;="&amp;FINANCIACION[[#This Row],[Fecha]],FINANCIACION[PRESTAMO],FINANCIACION[[#This Row],[PRESTAMO]])</f>
        <v>-4259828.7899999991</v>
      </c>
      <c r="G1316" s="53"/>
      <c r="H1316" s="53"/>
      <c r="I1316" s="5">
        <f>+IF(FINANCIACION[[#This Row],[$ CAPITAL]]&gt;0,FINANCIACION[[#This Row],[$ CAPITAL]])</f>
        <v>1077530</v>
      </c>
      <c r="J1316" s="33">
        <f>+IF(FINANCIACION[[#This Row],[$ CAPITAL]]&gt;=0,FINANCIACION[[#This Row],[$ CAPITAL]]+FINANCIACION[[#This Row],[$ INTERESES]],0)</f>
        <v>1160000</v>
      </c>
    </row>
    <row r="1317" spans="1:10" ht="24" hidden="1" customHeight="1" x14ac:dyDescent="0.3">
      <c r="A1317" s="131">
        <v>44949</v>
      </c>
      <c r="B1317" s="50" t="s">
        <v>588</v>
      </c>
      <c r="C1317" s="5">
        <v>1666666</v>
      </c>
      <c r="D1317" s="5">
        <v>265334</v>
      </c>
      <c r="E1317" s="5">
        <f>+IF(FINANCIACION[[#This Row],[$ CAPITAL]]&gt;=0,FINANCIACION[[#This Row],[$ CAPITAL]]+FINANCIACION[[#This Row],[$ INTERESES]],"")</f>
        <v>1932000</v>
      </c>
      <c r="F1317" s="5">
        <f>+SUMIFS(FINANCIACION[$ CAPITAL],FINANCIACION[Fecha],"&lt;="&amp;FINANCIACION[[#This Row],[Fecha]],FINANCIACION[PRESTAMO],FINANCIACION[[#This Row],[PRESTAMO]])</f>
        <v>-12787379.279999997</v>
      </c>
      <c r="G1317" s="53"/>
      <c r="H1317" s="53"/>
      <c r="I1317" s="5">
        <f>+IF(FINANCIACION[[#This Row],[$ CAPITAL]]&gt;0,FINANCIACION[[#This Row],[$ CAPITAL]])</f>
        <v>1666666</v>
      </c>
      <c r="J1317" s="33">
        <f>+IF(FINANCIACION[[#This Row],[$ CAPITAL]]&gt;=0,FINANCIACION[[#This Row],[$ CAPITAL]]+FINANCIACION[[#This Row],[$ INTERESES]],0)</f>
        <v>1932000</v>
      </c>
    </row>
    <row r="1318" spans="1:10" ht="24" hidden="1" customHeight="1" x14ac:dyDescent="0.3">
      <c r="A1318" s="131">
        <v>44949</v>
      </c>
      <c r="B1318" s="50" t="s">
        <v>833</v>
      </c>
      <c r="C1318" s="5">
        <v>453998</v>
      </c>
      <c r="D1318" s="5">
        <v>18157</v>
      </c>
      <c r="E1318" s="5">
        <f>+IF(FINANCIACION[[#This Row],[$ CAPITAL]]&gt;=0,FINANCIACION[[#This Row],[$ CAPITAL]]+FINANCIACION[[#This Row],[$ INTERESES]],"")</f>
        <v>472155</v>
      </c>
      <c r="F1318" s="5">
        <f>+SUMIFS(FINANCIACION[$ CAPITAL],FINANCIACION[Fecha],"&lt;="&amp;FINANCIACION[[#This Row],[Fecha]],FINANCIACION[PRESTAMO],FINANCIACION[[#This Row],[PRESTAMO]])</f>
        <v>-1366028</v>
      </c>
      <c r="G1318" s="53"/>
      <c r="H1318" s="53"/>
      <c r="I1318" s="5">
        <f>+IF(FINANCIACION[[#This Row],[$ CAPITAL]]&gt;0,FINANCIACION[[#This Row],[$ CAPITAL]])</f>
        <v>453998</v>
      </c>
      <c r="J1318" s="33">
        <f>+IF(FINANCIACION[[#This Row],[$ CAPITAL]]&gt;=0,FINANCIACION[[#This Row],[$ CAPITAL]]+FINANCIACION[[#This Row],[$ INTERESES]],0)</f>
        <v>472155</v>
      </c>
    </row>
    <row r="1319" spans="1:10" ht="24" hidden="1" customHeight="1" x14ac:dyDescent="0.3">
      <c r="A1319" s="131">
        <v>44949</v>
      </c>
      <c r="B1319" s="50" t="s">
        <v>548</v>
      </c>
      <c r="C1319" s="5">
        <v>1481481</v>
      </c>
      <c r="D1319" s="5">
        <v>985519</v>
      </c>
      <c r="E1319" s="5">
        <f>+IF(FINANCIACION[[#This Row],[$ CAPITAL]]&gt;=0,FINANCIACION[[#This Row],[$ CAPITAL]]+FINANCIACION[[#This Row],[$ INTERESES]],"")</f>
        <v>2467000</v>
      </c>
      <c r="F1319" s="5">
        <f>+SUMIFS(FINANCIACION[$ CAPITAL],FINANCIACION[Fecha],"&lt;="&amp;FINANCIACION[[#This Row],[Fecha]],FINANCIACION[PRESTAMO],FINANCIACION[[#This Row],[PRESTAMO]])</f>
        <v>-68083880.449999988</v>
      </c>
      <c r="G1319" s="53"/>
      <c r="H1319" s="53"/>
      <c r="I1319" s="5">
        <f>+IF(FINANCIACION[[#This Row],[$ CAPITAL]]&gt;0,FINANCIACION[[#This Row],[$ CAPITAL]])</f>
        <v>1481481</v>
      </c>
      <c r="J1319" s="33">
        <f>+IF(FINANCIACION[[#This Row],[$ CAPITAL]]&gt;=0,FINANCIACION[[#This Row],[$ CAPITAL]]+FINANCIACION[[#This Row],[$ INTERESES]],0)</f>
        <v>2467000</v>
      </c>
    </row>
    <row r="1320" spans="1:10" ht="24" hidden="1" customHeight="1" x14ac:dyDescent="0.3">
      <c r="A1320" s="131">
        <v>44949</v>
      </c>
      <c r="B1320" s="50" t="s">
        <v>538</v>
      </c>
      <c r="C1320" s="5">
        <v>2176176</v>
      </c>
      <c r="D1320" s="5">
        <v>193824</v>
      </c>
      <c r="E1320" s="5">
        <f>+IF(FINANCIACION[[#This Row],[$ CAPITAL]]&gt;=0,FINANCIACION[[#This Row],[$ CAPITAL]]+FINANCIACION[[#This Row],[$ INTERESES]],"")</f>
        <v>2370000</v>
      </c>
      <c r="F1320" s="5">
        <f>+SUMIFS(FINANCIACION[$ CAPITAL],FINANCIACION[Fecha],"&lt;="&amp;FINANCIACION[[#This Row],[Fecha]],FINANCIACION[PRESTAMO],FINANCIACION[[#This Row],[PRESTAMO]])</f>
        <v>-10825416.540000007</v>
      </c>
      <c r="G1320" s="53"/>
      <c r="H1320" s="53"/>
      <c r="I1320" s="5">
        <f>+IF(FINANCIACION[[#This Row],[$ CAPITAL]]&gt;0,FINANCIACION[[#This Row],[$ CAPITAL]])</f>
        <v>2176176</v>
      </c>
      <c r="J1320" s="33">
        <f>+IF(FINANCIACION[[#This Row],[$ CAPITAL]]&gt;=0,FINANCIACION[[#This Row],[$ CAPITAL]]+FINANCIACION[[#This Row],[$ INTERESES]],0)</f>
        <v>2370000</v>
      </c>
    </row>
    <row r="1321" spans="1:10" ht="24" hidden="1" customHeight="1" x14ac:dyDescent="0.3">
      <c r="A1321" s="131">
        <v>44949</v>
      </c>
      <c r="B1321" s="50" t="s">
        <v>539</v>
      </c>
      <c r="C1321" s="5">
        <v>3159000</v>
      </c>
      <c r="D1321" s="5">
        <v>294000</v>
      </c>
      <c r="E1321" s="5">
        <f>+IF(FINANCIACION[[#This Row],[$ CAPITAL]]&gt;=0,FINANCIACION[[#This Row],[$ CAPITAL]]+FINANCIACION[[#This Row],[$ INTERESES]],"")</f>
        <v>3453000</v>
      </c>
      <c r="F1321" s="5">
        <f>+SUMIFS(FINANCIACION[$ CAPITAL],FINANCIACION[Fecha],"&lt;="&amp;FINANCIACION[[#This Row],[Fecha]],FINANCIACION[PRESTAMO],FINANCIACION[[#This Row],[PRESTAMO]])</f>
        <v>-15589898.059999995</v>
      </c>
      <c r="G1321" s="53"/>
      <c r="H1321" s="53"/>
      <c r="I1321" s="5">
        <f>+IF(FINANCIACION[[#This Row],[$ CAPITAL]]&gt;0,FINANCIACION[[#This Row],[$ CAPITAL]])</f>
        <v>3159000</v>
      </c>
      <c r="J1321" s="33">
        <f>+IF(FINANCIACION[[#This Row],[$ CAPITAL]]&gt;=0,FINANCIACION[[#This Row],[$ CAPITAL]]+FINANCIACION[[#This Row],[$ INTERESES]],0)</f>
        <v>3453000</v>
      </c>
    </row>
    <row r="1322" spans="1:10" ht="24" hidden="1" customHeight="1" x14ac:dyDescent="0.3">
      <c r="A1322" s="131">
        <v>44951</v>
      </c>
      <c r="B1322" s="50" t="s">
        <v>536</v>
      </c>
      <c r="C1322" s="5">
        <v>20000000</v>
      </c>
      <c r="D1322" s="5"/>
      <c r="E1322" s="5">
        <f>+IF(FINANCIACION[[#This Row],[$ CAPITAL]]&gt;=0,FINANCIACION[[#This Row],[$ CAPITAL]]+FINANCIACION[[#This Row],[$ INTERESES]],"")</f>
        <v>20000000</v>
      </c>
      <c r="F1322" s="5">
        <f>+SUMIFS(FINANCIACION[$ CAPITAL],FINANCIACION[Fecha],"&lt;="&amp;FINANCIACION[[#This Row],[Fecha]],FINANCIACION[PRESTAMO],FINANCIACION[[#This Row],[PRESTAMO]])</f>
        <v>-22969171.199762128</v>
      </c>
      <c r="G1322" s="53"/>
      <c r="H1322" s="53"/>
      <c r="I1322" s="5">
        <f>+IF(FINANCIACION[[#This Row],[$ CAPITAL]]&gt;0,FINANCIACION[[#This Row],[$ CAPITAL]])</f>
        <v>20000000</v>
      </c>
      <c r="J1322" s="33">
        <f>+IF(FINANCIACION[[#This Row],[$ CAPITAL]]&gt;=0,FINANCIACION[[#This Row],[$ CAPITAL]]+FINANCIACION[[#This Row],[$ INTERESES]],0)</f>
        <v>20000000</v>
      </c>
    </row>
    <row r="1323" spans="1:10" ht="24" hidden="1" customHeight="1" x14ac:dyDescent="0.3">
      <c r="A1323" s="131">
        <v>44957</v>
      </c>
      <c r="B1323" s="50" t="s">
        <v>146</v>
      </c>
      <c r="C1323" s="5">
        <v>1468400</v>
      </c>
      <c r="D1323" s="5">
        <v>422631</v>
      </c>
      <c r="E1323" s="5">
        <f>+IF(FINANCIACION[[#This Row],[$ CAPITAL]]&gt;=0,FINANCIACION[[#This Row],[$ CAPITAL]]+FINANCIACION[[#This Row],[$ INTERESES]],"")</f>
        <v>1891031</v>
      </c>
      <c r="F1323" s="5">
        <f>+SUMIFS(FINANCIACION[$ CAPITAL],FINANCIACION[Fecha],"&lt;="&amp;FINANCIACION[[#This Row],[Fecha]],FINANCIACION[PRESTAMO],FINANCIACION[[#This Row],[PRESTAMO]])</f>
        <v>-20109720</v>
      </c>
      <c r="G1323" s="53"/>
      <c r="H1323" s="53"/>
      <c r="I1323" s="5">
        <f>+IF(FINANCIACION[[#This Row],[$ CAPITAL]]&gt;0,FINANCIACION[[#This Row],[$ CAPITAL]])</f>
        <v>1468400</v>
      </c>
      <c r="J1323" s="33">
        <f>+IF(FINANCIACION[[#This Row],[$ CAPITAL]]&gt;=0,FINANCIACION[[#This Row],[$ CAPITAL]]+FINANCIACION[[#This Row],[$ INTERESES]],0)</f>
        <v>1891031</v>
      </c>
    </row>
    <row r="1324" spans="1:10" ht="24" hidden="1" customHeight="1" x14ac:dyDescent="0.3">
      <c r="A1324" s="131">
        <v>44957</v>
      </c>
      <c r="B1324" s="50" t="s">
        <v>147</v>
      </c>
      <c r="C1324" s="5">
        <v>76791</v>
      </c>
      <c r="D1324" s="5"/>
      <c r="E1324" s="5">
        <f>+IF(FINANCIACION[[#This Row],[$ CAPITAL]]&gt;=0,FINANCIACION[[#This Row],[$ CAPITAL]]+FINANCIACION[[#This Row],[$ INTERESES]],"")</f>
        <v>76791</v>
      </c>
      <c r="F1324" s="5">
        <f>+SUMIFS(FINANCIACION[$ CAPITAL],FINANCIACION[Fecha],"&lt;="&amp;FINANCIACION[[#This Row],[Fecha]],FINANCIACION[PRESTAMO],FINANCIACION[[#This Row],[PRESTAMO]])</f>
        <v>-1075074</v>
      </c>
      <c r="G1324" s="53"/>
      <c r="H1324" s="53"/>
      <c r="I1324" s="5">
        <f>+IF(FINANCIACION[[#This Row],[$ CAPITAL]]&gt;0,FINANCIACION[[#This Row],[$ CAPITAL]])</f>
        <v>76791</v>
      </c>
      <c r="J1324" s="33">
        <f>+IF(FINANCIACION[[#This Row],[$ CAPITAL]]&gt;=0,FINANCIACION[[#This Row],[$ CAPITAL]]+FINANCIACION[[#This Row],[$ INTERESES]],0)</f>
        <v>76791</v>
      </c>
    </row>
    <row r="1325" spans="1:10" ht="24" hidden="1" customHeight="1" x14ac:dyDescent="0.3">
      <c r="A1325" s="131">
        <v>44957</v>
      </c>
      <c r="B1325" s="50" t="s">
        <v>812</v>
      </c>
      <c r="C1325" s="5">
        <v>1679217</v>
      </c>
      <c r="D1325" s="5"/>
      <c r="E1325" s="5">
        <f>+IF(FINANCIACION[[#This Row],[$ CAPITAL]]&gt;=0,FINANCIACION[[#This Row],[$ CAPITAL]]+FINANCIACION[[#This Row],[$ INTERESES]],"")</f>
        <v>1679217</v>
      </c>
      <c r="F1325" s="5">
        <f>+SUMIFS(FINANCIACION[$ CAPITAL],FINANCIACION[Fecha],"&lt;="&amp;FINANCIACION[[#This Row],[Fecha]],FINANCIACION[PRESTAMO],FINANCIACION[[#This Row],[PRESTAMO]])</f>
        <v>-34771277</v>
      </c>
      <c r="G1325" s="53" t="s">
        <v>1425</v>
      </c>
      <c r="H1325" s="53"/>
      <c r="I1325" s="5">
        <f>+IF(FINANCIACION[[#This Row],[$ CAPITAL]]&gt;0,FINANCIACION[[#This Row],[$ CAPITAL]])</f>
        <v>1679217</v>
      </c>
      <c r="J1325" s="33">
        <f>+IF(FINANCIACION[[#This Row],[$ CAPITAL]]&gt;=0,FINANCIACION[[#This Row],[$ CAPITAL]]+FINANCIACION[[#This Row],[$ INTERESES]],0)</f>
        <v>1679217</v>
      </c>
    </row>
    <row r="1326" spans="1:10" ht="24" hidden="1" customHeight="1" x14ac:dyDescent="0.3">
      <c r="A1326" s="131">
        <v>44957</v>
      </c>
      <c r="B1326" s="50" t="s">
        <v>1173</v>
      </c>
      <c r="C1326" s="5">
        <v>2380000</v>
      </c>
      <c r="D1326" s="5"/>
      <c r="E1326" s="5">
        <f>+IF(FINANCIACION[[#This Row],[$ CAPITAL]]&gt;=0,FINANCIACION[[#This Row],[$ CAPITAL]]+FINANCIACION[[#This Row],[$ INTERESES]],"")</f>
        <v>2380000</v>
      </c>
      <c r="F1326" s="5">
        <f>+SUMIFS(FINANCIACION[$ CAPITAL],FINANCIACION[Fecha],"&lt;="&amp;FINANCIACION[[#This Row],[Fecha]],FINANCIACION[PRESTAMO],FINANCIACION[[#This Row],[PRESTAMO]])</f>
        <v>-65520000</v>
      </c>
      <c r="G1326" s="53"/>
      <c r="H1326" s="53"/>
      <c r="I1326" s="5">
        <f>+IF(FINANCIACION[[#This Row],[$ CAPITAL]]&gt;0,FINANCIACION[[#This Row],[$ CAPITAL]])</f>
        <v>2380000</v>
      </c>
      <c r="J1326" s="33">
        <f>+IF(FINANCIACION[[#This Row],[$ CAPITAL]]&gt;=0,FINANCIACION[[#This Row],[$ CAPITAL]]+FINANCIACION[[#This Row],[$ INTERESES]],0)</f>
        <v>2380000</v>
      </c>
    </row>
    <row r="1327" spans="1:10" ht="24" hidden="1" customHeight="1" x14ac:dyDescent="0.3">
      <c r="A1327" s="131">
        <v>44957</v>
      </c>
      <c r="B1327" s="50" t="s">
        <v>1382</v>
      </c>
      <c r="C1327" s="5">
        <v>2905000</v>
      </c>
      <c r="D1327" s="5"/>
      <c r="E1327" s="5">
        <f>+IF(FINANCIACION[[#This Row],[$ CAPITAL]]&gt;=0,FINANCIACION[[#This Row],[$ CAPITAL]]+FINANCIACION[[#This Row],[$ INTERESES]],"")</f>
        <v>2905000</v>
      </c>
      <c r="F1327" s="5">
        <f>+SUMIFS(FINANCIACION[$ CAPITAL],FINANCIACION[Fecha],"&lt;="&amp;FINANCIACION[[#This Row],[Fecha]],FINANCIACION[PRESTAMO],FINANCIACION[[#This Row],[PRESTAMO]])</f>
        <v>-91260500</v>
      </c>
      <c r="G1327" s="53"/>
      <c r="H1327" s="53"/>
      <c r="I1327" s="5">
        <f>+IF(FINANCIACION[[#This Row],[$ CAPITAL]]&gt;0,FINANCIACION[[#This Row],[$ CAPITAL]])</f>
        <v>2905000</v>
      </c>
      <c r="J1327" s="33">
        <f>+IF(FINANCIACION[[#This Row],[$ CAPITAL]]&gt;=0,FINANCIACION[[#This Row],[$ CAPITAL]]+FINANCIACION[[#This Row],[$ INTERESES]],0)</f>
        <v>2905000</v>
      </c>
    </row>
    <row r="1328" spans="1:10" ht="24" hidden="1" customHeight="1" x14ac:dyDescent="0.3">
      <c r="A1328" s="131">
        <v>44957</v>
      </c>
      <c r="B1328" s="50" t="s">
        <v>1488</v>
      </c>
      <c r="C1328" s="5">
        <v>-442515</v>
      </c>
      <c r="D1328" s="5"/>
      <c r="E1328" s="5" t="str">
        <f>+IF(FINANCIACION[[#This Row],[$ CAPITAL]]&gt;=0,FINANCIACION[[#This Row],[$ CAPITAL]]+FINANCIACION[[#This Row],[$ INTERESES]],"")</f>
        <v/>
      </c>
      <c r="F1328" s="5">
        <f>+SUMIFS(FINANCIACION[$ CAPITAL],FINANCIACION[Fecha],"&lt;="&amp;FINANCIACION[[#This Row],[Fecha]],FINANCIACION[PRESTAMO],FINANCIACION[[#This Row],[PRESTAMO]])</f>
        <v>-3819000</v>
      </c>
      <c r="G1328" s="53"/>
      <c r="H1328" s="53"/>
      <c r="I1328" s="5" t="b">
        <f>+IF(FINANCIACION[[#This Row],[$ CAPITAL]]&gt;0,FINANCIACION[[#This Row],[$ CAPITAL]])</f>
        <v>0</v>
      </c>
      <c r="J1328" s="33">
        <f>+IF(FINANCIACION[[#This Row],[$ CAPITAL]]&gt;=0,FINANCIACION[[#This Row],[$ CAPITAL]]+FINANCIACION[[#This Row],[$ INTERESES]],0)</f>
        <v>0</v>
      </c>
    </row>
    <row r="1329" spans="1:37" ht="24" hidden="1" customHeight="1" x14ac:dyDescent="0.3">
      <c r="A1329" s="131">
        <v>44957</v>
      </c>
      <c r="B1329" s="50" t="s">
        <v>154</v>
      </c>
      <c r="C1329" s="5">
        <v>-6645600</v>
      </c>
      <c r="D1329" s="5"/>
      <c r="E1329" s="5" t="str">
        <f>+IF(FINANCIACION[[#This Row],[$ CAPITAL]]&gt;=0,FINANCIACION[[#This Row],[$ CAPITAL]]+FINANCIACION[[#This Row],[$ INTERESES]],"")</f>
        <v/>
      </c>
      <c r="F1329" s="5">
        <f>+SUMIFS(FINANCIACION[$ CAPITAL],FINANCIACION[Fecha],"&lt;="&amp;FINANCIACION[[#This Row],[Fecha]],FINANCIACION[PRESTAMO],FINANCIACION[[#This Row],[PRESTAMO]])</f>
        <v>-6645600</v>
      </c>
      <c r="G1329" s="53"/>
      <c r="H1329" s="53"/>
      <c r="I1329" s="5" t="b">
        <f>+IF(FINANCIACION[[#This Row],[$ CAPITAL]]&gt;0,FINANCIACION[[#This Row],[$ CAPITAL]])</f>
        <v>0</v>
      </c>
      <c r="J1329" s="33">
        <f>+IF(FINANCIACION[[#This Row],[$ CAPITAL]]&gt;=0,FINANCIACION[[#This Row],[$ CAPITAL]]+FINANCIACION[[#This Row],[$ INTERESES]],0)</f>
        <v>0</v>
      </c>
    </row>
    <row r="1330" spans="1:37" ht="24" hidden="1" customHeight="1" x14ac:dyDescent="0.3">
      <c r="A1330" s="131">
        <v>44957</v>
      </c>
      <c r="B1330" s="50" t="s">
        <v>155</v>
      </c>
      <c r="C1330" s="5">
        <v>-10016677</v>
      </c>
      <c r="D1330" s="5"/>
      <c r="E1330" s="5" t="str">
        <f>+IF(FINANCIACION[[#This Row],[$ CAPITAL]]&gt;=0,FINANCIACION[[#This Row],[$ CAPITAL]]+FINANCIACION[[#This Row],[$ INTERESES]],"")</f>
        <v/>
      </c>
      <c r="F1330" s="5">
        <f>+SUMIFS(FINANCIACION[$ CAPITAL],FINANCIACION[Fecha],"&lt;="&amp;FINANCIACION[[#This Row],[Fecha]],FINANCIACION[PRESTAMO],FINANCIACION[[#This Row],[PRESTAMO]])</f>
        <v>-21287363</v>
      </c>
      <c r="G1330" s="53"/>
      <c r="H1330" s="53"/>
      <c r="I1330" s="5" t="b">
        <f>+IF(FINANCIACION[[#This Row],[$ CAPITAL]]&gt;0,FINANCIACION[[#This Row],[$ CAPITAL]])</f>
        <v>0</v>
      </c>
      <c r="J1330" s="33">
        <f>+IF(FINANCIACION[[#This Row],[$ CAPITAL]]&gt;=0,FINANCIACION[[#This Row],[$ CAPITAL]]+FINANCIACION[[#This Row],[$ INTERESES]],0)</f>
        <v>0</v>
      </c>
    </row>
    <row r="1331" spans="1:37" ht="24" hidden="1" customHeight="1" x14ac:dyDescent="0.3">
      <c r="A1331" s="131">
        <v>44959</v>
      </c>
      <c r="B1331" s="50" t="s">
        <v>540</v>
      </c>
      <c r="C1331" s="5">
        <v>853000</v>
      </c>
      <c r="D1331" s="5">
        <v>91000</v>
      </c>
      <c r="E1331" s="5">
        <f>+IF(FINANCIACION[[#This Row],[$ CAPITAL]]&gt;=0,FINANCIACION[[#This Row],[$ CAPITAL]]+FINANCIACION[[#This Row],[$ INTERESES]],"")</f>
        <v>944000</v>
      </c>
      <c r="F1331" s="5">
        <f>+SUMIFS(FINANCIACION[$ CAPITAL],FINANCIACION[Fecha],"&lt;="&amp;FINANCIACION[[#This Row],[Fecha]],FINANCIACION[PRESTAMO],FINANCIACION[[#This Row],[PRESTAMO]])</f>
        <v>-5046324.6499999985</v>
      </c>
      <c r="G1331" s="53"/>
      <c r="H1331" s="53"/>
      <c r="I1331" s="5">
        <f>+IF(FINANCIACION[[#This Row],[$ CAPITAL]]&gt;0,FINANCIACION[[#This Row],[$ CAPITAL]])</f>
        <v>853000</v>
      </c>
      <c r="J1331" s="33">
        <f>+IF(FINANCIACION[[#This Row],[$ CAPITAL]]&gt;=0,FINANCIACION[[#This Row],[$ CAPITAL]]+FINANCIACION[[#This Row],[$ INTERESES]],0)</f>
        <v>944000</v>
      </c>
    </row>
    <row r="1332" spans="1:37" ht="24" hidden="1" customHeight="1" x14ac:dyDescent="0.3">
      <c r="A1332" s="131">
        <v>44959</v>
      </c>
      <c r="B1332" s="50" t="s">
        <v>542</v>
      </c>
      <c r="C1332" s="5">
        <v>894000</v>
      </c>
      <c r="D1332" s="5">
        <v>110000</v>
      </c>
      <c r="E1332" s="5">
        <f>+IF(FINANCIACION[[#This Row],[$ CAPITAL]]&gt;=0,FINANCIACION[[#This Row],[$ CAPITAL]]+FINANCIACION[[#This Row],[$ INTERESES]],"")</f>
        <v>1004000</v>
      </c>
      <c r="F1332" s="5">
        <f>+SUMIFS(FINANCIACION[$ CAPITAL],FINANCIACION[Fecha],"&lt;="&amp;FINANCIACION[[#This Row],[Fecha]],FINANCIACION[PRESTAMO],FINANCIACION[[#This Row],[PRESTAMO]])</f>
        <v>-6183511.0699999984</v>
      </c>
      <c r="G1332" s="53"/>
      <c r="H1332" s="53"/>
      <c r="I1332" s="5">
        <f>+IF(FINANCIACION[[#This Row],[$ CAPITAL]]&gt;0,FINANCIACION[[#This Row],[$ CAPITAL]])</f>
        <v>894000</v>
      </c>
      <c r="J1332" s="33">
        <f>+IF(FINANCIACION[[#This Row],[$ CAPITAL]]&gt;=0,FINANCIACION[[#This Row],[$ CAPITAL]]+FINANCIACION[[#This Row],[$ INTERESES]],0)</f>
        <v>1004000</v>
      </c>
    </row>
    <row r="1333" spans="1:37" ht="24" hidden="1" customHeight="1" x14ac:dyDescent="0.3">
      <c r="A1333" s="131">
        <v>44959</v>
      </c>
      <c r="B1333" s="50" t="s">
        <v>535</v>
      </c>
      <c r="C1333" s="5">
        <v>1306000</v>
      </c>
      <c r="D1333" s="5">
        <v>79000</v>
      </c>
      <c r="E1333" s="5">
        <f>+IF(FINANCIACION[[#This Row],[$ CAPITAL]]&gt;=0,FINANCIACION[[#This Row],[$ CAPITAL]]+FINANCIACION[[#This Row],[$ INTERESES]],"")</f>
        <v>1385000</v>
      </c>
      <c r="F1333" s="5">
        <f>+SUMIFS(FINANCIACION[$ CAPITAL],FINANCIACION[Fecha],"&lt;="&amp;FINANCIACION[[#This Row],[Fecha]],FINANCIACION[PRESTAMO],FINANCIACION[[#This Row],[PRESTAMO]])</f>
        <v>-3810991.8900000006</v>
      </c>
      <c r="G1333" s="53"/>
      <c r="H1333" s="53"/>
      <c r="I1333" s="5">
        <f>+IF(FINANCIACION[[#This Row],[$ CAPITAL]]&gt;0,FINANCIACION[[#This Row],[$ CAPITAL]])</f>
        <v>1306000</v>
      </c>
      <c r="J1333" s="33">
        <f>+IF(FINANCIACION[[#This Row],[$ CAPITAL]]&gt;=0,FINANCIACION[[#This Row],[$ CAPITAL]]+FINANCIACION[[#This Row],[$ INTERESES]],0)</f>
        <v>1385000</v>
      </c>
    </row>
    <row r="1334" spans="1:37" ht="24" hidden="1" customHeight="1" x14ac:dyDescent="0.3">
      <c r="A1334" s="131">
        <v>44963</v>
      </c>
      <c r="B1334" s="50" t="s">
        <v>552</v>
      </c>
      <c r="C1334" s="5">
        <v>1739446</v>
      </c>
      <c r="D1334" s="5">
        <v>29677</v>
      </c>
      <c r="E1334" s="5">
        <f>+IF(FINANCIACION[[#This Row],[$ CAPITAL]]&gt;=0,FINANCIACION[[#This Row],[$ CAPITAL]]+FINANCIACION[[#This Row],[$ INTERESES]],"")</f>
        <v>1769123</v>
      </c>
      <c r="F1334" s="5">
        <f>+SUMIFS(FINANCIACION[$ CAPITAL],FINANCIACION[Fecha],"&lt;="&amp;FINANCIACION[[#This Row],[Fecha]],FINANCIACION[PRESTAMO],FINANCIACION[[#This Row],[PRESTAMO]])</f>
        <v>-4128</v>
      </c>
      <c r="G1334" s="53"/>
      <c r="H1334" s="53"/>
      <c r="I1334" s="5">
        <f>+IF(FINANCIACION[[#This Row],[$ CAPITAL]]&gt;0,FINANCIACION[[#This Row],[$ CAPITAL]])</f>
        <v>1739446</v>
      </c>
      <c r="J1334" s="33">
        <f>+IF(FINANCIACION[[#This Row],[$ CAPITAL]]&gt;=0,FINANCIACION[[#This Row],[$ CAPITAL]]+FINANCIACION[[#This Row],[$ INTERESES]],0)</f>
        <v>1769123</v>
      </c>
    </row>
    <row r="1335" spans="1:37" ht="24" hidden="1" customHeight="1" x14ac:dyDescent="0.3">
      <c r="A1335" s="131">
        <v>44963</v>
      </c>
      <c r="B1335" s="50" t="s">
        <v>148</v>
      </c>
      <c r="C1335" s="5"/>
      <c r="D1335" s="5">
        <v>641575</v>
      </c>
      <c r="E1335" s="5">
        <f>+IF(FINANCIACION[[#This Row],[$ CAPITAL]]&gt;=0,FINANCIACION[[#This Row],[$ CAPITAL]]+FINANCIACION[[#This Row],[$ INTERESES]],"")</f>
        <v>641575</v>
      </c>
      <c r="F1335" s="5">
        <f>+SUMIFS(FINANCIACION[$ CAPITAL],FINANCIACION[Fecha],"&lt;="&amp;FINANCIACION[[#This Row],[Fecha]],FINANCIACION[PRESTAMO],FINANCIACION[[#This Row],[PRESTAMO]])</f>
        <v>0</v>
      </c>
      <c r="G1335" s="53"/>
      <c r="H1335" s="53"/>
      <c r="I1335" s="5" t="b">
        <f>+IF(FINANCIACION[[#This Row],[$ CAPITAL]]&gt;0,FINANCIACION[[#This Row],[$ CAPITAL]])</f>
        <v>0</v>
      </c>
      <c r="J1335" s="33">
        <f>+IF(FINANCIACION[[#This Row],[$ CAPITAL]]&gt;=0,FINANCIACION[[#This Row],[$ CAPITAL]]+FINANCIACION[[#This Row],[$ INTERESES]],0)</f>
        <v>641575</v>
      </c>
    </row>
    <row r="1336" spans="1:37" ht="24" hidden="1" customHeight="1" x14ac:dyDescent="0.3">
      <c r="A1336" s="131">
        <v>44965</v>
      </c>
      <c r="B1336" s="50" t="s">
        <v>148</v>
      </c>
      <c r="C1336" s="5"/>
      <c r="D1336" s="5">
        <v>318176</v>
      </c>
      <c r="E1336" s="5">
        <f>+IF(FINANCIACION[[#This Row],[$ CAPITAL]]&gt;=0,FINANCIACION[[#This Row],[$ CAPITAL]]+FINANCIACION[[#This Row],[$ INTERESES]],"")</f>
        <v>318176</v>
      </c>
      <c r="F1336" s="5">
        <f>+SUMIFS(FINANCIACION[$ CAPITAL],FINANCIACION[Fecha],"&lt;="&amp;FINANCIACION[[#This Row],[Fecha]],FINANCIACION[PRESTAMO],FINANCIACION[[#This Row],[PRESTAMO]])</f>
        <v>0</v>
      </c>
      <c r="G1336" s="53"/>
      <c r="H1336" s="53"/>
      <c r="I1336" s="5" t="b">
        <f>+IF(FINANCIACION[[#This Row],[$ CAPITAL]]&gt;0,FINANCIACION[[#This Row],[$ CAPITAL]])</f>
        <v>0</v>
      </c>
      <c r="J1336" s="33">
        <f>+IF(FINANCIACION[[#This Row],[$ CAPITAL]]&gt;=0,FINANCIACION[[#This Row],[$ CAPITAL]]+FINANCIACION[[#This Row],[$ INTERESES]],0)</f>
        <v>318176</v>
      </c>
    </row>
    <row r="1337" spans="1:37" ht="24" hidden="1" customHeight="1" x14ac:dyDescent="0.3">
      <c r="A1337" s="131">
        <v>44966</v>
      </c>
      <c r="B1337" s="50" t="s">
        <v>1487</v>
      </c>
      <c r="C1337" s="5">
        <v>-22673725</v>
      </c>
      <c r="D1337" s="5"/>
      <c r="E1337" s="5" t="str">
        <f>+IF(FINANCIACION[[#This Row],[$ CAPITAL]]&gt;=0,FINANCIACION[[#This Row],[$ CAPITAL]]+FINANCIACION[[#This Row],[$ INTERESES]],"")</f>
        <v/>
      </c>
      <c r="F1337" s="5">
        <f>+SUMIFS(FINANCIACION[$ CAPITAL],FINANCIACION[Fecha],"&lt;="&amp;FINANCIACION[[#This Row],[Fecha]],FINANCIACION[PRESTAMO],FINANCIACION[[#This Row],[PRESTAMO]])</f>
        <v>-22673725</v>
      </c>
      <c r="G1337" s="53"/>
      <c r="H1337" s="53"/>
      <c r="I1337" s="5" t="b">
        <f>+IF(FINANCIACION[[#This Row],[$ CAPITAL]]&gt;0,FINANCIACION[[#This Row],[$ CAPITAL]])</f>
        <v>0</v>
      </c>
      <c r="J1337" s="33">
        <f>+IF(FINANCIACION[[#This Row],[$ CAPITAL]]&gt;=0,FINANCIACION[[#This Row],[$ CAPITAL]]+FINANCIACION[[#This Row],[$ INTERESES]],0)</f>
        <v>0</v>
      </c>
    </row>
    <row r="1338" spans="1:37" ht="24" hidden="1" customHeight="1" x14ac:dyDescent="0.3">
      <c r="A1338" s="131">
        <v>44967</v>
      </c>
      <c r="B1338" s="50" t="s">
        <v>148</v>
      </c>
      <c r="C1338" s="5"/>
      <c r="D1338" s="5">
        <v>20700</v>
      </c>
      <c r="E1338" s="5">
        <f>+IF(FINANCIACION[[#This Row],[$ CAPITAL]]&gt;=0,FINANCIACION[[#This Row],[$ CAPITAL]]+FINANCIACION[[#This Row],[$ INTERESES]],"")</f>
        <v>20700</v>
      </c>
      <c r="F1338" s="5">
        <f>+SUMIFS(FINANCIACION[$ CAPITAL],FINANCIACION[Fecha],"&lt;="&amp;FINANCIACION[[#This Row],[Fecha]],FINANCIACION[PRESTAMO],FINANCIACION[[#This Row],[PRESTAMO]])</f>
        <v>0</v>
      </c>
      <c r="G1338" s="53"/>
      <c r="H1338" s="53"/>
      <c r="I1338" s="5" t="b">
        <f>+IF(FINANCIACION[[#This Row],[$ CAPITAL]]&gt;0,FINANCIACION[[#This Row],[$ CAPITAL]])</f>
        <v>0</v>
      </c>
      <c r="J1338" s="33">
        <f>+IF(FINANCIACION[[#This Row],[$ CAPITAL]]&gt;=0,FINANCIACION[[#This Row],[$ CAPITAL]]+FINANCIACION[[#This Row],[$ INTERESES]],0)</f>
        <v>20700</v>
      </c>
    </row>
    <row r="1339" spans="1:37" ht="24" hidden="1" customHeight="1" x14ac:dyDescent="0.3">
      <c r="A1339" s="131">
        <v>44967</v>
      </c>
      <c r="B1339" s="50" t="s">
        <v>812</v>
      </c>
      <c r="C1339" s="5">
        <v>36127806</v>
      </c>
      <c r="D1339" s="5"/>
      <c r="E1339" s="5">
        <f>+IF(FINANCIACION[[#This Row],[$ CAPITAL]]&gt;=0,FINANCIACION[[#This Row],[$ CAPITAL]]+FINANCIACION[[#This Row],[$ INTERESES]],"")</f>
        <v>36127806</v>
      </c>
      <c r="F1339" s="5">
        <f>+SUMIFS(FINANCIACION[$ CAPITAL],FINANCIACION[Fecha],"&lt;="&amp;FINANCIACION[[#This Row],[Fecha]],FINANCIACION[PRESTAMO],FINANCIACION[[#This Row],[PRESTAMO]])</f>
        <v>1356529</v>
      </c>
      <c r="G1339" s="53" t="s">
        <v>1481</v>
      </c>
      <c r="H1339" s="57"/>
      <c r="I1339" s="5">
        <f>+IF(FINANCIACION[[#This Row],[$ CAPITAL]]&gt;0,FINANCIACION[[#This Row],[$ CAPITAL]])</f>
        <v>36127806</v>
      </c>
      <c r="J1339" s="33">
        <f>+IF(FINANCIACION[[#This Row],[$ CAPITAL]]&gt;=0,FINANCIACION[[#This Row],[$ CAPITAL]]+FINANCIACION[[#This Row],[$ INTERESES]],0)</f>
        <v>36127806</v>
      </c>
    </row>
    <row r="1340" spans="1:37" ht="24" hidden="1" customHeight="1" x14ac:dyDescent="0.3">
      <c r="A1340" s="131">
        <v>44967</v>
      </c>
      <c r="B1340" s="50" t="s">
        <v>1173</v>
      </c>
      <c r="C1340" s="5">
        <v>24654449</v>
      </c>
      <c r="D1340" s="5"/>
      <c r="E1340" s="5">
        <f>+IF(FINANCIACION[[#This Row],[$ CAPITAL]]&gt;=0,FINANCIACION[[#This Row],[$ CAPITAL]]+FINANCIACION[[#This Row],[$ INTERESES]],"")</f>
        <v>24654449</v>
      </c>
      <c r="F1340" s="5">
        <f>+SUMIFS(FINANCIACION[$ CAPITAL],FINANCIACION[Fecha],"&lt;="&amp;FINANCIACION[[#This Row],[Fecha]],FINANCIACION[PRESTAMO],FINANCIACION[[#This Row],[PRESTAMO]])</f>
        <v>-40865551</v>
      </c>
      <c r="G1340" s="53" t="s">
        <v>1481</v>
      </c>
      <c r="H1340" s="57">
        <v>12342.92</v>
      </c>
      <c r="I1340" s="5">
        <f>+IF(FINANCIACION[[#This Row],[$ CAPITAL]]&gt;0,FINANCIACION[[#This Row],[$ CAPITAL]])</f>
        <v>24654449</v>
      </c>
      <c r="J1340" s="33">
        <f>+IF(FINANCIACION[[#This Row],[$ CAPITAL]]&gt;=0,FINANCIACION[[#This Row],[$ CAPITAL]]+FINANCIACION[[#This Row],[$ INTERESES]],0)</f>
        <v>24654449</v>
      </c>
    </row>
    <row r="1341" spans="1:37" ht="24" hidden="1" customHeight="1" x14ac:dyDescent="0.3">
      <c r="A1341" s="131">
        <v>44967</v>
      </c>
      <c r="B1341" s="50" t="s">
        <v>1485</v>
      </c>
      <c r="C1341" s="5">
        <v>-60233450</v>
      </c>
      <c r="D1341" s="5"/>
      <c r="E1341" s="5" t="str">
        <f>+IF(FINANCIACION[[#This Row],[$ CAPITAL]]&gt;=0,FINANCIACION[[#This Row],[$ CAPITAL]]+FINANCIACION[[#This Row],[$ INTERESES]],"")</f>
        <v/>
      </c>
      <c r="F1341" s="5">
        <f>+SUMIFS(FINANCIACION[$ CAPITAL],FINANCIACION[Fecha],"&lt;="&amp;FINANCIACION[[#This Row],[Fecha]],FINANCIACION[PRESTAMO],FINANCIACION[[#This Row],[PRESTAMO]])</f>
        <v>-60233450</v>
      </c>
      <c r="G1341" s="53" t="s">
        <v>1486</v>
      </c>
      <c r="H1341" s="53">
        <v>12342.92</v>
      </c>
      <c r="I1341" s="5" t="b">
        <f>+IF(FINANCIACION[[#This Row],[$ CAPITAL]]&gt;0,FINANCIACION[[#This Row],[$ CAPITAL]])</f>
        <v>0</v>
      </c>
      <c r="J1341" s="33">
        <f>+IF(FINANCIACION[[#This Row],[$ CAPITAL]]&gt;=0,FINANCIACION[[#This Row],[$ CAPITAL]]+FINANCIACION[[#This Row],[$ INTERESES]],0)</f>
        <v>0</v>
      </c>
    </row>
    <row r="1342" spans="1:37" ht="24" hidden="1" customHeight="1" x14ac:dyDescent="0.3">
      <c r="A1342" s="131">
        <v>44970</v>
      </c>
      <c r="B1342" s="50" t="s">
        <v>543</v>
      </c>
      <c r="C1342" s="5"/>
      <c r="D1342" s="5">
        <v>130000</v>
      </c>
      <c r="E1342" s="5">
        <f>+IF(FINANCIACION[[#This Row],[$ CAPITAL]]&gt;=0,FINANCIACION[[#This Row],[$ CAPITAL]]+FINANCIACION[[#This Row],[$ INTERESES]],"")</f>
        <v>130000</v>
      </c>
      <c r="F1342" s="5">
        <f>+SUMIFS(FINANCIACION[$ CAPITAL],FINANCIACION[Fecha],"&lt;="&amp;FINANCIACION[[#This Row],[Fecha]],FINANCIACION[PRESTAMO],FINANCIACION[[#This Row],[PRESTAMO]])</f>
        <v>-13000000</v>
      </c>
      <c r="G1342" s="53"/>
      <c r="H1342" s="53"/>
      <c r="I1342" s="5" t="b">
        <f>+IF(FINANCIACION[[#This Row],[$ CAPITAL]]&gt;0,FINANCIACION[[#This Row],[$ CAPITAL]])</f>
        <v>0</v>
      </c>
      <c r="J1342" s="33">
        <f>+IF(FINANCIACION[[#This Row],[$ CAPITAL]]&gt;=0,FINANCIACION[[#This Row],[$ CAPITAL]]+FINANCIACION[[#This Row],[$ INTERESES]],0)</f>
        <v>130000</v>
      </c>
    </row>
    <row r="1343" spans="1:37" ht="24" hidden="1" customHeight="1" x14ac:dyDescent="0.3">
      <c r="A1343" s="131">
        <v>44970</v>
      </c>
      <c r="B1343" s="50" t="s">
        <v>547</v>
      </c>
      <c r="C1343" s="5"/>
      <c r="D1343" s="5">
        <v>400000</v>
      </c>
      <c r="E1343" s="5">
        <f>+IF(FINANCIACION[[#This Row],[$ CAPITAL]]&gt;=0,FINANCIACION[[#This Row],[$ CAPITAL]]+FINANCIACION[[#This Row],[$ INTERESES]],"")</f>
        <v>400000</v>
      </c>
      <c r="F1343" s="5">
        <f>+SUMIFS(FINANCIACION[$ CAPITAL],FINANCIACION[Fecha],"&lt;="&amp;FINANCIACION[[#This Row],[Fecha]],FINANCIACION[PRESTAMO],FINANCIACION[[#This Row],[PRESTAMO]])</f>
        <v>-35000000</v>
      </c>
      <c r="G1343" s="53"/>
      <c r="H1343" s="53"/>
      <c r="I1343" s="5" t="b">
        <f>+IF(FINANCIACION[[#This Row],[$ CAPITAL]]&gt;0,FINANCIACION[[#This Row],[$ CAPITAL]])</f>
        <v>0</v>
      </c>
      <c r="J1343" s="33">
        <f>+IF(FINANCIACION[[#This Row],[$ CAPITAL]]&gt;=0,FINANCIACION[[#This Row],[$ CAPITAL]]+FINANCIACION[[#This Row],[$ INTERESES]],0)</f>
        <v>400000</v>
      </c>
    </row>
    <row r="1344" spans="1:37" ht="24" hidden="1" customHeight="1" x14ac:dyDescent="0.3">
      <c r="A1344" s="131">
        <v>44970</v>
      </c>
      <c r="B1344" s="50" t="s">
        <v>532</v>
      </c>
      <c r="C1344" s="5">
        <v>2258819</v>
      </c>
      <c r="D1344" s="5">
        <v>418559</v>
      </c>
      <c r="E1344" s="5">
        <f>+IF(FINANCIACION[[#This Row],[$ CAPITAL]]&gt;=0,FINANCIACION[[#This Row],[$ CAPITAL]]+FINANCIACION[[#This Row],[$ INTERESES]],"")</f>
        <v>2677378</v>
      </c>
      <c r="F1344" s="5">
        <f>+SUMIFS(FINANCIACION[$ CAPITAL],FINANCIACION[Fecha],"&lt;="&amp;FINANCIACION[[#This Row],[Fecha]],FINANCIACION[PRESTAMO],FINANCIACION[[#This Row],[PRESTAMO]])</f>
        <v>-39597094.484479994</v>
      </c>
      <c r="G1344" s="53"/>
      <c r="H1344" s="53"/>
      <c r="I1344" s="5">
        <f>+IF(FINANCIACION[[#This Row],[$ CAPITAL]]&gt;0,FINANCIACION[[#This Row],[$ CAPITAL]])</f>
        <v>2258819</v>
      </c>
      <c r="J1344" s="33">
        <f>+IF(FINANCIACION[[#This Row],[$ CAPITAL]]&gt;=0,FINANCIACION[[#This Row],[$ CAPITAL]]+FINANCIACION[[#This Row],[$ INTERESES]],0)</f>
        <v>2677378</v>
      </c>
      <c r="AJ1344" s="278"/>
      <c r="AK1344" s="278"/>
    </row>
    <row r="1345" spans="1:10" ht="24" hidden="1" customHeight="1" x14ac:dyDescent="0.3">
      <c r="A1345" s="131">
        <v>44970</v>
      </c>
      <c r="B1345" s="50" t="s">
        <v>536</v>
      </c>
      <c r="C1345" s="5">
        <v>1070308.2880023788</v>
      </c>
      <c r="D1345" s="5">
        <v>229691.71199762129</v>
      </c>
      <c r="E1345" s="5">
        <f>+IF(FINANCIACION[[#This Row],[$ CAPITAL]]&gt;=0,FINANCIACION[[#This Row],[$ CAPITAL]]+FINANCIACION[[#This Row],[$ INTERESES]],"")</f>
        <v>1300000</v>
      </c>
      <c r="F1345" s="5">
        <f>+SUMIFS(FINANCIACION[$ CAPITAL],FINANCIACION[Fecha],"&lt;="&amp;FINANCIACION[[#This Row],[Fecha]],FINANCIACION[PRESTAMO],FINANCIACION[[#This Row],[PRESTAMO]])</f>
        <v>-21898862.911759749</v>
      </c>
      <c r="G1345" s="53"/>
      <c r="H1345" s="53"/>
      <c r="I1345" s="5">
        <f>+IF(FINANCIACION[[#This Row],[$ CAPITAL]]&gt;0,FINANCIACION[[#This Row],[$ CAPITAL]])</f>
        <v>1070308.2880023788</v>
      </c>
      <c r="J1345" s="33">
        <f>+IF(FINANCIACION[[#This Row],[$ CAPITAL]]&gt;=0,FINANCIACION[[#This Row],[$ CAPITAL]]+FINANCIACION[[#This Row],[$ INTERESES]],0)</f>
        <v>1300000</v>
      </c>
    </row>
    <row r="1346" spans="1:10" ht="24" hidden="1" customHeight="1" x14ac:dyDescent="0.3">
      <c r="A1346" s="131">
        <v>44970</v>
      </c>
      <c r="B1346" s="50" t="s">
        <v>533</v>
      </c>
      <c r="C1346" s="5">
        <v>1443483</v>
      </c>
      <c r="D1346" s="5">
        <v>556517</v>
      </c>
      <c r="E1346" s="5">
        <f>+IF(FINANCIACION[[#This Row],[$ CAPITAL]]&gt;=0,FINANCIACION[[#This Row],[$ CAPITAL]]+FINANCIACION[[#This Row],[$ INTERESES]],"")</f>
        <v>2000000</v>
      </c>
      <c r="F1346" s="5">
        <f>+SUMIFS(FINANCIACION[$ CAPITAL],FINANCIACION[Fecha],"&lt;="&amp;FINANCIACION[[#This Row],[Fecha]],FINANCIACION[PRESTAMO],FINANCIACION[[#This Row],[PRESTAMO]])</f>
        <v>-54208169.132834516</v>
      </c>
      <c r="G1346" s="53"/>
      <c r="H1346" s="53"/>
      <c r="I1346" s="5">
        <f>+IF(FINANCIACION[[#This Row],[$ CAPITAL]]&gt;0,FINANCIACION[[#This Row],[$ CAPITAL]])</f>
        <v>1443483</v>
      </c>
      <c r="J1346" s="33">
        <f>+IF(FINANCIACION[[#This Row],[$ CAPITAL]]&gt;=0,FINANCIACION[[#This Row],[$ CAPITAL]]+FINANCIACION[[#This Row],[$ INTERESES]],0)</f>
        <v>2000000</v>
      </c>
    </row>
    <row r="1347" spans="1:10" ht="24" hidden="1" customHeight="1" x14ac:dyDescent="0.3">
      <c r="A1347" s="131">
        <v>44970</v>
      </c>
      <c r="B1347" s="50" t="s">
        <v>563</v>
      </c>
      <c r="C1347" s="5"/>
      <c r="D1347" s="5">
        <v>750000</v>
      </c>
      <c r="E1347" s="5">
        <f>+IF(FINANCIACION[[#This Row],[$ CAPITAL]]&gt;=0,FINANCIACION[[#This Row],[$ CAPITAL]]+FINANCIACION[[#This Row],[$ INTERESES]],"")</f>
        <v>750000</v>
      </c>
      <c r="F1347" s="5">
        <f>+SUMIFS(FINANCIACION[$ CAPITAL],FINANCIACION[Fecha],"&lt;="&amp;FINANCIACION[[#This Row],[Fecha]],FINANCIACION[PRESTAMO],FINANCIACION[[#This Row],[PRESTAMO]])</f>
        <v>-75000000</v>
      </c>
      <c r="G1347" s="53"/>
      <c r="H1347" s="53"/>
      <c r="I1347" s="5" t="b">
        <f>+IF(FINANCIACION[[#This Row],[$ CAPITAL]]&gt;0,FINANCIACION[[#This Row],[$ CAPITAL]])</f>
        <v>0</v>
      </c>
      <c r="J1347" s="33">
        <f>+IF(FINANCIACION[[#This Row],[$ CAPITAL]]&gt;=0,FINANCIACION[[#This Row],[$ CAPITAL]]+FINANCIACION[[#This Row],[$ INTERESES]],0)</f>
        <v>750000</v>
      </c>
    </row>
    <row r="1348" spans="1:10" ht="24" hidden="1" customHeight="1" x14ac:dyDescent="0.3">
      <c r="A1348" s="131">
        <v>44970</v>
      </c>
      <c r="B1348" s="50" t="s">
        <v>545</v>
      </c>
      <c r="C1348" s="5"/>
      <c r="D1348" s="5">
        <v>120000</v>
      </c>
      <c r="E1348" s="5">
        <f>+IF(FINANCIACION[[#This Row],[$ CAPITAL]]&gt;=0,FINANCIACION[[#This Row],[$ CAPITAL]]+FINANCIACION[[#This Row],[$ INTERESES]],"")</f>
        <v>120000</v>
      </c>
      <c r="F1348" s="5">
        <f>+SUMIFS(FINANCIACION[$ CAPITAL],FINANCIACION[Fecha],"&lt;="&amp;FINANCIACION[[#This Row],[Fecha]],FINANCIACION[PRESTAMO],FINANCIACION[[#This Row],[PRESTAMO]])</f>
        <v>-12000000</v>
      </c>
      <c r="G1348" s="53"/>
      <c r="H1348" s="53"/>
      <c r="I1348" s="5" t="b">
        <f>+IF(FINANCIACION[[#This Row],[$ CAPITAL]]&gt;0,FINANCIACION[[#This Row],[$ CAPITAL]])</f>
        <v>0</v>
      </c>
      <c r="J1348" s="33">
        <f>+IF(FINANCIACION[[#This Row],[$ CAPITAL]]&gt;=0,FINANCIACION[[#This Row],[$ CAPITAL]]+FINANCIACION[[#This Row],[$ INTERESES]],0)</f>
        <v>120000</v>
      </c>
    </row>
    <row r="1349" spans="1:10" ht="24" hidden="1" customHeight="1" x14ac:dyDescent="0.3">
      <c r="A1349" s="131">
        <v>44971</v>
      </c>
      <c r="B1349" s="50" t="s">
        <v>148</v>
      </c>
      <c r="C1349" s="5"/>
      <c r="D1349" s="5">
        <v>847788</v>
      </c>
      <c r="E1349" s="5">
        <f>+IF(FINANCIACION[[#This Row],[$ CAPITAL]]&gt;=0,FINANCIACION[[#This Row],[$ CAPITAL]]+FINANCIACION[[#This Row],[$ INTERESES]],"")</f>
        <v>847788</v>
      </c>
      <c r="F1349" s="5">
        <f>+SUMIFS(FINANCIACION[$ CAPITAL],FINANCIACION[Fecha],"&lt;="&amp;FINANCIACION[[#This Row],[Fecha]],FINANCIACION[PRESTAMO],FINANCIACION[[#This Row],[PRESTAMO]])</f>
        <v>0</v>
      </c>
      <c r="G1349" s="53"/>
      <c r="H1349" s="53"/>
      <c r="I1349" s="5" t="b">
        <f>+IF(FINANCIACION[[#This Row],[$ CAPITAL]]&gt;0,FINANCIACION[[#This Row],[$ CAPITAL]])</f>
        <v>0</v>
      </c>
      <c r="J1349" s="33">
        <f>+IF(FINANCIACION[[#This Row],[$ CAPITAL]]&gt;=0,FINANCIACION[[#This Row],[$ CAPITAL]]+FINANCIACION[[#This Row],[$ INTERESES]],0)</f>
        <v>847788</v>
      </c>
    </row>
    <row r="1350" spans="1:10" ht="24" hidden="1" customHeight="1" x14ac:dyDescent="0.3">
      <c r="A1350" s="131">
        <v>44972</v>
      </c>
      <c r="B1350" s="50" t="s">
        <v>150</v>
      </c>
      <c r="C1350" s="5">
        <v>417000</v>
      </c>
      <c r="D1350" s="5">
        <v>221773</v>
      </c>
      <c r="E1350" s="5">
        <f>+IF(FINANCIACION[[#This Row],[$ CAPITAL]]&gt;=0,FINANCIACION[[#This Row],[$ CAPITAL]]+FINANCIACION[[#This Row],[$ INTERESES]],"")</f>
        <v>638773</v>
      </c>
      <c r="F1350" s="5">
        <f>+SUMIFS(FINANCIACION[$ CAPITAL],FINANCIACION[Fecha],"&lt;="&amp;FINANCIACION[[#This Row],[Fecha]],FINANCIACION[PRESTAMO],FINANCIACION[[#This Row],[PRESTAMO]])</f>
        <v>-11664000</v>
      </c>
      <c r="G1350" s="53"/>
      <c r="H1350" s="53"/>
      <c r="I1350" s="5">
        <f>+IF(FINANCIACION[[#This Row],[$ CAPITAL]]&gt;0,FINANCIACION[[#This Row],[$ CAPITAL]])</f>
        <v>417000</v>
      </c>
      <c r="J1350" s="33">
        <f>+IF(FINANCIACION[[#This Row],[$ CAPITAL]]&gt;=0,FINANCIACION[[#This Row],[$ CAPITAL]]+FINANCIACION[[#This Row],[$ INTERESES]],0)</f>
        <v>638773</v>
      </c>
    </row>
    <row r="1351" spans="1:10" ht="24" hidden="1" customHeight="1" x14ac:dyDescent="0.3">
      <c r="A1351" s="131">
        <v>44978</v>
      </c>
      <c r="B1351" s="50" t="s">
        <v>534</v>
      </c>
      <c r="C1351" s="5">
        <v>1090811</v>
      </c>
      <c r="D1351" s="5">
        <v>6525724</v>
      </c>
      <c r="E1351" s="5">
        <f>+IF(FINANCIACION[[#This Row],[$ CAPITAL]]&gt;=0,FINANCIACION[[#This Row],[$ CAPITAL]]+FINANCIACION[[#This Row],[$ INTERESES]],"")</f>
        <v>7616535</v>
      </c>
      <c r="F1351" s="5">
        <f>+SUMIFS(FINANCIACION[$ CAPITAL],FINANCIACION[Fecha],"&lt;="&amp;FINANCIACION[[#This Row],[Fecha]],FINANCIACION[PRESTAMO],FINANCIACION[[#This Row],[PRESTAMO]])</f>
        <v>-355239179</v>
      </c>
      <c r="G1351" s="53"/>
      <c r="H1351" s="53"/>
      <c r="I1351" s="5">
        <f>+IF(FINANCIACION[[#This Row],[$ CAPITAL]]&gt;0,FINANCIACION[[#This Row],[$ CAPITAL]])</f>
        <v>1090811</v>
      </c>
      <c r="J1351" s="33">
        <f>+IF(FINANCIACION[[#This Row],[$ CAPITAL]]&gt;=0,FINANCIACION[[#This Row],[$ CAPITAL]]+FINANCIACION[[#This Row],[$ INTERESES]],0)</f>
        <v>7616535</v>
      </c>
    </row>
    <row r="1352" spans="1:10" ht="24" hidden="1" customHeight="1" x14ac:dyDescent="0.3">
      <c r="A1352" s="131">
        <v>44981</v>
      </c>
      <c r="B1352" s="50" t="s">
        <v>588</v>
      </c>
      <c r="C1352" s="5">
        <v>1666666</v>
      </c>
      <c r="D1352" s="5">
        <v>239334</v>
      </c>
      <c r="E1352" s="5">
        <f>+IF(FINANCIACION[[#This Row],[$ CAPITAL]]&gt;=0,FINANCIACION[[#This Row],[$ CAPITAL]]+FINANCIACION[[#This Row],[$ INTERESES]],"")</f>
        <v>1906000</v>
      </c>
      <c r="F1352" s="5">
        <f>+SUMIFS(FINANCIACION[$ CAPITAL],FINANCIACION[Fecha],"&lt;="&amp;FINANCIACION[[#This Row],[Fecha]],FINANCIACION[PRESTAMO],FINANCIACION[[#This Row],[PRESTAMO]])</f>
        <v>-11120713.279999997</v>
      </c>
      <c r="G1352" s="53"/>
      <c r="H1352" s="53"/>
      <c r="I1352" s="5">
        <f>+IF(FINANCIACION[[#This Row],[$ CAPITAL]]&gt;0,FINANCIACION[[#This Row],[$ CAPITAL]])</f>
        <v>1666666</v>
      </c>
      <c r="J1352" s="33">
        <f>+IF(FINANCIACION[[#This Row],[$ CAPITAL]]&gt;=0,FINANCIACION[[#This Row],[$ CAPITAL]]+FINANCIACION[[#This Row],[$ INTERESES]],0)</f>
        <v>1906000</v>
      </c>
    </row>
    <row r="1353" spans="1:10" ht="24" hidden="1" customHeight="1" x14ac:dyDescent="0.3">
      <c r="A1353" s="131">
        <v>44981</v>
      </c>
      <c r="B1353" s="50" t="s">
        <v>833</v>
      </c>
      <c r="C1353" s="5">
        <v>453998</v>
      </c>
      <c r="D1353" s="5">
        <v>13617</v>
      </c>
      <c r="E1353" s="5">
        <f>+IF(FINANCIACION[[#This Row],[$ CAPITAL]]&gt;=0,FINANCIACION[[#This Row],[$ CAPITAL]]+FINANCIACION[[#This Row],[$ INTERESES]],"")</f>
        <v>467615</v>
      </c>
      <c r="F1353" s="5">
        <f>+SUMIFS(FINANCIACION[$ CAPITAL],FINANCIACION[Fecha],"&lt;="&amp;FINANCIACION[[#This Row],[Fecha]],FINANCIACION[PRESTAMO],FINANCIACION[[#This Row],[PRESTAMO]])</f>
        <v>-912030</v>
      </c>
      <c r="G1353" s="53"/>
      <c r="H1353" s="53"/>
      <c r="I1353" s="5">
        <f>+IF(FINANCIACION[[#This Row],[$ CAPITAL]]&gt;0,FINANCIACION[[#This Row],[$ CAPITAL]])</f>
        <v>453998</v>
      </c>
      <c r="J1353" s="33">
        <f>+IF(FINANCIACION[[#This Row],[$ CAPITAL]]&gt;=0,FINANCIACION[[#This Row],[$ CAPITAL]]+FINANCIACION[[#This Row],[$ INTERESES]],0)</f>
        <v>467615</v>
      </c>
    </row>
    <row r="1354" spans="1:10" ht="24" hidden="1" customHeight="1" x14ac:dyDescent="0.3">
      <c r="A1354" s="131">
        <v>44984</v>
      </c>
      <c r="B1354" s="50" t="s">
        <v>546</v>
      </c>
      <c r="C1354" s="5">
        <v>1077529</v>
      </c>
      <c r="D1354" s="5">
        <v>66471</v>
      </c>
      <c r="E1354" s="5">
        <f>+IF(FINANCIACION[[#This Row],[$ CAPITAL]]&gt;=0,FINANCIACION[[#This Row],[$ CAPITAL]]+FINANCIACION[[#This Row],[$ INTERESES]],"")</f>
        <v>1144000</v>
      </c>
      <c r="F1354" s="5">
        <f>+SUMIFS(FINANCIACION[$ CAPITAL],FINANCIACION[Fecha],"&lt;="&amp;FINANCIACION[[#This Row],[Fecha]],FINANCIACION[PRESTAMO],FINANCIACION[[#This Row],[PRESTAMO]])</f>
        <v>-3182299.7899999991</v>
      </c>
      <c r="G1354" s="53"/>
      <c r="H1354" s="53"/>
      <c r="I1354" s="5">
        <f>+IF(FINANCIACION[[#This Row],[$ CAPITAL]]&gt;0,FINANCIACION[[#This Row],[$ CAPITAL]])</f>
        <v>1077529</v>
      </c>
      <c r="J1354" s="33">
        <f>+IF(FINANCIACION[[#This Row],[$ CAPITAL]]&gt;=0,FINANCIACION[[#This Row],[$ CAPITAL]]+FINANCIACION[[#This Row],[$ INTERESES]],0)</f>
        <v>1144000</v>
      </c>
    </row>
    <row r="1355" spans="1:10" ht="24" hidden="1" customHeight="1" x14ac:dyDescent="0.3">
      <c r="A1355" s="131">
        <v>44984</v>
      </c>
      <c r="B1355" s="50" t="s">
        <v>548</v>
      </c>
      <c r="C1355" s="5">
        <v>1481481</v>
      </c>
      <c r="D1355" s="5">
        <v>1008519</v>
      </c>
      <c r="E1355" s="5">
        <f>+IF(FINANCIACION[[#This Row],[$ CAPITAL]]&gt;=0,FINANCIACION[[#This Row],[$ CAPITAL]]+FINANCIACION[[#This Row],[$ INTERESES]],"")</f>
        <v>2490000</v>
      </c>
      <c r="F1355" s="5">
        <f>+SUMIFS(FINANCIACION[$ CAPITAL],FINANCIACION[Fecha],"&lt;="&amp;FINANCIACION[[#This Row],[Fecha]],FINANCIACION[PRESTAMO],FINANCIACION[[#This Row],[PRESTAMO]])</f>
        <v>-66602399.449999988</v>
      </c>
      <c r="G1355" s="53"/>
      <c r="H1355" s="53"/>
      <c r="I1355" s="5">
        <f>+IF(FINANCIACION[[#This Row],[$ CAPITAL]]&gt;0,FINANCIACION[[#This Row],[$ CAPITAL]])</f>
        <v>1481481</v>
      </c>
      <c r="J1355" s="33">
        <f>+IF(FINANCIACION[[#This Row],[$ CAPITAL]]&gt;=0,FINANCIACION[[#This Row],[$ CAPITAL]]+FINANCIACION[[#This Row],[$ INTERESES]],0)</f>
        <v>2490000</v>
      </c>
    </row>
    <row r="1356" spans="1:10" ht="24" hidden="1" customHeight="1" x14ac:dyDescent="0.3">
      <c r="A1356" s="131">
        <v>44984</v>
      </c>
      <c r="B1356" s="50" t="s">
        <v>538</v>
      </c>
      <c r="C1356" s="5">
        <v>2176176</v>
      </c>
      <c r="D1356" s="5">
        <v>168824</v>
      </c>
      <c r="E1356" s="5">
        <f>+IF(FINANCIACION[[#This Row],[$ CAPITAL]]&gt;=0,FINANCIACION[[#This Row],[$ CAPITAL]]+FINANCIACION[[#This Row],[$ INTERESES]],"")</f>
        <v>2345000</v>
      </c>
      <c r="F1356" s="5">
        <f>+SUMIFS(FINANCIACION[$ CAPITAL],FINANCIACION[Fecha],"&lt;="&amp;FINANCIACION[[#This Row],[Fecha]],FINANCIACION[PRESTAMO],FINANCIACION[[#This Row],[PRESTAMO]])</f>
        <v>-8649240.5400000066</v>
      </c>
      <c r="G1356" s="53"/>
      <c r="H1356" s="53"/>
      <c r="I1356" s="5">
        <f>+IF(FINANCIACION[[#This Row],[$ CAPITAL]]&gt;0,FINANCIACION[[#This Row],[$ CAPITAL]])</f>
        <v>2176176</v>
      </c>
      <c r="J1356" s="33">
        <f>+IF(FINANCIACION[[#This Row],[$ CAPITAL]]&gt;=0,FINANCIACION[[#This Row],[$ CAPITAL]]+FINANCIACION[[#This Row],[$ INTERESES]],0)</f>
        <v>2345000</v>
      </c>
    </row>
    <row r="1357" spans="1:10" ht="24" hidden="1" customHeight="1" x14ac:dyDescent="0.3">
      <c r="A1357" s="131">
        <v>44984</v>
      </c>
      <c r="B1357" s="50" t="s">
        <v>539</v>
      </c>
      <c r="C1357" s="5">
        <v>3159000</v>
      </c>
      <c r="D1357" s="5">
        <v>255000</v>
      </c>
      <c r="E1357" s="5">
        <f>+IF(FINANCIACION[[#This Row],[$ CAPITAL]]&gt;=0,FINANCIACION[[#This Row],[$ CAPITAL]]+FINANCIACION[[#This Row],[$ INTERESES]],"")</f>
        <v>3414000</v>
      </c>
      <c r="F1357" s="5">
        <f>+SUMIFS(FINANCIACION[$ CAPITAL],FINANCIACION[Fecha],"&lt;="&amp;FINANCIACION[[#This Row],[Fecha]],FINANCIACION[PRESTAMO],FINANCIACION[[#This Row],[PRESTAMO]])</f>
        <v>-12430898.059999995</v>
      </c>
      <c r="G1357" s="53"/>
      <c r="H1357" s="53"/>
      <c r="I1357" s="5">
        <f>+IF(FINANCIACION[[#This Row],[$ CAPITAL]]&gt;0,FINANCIACION[[#This Row],[$ CAPITAL]])</f>
        <v>3159000</v>
      </c>
      <c r="J1357" s="33">
        <f>+IF(FINANCIACION[[#This Row],[$ CAPITAL]]&gt;=0,FINANCIACION[[#This Row],[$ CAPITAL]]+FINANCIACION[[#This Row],[$ INTERESES]],0)</f>
        <v>3414000</v>
      </c>
    </row>
    <row r="1358" spans="1:10" ht="24" hidden="1" customHeight="1" x14ac:dyDescent="0.3">
      <c r="A1358" s="131">
        <v>44985</v>
      </c>
      <c r="B1358" s="50" t="s">
        <v>146</v>
      </c>
      <c r="C1358" s="5">
        <v>1468400</v>
      </c>
      <c r="D1358" s="5">
        <v>364033</v>
      </c>
      <c r="E1358" s="5">
        <f>+IF(FINANCIACION[[#This Row],[$ CAPITAL]]&gt;=0,FINANCIACION[[#This Row],[$ CAPITAL]]+FINANCIACION[[#This Row],[$ INTERESES]],"")</f>
        <v>1832433</v>
      </c>
      <c r="F1358" s="5">
        <f>+SUMIFS(FINANCIACION[$ CAPITAL],FINANCIACION[Fecha],"&lt;="&amp;FINANCIACION[[#This Row],[Fecha]],FINANCIACION[PRESTAMO],FINANCIACION[[#This Row],[PRESTAMO]])</f>
        <v>-18641320</v>
      </c>
      <c r="G1358" s="53"/>
      <c r="H1358" s="53"/>
      <c r="I1358" s="5">
        <f>+IF(FINANCIACION[[#This Row],[$ CAPITAL]]&gt;0,FINANCIACION[[#This Row],[$ CAPITAL]])</f>
        <v>1468400</v>
      </c>
      <c r="J1358" s="33">
        <f>+IF(FINANCIACION[[#This Row],[$ CAPITAL]]&gt;=0,FINANCIACION[[#This Row],[$ CAPITAL]]+FINANCIACION[[#This Row],[$ INTERESES]],0)</f>
        <v>1832433</v>
      </c>
    </row>
    <row r="1359" spans="1:10" ht="24" hidden="1" customHeight="1" x14ac:dyDescent="0.3">
      <c r="A1359" s="131">
        <v>44985</v>
      </c>
      <c r="B1359" s="50" t="s">
        <v>147</v>
      </c>
      <c r="C1359" s="5">
        <v>76791</v>
      </c>
      <c r="D1359" s="5"/>
      <c r="E1359" s="5">
        <f>+IF(FINANCIACION[[#This Row],[$ CAPITAL]]&gt;=0,FINANCIACION[[#This Row],[$ CAPITAL]]+FINANCIACION[[#This Row],[$ INTERESES]],"")</f>
        <v>76791</v>
      </c>
      <c r="F1359" s="5">
        <f>+SUMIFS(FINANCIACION[$ CAPITAL],FINANCIACION[Fecha],"&lt;="&amp;FINANCIACION[[#This Row],[Fecha]],FINANCIACION[PRESTAMO],FINANCIACION[[#This Row],[PRESTAMO]])</f>
        <v>-998283</v>
      </c>
      <c r="G1359" s="53"/>
      <c r="H1359" s="53"/>
      <c r="I1359" s="5">
        <f>+IF(FINANCIACION[[#This Row],[$ CAPITAL]]&gt;0,FINANCIACION[[#This Row],[$ CAPITAL]])</f>
        <v>76791</v>
      </c>
      <c r="J1359" s="33">
        <f>+IF(FINANCIACION[[#This Row],[$ CAPITAL]]&gt;=0,FINANCIACION[[#This Row],[$ CAPITAL]]+FINANCIACION[[#This Row],[$ INTERESES]],0)</f>
        <v>76791</v>
      </c>
    </row>
    <row r="1360" spans="1:10" ht="24" hidden="1" customHeight="1" x14ac:dyDescent="0.3">
      <c r="A1360" s="131">
        <v>44985</v>
      </c>
      <c r="B1360" s="50" t="s">
        <v>552</v>
      </c>
      <c r="C1360" s="5">
        <v>4128</v>
      </c>
      <c r="D1360" s="5"/>
      <c r="E1360" s="5">
        <f>+IF(FINANCIACION[[#This Row],[$ CAPITAL]]&gt;=0,FINANCIACION[[#This Row],[$ CAPITAL]]+FINANCIACION[[#This Row],[$ INTERESES]],"")</f>
        <v>4128</v>
      </c>
      <c r="F1360" s="5">
        <f>+SUMIFS(FINANCIACION[$ CAPITAL],FINANCIACION[Fecha],"&lt;="&amp;FINANCIACION[[#This Row],[Fecha]],FINANCIACION[PRESTAMO],FINANCIACION[[#This Row],[PRESTAMO]])</f>
        <v>0</v>
      </c>
      <c r="G1360" s="53" t="s">
        <v>1484</v>
      </c>
      <c r="H1360" s="53"/>
      <c r="I1360" s="5">
        <f>+IF(FINANCIACION[[#This Row],[$ CAPITAL]]&gt;0,FINANCIACION[[#This Row],[$ CAPITAL]])</f>
        <v>4128</v>
      </c>
      <c r="J1360" s="33">
        <f>+IF(FINANCIACION[[#This Row],[$ CAPITAL]]&gt;=0,FINANCIACION[[#This Row],[$ CAPITAL]]+FINANCIACION[[#This Row],[$ INTERESES]],0)</f>
        <v>4128</v>
      </c>
    </row>
    <row r="1361" spans="1:10" ht="24" hidden="1" customHeight="1" x14ac:dyDescent="0.3">
      <c r="A1361" s="131">
        <v>44985</v>
      </c>
      <c r="B1361" s="50" t="s">
        <v>812</v>
      </c>
      <c r="C1361" s="5">
        <v>-1356529</v>
      </c>
      <c r="D1361" s="5"/>
      <c r="E1361" s="5" t="str">
        <f>+IF(FINANCIACION[[#This Row],[$ CAPITAL]]&gt;=0,FINANCIACION[[#This Row],[$ CAPITAL]]+FINANCIACION[[#This Row],[$ INTERESES]],"")</f>
        <v/>
      </c>
      <c r="F1361" s="5">
        <f>+SUMIFS(FINANCIACION[$ CAPITAL],FINANCIACION[Fecha],"&lt;="&amp;FINANCIACION[[#This Row],[Fecha]],FINANCIACION[PRESTAMO],FINANCIACION[[#This Row],[PRESTAMO]])</f>
        <v>0</v>
      </c>
      <c r="G1361" s="53" t="s">
        <v>1484</v>
      </c>
      <c r="H1361" s="57"/>
      <c r="I1361" s="5" t="b">
        <f>+IF(FINANCIACION[[#This Row],[$ CAPITAL]]&gt;0,FINANCIACION[[#This Row],[$ CAPITAL]])</f>
        <v>0</v>
      </c>
      <c r="J1361" s="33">
        <f>+IF(FINANCIACION[[#This Row],[$ CAPITAL]]&gt;=0,FINANCIACION[[#This Row],[$ CAPITAL]]+FINANCIACION[[#This Row],[$ INTERESES]],0)</f>
        <v>0</v>
      </c>
    </row>
    <row r="1362" spans="1:10" ht="24" hidden="1" customHeight="1" x14ac:dyDescent="0.3">
      <c r="A1362" s="131">
        <v>44985</v>
      </c>
      <c r="B1362" s="50" t="s">
        <v>1173</v>
      </c>
      <c r="C1362" s="5">
        <v>-2711678</v>
      </c>
      <c r="D1362" s="5"/>
      <c r="E1362" s="5" t="str">
        <f>+IF(FINANCIACION[[#This Row],[$ CAPITAL]]&gt;=0,FINANCIACION[[#This Row],[$ CAPITAL]]+FINANCIACION[[#This Row],[$ INTERESES]],"")</f>
        <v/>
      </c>
      <c r="F1362" s="5">
        <f>+SUMIFS(FINANCIACION[$ CAPITAL],FINANCIACION[Fecha],"&lt;="&amp;FINANCIACION[[#This Row],[Fecha]],FINANCIACION[PRESTAMO],FINANCIACION[[#This Row],[PRESTAMO]])</f>
        <v>-43577229</v>
      </c>
      <c r="G1362" s="53" t="s">
        <v>1483</v>
      </c>
      <c r="H1362" s="53"/>
      <c r="I1362" s="5" t="b">
        <f>+IF(FINANCIACION[[#This Row],[$ CAPITAL]]&gt;0,FINANCIACION[[#This Row],[$ CAPITAL]])</f>
        <v>0</v>
      </c>
      <c r="J1362" s="33">
        <f>+IF(FINANCIACION[[#This Row],[$ CAPITAL]]&gt;=0,FINANCIACION[[#This Row],[$ CAPITAL]]+FINANCIACION[[#This Row],[$ INTERESES]],0)</f>
        <v>0</v>
      </c>
    </row>
    <row r="1363" spans="1:10" ht="24" hidden="1" customHeight="1" x14ac:dyDescent="0.3">
      <c r="A1363" s="131">
        <v>44985</v>
      </c>
      <c r="B1363" s="50" t="s">
        <v>1382</v>
      </c>
      <c r="C1363" s="5">
        <v>-3899500</v>
      </c>
      <c r="D1363" s="5"/>
      <c r="E1363" s="5" t="str">
        <f>+IF(FINANCIACION[[#This Row],[$ CAPITAL]]&gt;=0,FINANCIACION[[#This Row],[$ CAPITAL]]+FINANCIACION[[#This Row],[$ INTERESES]],"")</f>
        <v/>
      </c>
      <c r="F1363" s="5">
        <f>+SUMIFS(FINANCIACION[$ CAPITAL],FINANCIACION[Fecha],"&lt;="&amp;FINANCIACION[[#This Row],[Fecha]],FINANCIACION[PRESTAMO],FINANCIACION[[#This Row],[PRESTAMO]])</f>
        <v>-95160000</v>
      </c>
      <c r="G1363" s="53"/>
      <c r="H1363" s="53"/>
      <c r="I1363" s="5" t="b">
        <f>+IF(FINANCIACION[[#This Row],[$ CAPITAL]]&gt;0,FINANCIACION[[#This Row],[$ CAPITAL]])</f>
        <v>0</v>
      </c>
      <c r="J1363" s="33">
        <f>+IF(FINANCIACION[[#This Row],[$ CAPITAL]]&gt;=0,FINANCIACION[[#This Row],[$ CAPITAL]]+FINANCIACION[[#This Row],[$ INTERESES]],0)</f>
        <v>0</v>
      </c>
    </row>
    <row r="1364" spans="1:10" ht="24" hidden="1" customHeight="1" x14ac:dyDescent="0.3">
      <c r="A1364" s="131">
        <v>44985</v>
      </c>
      <c r="B1364" s="50" t="s">
        <v>1488</v>
      </c>
      <c r="C1364" s="5">
        <v>982925</v>
      </c>
      <c r="D1364" s="5"/>
      <c r="E1364" s="5">
        <f>+IF(FINANCIACION[[#This Row],[$ CAPITAL]]&gt;=0,FINANCIACION[[#This Row],[$ CAPITAL]]+FINANCIACION[[#This Row],[$ INTERESES]],"")</f>
        <v>982925</v>
      </c>
      <c r="F1364" s="5">
        <f>+SUMIFS(FINANCIACION[$ CAPITAL],FINANCIACION[Fecha],"&lt;="&amp;FINANCIACION[[#This Row],[Fecha]],FINANCIACION[PRESTAMO],FINANCIACION[[#This Row],[PRESTAMO]])</f>
        <v>-2836075</v>
      </c>
      <c r="G1364" s="53"/>
      <c r="H1364" s="53"/>
      <c r="I1364" s="5">
        <f>+IF(FINANCIACION[[#This Row],[$ CAPITAL]]&gt;0,FINANCIACION[[#This Row],[$ CAPITAL]])</f>
        <v>982925</v>
      </c>
      <c r="J1364" s="33">
        <f>+IF(FINANCIACION[[#This Row],[$ CAPITAL]]&gt;=0,FINANCIACION[[#This Row],[$ CAPITAL]]+FINANCIACION[[#This Row],[$ INTERESES]],0)</f>
        <v>982925</v>
      </c>
    </row>
    <row r="1365" spans="1:10" ht="24" hidden="1" customHeight="1" x14ac:dyDescent="0.3">
      <c r="A1365" s="131">
        <v>44985</v>
      </c>
      <c r="B1365" s="50" t="s">
        <v>154</v>
      </c>
      <c r="C1365" s="5">
        <v>-9419360</v>
      </c>
      <c r="D1365" s="5"/>
      <c r="E1365" s="5" t="str">
        <f>+IF(FINANCIACION[[#This Row],[$ CAPITAL]]&gt;=0,FINANCIACION[[#This Row],[$ CAPITAL]]+FINANCIACION[[#This Row],[$ INTERESES]],"")</f>
        <v/>
      </c>
      <c r="F1365" s="5">
        <f>+SUMIFS(FINANCIACION[$ CAPITAL],FINANCIACION[Fecha],"&lt;="&amp;FINANCIACION[[#This Row],[Fecha]],FINANCIACION[PRESTAMO],FINANCIACION[[#This Row],[PRESTAMO]])</f>
        <v>-16064960</v>
      </c>
      <c r="G1365" s="53"/>
      <c r="H1365" s="53"/>
      <c r="I1365" s="5" t="b">
        <f>+IF(FINANCIACION[[#This Row],[$ CAPITAL]]&gt;0,FINANCIACION[[#This Row],[$ CAPITAL]])</f>
        <v>0</v>
      </c>
      <c r="J1365" s="33">
        <f>+IF(FINANCIACION[[#This Row],[$ CAPITAL]]&gt;=0,FINANCIACION[[#This Row],[$ CAPITAL]]+FINANCIACION[[#This Row],[$ INTERESES]],0)</f>
        <v>0</v>
      </c>
    </row>
    <row r="1366" spans="1:10" ht="24" hidden="1" customHeight="1" x14ac:dyDescent="0.3">
      <c r="A1366" s="131">
        <v>44985</v>
      </c>
      <c r="B1366" s="50" t="s">
        <v>155</v>
      </c>
      <c r="C1366" s="5">
        <v>7555577</v>
      </c>
      <c r="D1366" s="5"/>
      <c r="E1366" s="5">
        <f>+IF(FINANCIACION[[#This Row],[$ CAPITAL]]&gt;=0,FINANCIACION[[#This Row],[$ CAPITAL]]+FINANCIACION[[#This Row],[$ INTERESES]],"")</f>
        <v>7555577</v>
      </c>
      <c r="F1366" s="5">
        <f>+SUMIFS(FINANCIACION[$ CAPITAL],FINANCIACION[Fecha],"&lt;="&amp;FINANCIACION[[#This Row],[Fecha]],FINANCIACION[PRESTAMO],FINANCIACION[[#This Row],[PRESTAMO]])</f>
        <v>-13731786</v>
      </c>
      <c r="G1366" s="53"/>
      <c r="H1366" s="53"/>
      <c r="I1366" s="5">
        <f>+IF(FINANCIACION[[#This Row],[$ CAPITAL]]&gt;0,FINANCIACION[[#This Row],[$ CAPITAL]])</f>
        <v>7555577</v>
      </c>
      <c r="J1366" s="33">
        <f>+IF(FINANCIACION[[#This Row],[$ CAPITAL]]&gt;=0,FINANCIACION[[#This Row],[$ CAPITAL]]+FINANCIACION[[#This Row],[$ INTERESES]],0)</f>
        <v>7555577</v>
      </c>
    </row>
    <row r="1367" spans="1:10" ht="24" hidden="1" customHeight="1" x14ac:dyDescent="0.3">
      <c r="A1367" s="131">
        <v>44987</v>
      </c>
      <c r="B1367" s="50" t="s">
        <v>542</v>
      </c>
      <c r="C1367" s="5">
        <v>894000</v>
      </c>
      <c r="D1367" s="5">
        <v>98807</v>
      </c>
      <c r="E1367" s="5">
        <f>+IF(FINANCIACION[[#This Row],[$ CAPITAL]]&gt;=0,FINANCIACION[[#This Row],[$ CAPITAL]]+FINANCIACION[[#This Row],[$ INTERESES]],"")</f>
        <v>992807</v>
      </c>
      <c r="F1367" s="5">
        <f>+SUMIFS(FINANCIACION[$ CAPITAL],FINANCIACION[Fecha],"&lt;="&amp;FINANCIACION[[#This Row],[Fecha]],FINANCIACION[PRESTAMO],FINANCIACION[[#This Row],[PRESTAMO]])</f>
        <v>-5289511.0699999984</v>
      </c>
      <c r="G1367" s="53"/>
      <c r="H1367" s="53"/>
      <c r="I1367" s="5">
        <f>+IF(FINANCIACION[[#This Row],[$ CAPITAL]]&gt;0,FINANCIACION[[#This Row],[$ CAPITAL]])</f>
        <v>894000</v>
      </c>
      <c r="J1367" s="33">
        <f>+IF(FINANCIACION[[#This Row],[$ CAPITAL]]&gt;=0,FINANCIACION[[#This Row],[$ CAPITAL]]+FINANCIACION[[#This Row],[$ INTERESES]],0)</f>
        <v>992807</v>
      </c>
    </row>
    <row r="1368" spans="1:10" ht="24" hidden="1" customHeight="1" x14ac:dyDescent="0.3">
      <c r="A1368" s="131">
        <v>44988</v>
      </c>
      <c r="B1368" s="50" t="s">
        <v>1489</v>
      </c>
      <c r="C1368" s="5">
        <v>-140000000</v>
      </c>
      <c r="D1368" s="5"/>
      <c r="E1368" s="5" t="str">
        <f>+IF(FINANCIACION[[#This Row],[$ CAPITAL]]&gt;=0,FINANCIACION[[#This Row],[$ CAPITAL]]+FINANCIACION[[#This Row],[$ INTERESES]],"")</f>
        <v/>
      </c>
      <c r="F1368" s="5">
        <f>+SUMIFS(FINANCIACION[$ CAPITAL],FINANCIACION[Fecha],"&lt;="&amp;FINANCIACION[[#This Row],[Fecha]],FINANCIACION[PRESTAMO],FINANCIACION[[#This Row],[PRESTAMO]])</f>
        <v>-140000000</v>
      </c>
      <c r="G1368" s="53"/>
      <c r="H1368" s="53"/>
      <c r="I1368" s="5" t="b">
        <f>+IF(FINANCIACION[[#This Row],[$ CAPITAL]]&gt;0,FINANCIACION[[#This Row],[$ CAPITAL]])</f>
        <v>0</v>
      </c>
      <c r="J1368" s="33">
        <f>+IF(FINANCIACION[[#This Row],[$ CAPITAL]]&gt;=0,FINANCIACION[[#This Row],[$ CAPITAL]]+FINANCIACION[[#This Row],[$ INTERESES]],0)</f>
        <v>0</v>
      </c>
    </row>
    <row r="1369" spans="1:10" ht="24" hidden="1" customHeight="1" x14ac:dyDescent="0.3">
      <c r="A1369" s="131">
        <v>44991</v>
      </c>
      <c r="B1369" s="50" t="s">
        <v>148</v>
      </c>
      <c r="C1369" s="5"/>
      <c r="D1369" s="5">
        <v>315490</v>
      </c>
      <c r="E1369" s="5">
        <f>+IF(FINANCIACION[[#This Row],[$ CAPITAL]]&gt;=0,FINANCIACION[[#This Row],[$ CAPITAL]]+FINANCIACION[[#This Row],[$ INTERESES]],"")</f>
        <v>315490</v>
      </c>
      <c r="F1369" s="5">
        <f>+SUMIFS(FINANCIACION[$ CAPITAL],FINANCIACION[Fecha],"&lt;="&amp;FINANCIACION[[#This Row],[Fecha]],FINANCIACION[PRESTAMO],FINANCIACION[[#This Row],[PRESTAMO]])</f>
        <v>0</v>
      </c>
      <c r="G1369" s="53"/>
      <c r="H1369" s="53"/>
      <c r="I1369" s="5" t="b">
        <f>+IF(FINANCIACION[[#This Row],[$ CAPITAL]]&gt;0,FINANCIACION[[#This Row],[$ CAPITAL]])</f>
        <v>0</v>
      </c>
      <c r="J1369" s="33">
        <f>+IF(FINANCIACION[[#This Row],[$ CAPITAL]]&gt;=0,FINANCIACION[[#This Row],[$ CAPITAL]]+FINANCIACION[[#This Row],[$ INTERESES]],0)</f>
        <v>315490</v>
      </c>
    </row>
    <row r="1370" spans="1:10" ht="24" hidden="1" customHeight="1" x14ac:dyDescent="0.3">
      <c r="A1370" s="131">
        <v>44991</v>
      </c>
      <c r="B1370" s="50" t="s">
        <v>540</v>
      </c>
      <c r="C1370" s="5">
        <v>853000</v>
      </c>
      <c r="D1370" s="5">
        <v>80000</v>
      </c>
      <c r="E1370" s="5">
        <f>+IF(FINANCIACION[[#This Row],[$ CAPITAL]]&gt;=0,FINANCIACION[[#This Row],[$ CAPITAL]]+FINANCIACION[[#This Row],[$ INTERESES]],"")</f>
        <v>933000</v>
      </c>
      <c r="F1370" s="5">
        <f>+SUMIFS(FINANCIACION[$ CAPITAL],FINANCIACION[Fecha],"&lt;="&amp;FINANCIACION[[#This Row],[Fecha]],FINANCIACION[PRESTAMO],FINANCIACION[[#This Row],[PRESTAMO]])</f>
        <v>-4193324.6499999985</v>
      </c>
      <c r="G1370" s="53"/>
      <c r="H1370" s="53"/>
      <c r="I1370" s="5">
        <f>+IF(FINANCIACION[[#This Row],[$ CAPITAL]]&gt;0,FINANCIACION[[#This Row],[$ CAPITAL]])</f>
        <v>853000</v>
      </c>
      <c r="J1370" s="33">
        <f>+IF(FINANCIACION[[#This Row],[$ CAPITAL]]&gt;=0,FINANCIACION[[#This Row],[$ CAPITAL]]+FINANCIACION[[#This Row],[$ INTERESES]],0)</f>
        <v>933000</v>
      </c>
    </row>
    <row r="1371" spans="1:10" ht="24" hidden="1" customHeight="1" x14ac:dyDescent="0.3">
      <c r="A1371" s="131">
        <v>44991</v>
      </c>
      <c r="B1371" s="50" t="s">
        <v>535</v>
      </c>
      <c r="C1371" s="5">
        <v>1306000</v>
      </c>
      <c r="D1371" s="5">
        <v>60000</v>
      </c>
      <c r="E1371" s="5">
        <f>+IF(FINANCIACION[[#This Row],[$ CAPITAL]]&gt;=0,FINANCIACION[[#This Row],[$ CAPITAL]]+FINANCIACION[[#This Row],[$ INTERESES]],"")</f>
        <v>1366000</v>
      </c>
      <c r="F1371" s="5">
        <f>+SUMIFS(FINANCIACION[$ CAPITAL],FINANCIACION[Fecha],"&lt;="&amp;FINANCIACION[[#This Row],[Fecha]],FINANCIACION[PRESTAMO],FINANCIACION[[#This Row],[PRESTAMO]])</f>
        <v>-2504991.8900000006</v>
      </c>
      <c r="G1371" s="53"/>
      <c r="H1371" s="53"/>
      <c r="I1371" s="5">
        <f>+IF(FINANCIACION[[#This Row],[$ CAPITAL]]&gt;0,FINANCIACION[[#This Row],[$ CAPITAL]])</f>
        <v>1306000</v>
      </c>
      <c r="J1371" s="33">
        <f>+IF(FINANCIACION[[#This Row],[$ CAPITAL]]&gt;=0,FINANCIACION[[#This Row],[$ CAPITAL]]+FINANCIACION[[#This Row],[$ INTERESES]],0)</f>
        <v>1366000</v>
      </c>
    </row>
    <row r="1372" spans="1:10" ht="24" hidden="1" customHeight="1" x14ac:dyDescent="0.3">
      <c r="A1372" s="131">
        <v>44994</v>
      </c>
      <c r="B1372" s="50" t="s">
        <v>1487</v>
      </c>
      <c r="C1372" s="5">
        <v>1889478</v>
      </c>
      <c r="D1372" s="5">
        <v>377197</v>
      </c>
      <c r="E1372" s="5">
        <f>+IF(FINANCIACION[[#This Row],[$ CAPITAL]]&gt;=0,FINANCIACION[[#This Row],[$ CAPITAL]]+FINANCIACION[[#This Row],[$ INTERESES]],"")</f>
        <v>2266675</v>
      </c>
      <c r="F1372" s="5">
        <f>+SUMIFS(FINANCIACION[$ CAPITAL],FINANCIACION[Fecha],"&lt;="&amp;FINANCIACION[[#This Row],[Fecha]],FINANCIACION[PRESTAMO],FINANCIACION[[#This Row],[PRESTAMO]])</f>
        <v>-20784247</v>
      </c>
      <c r="G1372" s="53"/>
      <c r="H1372" s="53"/>
      <c r="I1372" s="5">
        <f>+IF(FINANCIACION[[#This Row],[$ CAPITAL]]&gt;0,FINANCIACION[[#This Row],[$ CAPITAL]])</f>
        <v>1889478</v>
      </c>
      <c r="J1372" s="33">
        <f>+IF(FINANCIACION[[#This Row],[$ CAPITAL]]&gt;=0,FINANCIACION[[#This Row],[$ CAPITAL]]+FINANCIACION[[#This Row],[$ INTERESES]],0)</f>
        <v>2266675</v>
      </c>
    </row>
    <row r="1373" spans="1:10" ht="24" hidden="1" customHeight="1" x14ac:dyDescent="0.3">
      <c r="A1373" s="131">
        <v>44998</v>
      </c>
      <c r="B1373" s="50" t="s">
        <v>547</v>
      </c>
      <c r="C1373" s="5"/>
      <c r="D1373" s="5">
        <v>350000</v>
      </c>
      <c r="E1373" s="5">
        <f>+IF(FINANCIACION[[#This Row],[$ CAPITAL]]&gt;=0,FINANCIACION[[#This Row],[$ CAPITAL]]+FINANCIACION[[#This Row],[$ INTERESES]],"")</f>
        <v>350000</v>
      </c>
      <c r="F1373" s="5">
        <f>+SUMIFS(FINANCIACION[$ CAPITAL],FINANCIACION[Fecha],"&lt;="&amp;FINANCIACION[[#This Row],[Fecha]],FINANCIACION[PRESTAMO],FINANCIACION[[#This Row],[PRESTAMO]])</f>
        <v>-35000000</v>
      </c>
      <c r="G1373" s="53"/>
      <c r="H1373" s="53"/>
      <c r="I1373" s="5" t="b">
        <f>+IF(FINANCIACION[[#This Row],[$ CAPITAL]]&gt;0,FINANCIACION[[#This Row],[$ CAPITAL]])</f>
        <v>0</v>
      </c>
      <c r="J1373" s="33">
        <f>+IF(FINANCIACION[[#This Row],[$ CAPITAL]]&gt;=0,FINANCIACION[[#This Row],[$ CAPITAL]]+FINANCIACION[[#This Row],[$ INTERESES]],0)</f>
        <v>350000</v>
      </c>
    </row>
    <row r="1374" spans="1:10" ht="24" hidden="1" customHeight="1" x14ac:dyDescent="0.3">
      <c r="A1374" s="131">
        <v>44999</v>
      </c>
      <c r="B1374" s="50" t="s">
        <v>543</v>
      </c>
      <c r="C1374" s="5"/>
      <c r="D1374" s="5">
        <v>130000</v>
      </c>
      <c r="E1374" s="5">
        <f>+IF(FINANCIACION[[#This Row],[$ CAPITAL]]&gt;=0,FINANCIACION[[#This Row],[$ CAPITAL]]+FINANCIACION[[#This Row],[$ INTERESES]],"")</f>
        <v>130000</v>
      </c>
      <c r="F1374" s="5">
        <f>+SUMIFS(FINANCIACION[$ CAPITAL],FINANCIACION[Fecha],"&lt;="&amp;FINANCIACION[[#This Row],[Fecha]],FINANCIACION[PRESTAMO],FINANCIACION[[#This Row],[PRESTAMO]])</f>
        <v>-13000000</v>
      </c>
      <c r="G1374" s="53"/>
      <c r="H1374" s="53"/>
      <c r="I1374" s="5" t="b">
        <f>+IF(FINANCIACION[[#This Row],[$ CAPITAL]]&gt;0,FINANCIACION[[#This Row],[$ CAPITAL]])</f>
        <v>0</v>
      </c>
      <c r="J1374" s="33">
        <f>+IF(FINANCIACION[[#This Row],[$ CAPITAL]]&gt;=0,FINANCIACION[[#This Row],[$ CAPITAL]]+FINANCIACION[[#This Row],[$ INTERESES]],0)</f>
        <v>130000</v>
      </c>
    </row>
    <row r="1375" spans="1:10" ht="24" hidden="1" customHeight="1" x14ac:dyDescent="0.3">
      <c r="A1375" s="131">
        <v>44999</v>
      </c>
      <c r="B1375" s="50" t="s">
        <v>545</v>
      </c>
      <c r="C1375" s="5"/>
      <c r="D1375" s="5">
        <v>120000</v>
      </c>
      <c r="E1375" s="5">
        <f>+IF(FINANCIACION[[#This Row],[$ CAPITAL]]&gt;=0,FINANCIACION[[#This Row],[$ CAPITAL]]+FINANCIACION[[#This Row],[$ INTERESES]],"")</f>
        <v>120000</v>
      </c>
      <c r="F1375" s="5">
        <f>+SUMIFS(FINANCIACION[$ CAPITAL],FINANCIACION[Fecha],"&lt;="&amp;FINANCIACION[[#This Row],[Fecha]],FINANCIACION[PRESTAMO],FINANCIACION[[#This Row],[PRESTAMO]])</f>
        <v>-12000000</v>
      </c>
      <c r="G1375" s="53"/>
      <c r="H1375" s="53"/>
      <c r="I1375" s="5" t="b">
        <f>+IF(FINANCIACION[[#This Row],[$ CAPITAL]]&gt;0,FINANCIACION[[#This Row],[$ CAPITAL]])</f>
        <v>0</v>
      </c>
      <c r="J1375" s="33">
        <f>+IF(FINANCIACION[[#This Row],[$ CAPITAL]]&gt;=0,FINANCIACION[[#This Row],[$ CAPITAL]]+FINANCIACION[[#This Row],[$ INTERESES]],0)</f>
        <v>120000</v>
      </c>
    </row>
    <row r="1376" spans="1:10" ht="24" hidden="1" customHeight="1" x14ac:dyDescent="0.3">
      <c r="A1376" s="131">
        <v>44999</v>
      </c>
      <c r="B1376" s="50" t="s">
        <v>148</v>
      </c>
      <c r="C1376" s="5"/>
      <c r="D1376" s="5">
        <v>764020</v>
      </c>
      <c r="E1376" s="5">
        <f>+IF(FINANCIACION[[#This Row],[$ CAPITAL]]&gt;=0,FINANCIACION[[#This Row],[$ CAPITAL]]+FINANCIACION[[#This Row],[$ INTERESES]],"")</f>
        <v>764020</v>
      </c>
      <c r="F1376" s="5">
        <f>+SUMIFS(FINANCIACION[$ CAPITAL],FINANCIACION[Fecha],"&lt;="&amp;FINANCIACION[[#This Row],[Fecha]],FINANCIACION[PRESTAMO],FINANCIACION[[#This Row],[PRESTAMO]])</f>
        <v>0</v>
      </c>
      <c r="G1376" s="53"/>
      <c r="H1376" s="53"/>
      <c r="I1376" s="5" t="b">
        <f>+IF(FINANCIACION[[#This Row],[$ CAPITAL]]&gt;0,FINANCIACION[[#This Row],[$ CAPITAL]])</f>
        <v>0</v>
      </c>
      <c r="J1376" s="33">
        <f>+IF(FINANCIACION[[#This Row],[$ CAPITAL]]&gt;=0,FINANCIACION[[#This Row],[$ CAPITAL]]+FINANCIACION[[#This Row],[$ INTERESES]],0)</f>
        <v>764020</v>
      </c>
    </row>
    <row r="1377" spans="1:10" ht="24" hidden="1" customHeight="1" x14ac:dyDescent="0.3">
      <c r="A1377" s="131">
        <v>45000</v>
      </c>
      <c r="B1377" s="50" t="s">
        <v>536</v>
      </c>
      <c r="C1377" s="5">
        <v>1081011</v>
      </c>
      <c r="D1377" s="5">
        <v>218989</v>
      </c>
      <c r="E1377" s="5">
        <f>+IF(FINANCIACION[[#This Row],[$ CAPITAL]]&gt;=0,FINANCIACION[[#This Row],[$ CAPITAL]]+FINANCIACION[[#This Row],[$ INTERESES]],"")</f>
        <v>1300000</v>
      </c>
      <c r="F1377" s="5">
        <f>+SUMIFS(FINANCIACION[$ CAPITAL],FINANCIACION[Fecha],"&lt;="&amp;FINANCIACION[[#This Row],[Fecha]],FINANCIACION[PRESTAMO],FINANCIACION[[#This Row],[PRESTAMO]])</f>
        <v>-21148999.911759749</v>
      </c>
      <c r="G1377" s="53"/>
      <c r="H1377" s="53"/>
      <c r="I1377" s="5">
        <f>+IF(FINANCIACION[[#This Row],[$ CAPITAL]]&gt;0,FINANCIACION[[#This Row],[$ CAPITAL]])</f>
        <v>1081011</v>
      </c>
      <c r="J1377" s="33">
        <f>+IF(FINANCIACION[[#This Row],[$ CAPITAL]]&gt;=0,FINANCIACION[[#This Row],[$ CAPITAL]]+FINANCIACION[[#This Row],[$ INTERESES]],0)</f>
        <v>1300000</v>
      </c>
    </row>
    <row r="1378" spans="1:10" ht="24" hidden="1" customHeight="1" x14ac:dyDescent="0.3">
      <c r="A1378" s="131">
        <v>45000</v>
      </c>
      <c r="B1378" s="50" t="s">
        <v>536</v>
      </c>
      <c r="C1378" s="5">
        <v>-331148</v>
      </c>
      <c r="D1378" s="5"/>
      <c r="E1378" s="5" t="str">
        <f>+IF(FINANCIACION[[#This Row],[$ CAPITAL]]&gt;=0,FINANCIACION[[#This Row],[$ CAPITAL]]+FINANCIACION[[#This Row],[$ INTERESES]],"")</f>
        <v/>
      </c>
      <c r="F1378" s="5">
        <f>+SUMIFS(FINANCIACION[$ CAPITAL],FINANCIACION[Fecha],"&lt;="&amp;FINANCIACION[[#This Row],[Fecha]],FINANCIACION[PRESTAMO],FINANCIACION[[#This Row],[PRESTAMO]])</f>
        <v>-21148999.911759749</v>
      </c>
      <c r="G1378" s="53" t="s">
        <v>1563</v>
      </c>
      <c r="H1378" s="53"/>
      <c r="I1378" s="5" t="b">
        <f>+IF(FINANCIACION[[#This Row],[$ CAPITAL]]&gt;0,FINANCIACION[[#This Row],[$ CAPITAL]])</f>
        <v>0</v>
      </c>
      <c r="J1378" s="33">
        <f>+IF(FINANCIACION[[#This Row],[$ CAPITAL]]&gt;=0,FINANCIACION[[#This Row],[$ CAPITAL]]+FINANCIACION[[#This Row],[$ INTERESES]],0)</f>
        <v>0</v>
      </c>
    </row>
    <row r="1379" spans="1:10" ht="24" hidden="1" customHeight="1" x14ac:dyDescent="0.3">
      <c r="A1379" s="131">
        <v>45000</v>
      </c>
      <c r="B1379" s="50" t="s">
        <v>148</v>
      </c>
      <c r="C1379" s="5"/>
      <c r="D1379" s="5">
        <v>528019</v>
      </c>
      <c r="E1379" s="5">
        <f>+IF(FINANCIACION[[#This Row],[$ CAPITAL]]&gt;=0,FINANCIACION[[#This Row],[$ CAPITAL]]+FINANCIACION[[#This Row],[$ INTERESES]],"")</f>
        <v>528019</v>
      </c>
      <c r="F1379" s="5">
        <f>+SUMIFS(FINANCIACION[$ CAPITAL],FINANCIACION[Fecha],"&lt;="&amp;FINANCIACION[[#This Row],[Fecha]],FINANCIACION[PRESTAMO],FINANCIACION[[#This Row],[PRESTAMO]])</f>
        <v>0</v>
      </c>
      <c r="G1379" s="53"/>
      <c r="H1379" s="53"/>
      <c r="I1379" s="5" t="b">
        <f>+IF(FINANCIACION[[#This Row],[$ CAPITAL]]&gt;0,FINANCIACION[[#This Row],[$ CAPITAL]])</f>
        <v>0</v>
      </c>
      <c r="J1379" s="33">
        <f>+IF(FINANCIACION[[#This Row],[$ CAPITAL]]&gt;=0,FINANCIACION[[#This Row],[$ CAPITAL]]+FINANCIACION[[#This Row],[$ INTERESES]],0)</f>
        <v>528019</v>
      </c>
    </row>
    <row r="1380" spans="1:10" ht="24" hidden="1" customHeight="1" x14ac:dyDescent="0.3">
      <c r="A1380" s="131">
        <v>45000</v>
      </c>
      <c r="B1380" s="50" t="s">
        <v>150</v>
      </c>
      <c r="C1380" s="5">
        <v>417000</v>
      </c>
      <c r="D1380" s="5">
        <v>221772</v>
      </c>
      <c r="E1380" s="5">
        <f>+IF(FINANCIACION[[#This Row],[$ CAPITAL]]&gt;=0,FINANCIACION[[#This Row],[$ CAPITAL]]+FINANCIACION[[#This Row],[$ INTERESES]],"")</f>
        <v>638772</v>
      </c>
      <c r="F1380" s="5">
        <f>+SUMIFS(FINANCIACION[$ CAPITAL],FINANCIACION[Fecha],"&lt;="&amp;FINANCIACION[[#This Row],[Fecha]],FINANCIACION[PRESTAMO],FINANCIACION[[#This Row],[PRESTAMO]])</f>
        <v>-11247000</v>
      </c>
      <c r="G1380" s="53"/>
      <c r="H1380" s="53"/>
      <c r="I1380" s="5">
        <f>+IF(FINANCIACION[[#This Row],[$ CAPITAL]]&gt;0,FINANCIACION[[#This Row],[$ CAPITAL]])</f>
        <v>417000</v>
      </c>
      <c r="J1380" s="33">
        <f>+IF(FINANCIACION[[#This Row],[$ CAPITAL]]&gt;=0,FINANCIACION[[#This Row],[$ CAPITAL]]+FINANCIACION[[#This Row],[$ INTERESES]],0)</f>
        <v>638772</v>
      </c>
    </row>
    <row r="1381" spans="1:10" ht="24" hidden="1" customHeight="1" x14ac:dyDescent="0.3">
      <c r="A1381" s="131">
        <v>45006</v>
      </c>
      <c r="B1381" s="50" t="s">
        <v>588</v>
      </c>
      <c r="C1381" s="5">
        <v>1667000</v>
      </c>
      <c r="D1381" s="5">
        <v>531000</v>
      </c>
      <c r="E1381" s="5">
        <f>+IF(FINANCIACION[[#This Row],[$ CAPITAL]]&gt;=0,FINANCIACION[[#This Row],[$ CAPITAL]]+FINANCIACION[[#This Row],[$ INTERESES]],"")</f>
        <v>2198000</v>
      </c>
      <c r="F1381" s="5">
        <f>+SUMIFS(FINANCIACION[$ CAPITAL],FINANCIACION[Fecha],"&lt;="&amp;FINANCIACION[[#This Row],[Fecha]],FINANCIACION[PRESTAMO],FINANCIACION[[#This Row],[PRESTAMO]])</f>
        <v>-9453713.2799999975</v>
      </c>
      <c r="G1381" s="53"/>
      <c r="H1381" s="53"/>
      <c r="I1381" s="5">
        <f>+IF(FINANCIACION[[#This Row],[$ CAPITAL]]&gt;0,FINANCIACION[[#This Row],[$ CAPITAL]])</f>
        <v>1667000</v>
      </c>
      <c r="J1381" s="33">
        <f>+IF(FINANCIACION[[#This Row],[$ CAPITAL]]&gt;=0,FINANCIACION[[#This Row],[$ CAPITAL]]+FINANCIACION[[#This Row],[$ INTERESES]],0)</f>
        <v>2198000</v>
      </c>
    </row>
    <row r="1382" spans="1:10" ht="24" hidden="1" customHeight="1" x14ac:dyDescent="0.3">
      <c r="A1382" s="131">
        <v>45006</v>
      </c>
      <c r="B1382" s="50" t="s">
        <v>534</v>
      </c>
      <c r="C1382" s="5">
        <v>1111000</v>
      </c>
      <c r="D1382" s="5">
        <v>13053979</v>
      </c>
      <c r="E1382" s="5">
        <f>+IF(FINANCIACION[[#This Row],[$ CAPITAL]]&gt;=0,FINANCIACION[[#This Row],[$ CAPITAL]]+FINANCIACION[[#This Row],[$ INTERESES]],"")</f>
        <v>14164979</v>
      </c>
      <c r="F1382" s="5">
        <f>+SUMIFS(FINANCIACION[$ CAPITAL],FINANCIACION[Fecha],"&lt;="&amp;FINANCIACION[[#This Row],[Fecha]],FINANCIACION[PRESTAMO],FINANCIACION[[#This Row],[PRESTAMO]])</f>
        <v>-354128179</v>
      </c>
      <c r="G1382" s="53" t="s">
        <v>1579</v>
      </c>
      <c r="H1382" s="53"/>
      <c r="I1382" s="5">
        <f>+IF(FINANCIACION[[#This Row],[$ CAPITAL]]&gt;0,FINANCIACION[[#This Row],[$ CAPITAL]])</f>
        <v>1111000</v>
      </c>
      <c r="J1382" s="33">
        <f>+IF(FINANCIACION[[#This Row],[$ CAPITAL]]&gt;=0,FINANCIACION[[#This Row],[$ CAPITAL]]+FINANCIACION[[#This Row],[$ INTERESES]],0)</f>
        <v>14164979</v>
      </c>
    </row>
    <row r="1383" spans="1:10" ht="24" hidden="1" customHeight="1" x14ac:dyDescent="0.3">
      <c r="A1383" s="131">
        <v>45009</v>
      </c>
      <c r="B1383" s="50" t="s">
        <v>833</v>
      </c>
      <c r="C1383" s="5">
        <v>456000</v>
      </c>
      <c r="D1383" s="5">
        <v>9000</v>
      </c>
      <c r="E1383" s="5">
        <f>+IF(FINANCIACION[[#This Row],[$ CAPITAL]]&gt;=0,FINANCIACION[[#This Row],[$ CAPITAL]]+FINANCIACION[[#This Row],[$ INTERESES]],"")</f>
        <v>465000</v>
      </c>
      <c r="F1383" s="5">
        <f>+SUMIFS(FINANCIACION[$ CAPITAL],FINANCIACION[Fecha],"&lt;="&amp;FINANCIACION[[#This Row],[Fecha]],FINANCIACION[PRESTAMO],FINANCIACION[[#This Row],[PRESTAMO]])</f>
        <v>-456030</v>
      </c>
      <c r="G1383" s="53"/>
      <c r="H1383" s="53"/>
      <c r="I1383" s="5">
        <f>+IF(FINANCIACION[[#This Row],[$ CAPITAL]]&gt;0,FINANCIACION[[#This Row],[$ CAPITAL]])</f>
        <v>456000</v>
      </c>
      <c r="J1383" s="33">
        <f>+IF(FINANCIACION[[#This Row],[$ CAPITAL]]&gt;=0,FINANCIACION[[#This Row],[$ CAPITAL]]+FINANCIACION[[#This Row],[$ INTERESES]],0)</f>
        <v>465000</v>
      </c>
    </row>
    <row r="1384" spans="1:10" ht="24" hidden="1" customHeight="1" x14ac:dyDescent="0.3">
      <c r="A1384" s="131">
        <v>45009</v>
      </c>
      <c r="B1384" s="50" t="s">
        <v>538</v>
      </c>
      <c r="C1384" s="5">
        <v>2176000</v>
      </c>
      <c r="D1384" s="5">
        <v>138000</v>
      </c>
      <c r="E1384" s="5">
        <f>+IF(FINANCIACION[[#This Row],[$ CAPITAL]]&gt;=0,FINANCIACION[[#This Row],[$ CAPITAL]]+FINANCIACION[[#This Row],[$ INTERESES]],"")</f>
        <v>2314000</v>
      </c>
      <c r="F1384" s="5">
        <f>+SUMIFS(FINANCIACION[$ CAPITAL],FINANCIACION[Fecha],"&lt;="&amp;FINANCIACION[[#This Row],[Fecha]],FINANCIACION[PRESTAMO],FINANCIACION[[#This Row],[PRESTAMO]])</f>
        <v>-6473240.5400000066</v>
      </c>
      <c r="G1384" s="53"/>
      <c r="H1384" s="53"/>
      <c r="I1384" s="5">
        <f>+IF(FINANCIACION[[#This Row],[$ CAPITAL]]&gt;0,FINANCIACION[[#This Row],[$ CAPITAL]])</f>
        <v>2176000</v>
      </c>
      <c r="J1384" s="33">
        <f>+IF(FINANCIACION[[#This Row],[$ CAPITAL]]&gt;=0,FINANCIACION[[#This Row],[$ CAPITAL]]+FINANCIACION[[#This Row],[$ INTERESES]],0)</f>
        <v>2314000</v>
      </c>
    </row>
    <row r="1385" spans="1:10" ht="24" hidden="1" customHeight="1" x14ac:dyDescent="0.3">
      <c r="A1385" s="131">
        <v>45009</v>
      </c>
      <c r="B1385" s="50" t="s">
        <v>539</v>
      </c>
      <c r="C1385" s="5">
        <v>3159000</v>
      </c>
      <c r="D1385" s="5">
        <v>207000</v>
      </c>
      <c r="E1385" s="5">
        <f>+IF(FINANCIACION[[#This Row],[$ CAPITAL]]&gt;=0,FINANCIACION[[#This Row],[$ CAPITAL]]+FINANCIACION[[#This Row],[$ INTERESES]],"")</f>
        <v>3366000</v>
      </c>
      <c r="F1385" s="5">
        <f>+SUMIFS(FINANCIACION[$ CAPITAL],FINANCIACION[Fecha],"&lt;="&amp;FINANCIACION[[#This Row],[Fecha]],FINANCIACION[PRESTAMO],FINANCIACION[[#This Row],[PRESTAMO]])</f>
        <v>-9271898.0599999949</v>
      </c>
      <c r="G1385" s="53"/>
      <c r="H1385" s="53"/>
      <c r="I1385" s="5">
        <f>+IF(FINANCIACION[[#This Row],[$ CAPITAL]]&gt;0,FINANCIACION[[#This Row],[$ CAPITAL]])</f>
        <v>3159000</v>
      </c>
      <c r="J1385" s="33">
        <f>+IF(FINANCIACION[[#This Row],[$ CAPITAL]]&gt;=0,FINANCIACION[[#This Row],[$ CAPITAL]]+FINANCIACION[[#This Row],[$ INTERESES]],0)</f>
        <v>3366000</v>
      </c>
    </row>
    <row r="1386" spans="1:10" ht="24" hidden="1" customHeight="1" x14ac:dyDescent="0.3">
      <c r="A1386" s="131">
        <v>45010</v>
      </c>
      <c r="B1386" s="50" t="s">
        <v>1562</v>
      </c>
      <c r="C1386" s="5">
        <v>-20000000</v>
      </c>
      <c r="D1386" s="5"/>
      <c r="E1386" s="5" t="str">
        <f>+IF(FINANCIACION[[#This Row],[$ CAPITAL]]&gt;=0,FINANCIACION[[#This Row],[$ CAPITAL]]+FINANCIACION[[#This Row],[$ INTERESES]],"")</f>
        <v/>
      </c>
      <c r="F1386" s="5">
        <f>+SUMIFS(FINANCIACION[$ CAPITAL],FINANCIACION[Fecha],"&lt;="&amp;FINANCIACION[[#This Row],[Fecha]],FINANCIACION[PRESTAMO],FINANCIACION[[#This Row],[PRESTAMO]])</f>
        <v>-20000000</v>
      </c>
      <c r="G1386" s="53"/>
      <c r="H1386" s="53"/>
      <c r="I1386" s="5" t="b">
        <f>+IF(FINANCIACION[[#This Row],[$ CAPITAL]]&gt;0,FINANCIACION[[#This Row],[$ CAPITAL]])</f>
        <v>0</v>
      </c>
      <c r="J1386" s="33">
        <f>+IF(FINANCIACION[[#This Row],[$ CAPITAL]]&gt;=0,FINANCIACION[[#This Row],[$ CAPITAL]]+FINANCIACION[[#This Row],[$ INTERESES]],0)</f>
        <v>0</v>
      </c>
    </row>
    <row r="1387" spans="1:10" ht="24" hidden="1" customHeight="1" x14ac:dyDescent="0.3">
      <c r="A1387" s="131">
        <v>45010</v>
      </c>
      <c r="B1387" s="50" t="s">
        <v>550</v>
      </c>
      <c r="C1387" s="5">
        <v>-5000000</v>
      </c>
      <c r="D1387" s="5"/>
      <c r="E1387" s="5" t="str">
        <f>+IF(FINANCIACION[[#This Row],[$ CAPITAL]]&gt;=0,FINANCIACION[[#This Row],[$ CAPITAL]]+FINANCIACION[[#This Row],[$ INTERESES]],"")</f>
        <v/>
      </c>
      <c r="F1387" s="5">
        <f>+SUMIFS(FINANCIACION[$ CAPITAL],FINANCIACION[Fecha],"&lt;="&amp;FINANCIACION[[#This Row],[Fecha]],FINANCIACION[PRESTAMO],FINANCIACION[[#This Row],[PRESTAMO]])</f>
        <v>-5000000</v>
      </c>
      <c r="G1387" s="53"/>
      <c r="H1387" s="53"/>
      <c r="I1387" s="5" t="b">
        <f>+IF(FINANCIACION[[#This Row],[$ CAPITAL]]&gt;0,FINANCIACION[[#This Row],[$ CAPITAL]])</f>
        <v>0</v>
      </c>
      <c r="J1387" s="33">
        <f>+IF(FINANCIACION[[#This Row],[$ CAPITAL]]&gt;=0,FINANCIACION[[#This Row],[$ CAPITAL]]+FINANCIACION[[#This Row],[$ INTERESES]],0)</f>
        <v>0</v>
      </c>
    </row>
    <row r="1388" spans="1:10" ht="24" hidden="1" customHeight="1" x14ac:dyDescent="0.3">
      <c r="A1388" s="131">
        <v>45012</v>
      </c>
      <c r="B1388" s="50" t="s">
        <v>563</v>
      </c>
      <c r="C1388" s="5"/>
      <c r="D1388" s="5">
        <v>750000</v>
      </c>
      <c r="E1388" s="5">
        <f>+IF(FINANCIACION[[#This Row],[$ CAPITAL]]&gt;=0,FINANCIACION[[#This Row],[$ CAPITAL]]+FINANCIACION[[#This Row],[$ INTERESES]],"")</f>
        <v>750000</v>
      </c>
      <c r="F1388" s="5">
        <f>+SUMIFS(FINANCIACION[$ CAPITAL],FINANCIACION[Fecha],"&lt;="&amp;FINANCIACION[[#This Row],[Fecha]],FINANCIACION[PRESTAMO],FINANCIACION[[#This Row],[PRESTAMO]])</f>
        <v>-75000000</v>
      </c>
      <c r="G1388" s="53"/>
      <c r="H1388" s="53"/>
      <c r="I1388" s="5" t="b">
        <f>+IF(FINANCIACION[[#This Row],[$ CAPITAL]]&gt;0,FINANCIACION[[#This Row],[$ CAPITAL]])</f>
        <v>0</v>
      </c>
      <c r="J1388" s="33">
        <f>+IF(FINANCIACION[[#This Row],[$ CAPITAL]]&gt;=0,FINANCIACION[[#This Row],[$ CAPITAL]]+FINANCIACION[[#This Row],[$ INTERESES]],0)</f>
        <v>750000</v>
      </c>
    </row>
    <row r="1389" spans="1:10" ht="24" hidden="1" customHeight="1" x14ac:dyDescent="0.3">
      <c r="A1389" s="131">
        <v>45012</v>
      </c>
      <c r="B1389" s="50" t="s">
        <v>546</v>
      </c>
      <c r="C1389" s="5">
        <v>1077000</v>
      </c>
      <c r="D1389" s="5">
        <v>51000</v>
      </c>
      <c r="E1389" s="5">
        <f>+IF(FINANCIACION[[#This Row],[$ CAPITAL]]&gt;=0,FINANCIACION[[#This Row],[$ CAPITAL]]+FINANCIACION[[#This Row],[$ INTERESES]],"")</f>
        <v>1128000</v>
      </c>
      <c r="F1389" s="5">
        <f>+SUMIFS(FINANCIACION[$ CAPITAL],FINANCIACION[Fecha],"&lt;="&amp;FINANCIACION[[#This Row],[Fecha]],FINANCIACION[PRESTAMO],FINANCIACION[[#This Row],[PRESTAMO]])</f>
        <v>-2105299.7899999991</v>
      </c>
      <c r="G1389" s="53"/>
      <c r="H1389" s="53"/>
      <c r="I1389" s="5">
        <f>+IF(FINANCIACION[[#This Row],[$ CAPITAL]]&gt;0,FINANCIACION[[#This Row],[$ CAPITAL]])</f>
        <v>1077000</v>
      </c>
      <c r="J1389" s="33">
        <f>+IF(FINANCIACION[[#This Row],[$ CAPITAL]]&gt;=0,FINANCIACION[[#This Row],[$ CAPITAL]]+FINANCIACION[[#This Row],[$ INTERESES]],0)</f>
        <v>1128000</v>
      </c>
    </row>
    <row r="1390" spans="1:10" ht="24" hidden="1" customHeight="1" x14ac:dyDescent="0.3">
      <c r="A1390" s="131">
        <v>45012</v>
      </c>
      <c r="B1390" s="50" t="s">
        <v>548</v>
      </c>
      <c r="C1390" s="5">
        <v>1481000</v>
      </c>
      <c r="D1390" s="5">
        <v>1009000</v>
      </c>
      <c r="E1390" s="5">
        <f>+IF(FINANCIACION[[#This Row],[$ CAPITAL]]&gt;=0,FINANCIACION[[#This Row],[$ CAPITAL]]+FINANCIACION[[#This Row],[$ INTERESES]],"")</f>
        <v>2490000</v>
      </c>
      <c r="F1390" s="5">
        <f>+SUMIFS(FINANCIACION[$ CAPITAL],FINANCIACION[Fecha],"&lt;="&amp;FINANCIACION[[#This Row],[Fecha]],FINANCIACION[PRESTAMO],FINANCIACION[[#This Row],[PRESTAMO]])</f>
        <v>-65121399.449999988</v>
      </c>
      <c r="G1390" s="53"/>
      <c r="H1390" s="53"/>
      <c r="I1390" s="5">
        <f>+IF(FINANCIACION[[#This Row],[$ CAPITAL]]&gt;0,FINANCIACION[[#This Row],[$ CAPITAL]])</f>
        <v>1481000</v>
      </c>
      <c r="J1390" s="33">
        <f>+IF(FINANCIACION[[#This Row],[$ CAPITAL]]&gt;=0,FINANCIACION[[#This Row],[$ CAPITAL]]+FINANCIACION[[#This Row],[$ INTERESES]],0)</f>
        <v>2490000</v>
      </c>
    </row>
    <row r="1391" spans="1:10" ht="24" hidden="1" customHeight="1" x14ac:dyDescent="0.3">
      <c r="A1391" s="131">
        <v>45014</v>
      </c>
      <c r="B1391" s="50" t="s">
        <v>532</v>
      </c>
      <c r="C1391" s="5">
        <v>2281429</v>
      </c>
      <c r="D1391" s="5">
        <v>395971</v>
      </c>
      <c r="E1391" s="5">
        <f>+IF(FINANCIACION[[#This Row],[$ CAPITAL]]&gt;=0,FINANCIACION[[#This Row],[$ CAPITAL]]+FINANCIACION[[#This Row],[$ INTERESES]],"")</f>
        <v>2677400</v>
      </c>
      <c r="F1391" s="5">
        <f>+SUMIFS(FINANCIACION[$ CAPITAL],FINANCIACION[Fecha],"&lt;="&amp;FINANCIACION[[#This Row],[Fecha]],FINANCIACION[PRESTAMO],FINANCIACION[[#This Row],[PRESTAMO]])</f>
        <v>-37315665.484479994</v>
      </c>
      <c r="G1391" s="53"/>
      <c r="H1391" s="53"/>
      <c r="I1391" s="5">
        <f>+IF(FINANCIACION[[#This Row],[$ CAPITAL]]&gt;0,FINANCIACION[[#This Row],[$ CAPITAL]])</f>
        <v>2281429</v>
      </c>
      <c r="J1391" s="33">
        <f>+IF(FINANCIACION[[#This Row],[$ CAPITAL]]&gt;=0,FINANCIACION[[#This Row],[$ CAPITAL]]+FINANCIACION[[#This Row],[$ INTERESES]],0)</f>
        <v>2677400</v>
      </c>
    </row>
    <row r="1392" spans="1:10" ht="24" hidden="1" customHeight="1" x14ac:dyDescent="0.3">
      <c r="A1392" s="131">
        <v>45016</v>
      </c>
      <c r="B1392" s="50" t="s">
        <v>533</v>
      </c>
      <c r="C1392" s="5">
        <v>0</v>
      </c>
      <c r="D1392" s="5">
        <v>0</v>
      </c>
      <c r="E1392" s="5">
        <f>+IF(FINANCIACION[[#This Row],[$ CAPITAL]]&gt;=0,FINANCIACION[[#This Row],[$ CAPITAL]]+FINANCIACION[[#This Row],[$ INTERESES]],"")</f>
        <v>0</v>
      </c>
      <c r="F1392" s="5">
        <f>+SUMIFS(FINANCIACION[$ CAPITAL],FINANCIACION[Fecha],"&lt;="&amp;FINANCIACION[[#This Row],[Fecha]],FINANCIACION[PRESTAMO],FINANCIACION[[#This Row],[PRESTAMO]])</f>
        <v>-54208169.132834516</v>
      </c>
      <c r="G1392" s="53"/>
      <c r="H1392" s="53"/>
      <c r="I1392" s="5" t="b">
        <f>+IF(FINANCIACION[[#This Row],[$ CAPITAL]]&gt;0,FINANCIACION[[#This Row],[$ CAPITAL]])</f>
        <v>0</v>
      </c>
      <c r="J1392" s="33">
        <f>+IF(FINANCIACION[[#This Row],[$ CAPITAL]]&gt;=0,FINANCIACION[[#This Row],[$ CAPITAL]]+FINANCIACION[[#This Row],[$ INTERESES]],0)</f>
        <v>0</v>
      </c>
    </row>
    <row r="1393" spans="1:10" ht="24" hidden="1" customHeight="1" x14ac:dyDescent="0.3">
      <c r="A1393" s="131">
        <v>45016</v>
      </c>
      <c r="B1393" s="50" t="s">
        <v>146</v>
      </c>
      <c r="C1393" s="5">
        <v>1468400</v>
      </c>
      <c r="D1393" s="5">
        <v>424098</v>
      </c>
      <c r="E1393" s="5">
        <f>+IF(FINANCIACION[[#This Row],[$ CAPITAL]]&gt;=0,FINANCIACION[[#This Row],[$ CAPITAL]]+FINANCIACION[[#This Row],[$ INTERESES]],"")</f>
        <v>1892498</v>
      </c>
      <c r="F1393" s="5">
        <f>+SUMIFS(FINANCIACION[$ CAPITAL],FINANCIACION[Fecha],"&lt;="&amp;FINANCIACION[[#This Row],[Fecha]],FINANCIACION[PRESTAMO],FINANCIACION[[#This Row],[PRESTAMO]])</f>
        <v>-17172920</v>
      </c>
      <c r="G1393" s="53"/>
      <c r="H1393" s="53"/>
      <c r="I1393" s="5">
        <f>+IF(FINANCIACION[[#This Row],[$ CAPITAL]]&gt;0,FINANCIACION[[#This Row],[$ CAPITAL]])</f>
        <v>1468400</v>
      </c>
      <c r="J1393" s="33">
        <f>+IF(FINANCIACION[[#This Row],[$ CAPITAL]]&gt;=0,FINANCIACION[[#This Row],[$ CAPITAL]]+FINANCIACION[[#This Row],[$ INTERESES]],0)</f>
        <v>1892498</v>
      </c>
    </row>
    <row r="1394" spans="1:10" ht="24" hidden="1" customHeight="1" x14ac:dyDescent="0.3">
      <c r="A1394" s="131">
        <v>45016</v>
      </c>
      <c r="B1394" s="50" t="s">
        <v>147</v>
      </c>
      <c r="C1394" s="5">
        <v>76791</v>
      </c>
      <c r="D1394" s="5"/>
      <c r="E1394" s="5">
        <f>+IF(FINANCIACION[[#This Row],[$ CAPITAL]]&gt;=0,FINANCIACION[[#This Row],[$ CAPITAL]]+FINANCIACION[[#This Row],[$ INTERESES]],"")</f>
        <v>76791</v>
      </c>
      <c r="F1394" s="5">
        <f>+SUMIFS(FINANCIACION[$ CAPITAL],FINANCIACION[Fecha],"&lt;="&amp;FINANCIACION[[#This Row],[Fecha]],FINANCIACION[PRESTAMO],FINANCIACION[[#This Row],[PRESTAMO]])</f>
        <v>-921492</v>
      </c>
      <c r="G1394" s="53"/>
      <c r="H1394" s="53"/>
      <c r="I1394" s="5">
        <f>+IF(FINANCIACION[[#This Row],[$ CAPITAL]]&gt;0,FINANCIACION[[#This Row],[$ CAPITAL]])</f>
        <v>76791</v>
      </c>
      <c r="J1394" s="33">
        <f>+IF(FINANCIACION[[#This Row],[$ CAPITAL]]&gt;=0,FINANCIACION[[#This Row],[$ CAPITAL]]+FINANCIACION[[#This Row],[$ INTERESES]],0)</f>
        <v>76791</v>
      </c>
    </row>
    <row r="1395" spans="1:10" ht="24" hidden="1" customHeight="1" x14ac:dyDescent="0.3">
      <c r="A1395" s="131">
        <v>45016</v>
      </c>
      <c r="B1395" s="50" t="s">
        <v>1173</v>
      </c>
      <c r="C1395" s="5">
        <v>1607357</v>
      </c>
      <c r="D1395" s="5"/>
      <c r="E1395" s="5">
        <f>+IF(FINANCIACION[[#This Row],[$ CAPITAL]]&gt;=0,FINANCIACION[[#This Row],[$ CAPITAL]]+FINANCIACION[[#This Row],[$ INTERESES]],"")</f>
        <v>1607357</v>
      </c>
      <c r="F1395" s="5">
        <f>+SUMIFS(FINANCIACION[$ CAPITAL],FINANCIACION[Fecha],"&lt;="&amp;FINANCIACION[[#This Row],[Fecha]],FINANCIACION[PRESTAMO],FINANCIACION[[#This Row],[PRESTAMO]])</f>
        <v>-41969872</v>
      </c>
      <c r="G1395" s="53"/>
      <c r="H1395" s="53"/>
      <c r="I1395" s="5">
        <f>+IF(FINANCIACION[[#This Row],[$ CAPITAL]]&gt;0,FINANCIACION[[#This Row],[$ CAPITAL]])</f>
        <v>1607357</v>
      </c>
      <c r="J1395" s="33">
        <f>+IF(FINANCIACION[[#This Row],[$ CAPITAL]]&gt;=0,FINANCIACION[[#This Row],[$ CAPITAL]]+FINANCIACION[[#This Row],[$ INTERESES]],0)</f>
        <v>1607357</v>
      </c>
    </row>
    <row r="1396" spans="1:10" ht="24" hidden="1" customHeight="1" x14ac:dyDescent="0.3">
      <c r="A1396" s="131">
        <v>45016</v>
      </c>
      <c r="B1396" s="50" t="s">
        <v>1382</v>
      </c>
      <c r="C1396" s="5">
        <v>3510000</v>
      </c>
      <c r="D1396" s="5"/>
      <c r="E1396" s="5">
        <f>+IF(FINANCIACION[[#This Row],[$ CAPITAL]]&gt;=0,FINANCIACION[[#This Row],[$ CAPITAL]]+FINANCIACION[[#This Row],[$ INTERESES]],"")</f>
        <v>3510000</v>
      </c>
      <c r="F1396" s="5">
        <f>+SUMIFS(FINANCIACION[$ CAPITAL],FINANCIACION[Fecha],"&lt;="&amp;FINANCIACION[[#This Row],[Fecha]],FINANCIACION[PRESTAMO],FINANCIACION[[#This Row],[PRESTAMO]])</f>
        <v>-91650000</v>
      </c>
      <c r="G1396" s="53"/>
      <c r="H1396" s="53"/>
      <c r="I1396" s="5">
        <f>+IF(FINANCIACION[[#This Row],[$ CAPITAL]]&gt;0,FINANCIACION[[#This Row],[$ CAPITAL]])</f>
        <v>3510000</v>
      </c>
      <c r="J1396" s="33">
        <f>+IF(FINANCIACION[[#This Row],[$ CAPITAL]]&gt;=0,FINANCIACION[[#This Row],[$ CAPITAL]]+FINANCIACION[[#This Row],[$ INTERESES]],0)</f>
        <v>3510000</v>
      </c>
    </row>
    <row r="1397" spans="1:10" ht="24" hidden="1" customHeight="1" x14ac:dyDescent="0.3">
      <c r="A1397" s="131">
        <v>45016</v>
      </c>
      <c r="B1397" s="50" t="s">
        <v>1485</v>
      </c>
      <c r="C1397" s="5">
        <v>2221726</v>
      </c>
      <c r="D1397" s="5"/>
      <c r="E1397" s="5">
        <f>+IF(FINANCIACION[[#This Row],[$ CAPITAL]]&gt;=0,FINANCIACION[[#This Row],[$ CAPITAL]]+FINANCIACION[[#This Row],[$ INTERESES]],"")</f>
        <v>2221726</v>
      </c>
      <c r="F1397" s="5">
        <f>+SUMIFS(FINANCIACION[$ CAPITAL],FINANCIACION[Fecha],"&lt;="&amp;FINANCIACION[[#This Row],[Fecha]],FINANCIACION[PRESTAMO],FINANCIACION[[#This Row],[PRESTAMO]])</f>
        <v>-58011724</v>
      </c>
      <c r="G1397" s="53" t="s">
        <v>1577</v>
      </c>
      <c r="H1397" s="53"/>
      <c r="I1397" s="5">
        <f>+IF(FINANCIACION[[#This Row],[$ CAPITAL]]&gt;0,FINANCIACION[[#This Row],[$ CAPITAL]])</f>
        <v>2221726</v>
      </c>
      <c r="J1397" s="33">
        <f>+IF(FINANCIACION[[#This Row],[$ CAPITAL]]&gt;=0,FINANCIACION[[#This Row],[$ CAPITAL]]+FINANCIACION[[#This Row],[$ INTERESES]],0)</f>
        <v>2221726</v>
      </c>
    </row>
    <row r="1398" spans="1:10" ht="24" hidden="1" customHeight="1" x14ac:dyDescent="0.3">
      <c r="A1398" s="131">
        <v>45016</v>
      </c>
      <c r="B1398" s="50" t="s">
        <v>1488</v>
      </c>
      <c r="C1398" s="5">
        <v>-80343</v>
      </c>
      <c r="D1398" s="5"/>
      <c r="E1398" s="5" t="str">
        <f>+IF(FINANCIACION[[#This Row],[$ CAPITAL]]&gt;=0,FINANCIACION[[#This Row],[$ CAPITAL]]+FINANCIACION[[#This Row],[$ INTERESES]],"")</f>
        <v/>
      </c>
      <c r="F1398" s="5">
        <f>+SUMIFS(FINANCIACION[$ CAPITAL],FINANCIACION[Fecha],"&lt;="&amp;FINANCIACION[[#This Row],[Fecha]],FINANCIACION[PRESTAMO],FINANCIACION[[#This Row],[PRESTAMO]])</f>
        <v>-2916418</v>
      </c>
      <c r="G1398" s="53"/>
      <c r="H1398" s="53"/>
      <c r="I1398" s="5" t="b">
        <f>+IF(FINANCIACION[[#This Row],[$ CAPITAL]]&gt;0,FINANCIACION[[#This Row],[$ CAPITAL]])</f>
        <v>0</v>
      </c>
      <c r="J1398" s="33">
        <f>+IF(FINANCIACION[[#This Row],[$ CAPITAL]]&gt;=0,FINANCIACION[[#This Row],[$ CAPITAL]]+FINANCIACION[[#This Row],[$ INTERESES]],0)</f>
        <v>0</v>
      </c>
    </row>
    <row r="1399" spans="1:10" ht="24" hidden="1" customHeight="1" x14ac:dyDescent="0.3">
      <c r="A1399" s="131">
        <v>45016</v>
      </c>
      <c r="B1399" s="50" t="s">
        <v>154</v>
      </c>
      <c r="C1399" s="5">
        <v>-1447240</v>
      </c>
      <c r="D1399" s="5"/>
      <c r="E1399" s="5" t="str">
        <f>+IF(FINANCIACION[[#This Row],[$ CAPITAL]]&gt;=0,FINANCIACION[[#This Row],[$ CAPITAL]]+FINANCIACION[[#This Row],[$ INTERESES]],"")</f>
        <v/>
      </c>
      <c r="F1399" s="5">
        <f>+SUMIFS(FINANCIACION[$ CAPITAL],FINANCIACION[Fecha],"&lt;="&amp;FINANCIACION[[#This Row],[Fecha]],FINANCIACION[PRESTAMO],FINANCIACION[[#This Row],[PRESTAMO]])</f>
        <v>-17512200</v>
      </c>
      <c r="G1399" s="53"/>
      <c r="H1399" s="53"/>
      <c r="I1399" s="5" t="b">
        <f>+IF(FINANCIACION[[#This Row],[$ CAPITAL]]&gt;0,FINANCIACION[[#This Row],[$ CAPITAL]])</f>
        <v>0</v>
      </c>
      <c r="J1399" s="33">
        <f>+IF(FINANCIACION[[#This Row],[$ CAPITAL]]&gt;=0,FINANCIACION[[#This Row],[$ CAPITAL]]+FINANCIACION[[#This Row],[$ INTERESES]],0)</f>
        <v>0</v>
      </c>
    </row>
    <row r="1400" spans="1:10" ht="24" hidden="1" customHeight="1" x14ac:dyDescent="0.3">
      <c r="A1400" s="131">
        <v>45016</v>
      </c>
      <c r="B1400" s="50" t="s">
        <v>155</v>
      </c>
      <c r="C1400" s="5">
        <v>-9795454</v>
      </c>
      <c r="D1400" s="5"/>
      <c r="E1400" s="5" t="str">
        <f>+IF(FINANCIACION[[#This Row],[$ CAPITAL]]&gt;=0,FINANCIACION[[#This Row],[$ CAPITAL]]+FINANCIACION[[#This Row],[$ INTERESES]],"")</f>
        <v/>
      </c>
      <c r="F1400" s="5">
        <f>+SUMIFS(FINANCIACION[$ CAPITAL],FINANCIACION[Fecha],"&lt;="&amp;FINANCIACION[[#This Row],[Fecha]],FINANCIACION[PRESTAMO],FINANCIACION[[#This Row],[PRESTAMO]])</f>
        <v>-23527240</v>
      </c>
      <c r="G1400" s="53"/>
      <c r="H1400" s="53"/>
      <c r="I1400" s="5" t="b">
        <f>+IF(FINANCIACION[[#This Row],[$ CAPITAL]]&gt;0,FINANCIACION[[#This Row],[$ CAPITAL]])</f>
        <v>0</v>
      </c>
      <c r="J1400" s="33">
        <f>+IF(FINANCIACION[[#This Row],[$ CAPITAL]]&gt;=0,FINANCIACION[[#This Row],[$ CAPITAL]]+FINANCIACION[[#This Row],[$ INTERESES]],0)</f>
        <v>0</v>
      </c>
    </row>
    <row r="1401" spans="1:10" ht="24" hidden="1" customHeight="1" x14ac:dyDescent="0.3">
      <c r="A1401" s="131">
        <v>45018</v>
      </c>
      <c r="B1401" s="50" t="s">
        <v>1489</v>
      </c>
      <c r="C1401" s="5">
        <v>0</v>
      </c>
      <c r="D1401" s="5">
        <v>0</v>
      </c>
      <c r="E1401" s="5">
        <f>+IF(FINANCIACION[[#This Row],[$ CAPITAL]]&gt;=0,FINANCIACION[[#This Row],[$ CAPITAL]]+FINANCIACION[[#This Row],[$ INTERESES]],"")</f>
        <v>0</v>
      </c>
      <c r="F1401" s="5">
        <f>+SUMIFS(FINANCIACION[$ CAPITAL],FINANCIACION[Fecha],"&lt;="&amp;FINANCIACION[[#This Row],[Fecha]],FINANCIACION[PRESTAMO],FINANCIACION[[#This Row],[PRESTAMO]])</f>
        <v>-140000000</v>
      </c>
      <c r="G1401" s="53"/>
      <c r="H1401" s="53"/>
      <c r="I1401" s="5" t="b">
        <f>+IF(FINANCIACION[[#This Row],[$ CAPITAL]]&gt;0,FINANCIACION[[#This Row],[$ CAPITAL]])</f>
        <v>0</v>
      </c>
      <c r="J1401" s="33">
        <f>+IF(FINANCIACION[[#This Row],[$ CAPITAL]]&gt;=0,FINANCIACION[[#This Row],[$ CAPITAL]]+FINANCIACION[[#This Row],[$ INTERESES]],0)</f>
        <v>0</v>
      </c>
    </row>
    <row r="1402" spans="1:10" ht="24" hidden="1" customHeight="1" x14ac:dyDescent="0.3">
      <c r="A1402" s="131">
        <v>45019</v>
      </c>
      <c r="B1402" s="50" t="s">
        <v>542</v>
      </c>
      <c r="C1402" s="5">
        <v>894000</v>
      </c>
      <c r="D1402" s="5">
        <v>84000</v>
      </c>
      <c r="E1402" s="5">
        <f>+IF(FINANCIACION[[#This Row],[$ CAPITAL]]&gt;=0,FINANCIACION[[#This Row],[$ CAPITAL]]+FINANCIACION[[#This Row],[$ INTERESES]],"")</f>
        <v>978000</v>
      </c>
      <c r="F1402" s="5">
        <f>+SUMIFS(FINANCIACION[$ CAPITAL],FINANCIACION[Fecha],"&lt;="&amp;FINANCIACION[[#This Row],[Fecha]],FINANCIACION[PRESTAMO],FINANCIACION[[#This Row],[PRESTAMO]])</f>
        <v>-4395511.0699999984</v>
      </c>
      <c r="G1402" s="53"/>
      <c r="H1402" s="53"/>
      <c r="I1402" s="5">
        <f>+IF(FINANCIACION[[#This Row],[$ CAPITAL]]&gt;0,FINANCIACION[[#This Row],[$ CAPITAL]])</f>
        <v>894000</v>
      </c>
      <c r="J1402" s="33">
        <f>+IF(FINANCIACION[[#This Row],[$ CAPITAL]]&gt;=0,FINANCIACION[[#This Row],[$ CAPITAL]]+FINANCIACION[[#This Row],[$ INTERESES]],0)</f>
        <v>978000</v>
      </c>
    </row>
    <row r="1403" spans="1:10" ht="24" hidden="1" customHeight="1" x14ac:dyDescent="0.3">
      <c r="A1403" s="131">
        <v>45020</v>
      </c>
      <c r="B1403" s="50" t="s">
        <v>533</v>
      </c>
      <c r="C1403" s="5">
        <v>1457918</v>
      </c>
      <c r="D1403" s="5">
        <v>542082</v>
      </c>
      <c r="E1403" s="5">
        <f>+IF(FINANCIACION[[#This Row],[$ CAPITAL]]&gt;=0,FINANCIACION[[#This Row],[$ CAPITAL]]+FINANCIACION[[#This Row],[$ INTERESES]],"")</f>
        <v>2000000</v>
      </c>
      <c r="F1403" s="5">
        <f>+SUMIFS(FINANCIACION[$ CAPITAL],FINANCIACION[Fecha],"&lt;="&amp;FINANCIACION[[#This Row],[Fecha]],FINANCIACION[PRESTAMO],FINANCIACION[[#This Row],[PRESTAMO]])</f>
        <v>-52750251.132834516</v>
      </c>
      <c r="G1403" s="53" t="s">
        <v>1578</v>
      </c>
      <c r="H1403" s="53"/>
      <c r="I1403" s="5">
        <f>+IF(FINANCIACION[[#This Row],[$ CAPITAL]]&gt;0,FINANCIACION[[#This Row],[$ CAPITAL]])</f>
        <v>1457918</v>
      </c>
      <c r="J1403" s="33">
        <f>+IF(FINANCIACION[[#This Row],[$ CAPITAL]]&gt;=0,FINANCIACION[[#This Row],[$ CAPITAL]]+FINANCIACION[[#This Row],[$ INTERESES]],0)</f>
        <v>2000000</v>
      </c>
    </row>
    <row r="1404" spans="1:10" ht="24" hidden="1" customHeight="1" x14ac:dyDescent="0.3">
      <c r="A1404" s="131">
        <v>45020</v>
      </c>
      <c r="B1404" s="50" t="s">
        <v>540</v>
      </c>
      <c r="C1404" s="5">
        <v>853000</v>
      </c>
      <c r="D1404" s="5">
        <v>67000</v>
      </c>
      <c r="E1404" s="5">
        <f>+IF(FINANCIACION[[#This Row],[$ CAPITAL]]&gt;=0,FINANCIACION[[#This Row],[$ CAPITAL]]+FINANCIACION[[#This Row],[$ INTERESES]],"")</f>
        <v>920000</v>
      </c>
      <c r="F1404" s="5">
        <f>+SUMIFS(FINANCIACION[$ CAPITAL],FINANCIACION[Fecha],"&lt;="&amp;FINANCIACION[[#This Row],[Fecha]],FINANCIACION[PRESTAMO],FINANCIACION[[#This Row],[PRESTAMO]])</f>
        <v>-3340324.6499999985</v>
      </c>
      <c r="G1404" s="53"/>
      <c r="H1404" s="53"/>
      <c r="I1404" s="5">
        <f>+IF(FINANCIACION[[#This Row],[$ CAPITAL]]&gt;0,FINANCIACION[[#This Row],[$ CAPITAL]])</f>
        <v>853000</v>
      </c>
      <c r="J1404" s="33">
        <f>+IF(FINANCIACION[[#This Row],[$ CAPITAL]]&gt;=0,FINANCIACION[[#This Row],[$ CAPITAL]]+FINANCIACION[[#This Row],[$ INTERESES]],0)</f>
        <v>920000</v>
      </c>
    </row>
    <row r="1405" spans="1:10" ht="24" hidden="1" customHeight="1" x14ac:dyDescent="0.3">
      <c r="A1405" s="131">
        <v>45020</v>
      </c>
      <c r="B1405" s="50" t="s">
        <v>535</v>
      </c>
      <c r="C1405" s="5">
        <v>1214801</v>
      </c>
      <c r="D1405" s="5">
        <v>131199</v>
      </c>
      <c r="E1405" s="5">
        <f>+IF(FINANCIACION[[#This Row],[$ CAPITAL]]&gt;=0,FINANCIACION[[#This Row],[$ CAPITAL]]+FINANCIACION[[#This Row],[$ INTERESES]],"")</f>
        <v>1346000</v>
      </c>
      <c r="F1405" s="5">
        <f>+SUMIFS(FINANCIACION[$ CAPITAL],FINANCIACION[Fecha],"&lt;="&amp;FINANCIACION[[#This Row],[Fecha]],FINANCIACION[PRESTAMO],FINANCIACION[[#This Row],[PRESTAMO]])</f>
        <v>-1290190.8900000006</v>
      </c>
      <c r="G1405" s="53"/>
      <c r="H1405" s="53"/>
      <c r="I1405" s="5">
        <f>+IF(FINANCIACION[[#This Row],[$ CAPITAL]]&gt;0,FINANCIACION[[#This Row],[$ CAPITAL]])</f>
        <v>1214801</v>
      </c>
      <c r="J1405" s="33">
        <f>+IF(FINANCIACION[[#This Row],[$ CAPITAL]]&gt;=0,FINANCIACION[[#This Row],[$ CAPITAL]]+FINANCIACION[[#This Row],[$ INTERESES]],0)</f>
        <v>1346000</v>
      </c>
    </row>
    <row r="1406" spans="1:10" ht="24" hidden="1" customHeight="1" x14ac:dyDescent="0.3">
      <c r="A1406" s="131">
        <v>45021</v>
      </c>
      <c r="B1406" s="50" t="s">
        <v>148</v>
      </c>
      <c r="C1406" s="5"/>
      <c r="D1406" s="5">
        <v>412995</v>
      </c>
      <c r="E1406" s="5">
        <f>+IF(FINANCIACION[[#This Row],[$ CAPITAL]]&gt;=0,FINANCIACION[[#This Row],[$ CAPITAL]]+FINANCIACION[[#This Row],[$ INTERESES]],"")</f>
        <v>412995</v>
      </c>
      <c r="F1406" s="5">
        <f>+SUMIFS(FINANCIACION[$ CAPITAL],FINANCIACION[Fecha],"&lt;="&amp;FINANCIACION[[#This Row],[Fecha]],FINANCIACION[PRESTAMO],FINANCIACION[[#This Row],[PRESTAMO]])</f>
        <v>0</v>
      </c>
      <c r="G1406" s="53"/>
      <c r="H1406" s="53"/>
      <c r="I1406" s="5" t="b">
        <f>+IF(FINANCIACION[[#This Row],[$ CAPITAL]]&gt;0,FINANCIACION[[#This Row],[$ CAPITAL]])</f>
        <v>0</v>
      </c>
      <c r="J1406" s="33">
        <f>+IF(FINANCIACION[[#This Row],[$ CAPITAL]]&gt;=0,FINANCIACION[[#This Row],[$ CAPITAL]]+FINANCIACION[[#This Row],[$ INTERESES]],0)</f>
        <v>412995</v>
      </c>
    </row>
    <row r="1407" spans="1:10" ht="24" hidden="1" customHeight="1" x14ac:dyDescent="0.3">
      <c r="A1407" s="131">
        <v>45026</v>
      </c>
      <c r="B1407" s="50" t="s">
        <v>543</v>
      </c>
      <c r="C1407" s="5"/>
      <c r="D1407" s="5">
        <v>130000</v>
      </c>
      <c r="E1407" s="5">
        <f>+IF(FINANCIACION[[#This Row],[$ CAPITAL]]&gt;=0,FINANCIACION[[#This Row],[$ CAPITAL]]+FINANCIACION[[#This Row],[$ INTERESES]],"")</f>
        <v>130000</v>
      </c>
      <c r="F1407" s="5">
        <f>+SUMIFS(FINANCIACION[$ CAPITAL],FINANCIACION[Fecha],"&lt;="&amp;FINANCIACION[[#This Row],[Fecha]],FINANCIACION[PRESTAMO],FINANCIACION[[#This Row],[PRESTAMO]])</f>
        <v>-13000000</v>
      </c>
      <c r="G1407" s="53"/>
      <c r="H1407" s="53"/>
      <c r="I1407" s="5" t="b">
        <f>+IF(FINANCIACION[[#This Row],[$ CAPITAL]]&gt;0,FINANCIACION[[#This Row],[$ CAPITAL]])</f>
        <v>0</v>
      </c>
      <c r="J1407" s="33">
        <f>+IF(FINANCIACION[[#This Row],[$ CAPITAL]]&gt;=0,FINANCIACION[[#This Row],[$ CAPITAL]]+FINANCIACION[[#This Row],[$ INTERESES]],0)</f>
        <v>130000</v>
      </c>
    </row>
    <row r="1408" spans="1:10" ht="24" hidden="1" customHeight="1" x14ac:dyDescent="0.3">
      <c r="A1408" s="131">
        <v>45026</v>
      </c>
      <c r="B1408" s="50" t="s">
        <v>547</v>
      </c>
      <c r="C1408" s="5"/>
      <c r="D1408" s="5">
        <v>350000</v>
      </c>
      <c r="E1408" s="5">
        <f>+IF(FINANCIACION[[#This Row],[$ CAPITAL]]&gt;=0,FINANCIACION[[#This Row],[$ CAPITAL]]+FINANCIACION[[#This Row],[$ INTERESES]],"")</f>
        <v>350000</v>
      </c>
      <c r="F1408" s="5">
        <f>+SUMIFS(FINANCIACION[$ CAPITAL],FINANCIACION[Fecha],"&lt;="&amp;FINANCIACION[[#This Row],[Fecha]],FINANCIACION[PRESTAMO],FINANCIACION[[#This Row],[PRESTAMO]])</f>
        <v>-35000000</v>
      </c>
      <c r="G1408" s="53"/>
      <c r="H1408" s="53"/>
      <c r="I1408" s="5" t="b">
        <f>+IF(FINANCIACION[[#This Row],[$ CAPITAL]]&gt;0,FINANCIACION[[#This Row],[$ CAPITAL]])</f>
        <v>0</v>
      </c>
      <c r="J1408" s="33">
        <f>+IF(FINANCIACION[[#This Row],[$ CAPITAL]]&gt;=0,FINANCIACION[[#This Row],[$ CAPITAL]]+FINANCIACION[[#This Row],[$ INTERESES]],0)</f>
        <v>350000</v>
      </c>
    </row>
    <row r="1409" spans="1:10" ht="24" hidden="1" customHeight="1" x14ac:dyDescent="0.3">
      <c r="A1409" s="131">
        <v>45026</v>
      </c>
      <c r="B1409" s="50" t="s">
        <v>532</v>
      </c>
      <c r="C1409" s="5">
        <v>2304243</v>
      </c>
      <c r="D1409" s="5">
        <v>373157</v>
      </c>
      <c r="E1409" s="5">
        <f>+IF(FINANCIACION[[#This Row],[$ CAPITAL]]&gt;=0,FINANCIACION[[#This Row],[$ CAPITAL]]+FINANCIACION[[#This Row],[$ INTERESES]],"")</f>
        <v>2677400</v>
      </c>
      <c r="F1409" s="5">
        <f>+SUMIFS(FINANCIACION[$ CAPITAL],FINANCIACION[Fecha],"&lt;="&amp;FINANCIACION[[#This Row],[Fecha]],FINANCIACION[PRESTAMO],FINANCIACION[[#This Row],[PRESTAMO]])</f>
        <v>-35011422.484479994</v>
      </c>
      <c r="G1409" s="53"/>
      <c r="H1409" s="53"/>
      <c r="I1409" s="5">
        <f>+IF(FINANCIACION[[#This Row],[$ CAPITAL]]&gt;0,FINANCIACION[[#This Row],[$ CAPITAL]])</f>
        <v>2304243</v>
      </c>
      <c r="J1409" s="33">
        <f>+IF(FINANCIACION[[#This Row],[$ CAPITAL]]&gt;=0,FINANCIACION[[#This Row],[$ CAPITAL]]+FINANCIACION[[#This Row],[$ INTERESES]],0)</f>
        <v>2677400</v>
      </c>
    </row>
    <row r="1410" spans="1:10" ht="24" hidden="1" customHeight="1" x14ac:dyDescent="0.3">
      <c r="A1410" s="131">
        <v>45026</v>
      </c>
      <c r="B1410" s="50" t="s">
        <v>536</v>
      </c>
      <c r="C1410" s="5">
        <v>1088510</v>
      </c>
      <c r="D1410" s="5">
        <v>211490</v>
      </c>
      <c r="E1410" s="5">
        <f>+IF(FINANCIACION[[#This Row],[$ CAPITAL]]&gt;=0,FINANCIACION[[#This Row],[$ CAPITAL]]+FINANCIACION[[#This Row],[$ INTERESES]],"")</f>
        <v>1300000</v>
      </c>
      <c r="F1410" s="5">
        <f>+SUMIFS(FINANCIACION[$ CAPITAL],FINANCIACION[Fecha],"&lt;="&amp;FINANCIACION[[#This Row],[Fecha]],FINANCIACION[PRESTAMO],FINANCIACION[[#This Row],[PRESTAMO]])</f>
        <v>-20060489.911759749</v>
      </c>
      <c r="G1410" s="53"/>
      <c r="H1410" s="53"/>
      <c r="I1410" s="5">
        <f>+IF(FINANCIACION[[#This Row],[$ CAPITAL]]&gt;0,FINANCIACION[[#This Row],[$ CAPITAL]])</f>
        <v>1088510</v>
      </c>
      <c r="J1410" s="33">
        <f>+IF(FINANCIACION[[#This Row],[$ CAPITAL]]&gt;=0,FINANCIACION[[#This Row],[$ CAPITAL]]+FINANCIACION[[#This Row],[$ INTERESES]],0)</f>
        <v>1300000</v>
      </c>
    </row>
    <row r="1411" spans="1:10" ht="24" hidden="1" customHeight="1" x14ac:dyDescent="0.3">
      <c r="A1411" s="131">
        <v>45026</v>
      </c>
      <c r="B1411" s="50" t="s">
        <v>563</v>
      </c>
      <c r="C1411" s="5"/>
      <c r="D1411" s="5">
        <v>750000</v>
      </c>
      <c r="E1411" s="5">
        <f>+IF(FINANCIACION[[#This Row],[$ CAPITAL]]&gt;=0,FINANCIACION[[#This Row],[$ CAPITAL]]+FINANCIACION[[#This Row],[$ INTERESES]],"")</f>
        <v>750000</v>
      </c>
      <c r="F1411" s="5">
        <f>+SUMIFS(FINANCIACION[$ CAPITAL],FINANCIACION[Fecha],"&lt;="&amp;FINANCIACION[[#This Row],[Fecha]],FINANCIACION[PRESTAMO],FINANCIACION[[#This Row],[PRESTAMO]])</f>
        <v>-75000000</v>
      </c>
      <c r="G1411" s="53"/>
      <c r="H1411" s="53"/>
      <c r="I1411" s="5" t="b">
        <f>+IF(FINANCIACION[[#This Row],[$ CAPITAL]]&gt;0,FINANCIACION[[#This Row],[$ CAPITAL]])</f>
        <v>0</v>
      </c>
      <c r="J1411" s="33">
        <f>+IF(FINANCIACION[[#This Row],[$ CAPITAL]]&gt;=0,FINANCIACION[[#This Row],[$ CAPITAL]]+FINANCIACION[[#This Row],[$ INTERESES]],0)</f>
        <v>750000</v>
      </c>
    </row>
    <row r="1412" spans="1:10" ht="24" hidden="1" customHeight="1" x14ac:dyDescent="0.3">
      <c r="A1412" s="131">
        <v>45026</v>
      </c>
      <c r="B1412" s="50" t="s">
        <v>545</v>
      </c>
      <c r="C1412" s="5"/>
      <c r="D1412" s="5">
        <v>120000</v>
      </c>
      <c r="E1412" s="5">
        <f>+IF(FINANCIACION[[#This Row],[$ CAPITAL]]&gt;=0,FINANCIACION[[#This Row],[$ CAPITAL]]+FINANCIACION[[#This Row],[$ INTERESES]],"")</f>
        <v>120000</v>
      </c>
      <c r="F1412" s="5">
        <f>+SUMIFS(FINANCIACION[$ CAPITAL],FINANCIACION[Fecha],"&lt;="&amp;FINANCIACION[[#This Row],[Fecha]],FINANCIACION[PRESTAMO],FINANCIACION[[#This Row],[PRESTAMO]])</f>
        <v>-12000000</v>
      </c>
      <c r="G1412" s="53"/>
      <c r="H1412" s="53"/>
      <c r="I1412" s="5" t="b">
        <f>+IF(FINANCIACION[[#This Row],[$ CAPITAL]]&gt;0,FINANCIACION[[#This Row],[$ CAPITAL]])</f>
        <v>0</v>
      </c>
      <c r="J1412" s="33">
        <f>+IF(FINANCIACION[[#This Row],[$ CAPITAL]]&gt;=0,FINANCIACION[[#This Row],[$ CAPITAL]]+FINANCIACION[[#This Row],[$ INTERESES]],0)</f>
        <v>120000</v>
      </c>
    </row>
    <row r="1413" spans="1:10" ht="24" hidden="1" customHeight="1" x14ac:dyDescent="0.3">
      <c r="A1413" s="131">
        <v>45026</v>
      </c>
      <c r="B1413" s="50" t="s">
        <v>1487</v>
      </c>
      <c r="C1413" s="5">
        <v>1889477</v>
      </c>
      <c r="D1413" s="5">
        <v>384332</v>
      </c>
      <c r="E1413" s="5">
        <f>+IF(FINANCIACION[[#This Row],[$ CAPITAL]]&gt;=0,FINANCIACION[[#This Row],[$ CAPITAL]]+FINANCIACION[[#This Row],[$ INTERESES]],"")</f>
        <v>2273809</v>
      </c>
      <c r="F1413" s="5">
        <f>+SUMIFS(FINANCIACION[$ CAPITAL],FINANCIACION[Fecha],"&lt;="&amp;FINANCIACION[[#This Row],[Fecha]],FINANCIACION[PRESTAMO],FINANCIACION[[#This Row],[PRESTAMO]])</f>
        <v>-18894770</v>
      </c>
      <c r="G1413" s="53"/>
      <c r="H1413" s="53"/>
      <c r="I1413" s="5">
        <f>+IF(FINANCIACION[[#This Row],[$ CAPITAL]]&gt;0,FINANCIACION[[#This Row],[$ CAPITAL]])</f>
        <v>1889477</v>
      </c>
      <c r="J1413" s="33">
        <f>+IF(FINANCIACION[[#This Row],[$ CAPITAL]]&gt;=0,FINANCIACION[[#This Row],[$ CAPITAL]]+FINANCIACION[[#This Row],[$ INTERESES]],0)</f>
        <v>2273809</v>
      </c>
    </row>
    <row r="1414" spans="1:10" ht="24" hidden="1" customHeight="1" x14ac:dyDescent="0.3">
      <c r="A1414" s="131">
        <v>45028</v>
      </c>
      <c r="B1414" s="50" t="s">
        <v>148</v>
      </c>
      <c r="C1414" s="5"/>
      <c r="D1414" s="5">
        <v>823676</v>
      </c>
      <c r="E1414" s="5">
        <f>+IF(FINANCIACION[[#This Row],[$ CAPITAL]]&gt;=0,FINANCIACION[[#This Row],[$ CAPITAL]]+FINANCIACION[[#This Row],[$ INTERESES]],"")</f>
        <v>823676</v>
      </c>
      <c r="F1414" s="5">
        <f>+SUMIFS(FINANCIACION[$ CAPITAL],FINANCIACION[Fecha],"&lt;="&amp;FINANCIACION[[#This Row],[Fecha]],FINANCIACION[PRESTAMO],FINANCIACION[[#This Row],[PRESTAMO]])</f>
        <v>0</v>
      </c>
      <c r="G1414" s="53"/>
      <c r="H1414" s="53"/>
      <c r="I1414" s="5" t="b">
        <f>+IF(FINANCIACION[[#This Row],[$ CAPITAL]]&gt;0,FINANCIACION[[#This Row],[$ CAPITAL]])</f>
        <v>0</v>
      </c>
      <c r="J1414" s="33">
        <f>+IF(FINANCIACION[[#This Row],[$ CAPITAL]]&gt;=0,FINANCIACION[[#This Row],[$ CAPITAL]]+FINANCIACION[[#This Row],[$ INTERESES]],0)</f>
        <v>823676</v>
      </c>
    </row>
    <row r="1415" spans="1:10" ht="24" hidden="1" customHeight="1" x14ac:dyDescent="0.3">
      <c r="A1415" s="131">
        <v>45031</v>
      </c>
      <c r="B1415" s="50" t="s">
        <v>150</v>
      </c>
      <c r="C1415" s="5">
        <v>417000</v>
      </c>
      <c r="D1415" s="5">
        <v>203486</v>
      </c>
      <c r="E1415" s="5">
        <f>+IF(FINANCIACION[[#This Row],[$ CAPITAL]]&gt;=0,FINANCIACION[[#This Row],[$ CAPITAL]]+FINANCIACION[[#This Row],[$ INTERESES]],"")</f>
        <v>620486</v>
      </c>
      <c r="F1415" s="5">
        <f>+SUMIFS(FINANCIACION[$ CAPITAL],FINANCIACION[Fecha],"&lt;="&amp;FINANCIACION[[#This Row],[Fecha]],FINANCIACION[PRESTAMO],FINANCIACION[[#This Row],[PRESTAMO]])</f>
        <v>-10830000</v>
      </c>
      <c r="G1415" s="53"/>
      <c r="H1415" s="53"/>
      <c r="I1415" s="5">
        <f>+IF(FINANCIACION[[#This Row],[$ CAPITAL]]&gt;0,FINANCIACION[[#This Row],[$ CAPITAL]])</f>
        <v>417000</v>
      </c>
      <c r="J1415" s="33">
        <f>+IF(FINANCIACION[[#This Row],[$ CAPITAL]]&gt;=0,FINANCIACION[[#This Row],[$ CAPITAL]]+FINANCIACION[[#This Row],[$ INTERESES]],0)</f>
        <v>620486</v>
      </c>
    </row>
    <row r="1416" spans="1:10" ht="24" hidden="1" customHeight="1" x14ac:dyDescent="0.3">
      <c r="A1416" s="131">
        <v>45033</v>
      </c>
      <c r="B1416" s="50" t="s">
        <v>533</v>
      </c>
      <c r="C1416" s="5">
        <v>1472497</v>
      </c>
      <c r="D1416" s="5">
        <v>527503</v>
      </c>
      <c r="E1416" s="5">
        <f>+IF(FINANCIACION[[#This Row],[$ CAPITAL]]&gt;=0,FINANCIACION[[#This Row],[$ CAPITAL]]+FINANCIACION[[#This Row],[$ INTERESES]],"")</f>
        <v>2000000</v>
      </c>
      <c r="F1416" s="5">
        <f>+SUMIFS(FINANCIACION[$ CAPITAL],FINANCIACION[Fecha],"&lt;="&amp;FINANCIACION[[#This Row],[Fecha]],FINANCIACION[PRESTAMO],FINANCIACION[[#This Row],[PRESTAMO]])</f>
        <v>-51277754.132834516</v>
      </c>
      <c r="G1416" s="53"/>
      <c r="H1416" s="53"/>
      <c r="I1416" s="5">
        <f>+IF(FINANCIACION[[#This Row],[$ CAPITAL]]&gt;0,FINANCIACION[[#This Row],[$ CAPITAL]])</f>
        <v>1472497</v>
      </c>
      <c r="J1416" s="33">
        <f>+IF(FINANCIACION[[#This Row],[$ CAPITAL]]&gt;=0,FINANCIACION[[#This Row],[$ CAPITAL]]+FINANCIACION[[#This Row],[$ INTERESES]],0)</f>
        <v>2000000</v>
      </c>
    </row>
    <row r="1417" spans="1:10" ht="24" hidden="1" customHeight="1" x14ac:dyDescent="0.3">
      <c r="A1417" s="131">
        <v>45033</v>
      </c>
      <c r="B1417" s="50" t="s">
        <v>148</v>
      </c>
      <c r="C1417" s="5"/>
      <c r="D1417" s="5">
        <v>554707</v>
      </c>
      <c r="E1417" s="5">
        <f>+IF(FINANCIACION[[#This Row],[$ CAPITAL]]&gt;=0,FINANCIACION[[#This Row],[$ CAPITAL]]+FINANCIACION[[#This Row],[$ INTERESES]],"")</f>
        <v>554707</v>
      </c>
      <c r="F1417" s="5">
        <f>+SUMIFS(FINANCIACION[$ CAPITAL],FINANCIACION[Fecha],"&lt;="&amp;FINANCIACION[[#This Row],[Fecha]],FINANCIACION[PRESTAMO],FINANCIACION[[#This Row],[PRESTAMO]])</f>
        <v>0</v>
      </c>
      <c r="G1417" s="53"/>
      <c r="H1417" s="53"/>
      <c r="I1417" s="5" t="b">
        <f>+IF(FINANCIACION[[#This Row],[$ CAPITAL]]&gt;0,FINANCIACION[[#This Row],[$ CAPITAL]])</f>
        <v>0</v>
      </c>
      <c r="J1417" s="33">
        <f>+IF(FINANCIACION[[#This Row],[$ CAPITAL]]&gt;=0,FINANCIACION[[#This Row],[$ CAPITAL]]+FINANCIACION[[#This Row],[$ INTERESES]],0)</f>
        <v>554707</v>
      </c>
    </row>
    <row r="1418" spans="1:10" ht="24" hidden="1" customHeight="1" x14ac:dyDescent="0.3">
      <c r="A1418" s="131">
        <v>45034</v>
      </c>
      <c r="B1418" s="50" t="s">
        <v>534</v>
      </c>
      <c r="C1418" s="5">
        <v>1239164</v>
      </c>
      <c r="D1418" s="5">
        <v>6376253</v>
      </c>
      <c r="E1418" s="5">
        <f>+IF(FINANCIACION[[#This Row],[$ CAPITAL]]&gt;=0,FINANCIACION[[#This Row],[$ CAPITAL]]+FINANCIACION[[#This Row],[$ INTERESES]],"")</f>
        <v>7615417</v>
      </c>
      <c r="F1418" s="5">
        <f>+SUMIFS(FINANCIACION[$ CAPITAL],FINANCIACION[Fecha],"&lt;="&amp;FINANCIACION[[#This Row],[Fecha]],FINANCIACION[PRESTAMO],FINANCIACION[[#This Row],[PRESTAMO]])</f>
        <v>-352889015</v>
      </c>
      <c r="G1418" s="53"/>
      <c r="H1418" s="53"/>
      <c r="I1418" s="5">
        <f>+IF(FINANCIACION[[#This Row],[$ CAPITAL]]&gt;0,FINANCIACION[[#This Row],[$ CAPITAL]])</f>
        <v>1239164</v>
      </c>
      <c r="J1418" s="33">
        <f>+IF(FINANCIACION[[#This Row],[$ CAPITAL]]&gt;=0,FINANCIACION[[#This Row],[$ CAPITAL]]+FINANCIACION[[#This Row],[$ INTERESES]],0)</f>
        <v>7615417</v>
      </c>
    </row>
    <row r="1419" spans="1:10" ht="24" hidden="1" customHeight="1" x14ac:dyDescent="0.3">
      <c r="A1419" s="131">
        <v>45036</v>
      </c>
      <c r="B1419" s="50" t="s">
        <v>1562</v>
      </c>
      <c r="C1419" s="5"/>
      <c r="D1419" s="5">
        <v>200000</v>
      </c>
      <c r="E1419" s="5">
        <f>+IF(FINANCIACION[[#This Row],[$ CAPITAL]]&gt;=0,FINANCIACION[[#This Row],[$ CAPITAL]]+FINANCIACION[[#This Row],[$ INTERESES]],"")</f>
        <v>200000</v>
      </c>
      <c r="F1419" s="5">
        <f>+SUMIFS(FINANCIACION[$ CAPITAL],FINANCIACION[Fecha],"&lt;="&amp;FINANCIACION[[#This Row],[Fecha]],FINANCIACION[PRESTAMO],FINANCIACION[[#This Row],[PRESTAMO]])</f>
        <v>-20000000</v>
      </c>
      <c r="G1419" s="53"/>
      <c r="H1419" s="53"/>
      <c r="I1419" s="5" t="b">
        <f>+IF(FINANCIACION[[#This Row],[$ CAPITAL]]&gt;0,FINANCIACION[[#This Row],[$ CAPITAL]])</f>
        <v>0</v>
      </c>
      <c r="J1419" s="33">
        <f>+IF(FINANCIACION[[#This Row],[$ CAPITAL]]&gt;=0,FINANCIACION[[#This Row],[$ CAPITAL]]+FINANCIACION[[#This Row],[$ INTERESES]],0)</f>
        <v>200000</v>
      </c>
    </row>
    <row r="1420" spans="1:10" ht="24" hidden="1" customHeight="1" x14ac:dyDescent="0.3">
      <c r="A1420" s="131">
        <v>45040</v>
      </c>
      <c r="B1420" s="50" t="s">
        <v>588</v>
      </c>
      <c r="C1420" s="5">
        <v>1666666</v>
      </c>
      <c r="D1420" s="5">
        <v>174334</v>
      </c>
      <c r="E1420" s="5">
        <f>+IF(FINANCIACION[[#This Row],[$ CAPITAL]]&gt;=0,FINANCIACION[[#This Row],[$ CAPITAL]]+FINANCIACION[[#This Row],[$ INTERESES]],"")</f>
        <v>1841000</v>
      </c>
      <c r="F1420" s="5">
        <f>+SUMIFS(FINANCIACION[$ CAPITAL],FINANCIACION[Fecha],"&lt;="&amp;FINANCIACION[[#This Row],[Fecha]],FINANCIACION[PRESTAMO],FINANCIACION[[#This Row],[PRESTAMO]])</f>
        <v>-7787047.2799999975</v>
      </c>
      <c r="G1420" s="53"/>
      <c r="H1420" s="53"/>
      <c r="I1420" s="5">
        <f>+IF(FINANCIACION[[#This Row],[$ CAPITAL]]&gt;0,FINANCIACION[[#This Row],[$ CAPITAL]])</f>
        <v>1666666</v>
      </c>
      <c r="J1420" s="33">
        <f>+IF(FINANCIACION[[#This Row],[$ CAPITAL]]&gt;=0,FINANCIACION[[#This Row],[$ CAPITAL]]+FINANCIACION[[#This Row],[$ INTERESES]],0)</f>
        <v>1841000</v>
      </c>
    </row>
    <row r="1421" spans="1:10" ht="24" hidden="1" customHeight="1" x14ac:dyDescent="0.3">
      <c r="A1421" s="131">
        <v>45040</v>
      </c>
      <c r="B1421" s="50" t="s">
        <v>538</v>
      </c>
      <c r="C1421" s="5">
        <v>2176175</v>
      </c>
      <c r="D1421" s="5">
        <v>97825</v>
      </c>
      <c r="E1421" s="5">
        <f>+IF(FINANCIACION[[#This Row],[$ CAPITAL]]&gt;=0,FINANCIACION[[#This Row],[$ CAPITAL]]+FINANCIACION[[#This Row],[$ INTERESES]],"")</f>
        <v>2274000</v>
      </c>
      <c r="F1421" s="5">
        <f>+SUMIFS(FINANCIACION[$ CAPITAL],FINANCIACION[Fecha],"&lt;="&amp;FINANCIACION[[#This Row],[Fecha]],FINANCIACION[PRESTAMO],FINANCIACION[[#This Row],[PRESTAMO]])</f>
        <v>-4297065.5400000066</v>
      </c>
      <c r="G1421" s="53"/>
      <c r="H1421" s="53"/>
      <c r="I1421" s="5">
        <f>+IF(FINANCIACION[[#This Row],[$ CAPITAL]]&gt;0,FINANCIACION[[#This Row],[$ CAPITAL]])</f>
        <v>2176175</v>
      </c>
      <c r="J1421" s="33">
        <f>+IF(FINANCIACION[[#This Row],[$ CAPITAL]]&gt;=0,FINANCIACION[[#This Row],[$ CAPITAL]]+FINANCIACION[[#This Row],[$ INTERESES]],0)</f>
        <v>2274000</v>
      </c>
    </row>
    <row r="1422" spans="1:10" ht="24" hidden="1" customHeight="1" x14ac:dyDescent="0.3">
      <c r="A1422" s="131">
        <v>45040</v>
      </c>
      <c r="B1422" s="50" t="s">
        <v>539</v>
      </c>
      <c r="C1422" s="5">
        <v>3159000</v>
      </c>
      <c r="D1422" s="5">
        <v>147000</v>
      </c>
      <c r="E1422" s="5">
        <f>+IF(FINANCIACION[[#This Row],[$ CAPITAL]]&gt;=0,FINANCIACION[[#This Row],[$ CAPITAL]]+FINANCIACION[[#This Row],[$ INTERESES]],"")</f>
        <v>3306000</v>
      </c>
      <c r="F1422" s="5">
        <f>+SUMIFS(FINANCIACION[$ CAPITAL],FINANCIACION[Fecha],"&lt;="&amp;FINANCIACION[[#This Row],[Fecha]],FINANCIACION[PRESTAMO],FINANCIACION[[#This Row],[PRESTAMO]])</f>
        <v>-6112898.0599999949</v>
      </c>
      <c r="G1422" s="53"/>
      <c r="H1422" s="53"/>
      <c r="I1422" s="5">
        <f>+IF(FINANCIACION[[#This Row],[$ CAPITAL]]&gt;0,FINANCIACION[[#This Row],[$ CAPITAL]])</f>
        <v>3159000</v>
      </c>
      <c r="J1422" s="33">
        <f>+IF(FINANCIACION[[#This Row],[$ CAPITAL]]&gt;=0,FINANCIACION[[#This Row],[$ CAPITAL]]+FINANCIACION[[#This Row],[$ INTERESES]],0)</f>
        <v>3306000</v>
      </c>
    </row>
    <row r="1423" spans="1:10" ht="24" hidden="1" customHeight="1" x14ac:dyDescent="0.3">
      <c r="A1423" s="131">
        <v>45041</v>
      </c>
      <c r="B1423" s="50" t="s">
        <v>833</v>
      </c>
      <c r="C1423" s="5">
        <v>412958</v>
      </c>
      <c r="D1423" s="5">
        <v>44600</v>
      </c>
      <c r="E1423" s="5">
        <f>+IF(FINANCIACION[[#This Row],[$ CAPITAL]]&gt;=0,FINANCIACION[[#This Row],[$ CAPITAL]]+FINANCIACION[[#This Row],[$ INTERESES]],"")</f>
        <v>457558</v>
      </c>
      <c r="F1423" s="5">
        <f>+SUMIFS(FINANCIACION[$ CAPITAL],FINANCIACION[Fecha],"&lt;="&amp;FINANCIACION[[#This Row],[Fecha]],FINANCIACION[PRESTAMO],FINANCIACION[[#This Row],[PRESTAMO]])</f>
        <v>-43072</v>
      </c>
      <c r="G1423" s="53"/>
      <c r="H1423" s="53"/>
      <c r="I1423" s="5">
        <f>+IF(FINANCIACION[[#This Row],[$ CAPITAL]]&gt;0,FINANCIACION[[#This Row],[$ CAPITAL]])</f>
        <v>412958</v>
      </c>
      <c r="J1423" s="33">
        <f>+IF(FINANCIACION[[#This Row],[$ CAPITAL]]&gt;=0,FINANCIACION[[#This Row],[$ CAPITAL]]+FINANCIACION[[#This Row],[$ INTERESES]],0)</f>
        <v>457558</v>
      </c>
    </row>
    <row r="1424" spans="1:10" ht="24" hidden="1" customHeight="1" x14ac:dyDescent="0.3">
      <c r="A1424" s="131">
        <v>45041</v>
      </c>
      <c r="B1424" s="50" t="s">
        <v>548</v>
      </c>
      <c r="C1424" s="5">
        <v>1481481</v>
      </c>
      <c r="D1424" s="5">
        <v>933519</v>
      </c>
      <c r="E1424" s="5">
        <f>+IF(FINANCIACION[[#This Row],[$ CAPITAL]]&gt;=0,FINANCIACION[[#This Row],[$ CAPITAL]]+FINANCIACION[[#This Row],[$ INTERESES]],"")</f>
        <v>2415000</v>
      </c>
      <c r="F1424" s="5">
        <f>+SUMIFS(FINANCIACION[$ CAPITAL],FINANCIACION[Fecha],"&lt;="&amp;FINANCIACION[[#This Row],[Fecha]],FINANCIACION[PRESTAMO],FINANCIACION[[#This Row],[PRESTAMO]])</f>
        <v>-63639918.449999988</v>
      </c>
      <c r="G1424" s="53"/>
      <c r="H1424" s="53"/>
      <c r="I1424" s="5">
        <f>+IF(FINANCIACION[[#This Row],[$ CAPITAL]]&gt;0,FINANCIACION[[#This Row],[$ CAPITAL]])</f>
        <v>1481481</v>
      </c>
      <c r="J1424" s="33">
        <f>+IF(FINANCIACION[[#This Row],[$ CAPITAL]]&gt;=0,FINANCIACION[[#This Row],[$ CAPITAL]]+FINANCIACION[[#This Row],[$ INTERESES]],0)</f>
        <v>2415000</v>
      </c>
    </row>
    <row r="1425" spans="1:10" ht="24" hidden="1" customHeight="1" x14ac:dyDescent="0.3">
      <c r="A1425" s="131">
        <v>45042</v>
      </c>
      <c r="B1425" s="50" t="s">
        <v>546</v>
      </c>
      <c r="C1425" s="5">
        <v>1077529</v>
      </c>
      <c r="D1425" s="5">
        <v>32471</v>
      </c>
      <c r="E1425" s="5">
        <f>+IF(FINANCIACION[[#This Row],[$ CAPITAL]]&gt;=0,FINANCIACION[[#This Row],[$ CAPITAL]]+FINANCIACION[[#This Row],[$ INTERESES]],"")</f>
        <v>1110000</v>
      </c>
      <c r="F1425" s="5">
        <f>+SUMIFS(FINANCIACION[$ CAPITAL],FINANCIACION[Fecha],"&lt;="&amp;FINANCIACION[[#This Row],[Fecha]],FINANCIACION[PRESTAMO],FINANCIACION[[#This Row],[PRESTAMO]])</f>
        <v>-1027770.7899999991</v>
      </c>
      <c r="G1425" s="53"/>
      <c r="H1425" s="53"/>
      <c r="I1425" s="5">
        <f>+IF(FINANCIACION[[#This Row],[$ CAPITAL]]&gt;0,FINANCIACION[[#This Row],[$ CAPITAL]])</f>
        <v>1077529</v>
      </c>
      <c r="J1425" s="33">
        <f>+IF(FINANCIACION[[#This Row],[$ CAPITAL]]&gt;=0,FINANCIACION[[#This Row],[$ CAPITAL]]+FINANCIACION[[#This Row],[$ INTERESES]],0)</f>
        <v>1110000</v>
      </c>
    </row>
    <row r="1426" spans="1:10" ht="24" hidden="1" customHeight="1" x14ac:dyDescent="0.3">
      <c r="A1426" s="131">
        <v>45046</v>
      </c>
      <c r="B1426" s="50" t="s">
        <v>550</v>
      </c>
      <c r="C1426" s="5"/>
      <c r="D1426" s="5"/>
      <c r="E1426" s="5">
        <f>+IF(FINANCIACION[[#This Row],[$ CAPITAL]]&gt;=0,FINANCIACION[[#This Row],[$ CAPITAL]]+FINANCIACION[[#This Row],[$ INTERESES]],"")</f>
        <v>0</v>
      </c>
      <c r="F1426" s="5">
        <f>+SUMIFS(FINANCIACION[$ CAPITAL],FINANCIACION[Fecha],"&lt;="&amp;FINANCIACION[[#This Row],[Fecha]],FINANCIACION[PRESTAMO],FINANCIACION[[#This Row],[PRESTAMO]])</f>
        <v>-5000000</v>
      </c>
      <c r="G1426" s="53"/>
      <c r="H1426" s="53"/>
      <c r="I1426" s="5" t="b">
        <f>+IF(FINANCIACION[[#This Row],[$ CAPITAL]]&gt;0,FINANCIACION[[#This Row],[$ CAPITAL]])</f>
        <v>0</v>
      </c>
      <c r="J1426" s="33">
        <f>+IF(FINANCIACION[[#This Row],[$ CAPITAL]]&gt;=0,FINANCIACION[[#This Row],[$ CAPITAL]]+FINANCIACION[[#This Row],[$ INTERESES]],0)</f>
        <v>0</v>
      </c>
    </row>
    <row r="1427" spans="1:10" ht="24" hidden="1" customHeight="1" x14ac:dyDescent="0.3">
      <c r="A1427" s="131">
        <v>45046</v>
      </c>
      <c r="B1427" s="50" t="s">
        <v>146</v>
      </c>
      <c r="C1427" s="5">
        <v>0</v>
      </c>
      <c r="D1427" s="5">
        <v>0</v>
      </c>
      <c r="E1427" s="5">
        <f>+IF(FINANCIACION[[#This Row],[$ CAPITAL]]&gt;=0,FINANCIACION[[#This Row],[$ CAPITAL]]+FINANCIACION[[#This Row],[$ INTERESES]],"")</f>
        <v>0</v>
      </c>
      <c r="F1427" s="5">
        <f>+SUMIFS(FINANCIACION[$ CAPITAL],FINANCIACION[Fecha],"&lt;="&amp;FINANCIACION[[#This Row],[Fecha]],FINANCIACION[PRESTAMO],FINANCIACION[[#This Row],[PRESTAMO]])</f>
        <v>-17172920</v>
      </c>
      <c r="G1427" s="53"/>
      <c r="H1427" s="53"/>
      <c r="I1427" s="5" t="b">
        <f>+IF(FINANCIACION[[#This Row],[$ CAPITAL]]&gt;0,FINANCIACION[[#This Row],[$ CAPITAL]])</f>
        <v>0</v>
      </c>
      <c r="J1427" s="33">
        <f>+IF(FINANCIACION[[#This Row],[$ CAPITAL]]&gt;=0,FINANCIACION[[#This Row],[$ CAPITAL]]+FINANCIACION[[#This Row],[$ INTERESES]],0)</f>
        <v>0</v>
      </c>
    </row>
    <row r="1428" spans="1:10" ht="24" hidden="1" customHeight="1" x14ac:dyDescent="0.3">
      <c r="A1428" s="131">
        <v>45046</v>
      </c>
      <c r="B1428" s="50" t="s">
        <v>147</v>
      </c>
      <c r="C1428" s="5">
        <v>0</v>
      </c>
      <c r="D1428" s="5">
        <v>0</v>
      </c>
      <c r="E1428" s="5">
        <f>+IF(FINANCIACION[[#This Row],[$ CAPITAL]]&gt;=0,FINANCIACION[[#This Row],[$ CAPITAL]]+FINANCIACION[[#This Row],[$ INTERESES]],"")</f>
        <v>0</v>
      </c>
      <c r="F1428" s="5">
        <f>+SUMIFS(FINANCIACION[$ CAPITAL],FINANCIACION[Fecha],"&lt;="&amp;FINANCIACION[[#This Row],[Fecha]],FINANCIACION[PRESTAMO],FINANCIACION[[#This Row],[PRESTAMO]])</f>
        <v>-921492</v>
      </c>
      <c r="G1428" s="53"/>
      <c r="H1428" s="53"/>
      <c r="I1428" s="5" t="b">
        <f>+IF(FINANCIACION[[#This Row],[$ CAPITAL]]&gt;0,FINANCIACION[[#This Row],[$ CAPITAL]])</f>
        <v>0</v>
      </c>
      <c r="J1428" s="33">
        <f>+IF(FINANCIACION[[#This Row],[$ CAPITAL]]&gt;=0,FINANCIACION[[#This Row],[$ CAPITAL]]+FINANCIACION[[#This Row],[$ INTERESES]],0)</f>
        <v>0</v>
      </c>
    </row>
    <row r="1429" spans="1:10" ht="24" hidden="1" customHeight="1" x14ac:dyDescent="0.3">
      <c r="A1429" s="131">
        <v>45046</v>
      </c>
      <c r="B1429" s="50" t="s">
        <v>1173</v>
      </c>
      <c r="C1429" s="5">
        <v>0</v>
      </c>
      <c r="D1429" s="5"/>
      <c r="E1429" s="5">
        <f>+IF(FINANCIACION[[#This Row],[$ CAPITAL]]&gt;=0,FINANCIACION[[#This Row],[$ CAPITAL]]+FINANCIACION[[#This Row],[$ INTERESES]],"")</f>
        <v>0</v>
      </c>
      <c r="F1429" s="5">
        <f>+SUMIFS(FINANCIACION[$ CAPITAL],FINANCIACION[Fecha],"&lt;="&amp;FINANCIACION[[#This Row],[Fecha]],FINANCIACION[PRESTAMO],FINANCIACION[[#This Row],[PRESTAMO]])</f>
        <v>-41969872</v>
      </c>
      <c r="G1429" s="53"/>
      <c r="H1429" s="53"/>
      <c r="I1429" s="5" t="b">
        <f>+IF(FINANCIACION[[#This Row],[$ CAPITAL]]&gt;0,FINANCIACION[[#This Row],[$ CAPITAL]])</f>
        <v>0</v>
      </c>
      <c r="J1429" s="33">
        <f>+IF(FINANCIACION[[#This Row],[$ CAPITAL]]&gt;=0,FINANCIACION[[#This Row],[$ CAPITAL]]+FINANCIACION[[#This Row],[$ INTERESES]],0)</f>
        <v>0</v>
      </c>
    </row>
    <row r="1430" spans="1:10" ht="24" hidden="1" customHeight="1" x14ac:dyDescent="0.3">
      <c r="A1430" s="131">
        <v>45046</v>
      </c>
      <c r="B1430" s="50" t="s">
        <v>1382</v>
      </c>
      <c r="C1430" s="5">
        <v>0</v>
      </c>
      <c r="D1430" s="5"/>
      <c r="E1430" s="5">
        <f>+IF(FINANCIACION[[#This Row],[$ CAPITAL]]&gt;=0,FINANCIACION[[#This Row],[$ CAPITAL]]+FINANCIACION[[#This Row],[$ INTERESES]],"")</f>
        <v>0</v>
      </c>
      <c r="F1430" s="5">
        <f>+SUMIFS(FINANCIACION[$ CAPITAL],FINANCIACION[Fecha],"&lt;="&amp;FINANCIACION[[#This Row],[Fecha]],FINANCIACION[PRESTAMO],FINANCIACION[[#This Row],[PRESTAMO]])</f>
        <v>-91650000</v>
      </c>
      <c r="G1430" s="53"/>
      <c r="H1430" s="53"/>
      <c r="I1430" s="5" t="b">
        <f>+IF(FINANCIACION[[#This Row],[$ CAPITAL]]&gt;0,FINANCIACION[[#This Row],[$ CAPITAL]])</f>
        <v>0</v>
      </c>
      <c r="J1430" s="33">
        <f>+IF(FINANCIACION[[#This Row],[$ CAPITAL]]&gt;=0,FINANCIACION[[#This Row],[$ CAPITAL]]+FINANCIACION[[#This Row],[$ INTERESES]],0)</f>
        <v>0</v>
      </c>
    </row>
    <row r="1431" spans="1:10" ht="24" hidden="1" customHeight="1" x14ac:dyDescent="0.3">
      <c r="A1431" s="131">
        <v>45046</v>
      </c>
      <c r="B1431" s="50" t="s">
        <v>1485</v>
      </c>
      <c r="C1431" s="5">
        <v>0</v>
      </c>
      <c r="D1431" s="5"/>
      <c r="E1431" s="5">
        <f>+IF(FINANCIACION[[#This Row],[$ CAPITAL]]&gt;=0,FINANCIACION[[#This Row],[$ CAPITAL]]+FINANCIACION[[#This Row],[$ INTERESES]],"")</f>
        <v>0</v>
      </c>
      <c r="F1431" s="5">
        <f>+SUMIFS(FINANCIACION[$ CAPITAL],FINANCIACION[Fecha],"&lt;="&amp;FINANCIACION[[#This Row],[Fecha]],FINANCIACION[PRESTAMO],FINANCIACION[[#This Row],[PRESTAMO]])</f>
        <v>-58011724</v>
      </c>
      <c r="G1431" s="53" t="s">
        <v>1659</v>
      </c>
      <c r="H1431" s="53"/>
      <c r="I1431" s="5" t="b">
        <f>+IF(FINANCIACION[[#This Row],[$ CAPITAL]]&gt;0,FINANCIACION[[#This Row],[$ CAPITAL]])</f>
        <v>0</v>
      </c>
      <c r="J1431" s="33">
        <f>+IF(FINANCIACION[[#This Row],[$ CAPITAL]]&gt;=0,FINANCIACION[[#This Row],[$ CAPITAL]]+FINANCIACION[[#This Row],[$ INTERESES]],0)</f>
        <v>0</v>
      </c>
    </row>
    <row r="1432" spans="1:10" ht="24" hidden="1" customHeight="1" x14ac:dyDescent="0.3">
      <c r="A1432" s="131">
        <v>45046</v>
      </c>
      <c r="B1432" s="50" t="s">
        <v>833</v>
      </c>
      <c r="C1432" s="5">
        <v>43072</v>
      </c>
      <c r="D1432" s="5"/>
      <c r="E1432" s="5">
        <f>+IF(FINANCIACION[[#This Row],[$ CAPITAL]]&gt;=0,FINANCIACION[[#This Row],[$ CAPITAL]]+FINANCIACION[[#This Row],[$ INTERESES]],"")</f>
        <v>43072</v>
      </c>
      <c r="F1432" s="5">
        <f>+SUMIFS(FINANCIACION[$ CAPITAL],FINANCIACION[Fecha],"&lt;="&amp;FINANCIACION[[#This Row],[Fecha]],FINANCIACION[PRESTAMO],FINANCIACION[[#This Row],[PRESTAMO]])</f>
        <v>0</v>
      </c>
      <c r="G1432" s="53" t="s">
        <v>1484</v>
      </c>
      <c r="H1432" s="53"/>
      <c r="I1432" s="5">
        <f>+IF(FINANCIACION[[#This Row],[$ CAPITAL]]&gt;0,FINANCIACION[[#This Row],[$ CAPITAL]])</f>
        <v>43072</v>
      </c>
      <c r="J1432" s="33">
        <f>+IF(FINANCIACION[[#This Row],[$ CAPITAL]]&gt;=0,FINANCIACION[[#This Row],[$ CAPITAL]]+FINANCIACION[[#This Row],[$ INTERESES]],0)</f>
        <v>43072</v>
      </c>
    </row>
    <row r="1433" spans="1:10" ht="24" hidden="1" customHeight="1" x14ac:dyDescent="0.3">
      <c r="A1433" s="131">
        <v>45046</v>
      </c>
      <c r="B1433" s="50" t="s">
        <v>1488</v>
      </c>
      <c r="C1433" s="5">
        <v>2826258</v>
      </c>
      <c r="D1433" s="5"/>
      <c r="E1433" s="5">
        <f>+IF(FINANCIACION[[#This Row],[$ CAPITAL]]&gt;=0,FINANCIACION[[#This Row],[$ CAPITAL]]+FINANCIACION[[#This Row],[$ INTERESES]],"")</f>
        <v>2826258</v>
      </c>
      <c r="F1433" s="5">
        <f>+SUMIFS(FINANCIACION[$ CAPITAL],FINANCIACION[Fecha],"&lt;="&amp;FINANCIACION[[#This Row],[Fecha]],FINANCIACION[PRESTAMO],FINANCIACION[[#This Row],[PRESTAMO]])</f>
        <v>-90160</v>
      </c>
      <c r="G1433" s="53"/>
      <c r="H1433" s="53"/>
      <c r="I1433" s="5">
        <f>+IF(FINANCIACION[[#This Row],[$ CAPITAL]]&gt;0,FINANCIACION[[#This Row],[$ CAPITAL]])</f>
        <v>2826258</v>
      </c>
      <c r="J1433" s="33">
        <f>+IF(FINANCIACION[[#This Row],[$ CAPITAL]]&gt;=0,FINANCIACION[[#This Row],[$ CAPITAL]]+FINANCIACION[[#This Row],[$ INTERESES]],0)</f>
        <v>2826258</v>
      </c>
    </row>
    <row r="1434" spans="1:10" ht="24" hidden="1" customHeight="1" x14ac:dyDescent="0.3">
      <c r="A1434" s="131">
        <v>45046</v>
      </c>
      <c r="B1434" s="50" t="s">
        <v>154</v>
      </c>
      <c r="C1434" s="5">
        <v>-540500</v>
      </c>
      <c r="D1434" s="5"/>
      <c r="E1434" s="5" t="str">
        <f>+IF(FINANCIACION[[#This Row],[$ CAPITAL]]&gt;=0,FINANCIACION[[#This Row],[$ CAPITAL]]+FINANCIACION[[#This Row],[$ INTERESES]],"")</f>
        <v/>
      </c>
      <c r="F1434" s="5">
        <f>+SUMIFS(FINANCIACION[$ CAPITAL],FINANCIACION[Fecha],"&lt;="&amp;FINANCIACION[[#This Row],[Fecha]],FINANCIACION[PRESTAMO],FINANCIACION[[#This Row],[PRESTAMO]])</f>
        <v>-18052700</v>
      </c>
      <c r="G1434" s="53"/>
      <c r="H1434" s="53"/>
      <c r="I1434" s="5" t="b">
        <f>+IF(FINANCIACION[[#This Row],[$ CAPITAL]]&gt;0,FINANCIACION[[#This Row],[$ CAPITAL]])</f>
        <v>0</v>
      </c>
      <c r="J1434" s="33">
        <f>+IF(FINANCIACION[[#This Row],[$ CAPITAL]]&gt;=0,FINANCIACION[[#This Row],[$ CAPITAL]]+FINANCIACION[[#This Row],[$ INTERESES]],0)</f>
        <v>0</v>
      </c>
    </row>
    <row r="1435" spans="1:10" ht="24" hidden="1" customHeight="1" x14ac:dyDescent="0.3">
      <c r="A1435" s="131">
        <v>45046</v>
      </c>
      <c r="B1435" s="50" t="s">
        <v>155</v>
      </c>
      <c r="C1435" s="5">
        <v>-2011168</v>
      </c>
      <c r="D1435" s="5"/>
      <c r="E1435" s="5" t="str">
        <f>+IF(FINANCIACION[[#This Row],[$ CAPITAL]]&gt;=0,FINANCIACION[[#This Row],[$ CAPITAL]]+FINANCIACION[[#This Row],[$ INTERESES]],"")</f>
        <v/>
      </c>
      <c r="F1435" s="5">
        <f>+SUMIFS(FINANCIACION[$ CAPITAL],FINANCIACION[Fecha],"&lt;="&amp;FINANCIACION[[#This Row],[Fecha]],FINANCIACION[PRESTAMO],FINANCIACION[[#This Row],[PRESTAMO]])</f>
        <v>-25538408</v>
      </c>
      <c r="G1435" s="53"/>
      <c r="H1435" s="53"/>
      <c r="I1435" s="5" t="b">
        <f>+IF(FINANCIACION[[#This Row],[$ CAPITAL]]&gt;0,FINANCIACION[[#This Row],[$ CAPITAL]])</f>
        <v>0</v>
      </c>
      <c r="J1435" s="33">
        <f>+IF(FINANCIACION[[#This Row],[$ CAPITAL]]&gt;=0,FINANCIACION[[#This Row],[$ CAPITAL]]+FINANCIACION[[#This Row],[$ INTERESES]],0)</f>
        <v>0</v>
      </c>
    </row>
    <row r="1436" spans="1:10" ht="24" hidden="1" customHeight="1" x14ac:dyDescent="0.3">
      <c r="A1436" s="131">
        <v>45048</v>
      </c>
      <c r="B1436" s="50" t="s">
        <v>146</v>
      </c>
      <c r="C1436" s="5">
        <v>1468400</v>
      </c>
      <c r="D1436" s="5">
        <v>317725</v>
      </c>
      <c r="E1436" s="5">
        <f>+IF(FINANCIACION[[#This Row],[$ CAPITAL]]&gt;=0,FINANCIACION[[#This Row],[$ CAPITAL]]+FINANCIACION[[#This Row],[$ INTERESES]],"")</f>
        <v>1786125</v>
      </c>
      <c r="F1436" s="5">
        <f>+SUMIFS(FINANCIACION[$ CAPITAL],FINANCIACION[Fecha],"&lt;="&amp;FINANCIACION[[#This Row],[Fecha]],FINANCIACION[PRESTAMO],FINANCIACION[[#This Row],[PRESTAMO]])</f>
        <v>-15704520</v>
      </c>
      <c r="G1436" s="53"/>
      <c r="H1436" s="53"/>
      <c r="I1436" s="5">
        <f>+IF(FINANCIACION[[#This Row],[$ CAPITAL]]&gt;0,FINANCIACION[[#This Row],[$ CAPITAL]])</f>
        <v>1468400</v>
      </c>
      <c r="J1436" s="33">
        <f>+IF(FINANCIACION[[#This Row],[$ CAPITAL]]&gt;=0,FINANCIACION[[#This Row],[$ CAPITAL]]+FINANCIACION[[#This Row],[$ INTERESES]],0)</f>
        <v>1786125</v>
      </c>
    </row>
    <row r="1437" spans="1:10" ht="24" hidden="1" customHeight="1" x14ac:dyDescent="0.3">
      <c r="A1437" s="131">
        <v>45048</v>
      </c>
      <c r="B1437" s="50" t="s">
        <v>147</v>
      </c>
      <c r="C1437" s="5">
        <v>76791</v>
      </c>
      <c r="D1437" s="5"/>
      <c r="E1437" s="5">
        <f>+IF(FINANCIACION[[#This Row],[$ CAPITAL]]&gt;=0,FINANCIACION[[#This Row],[$ CAPITAL]]+FINANCIACION[[#This Row],[$ INTERESES]],"")</f>
        <v>76791</v>
      </c>
      <c r="F1437" s="5">
        <f>+SUMIFS(FINANCIACION[$ CAPITAL],FINANCIACION[Fecha],"&lt;="&amp;FINANCIACION[[#This Row],[Fecha]],FINANCIACION[PRESTAMO],FINANCIACION[[#This Row],[PRESTAMO]])</f>
        <v>-844701</v>
      </c>
      <c r="G1437" s="53"/>
      <c r="H1437" s="53"/>
      <c r="I1437" s="5">
        <f>+IF(FINANCIACION[[#This Row],[$ CAPITAL]]&gt;0,FINANCIACION[[#This Row],[$ CAPITAL]])</f>
        <v>76791</v>
      </c>
      <c r="J1437" s="33">
        <f>+IF(FINANCIACION[[#This Row],[$ CAPITAL]]&gt;=0,FINANCIACION[[#This Row],[$ CAPITAL]]+FINANCIACION[[#This Row],[$ INTERESES]],0)</f>
        <v>76791</v>
      </c>
    </row>
    <row r="1438" spans="1:10" ht="24" hidden="1" customHeight="1" x14ac:dyDescent="0.3">
      <c r="A1438" s="131">
        <v>45048</v>
      </c>
      <c r="B1438" s="50" t="s">
        <v>1489</v>
      </c>
      <c r="C1438" s="5">
        <v>3315898</v>
      </c>
      <c r="D1438" s="5">
        <v>6518092</v>
      </c>
      <c r="E1438" s="5">
        <f>+IF(FINANCIACION[[#This Row],[$ CAPITAL]]&gt;=0,FINANCIACION[[#This Row],[$ CAPITAL]]+FINANCIACION[[#This Row],[$ INTERESES]],"")</f>
        <v>9833990</v>
      </c>
      <c r="F1438" s="5">
        <f>+SUMIFS(FINANCIACION[$ CAPITAL],FINANCIACION[Fecha],"&lt;="&amp;FINANCIACION[[#This Row],[Fecha]],FINANCIACION[PRESTAMO],FINANCIACION[[#This Row],[PRESTAMO]])</f>
        <v>-136684102</v>
      </c>
      <c r="G1438" s="53"/>
      <c r="H1438" s="53"/>
      <c r="I1438" s="5">
        <f>+IF(FINANCIACION[[#This Row],[$ CAPITAL]]&gt;0,FINANCIACION[[#This Row],[$ CAPITAL]])</f>
        <v>3315898</v>
      </c>
      <c r="J1438" s="33">
        <f>+IF(FINANCIACION[[#This Row],[$ CAPITAL]]&gt;=0,FINANCIACION[[#This Row],[$ CAPITAL]]+FINANCIACION[[#This Row],[$ INTERESES]],0)</f>
        <v>9833990</v>
      </c>
    </row>
    <row r="1439" spans="1:10" ht="24" hidden="1" customHeight="1" x14ac:dyDescent="0.3">
      <c r="A1439" s="131">
        <v>45048</v>
      </c>
      <c r="B1439" s="50" t="s">
        <v>542</v>
      </c>
      <c r="C1439" s="5">
        <v>894000</v>
      </c>
      <c r="D1439" s="5">
        <v>66000</v>
      </c>
      <c r="E1439" s="5">
        <f>+IF(FINANCIACION[[#This Row],[$ CAPITAL]]&gt;=0,FINANCIACION[[#This Row],[$ CAPITAL]]+FINANCIACION[[#This Row],[$ INTERESES]],"")</f>
        <v>960000</v>
      </c>
      <c r="F1439" s="5">
        <f>+SUMIFS(FINANCIACION[$ CAPITAL],FINANCIACION[Fecha],"&lt;="&amp;FINANCIACION[[#This Row],[Fecha]],FINANCIACION[PRESTAMO],FINANCIACION[[#This Row],[PRESTAMO]])</f>
        <v>-3501511.0699999984</v>
      </c>
      <c r="G1439" s="53"/>
      <c r="H1439" s="53"/>
      <c r="I1439" s="5">
        <f>+IF(FINANCIACION[[#This Row],[$ CAPITAL]]&gt;0,FINANCIACION[[#This Row],[$ CAPITAL]])</f>
        <v>894000</v>
      </c>
      <c r="J1439" s="33">
        <f>+IF(FINANCIACION[[#This Row],[$ CAPITAL]]&gt;=0,FINANCIACION[[#This Row],[$ CAPITAL]]+FINANCIACION[[#This Row],[$ INTERESES]],0)</f>
        <v>960000</v>
      </c>
    </row>
    <row r="1440" spans="1:10" ht="24" hidden="1" customHeight="1" x14ac:dyDescent="0.3">
      <c r="A1440" s="131">
        <v>45050</v>
      </c>
      <c r="B1440" s="50" t="s">
        <v>540</v>
      </c>
      <c r="C1440" s="5">
        <v>853000</v>
      </c>
      <c r="D1440" s="5">
        <v>49000</v>
      </c>
      <c r="E1440" s="5">
        <f>+IF(FINANCIACION[[#This Row],[$ CAPITAL]]&gt;=0,FINANCIACION[[#This Row],[$ CAPITAL]]+FINANCIACION[[#This Row],[$ INTERESES]],"")</f>
        <v>902000</v>
      </c>
      <c r="F1440" s="5">
        <f>+SUMIFS(FINANCIACION[$ CAPITAL],FINANCIACION[Fecha],"&lt;="&amp;FINANCIACION[[#This Row],[Fecha]],FINANCIACION[PRESTAMO],FINANCIACION[[#This Row],[PRESTAMO]])</f>
        <v>-2487324.6499999985</v>
      </c>
      <c r="G1440" s="53"/>
      <c r="H1440" s="53"/>
      <c r="I1440" s="5">
        <f>+IF(FINANCIACION[[#This Row],[$ CAPITAL]]&gt;0,FINANCIACION[[#This Row],[$ CAPITAL]])</f>
        <v>853000</v>
      </c>
      <c r="J1440" s="33">
        <f>+IF(FINANCIACION[[#This Row],[$ CAPITAL]]&gt;=0,FINANCIACION[[#This Row],[$ CAPITAL]]+FINANCIACION[[#This Row],[$ INTERESES]],0)</f>
        <v>902000</v>
      </c>
    </row>
    <row r="1441" spans="1:10" ht="24" hidden="1" customHeight="1" x14ac:dyDescent="0.3">
      <c r="A1441" s="131">
        <v>45050</v>
      </c>
      <c r="B1441" s="50" t="s">
        <v>535</v>
      </c>
      <c r="C1441" s="5">
        <v>1160000</v>
      </c>
      <c r="D1441" s="5">
        <v>18000</v>
      </c>
      <c r="E1441" s="5">
        <f>+IF(FINANCIACION[[#This Row],[$ CAPITAL]]&gt;=0,FINANCIACION[[#This Row],[$ CAPITAL]]+FINANCIACION[[#This Row],[$ INTERESES]],"")</f>
        <v>1178000</v>
      </c>
      <c r="F1441" s="5">
        <f>+SUMIFS(FINANCIACION[$ CAPITAL],FINANCIACION[Fecha],"&lt;="&amp;FINANCIACION[[#This Row],[Fecha]],FINANCIACION[PRESTAMO],FINANCIACION[[#This Row],[PRESTAMO]])</f>
        <v>-130190.8900000006</v>
      </c>
      <c r="G1441" s="53"/>
      <c r="H1441" s="53"/>
      <c r="I1441" s="5">
        <f>+IF(FINANCIACION[[#This Row],[$ CAPITAL]]&gt;0,FINANCIACION[[#This Row],[$ CAPITAL]])</f>
        <v>1160000</v>
      </c>
      <c r="J1441" s="33">
        <f>+IF(FINANCIACION[[#This Row],[$ CAPITAL]]&gt;=0,FINANCIACION[[#This Row],[$ CAPITAL]]+FINANCIACION[[#This Row],[$ INTERESES]],0)</f>
        <v>1178000</v>
      </c>
    </row>
    <row r="1442" spans="1:10" ht="24" hidden="1" customHeight="1" x14ac:dyDescent="0.3">
      <c r="A1442" s="131">
        <v>45051</v>
      </c>
      <c r="B1442" s="50" t="s">
        <v>148</v>
      </c>
      <c r="C1442" s="5"/>
      <c r="D1442" s="5">
        <v>406397</v>
      </c>
      <c r="E1442" s="5">
        <f>+IF(FINANCIACION[[#This Row],[$ CAPITAL]]&gt;=0,FINANCIACION[[#This Row],[$ CAPITAL]]+FINANCIACION[[#This Row],[$ INTERESES]],"")</f>
        <v>406397</v>
      </c>
      <c r="F1442" s="5">
        <f>+SUMIFS(FINANCIACION[$ CAPITAL],FINANCIACION[Fecha],"&lt;="&amp;FINANCIACION[[#This Row],[Fecha]],FINANCIACION[PRESTAMO],FINANCIACION[[#This Row],[PRESTAMO]])</f>
        <v>0</v>
      </c>
      <c r="G1442" s="53"/>
      <c r="H1442" s="53"/>
      <c r="I1442" s="5" t="b">
        <f>+IF(FINANCIACION[[#This Row],[$ CAPITAL]]&gt;0,FINANCIACION[[#This Row],[$ CAPITAL]])</f>
        <v>0</v>
      </c>
      <c r="J1442" s="33">
        <f>+IF(FINANCIACION[[#This Row],[$ CAPITAL]]&gt;=0,FINANCIACION[[#This Row],[$ CAPITAL]]+FINANCIACION[[#This Row],[$ INTERESES]],0)</f>
        <v>406397</v>
      </c>
    </row>
    <row r="1443" spans="1:10" ht="24" hidden="1" customHeight="1" x14ac:dyDescent="0.3">
      <c r="A1443" s="131">
        <v>45054</v>
      </c>
      <c r="B1443" s="50" t="s">
        <v>543</v>
      </c>
      <c r="C1443" s="5"/>
      <c r="D1443" s="5">
        <v>130000</v>
      </c>
      <c r="E1443" s="5">
        <f>+IF(FINANCIACION[[#This Row],[$ CAPITAL]]&gt;=0,FINANCIACION[[#This Row],[$ CAPITAL]]+FINANCIACION[[#This Row],[$ INTERESES]],"")</f>
        <v>130000</v>
      </c>
      <c r="F1443" s="5">
        <f>+SUMIFS(FINANCIACION[$ CAPITAL],FINANCIACION[Fecha],"&lt;="&amp;FINANCIACION[[#This Row],[Fecha]],FINANCIACION[PRESTAMO],FINANCIACION[[#This Row],[PRESTAMO]])</f>
        <v>-13000000</v>
      </c>
      <c r="G1443" s="53"/>
      <c r="H1443" s="53"/>
      <c r="I1443" s="5" t="b">
        <f>+IF(FINANCIACION[[#This Row],[$ CAPITAL]]&gt;0,FINANCIACION[[#This Row],[$ CAPITAL]])</f>
        <v>0</v>
      </c>
      <c r="J1443" s="33">
        <f>+IF(FINANCIACION[[#This Row],[$ CAPITAL]]&gt;=0,FINANCIACION[[#This Row],[$ CAPITAL]]+FINANCIACION[[#This Row],[$ INTERESES]],0)</f>
        <v>130000</v>
      </c>
    </row>
    <row r="1444" spans="1:10" ht="24" hidden="1" customHeight="1" x14ac:dyDescent="0.3">
      <c r="A1444" s="131">
        <v>45054</v>
      </c>
      <c r="B1444" s="50" t="s">
        <v>1562</v>
      </c>
      <c r="C1444" s="5"/>
      <c r="D1444" s="5">
        <v>200000</v>
      </c>
      <c r="E1444" s="5">
        <f>+IF(FINANCIACION[[#This Row],[$ CAPITAL]]&gt;=0,FINANCIACION[[#This Row],[$ CAPITAL]]+FINANCIACION[[#This Row],[$ INTERESES]],"")</f>
        <v>200000</v>
      </c>
      <c r="F1444" s="5">
        <f>+SUMIFS(FINANCIACION[$ CAPITAL],FINANCIACION[Fecha],"&lt;="&amp;FINANCIACION[[#This Row],[Fecha]],FINANCIACION[PRESTAMO],FINANCIACION[[#This Row],[PRESTAMO]])</f>
        <v>-20000000</v>
      </c>
      <c r="G1444" s="53"/>
      <c r="H1444" s="53"/>
      <c r="I1444" s="5" t="b">
        <f>+IF(FINANCIACION[[#This Row],[$ CAPITAL]]&gt;0,FINANCIACION[[#This Row],[$ CAPITAL]])</f>
        <v>0</v>
      </c>
      <c r="J1444" s="33">
        <f>+IF(FINANCIACION[[#This Row],[$ CAPITAL]]&gt;=0,FINANCIACION[[#This Row],[$ CAPITAL]]+FINANCIACION[[#This Row],[$ INTERESES]],0)</f>
        <v>200000</v>
      </c>
    </row>
    <row r="1445" spans="1:10" ht="24" hidden="1" customHeight="1" x14ac:dyDescent="0.3">
      <c r="A1445" s="131">
        <v>45054</v>
      </c>
      <c r="B1445" s="50" t="s">
        <v>547</v>
      </c>
      <c r="C1445" s="5"/>
      <c r="D1445" s="5">
        <v>350000</v>
      </c>
      <c r="E1445" s="5">
        <f>+IF(FINANCIACION[[#This Row],[$ CAPITAL]]&gt;=0,FINANCIACION[[#This Row],[$ CAPITAL]]+FINANCIACION[[#This Row],[$ INTERESES]],"")</f>
        <v>350000</v>
      </c>
      <c r="F1445" s="5">
        <f>+SUMIFS(FINANCIACION[$ CAPITAL],FINANCIACION[Fecha],"&lt;="&amp;FINANCIACION[[#This Row],[Fecha]],FINANCIACION[PRESTAMO],FINANCIACION[[#This Row],[PRESTAMO]])</f>
        <v>-35000000</v>
      </c>
      <c r="G1445" s="53"/>
      <c r="H1445" s="53"/>
      <c r="I1445" s="5" t="b">
        <f>+IF(FINANCIACION[[#This Row],[$ CAPITAL]]&gt;0,FINANCIACION[[#This Row],[$ CAPITAL]])</f>
        <v>0</v>
      </c>
      <c r="J1445" s="33">
        <f>+IF(FINANCIACION[[#This Row],[$ CAPITAL]]&gt;=0,FINANCIACION[[#This Row],[$ CAPITAL]]+FINANCIACION[[#This Row],[$ INTERESES]],0)</f>
        <v>350000</v>
      </c>
    </row>
    <row r="1446" spans="1:10" ht="24" hidden="1" customHeight="1" x14ac:dyDescent="0.3">
      <c r="A1446" s="131">
        <v>45054</v>
      </c>
      <c r="B1446" s="50" t="s">
        <v>532</v>
      </c>
      <c r="C1446" s="5">
        <v>649886</v>
      </c>
      <c r="D1446" s="5">
        <v>350114</v>
      </c>
      <c r="E1446" s="5">
        <f>+IF(FINANCIACION[[#This Row],[$ CAPITAL]]&gt;=0,FINANCIACION[[#This Row],[$ CAPITAL]]+FINANCIACION[[#This Row],[$ INTERESES]],"")</f>
        <v>1000000</v>
      </c>
      <c r="F1446" s="5">
        <f>+SUMIFS(FINANCIACION[$ CAPITAL],FINANCIACION[Fecha],"&lt;="&amp;FINANCIACION[[#This Row],[Fecha]],FINANCIACION[PRESTAMO],FINANCIACION[[#This Row],[PRESTAMO]])</f>
        <v>-34361536.484479994</v>
      </c>
      <c r="G1446" s="53"/>
      <c r="H1446" s="53"/>
      <c r="I1446" s="5">
        <f>+IF(FINANCIACION[[#This Row],[$ CAPITAL]]&gt;0,FINANCIACION[[#This Row],[$ CAPITAL]])</f>
        <v>649886</v>
      </c>
      <c r="J1446" s="33">
        <f>+IF(FINANCIACION[[#This Row],[$ CAPITAL]]&gt;=0,FINANCIACION[[#This Row],[$ CAPITAL]]+FINANCIACION[[#This Row],[$ INTERESES]],0)</f>
        <v>1000000</v>
      </c>
    </row>
    <row r="1447" spans="1:10" ht="24" hidden="1" customHeight="1" x14ac:dyDescent="0.3">
      <c r="A1447" s="131">
        <v>45054</v>
      </c>
      <c r="B1447" s="50" t="s">
        <v>536</v>
      </c>
      <c r="C1447" s="5">
        <v>1099395</v>
      </c>
      <c r="D1447" s="5">
        <v>200605</v>
      </c>
      <c r="E1447" s="5">
        <f>+IF(FINANCIACION[[#This Row],[$ CAPITAL]]&gt;=0,FINANCIACION[[#This Row],[$ CAPITAL]]+FINANCIACION[[#This Row],[$ INTERESES]],"")</f>
        <v>1300000</v>
      </c>
      <c r="F1447" s="5">
        <f>+SUMIFS(FINANCIACION[$ CAPITAL],FINANCIACION[Fecha],"&lt;="&amp;FINANCIACION[[#This Row],[Fecha]],FINANCIACION[PRESTAMO],FINANCIACION[[#This Row],[PRESTAMO]])</f>
        <v>-18961094.911759749</v>
      </c>
      <c r="G1447" s="53"/>
      <c r="H1447" s="53"/>
      <c r="I1447" s="5">
        <f>+IF(FINANCIACION[[#This Row],[$ CAPITAL]]&gt;0,FINANCIACION[[#This Row],[$ CAPITAL]])</f>
        <v>1099395</v>
      </c>
      <c r="J1447" s="33">
        <f>+IF(FINANCIACION[[#This Row],[$ CAPITAL]]&gt;=0,FINANCIACION[[#This Row],[$ CAPITAL]]+FINANCIACION[[#This Row],[$ INTERESES]],0)</f>
        <v>1300000</v>
      </c>
    </row>
    <row r="1448" spans="1:10" ht="24" hidden="1" customHeight="1" x14ac:dyDescent="0.3">
      <c r="A1448" s="131">
        <v>45054</v>
      </c>
      <c r="B1448" s="50" t="s">
        <v>533</v>
      </c>
      <c r="C1448" s="5">
        <v>1487222</v>
      </c>
      <c r="D1448" s="5">
        <v>512778</v>
      </c>
      <c r="E1448" s="5">
        <f>+IF(FINANCIACION[[#This Row],[$ CAPITAL]]&gt;=0,FINANCIACION[[#This Row],[$ CAPITAL]]+FINANCIACION[[#This Row],[$ INTERESES]],"")</f>
        <v>2000000</v>
      </c>
      <c r="F1448" s="5">
        <f>+SUMIFS(FINANCIACION[$ CAPITAL],FINANCIACION[Fecha],"&lt;="&amp;FINANCIACION[[#This Row],[Fecha]],FINANCIACION[PRESTAMO],FINANCIACION[[#This Row],[PRESTAMO]])</f>
        <v>-49790532.132834516</v>
      </c>
      <c r="G1448" s="53"/>
      <c r="H1448" s="53"/>
      <c r="I1448" s="5">
        <f>+IF(FINANCIACION[[#This Row],[$ CAPITAL]]&gt;0,FINANCIACION[[#This Row],[$ CAPITAL]])</f>
        <v>1487222</v>
      </c>
      <c r="J1448" s="33">
        <f>+IF(FINANCIACION[[#This Row],[$ CAPITAL]]&gt;=0,FINANCIACION[[#This Row],[$ CAPITAL]]+FINANCIACION[[#This Row],[$ INTERESES]],0)</f>
        <v>2000000</v>
      </c>
    </row>
    <row r="1449" spans="1:10" ht="24" hidden="1" customHeight="1" x14ac:dyDescent="0.3">
      <c r="A1449" s="131">
        <v>45054</v>
      </c>
      <c r="B1449" s="50" t="s">
        <v>545</v>
      </c>
      <c r="C1449" s="5"/>
      <c r="D1449" s="5">
        <v>120000</v>
      </c>
      <c r="E1449" s="5">
        <f>+IF(FINANCIACION[[#This Row],[$ CAPITAL]]&gt;=0,FINANCIACION[[#This Row],[$ CAPITAL]]+FINANCIACION[[#This Row],[$ INTERESES]],"")</f>
        <v>120000</v>
      </c>
      <c r="F1449" s="5">
        <f>+SUMIFS(FINANCIACION[$ CAPITAL],FINANCIACION[Fecha],"&lt;="&amp;FINANCIACION[[#This Row],[Fecha]],FINANCIACION[PRESTAMO],FINANCIACION[[#This Row],[PRESTAMO]])</f>
        <v>-12000000</v>
      </c>
      <c r="G1449" s="53"/>
      <c r="H1449" s="53"/>
      <c r="I1449" s="5" t="b">
        <f>+IF(FINANCIACION[[#This Row],[$ CAPITAL]]&gt;0,FINANCIACION[[#This Row],[$ CAPITAL]])</f>
        <v>0</v>
      </c>
      <c r="J1449" s="33">
        <f>+IF(FINANCIACION[[#This Row],[$ CAPITAL]]&gt;=0,FINANCIACION[[#This Row],[$ CAPITAL]]+FINANCIACION[[#This Row],[$ INTERESES]],0)</f>
        <v>120000</v>
      </c>
    </row>
    <row r="1450" spans="1:10" ht="24" hidden="1" customHeight="1" x14ac:dyDescent="0.3">
      <c r="A1450" s="131">
        <v>45055</v>
      </c>
      <c r="B1450" s="50" t="s">
        <v>563</v>
      </c>
      <c r="C1450" s="5"/>
      <c r="D1450" s="5">
        <v>750000</v>
      </c>
      <c r="E1450" s="5">
        <f>+IF(FINANCIACION[[#This Row],[$ CAPITAL]]&gt;=0,FINANCIACION[[#This Row],[$ CAPITAL]]+FINANCIACION[[#This Row],[$ INTERESES]],"")</f>
        <v>750000</v>
      </c>
      <c r="F1450" s="5">
        <f>+SUMIFS(FINANCIACION[$ CAPITAL],FINANCIACION[Fecha],"&lt;="&amp;FINANCIACION[[#This Row],[Fecha]],FINANCIACION[PRESTAMO],FINANCIACION[[#This Row],[PRESTAMO]])</f>
        <v>-75000000</v>
      </c>
      <c r="G1450" s="53"/>
      <c r="H1450" s="53"/>
      <c r="I1450" s="5" t="b">
        <f>+IF(FINANCIACION[[#This Row],[$ CAPITAL]]&gt;0,FINANCIACION[[#This Row],[$ CAPITAL]])</f>
        <v>0</v>
      </c>
      <c r="J1450" s="33">
        <f>+IF(FINANCIACION[[#This Row],[$ CAPITAL]]&gt;=0,FINANCIACION[[#This Row],[$ CAPITAL]]+FINANCIACION[[#This Row],[$ INTERESES]],0)</f>
        <v>750000</v>
      </c>
    </row>
    <row r="1451" spans="1:10" ht="24" hidden="1" customHeight="1" x14ac:dyDescent="0.3">
      <c r="A1451" s="131">
        <v>45055</v>
      </c>
      <c r="B1451" s="50" t="s">
        <v>1487</v>
      </c>
      <c r="C1451" s="5">
        <v>1889477</v>
      </c>
      <c r="D1451" s="5">
        <v>340074</v>
      </c>
      <c r="E1451" s="5">
        <f>+IF(FINANCIACION[[#This Row],[$ CAPITAL]]&gt;=0,FINANCIACION[[#This Row],[$ CAPITAL]]+FINANCIACION[[#This Row],[$ INTERESES]],"")</f>
        <v>2229551</v>
      </c>
      <c r="F1451" s="5">
        <f>+SUMIFS(FINANCIACION[$ CAPITAL],FINANCIACION[Fecha],"&lt;="&amp;FINANCIACION[[#This Row],[Fecha]],FINANCIACION[PRESTAMO],FINANCIACION[[#This Row],[PRESTAMO]])</f>
        <v>-17005293</v>
      </c>
      <c r="G1451" s="53"/>
      <c r="H1451" s="53"/>
      <c r="I1451" s="5">
        <f>+IF(FINANCIACION[[#This Row],[$ CAPITAL]]&gt;0,FINANCIACION[[#This Row],[$ CAPITAL]])</f>
        <v>1889477</v>
      </c>
      <c r="J1451" s="33">
        <f>+IF(FINANCIACION[[#This Row],[$ CAPITAL]]&gt;=0,FINANCIACION[[#This Row],[$ CAPITAL]]+FINANCIACION[[#This Row],[$ INTERESES]],0)</f>
        <v>2229551</v>
      </c>
    </row>
    <row r="1452" spans="1:10" ht="24" hidden="1" customHeight="1" x14ac:dyDescent="0.3">
      <c r="A1452" s="131">
        <v>45058</v>
      </c>
      <c r="B1452" s="50" t="s">
        <v>148</v>
      </c>
      <c r="C1452" s="5"/>
      <c r="D1452" s="5">
        <v>813575</v>
      </c>
      <c r="E1452" s="5">
        <f>+IF(FINANCIACION[[#This Row],[$ CAPITAL]]&gt;=0,FINANCIACION[[#This Row],[$ CAPITAL]]+FINANCIACION[[#This Row],[$ INTERESES]],"")</f>
        <v>813575</v>
      </c>
      <c r="F1452" s="5">
        <f>+SUMIFS(FINANCIACION[$ CAPITAL],FINANCIACION[Fecha],"&lt;="&amp;FINANCIACION[[#This Row],[Fecha]],FINANCIACION[PRESTAMO],FINANCIACION[[#This Row],[PRESTAMO]])</f>
        <v>0</v>
      </c>
      <c r="G1452" s="53"/>
      <c r="H1452" s="53"/>
      <c r="I1452" s="5" t="b">
        <f>+IF(FINANCIACION[[#This Row],[$ CAPITAL]]&gt;0,FINANCIACION[[#This Row],[$ CAPITAL]])</f>
        <v>0</v>
      </c>
      <c r="J1452" s="33">
        <f>+IF(FINANCIACION[[#This Row],[$ CAPITAL]]&gt;=0,FINANCIACION[[#This Row],[$ CAPITAL]]+FINANCIACION[[#This Row],[$ INTERESES]],0)</f>
        <v>813575</v>
      </c>
    </row>
    <row r="1453" spans="1:10" ht="24" hidden="1" customHeight="1" x14ac:dyDescent="0.3">
      <c r="A1453" s="131">
        <v>45061</v>
      </c>
      <c r="B1453" s="50" t="s">
        <v>148</v>
      </c>
      <c r="C1453" s="5"/>
      <c r="D1453" s="5">
        <v>560695</v>
      </c>
      <c r="E1453" s="5">
        <f>+IF(FINANCIACION[[#This Row],[$ CAPITAL]]&gt;=0,FINANCIACION[[#This Row],[$ CAPITAL]]+FINANCIACION[[#This Row],[$ INTERESES]],"")</f>
        <v>560695</v>
      </c>
      <c r="F1453" s="5">
        <f>+SUMIFS(FINANCIACION[$ CAPITAL],FINANCIACION[Fecha],"&lt;="&amp;FINANCIACION[[#This Row],[Fecha]],FINANCIACION[PRESTAMO],FINANCIACION[[#This Row],[PRESTAMO]])</f>
        <v>0</v>
      </c>
      <c r="G1453" s="53"/>
      <c r="H1453" s="53"/>
      <c r="I1453" s="5" t="b">
        <f>+IF(FINANCIACION[[#This Row],[$ CAPITAL]]&gt;0,FINANCIACION[[#This Row],[$ CAPITAL]])</f>
        <v>0</v>
      </c>
      <c r="J1453" s="33">
        <f>+IF(FINANCIACION[[#This Row],[$ CAPITAL]]&gt;=0,FINANCIACION[[#This Row],[$ CAPITAL]]+FINANCIACION[[#This Row],[$ INTERESES]],0)</f>
        <v>560695</v>
      </c>
    </row>
    <row r="1454" spans="1:10" ht="24" hidden="1" customHeight="1" x14ac:dyDescent="0.3">
      <c r="A1454" s="131">
        <v>45061</v>
      </c>
      <c r="B1454" s="50" t="s">
        <v>150</v>
      </c>
      <c r="C1454" s="5">
        <v>417000</v>
      </c>
      <c r="D1454" s="5">
        <v>186494</v>
      </c>
      <c r="E1454" s="5">
        <f>+IF(FINANCIACION[[#This Row],[$ CAPITAL]]&gt;=0,FINANCIACION[[#This Row],[$ CAPITAL]]+FINANCIACION[[#This Row],[$ INTERESES]],"")</f>
        <v>603494</v>
      </c>
      <c r="F1454" s="5">
        <f>+SUMIFS(FINANCIACION[$ CAPITAL],FINANCIACION[Fecha],"&lt;="&amp;FINANCIACION[[#This Row],[Fecha]],FINANCIACION[PRESTAMO],FINANCIACION[[#This Row],[PRESTAMO]])</f>
        <v>-10413000</v>
      </c>
      <c r="G1454" s="53"/>
      <c r="H1454" s="53"/>
      <c r="I1454" s="5">
        <f>+IF(FINANCIACION[[#This Row],[$ CAPITAL]]&gt;0,FINANCIACION[[#This Row],[$ CAPITAL]])</f>
        <v>417000</v>
      </c>
      <c r="J1454" s="33">
        <f>+IF(FINANCIACION[[#This Row],[$ CAPITAL]]&gt;=0,FINANCIACION[[#This Row],[$ CAPITAL]]+FINANCIACION[[#This Row],[$ INTERESES]],0)</f>
        <v>603494</v>
      </c>
    </row>
    <row r="1455" spans="1:10" ht="24" hidden="1" customHeight="1" x14ac:dyDescent="0.3">
      <c r="A1455" s="131">
        <v>45064</v>
      </c>
      <c r="B1455" s="50" t="s">
        <v>534</v>
      </c>
      <c r="C1455" s="5">
        <v>1184963</v>
      </c>
      <c r="D1455" s="5">
        <v>6311276</v>
      </c>
      <c r="E1455" s="5">
        <f>+IF(FINANCIACION[[#This Row],[$ CAPITAL]]&gt;=0,FINANCIACION[[#This Row],[$ CAPITAL]]+FINANCIACION[[#This Row],[$ INTERESES]],"")</f>
        <v>7496239</v>
      </c>
      <c r="F1455" s="5">
        <f>+SUMIFS(FINANCIACION[$ CAPITAL],FINANCIACION[Fecha],"&lt;="&amp;FINANCIACION[[#This Row],[Fecha]],FINANCIACION[PRESTAMO],FINANCIACION[[#This Row],[PRESTAMO]])</f>
        <v>-351704052</v>
      </c>
      <c r="G1455" s="53"/>
      <c r="H1455" s="53"/>
      <c r="I1455" s="5">
        <f>+IF(FINANCIACION[[#This Row],[$ CAPITAL]]&gt;0,FINANCIACION[[#This Row],[$ CAPITAL]])</f>
        <v>1184963</v>
      </c>
      <c r="J1455" s="33">
        <f>+IF(FINANCIACION[[#This Row],[$ CAPITAL]]&gt;=0,FINANCIACION[[#This Row],[$ CAPITAL]]+FINANCIACION[[#This Row],[$ INTERESES]],0)</f>
        <v>7496239</v>
      </c>
    </row>
    <row r="1456" spans="1:10" ht="24" hidden="1" customHeight="1" x14ac:dyDescent="0.3">
      <c r="A1456" s="131">
        <v>45069</v>
      </c>
      <c r="B1456" s="50" t="s">
        <v>588</v>
      </c>
      <c r="C1456" s="5">
        <v>1667000</v>
      </c>
      <c r="D1456" s="5">
        <v>139000</v>
      </c>
      <c r="E1456" s="5">
        <f>+IF(FINANCIACION[[#This Row],[$ CAPITAL]]&gt;=0,FINANCIACION[[#This Row],[$ CAPITAL]]+FINANCIACION[[#This Row],[$ INTERESES]],"")</f>
        <v>1806000</v>
      </c>
      <c r="F1456" s="5">
        <f>+SUMIFS(FINANCIACION[$ CAPITAL],FINANCIACION[Fecha],"&lt;="&amp;FINANCIACION[[#This Row],[Fecha]],FINANCIACION[PRESTAMO],FINANCIACION[[#This Row],[PRESTAMO]])</f>
        <v>-6120047.2799999975</v>
      </c>
      <c r="G1456" s="53"/>
      <c r="H1456" s="53"/>
      <c r="I1456" s="5">
        <f>+IF(FINANCIACION[[#This Row],[$ CAPITAL]]&gt;0,FINANCIACION[[#This Row],[$ CAPITAL]])</f>
        <v>1667000</v>
      </c>
      <c r="J1456" s="33">
        <f>+IF(FINANCIACION[[#This Row],[$ CAPITAL]]&gt;=0,FINANCIACION[[#This Row],[$ CAPITAL]]+FINANCIACION[[#This Row],[$ INTERESES]],0)</f>
        <v>1806000</v>
      </c>
    </row>
    <row r="1457" spans="1:10" ht="24" hidden="1" customHeight="1" x14ac:dyDescent="0.3">
      <c r="A1457" s="131">
        <v>45070</v>
      </c>
      <c r="B1457" s="50" t="s">
        <v>538</v>
      </c>
      <c r="C1457" s="5">
        <v>2176000</v>
      </c>
      <c r="D1457" s="5">
        <v>63000</v>
      </c>
      <c r="E1457" s="5">
        <f>+IF(FINANCIACION[[#This Row],[$ CAPITAL]]&gt;=0,FINANCIACION[[#This Row],[$ CAPITAL]]+FINANCIACION[[#This Row],[$ INTERESES]],"")</f>
        <v>2239000</v>
      </c>
      <c r="F1457" s="5">
        <f>+SUMIFS(FINANCIACION[$ CAPITAL],FINANCIACION[Fecha],"&lt;="&amp;FINANCIACION[[#This Row],[Fecha]],FINANCIACION[PRESTAMO],FINANCIACION[[#This Row],[PRESTAMO]])</f>
        <v>-2121065.5400000066</v>
      </c>
      <c r="G1457" s="53"/>
      <c r="H1457" s="53"/>
      <c r="I1457" s="5">
        <f>+IF(FINANCIACION[[#This Row],[$ CAPITAL]]&gt;0,FINANCIACION[[#This Row],[$ CAPITAL]])</f>
        <v>2176000</v>
      </c>
      <c r="J1457" s="33">
        <f>+IF(FINANCIACION[[#This Row],[$ CAPITAL]]&gt;=0,FINANCIACION[[#This Row],[$ CAPITAL]]+FINANCIACION[[#This Row],[$ INTERESES]],0)</f>
        <v>2239000</v>
      </c>
    </row>
    <row r="1458" spans="1:10" ht="24" hidden="1" customHeight="1" x14ac:dyDescent="0.3">
      <c r="A1458" s="131">
        <v>45070</v>
      </c>
      <c r="B1458" s="50" t="s">
        <v>539</v>
      </c>
      <c r="C1458" s="5">
        <v>3159000</v>
      </c>
      <c r="D1458" s="5">
        <v>94000</v>
      </c>
      <c r="E1458" s="5">
        <f>+IF(FINANCIACION[[#This Row],[$ CAPITAL]]&gt;=0,FINANCIACION[[#This Row],[$ CAPITAL]]+FINANCIACION[[#This Row],[$ INTERESES]],"")</f>
        <v>3253000</v>
      </c>
      <c r="F1458" s="5">
        <f>+SUMIFS(FINANCIACION[$ CAPITAL],FINANCIACION[Fecha],"&lt;="&amp;FINANCIACION[[#This Row],[Fecha]],FINANCIACION[PRESTAMO],FINANCIACION[[#This Row],[PRESTAMO]])</f>
        <v>-2953898.0599999949</v>
      </c>
      <c r="G1458" s="53"/>
      <c r="H1458" s="53"/>
      <c r="I1458" s="5">
        <f>+IF(FINANCIACION[[#This Row],[$ CAPITAL]]&gt;0,FINANCIACION[[#This Row],[$ CAPITAL]])</f>
        <v>3159000</v>
      </c>
      <c r="J1458" s="33">
        <f>+IF(FINANCIACION[[#This Row],[$ CAPITAL]]&gt;=0,FINANCIACION[[#This Row],[$ CAPITAL]]+FINANCIACION[[#This Row],[$ INTERESES]],0)</f>
        <v>3253000</v>
      </c>
    </row>
    <row r="1459" spans="1:10" ht="24" hidden="1" customHeight="1" x14ac:dyDescent="0.3">
      <c r="A1459" s="131">
        <v>45071</v>
      </c>
      <c r="B1459" s="50" t="s">
        <v>548</v>
      </c>
      <c r="C1459" s="5">
        <v>1481000</v>
      </c>
      <c r="D1459" s="5">
        <v>873000</v>
      </c>
      <c r="E1459" s="5">
        <f>+IF(FINANCIACION[[#This Row],[$ CAPITAL]]&gt;=0,FINANCIACION[[#This Row],[$ CAPITAL]]+FINANCIACION[[#This Row],[$ INTERESES]],"")</f>
        <v>2354000</v>
      </c>
      <c r="F1459" s="5">
        <f>+SUMIFS(FINANCIACION[$ CAPITAL],FINANCIACION[Fecha],"&lt;="&amp;FINANCIACION[[#This Row],[Fecha]],FINANCIACION[PRESTAMO],FINANCIACION[[#This Row],[PRESTAMO]])</f>
        <v>-62158918.449999988</v>
      </c>
      <c r="G1459" s="53"/>
      <c r="H1459" s="53"/>
      <c r="I1459" s="5">
        <f>+IF(FINANCIACION[[#This Row],[$ CAPITAL]]&gt;0,FINANCIACION[[#This Row],[$ CAPITAL]])</f>
        <v>1481000</v>
      </c>
      <c r="J1459" s="33">
        <f>+IF(FINANCIACION[[#This Row],[$ CAPITAL]]&gt;=0,FINANCIACION[[#This Row],[$ CAPITAL]]+FINANCIACION[[#This Row],[$ INTERESES]],0)</f>
        <v>2354000</v>
      </c>
    </row>
    <row r="1460" spans="1:10" ht="24" hidden="1" customHeight="1" x14ac:dyDescent="0.3">
      <c r="A1460" s="131">
        <v>45072</v>
      </c>
      <c r="B1460" s="50" t="s">
        <v>546</v>
      </c>
      <c r="C1460" s="5">
        <v>1007000</v>
      </c>
      <c r="D1460" s="5">
        <v>15000</v>
      </c>
      <c r="E1460" s="5">
        <f>+IF(FINANCIACION[[#This Row],[$ CAPITAL]]&gt;=0,FINANCIACION[[#This Row],[$ CAPITAL]]+FINANCIACION[[#This Row],[$ INTERESES]],"")</f>
        <v>1022000</v>
      </c>
      <c r="F1460" s="5">
        <f>+SUMIFS(FINANCIACION[$ CAPITAL],FINANCIACION[Fecha],"&lt;="&amp;FINANCIACION[[#This Row],[Fecha]],FINANCIACION[PRESTAMO],FINANCIACION[[#This Row],[PRESTAMO]])</f>
        <v>-20770.789999999106</v>
      </c>
      <c r="G1460" s="53"/>
      <c r="H1460" s="53"/>
      <c r="I1460" s="5">
        <f>+IF(FINANCIACION[[#This Row],[$ CAPITAL]]&gt;0,FINANCIACION[[#This Row],[$ CAPITAL]])</f>
        <v>1007000</v>
      </c>
      <c r="J1460" s="33">
        <f>+IF(FINANCIACION[[#This Row],[$ CAPITAL]]&gt;=0,FINANCIACION[[#This Row],[$ CAPITAL]]+FINANCIACION[[#This Row],[$ INTERESES]],0)</f>
        <v>1022000</v>
      </c>
    </row>
    <row r="1461" spans="1:10" ht="24" hidden="1" customHeight="1" x14ac:dyDescent="0.3">
      <c r="A1461" s="131">
        <v>45077</v>
      </c>
      <c r="B1461" s="50" t="s">
        <v>550</v>
      </c>
      <c r="C1461" s="5">
        <v>0</v>
      </c>
      <c r="D1461" s="5">
        <v>0</v>
      </c>
      <c r="E1461" s="5">
        <f>+IF(FINANCIACION[[#This Row],[$ CAPITAL]]&gt;=0,FINANCIACION[[#This Row],[$ CAPITAL]]+FINANCIACION[[#This Row],[$ INTERESES]],"")</f>
        <v>0</v>
      </c>
      <c r="F1461" s="5">
        <f>+SUMIFS(FINANCIACION[$ CAPITAL],FINANCIACION[Fecha],"&lt;="&amp;FINANCIACION[[#This Row],[Fecha]],FINANCIACION[PRESTAMO],FINANCIACION[[#This Row],[PRESTAMO]])</f>
        <v>-5000000</v>
      </c>
      <c r="G1461" s="53"/>
      <c r="H1461" s="53"/>
      <c r="I1461" s="5" t="b">
        <f>+IF(FINANCIACION[[#This Row],[$ CAPITAL]]&gt;0,FINANCIACION[[#This Row],[$ CAPITAL]])</f>
        <v>0</v>
      </c>
      <c r="J1461" s="33">
        <f>+IF(FINANCIACION[[#This Row],[$ CAPITAL]]&gt;=0,FINANCIACION[[#This Row],[$ CAPITAL]]+FINANCIACION[[#This Row],[$ INTERESES]],0)</f>
        <v>0</v>
      </c>
    </row>
    <row r="1462" spans="1:10" ht="24" hidden="1" customHeight="1" x14ac:dyDescent="0.3">
      <c r="A1462" s="131">
        <v>45077</v>
      </c>
      <c r="B1462" s="50" t="s">
        <v>146</v>
      </c>
      <c r="C1462" s="5">
        <v>1468400</v>
      </c>
      <c r="D1462" s="5">
        <v>292448</v>
      </c>
      <c r="E1462" s="5">
        <f>+IF(FINANCIACION[[#This Row],[$ CAPITAL]]&gt;=0,FINANCIACION[[#This Row],[$ CAPITAL]]+FINANCIACION[[#This Row],[$ INTERESES]],"")</f>
        <v>1760848</v>
      </c>
      <c r="F1462" s="5">
        <f>+SUMIFS(FINANCIACION[$ CAPITAL],FINANCIACION[Fecha],"&lt;="&amp;FINANCIACION[[#This Row],[Fecha]],FINANCIACION[PRESTAMO],FINANCIACION[[#This Row],[PRESTAMO]])</f>
        <v>-14236120</v>
      </c>
      <c r="G1462" s="53"/>
      <c r="H1462" s="53"/>
      <c r="I1462" s="5">
        <f>+IF(FINANCIACION[[#This Row],[$ CAPITAL]]&gt;0,FINANCIACION[[#This Row],[$ CAPITAL]])</f>
        <v>1468400</v>
      </c>
      <c r="J1462" s="33">
        <f>+IF(FINANCIACION[[#This Row],[$ CAPITAL]]&gt;=0,FINANCIACION[[#This Row],[$ CAPITAL]]+FINANCIACION[[#This Row],[$ INTERESES]],0)</f>
        <v>1760848</v>
      </c>
    </row>
    <row r="1463" spans="1:10" ht="24" hidden="1" customHeight="1" x14ac:dyDescent="0.3">
      <c r="A1463" s="131">
        <v>45077</v>
      </c>
      <c r="B1463" s="50" t="s">
        <v>147</v>
      </c>
      <c r="C1463" s="5">
        <v>76791</v>
      </c>
      <c r="D1463" s="5"/>
      <c r="E1463" s="5">
        <f>+IF(FINANCIACION[[#This Row],[$ CAPITAL]]&gt;=0,FINANCIACION[[#This Row],[$ CAPITAL]]+FINANCIACION[[#This Row],[$ INTERESES]],"")</f>
        <v>76791</v>
      </c>
      <c r="F1463" s="5">
        <f>+SUMIFS(FINANCIACION[$ CAPITAL],FINANCIACION[Fecha],"&lt;="&amp;FINANCIACION[[#This Row],[Fecha]],FINANCIACION[PRESTAMO],FINANCIACION[[#This Row],[PRESTAMO]])</f>
        <v>-767910</v>
      </c>
      <c r="G1463" s="53"/>
      <c r="H1463" s="53"/>
      <c r="I1463" s="5">
        <f>+IF(FINANCIACION[[#This Row],[$ CAPITAL]]&gt;0,FINANCIACION[[#This Row],[$ CAPITAL]])</f>
        <v>76791</v>
      </c>
      <c r="J1463" s="33">
        <f>+IF(FINANCIACION[[#This Row],[$ CAPITAL]]&gt;=0,FINANCIACION[[#This Row],[$ CAPITAL]]+FINANCIACION[[#This Row],[$ INTERESES]],0)</f>
        <v>76791</v>
      </c>
    </row>
    <row r="1464" spans="1:10" ht="24" hidden="1" customHeight="1" x14ac:dyDescent="0.3">
      <c r="A1464" s="131">
        <v>45077</v>
      </c>
      <c r="B1464" s="50" t="s">
        <v>1173</v>
      </c>
      <c r="C1464" s="5">
        <v>1250166</v>
      </c>
      <c r="D1464" s="5"/>
      <c r="E1464" s="5">
        <f>+IF(FINANCIACION[[#This Row],[$ CAPITAL]]&gt;=0,FINANCIACION[[#This Row],[$ CAPITAL]]+FINANCIACION[[#This Row],[$ INTERESES]],"")</f>
        <v>1250166</v>
      </c>
      <c r="F1464" s="5">
        <f>+SUMIFS(FINANCIACION[$ CAPITAL],FINANCIACION[Fecha],"&lt;="&amp;FINANCIACION[[#This Row],[Fecha]],FINANCIACION[PRESTAMO],FINANCIACION[[#This Row],[PRESTAMO]])</f>
        <v>-40719706</v>
      </c>
      <c r="G1464" s="53" t="s">
        <v>1714</v>
      </c>
      <c r="H1464" s="53"/>
      <c r="I1464" s="5">
        <f>+IF(FINANCIACION[[#This Row],[$ CAPITAL]]&gt;0,FINANCIACION[[#This Row],[$ CAPITAL]])</f>
        <v>1250166</v>
      </c>
      <c r="J1464" s="33">
        <f>+IF(FINANCIACION[[#This Row],[$ CAPITAL]]&gt;=0,FINANCIACION[[#This Row],[$ CAPITAL]]+FINANCIACION[[#This Row],[$ INTERESES]],0)</f>
        <v>1250166</v>
      </c>
    </row>
    <row r="1465" spans="1:10" ht="24" hidden="1" customHeight="1" x14ac:dyDescent="0.3">
      <c r="A1465" s="131">
        <v>45077</v>
      </c>
      <c r="B1465" s="50" t="s">
        <v>1382</v>
      </c>
      <c r="C1465" s="5">
        <v>2730000</v>
      </c>
      <c r="D1465" s="5"/>
      <c r="E1465" s="5">
        <f>+IF(FINANCIACION[[#This Row],[$ CAPITAL]]&gt;=0,FINANCIACION[[#This Row],[$ CAPITAL]]+FINANCIACION[[#This Row],[$ INTERESES]],"")</f>
        <v>2730000</v>
      </c>
      <c r="F1465" s="5">
        <f>+SUMIFS(FINANCIACION[$ CAPITAL],FINANCIACION[Fecha],"&lt;="&amp;FINANCIACION[[#This Row],[Fecha]],FINANCIACION[PRESTAMO],FINANCIACION[[#This Row],[PRESTAMO]])</f>
        <v>-88920000</v>
      </c>
      <c r="G1465" s="53"/>
      <c r="H1465" s="53"/>
      <c r="I1465" s="5">
        <f>+IF(FINANCIACION[[#This Row],[$ CAPITAL]]&gt;0,FINANCIACION[[#This Row],[$ CAPITAL]])</f>
        <v>2730000</v>
      </c>
      <c r="J1465" s="33">
        <f>+IF(FINANCIACION[[#This Row],[$ CAPITAL]]&gt;=0,FINANCIACION[[#This Row],[$ CAPITAL]]+FINANCIACION[[#This Row],[$ INTERESES]],0)</f>
        <v>2730000</v>
      </c>
    </row>
    <row r="1466" spans="1:10" ht="24" hidden="1" customHeight="1" x14ac:dyDescent="0.3">
      <c r="A1466" s="131">
        <v>45077</v>
      </c>
      <c r="B1466" s="50" t="s">
        <v>1485</v>
      </c>
      <c r="C1466" s="5">
        <v>1728009</v>
      </c>
      <c r="D1466" s="5"/>
      <c r="E1466" s="5">
        <f>+IF(FINANCIACION[[#This Row],[$ CAPITAL]]&gt;=0,FINANCIACION[[#This Row],[$ CAPITAL]]+FINANCIACION[[#This Row],[$ INTERESES]],"")</f>
        <v>1728009</v>
      </c>
      <c r="F1466" s="5">
        <f>+SUMIFS(FINANCIACION[$ CAPITAL],FINANCIACION[Fecha],"&lt;="&amp;FINANCIACION[[#This Row],[Fecha]],FINANCIACION[PRESTAMO],FINANCIACION[[#This Row],[PRESTAMO]])</f>
        <v>-56283715</v>
      </c>
      <c r="G1466" s="53"/>
      <c r="H1466" s="53"/>
      <c r="I1466" s="5">
        <f>+IF(FINANCIACION[[#This Row],[$ CAPITAL]]&gt;0,FINANCIACION[[#This Row],[$ CAPITAL]])</f>
        <v>1728009</v>
      </c>
      <c r="J1466" s="33">
        <f>+IF(FINANCIACION[[#This Row],[$ CAPITAL]]&gt;=0,FINANCIACION[[#This Row],[$ CAPITAL]]+FINANCIACION[[#This Row],[$ INTERESES]],0)</f>
        <v>1728009</v>
      </c>
    </row>
    <row r="1467" spans="1:10" ht="24" hidden="1" customHeight="1" x14ac:dyDescent="0.3">
      <c r="A1467" s="131">
        <v>45077</v>
      </c>
      <c r="B1467" s="50" t="s">
        <v>546</v>
      </c>
      <c r="C1467" s="5">
        <v>20771</v>
      </c>
      <c r="D1467" s="5"/>
      <c r="E1467" s="5">
        <f>+IF(FINANCIACION[[#This Row],[$ CAPITAL]]&gt;=0,FINANCIACION[[#This Row],[$ CAPITAL]]+FINANCIACION[[#This Row],[$ INTERESES]],"")</f>
        <v>20771</v>
      </c>
      <c r="F1467" s="5">
        <f>+SUMIFS(FINANCIACION[$ CAPITAL],FINANCIACION[Fecha],"&lt;="&amp;FINANCIACION[[#This Row],[Fecha]],FINANCIACION[PRESTAMO],FINANCIACION[[#This Row],[PRESTAMO]])</f>
        <v>0.21000000089406967</v>
      </c>
      <c r="G1467" s="53" t="s">
        <v>1484</v>
      </c>
      <c r="H1467" s="53"/>
      <c r="I1467" s="5">
        <f>+IF(FINANCIACION[[#This Row],[$ CAPITAL]]&gt;0,FINANCIACION[[#This Row],[$ CAPITAL]])</f>
        <v>20771</v>
      </c>
      <c r="J1467" s="33">
        <f>+IF(FINANCIACION[[#This Row],[$ CAPITAL]]&gt;=0,FINANCIACION[[#This Row],[$ CAPITAL]]+FINANCIACION[[#This Row],[$ INTERESES]],0)</f>
        <v>20771</v>
      </c>
    </row>
    <row r="1468" spans="1:10" ht="24" hidden="1" customHeight="1" x14ac:dyDescent="0.3">
      <c r="A1468" s="131">
        <v>45077</v>
      </c>
      <c r="B1468" s="50" t="s">
        <v>535</v>
      </c>
      <c r="C1468" s="5">
        <v>130191</v>
      </c>
      <c r="D1468" s="5"/>
      <c r="E1468" s="5">
        <f>+IF(FINANCIACION[[#This Row],[$ CAPITAL]]&gt;=0,FINANCIACION[[#This Row],[$ CAPITAL]]+FINANCIACION[[#This Row],[$ INTERESES]],"")</f>
        <v>130191</v>
      </c>
      <c r="F1468" s="5">
        <f>+SUMIFS(FINANCIACION[$ CAPITAL],FINANCIACION[Fecha],"&lt;="&amp;FINANCIACION[[#This Row],[Fecha]],FINANCIACION[PRESTAMO],FINANCIACION[[#This Row],[PRESTAMO]])</f>
        <v>0.10999999940395355</v>
      </c>
      <c r="G1468" s="53" t="s">
        <v>1484</v>
      </c>
      <c r="H1468" s="53"/>
      <c r="I1468" s="5">
        <f>+IF(FINANCIACION[[#This Row],[$ CAPITAL]]&gt;0,FINANCIACION[[#This Row],[$ CAPITAL]])</f>
        <v>130191</v>
      </c>
      <c r="J1468" s="33">
        <f>+IF(FINANCIACION[[#This Row],[$ CAPITAL]]&gt;=0,FINANCIACION[[#This Row],[$ CAPITAL]]+FINANCIACION[[#This Row],[$ INTERESES]],0)</f>
        <v>130191</v>
      </c>
    </row>
    <row r="1469" spans="1:10" ht="24" hidden="1" customHeight="1" x14ac:dyDescent="0.3">
      <c r="A1469" s="131">
        <v>45077</v>
      </c>
      <c r="B1469" s="50" t="s">
        <v>1488</v>
      </c>
      <c r="C1469" s="5">
        <v>-4517238</v>
      </c>
      <c r="D1469" s="5"/>
      <c r="E1469" s="5" t="str">
        <f>+IF(FINANCIACION[[#This Row],[$ CAPITAL]]&gt;=0,FINANCIACION[[#This Row],[$ CAPITAL]]+FINANCIACION[[#This Row],[$ INTERESES]],"")</f>
        <v/>
      </c>
      <c r="F1469" s="5">
        <f>+SUMIFS(FINANCIACION[$ CAPITAL],FINANCIACION[Fecha],"&lt;="&amp;FINANCIACION[[#This Row],[Fecha]],FINANCIACION[PRESTAMO],FINANCIACION[[#This Row],[PRESTAMO]])</f>
        <v>-4607398</v>
      </c>
      <c r="G1469" s="53"/>
      <c r="H1469" s="53"/>
      <c r="I1469" s="5" t="b">
        <f>+IF(FINANCIACION[[#This Row],[$ CAPITAL]]&gt;0,FINANCIACION[[#This Row],[$ CAPITAL]])</f>
        <v>0</v>
      </c>
      <c r="J1469" s="33">
        <f>+IF(FINANCIACION[[#This Row],[$ CAPITAL]]&gt;=0,FINANCIACION[[#This Row],[$ CAPITAL]]+FINANCIACION[[#This Row],[$ INTERESES]],0)</f>
        <v>0</v>
      </c>
    </row>
    <row r="1470" spans="1:10" ht="24" hidden="1" customHeight="1" x14ac:dyDescent="0.3">
      <c r="A1470" s="131">
        <v>45077</v>
      </c>
      <c r="B1470" s="50" t="s">
        <v>154</v>
      </c>
      <c r="C1470" s="5">
        <v>-3557140</v>
      </c>
      <c r="D1470" s="5"/>
      <c r="E1470" s="5" t="str">
        <f>+IF(FINANCIACION[[#This Row],[$ CAPITAL]]&gt;=0,FINANCIACION[[#This Row],[$ CAPITAL]]+FINANCIACION[[#This Row],[$ INTERESES]],"")</f>
        <v/>
      </c>
      <c r="F1470" s="5">
        <f>+SUMIFS(FINANCIACION[$ CAPITAL],FINANCIACION[Fecha],"&lt;="&amp;FINANCIACION[[#This Row],[Fecha]],FINANCIACION[PRESTAMO],FINANCIACION[[#This Row],[PRESTAMO]])</f>
        <v>-21609840</v>
      </c>
      <c r="G1470" s="53"/>
      <c r="H1470" s="53"/>
      <c r="I1470" s="5" t="b">
        <f>+IF(FINANCIACION[[#This Row],[$ CAPITAL]]&gt;0,FINANCIACION[[#This Row],[$ CAPITAL]])</f>
        <v>0</v>
      </c>
      <c r="J1470" s="33">
        <f>+IF(FINANCIACION[[#This Row],[$ CAPITAL]]&gt;=0,FINANCIACION[[#This Row],[$ CAPITAL]]+FINANCIACION[[#This Row],[$ INTERESES]],0)</f>
        <v>0</v>
      </c>
    </row>
    <row r="1471" spans="1:10" ht="24" hidden="1" customHeight="1" x14ac:dyDescent="0.3">
      <c r="A1471" s="131">
        <v>45077</v>
      </c>
      <c r="B1471" s="50" t="s">
        <v>155</v>
      </c>
      <c r="C1471" s="5">
        <v>-446369</v>
      </c>
      <c r="D1471" s="5"/>
      <c r="E1471" s="5" t="str">
        <f>+IF(FINANCIACION[[#This Row],[$ CAPITAL]]&gt;=0,FINANCIACION[[#This Row],[$ CAPITAL]]+FINANCIACION[[#This Row],[$ INTERESES]],"")</f>
        <v/>
      </c>
      <c r="F1471" s="5">
        <f>+SUMIFS(FINANCIACION[$ CAPITAL],FINANCIACION[Fecha],"&lt;="&amp;FINANCIACION[[#This Row],[Fecha]],FINANCIACION[PRESTAMO],FINANCIACION[[#This Row],[PRESTAMO]])</f>
        <v>-25984777</v>
      </c>
      <c r="G1471" s="53"/>
      <c r="H1471" s="53"/>
      <c r="I1471" s="5" t="b">
        <f>+IF(FINANCIACION[[#This Row],[$ CAPITAL]]&gt;0,FINANCIACION[[#This Row],[$ CAPITAL]])</f>
        <v>0</v>
      </c>
      <c r="J1471" s="33">
        <f>+IF(FINANCIACION[[#This Row],[$ CAPITAL]]&gt;=0,FINANCIACION[[#This Row],[$ CAPITAL]]+FINANCIACION[[#This Row],[$ INTERESES]],0)</f>
        <v>0</v>
      </c>
    </row>
    <row r="1472" spans="1:10" ht="24" hidden="1" customHeight="1" x14ac:dyDescent="0.3">
      <c r="A1472" s="131">
        <v>45082</v>
      </c>
      <c r="B1472" s="50" t="s">
        <v>148</v>
      </c>
      <c r="C1472" s="5"/>
      <c r="D1472" s="5">
        <v>403608</v>
      </c>
      <c r="E1472" s="5">
        <f>+IF(FINANCIACION[[#This Row],[$ CAPITAL]]&gt;=0,FINANCIACION[[#This Row],[$ CAPITAL]]+FINANCIACION[[#This Row],[$ INTERESES]],"")</f>
        <v>403608</v>
      </c>
      <c r="F1472" s="5">
        <f>+SUMIFS(FINANCIACION[$ CAPITAL],FINANCIACION[Fecha],"&lt;="&amp;FINANCIACION[[#This Row],[Fecha]],FINANCIACION[PRESTAMO],FINANCIACION[[#This Row],[PRESTAMO]])</f>
        <v>0</v>
      </c>
      <c r="G1472" s="53"/>
      <c r="H1472" s="53"/>
      <c r="I1472" s="5" t="b">
        <f>+IF(FINANCIACION[[#This Row],[$ CAPITAL]]&gt;0,FINANCIACION[[#This Row],[$ CAPITAL]])</f>
        <v>0</v>
      </c>
      <c r="J1472" s="33">
        <f>+IF(FINANCIACION[[#This Row],[$ CAPITAL]]&gt;=0,FINANCIACION[[#This Row],[$ CAPITAL]]+FINANCIACION[[#This Row],[$ INTERESES]],0)</f>
        <v>403608</v>
      </c>
    </row>
    <row r="1473" spans="1:10" ht="24" hidden="1" customHeight="1" x14ac:dyDescent="0.3">
      <c r="A1473" s="131">
        <v>45082</v>
      </c>
      <c r="B1473" s="50" t="s">
        <v>540</v>
      </c>
      <c r="C1473" s="5">
        <v>853000</v>
      </c>
      <c r="D1473" s="5">
        <v>36596</v>
      </c>
      <c r="E1473" s="5">
        <f>+IF(FINANCIACION[[#This Row],[$ CAPITAL]]&gt;=0,FINANCIACION[[#This Row],[$ CAPITAL]]+FINANCIACION[[#This Row],[$ INTERESES]],"")</f>
        <v>889596</v>
      </c>
      <c r="F1473" s="5">
        <f>+SUMIFS(FINANCIACION[$ CAPITAL],FINANCIACION[Fecha],"&lt;="&amp;FINANCIACION[[#This Row],[Fecha]],FINANCIACION[PRESTAMO],FINANCIACION[[#This Row],[PRESTAMO]])</f>
        <v>-1634324.6499999985</v>
      </c>
      <c r="G1473" s="53"/>
      <c r="H1473" s="53"/>
      <c r="I1473" s="5">
        <f>+IF(FINANCIACION[[#This Row],[$ CAPITAL]]&gt;0,FINANCIACION[[#This Row],[$ CAPITAL]])</f>
        <v>853000</v>
      </c>
      <c r="J1473" s="33">
        <f>+IF(FINANCIACION[[#This Row],[$ CAPITAL]]&gt;=0,FINANCIACION[[#This Row],[$ CAPITAL]]+FINANCIACION[[#This Row],[$ INTERESES]],0)</f>
        <v>889596</v>
      </c>
    </row>
    <row r="1474" spans="1:10" ht="24" hidden="1" customHeight="1" x14ac:dyDescent="0.3">
      <c r="A1474" s="131">
        <v>45082</v>
      </c>
      <c r="B1474" s="50" t="s">
        <v>1489</v>
      </c>
      <c r="C1474" s="5">
        <v>1586752</v>
      </c>
      <c r="D1474" s="5">
        <v>5432950</v>
      </c>
      <c r="E1474" s="5">
        <f>+IF(FINANCIACION[[#This Row],[$ CAPITAL]]&gt;=0,FINANCIACION[[#This Row],[$ CAPITAL]]+FINANCIACION[[#This Row],[$ INTERESES]],"")</f>
        <v>7019702</v>
      </c>
      <c r="F1474" s="5">
        <f>+SUMIFS(FINANCIACION[$ CAPITAL],FINANCIACION[Fecha],"&lt;="&amp;FINANCIACION[[#This Row],[Fecha]],FINANCIACION[PRESTAMO],FINANCIACION[[#This Row],[PRESTAMO]])</f>
        <v>-135097350</v>
      </c>
      <c r="G1474" s="53"/>
      <c r="H1474" s="53"/>
      <c r="I1474" s="5">
        <f>+IF(FINANCIACION[[#This Row],[$ CAPITAL]]&gt;0,FINANCIACION[[#This Row],[$ CAPITAL]])</f>
        <v>1586752</v>
      </c>
      <c r="J1474" s="33">
        <f>+IF(FINANCIACION[[#This Row],[$ CAPITAL]]&gt;=0,FINANCIACION[[#This Row],[$ CAPITAL]]+FINANCIACION[[#This Row],[$ INTERESES]],0)</f>
        <v>7019702</v>
      </c>
    </row>
    <row r="1475" spans="1:10" ht="24" hidden="1" customHeight="1" x14ac:dyDescent="0.3">
      <c r="A1475" s="131">
        <v>45082</v>
      </c>
      <c r="B1475" s="50" t="s">
        <v>542</v>
      </c>
      <c r="C1475" s="5">
        <v>894000</v>
      </c>
      <c r="D1475" s="5">
        <v>52043</v>
      </c>
      <c r="E1475" s="5">
        <f>+IF(FINANCIACION[[#This Row],[$ CAPITAL]]&gt;=0,FINANCIACION[[#This Row],[$ CAPITAL]]+FINANCIACION[[#This Row],[$ INTERESES]],"")</f>
        <v>946043</v>
      </c>
      <c r="F1475" s="5">
        <f>+SUMIFS(FINANCIACION[$ CAPITAL],FINANCIACION[Fecha],"&lt;="&amp;FINANCIACION[[#This Row],[Fecha]],FINANCIACION[PRESTAMO],FINANCIACION[[#This Row],[PRESTAMO]])</f>
        <v>-2607511.0699999984</v>
      </c>
      <c r="G1475" s="53"/>
      <c r="H1475" s="53"/>
      <c r="I1475" s="5">
        <f>+IF(FINANCIACION[[#This Row],[$ CAPITAL]]&gt;0,FINANCIACION[[#This Row],[$ CAPITAL]])</f>
        <v>894000</v>
      </c>
      <c r="J1475" s="33">
        <f>+IF(FINANCIACION[[#This Row],[$ CAPITAL]]&gt;=0,FINANCIACION[[#This Row],[$ CAPITAL]]+FINANCIACION[[#This Row],[$ INTERESES]],0)</f>
        <v>946043</v>
      </c>
    </row>
    <row r="1476" spans="1:10" ht="24" hidden="1" customHeight="1" x14ac:dyDescent="0.3">
      <c r="A1476" s="131">
        <v>45086</v>
      </c>
      <c r="B1476" s="50" t="s">
        <v>1487</v>
      </c>
      <c r="C1476" s="5">
        <v>1889477</v>
      </c>
      <c r="D1476" s="5">
        <v>319564</v>
      </c>
      <c r="E1476" s="5">
        <f>+IF(FINANCIACION[[#This Row],[$ CAPITAL]]&gt;=0,FINANCIACION[[#This Row],[$ CAPITAL]]+FINANCIACION[[#This Row],[$ INTERESES]],"")</f>
        <v>2209041</v>
      </c>
      <c r="F1476" s="5">
        <f>+SUMIFS(FINANCIACION[$ CAPITAL],FINANCIACION[Fecha],"&lt;="&amp;FINANCIACION[[#This Row],[Fecha]],FINANCIACION[PRESTAMO],FINANCIACION[[#This Row],[PRESTAMO]])</f>
        <v>-15115816</v>
      </c>
      <c r="G1476" s="53"/>
      <c r="H1476" s="53"/>
      <c r="I1476" s="5">
        <f>+IF(FINANCIACION[[#This Row],[$ CAPITAL]]&gt;0,FINANCIACION[[#This Row],[$ CAPITAL]])</f>
        <v>1889477</v>
      </c>
      <c r="J1476" s="33">
        <f>+IF(FINANCIACION[[#This Row],[$ CAPITAL]]&gt;=0,FINANCIACION[[#This Row],[$ CAPITAL]]+FINANCIACION[[#This Row],[$ INTERESES]],0)</f>
        <v>2209041</v>
      </c>
    </row>
    <row r="1477" spans="1:10" ht="24" hidden="1" customHeight="1" x14ac:dyDescent="0.3">
      <c r="A1477" s="131">
        <v>45090</v>
      </c>
      <c r="B1477" s="50" t="s">
        <v>547</v>
      </c>
      <c r="C1477" s="5"/>
      <c r="D1477" s="5">
        <v>350000</v>
      </c>
      <c r="E1477" s="5">
        <f>+IF(FINANCIACION[[#This Row],[$ CAPITAL]]&gt;=0,FINANCIACION[[#This Row],[$ CAPITAL]]+FINANCIACION[[#This Row],[$ INTERESES]],"")</f>
        <v>350000</v>
      </c>
      <c r="F1477" s="5">
        <f>+SUMIFS(FINANCIACION[$ CAPITAL],FINANCIACION[Fecha],"&lt;="&amp;FINANCIACION[[#This Row],[Fecha]],FINANCIACION[PRESTAMO],FINANCIACION[[#This Row],[PRESTAMO]])</f>
        <v>-35000000</v>
      </c>
      <c r="G1477" s="53"/>
      <c r="H1477" s="53"/>
      <c r="I1477" s="5" t="b">
        <f>+IF(FINANCIACION[[#This Row],[$ CAPITAL]]&gt;0,FINANCIACION[[#This Row],[$ CAPITAL]])</f>
        <v>0</v>
      </c>
      <c r="J1477" s="33">
        <f>+IF(FINANCIACION[[#This Row],[$ CAPITAL]]&gt;=0,FINANCIACION[[#This Row],[$ CAPITAL]]+FINANCIACION[[#This Row],[$ INTERESES]],0)</f>
        <v>350000</v>
      </c>
    </row>
    <row r="1478" spans="1:10" ht="24" hidden="1" customHeight="1" x14ac:dyDescent="0.3">
      <c r="A1478" s="131">
        <v>45090</v>
      </c>
      <c r="B1478" s="50" t="s">
        <v>536</v>
      </c>
      <c r="C1478" s="5">
        <v>1110389</v>
      </c>
      <c r="D1478" s="5">
        <v>189611</v>
      </c>
      <c r="E1478" s="5">
        <f>+IF(FINANCIACION[[#This Row],[$ CAPITAL]]&gt;=0,FINANCIACION[[#This Row],[$ CAPITAL]]+FINANCIACION[[#This Row],[$ INTERESES]],"")</f>
        <v>1300000</v>
      </c>
      <c r="F1478" s="5">
        <f>+SUMIFS(FINANCIACION[$ CAPITAL],FINANCIACION[Fecha],"&lt;="&amp;FINANCIACION[[#This Row],[Fecha]],FINANCIACION[PRESTAMO],FINANCIACION[[#This Row],[PRESTAMO]])</f>
        <v>-17850705.911759749</v>
      </c>
      <c r="G1478" s="53"/>
      <c r="H1478" s="53"/>
      <c r="I1478" s="5">
        <f>+IF(FINANCIACION[[#This Row],[$ CAPITAL]]&gt;0,FINANCIACION[[#This Row],[$ CAPITAL]])</f>
        <v>1110389</v>
      </c>
      <c r="J1478" s="33">
        <f>+IF(FINANCIACION[[#This Row],[$ CAPITAL]]&gt;=0,FINANCIACION[[#This Row],[$ CAPITAL]]+FINANCIACION[[#This Row],[$ INTERESES]],0)</f>
        <v>1300000</v>
      </c>
    </row>
    <row r="1479" spans="1:10" ht="24" hidden="1" customHeight="1" x14ac:dyDescent="0.3">
      <c r="A1479" s="131">
        <v>45090</v>
      </c>
      <c r="B1479" s="50" t="s">
        <v>550</v>
      </c>
      <c r="C1479" s="5">
        <v>0</v>
      </c>
      <c r="D1479" s="5">
        <v>0</v>
      </c>
      <c r="E1479" s="5">
        <f>+IF(FINANCIACION[[#This Row],[$ CAPITAL]]&gt;=0,FINANCIACION[[#This Row],[$ CAPITAL]]+FINANCIACION[[#This Row],[$ INTERESES]],"")</f>
        <v>0</v>
      </c>
      <c r="F1479" s="5">
        <f>+SUMIFS(FINANCIACION[$ CAPITAL],FINANCIACION[Fecha],"&lt;="&amp;FINANCIACION[[#This Row],[Fecha]],FINANCIACION[PRESTAMO],FINANCIACION[[#This Row],[PRESTAMO]])</f>
        <v>-5000000</v>
      </c>
      <c r="G1479" s="53"/>
      <c r="H1479" s="53"/>
      <c r="I1479" s="5" t="b">
        <f>+IF(FINANCIACION[[#This Row],[$ CAPITAL]]&gt;0,FINANCIACION[[#This Row],[$ CAPITAL]])</f>
        <v>0</v>
      </c>
      <c r="J1479" s="33">
        <f>+IF(FINANCIACION[[#This Row],[$ CAPITAL]]&gt;=0,FINANCIACION[[#This Row],[$ CAPITAL]]+FINANCIACION[[#This Row],[$ INTERESES]],0)</f>
        <v>0</v>
      </c>
    </row>
    <row r="1480" spans="1:10" ht="24" hidden="1" customHeight="1" x14ac:dyDescent="0.3">
      <c r="A1480" s="131">
        <v>45090</v>
      </c>
      <c r="B1480" s="50" t="s">
        <v>148</v>
      </c>
      <c r="C1480" s="5"/>
      <c r="D1480" s="5">
        <v>774923</v>
      </c>
      <c r="E1480" s="5">
        <f>+IF(FINANCIACION[[#This Row],[$ CAPITAL]]&gt;=0,FINANCIACION[[#This Row],[$ CAPITAL]]+FINANCIACION[[#This Row],[$ INTERESES]],"")</f>
        <v>774923</v>
      </c>
      <c r="F1480" s="5">
        <f>+SUMIFS(FINANCIACION[$ CAPITAL],FINANCIACION[Fecha],"&lt;="&amp;FINANCIACION[[#This Row],[Fecha]],FINANCIACION[PRESTAMO],FINANCIACION[[#This Row],[PRESTAMO]])</f>
        <v>0</v>
      </c>
      <c r="G1480" s="53"/>
      <c r="H1480" s="53"/>
      <c r="I1480" s="5" t="b">
        <f>+IF(FINANCIACION[[#This Row],[$ CAPITAL]]&gt;0,FINANCIACION[[#This Row],[$ CAPITAL]])</f>
        <v>0</v>
      </c>
      <c r="J1480" s="33">
        <f>+IF(FINANCIACION[[#This Row],[$ CAPITAL]]&gt;=0,FINANCIACION[[#This Row],[$ CAPITAL]]+FINANCIACION[[#This Row],[$ INTERESES]],0)</f>
        <v>774923</v>
      </c>
    </row>
    <row r="1481" spans="1:10" ht="24" hidden="1" customHeight="1" x14ac:dyDescent="0.3">
      <c r="A1481" s="131">
        <v>45091</v>
      </c>
      <c r="B1481" s="50" t="s">
        <v>543</v>
      </c>
      <c r="C1481" s="5"/>
      <c r="D1481" s="5">
        <v>130000</v>
      </c>
      <c r="E1481" s="5">
        <f>+IF(FINANCIACION[[#This Row],[$ CAPITAL]]&gt;=0,FINANCIACION[[#This Row],[$ CAPITAL]]+FINANCIACION[[#This Row],[$ INTERESES]],"")</f>
        <v>130000</v>
      </c>
      <c r="F1481" s="5">
        <f>+SUMIFS(FINANCIACION[$ CAPITAL],FINANCIACION[Fecha],"&lt;="&amp;FINANCIACION[[#This Row],[Fecha]],FINANCIACION[PRESTAMO],FINANCIACION[[#This Row],[PRESTAMO]])</f>
        <v>-13000000</v>
      </c>
      <c r="G1481" s="53"/>
      <c r="H1481" s="53"/>
      <c r="I1481" s="5" t="b">
        <f>+IF(FINANCIACION[[#This Row],[$ CAPITAL]]&gt;0,FINANCIACION[[#This Row],[$ CAPITAL]])</f>
        <v>0</v>
      </c>
      <c r="J1481" s="33">
        <f>+IF(FINANCIACION[[#This Row],[$ CAPITAL]]&gt;=0,FINANCIACION[[#This Row],[$ CAPITAL]]+FINANCIACION[[#This Row],[$ INTERESES]],0)</f>
        <v>130000</v>
      </c>
    </row>
    <row r="1482" spans="1:10" ht="24" hidden="1" customHeight="1" x14ac:dyDescent="0.3">
      <c r="A1482" s="131">
        <v>45091</v>
      </c>
      <c r="B1482" s="50" t="s">
        <v>1562</v>
      </c>
      <c r="C1482" s="5"/>
      <c r="D1482" s="5">
        <v>200000</v>
      </c>
      <c r="E1482" s="5">
        <f>+IF(FINANCIACION[[#This Row],[$ CAPITAL]]&gt;=0,FINANCIACION[[#This Row],[$ CAPITAL]]+FINANCIACION[[#This Row],[$ INTERESES]],"")</f>
        <v>200000</v>
      </c>
      <c r="F1482" s="5">
        <f>+SUMIFS(FINANCIACION[$ CAPITAL],FINANCIACION[Fecha],"&lt;="&amp;FINANCIACION[[#This Row],[Fecha]],FINANCIACION[PRESTAMO],FINANCIACION[[#This Row],[PRESTAMO]])</f>
        <v>-20000000</v>
      </c>
      <c r="G1482" s="53"/>
      <c r="H1482" s="53"/>
      <c r="I1482" s="5" t="b">
        <f>+IF(FINANCIACION[[#This Row],[$ CAPITAL]]&gt;0,FINANCIACION[[#This Row],[$ CAPITAL]])</f>
        <v>0</v>
      </c>
      <c r="J1482" s="33">
        <f>+IF(FINANCIACION[[#This Row],[$ CAPITAL]]&gt;=0,FINANCIACION[[#This Row],[$ CAPITAL]]+FINANCIACION[[#This Row],[$ INTERESES]],0)</f>
        <v>200000</v>
      </c>
    </row>
    <row r="1483" spans="1:10" ht="24" hidden="1" customHeight="1" x14ac:dyDescent="0.3">
      <c r="A1483" s="131">
        <v>45091</v>
      </c>
      <c r="B1483" s="50" t="s">
        <v>545</v>
      </c>
      <c r="C1483" s="5"/>
      <c r="D1483" s="5">
        <v>120000</v>
      </c>
      <c r="E1483" s="5">
        <f>+IF(FINANCIACION[[#This Row],[$ CAPITAL]]&gt;=0,FINANCIACION[[#This Row],[$ CAPITAL]]+FINANCIACION[[#This Row],[$ INTERESES]],"")</f>
        <v>120000</v>
      </c>
      <c r="F1483" s="5">
        <f>+SUMIFS(FINANCIACION[$ CAPITAL],FINANCIACION[Fecha],"&lt;="&amp;FINANCIACION[[#This Row],[Fecha]],FINANCIACION[PRESTAMO],FINANCIACION[[#This Row],[PRESTAMO]])</f>
        <v>-12000000</v>
      </c>
      <c r="G1483" s="53"/>
      <c r="H1483" s="53"/>
      <c r="I1483" s="5" t="b">
        <f>+IF(FINANCIACION[[#This Row],[$ CAPITAL]]&gt;0,FINANCIACION[[#This Row],[$ CAPITAL]])</f>
        <v>0</v>
      </c>
      <c r="J1483" s="33">
        <f>+IF(FINANCIACION[[#This Row],[$ CAPITAL]]&gt;=0,FINANCIACION[[#This Row],[$ CAPITAL]]+FINANCIACION[[#This Row],[$ INTERESES]],0)</f>
        <v>120000</v>
      </c>
    </row>
    <row r="1484" spans="1:10" ht="24" hidden="1" customHeight="1" x14ac:dyDescent="0.3">
      <c r="A1484" s="131">
        <v>45092</v>
      </c>
      <c r="B1484" s="50" t="s">
        <v>148</v>
      </c>
      <c r="C1484" s="5"/>
      <c r="D1484" s="5">
        <v>538600</v>
      </c>
      <c r="E1484" s="5">
        <f>+IF(FINANCIACION[[#This Row],[$ CAPITAL]]&gt;=0,FINANCIACION[[#This Row],[$ CAPITAL]]+FINANCIACION[[#This Row],[$ INTERESES]],"")</f>
        <v>538600</v>
      </c>
      <c r="F1484" s="5">
        <f>+SUMIFS(FINANCIACION[$ CAPITAL],FINANCIACION[Fecha],"&lt;="&amp;FINANCIACION[[#This Row],[Fecha]],FINANCIACION[PRESTAMO],FINANCIACION[[#This Row],[PRESTAMO]])</f>
        <v>0</v>
      </c>
      <c r="G1484" s="53"/>
      <c r="H1484" s="53"/>
      <c r="I1484" s="5" t="b">
        <f>+IF(FINANCIACION[[#This Row],[$ CAPITAL]]&gt;0,FINANCIACION[[#This Row],[$ CAPITAL]])</f>
        <v>0</v>
      </c>
      <c r="J1484" s="33">
        <f>+IF(FINANCIACION[[#This Row],[$ CAPITAL]]&gt;=0,FINANCIACION[[#This Row],[$ CAPITAL]]+FINANCIACION[[#This Row],[$ INTERESES]],0)</f>
        <v>538600</v>
      </c>
    </row>
    <row r="1485" spans="1:10" ht="24" hidden="1" customHeight="1" x14ac:dyDescent="0.3">
      <c r="A1485" s="131">
        <v>45093</v>
      </c>
      <c r="B1485" s="50" t="s">
        <v>150</v>
      </c>
      <c r="C1485" s="5">
        <v>417000</v>
      </c>
      <c r="D1485" s="5">
        <v>495747</v>
      </c>
      <c r="E1485" s="5">
        <f>+IF(FINANCIACION[[#This Row],[$ CAPITAL]]&gt;=0,FINANCIACION[[#This Row],[$ CAPITAL]]+FINANCIACION[[#This Row],[$ INTERESES]],"")</f>
        <v>912747</v>
      </c>
      <c r="F1485" s="5">
        <f>+SUMIFS(FINANCIACION[$ CAPITAL],FINANCIACION[Fecha],"&lt;="&amp;FINANCIACION[[#This Row],[Fecha]],FINANCIACION[PRESTAMO],FINANCIACION[[#This Row],[PRESTAMO]])</f>
        <v>-9996000</v>
      </c>
      <c r="G1485" s="53"/>
      <c r="H1485" s="53"/>
      <c r="I1485" s="5">
        <f>+IF(FINANCIACION[[#This Row],[$ CAPITAL]]&gt;0,FINANCIACION[[#This Row],[$ CAPITAL]])</f>
        <v>417000</v>
      </c>
      <c r="J1485" s="33">
        <f>+IF(FINANCIACION[[#This Row],[$ CAPITAL]]&gt;=0,FINANCIACION[[#This Row],[$ CAPITAL]]+FINANCIACION[[#This Row],[$ INTERESES]],0)</f>
        <v>912747</v>
      </c>
    </row>
    <row r="1486" spans="1:10" ht="24" hidden="1" customHeight="1" x14ac:dyDescent="0.3">
      <c r="A1486" s="131">
        <v>45097</v>
      </c>
      <c r="B1486" s="50" t="s">
        <v>588</v>
      </c>
      <c r="C1486" s="5">
        <v>1666666</v>
      </c>
      <c r="D1486" s="5">
        <v>108399</v>
      </c>
      <c r="E1486" s="5">
        <f>+IF(FINANCIACION[[#This Row],[$ CAPITAL]]&gt;=0,FINANCIACION[[#This Row],[$ CAPITAL]]+FINANCIACION[[#This Row],[$ INTERESES]],"")</f>
        <v>1775065</v>
      </c>
      <c r="F1486" s="5">
        <f>+SUMIFS(FINANCIACION[$ CAPITAL],FINANCIACION[Fecha],"&lt;="&amp;FINANCIACION[[#This Row],[Fecha]],FINANCIACION[PRESTAMO],FINANCIACION[[#This Row],[PRESTAMO]])</f>
        <v>-4453381.2799999975</v>
      </c>
      <c r="G1486" s="53"/>
      <c r="H1486" s="53"/>
      <c r="I1486" s="5">
        <f>+IF(FINANCIACION[[#This Row],[$ CAPITAL]]&gt;0,FINANCIACION[[#This Row],[$ CAPITAL]])</f>
        <v>1666666</v>
      </c>
      <c r="J1486" s="33">
        <f>+IF(FINANCIACION[[#This Row],[$ CAPITAL]]&gt;=0,FINANCIACION[[#This Row],[$ CAPITAL]]+FINANCIACION[[#This Row],[$ INTERESES]],0)</f>
        <v>1775065</v>
      </c>
    </row>
    <row r="1487" spans="1:10" ht="24" hidden="1" customHeight="1" x14ac:dyDescent="0.3">
      <c r="A1487" s="131">
        <v>45097</v>
      </c>
      <c r="B1487" s="50" t="s">
        <v>534</v>
      </c>
      <c r="C1487" s="5">
        <v>1206607</v>
      </c>
      <c r="D1487" s="5">
        <v>5908346</v>
      </c>
      <c r="E1487" s="5">
        <f>+IF(FINANCIACION[[#This Row],[$ CAPITAL]]&gt;=0,FINANCIACION[[#This Row],[$ CAPITAL]]+FINANCIACION[[#This Row],[$ INTERESES]],"")</f>
        <v>7114953</v>
      </c>
      <c r="F1487" s="5">
        <f>+SUMIFS(FINANCIACION[$ CAPITAL],FINANCIACION[Fecha],"&lt;="&amp;FINANCIACION[[#This Row],[Fecha]],FINANCIACION[PRESTAMO],FINANCIACION[[#This Row],[PRESTAMO]])</f>
        <v>-350497445</v>
      </c>
      <c r="G1487" s="53"/>
      <c r="H1487" s="53"/>
      <c r="I1487" s="5">
        <f>+IF(FINANCIACION[[#This Row],[$ CAPITAL]]&gt;0,FINANCIACION[[#This Row],[$ CAPITAL]])</f>
        <v>1206607</v>
      </c>
      <c r="J1487" s="33">
        <f>+IF(FINANCIACION[[#This Row],[$ CAPITAL]]&gt;=0,FINANCIACION[[#This Row],[$ CAPITAL]]+FINANCIACION[[#This Row],[$ INTERESES]],0)</f>
        <v>7114953</v>
      </c>
    </row>
    <row r="1488" spans="1:10" ht="24" hidden="1" customHeight="1" x14ac:dyDescent="0.3">
      <c r="A1488" s="131">
        <v>45098</v>
      </c>
      <c r="B1488" s="50" t="s">
        <v>532</v>
      </c>
      <c r="C1488" s="5">
        <v>656384</v>
      </c>
      <c r="D1488" s="5">
        <v>343616</v>
      </c>
      <c r="E1488" s="5">
        <f>+IF(FINANCIACION[[#This Row],[$ CAPITAL]]&gt;=0,FINANCIACION[[#This Row],[$ CAPITAL]]+FINANCIACION[[#This Row],[$ INTERESES]],"")</f>
        <v>1000000</v>
      </c>
      <c r="F1488" s="5">
        <f>+SUMIFS(FINANCIACION[$ CAPITAL],FINANCIACION[Fecha],"&lt;="&amp;FINANCIACION[[#This Row],[Fecha]],FINANCIACION[PRESTAMO],FINANCIACION[[#This Row],[PRESTAMO]])</f>
        <v>-33705152.484479994</v>
      </c>
      <c r="G1488" s="53"/>
      <c r="H1488" s="53"/>
      <c r="I1488" s="5">
        <f>+IF(FINANCIACION[[#This Row],[$ CAPITAL]]&gt;0,FINANCIACION[[#This Row],[$ CAPITAL]])</f>
        <v>656384</v>
      </c>
      <c r="J1488" s="33">
        <f>+IF(FINANCIACION[[#This Row],[$ CAPITAL]]&gt;=0,FINANCIACION[[#This Row],[$ CAPITAL]]+FINANCIACION[[#This Row],[$ INTERESES]],0)</f>
        <v>1000000</v>
      </c>
    </row>
    <row r="1489" spans="1:10" ht="24" hidden="1" customHeight="1" x14ac:dyDescent="0.3">
      <c r="A1489" s="131">
        <v>45098</v>
      </c>
      <c r="B1489" s="50" t="s">
        <v>533</v>
      </c>
      <c r="C1489" s="5">
        <v>1502095</v>
      </c>
      <c r="D1489" s="5">
        <v>497905</v>
      </c>
      <c r="E1489" s="5">
        <f>+IF(FINANCIACION[[#This Row],[$ CAPITAL]]&gt;=0,FINANCIACION[[#This Row],[$ CAPITAL]]+FINANCIACION[[#This Row],[$ INTERESES]],"")</f>
        <v>2000000</v>
      </c>
      <c r="F1489" s="5">
        <f>+SUMIFS(FINANCIACION[$ CAPITAL],FINANCIACION[Fecha],"&lt;="&amp;FINANCIACION[[#This Row],[Fecha]],FINANCIACION[PRESTAMO],FINANCIACION[[#This Row],[PRESTAMO]])</f>
        <v>-48288437.132834516</v>
      </c>
      <c r="G1489" s="53"/>
      <c r="H1489" s="53"/>
      <c r="I1489" s="5">
        <f>+IF(FINANCIACION[[#This Row],[$ CAPITAL]]&gt;0,FINANCIACION[[#This Row],[$ CAPITAL]])</f>
        <v>1502095</v>
      </c>
      <c r="J1489" s="33">
        <f>+IF(FINANCIACION[[#This Row],[$ CAPITAL]]&gt;=0,FINANCIACION[[#This Row],[$ CAPITAL]]+FINANCIACION[[#This Row],[$ INTERESES]],0)</f>
        <v>2000000</v>
      </c>
    </row>
    <row r="1490" spans="1:10" ht="24" hidden="1" customHeight="1" x14ac:dyDescent="0.3">
      <c r="A1490" s="131">
        <v>45100</v>
      </c>
      <c r="B1490" s="50" t="s">
        <v>563</v>
      </c>
      <c r="C1490" s="5"/>
      <c r="D1490" s="5">
        <v>750000</v>
      </c>
      <c r="E1490" s="5">
        <f>+IF(FINANCIACION[[#This Row],[$ CAPITAL]]&gt;=0,FINANCIACION[[#This Row],[$ CAPITAL]]+FINANCIACION[[#This Row],[$ INTERESES]],"")</f>
        <v>750000</v>
      </c>
      <c r="F1490" s="5">
        <f>+SUMIFS(FINANCIACION[$ CAPITAL],FINANCIACION[Fecha],"&lt;="&amp;FINANCIACION[[#This Row],[Fecha]],FINANCIACION[PRESTAMO],FINANCIACION[[#This Row],[PRESTAMO]])</f>
        <v>-75000000</v>
      </c>
      <c r="G1490" s="53"/>
      <c r="H1490" s="53"/>
      <c r="I1490" s="5" t="b">
        <f>+IF(FINANCIACION[[#This Row],[$ CAPITAL]]&gt;0,FINANCIACION[[#This Row],[$ CAPITAL]])</f>
        <v>0</v>
      </c>
      <c r="J1490" s="33">
        <f>+IF(FINANCIACION[[#This Row],[$ CAPITAL]]&gt;=0,FINANCIACION[[#This Row],[$ CAPITAL]]+FINANCIACION[[#This Row],[$ INTERESES]],0)</f>
        <v>750000</v>
      </c>
    </row>
    <row r="1491" spans="1:10" ht="24" hidden="1" customHeight="1" x14ac:dyDescent="0.3">
      <c r="A1491" s="131">
        <v>45103</v>
      </c>
      <c r="B1491" s="50" t="s">
        <v>548</v>
      </c>
      <c r="C1491" s="5">
        <v>1481481</v>
      </c>
      <c r="D1491" s="5">
        <v>852113</v>
      </c>
      <c r="E1491" s="5">
        <f>+IF(FINANCIACION[[#This Row],[$ CAPITAL]]&gt;=0,FINANCIACION[[#This Row],[$ CAPITAL]]+FINANCIACION[[#This Row],[$ INTERESES]],"")</f>
        <v>2333594</v>
      </c>
      <c r="F1491" s="5">
        <f>+SUMIFS(FINANCIACION[$ CAPITAL],FINANCIACION[Fecha],"&lt;="&amp;FINANCIACION[[#This Row],[Fecha]],FINANCIACION[PRESTAMO],FINANCIACION[[#This Row],[PRESTAMO]])</f>
        <v>-60677437.449999988</v>
      </c>
      <c r="G1491" s="53"/>
      <c r="H1491" s="53"/>
      <c r="I1491" s="5">
        <f>+IF(FINANCIACION[[#This Row],[$ CAPITAL]]&gt;0,FINANCIACION[[#This Row],[$ CAPITAL]])</f>
        <v>1481481</v>
      </c>
      <c r="J1491" s="33">
        <f>+IF(FINANCIACION[[#This Row],[$ CAPITAL]]&gt;=0,FINANCIACION[[#This Row],[$ CAPITAL]]+FINANCIACION[[#This Row],[$ INTERESES]],0)</f>
        <v>2333594</v>
      </c>
    </row>
    <row r="1492" spans="1:10" ht="24" hidden="1" customHeight="1" x14ac:dyDescent="0.3">
      <c r="A1492" s="131">
        <v>45103</v>
      </c>
      <c r="B1492" s="50" t="s">
        <v>538</v>
      </c>
      <c r="C1492" s="5">
        <v>2103184</v>
      </c>
      <c r="D1492" s="5">
        <v>30471</v>
      </c>
      <c r="E1492" s="5">
        <f>+IF(FINANCIACION[[#This Row],[$ CAPITAL]]&gt;=0,FINANCIACION[[#This Row],[$ CAPITAL]]+FINANCIACION[[#This Row],[$ INTERESES]],"")</f>
        <v>2133655</v>
      </c>
      <c r="F1492" s="5">
        <f>+SUMIFS(FINANCIACION[$ CAPITAL],FINANCIACION[Fecha],"&lt;="&amp;FINANCIACION[[#This Row],[Fecha]],FINANCIACION[PRESTAMO],FINANCIACION[[#This Row],[PRESTAMO]])</f>
        <v>-17881.540000006557</v>
      </c>
      <c r="G1492" s="53"/>
      <c r="H1492" s="53"/>
      <c r="I1492" s="5">
        <f>+IF(FINANCIACION[[#This Row],[$ CAPITAL]]&gt;0,FINANCIACION[[#This Row],[$ CAPITAL]])</f>
        <v>2103184</v>
      </c>
      <c r="J1492" s="33">
        <f>+IF(FINANCIACION[[#This Row],[$ CAPITAL]]&gt;=0,FINANCIACION[[#This Row],[$ CAPITAL]]+FINANCIACION[[#This Row],[$ INTERESES]],0)</f>
        <v>2133655</v>
      </c>
    </row>
    <row r="1493" spans="1:10" ht="24" hidden="1" customHeight="1" x14ac:dyDescent="0.3">
      <c r="A1493" s="131">
        <v>45104</v>
      </c>
      <c r="B1493" s="50" t="s">
        <v>539</v>
      </c>
      <c r="C1493" s="5">
        <v>2972097</v>
      </c>
      <c r="D1493" s="5">
        <v>45166</v>
      </c>
      <c r="E1493" s="5">
        <f>+IF(FINANCIACION[[#This Row],[$ CAPITAL]]&gt;=0,FINANCIACION[[#This Row],[$ CAPITAL]]+FINANCIACION[[#This Row],[$ INTERESES]],"")</f>
        <v>3017263</v>
      </c>
      <c r="F1493" s="5">
        <f>+SUMIFS(FINANCIACION[$ CAPITAL],FINANCIACION[Fecha],"&lt;="&amp;FINANCIACION[[#This Row],[Fecha]],FINANCIACION[PRESTAMO],FINANCIACION[[#This Row],[PRESTAMO]])</f>
        <v>18198.940000005066</v>
      </c>
      <c r="G1493" s="53"/>
      <c r="H1493" s="53"/>
      <c r="I1493" s="5">
        <f>+IF(FINANCIACION[[#This Row],[$ CAPITAL]]&gt;0,FINANCIACION[[#This Row],[$ CAPITAL]])</f>
        <v>2972097</v>
      </c>
      <c r="J1493" s="33">
        <f>+IF(FINANCIACION[[#This Row],[$ CAPITAL]]&gt;=0,FINANCIACION[[#This Row],[$ CAPITAL]]+FINANCIACION[[#This Row],[$ INTERESES]],0)</f>
        <v>3017263</v>
      </c>
    </row>
    <row r="1494" spans="1:10" ht="24" hidden="1" customHeight="1" x14ac:dyDescent="0.3">
      <c r="A1494" s="235">
        <v>45107</v>
      </c>
      <c r="B1494" s="236" t="s">
        <v>533</v>
      </c>
      <c r="C1494" s="237">
        <v>-1364220</v>
      </c>
      <c r="D1494" s="237"/>
      <c r="E1494" s="237" t="str">
        <f>+IF(FINANCIACION[[#This Row],[$ CAPITAL]]&gt;=0,FINANCIACION[[#This Row],[$ CAPITAL]]+FINANCIACION[[#This Row],[$ INTERESES]],"")</f>
        <v/>
      </c>
      <c r="F1494" s="237">
        <f>+SUMIFS(FINANCIACION[$ CAPITAL],FINANCIACION[Fecha],"&lt;="&amp;FINANCIACION[[#This Row],[Fecha]],FINANCIACION[PRESTAMO],FINANCIACION[[#This Row],[PRESTAMO]])</f>
        <v>-49652657.132834516</v>
      </c>
      <c r="G1494" s="53" t="s">
        <v>1789</v>
      </c>
      <c r="H1494" s="53"/>
      <c r="I1494" s="5" t="b">
        <f>+IF(FINANCIACION[[#This Row],[$ CAPITAL]]&gt;0,FINANCIACION[[#This Row],[$ CAPITAL]])</f>
        <v>0</v>
      </c>
      <c r="J1494" s="33">
        <f>+IF(FINANCIACION[[#This Row],[$ CAPITAL]]&gt;=0,FINANCIACION[[#This Row],[$ CAPITAL]]+FINANCIACION[[#This Row],[$ INTERESES]],0)</f>
        <v>0</v>
      </c>
    </row>
    <row r="1495" spans="1:10" ht="24" hidden="1" customHeight="1" x14ac:dyDescent="0.3">
      <c r="A1495" s="131">
        <v>45107</v>
      </c>
      <c r="B1495" s="50" t="s">
        <v>146</v>
      </c>
      <c r="C1495" s="5">
        <v>1468400</v>
      </c>
      <c r="D1495" s="5">
        <v>260830</v>
      </c>
      <c r="E1495" s="5">
        <f>+IF(FINANCIACION[[#This Row],[$ CAPITAL]]&gt;=0,FINANCIACION[[#This Row],[$ CAPITAL]]+FINANCIACION[[#This Row],[$ INTERESES]],"")</f>
        <v>1729230</v>
      </c>
      <c r="F1495" s="5">
        <f>+SUMIFS(FINANCIACION[$ CAPITAL],FINANCIACION[Fecha],"&lt;="&amp;FINANCIACION[[#This Row],[Fecha]],FINANCIACION[PRESTAMO],FINANCIACION[[#This Row],[PRESTAMO]])</f>
        <v>-13215600</v>
      </c>
      <c r="G1495" s="53"/>
      <c r="H1495" s="53"/>
      <c r="I1495" s="5">
        <f>+IF(FINANCIACION[[#This Row],[$ CAPITAL]]&gt;0,FINANCIACION[[#This Row],[$ CAPITAL]])</f>
        <v>1468400</v>
      </c>
      <c r="J1495" s="33">
        <f>+IF(FINANCIACION[[#This Row],[$ CAPITAL]]&gt;=0,FINANCIACION[[#This Row],[$ CAPITAL]]+FINANCIACION[[#This Row],[$ INTERESES]],0)</f>
        <v>1729230</v>
      </c>
    </row>
    <row r="1496" spans="1:10" ht="24" hidden="1" customHeight="1" x14ac:dyDescent="0.3">
      <c r="A1496" s="235">
        <v>45107</v>
      </c>
      <c r="B1496" s="236" t="s">
        <v>146</v>
      </c>
      <c r="C1496" s="237">
        <v>-447880</v>
      </c>
      <c r="D1496" s="237"/>
      <c r="E1496" s="237" t="str">
        <f>+IF(FINANCIACION[[#This Row],[$ CAPITAL]]&gt;=0,FINANCIACION[[#This Row],[$ CAPITAL]]+FINANCIACION[[#This Row],[$ INTERESES]],"")</f>
        <v/>
      </c>
      <c r="F1496" s="237">
        <f>+SUMIFS(FINANCIACION[$ CAPITAL],FINANCIACION[Fecha],"&lt;="&amp;FINANCIACION[[#This Row],[Fecha]],FINANCIACION[PRESTAMO],FINANCIACION[[#This Row],[PRESTAMO]])</f>
        <v>-13215600</v>
      </c>
      <c r="G1496" s="53" t="s">
        <v>1789</v>
      </c>
      <c r="H1496" s="53"/>
      <c r="I1496" s="5" t="b">
        <f>+IF(FINANCIACION[[#This Row],[$ CAPITAL]]&gt;0,FINANCIACION[[#This Row],[$ CAPITAL]])</f>
        <v>0</v>
      </c>
      <c r="J1496" s="33">
        <f>+IF(FINANCIACION[[#This Row],[$ CAPITAL]]&gt;=0,FINANCIACION[[#This Row],[$ CAPITAL]]+FINANCIACION[[#This Row],[$ INTERESES]],0)</f>
        <v>0</v>
      </c>
    </row>
    <row r="1497" spans="1:10" ht="24" hidden="1" customHeight="1" x14ac:dyDescent="0.3">
      <c r="A1497" s="131">
        <v>45107</v>
      </c>
      <c r="B1497" s="50" t="s">
        <v>147</v>
      </c>
      <c r="C1497" s="5">
        <v>76791</v>
      </c>
      <c r="D1497" s="5"/>
      <c r="E1497" s="5">
        <f>+IF(FINANCIACION[[#This Row],[$ CAPITAL]]&gt;=0,FINANCIACION[[#This Row],[$ CAPITAL]]+FINANCIACION[[#This Row],[$ INTERESES]],"")</f>
        <v>76791</v>
      </c>
      <c r="F1497" s="5">
        <f>+SUMIFS(FINANCIACION[$ CAPITAL],FINANCIACION[Fecha],"&lt;="&amp;FINANCIACION[[#This Row],[Fecha]],FINANCIACION[PRESTAMO],FINANCIACION[[#This Row],[PRESTAMO]])</f>
        <v>-691119</v>
      </c>
      <c r="G1497" s="53"/>
      <c r="H1497" s="53"/>
      <c r="I1497" s="5">
        <f>+IF(FINANCIACION[[#This Row],[$ CAPITAL]]&gt;0,FINANCIACION[[#This Row],[$ CAPITAL]])</f>
        <v>76791</v>
      </c>
      <c r="J1497" s="33">
        <f>+IF(FINANCIACION[[#This Row],[$ CAPITAL]]&gt;=0,FINANCIACION[[#This Row],[$ CAPITAL]]+FINANCIACION[[#This Row],[$ INTERESES]],0)</f>
        <v>76791</v>
      </c>
    </row>
    <row r="1498" spans="1:10" ht="24" hidden="1" customHeight="1" x14ac:dyDescent="0.3">
      <c r="A1498" s="131">
        <v>45107</v>
      </c>
      <c r="B1498" s="50" t="s">
        <v>1173</v>
      </c>
      <c r="C1498" s="5">
        <v>1875250</v>
      </c>
      <c r="D1498" s="5"/>
      <c r="E1498" s="5">
        <f>+IF(FINANCIACION[[#This Row],[$ CAPITAL]]&gt;=0,FINANCIACION[[#This Row],[$ CAPITAL]]+FINANCIACION[[#This Row],[$ INTERESES]],"")</f>
        <v>1875250</v>
      </c>
      <c r="F1498" s="5">
        <f>+SUMIFS(FINANCIACION[$ CAPITAL],FINANCIACION[Fecha],"&lt;="&amp;FINANCIACION[[#This Row],[Fecha]],FINANCIACION[PRESTAMO],FINANCIACION[[#This Row],[PRESTAMO]])</f>
        <v>-38844456</v>
      </c>
      <c r="G1498" s="53" t="s">
        <v>1790</v>
      </c>
      <c r="H1498" s="53"/>
      <c r="I1498" s="5">
        <f>+IF(FINANCIACION[[#This Row],[$ CAPITAL]]&gt;0,FINANCIACION[[#This Row],[$ CAPITAL]])</f>
        <v>1875250</v>
      </c>
      <c r="J1498" s="33">
        <f>+IF(FINANCIACION[[#This Row],[$ CAPITAL]]&gt;=0,FINANCIACION[[#This Row],[$ CAPITAL]]+FINANCIACION[[#This Row],[$ INTERESES]],0)</f>
        <v>1875250</v>
      </c>
    </row>
    <row r="1499" spans="1:10" ht="24" hidden="1" customHeight="1" x14ac:dyDescent="0.3">
      <c r="A1499" s="131">
        <v>45107</v>
      </c>
      <c r="B1499" s="50" t="s">
        <v>1382</v>
      </c>
      <c r="C1499" s="5">
        <v>4095000</v>
      </c>
      <c r="D1499" s="5"/>
      <c r="E1499" s="5">
        <f>+IF(FINANCIACION[[#This Row],[$ CAPITAL]]&gt;=0,FINANCIACION[[#This Row],[$ CAPITAL]]+FINANCIACION[[#This Row],[$ INTERESES]],"")</f>
        <v>4095000</v>
      </c>
      <c r="F1499" s="5">
        <f>+SUMIFS(FINANCIACION[$ CAPITAL],FINANCIACION[Fecha],"&lt;="&amp;FINANCIACION[[#This Row],[Fecha]],FINANCIACION[PRESTAMO],FINANCIACION[[#This Row],[PRESTAMO]])</f>
        <v>-84825000</v>
      </c>
      <c r="G1499" s="53"/>
      <c r="H1499" s="53"/>
      <c r="I1499" s="5">
        <f>+IF(FINANCIACION[[#This Row],[$ CAPITAL]]&gt;0,FINANCIACION[[#This Row],[$ CAPITAL]])</f>
        <v>4095000</v>
      </c>
      <c r="J1499" s="33">
        <f>+IF(FINANCIACION[[#This Row],[$ CAPITAL]]&gt;=0,FINANCIACION[[#This Row],[$ CAPITAL]]+FINANCIACION[[#This Row],[$ INTERESES]],0)</f>
        <v>4095000</v>
      </c>
    </row>
    <row r="1500" spans="1:10" ht="24" hidden="1" customHeight="1" x14ac:dyDescent="0.3">
      <c r="A1500" s="131">
        <v>45107</v>
      </c>
      <c r="B1500" s="50" t="s">
        <v>1485</v>
      </c>
      <c r="C1500" s="5">
        <v>2592013</v>
      </c>
      <c r="D1500" s="5"/>
      <c r="E1500" s="5">
        <f>+IF(FINANCIACION[[#This Row],[$ CAPITAL]]&gt;=0,FINANCIACION[[#This Row],[$ CAPITAL]]+FINANCIACION[[#This Row],[$ INTERESES]],"")</f>
        <v>2592013</v>
      </c>
      <c r="F1500" s="5">
        <f>+SUMIFS(FINANCIACION[$ CAPITAL],FINANCIACION[Fecha],"&lt;="&amp;FINANCIACION[[#This Row],[Fecha]],FINANCIACION[PRESTAMO],FINANCIACION[[#This Row],[PRESTAMO]])</f>
        <v>-53691702</v>
      </c>
      <c r="G1500" s="53"/>
      <c r="H1500" s="53"/>
      <c r="I1500" s="5">
        <f>+IF(FINANCIACION[[#This Row],[$ CAPITAL]]&gt;0,FINANCIACION[[#This Row],[$ CAPITAL]])</f>
        <v>2592013</v>
      </c>
      <c r="J1500" s="33">
        <f>+IF(FINANCIACION[[#This Row],[$ CAPITAL]]&gt;=0,FINANCIACION[[#This Row],[$ CAPITAL]]+FINANCIACION[[#This Row],[$ INTERESES]],0)</f>
        <v>2592013</v>
      </c>
    </row>
    <row r="1501" spans="1:10" ht="24" hidden="1" customHeight="1" x14ac:dyDescent="0.3">
      <c r="A1501" s="235">
        <v>45107</v>
      </c>
      <c r="B1501" s="236" t="s">
        <v>150</v>
      </c>
      <c r="C1501" s="237">
        <v>-94820</v>
      </c>
      <c r="D1501" s="237"/>
      <c r="E1501" s="237" t="str">
        <f>+IF(FINANCIACION[[#This Row],[$ CAPITAL]]&gt;=0,FINANCIACION[[#This Row],[$ CAPITAL]]+FINANCIACION[[#This Row],[$ INTERESES]],"")</f>
        <v/>
      </c>
      <c r="F1501" s="237">
        <f>+SUMIFS(FINANCIACION[$ CAPITAL],FINANCIACION[Fecha],"&lt;="&amp;FINANCIACION[[#This Row],[Fecha]],FINANCIACION[PRESTAMO],FINANCIACION[[#This Row],[PRESTAMO]])</f>
        <v>-10090820</v>
      </c>
      <c r="G1501" s="53" t="s">
        <v>1789</v>
      </c>
      <c r="H1501" s="53"/>
      <c r="I1501" s="5" t="b">
        <f>+IF(FINANCIACION[[#This Row],[$ CAPITAL]]&gt;0,FINANCIACION[[#This Row],[$ CAPITAL]])</f>
        <v>0</v>
      </c>
      <c r="J1501" s="33">
        <f>+IF(FINANCIACION[[#This Row],[$ CAPITAL]]&gt;=0,FINANCIACION[[#This Row],[$ CAPITAL]]+FINANCIACION[[#This Row],[$ INTERESES]],0)</f>
        <v>0</v>
      </c>
    </row>
    <row r="1502" spans="1:10" ht="24" hidden="1" customHeight="1" x14ac:dyDescent="0.3">
      <c r="A1502" s="235">
        <v>45107</v>
      </c>
      <c r="B1502" s="236" t="s">
        <v>588</v>
      </c>
      <c r="C1502" s="237">
        <v>72151</v>
      </c>
      <c r="D1502" s="237"/>
      <c r="E1502" s="237">
        <f>+IF(FINANCIACION[[#This Row],[$ CAPITAL]]&gt;=0,FINANCIACION[[#This Row],[$ CAPITAL]]+FINANCIACION[[#This Row],[$ INTERESES]],"")</f>
        <v>72151</v>
      </c>
      <c r="F1502" s="237">
        <f>+SUMIFS(FINANCIACION[$ CAPITAL],FINANCIACION[Fecha],"&lt;="&amp;FINANCIACION[[#This Row],[Fecha]],FINANCIACION[PRESTAMO],FINANCIACION[[#This Row],[PRESTAMO]])</f>
        <v>-4381230.2799999975</v>
      </c>
      <c r="G1502" s="53" t="s">
        <v>1789</v>
      </c>
      <c r="H1502" s="53"/>
      <c r="I1502" s="5">
        <f>+IF(FINANCIACION[[#This Row],[$ CAPITAL]]&gt;0,FINANCIACION[[#This Row],[$ CAPITAL]])</f>
        <v>72151</v>
      </c>
      <c r="J1502" s="33">
        <f>+IF(FINANCIACION[[#This Row],[$ CAPITAL]]&gt;=0,FINANCIACION[[#This Row],[$ CAPITAL]]+FINANCIACION[[#This Row],[$ INTERESES]],0)</f>
        <v>72151</v>
      </c>
    </row>
    <row r="1503" spans="1:10" ht="24" hidden="1" customHeight="1" x14ac:dyDescent="0.3">
      <c r="A1503" s="235">
        <v>45107</v>
      </c>
      <c r="B1503" s="236" t="s">
        <v>540</v>
      </c>
      <c r="C1503" s="237">
        <v>8573</v>
      </c>
      <c r="D1503" s="237"/>
      <c r="E1503" s="237">
        <f>+IF(FINANCIACION[[#This Row],[$ CAPITAL]]&gt;=0,FINANCIACION[[#This Row],[$ CAPITAL]]+FINANCIACION[[#This Row],[$ INTERESES]],"")</f>
        <v>8573</v>
      </c>
      <c r="F1503" s="237">
        <f>+SUMIFS(FINANCIACION[$ CAPITAL],FINANCIACION[Fecha],"&lt;="&amp;FINANCIACION[[#This Row],[Fecha]],FINANCIACION[PRESTAMO],FINANCIACION[[#This Row],[PRESTAMO]])</f>
        <v>-1625751.6499999985</v>
      </c>
      <c r="G1503" s="53" t="s">
        <v>1789</v>
      </c>
      <c r="H1503" s="53"/>
      <c r="I1503" s="5">
        <f>+IF(FINANCIACION[[#This Row],[$ CAPITAL]]&gt;0,FINANCIACION[[#This Row],[$ CAPITAL]])</f>
        <v>8573</v>
      </c>
      <c r="J1503" s="33">
        <f>+IF(FINANCIACION[[#This Row],[$ CAPITAL]]&gt;=0,FINANCIACION[[#This Row],[$ CAPITAL]]+FINANCIACION[[#This Row],[$ INTERESES]],0)</f>
        <v>8573</v>
      </c>
    </row>
    <row r="1504" spans="1:10" ht="24" hidden="1" customHeight="1" x14ac:dyDescent="0.3">
      <c r="A1504" s="235">
        <v>45107</v>
      </c>
      <c r="B1504" s="236" t="s">
        <v>548</v>
      </c>
      <c r="C1504" s="237">
        <v>-172263</v>
      </c>
      <c r="D1504" s="237"/>
      <c r="E1504" s="237" t="str">
        <f>+IF(FINANCIACION[[#This Row],[$ CAPITAL]]&gt;=0,FINANCIACION[[#This Row],[$ CAPITAL]]+FINANCIACION[[#This Row],[$ INTERESES]],"")</f>
        <v/>
      </c>
      <c r="F1504" s="237">
        <f>+SUMIFS(FINANCIACION[$ CAPITAL],FINANCIACION[Fecha],"&lt;="&amp;FINANCIACION[[#This Row],[Fecha]],FINANCIACION[PRESTAMO],FINANCIACION[[#This Row],[PRESTAMO]])</f>
        <v>-60849700.449999988</v>
      </c>
      <c r="G1504" s="53" t="s">
        <v>1789</v>
      </c>
      <c r="H1504" s="53"/>
      <c r="I1504" s="5" t="b">
        <f>+IF(FINANCIACION[[#This Row],[$ CAPITAL]]&gt;0,FINANCIACION[[#This Row],[$ CAPITAL]])</f>
        <v>0</v>
      </c>
      <c r="J1504" s="33">
        <f>+IF(FINANCIACION[[#This Row],[$ CAPITAL]]&gt;=0,FINANCIACION[[#This Row],[$ CAPITAL]]+FINANCIACION[[#This Row],[$ INTERESES]],0)</f>
        <v>0</v>
      </c>
    </row>
    <row r="1505" spans="1:10" ht="24" hidden="1" customHeight="1" x14ac:dyDescent="0.3">
      <c r="A1505" s="235">
        <v>45107</v>
      </c>
      <c r="B1505" s="236" t="s">
        <v>542</v>
      </c>
      <c r="C1505" s="237">
        <v>913032</v>
      </c>
      <c r="D1505" s="237"/>
      <c r="E1505" s="237">
        <f>+IF(FINANCIACION[[#This Row],[$ CAPITAL]]&gt;=0,FINANCIACION[[#This Row],[$ CAPITAL]]+FINANCIACION[[#This Row],[$ INTERESES]],"")</f>
        <v>913032</v>
      </c>
      <c r="F1505" s="237">
        <f>+SUMIFS(FINANCIACION[$ CAPITAL],FINANCIACION[Fecha],"&lt;="&amp;FINANCIACION[[#This Row],[Fecha]],FINANCIACION[PRESTAMO],FINANCIACION[[#This Row],[PRESTAMO]])</f>
        <v>-1694479.0699999984</v>
      </c>
      <c r="G1505" s="53" t="s">
        <v>1789</v>
      </c>
      <c r="H1505" s="53"/>
      <c r="I1505" s="5">
        <f>+IF(FINANCIACION[[#This Row],[$ CAPITAL]]&gt;0,FINANCIACION[[#This Row],[$ CAPITAL]])</f>
        <v>913032</v>
      </c>
      <c r="J1505" s="33">
        <f>+IF(FINANCIACION[[#This Row],[$ CAPITAL]]&gt;=0,FINANCIACION[[#This Row],[$ CAPITAL]]+FINANCIACION[[#This Row],[$ INTERESES]],0)</f>
        <v>913032</v>
      </c>
    </row>
    <row r="1506" spans="1:10" ht="24" hidden="1" customHeight="1" x14ac:dyDescent="0.3">
      <c r="A1506" s="235">
        <v>45107</v>
      </c>
      <c r="B1506" s="236" t="s">
        <v>538</v>
      </c>
      <c r="C1506" s="237">
        <v>17882</v>
      </c>
      <c r="D1506" s="237"/>
      <c r="E1506" s="237">
        <f>+IF(FINANCIACION[[#This Row],[$ CAPITAL]]&gt;=0,FINANCIACION[[#This Row],[$ CAPITAL]]+FINANCIACION[[#This Row],[$ INTERESES]],"")</f>
        <v>17882</v>
      </c>
      <c r="F1506" s="237">
        <f>+SUMIFS(FINANCIACION[$ CAPITAL],FINANCIACION[Fecha],"&lt;="&amp;FINANCIACION[[#This Row],[Fecha]],FINANCIACION[PRESTAMO],FINANCIACION[[#This Row],[PRESTAMO]])</f>
        <v>0.45999999344348907</v>
      </c>
      <c r="G1506" s="53" t="s">
        <v>1484</v>
      </c>
      <c r="H1506" s="53"/>
      <c r="I1506" s="5">
        <f>+IF(FINANCIACION[[#This Row],[$ CAPITAL]]&gt;0,FINANCIACION[[#This Row],[$ CAPITAL]])</f>
        <v>17882</v>
      </c>
      <c r="J1506" s="33">
        <f>+IF(FINANCIACION[[#This Row],[$ CAPITAL]]&gt;=0,FINANCIACION[[#This Row],[$ CAPITAL]]+FINANCIACION[[#This Row],[$ INTERESES]],0)</f>
        <v>17882</v>
      </c>
    </row>
    <row r="1507" spans="1:10" ht="24" hidden="1" customHeight="1" x14ac:dyDescent="0.3">
      <c r="A1507" s="235">
        <v>45107</v>
      </c>
      <c r="B1507" s="236" t="s">
        <v>539</v>
      </c>
      <c r="C1507" s="237">
        <v>-18199</v>
      </c>
      <c r="D1507" s="237"/>
      <c r="E1507" s="237" t="str">
        <f>+IF(FINANCIACION[[#This Row],[$ CAPITAL]]&gt;=0,FINANCIACION[[#This Row],[$ CAPITAL]]+FINANCIACION[[#This Row],[$ INTERESES]],"")</f>
        <v/>
      </c>
      <c r="F1507" s="237">
        <f>+SUMIFS(FINANCIACION[$ CAPITAL],FINANCIACION[Fecha],"&lt;="&amp;FINANCIACION[[#This Row],[Fecha]],FINANCIACION[PRESTAMO],FINANCIACION[[#This Row],[PRESTAMO]])</f>
        <v>-5.9999994933605194E-2</v>
      </c>
      <c r="G1507" s="53" t="s">
        <v>1484</v>
      </c>
      <c r="H1507" s="53"/>
      <c r="I1507" s="5" t="b">
        <f>+IF(FINANCIACION[[#This Row],[$ CAPITAL]]&gt;0,FINANCIACION[[#This Row],[$ CAPITAL]])</f>
        <v>0</v>
      </c>
      <c r="J1507" s="33">
        <f>+IF(FINANCIACION[[#This Row],[$ CAPITAL]]&gt;=0,FINANCIACION[[#This Row],[$ CAPITAL]]+FINANCIACION[[#This Row],[$ INTERESES]],0)</f>
        <v>0</v>
      </c>
    </row>
    <row r="1508" spans="1:10" ht="24" hidden="1" customHeight="1" x14ac:dyDescent="0.3">
      <c r="A1508" s="235">
        <v>45107</v>
      </c>
      <c r="B1508" s="236" t="s">
        <v>534</v>
      </c>
      <c r="C1508" s="237">
        <v>2089972</v>
      </c>
      <c r="D1508" s="237"/>
      <c r="E1508" s="237">
        <f>+IF(FINANCIACION[[#This Row],[$ CAPITAL]]&gt;=0,FINANCIACION[[#This Row],[$ CAPITAL]]+FINANCIACION[[#This Row],[$ INTERESES]],"")</f>
        <v>2089972</v>
      </c>
      <c r="F1508" s="237">
        <f>+SUMIFS(FINANCIACION[$ CAPITAL],FINANCIACION[Fecha],"&lt;="&amp;FINANCIACION[[#This Row],[Fecha]],FINANCIACION[PRESTAMO],FINANCIACION[[#This Row],[PRESTAMO]])</f>
        <v>-348407473</v>
      </c>
      <c r="G1508" s="53" t="s">
        <v>1789</v>
      </c>
      <c r="H1508" s="53"/>
      <c r="I1508" s="5">
        <f>+IF(FINANCIACION[[#This Row],[$ CAPITAL]]&gt;0,FINANCIACION[[#This Row],[$ CAPITAL]])</f>
        <v>2089972</v>
      </c>
      <c r="J1508" s="33">
        <f>+IF(FINANCIACION[[#This Row],[$ CAPITAL]]&gt;=0,FINANCIACION[[#This Row],[$ CAPITAL]]+FINANCIACION[[#This Row],[$ INTERESES]],0)</f>
        <v>2089972</v>
      </c>
    </row>
    <row r="1509" spans="1:10" ht="24" hidden="1" customHeight="1" x14ac:dyDescent="0.3">
      <c r="A1509" s="131">
        <v>45107</v>
      </c>
      <c r="B1509" s="50" t="s">
        <v>1488</v>
      </c>
      <c r="C1509" s="5">
        <v>2026596</v>
      </c>
      <c r="D1509" s="5"/>
      <c r="E1509" s="5">
        <f>+IF(FINANCIACION[[#This Row],[$ CAPITAL]]&gt;=0,FINANCIACION[[#This Row],[$ CAPITAL]]+FINANCIACION[[#This Row],[$ INTERESES]],"")</f>
        <v>2026596</v>
      </c>
      <c r="F1509" s="5">
        <f>+SUMIFS(FINANCIACION[$ CAPITAL],FINANCIACION[Fecha],"&lt;="&amp;FINANCIACION[[#This Row],[Fecha]],FINANCIACION[PRESTAMO],FINANCIACION[[#This Row],[PRESTAMO]])</f>
        <v>-2580802</v>
      </c>
      <c r="G1509" s="53"/>
      <c r="H1509" s="53"/>
      <c r="I1509" s="5">
        <f>+IF(FINANCIACION[[#This Row],[$ CAPITAL]]&gt;0,FINANCIACION[[#This Row],[$ CAPITAL]])</f>
        <v>2026596</v>
      </c>
      <c r="J1509" s="33">
        <f>+IF(FINANCIACION[[#This Row],[$ CAPITAL]]&gt;=0,FINANCIACION[[#This Row],[$ CAPITAL]]+FINANCIACION[[#This Row],[$ INTERESES]],0)</f>
        <v>2026596</v>
      </c>
    </row>
    <row r="1510" spans="1:10" ht="24" hidden="1" customHeight="1" x14ac:dyDescent="0.3">
      <c r="A1510" s="131">
        <v>45107</v>
      </c>
      <c r="B1510" s="50" t="s">
        <v>154</v>
      </c>
      <c r="C1510" s="5">
        <v>629790</v>
      </c>
      <c r="D1510" s="5"/>
      <c r="E1510" s="5">
        <f>+IF(FINANCIACION[[#This Row],[$ CAPITAL]]&gt;=0,FINANCIACION[[#This Row],[$ CAPITAL]]+FINANCIACION[[#This Row],[$ INTERESES]],"")</f>
        <v>629790</v>
      </c>
      <c r="F1510" s="5">
        <f>+SUMIFS(FINANCIACION[$ CAPITAL],FINANCIACION[Fecha],"&lt;="&amp;FINANCIACION[[#This Row],[Fecha]],FINANCIACION[PRESTAMO],FINANCIACION[[#This Row],[PRESTAMO]])</f>
        <v>-20980050</v>
      </c>
      <c r="G1510" s="53"/>
      <c r="H1510" s="53"/>
      <c r="I1510" s="5">
        <f>+IF(FINANCIACION[[#This Row],[$ CAPITAL]]&gt;0,FINANCIACION[[#This Row],[$ CAPITAL]])</f>
        <v>629790</v>
      </c>
      <c r="J1510" s="33">
        <f>+IF(FINANCIACION[[#This Row],[$ CAPITAL]]&gt;=0,FINANCIACION[[#This Row],[$ CAPITAL]]+FINANCIACION[[#This Row],[$ INTERESES]],0)</f>
        <v>629790</v>
      </c>
    </row>
    <row r="1511" spans="1:10" ht="24" hidden="1" customHeight="1" x14ac:dyDescent="0.3">
      <c r="A1511" s="131">
        <v>45107</v>
      </c>
      <c r="B1511" s="50" t="s">
        <v>155</v>
      </c>
      <c r="C1511" s="5">
        <v>-862409</v>
      </c>
      <c r="D1511" s="5"/>
      <c r="E1511" s="5" t="str">
        <f>+IF(FINANCIACION[[#This Row],[$ CAPITAL]]&gt;=0,FINANCIACION[[#This Row],[$ CAPITAL]]+FINANCIACION[[#This Row],[$ INTERESES]],"")</f>
        <v/>
      </c>
      <c r="F1511" s="5">
        <f>+SUMIFS(FINANCIACION[$ CAPITAL],FINANCIACION[Fecha],"&lt;="&amp;FINANCIACION[[#This Row],[Fecha]],FINANCIACION[PRESTAMO],FINANCIACION[[#This Row],[PRESTAMO]])</f>
        <v>-26847186</v>
      </c>
      <c r="G1511" s="53"/>
      <c r="H1511" s="53"/>
      <c r="I1511" s="5" t="b">
        <f>+IF(FINANCIACION[[#This Row],[$ CAPITAL]]&gt;0,FINANCIACION[[#This Row],[$ CAPITAL]])</f>
        <v>0</v>
      </c>
      <c r="J1511" s="33">
        <f>+IF(FINANCIACION[[#This Row],[$ CAPITAL]]&gt;=0,FINANCIACION[[#This Row],[$ CAPITAL]]+FINANCIACION[[#This Row],[$ INTERESES]],0)</f>
        <v>0</v>
      </c>
    </row>
    <row r="1512" spans="1:10" ht="24" hidden="1" customHeight="1" x14ac:dyDescent="0.3">
      <c r="A1512" s="131">
        <v>45111</v>
      </c>
      <c r="B1512" s="5" t="s">
        <v>540</v>
      </c>
      <c r="C1512" s="5">
        <v>1244510</v>
      </c>
      <c r="D1512" s="5">
        <v>23611</v>
      </c>
      <c r="E1512" s="5">
        <f>+IF(FINANCIACION[[#This Row],[$ CAPITAL]]&gt;=0,FINANCIACION[[#This Row],[$ CAPITAL]]+FINANCIACION[[#This Row],[$ INTERESES]],"")</f>
        <v>1268121</v>
      </c>
      <c r="F1512" s="5">
        <f>+SUMIFS(FINANCIACION[$ CAPITAL],FINANCIACION[Fecha],"&lt;="&amp;FINANCIACION[[#This Row],[Fecha]],FINANCIACION[PRESTAMO],FINANCIACION[[#This Row],[PRESTAMO]])</f>
        <v>-381241.64999999851</v>
      </c>
      <c r="G1512" s="53"/>
      <c r="H1512" s="53"/>
      <c r="I1512" s="5">
        <f>+IF(FINANCIACION[[#This Row],[$ CAPITAL]]&gt;0,FINANCIACION[[#This Row],[$ CAPITAL]])</f>
        <v>1244510</v>
      </c>
      <c r="J1512" s="33">
        <f>+IF(FINANCIACION[[#This Row],[$ CAPITAL]]&gt;=0,FINANCIACION[[#This Row],[$ CAPITAL]]+FINANCIACION[[#This Row],[$ INTERESES]],0)</f>
        <v>1268121</v>
      </c>
    </row>
    <row r="1513" spans="1:10" ht="24" hidden="1" customHeight="1" x14ac:dyDescent="0.3">
      <c r="A1513" s="131">
        <v>45111</v>
      </c>
      <c r="B1513" s="50" t="s">
        <v>1489</v>
      </c>
      <c r="C1513" s="5">
        <v>3794920</v>
      </c>
      <c r="D1513" s="5">
        <v>3130802</v>
      </c>
      <c r="E1513" s="5">
        <f>+IF(FINANCIACION[[#This Row],[$ CAPITAL]]&gt;=0,FINANCIACION[[#This Row],[$ CAPITAL]]+FINANCIACION[[#This Row],[$ INTERESES]],"")</f>
        <v>6925722</v>
      </c>
      <c r="F1513" s="5">
        <f>+SUMIFS(FINANCIACION[$ CAPITAL],FINANCIACION[Fecha],"&lt;="&amp;FINANCIACION[[#This Row],[Fecha]],FINANCIACION[PRESTAMO],FINANCIACION[[#This Row],[PRESTAMO]])</f>
        <v>-131302430</v>
      </c>
      <c r="G1513" s="53"/>
      <c r="H1513" s="53"/>
      <c r="I1513" s="5">
        <f>+IF(FINANCIACION[[#This Row],[$ CAPITAL]]&gt;0,FINANCIACION[[#This Row],[$ CAPITAL]])</f>
        <v>3794920</v>
      </c>
      <c r="J1513" s="33">
        <f>+IF(FINANCIACION[[#This Row],[$ CAPITAL]]&gt;=0,FINANCIACION[[#This Row],[$ CAPITAL]]+FINANCIACION[[#This Row],[$ INTERESES]],0)</f>
        <v>6925722</v>
      </c>
    </row>
    <row r="1514" spans="1:10" ht="24" hidden="1" customHeight="1" x14ac:dyDescent="0.3">
      <c r="A1514" s="131">
        <v>45111</v>
      </c>
      <c r="B1514" s="50" t="s">
        <v>542</v>
      </c>
      <c r="C1514" s="5">
        <v>1657030</v>
      </c>
      <c r="D1514" s="5">
        <v>38274</v>
      </c>
      <c r="E1514" s="5">
        <f>+IF(FINANCIACION[[#This Row],[$ CAPITAL]]&gt;=0,FINANCIACION[[#This Row],[$ CAPITAL]]+FINANCIACION[[#This Row],[$ INTERESES]],"")</f>
        <v>1695304</v>
      </c>
      <c r="F1514" s="5">
        <f>+SUMIFS(FINANCIACION[$ CAPITAL],FINANCIACION[Fecha],"&lt;="&amp;FINANCIACION[[#This Row],[Fecha]],FINANCIACION[PRESTAMO],FINANCIACION[[#This Row],[PRESTAMO]])</f>
        <v>-37449.069999998435</v>
      </c>
      <c r="G1514" s="53"/>
      <c r="H1514" s="53"/>
      <c r="I1514" s="5">
        <f>+IF(FINANCIACION[[#This Row],[$ CAPITAL]]&gt;0,FINANCIACION[[#This Row],[$ CAPITAL]])</f>
        <v>1657030</v>
      </c>
      <c r="J1514" s="33">
        <f>+IF(FINANCIACION[[#This Row],[$ CAPITAL]]&gt;=0,FINANCIACION[[#This Row],[$ CAPITAL]]+FINANCIACION[[#This Row],[$ INTERESES]],0)</f>
        <v>1695304</v>
      </c>
    </row>
    <row r="1515" spans="1:10" ht="24" hidden="1" customHeight="1" x14ac:dyDescent="0.3">
      <c r="A1515" s="131">
        <v>45112</v>
      </c>
      <c r="B1515" s="50" t="s">
        <v>148</v>
      </c>
      <c r="C1515" s="5"/>
      <c r="D1515" s="5">
        <v>377695</v>
      </c>
      <c r="E1515" s="5">
        <f>+IF(FINANCIACION[[#This Row],[$ CAPITAL]]&gt;=0,FINANCIACION[[#This Row],[$ CAPITAL]]+FINANCIACION[[#This Row],[$ INTERESES]],"")</f>
        <v>377695</v>
      </c>
      <c r="F1515" s="5">
        <f>+SUMIFS(FINANCIACION[$ CAPITAL],FINANCIACION[Fecha],"&lt;="&amp;FINANCIACION[[#This Row],[Fecha]],FINANCIACION[PRESTAMO],FINANCIACION[[#This Row],[PRESTAMO]])</f>
        <v>0</v>
      </c>
      <c r="G1515" s="53"/>
      <c r="H1515" s="53"/>
      <c r="I1515" s="5" t="b">
        <f>+IF(FINANCIACION[[#This Row],[$ CAPITAL]]&gt;0,FINANCIACION[[#This Row],[$ CAPITAL]])</f>
        <v>0</v>
      </c>
      <c r="J1515" s="33">
        <f>+IF(FINANCIACION[[#This Row],[$ CAPITAL]]&gt;=0,FINANCIACION[[#This Row],[$ CAPITAL]]+FINANCIACION[[#This Row],[$ INTERESES]],0)</f>
        <v>377695</v>
      </c>
    </row>
    <row r="1516" spans="1:10" ht="24" hidden="1" customHeight="1" x14ac:dyDescent="0.3">
      <c r="A1516" s="131">
        <v>45117</v>
      </c>
      <c r="B1516" s="50" t="s">
        <v>1487</v>
      </c>
      <c r="C1516" s="5">
        <v>1889477</v>
      </c>
      <c r="D1516" s="5">
        <v>275070</v>
      </c>
      <c r="E1516" s="5">
        <f>+IF(FINANCIACION[[#This Row],[$ CAPITAL]]&gt;=0,FINANCIACION[[#This Row],[$ CAPITAL]]+FINANCIACION[[#This Row],[$ INTERESES]],"")</f>
        <v>2164547</v>
      </c>
      <c r="F1516" s="5">
        <f>+SUMIFS(FINANCIACION[$ CAPITAL],FINANCIACION[Fecha],"&lt;="&amp;FINANCIACION[[#This Row],[Fecha]],FINANCIACION[PRESTAMO],FINANCIACION[[#This Row],[PRESTAMO]])</f>
        <v>-13226339</v>
      </c>
      <c r="G1516" s="53"/>
      <c r="H1516" s="53"/>
      <c r="I1516" s="5">
        <f>+IF(FINANCIACION[[#This Row],[$ CAPITAL]]&gt;0,FINANCIACION[[#This Row],[$ CAPITAL]])</f>
        <v>1889477</v>
      </c>
      <c r="J1516" s="33">
        <f>+IF(FINANCIACION[[#This Row],[$ CAPITAL]]&gt;=0,FINANCIACION[[#This Row],[$ CAPITAL]]+FINANCIACION[[#This Row],[$ INTERESES]],0)</f>
        <v>2164547</v>
      </c>
    </row>
    <row r="1517" spans="1:10" ht="24" hidden="1" customHeight="1" x14ac:dyDescent="0.3">
      <c r="A1517" s="131">
        <v>45118</v>
      </c>
      <c r="B1517" s="50" t="s">
        <v>1562</v>
      </c>
      <c r="C1517" s="5"/>
      <c r="D1517" s="5">
        <v>200000</v>
      </c>
      <c r="E1517" s="5">
        <f>+IF(FINANCIACION[[#This Row],[$ CAPITAL]]&gt;=0,FINANCIACION[[#This Row],[$ CAPITAL]]+FINANCIACION[[#This Row],[$ INTERESES]],"")</f>
        <v>200000</v>
      </c>
      <c r="F1517" s="5">
        <f>+SUMIFS(FINANCIACION[$ CAPITAL],FINANCIACION[Fecha],"&lt;="&amp;FINANCIACION[[#This Row],[Fecha]],FINANCIACION[PRESTAMO],FINANCIACION[[#This Row],[PRESTAMO]])</f>
        <v>-20000000</v>
      </c>
      <c r="G1517" s="53"/>
      <c r="H1517" s="53"/>
      <c r="I1517" s="5" t="b">
        <f>+IF(FINANCIACION[[#This Row],[$ CAPITAL]]&gt;0,FINANCIACION[[#This Row],[$ CAPITAL]])</f>
        <v>0</v>
      </c>
      <c r="J1517" s="33">
        <f>+IF(FINANCIACION[[#This Row],[$ CAPITAL]]&gt;=0,FINANCIACION[[#This Row],[$ CAPITAL]]+FINANCIACION[[#This Row],[$ INTERESES]],0)</f>
        <v>200000</v>
      </c>
    </row>
    <row r="1518" spans="1:10" ht="24" hidden="1" customHeight="1" x14ac:dyDescent="0.3">
      <c r="A1518" s="131">
        <v>45118</v>
      </c>
      <c r="B1518" s="50" t="s">
        <v>547</v>
      </c>
      <c r="C1518" s="5"/>
      <c r="D1518" s="5">
        <v>350000</v>
      </c>
      <c r="E1518" s="5">
        <f>+IF(FINANCIACION[[#This Row],[$ CAPITAL]]&gt;=0,FINANCIACION[[#This Row],[$ CAPITAL]]+FINANCIACION[[#This Row],[$ INTERESES]],"")</f>
        <v>350000</v>
      </c>
      <c r="F1518" s="5">
        <f>+SUMIFS(FINANCIACION[$ CAPITAL],FINANCIACION[Fecha],"&lt;="&amp;FINANCIACION[[#This Row],[Fecha]],FINANCIACION[PRESTAMO],FINANCIACION[[#This Row],[PRESTAMO]])</f>
        <v>-35000000</v>
      </c>
      <c r="G1518" s="53"/>
      <c r="H1518" s="53"/>
      <c r="I1518" s="5" t="b">
        <f>+IF(FINANCIACION[[#This Row],[$ CAPITAL]]&gt;0,FINANCIACION[[#This Row],[$ CAPITAL]])</f>
        <v>0</v>
      </c>
      <c r="J1518" s="33">
        <f>+IF(FINANCIACION[[#This Row],[$ CAPITAL]]&gt;=0,FINANCIACION[[#This Row],[$ CAPITAL]]+FINANCIACION[[#This Row],[$ INTERESES]],0)</f>
        <v>350000</v>
      </c>
    </row>
    <row r="1519" spans="1:10" ht="24" hidden="1" customHeight="1" x14ac:dyDescent="0.3">
      <c r="A1519" s="131">
        <v>45118</v>
      </c>
      <c r="B1519" s="50" t="s">
        <v>536</v>
      </c>
      <c r="C1519" s="5">
        <v>1121492</v>
      </c>
      <c r="D1519" s="5">
        <v>178508</v>
      </c>
      <c r="E1519" s="5">
        <f>+IF(FINANCIACION[[#This Row],[$ CAPITAL]]&gt;=0,FINANCIACION[[#This Row],[$ CAPITAL]]+FINANCIACION[[#This Row],[$ INTERESES]],"")</f>
        <v>1300000</v>
      </c>
      <c r="F1519" s="5">
        <f>+SUMIFS(FINANCIACION[$ CAPITAL],FINANCIACION[Fecha],"&lt;="&amp;FINANCIACION[[#This Row],[Fecha]],FINANCIACION[PRESTAMO],FINANCIACION[[#This Row],[PRESTAMO]])</f>
        <v>-16729213.911759749</v>
      </c>
      <c r="G1519" s="53"/>
      <c r="H1519" s="53"/>
      <c r="I1519" s="5">
        <f>+IF(FINANCIACION[[#This Row],[$ CAPITAL]]&gt;0,FINANCIACION[[#This Row],[$ CAPITAL]])</f>
        <v>1121492</v>
      </c>
      <c r="J1519" s="33">
        <f>+IF(FINANCIACION[[#This Row],[$ CAPITAL]]&gt;=0,FINANCIACION[[#This Row],[$ CAPITAL]]+FINANCIACION[[#This Row],[$ INTERESES]],0)</f>
        <v>1300000</v>
      </c>
    </row>
    <row r="1520" spans="1:10" ht="24" hidden="1" customHeight="1" x14ac:dyDescent="0.3">
      <c r="A1520" s="131">
        <v>45118</v>
      </c>
      <c r="B1520" s="50" t="s">
        <v>545</v>
      </c>
      <c r="C1520" s="5"/>
      <c r="D1520" s="5">
        <v>120000</v>
      </c>
      <c r="E1520" s="5">
        <f>+IF(FINANCIACION[[#This Row],[$ CAPITAL]]&gt;=0,FINANCIACION[[#This Row],[$ CAPITAL]]+FINANCIACION[[#This Row],[$ INTERESES]],"")</f>
        <v>120000</v>
      </c>
      <c r="F1520" s="5">
        <f>+SUMIFS(FINANCIACION[$ CAPITAL],FINANCIACION[Fecha],"&lt;="&amp;FINANCIACION[[#This Row],[Fecha]],FINANCIACION[PRESTAMO],FINANCIACION[[#This Row],[PRESTAMO]])</f>
        <v>-12000000</v>
      </c>
      <c r="G1520" s="53"/>
      <c r="H1520" s="53"/>
      <c r="I1520" s="5" t="b">
        <f>+IF(FINANCIACION[[#This Row],[$ CAPITAL]]&gt;0,FINANCIACION[[#This Row],[$ CAPITAL]])</f>
        <v>0</v>
      </c>
      <c r="J1520" s="33">
        <f>+IF(FINANCIACION[[#This Row],[$ CAPITAL]]&gt;=0,FINANCIACION[[#This Row],[$ CAPITAL]]+FINANCIACION[[#This Row],[$ INTERESES]],0)</f>
        <v>120000</v>
      </c>
    </row>
    <row r="1521" spans="1:10" ht="24" hidden="1" customHeight="1" x14ac:dyDescent="0.3">
      <c r="A1521" s="131">
        <v>45118</v>
      </c>
      <c r="B1521" s="50" t="s">
        <v>543</v>
      </c>
      <c r="C1521" s="5"/>
      <c r="D1521" s="5">
        <v>130000</v>
      </c>
      <c r="E1521" s="5">
        <f>+IF(FINANCIACION[[#This Row],[$ CAPITAL]]&gt;=0,FINANCIACION[[#This Row],[$ CAPITAL]]+FINANCIACION[[#This Row],[$ INTERESES]],"")</f>
        <v>130000</v>
      </c>
      <c r="F1521" s="5">
        <f>+SUMIFS(FINANCIACION[$ CAPITAL],FINANCIACION[Fecha],"&lt;="&amp;FINANCIACION[[#This Row],[Fecha]],FINANCIACION[PRESTAMO],FINANCIACION[[#This Row],[PRESTAMO]])</f>
        <v>-13000000</v>
      </c>
      <c r="G1521" s="53"/>
      <c r="H1521" s="53"/>
      <c r="I1521" s="5" t="b">
        <f>+IF(FINANCIACION[[#This Row],[$ CAPITAL]]&gt;0,FINANCIACION[[#This Row],[$ CAPITAL]])</f>
        <v>0</v>
      </c>
      <c r="J1521" s="33">
        <f>+IF(FINANCIACION[[#This Row],[$ CAPITAL]]&gt;=0,FINANCIACION[[#This Row],[$ CAPITAL]]+FINANCIACION[[#This Row],[$ INTERESES]],0)</f>
        <v>130000</v>
      </c>
    </row>
    <row r="1522" spans="1:10" ht="24" hidden="1" customHeight="1" x14ac:dyDescent="0.3">
      <c r="A1522" s="131">
        <v>45119</v>
      </c>
      <c r="B1522" s="50" t="s">
        <v>148</v>
      </c>
      <c r="C1522" s="5"/>
      <c r="D1522" s="5">
        <v>759501</v>
      </c>
      <c r="E1522" s="5">
        <f>+IF(FINANCIACION[[#This Row],[$ CAPITAL]]&gt;=0,FINANCIACION[[#This Row],[$ CAPITAL]]+FINANCIACION[[#This Row],[$ INTERESES]],"")</f>
        <v>759501</v>
      </c>
      <c r="F1522" s="5">
        <f>+SUMIFS(FINANCIACION[$ CAPITAL],FINANCIACION[Fecha],"&lt;="&amp;FINANCIACION[[#This Row],[Fecha]],FINANCIACION[PRESTAMO],FINANCIACION[[#This Row],[PRESTAMO]])</f>
        <v>0</v>
      </c>
      <c r="G1522" s="53"/>
      <c r="H1522" s="53"/>
      <c r="I1522" s="5" t="b">
        <f>+IF(FINANCIACION[[#This Row],[$ CAPITAL]]&gt;0,FINANCIACION[[#This Row],[$ CAPITAL]])</f>
        <v>0</v>
      </c>
      <c r="J1522" s="33">
        <f>+IF(FINANCIACION[[#This Row],[$ CAPITAL]]&gt;=0,FINANCIACION[[#This Row],[$ CAPITAL]]+FINANCIACION[[#This Row],[$ INTERESES]],0)</f>
        <v>759501</v>
      </c>
    </row>
    <row r="1523" spans="1:10" ht="24" hidden="1" customHeight="1" x14ac:dyDescent="0.3">
      <c r="A1523" s="131">
        <v>45120</v>
      </c>
      <c r="B1523" s="50" t="s">
        <v>1562</v>
      </c>
      <c r="C1523" s="5">
        <v>-50000000</v>
      </c>
      <c r="D1523" s="5"/>
      <c r="E1523" s="5" t="str">
        <f>+IF(FINANCIACION[[#This Row],[$ CAPITAL]]&gt;=0,FINANCIACION[[#This Row],[$ CAPITAL]]+FINANCIACION[[#This Row],[$ INTERESES]],"")</f>
        <v/>
      </c>
      <c r="F1523" s="5">
        <f>+SUMIFS(FINANCIACION[$ CAPITAL],FINANCIACION[Fecha],"&lt;="&amp;FINANCIACION[[#This Row],[Fecha]],FINANCIACION[PRESTAMO],FINANCIACION[[#This Row],[PRESTAMO]])</f>
        <v>-70000000</v>
      </c>
      <c r="G1523" s="53"/>
      <c r="H1523" s="53"/>
      <c r="I1523" s="5" t="b">
        <f>+IF(FINANCIACION[[#This Row],[$ CAPITAL]]&gt;0,FINANCIACION[[#This Row],[$ CAPITAL]])</f>
        <v>0</v>
      </c>
      <c r="J1523" s="33">
        <f>+IF(FINANCIACION[[#This Row],[$ CAPITAL]]&gt;=0,FINANCIACION[[#This Row],[$ CAPITAL]]+FINANCIACION[[#This Row],[$ INTERESES]],0)</f>
        <v>0</v>
      </c>
    </row>
    <row r="1524" spans="1:10" ht="24" hidden="1" customHeight="1" x14ac:dyDescent="0.3">
      <c r="A1524" s="131">
        <v>45120</v>
      </c>
      <c r="B1524" s="50" t="s">
        <v>1489</v>
      </c>
      <c r="C1524" s="5">
        <v>17000000</v>
      </c>
      <c r="D1524" s="5">
        <v>3000000</v>
      </c>
      <c r="E1524" s="5">
        <f>+IF(FINANCIACION[[#This Row],[$ CAPITAL]]&gt;=0,FINANCIACION[[#This Row],[$ CAPITAL]]+FINANCIACION[[#This Row],[$ INTERESES]],"")</f>
        <v>20000000</v>
      </c>
      <c r="F1524" s="5">
        <f>+SUMIFS(FINANCIACION[$ CAPITAL],FINANCIACION[Fecha],"&lt;="&amp;FINANCIACION[[#This Row],[Fecha]],FINANCIACION[PRESTAMO],FINANCIACION[[#This Row],[PRESTAMO]])</f>
        <v>-114302430</v>
      </c>
      <c r="G1524" s="53"/>
      <c r="H1524" s="53"/>
      <c r="I1524" s="5">
        <f>+IF(FINANCIACION[[#This Row],[$ CAPITAL]]&gt;0,FINANCIACION[[#This Row],[$ CAPITAL]])</f>
        <v>17000000</v>
      </c>
      <c r="J1524" s="33">
        <f>+IF(FINANCIACION[[#This Row],[$ CAPITAL]]&gt;=0,FINANCIACION[[#This Row],[$ CAPITAL]]+FINANCIACION[[#This Row],[$ INTERESES]],0)</f>
        <v>20000000</v>
      </c>
    </row>
    <row r="1525" spans="1:10" ht="24" hidden="1" customHeight="1" x14ac:dyDescent="0.3">
      <c r="A1525" s="131">
        <v>45121</v>
      </c>
      <c r="B1525" s="50" t="s">
        <v>1489</v>
      </c>
      <c r="C1525" s="5">
        <v>30000000</v>
      </c>
      <c r="D1525" s="5"/>
      <c r="E1525" s="5">
        <f>+IF(FINANCIACION[[#This Row],[$ CAPITAL]]&gt;=0,FINANCIACION[[#This Row],[$ CAPITAL]]+FINANCIACION[[#This Row],[$ INTERESES]],"")</f>
        <v>30000000</v>
      </c>
      <c r="F1525" s="5">
        <f>+SUMIFS(FINANCIACION[$ CAPITAL],FINANCIACION[Fecha],"&lt;="&amp;FINANCIACION[[#This Row],[Fecha]],FINANCIACION[PRESTAMO],FINANCIACION[[#This Row],[PRESTAMO]])</f>
        <v>-84302430</v>
      </c>
      <c r="G1525" s="53"/>
      <c r="H1525" s="53"/>
      <c r="I1525" s="5">
        <f>+IF(FINANCIACION[[#This Row],[$ CAPITAL]]&gt;0,FINANCIACION[[#This Row],[$ CAPITAL]])</f>
        <v>30000000</v>
      </c>
      <c r="J1525" s="33">
        <f>+IF(FINANCIACION[[#This Row],[$ CAPITAL]]&gt;=0,FINANCIACION[[#This Row],[$ CAPITAL]]+FINANCIACION[[#This Row],[$ INTERESES]],0)</f>
        <v>30000000</v>
      </c>
    </row>
    <row r="1526" spans="1:10" ht="24" hidden="1" customHeight="1" x14ac:dyDescent="0.3">
      <c r="A1526" s="131">
        <v>45122</v>
      </c>
      <c r="B1526" s="50" t="s">
        <v>150</v>
      </c>
      <c r="C1526" s="5">
        <v>417000</v>
      </c>
      <c r="D1526" s="5">
        <v>177789</v>
      </c>
      <c r="E1526" s="5">
        <f>+IF(FINANCIACION[[#This Row],[$ CAPITAL]]&gt;=0,FINANCIACION[[#This Row],[$ CAPITAL]]+FINANCIACION[[#This Row],[$ INTERESES]],"")</f>
        <v>594789</v>
      </c>
      <c r="F1526" s="5">
        <f>+SUMIFS(FINANCIACION[$ CAPITAL],FINANCIACION[Fecha],"&lt;="&amp;FINANCIACION[[#This Row],[Fecha]],FINANCIACION[PRESTAMO],FINANCIACION[[#This Row],[PRESTAMO]])</f>
        <v>-9673820</v>
      </c>
      <c r="G1526" s="53"/>
      <c r="H1526" s="53"/>
      <c r="I1526" s="5">
        <f>+IF(FINANCIACION[[#This Row],[$ CAPITAL]]&gt;0,FINANCIACION[[#This Row],[$ CAPITAL]])</f>
        <v>417000</v>
      </c>
      <c r="J1526" s="33">
        <f>+IF(FINANCIACION[[#This Row],[$ CAPITAL]]&gt;=0,FINANCIACION[[#This Row],[$ CAPITAL]]+FINANCIACION[[#This Row],[$ INTERESES]],0)</f>
        <v>594789</v>
      </c>
    </row>
    <row r="1527" spans="1:10" ht="24" hidden="1" customHeight="1" x14ac:dyDescent="0.3">
      <c r="A1527" s="131">
        <v>45124</v>
      </c>
      <c r="B1527" s="50" t="s">
        <v>148</v>
      </c>
      <c r="C1527" s="5"/>
      <c r="D1527" s="5">
        <v>510671</v>
      </c>
      <c r="E1527" s="5">
        <f>+IF(FINANCIACION[[#This Row],[$ CAPITAL]]&gt;=0,FINANCIACION[[#This Row],[$ CAPITAL]]+FINANCIACION[[#This Row],[$ INTERESES]],"")</f>
        <v>510671</v>
      </c>
      <c r="F1527" s="5">
        <f>+SUMIFS(FINANCIACION[$ CAPITAL],FINANCIACION[Fecha],"&lt;="&amp;FINANCIACION[[#This Row],[Fecha]],FINANCIACION[PRESTAMO],FINANCIACION[[#This Row],[PRESTAMO]])</f>
        <v>0</v>
      </c>
      <c r="G1527" s="53"/>
      <c r="H1527" s="53"/>
      <c r="I1527" s="5" t="b">
        <f>+IF(FINANCIACION[[#This Row],[$ CAPITAL]]&gt;0,FINANCIACION[[#This Row],[$ CAPITAL]])</f>
        <v>0</v>
      </c>
      <c r="J1527" s="33">
        <f>+IF(FINANCIACION[[#This Row],[$ CAPITAL]]&gt;=0,FINANCIACION[[#This Row],[$ CAPITAL]]+FINANCIACION[[#This Row],[$ INTERESES]],0)</f>
        <v>510671</v>
      </c>
    </row>
    <row r="1528" spans="1:10" ht="24" hidden="1" customHeight="1" x14ac:dyDescent="0.3">
      <c r="A1528" s="131">
        <v>45125</v>
      </c>
      <c r="B1528" s="50" t="s">
        <v>563</v>
      </c>
      <c r="C1528" s="5"/>
      <c r="D1528" s="5">
        <v>750000</v>
      </c>
      <c r="E1528" s="5">
        <f>+IF(FINANCIACION[[#This Row],[$ CAPITAL]]&gt;=0,FINANCIACION[[#This Row],[$ CAPITAL]]+FINANCIACION[[#This Row],[$ INTERESES]],"")</f>
        <v>750000</v>
      </c>
      <c r="F1528" s="5">
        <f>+SUMIFS(FINANCIACION[$ CAPITAL],FINANCIACION[Fecha],"&lt;="&amp;FINANCIACION[[#This Row],[Fecha]],FINANCIACION[PRESTAMO],FINANCIACION[[#This Row],[PRESTAMO]])</f>
        <v>-75000000</v>
      </c>
      <c r="G1528" s="53"/>
      <c r="H1528" s="53"/>
      <c r="I1528" s="5" t="b">
        <f>+IF(FINANCIACION[[#This Row],[$ CAPITAL]]&gt;0,FINANCIACION[[#This Row],[$ CAPITAL]])</f>
        <v>0</v>
      </c>
      <c r="J1528" s="33">
        <f>+IF(FINANCIACION[[#This Row],[$ CAPITAL]]&gt;=0,FINANCIACION[[#This Row],[$ CAPITAL]]+FINANCIACION[[#This Row],[$ INTERESES]],0)</f>
        <v>750000</v>
      </c>
    </row>
    <row r="1529" spans="1:10" ht="24" hidden="1" customHeight="1" x14ac:dyDescent="0.3">
      <c r="A1529" s="131">
        <v>45125</v>
      </c>
      <c r="B1529" s="50" t="s">
        <v>534</v>
      </c>
      <c r="C1529" s="5">
        <v>1228646</v>
      </c>
      <c r="D1529" s="5">
        <f>5734853+151454+370999+10287</f>
        <v>6267593</v>
      </c>
      <c r="E1529" s="5">
        <f>+IF(FINANCIACION[[#This Row],[$ CAPITAL]]&gt;=0,FINANCIACION[[#This Row],[$ CAPITAL]]+FINANCIACION[[#This Row],[$ INTERESES]],"")</f>
        <v>7496239</v>
      </c>
      <c r="F1529" s="5">
        <f>+SUMIFS(FINANCIACION[$ CAPITAL],FINANCIACION[Fecha],"&lt;="&amp;FINANCIACION[[#This Row],[Fecha]],FINANCIACION[PRESTAMO],FINANCIACION[[#This Row],[PRESTAMO]])</f>
        <v>-347178827</v>
      </c>
      <c r="G1529" s="53"/>
      <c r="H1529" s="53"/>
      <c r="I1529" s="5">
        <f>+IF(FINANCIACION[[#This Row],[$ CAPITAL]]&gt;0,FINANCIACION[[#This Row],[$ CAPITAL]])</f>
        <v>1228646</v>
      </c>
      <c r="J1529" s="33">
        <f>+IF(FINANCIACION[[#This Row],[$ CAPITAL]]&gt;=0,FINANCIACION[[#This Row],[$ CAPITAL]]+FINANCIACION[[#This Row],[$ INTERESES]],0)</f>
        <v>7496239</v>
      </c>
    </row>
    <row r="1530" spans="1:10" ht="24" hidden="1" customHeight="1" x14ac:dyDescent="0.3">
      <c r="A1530" s="131">
        <v>45126</v>
      </c>
      <c r="B1530" s="50" t="s">
        <v>533</v>
      </c>
      <c r="C1530" s="5">
        <v>1503473</v>
      </c>
      <c r="D1530" s="5">
        <v>496527</v>
      </c>
      <c r="E1530" s="5">
        <f>+IF(FINANCIACION[[#This Row],[$ CAPITAL]]&gt;=0,FINANCIACION[[#This Row],[$ CAPITAL]]+FINANCIACION[[#This Row],[$ INTERESES]],"")</f>
        <v>2000000</v>
      </c>
      <c r="F1530" s="5">
        <f>+SUMIFS(FINANCIACION[$ CAPITAL],FINANCIACION[Fecha],"&lt;="&amp;FINANCIACION[[#This Row],[Fecha]],FINANCIACION[PRESTAMO],FINANCIACION[[#This Row],[PRESTAMO]])</f>
        <v>-48149184.132834516</v>
      </c>
      <c r="G1530" s="53"/>
      <c r="H1530" s="53"/>
      <c r="I1530" s="5">
        <f>+IF(FINANCIACION[[#This Row],[$ CAPITAL]]&gt;0,FINANCIACION[[#This Row],[$ CAPITAL]])</f>
        <v>1503473</v>
      </c>
      <c r="J1530" s="33">
        <f>+IF(FINANCIACION[[#This Row],[$ CAPITAL]]&gt;=0,FINANCIACION[[#This Row],[$ CAPITAL]]+FINANCIACION[[#This Row],[$ INTERESES]],0)</f>
        <v>2000000</v>
      </c>
    </row>
    <row r="1531" spans="1:10" ht="24" hidden="1" customHeight="1" x14ac:dyDescent="0.3">
      <c r="A1531" s="131">
        <v>45128</v>
      </c>
      <c r="B1531" s="50" t="s">
        <v>532</v>
      </c>
      <c r="C1531" s="5">
        <v>662949</v>
      </c>
      <c r="D1531" s="5">
        <v>337051</v>
      </c>
      <c r="E1531" s="5">
        <f>+IF(FINANCIACION[[#This Row],[$ CAPITAL]]&gt;=0,FINANCIACION[[#This Row],[$ CAPITAL]]+FINANCIACION[[#This Row],[$ INTERESES]],"")</f>
        <v>1000000</v>
      </c>
      <c r="F1531" s="5">
        <f>+SUMIFS(FINANCIACION[$ CAPITAL],FINANCIACION[Fecha],"&lt;="&amp;FINANCIACION[[#This Row],[Fecha]],FINANCIACION[PRESTAMO],FINANCIACION[[#This Row],[PRESTAMO]])</f>
        <v>-33042203.484479994</v>
      </c>
      <c r="G1531" s="53"/>
      <c r="H1531" s="53"/>
      <c r="I1531" s="5">
        <f>+IF(FINANCIACION[[#This Row],[$ CAPITAL]]&gt;0,FINANCIACION[[#This Row],[$ CAPITAL]])</f>
        <v>662949</v>
      </c>
      <c r="J1531" s="33">
        <f>+IF(FINANCIACION[[#This Row],[$ CAPITAL]]&gt;=0,FINANCIACION[[#This Row],[$ CAPITAL]]+FINANCIACION[[#This Row],[$ INTERESES]],0)</f>
        <v>1000000</v>
      </c>
    </row>
    <row r="1532" spans="1:10" ht="24" hidden="1" customHeight="1" x14ac:dyDescent="0.3">
      <c r="A1532" s="131">
        <v>45131</v>
      </c>
      <c r="B1532" s="50" t="s">
        <v>588</v>
      </c>
      <c r="C1532" s="5">
        <v>1666666</v>
      </c>
      <c r="D1532" s="5">
        <v>80468</v>
      </c>
      <c r="E1532" s="5">
        <f>+IF(FINANCIACION[[#This Row],[$ CAPITAL]]&gt;=0,FINANCIACION[[#This Row],[$ CAPITAL]]+FINANCIACION[[#This Row],[$ INTERESES]],"")</f>
        <v>1747134</v>
      </c>
      <c r="F1532" s="5">
        <f>+SUMIFS(FINANCIACION[$ CAPITAL],FINANCIACION[Fecha],"&lt;="&amp;FINANCIACION[[#This Row],[Fecha]],FINANCIACION[PRESTAMO],FINANCIACION[[#This Row],[PRESTAMO]])</f>
        <v>-2714564.2799999975</v>
      </c>
      <c r="G1532" s="53"/>
      <c r="H1532" s="53"/>
      <c r="I1532" s="5">
        <f>+IF(FINANCIACION[[#This Row],[$ CAPITAL]]&gt;0,FINANCIACION[[#This Row],[$ CAPITAL]])</f>
        <v>1666666</v>
      </c>
      <c r="J1532" s="33">
        <f>+IF(FINANCIACION[[#This Row],[$ CAPITAL]]&gt;=0,FINANCIACION[[#This Row],[$ CAPITAL]]+FINANCIACION[[#This Row],[$ INTERESES]],0)</f>
        <v>1747134</v>
      </c>
    </row>
    <row r="1533" spans="1:10" ht="24" hidden="1" customHeight="1" x14ac:dyDescent="0.3">
      <c r="A1533" s="131">
        <v>45131</v>
      </c>
      <c r="B1533" s="50" t="s">
        <v>548</v>
      </c>
      <c r="C1533" s="5">
        <v>1481482</v>
      </c>
      <c r="D1533" s="5">
        <v>862214</v>
      </c>
      <c r="E1533" s="5">
        <f>+IF(FINANCIACION[[#This Row],[$ CAPITAL]]&gt;=0,FINANCIACION[[#This Row],[$ CAPITAL]]+FINANCIACION[[#This Row],[$ INTERESES]],"")</f>
        <v>2343696</v>
      </c>
      <c r="F1533" s="5">
        <f>+SUMIFS(FINANCIACION[$ CAPITAL],FINANCIACION[Fecha],"&lt;="&amp;FINANCIACION[[#This Row],[Fecha]],FINANCIACION[PRESTAMO],FINANCIACION[[#This Row],[PRESTAMO]])</f>
        <v>-59368218.449999988</v>
      </c>
      <c r="G1533" s="53"/>
      <c r="H1533" s="53"/>
      <c r="I1533" s="5">
        <f>+IF(FINANCIACION[[#This Row],[$ CAPITAL]]&gt;0,FINANCIACION[[#This Row],[$ CAPITAL]])</f>
        <v>1481482</v>
      </c>
      <c r="J1533" s="33">
        <f>+IF(FINANCIACION[[#This Row],[$ CAPITAL]]&gt;=0,FINANCIACION[[#This Row],[$ CAPITAL]]+FINANCIACION[[#This Row],[$ INTERESES]],0)</f>
        <v>2343696</v>
      </c>
    </row>
    <row r="1534" spans="1:10" ht="24" hidden="1" customHeight="1" x14ac:dyDescent="0.3">
      <c r="A1534" s="131">
        <v>45138</v>
      </c>
      <c r="B1534" s="50" t="s">
        <v>550</v>
      </c>
      <c r="C1534" s="5">
        <v>0</v>
      </c>
      <c r="D1534" s="5">
        <v>0</v>
      </c>
      <c r="E1534" s="5">
        <f>+IF(FINANCIACION[[#This Row],[$ CAPITAL]]&gt;=0,FINANCIACION[[#This Row],[$ CAPITAL]]+FINANCIACION[[#This Row],[$ INTERESES]],"")</f>
        <v>0</v>
      </c>
      <c r="F1534" s="5">
        <f>+SUMIFS(FINANCIACION[$ CAPITAL],FINANCIACION[Fecha],"&lt;="&amp;FINANCIACION[[#This Row],[Fecha]],FINANCIACION[PRESTAMO],FINANCIACION[[#This Row],[PRESTAMO]])</f>
        <v>-5000000</v>
      </c>
      <c r="G1534" s="53"/>
      <c r="H1534" s="53"/>
      <c r="I1534" s="5" t="b">
        <f>+IF(FINANCIACION[[#This Row],[$ CAPITAL]]&gt;0,FINANCIACION[[#This Row],[$ CAPITAL]])</f>
        <v>0</v>
      </c>
      <c r="J1534" s="33">
        <f>+IF(FINANCIACION[[#This Row],[$ CAPITAL]]&gt;=0,FINANCIACION[[#This Row],[$ CAPITAL]]+FINANCIACION[[#This Row],[$ INTERESES]],0)</f>
        <v>0</v>
      </c>
    </row>
    <row r="1535" spans="1:10" ht="24" hidden="1" customHeight="1" x14ac:dyDescent="0.3">
      <c r="A1535" s="131">
        <v>45138</v>
      </c>
      <c r="B1535" s="50" t="s">
        <v>146</v>
      </c>
      <c r="C1535" s="5">
        <v>1468400</v>
      </c>
      <c r="D1535" s="5">
        <v>246236</v>
      </c>
      <c r="E1535" s="5">
        <f>+IF(FINANCIACION[[#This Row],[$ CAPITAL]]&gt;=0,FINANCIACION[[#This Row],[$ CAPITAL]]+FINANCIACION[[#This Row],[$ INTERESES]],"")</f>
        <v>1714636</v>
      </c>
      <c r="F1535" s="5">
        <f>+SUMIFS(FINANCIACION[$ CAPITAL],FINANCIACION[Fecha],"&lt;="&amp;FINANCIACION[[#This Row],[Fecha]],FINANCIACION[PRESTAMO],FINANCIACION[[#This Row],[PRESTAMO]])</f>
        <v>-11747200</v>
      </c>
      <c r="G1535" s="53"/>
      <c r="H1535" s="53"/>
      <c r="I1535" s="5">
        <f>+IF(FINANCIACION[[#This Row],[$ CAPITAL]]&gt;0,FINANCIACION[[#This Row],[$ CAPITAL]])</f>
        <v>1468400</v>
      </c>
      <c r="J1535" s="33">
        <f>+IF(FINANCIACION[[#This Row],[$ CAPITAL]]&gt;=0,FINANCIACION[[#This Row],[$ CAPITAL]]+FINANCIACION[[#This Row],[$ INTERESES]],0)</f>
        <v>1714636</v>
      </c>
    </row>
    <row r="1536" spans="1:10" ht="24" hidden="1" customHeight="1" x14ac:dyDescent="0.3">
      <c r="A1536" s="131">
        <v>45138</v>
      </c>
      <c r="B1536" s="50" t="s">
        <v>147</v>
      </c>
      <c r="C1536" s="5">
        <v>76791</v>
      </c>
      <c r="D1536" s="5"/>
      <c r="E1536" s="5">
        <f>+IF(FINANCIACION[[#This Row],[$ CAPITAL]]&gt;=0,FINANCIACION[[#This Row],[$ CAPITAL]]+FINANCIACION[[#This Row],[$ INTERESES]],"")</f>
        <v>76791</v>
      </c>
      <c r="F1536" s="5">
        <f>+SUMIFS(FINANCIACION[$ CAPITAL],FINANCIACION[Fecha],"&lt;="&amp;FINANCIACION[[#This Row],[Fecha]],FINANCIACION[PRESTAMO],FINANCIACION[[#This Row],[PRESTAMO]])</f>
        <v>-614328</v>
      </c>
      <c r="G1536" s="53"/>
      <c r="H1536" s="53"/>
      <c r="I1536" s="5">
        <f>+IF(FINANCIACION[[#This Row],[$ CAPITAL]]&gt;0,FINANCIACION[[#This Row],[$ CAPITAL]])</f>
        <v>76791</v>
      </c>
      <c r="J1536" s="33">
        <f>+IF(FINANCIACION[[#This Row],[$ CAPITAL]]&gt;=0,FINANCIACION[[#This Row],[$ CAPITAL]]+FINANCIACION[[#This Row],[$ INTERESES]],0)</f>
        <v>76791</v>
      </c>
    </row>
    <row r="1537" spans="1:10" ht="24" hidden="1" customHeight="1" x14ac:dyDescent="0.3">
      <c r="A1537" s="131">
        <v>45138</v>
      </c>
      <c r="B1537" s="50" t="s">
        <v>1173</v>
      </c>
      <c r="C1537" s="5">
        <v>0</v>
      </c>
      <c r="D1537" s="5"/>
      <c r="E1537" s="5">
        <f>+IF(FINANCIACION[[#This Row],[$ CAPITAL]]&gt;=0,FINANCIACION[[#This Row],[$ CAPITAL]]+FINANCIACION[[#This Row],[$ INTERESES]],"")</f>
        <v>0</v>
      </c>
      <c r="F1537" s="5">
        <f>+SUMIFS(FINANCIACION[$ CAPITAL],FINANCIACION[Fecha],"&lt;="&amp;FINANCIACION[[#This Row],[Fecha]],FINANCIACION[PRESTAMO],FINANCIACION[[#This Row],[PRESTAMO]])</f>
        <v>-38844456</v>
      </c>
      <c r="G1537" s="53" t="s">
        <v>1860</v>
      </c>
      <c r="H1537" s="53"/>
      <c r="I1537" s="5" t="b">
        <f>+IF(FINANCIACION[[#This Row],[$ CAPITAL]]&gt;0,FINANCIACION[[#This Row],[$ CAPITAL]])</f>
        <v>0</v>
      </c>
      <c r="J1537" s="33">
        <f>+IF(FINANCIACION[[#This Row],[$ CAPITAL]]&gt;=0,FINANCIACION[[#This Row],[$ CAPITAL]]+FINANCIACION[[#This Row],[$ INTERESES]],0)</f>
        <v>0</v>
      </c>
    </row>
    <row r="1538" spans="1:10" ht="24" hidden="1" customHeight="1" x14ac:dyDescent="0.3">
      <c r="A1538" s="131">
        <v>45138</v>
      </c>
      <c r="B1538" s="50" t="s">
        <v>1382</v>
      </c>
      <c r="C1538" s="5">
        <v>0</v>
      </c>
      <c r="D1538" s="5"/>
      <c r="E1538" s="5">
        <f>+IF(FINANCIACION[[#This Row],[$ CAPITAL]]&gt;=0,FINANCIACION[[#This Row],[$ CAPITAL]]+FINANCIACION[[#This Row],[$ INTERESES]],"")</f>
        <v>0</v>
      </c>
      <c r="F1538" s="5">
        <f>+SUMIFS(FINANCIACION[$ CAPITAL],FINANCIACION[Fecha],"&lt;="&amp;FINANCIACION[[#This Row],[Fecha]],FINANCIACION[PRESTAMO],FINANCIACION[[#This Row],[PRESTAMO]])</f>
        <v>-84825000</v>
      </c>
      <c r="G1538" s="53"/>
      <c r="H1538" s="53"/>
      <c r="I1538" s="5" t="b">
        <f>+IF(FINANCIACION[[#This Row],[$ CAPITAL]]&gt;0,FINANCIACION[[#This Row],[$ CAPITAL]])</f>
        <v>0</v>
      </c>
      <c r="J1538" s="33">
        <f>+IF(FINANCIACION[[#This Row],[$ CAPITAL]]&gt;=0,FINANCIACION[[#This Row],[$ CAPITAL]]+FINANCIACION[[#This Row],[$ INTERESES]],0)</f>
        <v>0</v>
      </c>
    </row>
    <row r="1539" spans="1:10" ht="24" hidden="1" customHeight="1" x14ac:dyDescent="0.3">
      <c r="A1539" s="131">
        <v>45138</v>
      </c>
      <c r="B1539" s="50" t="s">
        <v>1485</v>
      </c>
      <c r="C1539" s="5">
        <v>0</v>
      </c>
      <c r="D1539" s="5"/>
      <c r="E1539" s="5">
        <f>+IF(FINANCIACION[[#This Row],[$ CAPITAL]]&gt;=0,FINANCIACION[[#This Row],[$ CAPITAL]]+FINANCIACION[[#This Row],[$ INTERESES]],"")</f>
        <v>0</v>
      </c>
      <c r="F1539" s="5">
        <f>+SUMIFS(FINANCIACION[$ CAPITAL],FINANCIACION[Fecha],"&lt;="&amp;FINANCIACION[[#This Row],[Fecha]],FINANCIACION[PRESTAMO],FINANCIACION[[#This Row],[PRESTAMO]])</f>
        <v>-53691702</v>
      </c>
      <c r="G1539" s="53"/>
      <c r="H1539" s="53"/>
      <c r="I1539" s="5" t="b">
        <f>+IF(FINANCIACION[[#This Row],[$ CAPITAL]]&gt;0,FINANCIACION[[#This Row],[$ CAPITAL]])</f>
        <v>0</v>
      </c>
      <c r="J1539" s="33">
        <f>+IF(FINANCIACION[[#This Row],[$ CAPITAL]]&gt;=0,FINANCIACION[[#This Row],[$ CAPITAL]]+FINANCIACION[[#This Row],[$ INTERESES]],0)</f>
        <v>0</v>
      </c>
    </row>
    <row r="1540" spans="1:10" ht="24" hidden="1" customHeight="1" x14ac:dyDescent="0.3">
      <c r="A1540" s="131">
        <v>45138</v>
      </c>
      <c r="B1540" s="50" t="s">
        <v>1488</v>
      </c>
      <c r="C1540" s="5">
        <v>373808</v>
      </c>
      <c r="D1540" s="5"/>
      <c r="E1540" s="5">
        <f>+IF(FINANCIACION[[#This Row],[$ CAPITAL]]&gt;=0,FINANCIACION[[#This Row],[$ CAPITAL]]+FINANCIACION[[#This Row],[$ INTERESES]],"")</f>
        <v>373808</v>
      </c>
      <c r="F1540" s="5">
        <f>+SUMIFS(FINANCIACION[$ CAPITAL],FINANCIACION[Fecha],"&lt;="&amp;FINANCIACION[[#This Row],[Fecha]],FINANCIACION[PRESTAMO],FINANCIACION[[#This Row],[PRESTAMO]])</f>
        <v>-2206994</v>
      </c>
      <c r="G1540" s="53"/>
      <c r="H1540" s="53"/>
      <c r="I1540" s="5">
        <f>+IF(FINANCIACION[[#This Row],[$ CAPITAL]]&gt;0,FINANCIACION[[#This Row],[$ CAPITAL]])</f>
        <v>373808</v>
      </c>
      <c r="J1540" s="33">
        <f>+IF(FINANCIACION[[#This Row],[$ CAPITAL]]&gt;=0,FINANCIACION[[#This Row],[$ CAPITAL]]+FINANCIACION[[#This Row],[$ INTERESES]],0)</f>
        <v>373808</v>
      </c>
    </row>
    <row r="1541" spans="1:10" ht="24" hidden="1" customHeight="1" x14ac:dyDescent="0.3">
      <c r="A1541" s="131">
        <v>45138</v>
      </c>
      <c r="B1541" s="50" t="s">
        <v>154</v>
      </c>
      <c r="C1541" s="5">
        <v>17952450</v>
      </c>
      <c r="D1541" s="5"/>
      <c r="E1541" s="5">
        <f>+IF(FINANCIACION[[#This Row],[$ CAPITAL]]&gt;=0,FINANCIACION[[#This Row],[$ CAPITAL]]+FINANCIACION[[#This Row],[$ INTERESES]],"")</f>
        <v>17952450</v>
      </c>
      <c r="F1541" s="5">
        <f>+SUMIFS(FINANCIACION[$ CAPITAL],FINANCIACION[Fecha],"&lt;="&amp;FINANCIACION[[#This Row],[Fecha]],FINANCIACION[PRESTAMO],FINANCIACION[[#This Row],[PRESTAMO]])</f>
        <v>-3027600</v>
      </c>
      <c r="G1541" s="53"/>
      <c r="H1541" s="53"/>
      <c r="I1541" s="5">
        <f>+IF(FINANCIACION[[#This Row],[$ CAPITAL]]&gt;0,FINANCIACION[[#This Row],[$ CAPITAL]])</f>
        <v>17952450</v>
      </c>
      <c r="J1541" s="33">
        <f>+IF(FINANCIACION[[#This Row],[$ CAPITAL]]&gt;=0,FINANCIACION[[#This Row],[$ CAPITAL]]+FINANCIACION[[#This Row],[$ INTERESES]],0)</f>
        <v>17952450</v>
      </c>
    </row>
    <row r="1542" spans="1:10" ht="24" hidden="1" customHeight="1" x14ac:dyDescent="0.3">
      <c r="A1542" s="131">
        <v>45138</v>
      </c>
      <c r="B1542" s="50" t="s">
        <v>155</v>
      </c>
      <c r="C1542" s="5">
        <v>-306722</v>
      </c>
      <c r="D1542" s="5"/>
      <c r="E1542" s="5" t="str">
        <f>+IF(FINANCIACION[[#This Row],[$ CAPITAL]]&gt;=0,FINANCIACION[[#This Row],[$ CAPITAL]]+FINANCIACION[[#This Row],[$ INTERESES]],"")</f>
        <v/>
      </c>
      <c r="F1542" s="5">
        <f>+SUMIFS(FINANCIACION[$ CAPITAL],FINANCIACION[Fecha],"&lt;="&amp;FINANCIACION[[#This Row],[Fecha]],FINANCIACION[PRESTAMO],FINANCIACION[[#This Row],[PRESTAMO]])</f>
        <v>-27153908</v>
      </c>
      <c r="G1542" s="53"/>
      <c r="H1542" s="53"/>
      <c r="I1542" s="5" t="b">
        <f>+IF(FINANCIACION[[#This Row],[$ CAPITAL]]&gt;0,FINANCIACION[[#This Row],[$ CAPITAL]])</f>
        <v>0</v>
      </c>
      <c r="J1542" s="33">
        <f>+IF(FINANCIACION[[#This Row],[$ CAPITAL]]&gt;=0,FINANCIACION[[#This Row],[$ CAPITAL]]+FINANCIACION[[#This Row],[$ INTERESES]],0)</f>
        <v>0</v>
      </c>
    </row>
    <row r="1543" spans="1:10" ht="24" hidden="1" customHeight="1" x14ac:dyDescent="0.3">
      <c r="A1543" s="131">
        <v>45138</v>
      </c>
      <c r="B1543" s="341" t="s">
        <v>540</v>
      </c>
      <c r="C1543" s="5">
        <v>381241.59999999998</v>
      </c>
      <c r="D1543" s="5"/>
      <c r="E1543" s="5">
        <f>+IF(FINANCIACION[[#This Row],[$ CAPITAL]]&gt;=0,FINANCIACION[[#This Row],[$ CAPITAL]]+FINANCIACION[[#This Row],[$ INTERESES]],"")</f>
        <v>381241.59999999998</v>
      </c>
      <c r="F1543" s="5">
        <f>+SUMIFS(FINANCIACION[$ CAPITAL],FINANCIACION[Fecha],"&lt;="&amp;FINANCIACION[[#This Row],[Fecha]],FINANCIACION[PRESTAMO],FINANCIACION[[#This Row],[PRESTAMO]])</f>
        <v>-4.9999998533166945E-2</v>
      </c>
      <c r="G1543" s="53" t="s">
        <v>1484</v>
      </c>
      <c r="H1543" s="53"/>
      <c r="I1543" s="5">
        <f>+IF(FINANCIACION[[#This Row],[$ CAPITAL]]&gt;0,FINANCIACION[[#This Row],[$ CAPITAL]])</f>
        <v>381241.59999999998</v>
      </c>
      <c r="J1543" s="33">
        <f>+IF(FINANCIACION[[#This Row],[$ CAPITAL]]&gt;=0,FINANCIACION[[#This Row],[$ CAPITAL]]+FINANCIACION[[#This Row],[$ INTERESES]],0)</f>
        <v>381241.59999999998</v>
      </c>
    </row>
    <row r="1544" spans="1:10" ht="24" hidden="1" customHeight="1" x14ac:dyDescent="0.3">
      <c r="A1544" s="131">
        <v>45138</v>
      </c>
      <c r="B1544" s="50" t="s">
        <v>542</v>
      </c>
      <c r="C1544" s="5">
        <v>37449</v>
      </c>
      <c r="D1544" s="5"/>
      <c r="E1544" s="5">
        <f>+IF(FINANCIACION[[#This Row],[$ CAPITAL]]&gt;=0,FINANCIACION[[#This Row],[$ CAPITAL]]+FINANCIACION[[#This Row],[$ INTERESES]],"")</f>
        <v>37449</v>
      </c>
      <c r="F1544" s="5">
        <f>+SUMIFS(FINANCIACION[$ CAPITAL],FINANCIACION[Fecha],"&lt;="&amp;FINANCIACION[[#This Row],[Fecha]],FINANCIACION[PRESTAMO],FINANCIACION[[#This Row],[PRESTAMO]])</f>
        <v>-6.9999998435378075E-2</v>
      </c>
      <c r="G1544" s="53" t="s">
        <v>1484</v>
      </c>
      <c r="H1544" s="53"/>
      <c r="I1544" s="5">
        <f>+IF(FINANCIACION[[#This Row],[$ CAPITAL]]&gt;0,FINANCIACION[[#This Row],[$ CAPITAL]])</f>
        <v>37449</v>
      </c>
      <c r="J1544" s="33">
        <f>+IF(FINANCIACION[[#This Row],[$ CAPITAL]]&gt;=0,FINANCIACION[[#This Row],[$ CAPITAL]]+FINANCIACION[[#This Row],[$ INTERESES]],0)</f>
        <v>37449</v>
      </c>
    </row>
    <row r="1545" spans="1:10" ht="24" hidden="1" customHeight="1" x14ac:dyDescent="0.3">
      <c r="A1545" s="131">
        <v>45140</v>
      </c>
      <c r="B1545" s="50" t="s">
        <v>1489</v>
      </c>
      <c r="C1545" s="5">
        <v>0</v>
      </c>
      <c r="D1545" s="5">
        <v>0</v>
      </c>
      <c r="E1545" s="5">
        <f>+IF(FINANCIACION[[#This Row],[$ CAPITAL]]&gt;=0,FINANCIACION[[#This Row],[$ CAPITAL]]+FINANCIACION[[#This Row],[$ INTERESES]],"")</f>
        <v>0</v>
      </c>
      <c r="F1545" s="5">
        <f>+SUMIFS(FINANCIACION[$ CAPITAL],FINANCIACION[Fecha],"&lt;="&amp;FINANCIACION[[#This Row],[Fecha]],FINANCIACION[PRESTAMO],FINANCIACION[[#This Row],[PRESTAMO]])</f>
        <v>-84302430</v>
      </c>
      <c r="G1545" s="53"/>
      <c r="H1545" s="53"/>
      <c r="I1545" s="5" t="b">
        <f>+IF(FINANCIACION[[#This Row],[$ CAPITAL]]&gt;0,FINANCIACION[[#This Row],[$ CAPITAL]])</f>
        <v>0</v>
      </c>
      <c r="J1545" s="33">
        <f>+IF(FINANCIACION[[#This Row],[$ CAPITAL]]&gt;=0,FINANCIACION[[#This Row],[$ CAPITAL]]+FINANCIACION[[#This Row],[$ INTERESES]],0)</f>
        <v>0</v>
      </c>
    </row>
    <row r="1546" spans="1:10" ht="24" hidden="1" customHeight="1" x14ac:dyDescent="0.3">
      <c r="A1546" s="131">
        <v>45146</v>
      </c>
      <c r="B1546" s="50" t="s">
        <v>148</v>
      </c>
      <c r="C1546" s="5"/>
      <c r="D1546" s="5">
        <v>380835</v>
      </c>
      <c r="E1546" s="5">
        <f>+IF(FINANCIACION[[#This Row],[$ CAPITAL]]&gt;=0,FINANCIACION[[#This Row],[$ CAPITAL]]+FINANCIACION[[#This Row],[$ INTERESES]],"")</f>
        <v>380835</v>
      </c>
      <c r="F1546" s="5">
        <f>+SUMIFS(FINANCIACION[$ CAPITAL],FINANCIACION[Fecha],"&lt;="&amp;FINANCIACION[[#This Row],[Fecha]],FINANCIACION[PRESTAMO],FINANCIACION[[#This Row],[PRESTAMO]])</f>
        <v>0</v>
      </c>
      <c r="G1546" s="53"/>
      <c r="H1546" s="53"/>
      <c r="I1546" s="5" t="b">
        <f>+IF(FINANCIACION[[#This Row],[$ CAPITAL]]&gt;0,FINANCIACION[[#This Row],[$ CAPITAL]])</f>
        <v>0</v>
      </c>
      <c r="J1546" s="33">
        <f>+IF(FINANCIACION[[#This Row],[$ CAPITAL]]&gt;=0,FINANCIACION[[#This Row],[$ CAPITAL]]+FINANCIACION[[#This Row],[$ INTERESES]],0)</f>
        <v>380835</v>
      </c>
    </row>
    <row r="1547" spans="1:10" ht="24" hidden="1" customHeight="1" x14ac:dyDescent="0.3">
      <c r="A1547" s="131">
        <v>45147</v>
      </c>
      <c r="B1547" s="50" t="s">
        <v>1487</v>
      </c>
      <c r="C1547" s="5">
        <v>1889477</v>
      </c>
      <c r="D1547" s="5">
        <v>275070</v>
      </c>
      <c r="E1547" s="5">
        <f>+IF(FINANCIACION[[#This Row],[$ CAPITAL]]&gt;=0,FINANCIACION[[#This Row],[$ CAPITAL]]+FINANCIACION[[#This Row],[$ INTERESES]],"")</f>
        <v>2164547</v>
      </c>
      <c r="F1547" s="5">
        <f>+SUMIFS(FINANCIACION[$ CAPITAL],FINANCIACION[Fecha],"&lt;="&amp;FINANCIACION[[#This Row],[Fecha]],FINANCIACION[PRESTAMO],FINANCIACION[[#This Row],[PRESTAMO]])</f>
        <v>-11336862</v>
      </c>
      <c r="G1547" s="53"/>
      <c r="H1547" s="53"/>
      <c r="I1547" s="5">
        <f>+IF(FINANCIACION[[#This Row],[$ CAPITAL]]&gt;0,FINANCIACION[[#This Row],[$ CAPITAL]])</f>
        <v>1889477</v>
      </c>
      <c r="J1547" s="33">
        <f>+IF(FINANCIACION[[#This Row],[$ CAPITAL]]&gt;=0,FINANCIACION[[#This Row],[$ CAPITAL]]+FINANCIACION[[#This Row],[$ INTERESES]],0)</f>
        <v>2164547</v>
      </c>
    </row>
    <row r="1548" spans="1:10" ht="24" hidden="1" customHeight="1" x14ac:dyDescent="0.3">
      <c r="A1548" s="131">
        <v>45149</v>
      </c>
      <c r="B1548" s="50" t="s">
        <v>543</v>
      </c>
      <c r="C1548" s="5"/>
      <c r="D1548" s="5">
        <v>130000</v>
      </c>
      <c r="E1548" s="5">
        <f>+IF(FINANCIACION[[#This Row],[$ CAPITAL]]&gt;=0,FINANCIACION[[#This Row],[$ CAPITAL]]+FINANCIACION[[#This Row],[$ INTERESES]],"")</f>
        <v>130000</v>
      </c>
      <c r="F1548" s="5">
        <f>+SUMIFS(FINANCIACION[$ CAPITAL],FINANCIACION[Fecha],"&lt;="&amp;FINANCIACION[[#This Row],[Fecha]],FINANCIACION[PRESTAMO],FINANCIACION[[#This Row],[PRESTAMO]])</f>
        <v>-13000000</v>
      </c>
      <c r="G1548" s="53"/>
      <c r="H1548" s="53"/>
      <c r="I1548" s="5" t="b">
        <f>+IF(FINANCIACION[[#This Row],[$ CAPITAL]]&gt;0,FINANCIACION[[#This Row],[$ CAPITAL]])</f>
        <v>0</v>
      </c>
      <c r="J1548" s="33">
        <f>+IF(FINANCIACION[[#This Row],[$ CAPITAL]]&gt;=0,FINANCIACION[[#This Row],[$ CAPITAL]]+FINANCIACION[[#This Row],[$ INTERESES]],0)</f>
        <v>130000</v>
      </c>
    </row>
    <row r="1549" spans="1:10" ht="24" hidden="1" customHeight="1" x14ac:dyDescent="0.3">
      <c r="A1549" s="131">
        <v>45149</v>
      </c>
      <c r="B1549" s="50" t="s">
        <v>1562</v>
      </c>
      <c r="C1549" s="5"/>
      <c r="D1549" s="5">
        <v>700000</v>
      </c>
      <c r="E1549" s="5">
        <f>+IF(FINANCIACION[[#This Row],[$ CAPITAL]]&gt;=0,FINANCIACION[[#This Row],[$ CAPITAL]]+FINANCIACION[[#This Row],[$ INTERESES]],"")</f>
        <v>700000</v>
      </c>
      <c r="F1549" s="5">
        <f>+SUMIFS(FINANCIACION[$ CAPITAL],FINANCIACION[Fecha],"&lt;="&amp;FINANCIACION[[#This Row],[Fecha]],FINANCIACION[PRESTAMO],FINANCIACION[[#This Row],[PRESTAMO]])</f>
        <v>-70000000</v>
      </c>
      <c r="G1549" s="53"/>
      <c r="H1549" s="53"/>
      <c r="I1549" s="5" t="b">
        <f>+IF(FINANCIACION[[#This Row],[$ CAPITAL]]&gt;0,FINANCIACION[[#This Row],[$ CAPITAL]])</f>
        <v>0</v>
      </c>
      <c r="J1549" s="33">
        <f>+IF(FINANCIACION[[#This Row],[$ CAPITAL]]&gt;=0,FINANCIACION[[#This Row],[$ CAPITAL]]+FINANCIACION[[#This Row],[$ INTERESES]],0)</f>
        <v>700000</v>
      </c>
    </row>
    <row r="1550" spans="1:10" ht="24" hidden="1" customHeight="1" x14ac:dyDescent="0.3">
      <c r="A1550" s="131">
        <v>45149</v>
      </c>
      <c r="B1550" s="50" t="s">
        <v>547</v>
      </c>
      <c r="C1550" s="5"/>
      <c r="D1550" s="5">
        <v>350000</v>
      </c>
      <c r="E1550" s="5">
        <f>+IF(FINANCIACION[[#This Row],[$ CAPITAL]]&gt;=0,FINANCIACION[[#This Row],[$ CAPITAL]]+FINANCIACION[[#This Row],[$ INTERESES]],"")</f>
        <v>350000</v>
      </c>
      <c r="F1550" s="5">
        <f>+SUMIFS(FINANCIACION[$ CAPITAL],FINANCIACION[Fecha],"&lt;="&amp;FINANCIACION[[#This Row],[Fecha]],FINANCIACION[PRESTAMO],FINANCIACION[[#This Row],[PRESTAMO]])</f>
        <v>-35000000</v>
      </c>
      <c r="G1550" s="53"/>
      <c r="H1550" s="53"/>
      <c r="I1550" s="5" t="b">
        <f>+IF(FINANCIACION[[#This Row],[$ CAPITAL]]&gt;0,FINANCIACION[[#This Row],[$ CAPITAL]])</f>
        <v>0</v>
      </c>
      <c r="J1550" s="33">
        <f>+IF(FINANCIACION[[#This Row],[$ CAPITAL]]&gt;=0,FINANCIACION[[#This Row],[$ CAPITAL]]+FINANCIACION[[#This Row],[$ INTERESES]],0)</f>
        <v>350000</v>
      </c>
    </row>
    <row r="1551" spans="1:10" ht="24" hidden="1" customHeight="1" x14ac:dyDescent="0.3">
      <c r="A1551" s="131">
        <v>45149</v>
      </c>
      <c r="B1551" s="50" t="s">
        <v>536</v>
      </c>
      <c r="C1551" s="5">
        <v>1132107.8600000001</v>
      </c>
      <c r="D1551" s="5">
        <v>167892.14</v>
      </c>
      <c r="E1551" s="5">
        <f>+IF(FINANCIACION[[#This Row],[$ CAPITAL]]&gt;=0,FINANCIACION[[#This Row],[$ CAPITAL]]+FINANCIACION[[#This Row],[$ INTERESES]],"")</f>
        <v>1300000</v>
      </c>
      <c r="F1551" s="5">
        <f>+SUMIFS(FINANCIACION[$ CAPITAL],FINANCIACION[Fecha],"&lt;="&amp;FINANCIACION[[#This Row],[Fecha]],FINANCIACION[PRESTAMO],FINANCIACION[[#This Row],[PRESTAMO]])</f>
        <v>-15597106.05175975</v>
      </c>
      <c r="G1551" s="53"/>
      <c r="H1551" s="53"/>
      <c r="I1551" s="5">
        <f>+IF(FINANCIACION[[#This Row],[$ CAPITAL]]&gt;0,FINANCIACION[[#This Row],[$ CAPITAL]])</f>
        <v>1132107.8600000001</v>
      </c>
      <c r="J1551" s="33">
        <f>+IF(FINANCIACION[[#This Row],[$ CAPITAL]]&gt;=0,FINANCIACION[[#This Row],[$ CAPITAL]]+FINANCIACION[[#This Row],[$ INTERESES]],0)</f>
        <v>1300000</v>
      </c>
    </row>
    <row r="1552" spans="1:10" ht="24" hidden="1" customHeight="1" x14ac:dyDescent="0.3">
      <c r="A1552" s="131">
        <v>45149</v>
      </c>
      <c r="B1552" s="50" t="s">
        <v>550</v>
      </c>
      <c r="C1552" s="5">
        <v>0</v>
      </c>
      <c r="D1552" s="5">
        <v>0</v>
      </c>
      <c r="E1552" s="5">
        <f>+IF(FINANCIACION[[#This Row],[$ CAPITAL]]&gt;=0,FINANCIACION[[#This Row],[$ CAPITAL]]+FINANCIACION[[#This Row],[$ INTERESES]],"")</f>
        <v>0</v>
      </c>
      <c r="F1552" s="5">
        <f>+SUMIFS(FINANCIACION[$ CAPITAL],FINANCIACION[Fecha],"&lt;="&amp;FINANCIACION[[#This Row],[Fecha]],FINANCIACION[PRESTAMO],FINANCIACION[[#This Row],[PRESTAMO]])</f>
        <v>-5000000</v>
      </c>
      <c r="G1552" s="53"/>
      <c r="H1552" s="53"/>
      <c r="I1552" s="5" t="b">
        <f>+IF(FINANCIACION[[#This Row],[$ CAPITAL]]&gt;0,FINANCIACION[[#This Row],[$ CAPITAL]])</f>
        <v>0</v>
      </c>
      <c r="J1552" s="33">
        <f>+IF(FINANCIACION[[#This Row],[$ CAPITAL]]&gt;=0,FINANCIACION[[#This Row],[$ CAPITAL]]+FINANCIACION[[#This Row],[$ INTERESES]],0)</f>
        <v>0</v>
      </c>
    </row>
    <row r="1553" spans="1:10" ht="24" hidden="1" customHeight="1" x14ac:dyDescent="0.3">
      <c r="A1553" s="131">
        <v>45149</v>
      </c>
      <c r="B1553" s="50" t="s">
        <v>541</v>
      </c>
      <c r="C1553" s="5"/>
      <c r="D1553" s="5">
        <v>960000</v>
      </c>
      <c r="E1553" s="5">
        <f>+IF(FINANCIACION[[#This Row],[$ CAPITAL]]&gt;=0,FINANCIACION[[#This Row],[$ CAPITAL]]+FINANCIACION[[#This Row],[$ INTERESES]],"")</f>
        <v>960000</v>
      </c>
      <c r="F1553" s="5">
        <f>+SUMIFS(FINANCIACION[$ CAPITAL],FINANCIACION[Fecha],"&lt;="&amp;FINANCIACION[[#This Row],[Fecha]],FINANCIACION[PRESTAMO],FINANCIACION[[#This Row],[PRESTAMO]])</f>
        <v>-8000000</v>
      </c>
      <c r="G1553" s="53" t="s">
        <v>1947</v>
      </c>
      <c r="H1553" s="53"/>
      <c r="I1553" s="5" t="b">
        <f>+IF(FINANCIACION[[#This Row],[$ CAPITAL]]&gt;0,FINANCIACION[[#This Row],[$ CAPITAL]])</f>
        <v>0</v>
      </c>
      <c r="J1553" s="33">
        <f>+IF(FINANCIACION[[#This Row],[$ CAPITAL]]&gt;=0,FINANCIACION[[#This Row],[$ CAPITAL]]+FINANCIACION[[#This Row],[$ INTERESES]],0)</f>
        <v>960000</v>
      </c>
    </row>
    <row r="1554" spans="1:10" ht="24" hidden="1" customHeight="1" x14ac:dyDescent="0.3">
      <c r="A1554" s="131">
        <v>45149</v>
      </c>
      <c r="B1554" s="50" t="s">
        <v>545</v>
      </c>
      <c r="C1554" s="5"/>
      <c r="D1554" s="5">
        <v>120000</v>
      </c>
      <c r="E1554" s="5">
        <f>+IF(FINANCIACION[[#This Row],[$ CAPITAL]]&gt;=0,FINANCIACION[[#This Row],[$ CAPITAL]]+FINANCIACION[[#This Row],[$ INTERESES]],"")</f>
        <v>120000</v>
      </c>
      <c r="F1554" s="5">
        <f>+SUMIFS(FINANCIACION[$ CAPITAL],FINANCIACION[Fecha],"&lt;="&amp;FINANCIACION[[#This Row],[Fecha]],FINANCIACION[PRESTAMO],FINANCIACION[[#This Row],[PRESTAMO]])</f>
        <v>-12000000</v>
      </c>
      <c r="G1554" s="53"/>
      <c r="H1554" s="53"/>
      <c r="I1554" s="5" t="b">
        <f>+IF(FINANCIACION[[#This Row],[$ CAPITAL]]&gt;0,FINANCIACION[[#This Row],[$ CAPITAL]])</f>
        <v>0</v>
      </c>
      <c r="J1554" s="33">
        <f>+IF(FINANCIACION[[#This Row],[$ CAPITAL]]&gt;=0,FINANCIACION[[#This Row],[$ CAPITAL]]+FINANCIACION[[#This Row],[$ INTERESES]],0)</f>
        <v>120000</v>
      </c>
    </row>
    <row r="1555" spans="1:10" ht="24" hidden="1" customHeight="1" x14ac:dyDescent="0.3">
      <c r="A1555" s="131">
        <v>45152</v>
      </c>
      <c r="B1555" s="50" t="s">
        <v>148</v>
      </c>
      <c r="C1555" s="5"/>
      <c r="D1555" s="5">
        <v>747438</v>
      </c>
      <c r="E1555" s="5">
        <f>+IF(FINANCIACION[[#This Row],[$ CAPITAL]]&gt;=0,FINANCIACION[[#This Row],[$ CAPITAL]]+FINANCIACION[[#This Row],[$ INTERESES]],"")</f>
        <v>747438</v>
      </c>
      <c r="F1555" s="5">
        <f>+SUMIFS(FINANCIACION[$ CAPITAL],FINANCIACION[Fecha],"&lt;="&amp;FINANCIACION[[#This Row],[Fecha]],FINANCIACION[PRESTAMO],FINANCIACION[[#This Row],[PRESTAMO]])</f>
        <v>0</v>
      </c>
      <c r="G1555" s="53"/>
      <c r="H1555" s="53"/>
      <c r="I1555" s="5" t="b">
        <f>+IF(FINANCIACION[[#This Row],[$ CAPITAL]]&gt;0,FINANCIACION[[#This Row],[$ CAPITAL]])</f>
        <v>0</v>
      </c>
      <c r="J1555" s="33">
        <f>+IF(FINANCIACION[[#This Row],[$ CAPITAL]]&gt;=0,FINANCIACION[[#This Row],[$ CAPITAL]]+FINANCIACION[[#This Row],[$ INTERESES]],0)</f>
        <v>747438</v>
      </c>
    </row>
    <row r="1556" spans="1:10" ht="24" hidden="1" customHeight="1" x14ac:dyDescent="0.3">
      <c r="A1556" s="131">
        <v>45153</v>
      </c>
      <c r="B1556" s="50" t="s">
        <v>549</v>
      </c>
      <c r="C1556" s="5">
        <v>-30000000</v>
      </c>
      <c r="D1556" s="5"/>
      <c r="E1556" s="5" t="str">
        <f>+IF(FINANCIACION[[#This Row],[$ CAPITAL]]&gt;=0,FINANCIACION[[#This Row],[$ CAPITAL]]+FINANCIACION[[#This Row],[$ INTERESES]],"")</f>
        <v/>
      </c>
      <c r="F1556" s="5">
        <f>+SUMIFS(FINANCIACION[$ CAPITAL],FINANCIACION[Fecha],"&lt;="&amp;FINANCIACION[[#This Row],[Fecha]],FINANCIACION[PRESTAMO],FINANCIACION[[#This Row],[PRESTAMO]])</f>
        <v>-30000000</v>
      </c>
      <c r="G1556" s="53"/>
      <c r="H1556" s="53"/>
      <c r="I1556" s="5" t="b">
        <f>+IF(FINANCIACION[[#This Row],[$ CAPITAL]]&gt;0,FINANCIACION[[#This Row],[$ CAPITAL]])</f>
        <v>0</v>
      </c>
      <c r="J1556" s="33">
        <f>+IF(FINANCIACION[[#This Row],[$ CAPITAL]]&gt;=0,FINANCIACION[[#This Row],[$ CAPITAL]]+FINANCIACION[[#This Row],[$ INTERESES]],0)</f>
        <v>0</v>
      </c>
    </row>
    <row r="1557" spans="1:10" ht="24" hidden="1" customHeight="1" x14ac:dyDescent="0.3">
      <c r="A1557" s="131">
        <v>45153</v>
      </c>
      <c r="B1557" s="50" t="s">
        <v>148</v>
      </c>
      <c r="C1557" s="5"/>
      <c r="D1557" s="5">
        <v>525989</v>
      </c>
      <c r="E1557" s="5">
        <f>+IF(FINANCIACION[[#This Row],[$ CAPITAL]]&gt;=0,FINANCIACION[[#This Row],[$ CAPITAL]]+FINANCIACION[[#This Row],[$ INTERESES]],"")</f>
        <v>525989</v>
      </c>
      <c r="F1557" s="5">
        <f>+SUMIFS(FINANCIACION[$ CAPITAL],FINANCIACION[Fecha],"&lt;="&amp;FINANCIACION[[#This Row],[Fecha]],FINANCIACION[PRESTAMO],FINANCIACION[[#This Row],[PRESTAMO]])</f>
        <v>0</v>
      </c>
      <c r="G1557" s="53"/>
      <c r="H1557" s="53"/>
      <c r="I1557" s="5" t="b">
        <f>+IF(FINANCIACION[[#This Row],[$ CAPITAL]]&gt;0,FINANCIACION[[#This Row],[$ CAPITAL]])</f>
        <v>0</v>
      </c>
      <c r="J1557" s="33">
        <f>+IF(FINANCIACION[[#This Row],[$ CAPITAL]]&gt;=0,FINANCIACION[[#This Row],[$ CAPITAL]]+FINANCIACION[[#This Row],[$ INTERESES]],0)</f>
        <v>525989</v>
      </c>
    </row>
    <row r="1558" spans="1:10" ht="24" hidden="1" customHeight="1" x14ac:dyDescent="0.3">
      <c r="A1558" s="131">
        <v>45155</v>
      </c>
      <c r="B1558" s="50" t="s">
        <v>532</v>
      </c>
      <c r="C1558" s="5">
        <v>669577.97</v>
      </c>
      <c r="D1558" s="5">
        <v>330422.03000000003</v>
      </c>
      <c r="E1558" s="5">
        <f>+IF(FINANCIACION[[#This Row],[$ CAPITAL]]&gt;=0,FINANCIACION[[#This Row],[$ CAPITAL]]+FINANCIACION[[#This Row],[$ INTERESES]],"")</f>
        <v>1000000</v>
      </c>
      <c r="F1558" s="5">
        <f>+SUMIFS(FINANCIACION[$ CAPITAL],FINANCIACION[Fecha],"&lt;="&amp;FINANCIACION[[#This Row],[Fecha]],FINANCIACION[PRESTAMO],FINANCIACION[[#This Row],[PRESTAMO]])</f>
        <v>-32372625.514479995</v>
      </c>
      <c r="G1558" s="53"/>
      <c r="H1558" s="53"/>
      <c r="I1558" s="5">
        <f>+IF(FINANCIACION[[#This Row],[$ CAPITAL]]&gt;0,FINANCIACION[[#This Row],[$ CAPITAL]])</f>
        <v>669577.97</v>
      </c>
      <c r="J1558" s="33">
        <f>+IF(FINANCIACION[[#This Row],[$ CAPITAL]]&gt;=0,FINANCIACION[[#This Row],[$ CAPITAL]]+FINANCIACION[[#This Row],[$ INTERESES]],0)</f>
        <v>1000000</v>
      </c>
    </row>
    <row r="1559" spans="1:10" ht="24" hidden="1" customHeight="1" x14ac:dyDescent="0.3">
      <c r="A1559" s="131">
        <v>45155</v>
      </c>
      <c r="B1559" s="50" t="s">
        <v>533</v>
      </c>
      <c r="C1559" s="5">
        <v>1518508.16</v>
      </c>
      <c r="D1559" s="5">
        <v>481491.84</v>
      </c>
      <c r="E1559" s="5">
        <f>+IF(FINANCIACION[[#This Row],[$ CAPITAL]]&gt;=0,FINANCIACION[[#This Row],[$ CAPITAL]]+FINANCIACION[[#This Row],[$ INTERESES]],"")</f>
        <v>2000000</v>
      </c>
      <c r="F1559" s="5">
        <f>+SUMIFS(FINANCIACION[$ CAPITAL],FINANCIACION[Fecha],"&lt;="&amp;FINANCIACION[[#This Row],[Fecha]],FINANCIACION[PRESTAMO],FINANCIACION[[#This Row],[PRESTAMO]])</f>
        <v>-46630675.97283452</v>
      </c>
      <c r="G1559" s="53"/>
      <c r="H1559" s="53"/>
      <c r="I1559" s="5">
        <f>+IF(FINANCIACION[[#This Row],[$ CAPITAL]]&gt;0,FINANCIACION[[#This Row],[$ CAPITAL]])</f>
        <v>1518508.16</v>
      </c>
      <c r="J1559" s="33">
        <f>+IF(FINANCIACION[[#This Row],[$ CAPITAL]]&gt;=0,FINANCIACION[[#This Row],[$ CAPITAL]]+FINANCIACION[[#This Row],[$ INTERESES]],0)</f>
        <v>2000000</v>
      </c>
    </row>
    <row r="1560" spans="1:10" ht="24" hidden="1" customHeight="1" x14ac:dyDescent="0.3">
      <c r="A1560" s="131">
        <v>45155</v>
      </c>
      <c r="B1560" s="50" t="s">
        <v>563</v>
      </c>
      <c r="C1560" s="5"/>
      <c r="D1560" s="5">
        <v>750000</v>
      </c>
      <c r="E1560" s="5">
        <f>+IF(FINANCIACION[[#This Row],[$ CAPITAL]]&gt;=0,FINANCIACION[[#This Row],[$ CAPITAL]]+FINANCIACION[[#This Row],[$ INTERESES]],"")</f>
        <v>750000</v>
      </c>
      <c r="F1560" s="5">
        <f>+SUMIFS(FINANCIACION[$ CAPITAL],FINANCIACION[Fecha],"&lt;="&amp;FINANCIACION[[#This Row],[Fecha]],FINANCIACION[PRESTAMO],FINANCIACION[[#This Row],[PRESTAMO]])</f>
        <v>-75000000</v>
      </c>
      <c r="G1560" s="53"/>
      <c r="H1560" s="53"/>
      <c r="I1560" s="5" t="b">
        <f>+IF(FINANCIACION[[#This Row],[$ CAPITAL]]&gt;0,FINANCIACION[[#This Row],[$ CAPITAL]])</f>
        <v>0</v>
      </c>
      <c r="J1560" s="33">
        <f>+IF(FINANCIACION[[#This Row],[$ CAPITAL]]&gt;=0,FINANCIACION[[#This Row],[$ CAPITAL]]+FINANCIACION[[#This Row],[$ INTERESES]],0)</f>
        <v>750000</v>
      </c>
    </row>
    <row r="1561" spans="1:10" ht="24" hidden="1" customHeight="1" x14ac:dyDescent="0.3">
      <c r="A1561" s="131">
        <v>45156</v>
      </c>
      <c r="B1561" s="50" t="s">
        <v>1921</v>
      </c>
      <c r="C1561" s="5">
        <v>1251087</v>
      </c>
      <c r="D1561" s="5">
        <f>5712412+151454+370999+10287</f>
        <v>6245152</v>
      </c>
      <c r="E1561" s="5">
        <f>+IF(FINANCIACION[[#This Row],[$ CAPITAL]]&gt;=0,FINANCIACION[[#This Row],[$ CAPITAL]]+FINANCIACION[[#This Row],[$ INTERESES]],"")</f>
        <v>7496239</v>
      </c>
      <c r="F1561" s="5">
        <f>+SUMIFS(FINANCIACION[$ CAPITAL],FINANCIACION[Fecha],"&lt;="&amp;FINANCIACION[[#This Row],[Fecha]],FINANCIACION[PRESTAMO],FINANCIACION[[#This Row],[PRESTAMO]])</f>
        <v>-345927740</v>
      </c>
      <c r="G1561" s="53"/>
      <c r="H1561" s="53"/>
      <c r="I1561" s="5">
        <f>+IF(FINANCIACION[[#This Row],[$ CAPITAL]]&gt;0,FINANCIACION[[#This Row],[$ CAPITAL]])</f>
        <v>1251087</v>
      </c>
      <c r="J1561" s="33">
        <f>+IF(FINANCIACION[[#This Row],[$ CAPITAL]]&gt;=0,FINANCIACION[[#This Row],[$ CAPITAL]]+FINANCIACION[[#This Row],[$ INTERESES]],0)</f>
        <v>7496239</v>
      </c>
    </row>
    <row r="1562" spans="1:10" ht="24" hidden="1" customHeight="1" x14ac:dyDescent="0.3">
      <c r="A1562" s="131">
        <v>45160</v>
      </c>
      <c r="B1562" s="50" t="s">
        <v>150</v>
      </c>
      <c r="C1562" s="5">
        <v>417000</v>
      </c>
      <c r="D1562" s="5">
        <v>177542</v>
      </c>
      <c r="E1562" s="5">
        <f>+IF(FINANCIACION[[#This Row],[$ CAPITAL]]&gt;=0,FINANCIACION[[#This Row],[$ CAPITAL]]+FINANCIACION[[#This Row],[$ INTERESES]],"")</f>
        <v>594542</v>
      </c>
      <c r="F1562" s="5">
        <f>+SUMIFS(FINANCIACION[$ CAPITAL],FINANCIACION[Fecha],"&lt;="&amp;FINANCIACION[[#This Row],[Fecha]],FINANCIACION[PRESTAMO],FINANCIACION[[#This Row],[PRESTAMO]])</f>
        <v>-9256820</v>
      </c>
      <c r="G1562" s="53"/>
      <c r="H1562" s="53"/>
      <c r="I1562" s="5">
        <f>+IF(FINANCIACION[[#This Row],[$ CAPITAL]]&gt;0,FINANCIACION[[#This Row],[$ CAPITAL]])</f>
        <v>417000</v>
      </c>
      <c r="J1562" s="33">
        <f>+IF(FINANCIACION[[#This Row],[$ CAPITAL]]&gt;=0,FINANCIACION[[#This Row],[$ CAPITAL]]+FINANCIACION[[#This Row],[$ INTERESES]],0)</f>
        <v>594542</v>
      </c>
    </row>
    <row r="1563" spans="1:10" ht="24" hidden="1" customHeight="1" x14ac:dyDescent="0.3">
      <c r="A1563" s="131">
        <v>45160</v>
      </c>
      <c r="B1563" s="50" t="s">
        <v>588</v>
      </c>
      <c r="C1563" s="5">
        <v>1666666</v>
      </c>
      <c r="D1563" s="5">
        <v>50662</v>
      </c>
      <c r="E1563" s="5">
        <f>+IF(FINANCIACION[[#This Row],[$ CAPITAL]]&gt;=0,FINANCIACION[[#This Row],[$ CAPITAL]]+FINANCIACION[[#This Row],[$ INTERESES]],"")</f>
        <v>1717328</v>
      </c>
      <c r="F1563" s="5">
        <f>+SUMIFS(FINANCIACION[$ CAPITAL],FINANCIACION[Fecha],"&lt;="&amp;FINANCIACION[[#This Row],[Fecha]],FINANCIACION[PRESTAMO],FINANCIACION[[#This Row],[PRESTAMO]])</f>
        <v>-1047898.2799999975</v>
      </c>
      <c r="G1563" s="53"/>
      <c r="H1563" s="53"/>
      <c r="I1563" s="5">
        <f>+IF(FINANCIACION[[#This Row],[$ CAPITAL]]&gt;0,FINANCIACION[[#This Row],[$ CAPITAL]])</f>
        <v>1666666</v>
      </c>
      <c r="J1563" s="33">
        <f>+IF(FINANCIACION[[#This Row],[$ CAPITAL]]&gt;=0,FINANCIACION[[#This Row],[$ CAPITAL]]+FINANCIACION[[#This Row],[$ INTERESES]],0)</f>
        <v>1717328</v>
      </c>
    </row>
    <row r="1564" spans="1:10" ht="24" hidden="1" customHeight="1" x14ac:dyDescent="0.3">
      <c r="A1564" s="131">
        <v>45163</v>
      </c>
      <c r="B1564" s="50" t="s">
        <v>548</v>
      </c>
      <c r="C1564" s="5">
        <v>1481481</v>
      </c>
      <c r="D1564" s="5">
        <v>860568</v>
      </c>
      <c r="E1564" s="5">
        <f>+IF(FINANCIACION[[#This Row],[$ CAPITAL]]&gt;=0,FINANCIACION[[#This Row],[$ CAPITAL]]+FINANCIACION[[#This Row],[$ INTERESES]],"")</f>
        <v>2342049</v>
      </c>
      <c r="F1564" s="5">
        <f>+SUMIFS(FINANCIACION[$ CAPITAL],FINANCIACION[Fecha],"&lt;="&amp;FINANCIACION[[#This Row],[Fecha]],FINANCIACION[PRESTAMO],FINANCIACION[[#This Row],[PRESTAMO]])</f>
        <v>-57886737.449999988</v>
      </c>
      <c r="G1564" s="53"/>
      <c r="H1564" s="53"/>
      <c r="I1564" s="5">
        <f>+IF(FINANCIACION[[#This Row],[$ CAPITAL]]&gt;0,FINANCIACION[[#This Row],[$ CAPITAL]])</f>
        <v>1481481</v>
      </c>
      <c r="J1564" s="33">
        <f>+IF(FINANCIACION[[#This Row],[$ CAPITAL]]&gt;=0,FINANCIACION[[#This Row],[$ CAPITAL]]+FINANCIACION[[#This Row],[$ INTERESES]],0)</f>
        <v>2342049</v>
      </c>
    </row>
    <row r="1565" spans="1:10" ht="24" hidden="1" customHeight="1" x14ac:dyDescent="0.3">
      <c r="A1565" s="131">
        <v>45169</v>
      </c>
      <c r="B1565" s="50" t="s">
        <v>146</v>
      </c>
      <c r="C1565" s="5">
        <v>1468400</v>
      </c>
      <c r="D1565" s="5">
        <v>260830</v>
      </c>
      <c r="E1565" s="5">
        <f>+IF(FINANCIACION[[#This Row],[$ CAPITAL]]&gt;=0,FINANCIACION[[#This Row],[$ CAPITAL]]+FINANCIACION[[#This Row],[$ INTERESES]],"")</f>
        <v>1729230</v>
      </c>
      <c r="F1565" s="5">
        <f>+SUMIFS(FINANCIACION[$ CAPITAL],FINANCIACION[Fecha],"&lt;="&amp;FINANCIACION[[#This Row],[Fecha]],FINANCIACION[PRESTAMO],FINANCIACION[[#This Row],[PRESTAMO]])</f>
        <v>-10278800</v>
      </c>
      <c r="G1565" s="53"/>
      <c r="H1565" s="53"/>
      <c r="I1565" s="5">
        <f>+IF(FINANCIACION[[#This Row],[$ CAPITAL]]&gt;0,FINANCIACION[[#This Row],[$ CAPITAL]])</f>
        <v>1468400</v>
      </c>
      <c r="J1565" s="33">
        <f>+IF(FINANCIACION[[#This Row],[$ CAPITAL]]&gt;=0,FINANCIACION[[#This Row],[$ CAPITAL]]+FINANCIACION[[#This Row],[$ INTERESES]],0)</f>
        <v>1729230</v>
      </c>
    </row>
    <row r="1566" spans="1:10" ht="24" hidden="1" customHeight="1" x14ac:dyDescent="0.3">
      <c r="A1566" s="131">
        <v>45169</v>
      </c>
      <c r="B1566" s="50" t="s">
        <v>147</v>
      </c>
      <c r="C1566" s="5">
        <v>76791</v>
      </c>
      <c r="D1566" s="5"/>
      <c r="E1566" s="5">
        <f>+IF(FINANCIACION[[#This Row],[$ CAPITAL]]&gt;=0,FINANCIACION[[#This Row],[$ CAPITAL]]+FINANCIACION[[#This Row],[$ INTERESES]],"")</f>
        <v>76791</v>
      </c>
      <c r="F1566" s="5">
        <f>+SUMIFS(FINANCIACION[$ CAPITAL],FINANCIACION[Fecha],"&lt;="&amp;FINANCIACION[[#This Row],[Fecha]],FINANCIACION[PRESTAMO],FINANCIACION[[#This Row],[PRESTAMO]])</f>
        <v>-537537</v>
      </c>
      <c r="G1566" s="53"/>
      <c r="H1566" s="53"/>
      <c r="I1566" s="5">
        <f>+IF(FINANCIACION[[#This Row],[$ CAPITAL]]&gt;0,FINANCIACION[[#This Row],[$ CAPITAL]])</f>
        <v>76791</v>
      </c>
      <c r="J1566" s="33">
        <f>+IF(FINANCIACION[[#This Row],[$ CAPITAL]]&gt;=0,FINANCIACION[[#This Row],[$ CAPITAL]]+FINANCIACION[[#This Row],[$ INTERESES]],0)</f>
        <v>76791</v>
      </c>
    </row>
    <row r="1567" spans="1:10" ht="24" hidden="1" customHeight="1" x14ac:dyDescent="0.3">
      <c r="A1567" s="131">
        <v>45169</v>
      </c>
      <c r="B1567" s="50" t="s">
        <v>1173</v>
      </c>
      <c r="C1567" s="5">
        <v>0</v>
      </c>
      <c r="D1567" s="5">
        <v>0</v>
      </c>
      <c r="E1567" s="5">
        <f>+IF(FINANCIACION[[#This Row],[$ CAPITAL]]&gt;=0,FINANCIACION[[#This Row],[$ CAPITAL]]+FINANCIACION[[#This Row],[$ INTERESES]],"")</f>
        <v>0</v>
      </c>
      <c r="F1567" s="5">
        <f>+SUMIFS(FINANCIACION[$ CAPITAL],FINANCIACION[Fecha],"&lt;="&amp;FINANCIACION[[#This Row],[Fecha]],FINANCIACION[PRESTAMO],FINANCIACION[[#This Row],[PRESTAMO]])</f>
        <v>-38844456</v>
      </c>
      <c r="G1567" s="53" t="s">
        <v>1790</v>
      </c>
      <c r="H1567" s="53"/>
      <c r="I1567" s="5" t="b">
        <f>+IF(FINANCIACION[[#This Row],[$ CAPITAL]]&gt;0,FINANCIACION[[#This Row],[$ CAPITAL]])</f>
        <v>0</v>
      </c>
      <c r="J1567" s="33">
        <f>+IF(FINANCIACION[[#This Row],[$ CAPITAL]]&gt;=0,FINANCIACION[[#This Row],[$ CAPITAL]]+FINANCIACION[[#This Row],[$ INTERESES]],0)</f>
        <v>0</v>
      </c>
    </row>
    <row r="1568" spans="1:10" ht="24" hidden="1" customHeight="1" x14ac:dyDescent="0.3">
      <c r="A1568" s="131">
        <v>45169</v>
      </c>
      <c r="B1568" s="50" t="s">
        <v>1382</v>
      </c>
      <c r="C1568" s="5">
        <v>0</v>
      </c>
      <c r="D1568" s="5">
        <v>0</v>
      </c>
      <c r="E1568" s="5">
        <f>+IF(FINANCIACION[[#This Row],[$ CAPITAL]]&gt;=0,FINANCIACION[[#This Row],[$ CAPITAL]]+FINANCIACION[[#This Row],[$ INTERESES]],"")</f>
        <v>0</v>
      </c>
      <c r="F1568" s="5">
        <f>+SUMIFS(FINANCIACION[$ CAPITAL],FINANCIACION[Fecha],"&lt;="&amp;FINANCIACION[[#This Row],[Fecha]],FINANCIACION[PRESTAMO],FINANCIACION[[#This Row],[PRESTAMO]])</f>
        <v>-84825000</v>
      </c>
      <c r="G1568" s="53"/>
      <c r="H1568" s="53"/>
      <c r="I1568" s="5" t="b">
        <f>+IF(FINANCIACION[[#This Row],[$ CAPITAL]]&gt;0,FINANCIACION[[#This Row],[$ CAPITAL]])</f>
        <v>0</v>
      </c>
      <c r="J1568" s="33">
        <f>+IF(FINANCIACION[[#This Row],[$ CAPITAL]]&gt;=0,FINANCIACION[[#This Row],[$ CAPITAL]]+FINANCIACION[[#This Row],[$ INTERESES]],0)</f>
        <v>0</v>
      </c>
    </row>
    <row r="1569" spans="1:10" ht="24" hidden="1" customHeight="1" x14ac:dyDescent="0.3">
      <c r="A1569" s="131">
        <v>45169</v>
      </c>
      <c r="B1569" s="50" t="s">
        <v>1485</v>
      </c>
      <c r="C1569" s="5">
        <v>0</v>
      </c>
      <c r="D1569" s="5">
        <v>0</v>
      </c>
      <c r="E1569" s="5">
        <f>+IF(FINANCIACION[[#This Row],[$ CAPITAL]]&gt;=0,FINANCIACION[[#This Row],[$ CAPITAL]]+FINANCIACION[[#This Row],[$ INTERESES]],"")</f>
        <v>0</v>
      </c>
      <c r="F1569" s="5">
        <f>+SUMIFS(FINANCIACION[$ CAPITAL],FINANCIACION[Fecha],"&lt;="&amp;FINANCIACION[[#This Row],[Fecha]],FINANCIACION[PRESTAMO],FINANCIACION[[#This Row],[PRESTAMO]])</f>
        <v>-53691702</v>
      </c>
      <c r="G1569" s="53"/>
      <c r="H1569" s="53"/>
      <c r="I1569" s="5" t="b">
        <f>+IF(FINANCIACION[[#This Row],[$ CAPITAL]]&gt;0,FINANCIACION[[#This Row],[$ CAPITAL]])</f>
        <v>0</v>
      </c>
      <c r="J1569" s="33">
        <f>+IF(FINANCIACION[[#This Row],[$ CAPITAL]]&gt;=0,FINANCIACION[[#This Row],[$ CAPITAL]]+FINANCIACION[[#This Row],[$ INTERESES]],0)</f>
        <v>0</v>
      </c>
    </row>
    <row r="1570" spans="1:10" ht="24" hidden="1" customHeight="1" x14ac:dyDescent="0.3">
      <c r="A1570" s="131">
        <v>45169</v>
      </c>
      <c r="B1570" s="50" t="s">
        <v>1488</v>
      </c>
      <c r="C1570" s="5">
        <v>2206994</v>
      </c>
      <c r="D1570" s="5"/>
      <c r="E1570" s="5">
        <f>+IF(FINANCIACION[[#This Row],[$ CAPITAL]]&gt;=0,FINANCIACION[[#This Row],[$ CAPITAL]]+FINANCIACION[[#This Row],[$ INTERESES]],"")</f>
        <v>2206994</v>
      </c>
      <c r="F1570" s="5">
        <f>+SUMIFS(FINANCIACION[$ CAPITAL],FINANCIACION[Fecha],"&lt;="&amp;FINANCIACION[[#This Row],[Fecha]],FINANCIACION[PRESTAMO],FINANCIACION[[#This Row],[PRESTAMO]])</f>
        <v>0</v>
      </c>
      <c r="G1570" s="53"/>
      <c r="H1570" s="53"/>
      <c r="I1570" s="5">
        <f>+IF(FINANCIACION[[#This Row],[$ CAPITAL]]&gt;0,FINANCIACION[[#This Row],[$ CAPITAL]])</f>
        <v>2206994</v>
      </c>
      <c r="J1570" s="33">
        <f>+IF(FINANCIACION[[#This Row],[$ CAPITAL]]&gt;=0,FINANCIACION[[#This Row],[$ CAPITAL]]+FINANCIACION[[#This Row],[$ INTERESES]],0)</f>
        <v>2206994</v>
      </c>
    </row>
    <row r="1571" spans="1:10" ht="24" hidden="1" customHeight="1" x14ac:dyDescent="0.3">
      <c r="A1571" s="131">
        <v>45169</v>
      </c>
      <c r="B1571" s="50" t="s">
        <v>154</v>
      </c>
      <c r="C1571" s="5">
        <v>-8247504</v>
      </c>
      <c r="D1571" s="5"/>
      <c r="E1571" s="5" t="str">
        <f>+IF(FINANCIACION[[#This Row],[$ CAPITAL]]&gt;=0,FINANCIACION[[#This Row],[$ CAPITAL]]+FINANCIACION[[#This Row],[$ INTERESES]],"")</f>
        <v/>
      </c>
      <c r="F1571" s="5">
        <f>+SUMIFS(FINANCIACION[$ CAPITAL],FINANCIACION[Fecha],"&lt;="&amp;FINANCIACION[[#This Row],[Fecha]],FINANCIACION[PRESTAMO],FINANCIACION[[#This Row],[PRESTAMO]])</f>
        <v>-11275104</v>
      </c>
      <c r="G1571" s="53"/>
      <c r="H1571" s="53"/>
      <c r="I1571" s="5" t="b">
        <f>+IF(FINANCIACION[[#This Row],[$ CAPITAL]]&gt;0,FINANCIACION[[#This Row],[$ CAPITAL]])</f>
        <v>0</v>
      </c>
      <c r="J1571" s="33">
        <f>+IF(FINANCIACION[[#This Row],[$ CAPITAL]]&gt;=0,FINANCIACION[[#This Row],[$ CAPITAL]]+FINANCIACION[[#This Row],[$ INTERESES]],0)</f>
        <v>0</v>
      </c>
    </row>
    <row r="1572" spans="1:10" ht="24" hidden="1" customHeight="1" x14ac:dyDescent="0.3">
      <c r="A1572" s="131">
        <v>45169</v>
      </c>
      <c r="B1572" s="50" t="s">
        <v>155</v>
      </c>
      <c r="C1572" s="5">
        <v>8669196</v>
      </c>
      <c r="D1572" s="5"/>
      <c r="E1572" s="5">
        <f>+IF(FINANCIACION[[#This Row],[$ CAPITAL]]&gt;=0,FINANCIACION[[#This Row],[$ CAPITAL]]+FINANCIACION[[#This Row],[$ INTERESES]],"")</f>
        <v>8669196</v>
      </c>
      <c r="F1572" s="5">
        <f>+SUMIFS(FINANCIACION[$ CAPITAL],FINANCIACION[Fecha],"&lt;="&amp;FINANCIACION[[#This Row],[Fecha]],FINANCIACION[PRESTAMO],FINANCIACION[[#This Row],[PRESTAMO]])</f>
        <v>-18484712</v>
      </c>
      <c r="G1572" s="53"/>
      <c r="H1572" s="53"/>
      <c r="I1572" s="5">
        <f>+IF(FINANCIACION[[#This Row],[$ CAPITAL]]&gt;0,FINANCIACION[[#This Row],[$ CAPITAL]])</f>
        <v>8669196</v>
      </c>
      <c r="J1572" s="33">
        <f>+IF(FINANCIACION[[#This Row],[$ CAPITAL]]&gt;=0,FINANCIACION[[#This Row],[$ CAPITAL]]+FINANCIACION[[#This Row],[$ INTERESES]],0)</f>
        <v>8669196</v>
      </c>
    </row>
    <row r="1573" spans="1:10" ht="24" hidden="1" customHeight="1" x14ac:dyDescent="0.3">
      <c r="A1573" s="131">
        <v>45170</v>
      </c>
      <c r="B1573" s="50" t="s">
        <v>1489</v>
      </c>
      <c r="C1573" s="5">
        <v>3626885</v>
      </c>
      <c r="D1573" s="5">
        <f>1797434+374651</f>
        <v>2172085</v>
      </c>
      <c r="E1573" s="5">
        <f>+IF(FINANCIACION[[#This Row],[$ CAPITAL]]&gt;=0,FINANCIACION[[#This Row],[$ CAPITAL]]+FINANCIACION[[#This Row],[$ INTERESES]],"")</f>
        <v>5798970</v>
      </c>
      <c r="F1573" s="5">
        <f>+SUMIFS(FINANCIACION[$ CAPITAL],FINANCIACION[Fecha],"&lt;="&amp;FINANCIACION[[#This Row],[Fecha]],FINANCIACION[PRESTAMO],FINANCIACION[[#This Row],[PRESTAMO]])</f>
        <v>-80675545</v>
      </c>
      <c r="G1573" s="53"/>
      <c r="H1573" s="53"/>
      <c r="I1573" s="5">
        <f>+IF(FINANCIACION[[#This Row],[$ CAPITAL]]&gt;0,FINANCIACION[[#This Row],[$ CAPITAL]])</f>
        <v>3626885</v>
      </c>
      <c r="J1573" s="33">
        <f>+IF(FINANCIACION[[#This Row],[$ CAPITAL]]&gt;=0,FINANCIACION[[#This Row],[$ CAPITAL]]+FINANCIACION[[#This Row],[$ INTERESES]],0)</f>
        <v>5798970</v>
      </c>
    </row>
    <row r="1574" spans="1:10" ht="24" hidden="1" customHeight="1" x14ac:dyDescent="0.3">
      <c r="A1574" s="131">
        <v>45174</v>
      </c>
      <c r="B1574" s="50" t="s">
        <v>148</v>
      </c>
      <c r="C1574" s="5"/>
      <c r="D1574" s="5">
        <v>384840</v>
      </c>
      <c r="E1574" s="5">
        <f>+IF(FINANCIACION[[#This Row],[$ CAPITAL]]&gt;=0,FINANCIACION[[#This Row],[$ CAPITAL]]+FINANCIACION[[#This Row],[$ INTERESES]],"")</f>
        <v>384840</v>
      </c>
      <c r="F1574" s="5">
        <f>+SUMIFS(FINANCIACION[$ CAPITAL],FINANCIACION[Fecha],"&lt;="&amp;FINANCIACION[[#This Row],[Fecha]],FINANCIACION[PRESTAMO],FINANCIACION[[#This Row],[PRESTAMO]])</f>
        <v>0</v>
      </c>
      <c r="G1574" s="53"/>
      <c r="H1574" s="53"/>
      <c r="I1574" s="5" t="b">
        <f>+IF(FINANCIACION[[#This Row],[$ CAPITAL]]&gt;0,FINANCIACION[[#This Row],[$ CAPITAL]])</f>
        <v>0</v>
      </c>
      <c r="J1574" s="33">
        <f>+IF(FINANCIACION[[#This Row],[$ CAPITAL]]&gt;=0,FINANCIACION[[#This Row],[$ CAPITAL]]+FINANCIACION[[#This Row],[$ INTERESES]],0)</f>
        <v>384840</v>
      </c>
    </row>
    <row r="1575" spans="1:10" ht="24" hidden="1" customHeight="1" x14ac:dyDescent="0.3">
      <c r="A1575" s="131">
        <v>45175</v>
      </c>
      <c r="B1575" s="50" t="s">
        <v>550</v>
      </c>
      <c r="C1575" s="5">
        <v>3279164</v>
      </c>
      <c r="D1575" s="5"/>
      <c r="E1575" s="5">
        <f>+IF(FINANCIACION[[#This Row],[$ CAPITAL]]&gt;=0,FINANCIACION[[#This Row],[$ CAPITAL]]+FINANCIACION[[#This Row],[$ INTERESES]],"")</f>
        <v>3279164</v>
      </c>
      <c r="F1575" s="5">
        <f>+SUMIFS(FINANCIACION[$ CAPITAL],FINANCIACION[Fecha],"&lt;="&amp;FINANCIACION[[#This Row],[Fecha]],FINANCIACION[PRESTAMO],FINANCIACION[[#This Row],[PRESTAMO]])</f>
        <v>-1720836</v>
      </c>
      <c r="G1575" s="53"/>
      <c r="H1575" s="53"/>
      <c r="I1575" s="5">
        <f>+IF(FINANCIACION[[#This Row],[$ CAPITAL]]&gt;0,FINANCIACION[[#This Row],[$ CAPITAL]])</f>
        <v>3279164</v>
      </c>
      <c r="J1575" s="33">
        <f>+IF(FINANCIACION[[#This Row],[$ CAPITAL]]&gt;=0,FINANCIACION[[#This Row],[$ CAPITAL]]+FINANCIACION[[#This Row],[$ INTERESES]],0)</f>
        <v>3279164</v>
      </c>
    </row>
    <row r="1576" spans="1:10" ht="24" hidden="1" customHeight="1" x14ac:dyDescent="0.3">
      <c r="A1576" s="131">
        <v>45178</v>
      </c>
      <c r="B1576" s="50" t="s">
        <v>1487</v>
      </c>
      <c r="C1576" s="5">
        <v>1889477</v>
      </c>
      <c r="D1576" s="5">
        <v>171736</v>
      </c>
      <c r="E1576" s="5">
        <f>+IF(FINANCIACION[[#This Row],[$ CAPITAL]]&gt;=0,FINANCIACION[[#This Row],[$ CAPITAL]]+FINANCIACION[[#This Row],[$ INTERESES]],"")</f>
        <v>2061213</v>
      </c>
      <c r="F1576" s="5">
        <f>+SUMIFS(FINANCIACION[$ CAPITAL],FINANCIACION[Fecha],"&lt;="&amp;FINANCIACION[[#This Row],[Fecha]],FINANCIACION[PRESTAMO],FINANCIACION[[#This Row],[PRESTAMO]])</f>
        <v>-9447385</v>
      </c>
      <c r="G1576" s="53"/>
      <c r="H1576" s="53"/>
      <c r="I1576" s="5">
        <f>+IF(FINANCIACION[[#This Row],[$ CAPITAL]]&gt;0,FINANCIACION[[#This Row],[$ CAPITAL]])</f>
        <v>1889477</v>
      </c>
      <c r="J1576" s="33">
        <f>+IF(FINANCIACION[[#This Row],[$ CAPITAL]]&gt;=0,FINANCIACION[[#This Row],[$ CAPITAL]]+FINANCIACION[[#This Row],[$ INTERESES]],0)</f>
        <v>2061213</v>
      </c>
    </row>
    <row r="1577" spans="1:10" ht="24" hidden="1" customHeight="1" x14ac:dyDescent="0.3">
      <c r="A1577" s="131">
        <v>45181</v>
      </c>
      <c r="B1577" s="50" t="s">
        <v>148</v>
      </c>
      <c r="C1577" s="5"/>
      <c r="D1577" s="5">
        <v>759250</v>
      </c>
      <c r="E1577" s="5">
        <f>+IF(FINANCIACION[[#This Row],[$ CAPITAL]]&gt;=0,FINANCIACION[[#This Row],[$ CAPITAL]]+FINANCIACION[[#This Row],[$ INTERESES]],"")</f>
        <v>759250</v>
      </c>
      <c r="F1577" s="5">
        <f>+SUMIFS(FINANCIACION[$ CAPITAL],FINANCIACION[Fecha],"&lt;="&amp;FINANCIACION[[#This Row],[Fecha]],FINANCIACION[PRESTAMO],FINANCIACION[[#This Row],[PRESTAMO]])</f>
        <v>0</v>
      </c>
      <c r="G1577" s="53"/>
      <c r="H1577" s="53"/>
      <c r="I1577" s="5" t="b">
        <f>+IF(FINANCIACION[[#This Row],[$ CAPITAL]]&gt;0,FINANCIACION[[#This Row],[$ CAPITAL]])</f>
        <v>0</v>
      </c>
      <c r="J1577" s="33">
        <f>+IF(FINANCIACION[[#This Row],[$ CAPITAL]]&gt;=0,FINANCIACION[[#This Row],[$ CAPITAL]]+FINANCIACION[[#This Row],[$ INTERESES]],0)</f>
        <v>759250</v>
      </c>
    </row>
    <row r="1578" spans="1:10" ht="24" hidden="1" customHeight="1" x14ac:dyDescent="0.3">
      <c r="A1578" s="131">
        <v>45182</v>
      </c>
      <c r="B1578" s="50" t="s">
        <v>536</v>
      </c>
      <c r="C1578" s="5">
        <v>1144029</v>
      </c>
      <c r="D1578" s="5">
        <v>155971</v>
      </c>
      <c r="E1578" s="5">
        <f>+IF(FINANCIACION[[#This Row],[$ CAPITAL]]&gt;=0,FINANCIACION[[#This Row],[$ CAPITAL]]+FINANCIACION[[#This Row],[$ INTERESES]],"")</f>
        <v>1300000</v>
      </c>
      <c r="F1578" s="5">
        <f>+SUMIFS(FINANCIACION[$ CAPITAL],FINANCIACION[Fecha],"&lt;="&amp;FINANCIACION[[#This Row],[Fecha]],FINANCIACION[PRESTAMO],FINANCIACION[[#This Row],[PRESTAMO]])</f>
        <v>-14453077.05175975</v>
      </c>
      <c r="G1578" s="53"/>
      <c r="H1578" s="53"/>
      <c r="I1578" s="5">
        <f>+IF(FINANCIACION[[#This Row],[$ CAPITAL]]&gt;0,FINANCIACION[[#This Row],[$ CAPITAL]])</f>
        <v>1144029</v>
      </c>
      <c r="J1578" s="33">
        <f>+IF(FINANCIACION[[#This Row],[$ CAPITAL]]&gt;=0,FINANCIACION[[#This Row],[$ CAPITAL]]+FINANCIACION[[#This Row],[$ INTERESES]],0)</f>
        <v>1300000</v>
      </c>
    </row>
    <row r="1579" spans="1:10" ht="24" hidden="1" customHeight="1" x14ac:dyDescent="0.3">
      <c r="A1579" s="131">
        <v>45184</v>
      </c>
      <c r="B1579" s="50" t="s">
        <v>547</v>
      </c>
      <c r="C1579" s="5"/>
      <c r="D1579" s="5">
        <v>350000</v>
      </c>
      <c r="E1579" s="5">
        <f>+IF(FINANCIACION[[#This Row],[$ CAPITAL]]&gt;=0,FINANCIACION[[#This Row],[$ CAPITAL]]+FINANCIACION[[#This Row],[$ INTERESES]],"")</f>
        <v>350000</v>
      </c>
      <c r="F1579" s="5">
        <f>+SUMIFS(FINANCIACION[$ CAPITAL],FINANCIACION[Fecha],"&lt;="&amp;FINANCIACION[[#This Row],[Fecha]],FINANCIACION[PRESTAMO],FINANCIACION[[#This Row],[PRESTAMO]])</f>
        <v>-35000000</v>
      </c>
      <c r="G1579" s="53"/>
      <c r="H1579" s="53"/>
      <c r="I1579" s="5" t="b">
        <f>+IF(FINANCIACION[[#This Row],[$ CAPITAL]]&gt;0,FINANCIACION[[#This Row],[$ CAPITAL]])</f>
        <v>0</v>
      </c>
      <c r="J1579" s="33">
        <f>+IF(FINANCIACION[[#This Row],[$ CAPITAL]]&gt;=0,FINANCIACION[[#This Row],[$ CAPITAL]]+FINANCIACION[[#This Row],[$ INTERESES]],0)</f>
        <v>350000</v>
      </c>
    </row>
    <row r="1580" spans="1:10" ht="24" hidden="1" customHeight="1" x14ac:dyDescent="0.3">
      <c r="A1580" s="131">
        <v>45184</v>
      </c>
      <c r="B1580" s="50" t="s">
        <v>148</v>
      </c>
      <c r="C1580" s="5"/>
      <c r="D1580" s="5">
        <v>515993</v>
      </c>
      <c r="E1580" s="5">
        <f>+IF(FINANCIACION[[#This Row],[$ CAPITAL]]&gt;=0,FINANCIACION[[#This Row],[$ CAPITAL]]+FINANCIACION[[#This Row],[$ INTERESES]],"")</f>
        <v>515993</v>
      </c>
      <c r="F1580" s="5">
        <f>+SUMIFS(FINANCIACION[$ CAPITAL],FINANCIACION[Fecha],"&lt;="&amp;FINANCIACION[[#This Row],[Fecha]],FINANCIACION[PRESTAMO],FINANCIACION[[#This Row],[PRESTAMO]])</f>
        <v>0</v>
      </c>
      <c r="G1580" s="53"/>
      <c r="H1580" s="53"/>
      <c r="I1580" s="5" t="b">
        <f>+IF(FINANCIACION[[#This Row],[$ CAPITAL]]&gt;0,FINANCIACION[[#This Row],[$ CAPITAL]])</f>
        <v>0</v>
      </c>
      <c r="J1580" s="33">
        <f>+IF(FINANCIACION[[#This Row],[$ CAPITAL]]&gt;=0,FINANCIACION[[#This Row],[$ CAPITAL]]+FINANCIACION[[#This Row],[$ INTERESES]],0)</f>
        <v>515993</v>
      </c>
    </row>
    <row r="1581" spans="1:10" ht="24" hidden="1" customHeight="1" x14ac:dyDescent="0.3">
      <c r="A1581" s="131">
        <v>45184</v>
      </c>
      <c r="B1581" s="50" t="s">
        <v>150</v>
      </c>
      <c r="C1581" s="5">
        <v>417000</v>
      </c>
      <c r="D1581" s="5">
        <v>167722</v>
      </c>
      <c r="E1581" s="5">
        <f>+IF(FINANCIACION[[#This Row],[$ CAPITAL]]&gt;=0,FINANCIACION[[#This Row],[$ CAPITAL]]+FINANCIACION[[#This Row],[$ INTERESES]],"")</f>
        <v>584722</v>
      </c>
      <c r="F1581" s="5">
        <f>+SUMIFS(FINANCIACION[$ CAPITAL],FINANCIACION[Fecha],"&lt;="&amp;FINANCIACION[[#This Row],[Fecha]],FINANCIACION[PRESTAMO],FINANCIACION[[#This Row],[PRESTAMO]])</f>
        <v>-8839820</v>
      </c>
      <c r="G1581" s="53"/>
      <c r="H1581" s="53"/>
      <c r="I1581" s="5">
        <f>+IF(FINANCIACION[[#This Row],[$ CAPITAL]]&gt;0,FINANCIACION[[#This Row],[$ CAPITAL]])</f>
        <v>417000</v>
      </c>
      <c r="J1581" s="33">
        <f>+IF(FINANCIACION[[#This Row],[$ CAPITAL]]&gt;=0,FINANCIACION[[#This Row],[$ CAPITAL]]+FINANCIACION[[#This Row],[$ INTERESES]],0)</f>
        <v>584722</v>
      </c>
    </row>
    <row r="1582" spans="1:10" ht="24" hidden="1" customHeight="1" x14ac:dyDescent="0.3">
      <c r="A1582" s="131">
        <v>45185</v>
      </c>
      <c r="B1582" s="50" t="s">
        <v>550</v>
      </c>
      <c r="C1582" s="5">
        <v>1720836</v>
      </c>
      <c r="D1582" s="5"/>
      <c r="E1582" s="5">
        <f>+IF(FINANCIACION[[#This Row],[$ CAPITAL]]&gt;=0,FINANCIACION[[#This Row],[$ CAPITAL]]+FINANCIACION[[#This Row],[$ INTERESES]],"")</f>
        <v>1720836</v>
      </c>
      <c r="F1582" s="5">
        <f>+SUMIFS(FINANCIACION[$ CAPITAL],FINANCIACION[Fecha],"&lt;="&amp;FINANCIACION[[#This Row],[Fecha]],FINANCIACION[PRESTAMO],FINANCIACION[[#This Row],[PRESTAMO]])</f>
        <v>0</v>
      </c>
      <c r="G1582" s="53"/>
      <c r="H1582" s="53"/>
      <c r="I1582" s="5">
        <f>+IF(FINANCIACION[[#This Row],[$ CAPITAL]]&gt;0,FINANCIACION[[#This Row],[$ CAPITAL]])</f>
        <v>1720836</v>
      </c>
      <c r="J1582" s="33">
        <f>+IF(FINANCIACION[[#This Row],[$ CAPITAL]]&gt;=0,FINANCIACION[[#This Row],[$ CAPITAL]]+FINANCIACION[[#This Row],[$ INTERESES]],0)</f>
        <v>1720836</v>
      </c>
    </row>
    <row r="1583" spans="1:10" ht="24" hidden="1" customHeight="1" x14ac:dyDescent="0.3">
      <c r="A1583" s="131">
        <v>45187</v>
      </c>
      <c r="B1583" s="50" t="s">
        <v>543</v>
      </c>
      <c r="C1583" s="5"/>
      <c r="D1583" s="5">
        <v>130000</v>
      </c>
      <c r="E1583" s="5">
        <f>+IF(FINANCIACION[[#This Row],[$ CAPITAL]]&gt;=0,FINANCIACION[[#This Row],[$ CAPITAL]]+FINANCIACION[[#This Row],[$ INTERESES]],"")</f>
        <v>130000</v>
      </c>
      <c r="F1583" s="5">
        <f>+SUMIFS(FINANCIACION[$ CAPITAL],FINANCIACION[Fecha],"&lt;="&amp;FINANCIACION[[#This Row],[Fecha]],FINANCIACION[PRESTAMO],FINANCIACION[[#This Row],[PRESTAMO]])</f>
        <v>-13000000</v>
      </c>
      <c r="G1583" s="53"/>
      <c r="H1583" s="53"/>
      <c r="I1583" s="5" t="b">
        <f>+IF(FINANCIACION[[#This Row],[$ CAPITAL]]&gt;0,FINANCIACION[[#This Row],[$ CAPITAL]])</f>
        <v>0</v>
      </c>
      <c r="J1583" s="33">
        <f>+IF(FINANCIACION[[#This Row],[$ CAPITAL]]&gt;=0,FINANCIACION[[#This Row],[$ CAPITAL]]+FINANCIACION[[#This Row],[$ INTERESES]],0)</f>
        <v>130000</v>
      </c>
    </row>
    <row r="1584" spans="1:10" ht="24" hidden="1" customHeight="1" x14ac:dyDescent="0.3">
      <c r="A1584" s="131">
        <v>45187</v>
      </c>
      <c r="B1584" s="50" t="s">
        <v>1562</v>
      </c>
      <c r="C1584" s="5"/>
      <c r="D1584" s="5">
        <v>700000</v>
      </c>
      <c r="E1584" s="5">
        <f>+IF(FINANCIACION[[#This Row],[$ CAPITAL]]&gt;=0,FINANCIACION[[#This Row],[$ CAPITAL]]+FINANCIACION[[#This Row],[$ INTERESES]],"")</f>
        <v>700000</v>
      </c>
      <c r="F1584" s="5">
        <f>+SUMIFS(FINANCIACION[$ CAPITAL],FINANCIACION[Fecha],"&lt;="&amp;FINANCIACION[[#This Row],[Fecha]],FINANCIACION[PRESTAMO],FINANCIACION[[#This Row],[PRESTAMO]])</f>
        <v>-70000000</v>
      </c>
      <c r="G1584" s="53"/>
      <c r="H1584" s="53"/>
      <c r="I1584" s="5" t="b">
        <f>+IF(FINANCIACION[[#This Row],[$ CAPITAL]]&gt;0,FINANCIACION[[#This Row],[$ CAPITAL]])</f>
        <v>0</v>
      </c>
      <c r="J1584" s="33">
        <f>+IF(FINANCIACION[[#This Row],[$ CAPITAL]]&gt;=0,FINANCIACION[[#This Row],[$ CAPITAL]]+FINANCIACION[[#This Row],[$ INTERESES]],0)</f>
        <v>700000</v>
      </c>
    </row>
    <row r="1585" spans="1:10" ht="24" hidden="1" customHeight="1" x14ac:dyDescent="0.3">
      <c r="A1585" s="131">
        <v>45187</v>
      </c>
      <c r="B1585" s="50" t="s">
        <v>545</v>
      </c>
      <c r="C1585" s="5"/>
      <c r="D1585" s="5">
        <v>120000</v>
      </c>
      <c r="E1585" s="5">
        <f>+IF(FINANCIACION[[#This Row],[$ CAPITAL]]&gt;=0,FINANCIACION[[#This Row],[$ CAPITAL]]+FINANCIACION[[#This Row],[$ INTERESES]],"")</f>
        <v>120000</v>
      </c>
      <c r="F1585" s="5">
        <f>+SUMIFS(FINANCIACION[$ CAPITAL],FINANCIACION[Fecha],"&lt;="&amp;FINANCIACION[[#This Row],[Fecha]],FINANCIACION[PRESTAMO],FINANCIACION[[#This Row],[PRESTAMO]])</f>
        <v>-12000000</v>
      </c>
      <c r="G1585" s="53"/>
      <c r="H1585" s="53"/>
      <c r="I1585" s="5" t="b">
        <f>+IF(FINANCIACION[[#This Row],[$ CAPITAL]]&gt;0,FINANCIACION[[#This Row],[$ CAPITAL]])</f>
        <v>0</v>
      </c>
      <c r="J1585" s="33">
        <f>+IF(FINANCIACION[[#This Row],[$ CAPITAL]]&gt;=0,FINANCIACION[[#This Row],[$ CAPITAL]]+FINANCIACION[[#This Row],[$ INTERESES]],0)</f>
        <v>120000</v>
      </c>
    </row>
    <row r="1586" spans="1:10" ht="24" hidden="1" customHeight="1" x14ac:dyDescent="0.3">
      <c r="A1586" s="131">
        <v>45187</v>
      </c>
      <c r="B1586" s="50" t="s">
        <v>1921</v>
      </c>
      <c r="C1586" s="5">
        <v>1273939</v>
      </c>
      <c r="D1586" s="5">
        <f>5689560+151454+381286</f>
        <v>6222300</v>
      </c>
      <c r="E1586" s="5">
        <f>+IF(FINANCIACION[[#This Row],[$ CAPITAL]]&gt;=0,FINANCIACION[[#This Row],[$ CAPITAL]]+FINANCIACION[[#This Row],[$ INTERESES]],"")</f>
        <v>7496239</v>
      </c>
      <c r="F1586" s="5">
        <f>+SUMIFS(FINANCIACION[$ CAPITAL],FINANCIACION[Fecha],"&lt;="&amp;FINANCIACION[[#This Row],[Fecha]],FINANCIACION[PRESTAMO],FINANCIACION[[#This Row],[PRESTAMO]])</f>
        <v>-344653801</v>
      </c>
      <c r="G1586" s="53"/>
      <c r="H1586" s="53"/>
      <c r="I1586" s="5">
        <f>+IF(FINANCIACION[[#This Row],[$ CAPITAL]]&gt;0,FINANCIACION[[#This Row],[$ CAPITAL]])</f>
        <v>1273939</v>
      </c>
      <c r="J1586" s="33">
        <f>+IF(FINANCIACION[[#This Row],[$ CAPITAL]]&gt;=0,FINANCIACION[[#This Row],[$ CAPITAL]]+FINANCIACION[[#This Row],[$ INTERESES]],0)</f>
        <v>7496239</v>
      </c>
    </row>
    <row r="1587" spans="1:10" ht="24" hidden="1" customHeight="1" x14ac:dyDescent="0.3">
      <c r="A1587" s="131">
        <v>45190</v>
      </c>
      <c r="B1587" s="50" t="s">
        <v>563</v>
      </c>
      <c r="C1587" s="5"/>
      <c r="D1587" s="5">
        <v>750000</v>
      </c>
      <c r="E1587" s="5">
        <f>+IF(FINANCIACION[[#This Row],[$ CAPITAL]]&gt;=0,FINANCIACION[[#This Row],[$ CAPITAL]]+FINANCIACION[[#This Row],[$ INTERESES]],"")</f>
        <v>750000</v>
      </c>
      <c r="F1587" s="5">
        <f>+SUMIFS(FINANCIACION[$ CAPITAL],FINANCIACION[Fecha],"&lt;="&amp;FINANCIACION[[#This Row],[Fecha]],FINANCIACION[PRESTAMO],FINANCIACION[[#This Row],[PRESTAMO]])</f>
        <v>-75000000</v>
      </c>
      <c r="G1587" s="53"/>
      <c r="H1587" s="53"/>
      <c r="I1587" s="5" t="b">
        <f>+IF(FINANCIACION[[#This Row],[$ CAPITAL]]&gt;0,FINANCIACION[[#This Row],[$ CAPITAL]])</f>
        <v>0</v>
      </c>
      <c r="J1587" s="33">
        <f>+IF(FINANCIACION[[#This Row],[$ CAPITAL]]&gt;=0,FINANCIACION[[#This Row],[$ CAPITAL]]+FINANCIACION[[#This Row],[$ INTERESES]],0)</f>
        <v>750000</v>
      </c>
    </row>
    <row r="1588" spans="1:10" ht="24" hidden="1" customHeight="1" x14ac:dyDescent="0.3">
      <c r="A1588" s="131">
        <v>45191</v>
      </c>
      <c r="B1588" s="50" t="s">
        <v>588</v>
      </c>
      <c r="C1588" s="5">
        <v>1025046</v>
      </c>
      <c r="D1588" s="5">
        <v>19483</v>
      </c>
      <c r="E1588" s="5">
        <f>+IF(FINANCIACION[[#This Row],[$ CAPITAL]]&gt;=0,FINANCIACION[[#This Row],[$ CAPITAL]]+FINANCIACION[[#This Row],[$ INTERESES]],"")</f>
        <v>1044529</v>
      </c>
      <c r="F1588" s="5">
        <f>+SUMIFS(FINANCIACION[$ CAPITAL],FINANCIACION[Fecha],"&lt;="&amp;FINANCIACION[[#This Row],[Fecha]],FINANCIACION[PRESTAMO],FINANCIACION[[#This Row],[PRESTAMO]])</f>
        <v>-22852.279999997467</v>
      </c>
      <c r="G1588" s="53"/>
      <c r="H1588" s="53"/>
      <c r="I1588" s="5">
        <f>+IF(FINANCIACION[[#This Row],[$ CAPITAL]]&gt;0,FINANCIACION[[#This Row],[$ CAPITAL]])</f>
        <v>1025046</v>
      </c>
      <c r="J1588" s="33">
        <f>+IF(FINANCIACION[[#This Row],[$ CAPITAL]]&gt;=0,FINANCIACION[[#This Row],[$ CAPITAL]]+FINANCIACION[[#This Row],[$ INTERESES]],0)</f>
        <v>1044529</v>
      </c>
    </row>
    <row r="1589" spans="1:10" ht="24" hidden="1" customHeight="1" x14ac:dyDescent="0.3">
      <c r="A1589" s="131">
        <v>45194</v>
      </c>
      <c r="B1589" s="50" t="s">
        <v>532</v>
      </c>
      <c r="C1589" s="5">
        <v>676274</v>
      </c>
      <c r="D1589" s="5">
        <v>323726</v>
      </c>
      <c r="E1589" s="5">
        <f>+IF(FINANCIACION[[#This Row],[$ CAPITAL]]&gt;=0,FINANCIACION[[#This Row],[$ CAPITAL]]+FINANCIACION[[#This Row],[$ INTERESES]],"")</f>
        <v>1000000</v>
      </c>
      <c r="F1589" s="5">
        <f>+SUMIFS(FINANCIACION[$ CAPITAL],FINANCIACION[Fecha],"&lt;="&amp;FINANCIACION[[#This Row],[Fecha]],FINANCIACION[PRESTAMO],FINANCIACION[[#This Row],[PRESTAMO]])</f>
        <v>-31696351.514479995</v>
      </c>
      <c r="G1589" s="53"/>
      <c r="H1589" s="53"/>
      <c r="I1589" s="5">
        <f>+IF(FINANCIACION[[#This Row],[$ CAPITAL]]&gt;0,FINANCIACION[[#This Row],[$ CAPITAL]])</f>
        <v>676274</v>
      </c>
      <c r="J1589" s="33">
        <f>+IF(FINANCIACION[[#This Row],[$ CAPITAL]]&gt;=0,FINANCIACION[[#This Row],[$ CAPITAL]]+FINANCIACION[[#This Row],[$ INTERESES]],0)</f>
        <v>1000000</v>
      </c>
    </row>
    <row r="1590" spans="1:10" ht="24" hidden="1" customHeight="1" x14ac:dyDescent="0.3">
      <c r="A1590" s="131">
        <v>45194</v>
      </c>
      <c r="B1590" s="50" t="s">
        <v>533</v>
      </c>
      <c r="C1590" s="5">
        <v>1533693</v>
      </c>
      <c r="D1590" s="5">
        <v>466307</v>
      </c>
      <c r="E1590" s="5">
        <f>+IF(FINANCIACION[[#This Row],[$ CAPITAL]]&gt;=0,FINANCIACION[[#This Row],[$ CAPITAL]]+FINANCIACION[[#This Row],[$ INTERESES]],"")</f>
        <v>2000000</v>
      </c>
      <c r="F1590" s="5">
        <f>+SUMIFS(FINANCIACION[$ CAPITAL],FINANCIACION[Fecha],"&lt;="&amp;FINANCIACION[[#This Row],[Fecha]],FINANCIACION[PRESTAMO],FINANCIACION[[#This Row],[PRESTAMO]])</f>
        <v>-45096982.97283452</v>
      </c>
      <c r="G1590" s="53"/>
      <c r="H1590" s="53"/>
      <c r="I1590" s="5">
        <f>+IF(FINANCIACION[[#This Row],[$ CAPITAL]]&gt;0,FINANCIACION[[#This Row],[$ CAPITAL]])</f>
        <v>1533693</v>
      </c>
      <c r="J1590" s="33">
        <f>+IF(FINANCIACION[[#This Row],[$ CAPITAL]]&gt;=0,FINANCIACION[[#This Row],[$ CAPITAL]]+FINANCIACION[[#This Row],[$ INTERESES]],0)</f>
        <v>2000000</v>
      </c>
    </row>
    <row r="1591" spans="1:10" ht="24" hidden="1" customHeight="1" x14ac:dyDescent="0.3">
      <c r="A1591" s="131">
        <v>45194</v>
      </c>
      <c r="B1591" s="50" t="s">
        <v>548</v>
      </c>
      <c r="C1591" s="5">
        <v>1481481</v>
      </c>
      <c r="D1591" s="5">
        <v>853352</v>
      </c>
      <c r="E1591" s="5">
        <f>+IF(FINANCIACION[[#This Row],[$ CAPITAL]]&gt;=0,FINANCIACION[[#This Row],[$ CAPITAL]]+FINANCIACION[[#This Row],[$ INTERESES]],"")</f>
        <v>2334833</v>
      </c>
      <c r="F1591" s="5">
        <f>+SUMIFS(FINANCIACION[$ CAPITAL],FINANCIACION[Fecha],"&lt;="&amp;FINANCIACION[[#This Row],[Fecha]],FINANCIACION[PRESTAMO],FINANCIACION[[#This Row],[PRESTAMO]])</f>
        <v>-56405256.449999988</v>
      </c>
      <c r="G1591" s="53"/>
      <c r="H1591" s="53"/>
      <c r="I1591" s="5">
        <f>+IF(FINANCIACION[[#This Row],[$ CAPITAL]]&gt;0,FINANCIACION[[#This Row],[$ CAPITAL]])</f>
        <v>1481481</v>
      </c>
      <c r="J1591" s="33">
        <f>+IF(FINANCIACION[[#This Row],[$ CAPITAL]]&gt;=0,FINANCIACION[[#This Row],[$ CAPITAL]]+FINANCIACION[[#This Row],[$ INTERESES]],0)</f>
        <v>2334833</v>
      </c>
    </row>
    <row r="1592" spans="1:10" ht="24" hidden="1" customHeight="1" x14ac:dyDescent="0.3">
      <c r="A1592" s="131">
        <v>45196</v>
      </c>
      <c r="B1592" s="50" t="s">
        <v>549</v>
      </c>
      <c r="C1592" s="5">
        <v>30000000</v>
      </c>
      <c r="D1592" s="5">
        <v>462000</v>
      </c>
      <c r="E1592" s="5">
        <f>+IF(FINANCIACION[[#This Row],[$ CAPITAL]]&gt;=0,FINANCIACION[[#This Row],[$ CAPITAL]]+FINANCIACION[[#This Row],[$ INTERESES]],"")</f>
        <v>30462000</v>
      </c>
      <c r="F1592" s="5">
        <f>+SUMIFS(FINANCIACION[$ CAPITAL],FINANCIACION[Fecha],"&lt;="&amp;FINANCIACION[[#This Row],[Fecha]],FINANCIACION[PRESTAMO],FINANCIACION[[#This Row],[PRESTAMO]])</f>
        <v>0</v>
      </c>
      <c r="G1592" s="53" t="s">
        <v>729</v>
      </c>
      <c r="H1592" s="53"/>
      <c r="I1592" s="5">
        <f>+IF(FINANCIACION[[#This Row],[$ CAPITAL]]&gt;0,FINANCIACION[[#This Row],[$ CAPITAL]])</f>
        <v>30000000</v>
      </c>
      <c r="J1592" s="33">
        <f>+IF(FINANCIACION[[#This Row],[$ CAPITAL]]&gt;=0,FINANCIACION[[#This Row],[$ CAPITAL]]+FINANCIACION[[#This Row],[$ INTERESES]],0)</f>
        <v>30462000</v>
      </c>
    </row>
    <row r="1593" spans="1:10" ht="24" hidden="1" customHeight="1" x14ac:dyDescent="0.3">
      <c r="A1593" s="131">
        <v>45197</v>
      </c>
      <c r="B1593" s="50" t="s">
        <v>563</v>
      </c>
      <c r="C1593" s="5">
        <v>-65000000</v>
      </c>
      <c r="D1593" s="5"/>
      <c r="E1593" s="5" t="str">
        <f>+IF(FINANCIACION[[#This Row],[$ CAPITAL]]&gt;=0,FINANCIACION[[#This Row],[$ CAPITAL]]+FINANCIACION[[#This Row],[$ INTERESES]],"")</f>
        <v/>
      </c>
      <c r="F1593" s="5">
        <f>+SUMIFS(FINANCIACION[$ CAPITAL],FINANCIACION[Fecha],"&lt;="&amp;FINANCIACION[[#This Row],[Fecha]],FINANCIACION[PRESTAMO],FINANCIACION[[#This Row],[PRESTAMO]])</f>
        <v>-140000000</v>
      </c>
      <c r="G1593" s="53"/>
      <c r="H1593" s="53"/>
      <c r="I1593" s="5" t="b">
        <f>+IF(FINANCIACION[[#This Row],[$ CAPITAL]]&gt;0,FINANCIACION[[#This Row],[$ CAPITAL]])</f>
        <v>0</v>
      </c>
      <c r="J1593" s="33">
        <f>+IF(FINANCIACION[[#This Row],[$ CAPITAL]]&gt;=0,FINANCIACION[[#This Row],[$ CAPITAL]]+FINANCIACION[[#This Row],[$ INTERESES]],0)</f>
        <v>0</v>
      </c>
    </row>
    <row r="1594" spans="1:10" ht="24" hidden="1" customHeight="1" x14ac:dyDescent="0.3">
      <c r="A1594" s="131">
        <v>45198</v>
      </c>
      <c r="B1594" s="50" t="s">
        <v>148</v>
      </c>
      <c r="C1594" s="5"/>
      <c r="D1594" s="5">
        <v>299839</v>
      </c>
      <c r="E1594" s="5">
        <f>+IF(FINANCIACION[[#This Row],[$ CAPITAL]]&gt;=0,FINANCIACION[[#This Row],[$ CAPITAL]]+FINANCIACION[[#This Row],[$ INTERESES]],"")</f>
        <v>299839</v>
      </c>
      <c r="F1594" s="5">
        <f>+SUMIFS(FINANCIACION[$ CAPITAL],FINANCIACION[Fecha],"&lt;="&amp;FINANCIACION[[#This Row],[Fecha]],FINANCIACION[PRESTAMO],FINANCIACION[[#This Row],[PRESTAMO]])</f>
        <v>0</v>
      </c>
      <c r="G1594" s="53" t="s">
        <v>2021</v>
      </c>
      <c r="H1594" s="53"/>
      <c r="I1594" s="5" t="b">
        <f>+IF(FINANCIACION[[#This Row],[$ CAPITAL]]&gt;0,FINANCIACION[[#This Row],[$ CAPITAL]])</f>
        <v>0</v>
      </c>
      <c r="J1594" s="33">
        <f>+IF(FINANCIACION[[#This Row],[$ CAPITAL]]&gt;=0,FINANCIACION[[#This Row],[$ CAPITAL]]+FINANCIACION[[#This Row],[$ INTERESES]],0)</f>
        <v>299839</v>
      </c>
    </row>
    <row r="1595" spans="1:10" ht="24" hidden="1" customHeight="1" x14ac:dyDescent="0.3">
      <c r="A1595" s="131">
        <v>45198</v>
      </c>
      <c r="B1595" s="50" t="s">
        <v>1173</v>
      </c>
      <c r="C1595" s="5">
        <v>36652200</v>
      </c>
      <c r="D1595" s="5"/>
      <c r="E1595" s="5">
        <f>+IF(FINANCIACION[[#This Row],[$ CAPITAL]]&gt;=0,FINANCIACION[[#This Row],[$ CAPITAL]]+FINANCIACION[[#This Row],[$ INTERESES]],"")</f>
        <v>36652200</v>
      </c>
      <c r="F1595" s="5">
        <f>+SUMIFS(FINANCIACION[$ CAPITAL],FINANCIACION[Fecha],"&lt;="&amp;FINANCIACION[[#This Row],[Fecha]],FINANCIACION[PRESTAMO],FINANCIACION[[#This Row],[PRESTAMO]])</f>
        <v>-2192256</v>
      </c>
      <c r="G1595" s="53"/>
      <c r="H1595" s="53"/>
      <c r="I1595" s="5">
        <f>+IF(FINANCIACION[[#This Row],[$ CAPITAL]]&gt;0,FINANCIACION[[#This Row],[$ CAPITAL]])</f>
        <v>36652200</v>
      </c>
      <c r="J1595" s="33">
        <f>+IF(FINANCIACION[[#This Row],[$ CAPITAL]]&gt;=0,FINANCIACION[[#This Row],[$ CAPITAL]]+FINANCIACION[[#This Row],[$ INTERESES]],0)</f>
        <v>36652200</v>
      </c>
    </row>
    <row r="1596" spans="1:10" ht="24" hidden="1" customHeight="1" x14ac:dyDescent="0.3">
      <c r="A1596" s="131">
        <v>45199</v>
      </c>
      <c r="B1596" s="50" t="s">
        <v>146</v>
      </c>
      <c r="C1596" s="5">
        <v>0</v>
      </c>
      <c r="D1596" s="5">
        <v>0</v>
      </c>
      <c r="E1596" s="5">
        <f>+IF(FINANCIACION[[#This Row],[$ CAPITAL]]&gt;=0,FINANCIACION[[#This Row],[$ CAPITAL]]+FINANCIACION[[#This Row],[$ INTERESES]],"")</f>
        <v>0</v>
      </c>
      <c r="F1596" s="5">
        <f>+SUMIFS(FINANCIACION[$ CAPITAL],FINANCIACION[Fecha],"&lt;="&amp;FINANCIACION[[#This Row],[Fecha]],FINANCIACION[PRESTAMO],FINANCIACION[[#This Row],[PRESTAMO]])</f>
        <v>-10278800</v>
      </c>
      <c r="G1596" s="53"/>
      <c r="H1596" s="53"/>
      <c r="I1596" s="5" t="b">
        <f>+IF(FINANCIACION[[#This Row],[$ CAPITAL]]&gt;0,FINANCIACION[[#This Row],[$ CAPITAL]])</f>
        <v>0</v>
      </c>
      <c r="J1596" s="33">
        <f>+IF(FINANCIACION[[#This Row],[$ CAPITAL]]&gt;=0,FINANCIACION[[#This Row],[$ CAPITAL]]+FINANCIACION[[#This Row],[$ INTERESES]],0)</f>
        <v>0</v>
      </c>
    </row>
    <row r="1597" spans="1:10" ht="24" hidden="1" customHeight="1" x14ac:dyDescent="0.3">
      <c r="A1597" s="131">
        <v>45199</v>
      </c>
      <c r="B1597" s="50" t="s">
        <v>147</v>
      </c>
      <c r="C1597" s="5">
        <v>0</v>
      </c>
      <c r="D1597" s="5">
        <v>0</v>
      </c>
      <c r="E1597" s="5">
        <f>+IF(FINANCIACION[[#This Row],[$ CAPITAL]]&gt;=0,FINANCIACION[[#This Row],[$ CAPITAL]]+FINANCIACION[[#This Row],[$ INTERESES]],"")</f>
        <v>0</v>
      </c>
      <c r="F1597" s="5">
        <f>+SUMIFS(FINANCIACION[$ CAPITAL],FINANCIACION[Fecha],"&lt;="&amp;FINANCIACION[[#This Row],[Fecha]],FINANCIACION[PRESTAMO],FINANCIACION[[#This Row],[PRESTAMO]])</f>
        <v>-537537</v>
      </c>
      <c r="G1597" s="53"/>
      <c r="H1597" s="53"/>
      <c r="I1597" s="5" t="b">
        <f>+IF(FINANCIACION[[#This Row],[$ CAPITAL]]&gt;0,FINANCIACION[[#This Row],[$ CAPITAL]])</f>
        <v>0</v>
      </c>
      <c r="J1597" s="33">
        <f>+IF(FINANCIACION[[#This Row],[$ CAPITAL]]&gt;=0,FINANCIACION[[#This Row],[$ CAPITAL]]+FINANCIACION[[#This Row],[$ INTERESES]],0)</f>
        <v>0</v>
      </c>
    </row>
    <row r="1598" spans="1:10" ht="24" hidden="1" customHeight="1" x14ac:dyDescent="0.3">
      <c r="A1598" s="131">
        <v>45199</v>
      </c>
      <c r="B1598" s="50" t="s">
        <v>1173</v>
      </c>
      <c r="C1598" s="5">
        <v>2192256</v>
      </c>
      <c r="D1598" s="5"/>
      <c r="E1598" s="5">
        <f>+IF(FINANCIACION[[#This Row],[$ CAPITAL]]&gt;=0,FINANCIACION[[#This Row],[$ CAPITAL]]+FINANCIACION[[#This Row],[$ INTERESES]],"")</f>
        <v>2192256</v>
      </c>
      <c r="F1598" s="5">
        <f>+SUMIFS(FINANCIACION[$ CAPITAL],FINANCIACION[Fecha],"&lt;="&amp;FINANCIACION[[#This Row],[Fecha]],FINANCIACION[PRESTAMO],FINANCIACION[[#This Row],[PRESTAMO]])</f>
        <v>0</v>
      </c>
      <c r="G1598" s="53" t="s">
        <v>1484</v>
      </c>
      <c r="H1598" s="53"/>
      <c r="I1598" s="5">
        <f>+IF(FINANCIACION[[#This Row],[$ CAPITAL]]&gt;0,FINANCIACION[[#This Row],[$ CAPITAL]])</f>
        <v>2192256</v>
      </c>
      <c r="J1598" s="33">
        <f>+IF(FINANCIACION[[#This Row],[$ CAPITAL]]&gt;=0,FINANCIACION[[#This Row],[$ CAPITAL]]+FINANCIACION[[#This Row],[$ INTERESES]],0)</f>
        <v>2192256</v>
      </c>
    </row>
    <row r="1599" spans="1:10" ht="24" hidden="1" customHeight="1" x14ac:dyDescent="0.3">
      <c r="A1599" s="131">
        <v>45199</v>
      </c>
      <c r="B1599" s="50" t="s">
        <v>1382</v>
      </c>
      <c r="C1599" s="5">
        <v>0</v>
      </c>
      <c r="D1599" s="5">
        <v>0</v>
      </c>
      <c r="E1599" s="5">
        <f>+IF(FINANCIACION[[#This Row],[$ CAPITAL]]&gt;=0,FINANCIACION[[#This Row],[$ CAPITAL]]+FINANCIACION[[#This Row],[$ INTERESES]],"")</f>
        <v>0</v>
      </c>
      <c r="F1599" s="5">
        <f>+SUMIFS(FINANCIACION[$ CAPITAL],FINANCIACION[Fecha],"&lt;="&amp;FINANCIACION[[#This Row],[Fecha]],FINANCIACION[PRESTAMO],FINANCIACION[[#This Row],[PRESTAMO]])</f>
        <v>-84825000</v>
      </c>
      <c r="G1599" s="53" t="s">
        <v>1790</v>
      </c>
      <c r="H1599" s="53"/>
      <c r="I1599" s="5" t="b">
        <f>+IF(FINANCIACION[[#This Row],[$ CAPITAL]]&gt;0,FINANCIACION[[#This Row],[$ CAPITAL]])</f>
        <v>0</v>
      </c>
      <c r="J1599" s="33">
        <f>+IF(FINANCIACION[[#This Row],[$ CAPITAL]]&gt;=0,FINANCIACION[[#This Row],[$ CAPITAL]]+FINANCIACION[[#This Row],[$ INTERESES]],0)</f>
        <v>0</v>
      </c>
    </row>
    <row r="1600" spans="1:10" ht="24" hidden="1" customHeight="1" x14ac:dyDescent="0.3">
      <c r="A1600" s="131">
        <v>45199</v>
      </c>
      <c r="B1600" s="50" t="s">
        <v>1485</v>
      </c>
      <c r="C1600" s="5">
        <v>0</v>
      </c>
      <c r="D1600" s="5">
        <v>0</v>
      </c>
      <c r="E1600" s="5">
        <f>+IF(FINANCIACION[[#This Row],[$ CAPITAL]]&gt;=0,FINANCIACION[[#This Row],[$ CAPITAL]]+FINANCIACION[[#This Row],[$ INTERESES]],"")</f>
        <v>0</v>
      </c>
      <c r="F1600" s="5">
        <f>+SUMIFS(FINANCIACION[$ CAPITAL],FINANCIACION[Fecha],"&lt;="&amp;FINANCIACION[[#This Row],[Fecha]],FINANCIACION[PRESTAMO],FINANCIACION[[#This Row],[PRESTAMO]])</f>
        <v>-53691702</v>
      </c>
      <c r="G1600" s="53"/>
      <c r="H1600" s="53"/>
      <c r="I1600" s="5" t="b">
        <f>+IF(FINANCIACION[[#This Row],[$ CAPITAL]]&gt;0,FINANCIACION[[#This Row],[$ CAPITAL]])</f>
        <v>0</v>
      </c>
      <c r="J1600" s="33">
        <f>+IF(FINANCIACION[[#This Row],[$ CAPITAL]]&gt;=0,FINANCIACION[[#This Row],[$ CAPITAL]]+FINANCIACION[[#This Row],[$ INTERESES]],0)</f>
        <v>0</v>
      </c>
    </row>
    <row r="1601" spans="1:10" ht="24" hidden="1" customHeight="1" x14ac:dyDescent="0.3">
      <c r="A1601" s="131">
        <v>45199</v>
      </c>
      <c r="B1601" s="50" t="s">
        <v>588</v>
      </c>
      <c r="C1601" s="5">
        <v>22852</v>
      </c>
      <c r="D1601" s="5"/>
      <c r="E1601" s="5">
        <f>+IF(FINANCIACION[[#This Row],[$ CAPITAL]]&gt;=0,FINANCIACION[[#This Row],[$ CAPITAL]]+FINANCIACION[[#This Row],[$ INTERESES]],"")</f>
        <v>22852</v>
      </c>
      <c r="F1601" s="5">
        <f>+SUMIFS(FINANCIACION[$ CAPITAL],FINANCIACION[Fecha],"&lt;="&amp;FINANCIACION[[#This Row],[Fecha]],FINANCIACION[PRESTAMO],FINANCIACION[[#This Row],[PRESTAMO]])</f>
        <v>-0.2799999974668026</v>
      </c>
      <c r="G1601" s="53" t="s">
        <v>1484</v>
      </c>
      <c r="H1601" s="53"/>
      <c r="I1601" s="5">
        <f>+IF(FINANCIACION[[#This Row],[$ CAPITAL]]&gt;0,FINANCIACION[[#This Row],[$ CAPITAL]])</f>
        <v>22852</v>
      </c>
      <c r="J1601" s="33">
        <f>+IF(FINANCIACION[[#This Row],[$ CAPITAL]]&gt;=0,FINANCIACION[[#This Row],[$ CAPITAL]]+FINANCIACION[[#This Row],[$ INTERESES]],0)</f>
        <v>22852</v>
      </c>
    </row>
    <row r="1602" spans="1:10" ht="24" hidden="1" customHeight="1" x14ac:dyDescent="0.3">
      <c r="A1602" s="131">
        <v>45199</v>
      </c>
      <c r="B1602" s="50" t="s">
        <v>1488</v>
      </c>
      <c r="C1602" s="5">
        <v>-2662251</v>
      </c>
      <c r="D1602" s="5"/>
      <c r="E1602" s="5" t="str">
        <f>+IF(FINANCIACION[[#This Row],[$ CAPITAL]]&gt;=0,FINANCIACION[[#This Row],[$ CAPITAL]]+FINANCIACION[[#This Row],[$ INTERESES]],"")</f>
        <v/>
      </c>
      <c r="F1602" s="5">
        <f>+SUMIFS(FINANCIACION[$ CAPITAL],FINANCIACION[Fecha],"&lt;="&amp;FINANCIACION[[#This Row],[Fecha]],FINANCIACION[PRESTAMO],FINANCIACION[[#This Row],[PRESTAMO]])</f>
        <v>-2662251</v>
      </c>
      <c r="G1602" s="53"/>
      <c r="H1602" s="53"/>
      <c r="I1602" s="5" t="b">
        <f>+IF(FINANCIACION[[#This Row],[$ CAPITAL]]&gt;0,FINANCIACION[[#This Row],[$ CAPITAL]])</f>
        <v>0</v>
      </c>
      <c r="J1602" s="33">
        <f>+IF(FINANCIACION[[#This Row],[$ CAPITAL]]&gt;=0,FINANCIACION[[#This Row],[$ CAPITAL]]+FINANCIACION[[#This Row],[$ INTERESES]],0)</f>
        <v>0</v>
      </c>
    </row>
    <row r="1603" spans="1:10" ht="24" hidden="1" customHeight="1" x14ac:dyDescent="0.3">
      <c r="A1603" s="131">
        <v>45199</v>
      </c>
      <c r="B1603" s="50" t="s">
        <v>154</v>
      </c>
      <c r="C1603" s="5">
        <v>-5702946</v>
      </c>
      <c r="D1603" s="5"/>
      <c r="E1603" s="5" t="str">
        <f>+IF(FINANCIACION[[#This Row],[$ CAPITAL]]&gt;=0,FINANCIACION[[#This Row],[$ CAPITAL]]+FINANCIACION[[#This Row],[$ INTERESES]],"")</f>
        <v/>
      </c>
      <c r="F1603" s="5">
        <f>+SUMIFS(FINANCIACION[$ CAPITAL],FINANCIACION[Fecha],"&lt;="&amp;FINANCIACION[[#This Row],[Fecha]],FINANCIACION[PRESTAMO],FINANCIACION[[#This Row],[PRESTAMO]])</f>
        <v>-16978050</v>
      </c>
      <c r="G1603" s="53"/>
      <c r="H1603" s="53"/>
      <c r="I1603" s="5" t="b">
        <f>+IF(FINANCIACION[[#This Row],[$ CAPITAL]]&gt;0,FINANCIACION[[#This Row],[$ CAPITAL]])</f>
        <v>0</v>
      </c>
      <c r="J1603" s="33">
        <f>+IF(FINANCIACION[[#This Row],[$ CAPITAL]]&gt;=0,FINANCIACION[[#This Row],[$ CAPITAL]]+FINANCIACION[[#This Row],[$ INTERESES]],0)</f>
        <v>0</v>
      </c>
    </row>
    <row r="1604" spans="1:10" ht="24" hidden="1" customHeight="1" x14ac:dyDescent="0.3">
      <c r="A1604" s="131">
        <v>45199</v>
      </c>
      <c r="B1604" s="50" t="s">
        <v>155</v>
      </c>
      <c r="C1604" s="5">
        <v>25180</v>
      </c>
      <c r="D1604" s="5"/>
      <c r="E1604" s="5">
        <f>+IF(FINANCIACION[[#This Row],[$ CAPITAL]]&gt;=0,FINANCIACION[[#This Row],[$ CAPITAL]]+FINANCIACION[[#This Row],[$ INTERESES]],"")</f>
        <v>25180</v>
      </c>
      <c r="F1604" s="5">
        <f>+SUMIFS(FINANCIACION[$ CAPITAL],FINANCIACION[Fecha],"&lt;="&amp;FINANCIACION[[#This Row],[Fecha]],FINANCIACION[PRESTAMO],FINANCIACION[[#This Row],[PRESTAMO]])</f>
        <v>-18459532</v>
      </c>
      <c r="G1604" s="53"/>
      <c r="H1604" s="53"/>
      <c r="I1604" s="5">
        <f>+IF(FINANCIACION[[#This Row],[$ CAPITAL]]&gt;0,FINANCIACION[[#This Row],[$ CAPITAL]])</f>
        <v>25180</v>
      </c>
      <c r="J1604" s="33">
        <f>+IF(FINANCIACION[[#This Row],[$ CAPITAL]]&gt;=0,FINANCIACION[[#This Row],[$ CAPITAL]]+FINANCIACION[[#This Row],[$ INTERESES]],0)</f>
        <v>25180</v>
      </c>
    </row>
    <row r="1605" spans="1:10" ht="24" hidden="1" customHeight="1" x14ac:dyDescent="0.3">
      <c r="A1605" s="131">
        <v>45201</v>
      </c>
      <c r="B1605" s="50" t="s">
        <v>146</v>
      </c>
      <c r="C1605" s="5">
        <v>1468400</v>
      </c>
      <c r="D1605" s="5">
        <v>164239</v>
      </c>
      <c r="E1605" s="5">
        <f>+IF(FINANCIACION[[#This Row],[$ CAPITAL]]&gt;=0,FINANCIACION[[#This Row],[$ CAPITAL]]+FINANCIACION[[#This Row],[$ INTERESES]],"")</f>
        <v>1632639</v>
      </c>
      <c r="F1605" s="5">
        <f>+SUMIFS(FINANCIACION[$ CAPITAL],FINANCIACION[Fecha],"&lt;="&amp;FINANCIACION[[#This Row],[Fecha]],FINANCIACION[PRESTAMO],FINANCIACION[[#This Row],[PRESTAMO]])</f>
        <v>-8810400</v>
      </c>
      <c r="G1605" s="53"/>
      <c r="H1605" s="53"/>
      <c r="I1605" s="5">
        <f>+IF(FINANCIACION[[#This Row],[$ CAPITAL]]&gt;0,FINANCIACION[[#This Row],[$ CAPITAL]])</f>
        <v>1468400</v>
      </c>
      <c r="J1605" s="33">
        <f>+IF(FINANCIACION[[#This Row],[$ CAPITAL]]&gt;=0,FINANCIACION[[#This Row],[$ CAPITAL]]+FINANCIACION[[#This Row],[$ INTERESES]],0)</f>
        <v>1632639</v>
      </c>
    </row>
    <row r="1606" spans="1:10" ht="24" hidden="1" customHeight="1" x14ac:dyDescent="0.3">
      <c r="A1606" s="131">
        <v>45201</v>
      </c>
      <c r="B1606" s="50" t="s">
        <v>1489</v>
      </c>
      <c r="C1606" s="5">
        <v>3806000</v>
      </c>
      <c r="D1606" s="5">
        <f>1532131+356587</f>
        <v>1888718</v>
      </c>
      <c r="E1606" s="5">
        <f>+IF(FINANCIACION[[#This Row],[$ CAPITAL]]&gt;=0,FINANCIACION[[#This Row],[$ CAPITAL]]+FINANCIACION[[#This Row],[$ INTERESES]],"")</f>
        <v>5694718</v>
      </c>
      <c r="F1606" s="5">
        <f>+SUMIFS(FINANCIACION[$ CAPITAL],FINANCIACION[Fecha],"&lt;="&amp;FINANCIACION[[#This Row],[Fecha]],FINANCIACION[PRESTAMO],FINANCIACION[[#This Row],[PRESTAMO]])</f>
        <v>-76869545</v>
      </c>
      <c r="G1606" s="53"/>
      <c r="H1606" s="53"/>
      <c r="I1606" s="5">
        <f>+IF(FINANCIACION[[#This Row],[$ CAPITAL]]&gt;0,FINANCIACION[[#This Row],[$ CAPITAL]])</f>
        <v>3806000</v>
      </c>
      <c r="J1606" s="33">
        <f>+IF(FINANCIACION[[#This Row],[$ CAPITAL]]&gt;=0,FINANCIACION[[#This Row],[$ CAPITAL]]+FINANCIACION[[#This Row],[$ INTERESES]],0)</f>
        <v>5694718</v>
      </c>
    </row>
    <row r="1607" spans="1:10" ht="24" hidden="1" customHeight="1" x14ac:dyDescent="0.3">
      <c r="A1607" s="131">
        <v>45202</v>
      </c>
      <c r="B1607" s="50" t="s">
        <v>147</v>
      </c>
      <c r="C1607" s="5">
        <v>77002</v>
      </c>
      <c r="D1607" s="5"/>
      <c r="E1607" s="5">
        <f>+IF(FINANCIACION[[#This Row],[$ CAPITAL]]&gt;=0,FINANCIACION[[#This Row],[$ CAPITAL]]+FINANCIACION[[#This Row],[$ INTERESES]],"")</f>
        <v>77002</v>
      </c>
      <c r="F1607" s="5">
        <f>+SUMIFS(FINANCIACION[$ CAPITAL],FINANCIACION[Fecha],"&lt;="&amp;FINANCIACION[[#This Row],[Fecha]],FINANCIACION[PRESTAMO],FINANCIACION[[#This Row],[PRESTAMO]])</f>
        <v>-460535</v>
      </c>
      <c r="G1607" s="53"/>
      <c r="H1607" s="53"/>
      <c r="I1607" s="5">
        <f>+IF(FINANCIACION[[#This Row],[$ CAPITAL]]&gt;0,FINANCIACION[[#This Row],[$ CAPITAL]])</f>
        <v>77002</v>
      </c>
      <c r="J1607" s="33">
        <f>+IF(FINANCIACION[[#This Row],[$ CAPITAL]]&gt;=0,FINANCIACION[[#This Row],[$ CAPITAL]]+FINANCIACION[[#This Row],[$ INTERESES]],0)</f>
        <v>77002</v>
      </c>
    </row>
    <row r="1608" spans="1:10" ht="24" hidden="1" customHeight="1" x14ac:dyDescent="0.3">
      <c r="A1608" s="131">
        <v>45205</v>
      </c>
      <c r="B1608" s="50" t="s">
        <v>147</v>
      </c>
      <c r="C1608" s="5">
        <v>460535</v>
      </c>
      <c r="D1608" s="5"/>
      <c r="E1608" s="5">
        <f>+IF(FINANCIACION[[#This Row],[$ CAPITAL]]&gt;=0,FINANCIACION[[#This Row],[$ CAPITAL]]+FINANCIACION[[#This Row],[$ INTERESES]],"")</f>
        <v>460535</v>
      </c>
      <c r="F1608" s="5">
        <f>+SUMIFS(FINANCIACION[$ CAPITAL],FINANCIACION[Fecha],"&lt;="&amp;FINANCIACION[[#This Row],[Fecha]],FINANCIACION[PRESTAMO],FINANCIACION[[#This Row],[PRESTAMO]])</f>
        <v>0</v>
      </c>
      <c r="G1608" s="53" t="s">
        <v>2098</v>
      </c>
      <c r="H1608" s="53"/>
      <c r="I1608" s="5">
        <f>+IF(FINANCIACION[[#This Row],[$ CAPITAL]]&gt;0,FINANCIACION[[#This Row],[$ CAPITAL]])</f>
        <v>460535</v>
      </c>
      <c r="J1608" s="33">
        <f>+IF(FINANCIACION[[#This Row],[$ CAPITAL]]&gt;=0,FINANCIACION[[#This Row],[$ CAPITAL]]+FINANCIACION[[#This Row],[$ INTERESES]],0)</f>
        <v>460535</v>
      </c>
    </row>
    <row r="1609" spans="1:10" ht="24" hidden="1" customHeight="1" x14ac:dyDescent="0.3">
      <c r="A1609" s="131">
        <v>45208</v>
      </c>
      <c r="B1609" s="50" t="s">
        <v>1487</v>
      </c>
      <c r="C1609" s="5">
        <v>1889477</v>
      </c>
      <c r="D1609" s="5">
        <v>171736</v>
      </c>
      <c r="E1609" s="5">
        <f>+IF(FINANCIACION[[#This Row],[$ CAPITAL]]&gt;=0,FINANCIACION[[#This Row],[$ CAPITAL]]+FINANCIACION[[#This Row],[$ INTERESES]],"")</f>
        <v>2061213</v>
      </c>
      <c r="F1609" s="5">
        <f>+SUMIFS(FINANCIACION[$ CAPITAL],FINANCIACION[Fecha],"&lt;="&amp;FINANCIACION[[#This Row],[Fecha]],FINANCIACION[PRESTAMO],FINANCIACION[[#This Row],[PRESTAMO]])</f>
        <v>-7557908</v>
      </c>
      <c r="G1609" s="53"/>
      <c r="H1609" s="53"/>
      <c r="I1609" s="5">
        <f>+IF(FINANCIACION[[#This Row],[$ CAPITAL]]&gt;0,FINANCIACION[[#This Row],[$ CAPITAL]])</f>
        <v>1889477</v>
      </c>
      <c r="J1609" s="33">
        <f>+IF(FINANCIACION[[#This Row],[$ CAPITAL]]&gt;=0,FINANCIACION[[#This Row],[$ CAPITAL]]+FINANCIACION[[#This Row],[$ INTERESES]],0)</f>
        <v>2061213</v>
      </c>
    </row>
    <row r="1610" spans="1:10" ht="24" hidden="1" customHeight="1" x14ac:dyDescent="0.3">
      <c r="A1610" s="131">
        <v>45210</v>
      </c>
      <c r="B1610" s="50" t="s">
        <v>543</v>
      </c>
      <c r="C1610" s="5"/>
      <c r="D1610" s="5">
        <v>130000</v>
      </c>
      <c r="E1610" s="5">
        <f>+IF(FINANCIACION[[#This Row],[$ CAPITAL]]&gt;=0,FINANCIACION[[#This Row],[$ CAPITAL]]+FINANCIACION[[#This Row],[$ INTERESES]],"")</f>
        <v>130000</v>
      </c>
      <c r="F1610" s="5">
        <f>+SUMIFS(FINANCIACION[$ CAPITAL],FINANCIACION[Fecha],"&lt;="&amp;FINANCIACION[[#This Row],[Fecha]],FINANCIACION[PRESTAMO],FINANCIACION[[#This Row],[PRESTAMO]])</f>
        <v>-13000000</v>
      </c>
      <c r="G1610" s="53"/>
      <c r="H1610" s="53"/>
      <c r="I1610" s="5" t="b">
        <f>+IF(FINANCIACION[[#This Row],[$ CAPITAL]]&gt;0,FINANCIACION[[#This Row],[$ CAPITAL]])</f>
        <v>0</v>
      </c>
      <c r="J1610" s="33">
        <f>+IF(FINANCIACION[[#This Row],[$ CAPITAL]]&gt;=0,FINANCIACION[[#This Row],[$ CAPITAL]]+FINANCIACION[[#This Row],[$ INTERESES]],0)</f>
        <v>130000</v>
      </c>
    </row>
    <row r="1611" spans="1:10" ht="24" hidden="1" customHeight="1" x14ac:dyDescent="0.3">
      <c r="A1611" s="131">
        <v>45210</v>
      </c>
      <c r="B1611" s="50" t="s">
        <v>547</v>
      </c>
      <c r="C1611" s="5"/>
      <c r="D1611" s="5">
        <v>350000</v>
      </c>
      <c r="E1611" s="5">
        <f>+IF(FINANCIACION[[#This Row],[$ CAPITAL]]&gt;=0,FINANCIACION[[#This Row],[$ CAPITAL]]+FINANCIACION[[#This Row],[$ INTERESES]],"")</f>
        <v>350000</v>
      </c>
      <c r="F1611" s="5">
        <f>+SUMIFS(FINANCIACION[$ CAPITAL],FINANCIACION[Fecha],"&lt;="&amp;FINANCIACION[[#This Row],[Fecha]],FINANCIACION[PRESTAMO],FINANCIACION[[#This Row],[PRESTAMO]])</f>
        <v>-35000000</v>
      </c>
      <c r="G1611" s="53"/>
      <c r="H1611" s="53"/>
      <c r="I1611" s="5" t="b">
        <f>+IF(FINANCIACION[[#This Row],[$ CAPITAL]]&gt;0,FINANCIACION[[#This Row],[$ CAPITAL]])</f>
        <v>0</v>
      </c>
      <c r="J1611" s="33">
        <f>+IF(FINANCIACION[[#This Row],[$ CAPITAL]]&gt;=0,FINANCIACION[[#This Row],[$ CAPITAL]]+FINANCIACION[[#This Row],[$ INTERESES]],0)</f>
        <v>350000</v>
      </c>
    </row>
    <row r="1612" spans="1:10" ht="24" hidden="1" customHeight="1" x14ac:dyDescent="0.3">
      <c r="A1612" s="131">
        <v>45210</v>
      </c>
      <c r="B1612" s="50" t="s">
        <v>536</v>
      </c>
      <c r="C1612" s="5">
        <v>1155469</v>
      </c>
      <c r="D1612" s="5">
        <v>144531</v>
      </c>
      <c r="E1612" s="5">
        <f>+IF(FINANCIACION[[#This Row],[$ CAPITAL]]&gt;=0,FINANCIACION[[#This Row],[$ CAPITAL]]+FINANCIACION[[#This Row],[$ INTERESES]],"")</f>
        <v>1300000</v>
      </c>
      <c r="F1612" s="5">
        <f>+SUMIFS(FINANCIACION[$ CAPITAL],FINANCIACION[Fecha],"&lt;="&amp;FINANCIACION[[#This Row],[Fecha]],FINANCIACION[PRESTAMO],FINANCIACION[[#This Row],[PRESTAMO]])</f>
        <v>-13297608.05175975</v>
      </c>
      <c r="G1612" s="53"/>
      <c r="H1612" s="53"/>
      <c r="I1612" s="5">
        <f>+IF(FINANCIACION[[#This Row],[$ CAPITAL]]&gt;0,FINANCIACION[[#This Row],[$ CAPITAL]])</f>
        <v>1155469</v>
      </c>
      <c r="J1612" s="33">
        <f>+IF(FINANCIACION[[#This Row],[$ CAPITAL]]&gt;=0,FINANCIACION[[#This Row],[$ CAPITAL]]+FINANCIACION[[#This Row],[$ INTERESES]],0)</f>
        <v>1300000</v>
      </c>
    </row>
    <row r="1613" spans="1:10" ht="24" hidden="1" customHeight="1" x14ac:dyDescent="0.3">
      <c r="A1613" s="131">
        <v>45210</v>
      </c>
      <c r="B1613" s="50" t="s">
        <v>545</v>
      </c>
      <c r="C1613" s="5"/>
      <c r="D1613" s="5">
        <v>120000</v>
      </c>
      <c r="E1613" s="5">
        <f>+IF(FINANCIACION[[#This Row],[$ CAPITAL]]&gt;=0,FINANCIACION[[#This Row],[$ CAPITAL]]+FINANCIACION[[#This Row],[$ INTERESES]],"")</f>
        <v>120000</v>
      </c>
      <c r="F1613" s="5">
        <f>+SUMIFS(FINANCIACION[$ CAPITAL],FINANCIACION[Fecha],"&lt;="&amp;FINANCIACION[[#This Row],[Fecha]],FINANCIACION[PRESTAMO],FINANCIACION[[#This Row],[PRESTAMO]])</f>
        <v>-12000000</v>
      </c>
      <c r="G1613" s="53"/>
      <c r="H1613" s="53"/>
      <c r="I1613" s="5" t="b">
        <f>+IF(FINANCIACION[[#This Row],[$ CAPITAL]]&gt;0,FINANCIACION[[#This Row],[$ CAPITAL]])</f>
        <v>0</v>
      </c>
      <c r="J1613" s="33">
        <f>+IF(FINANCIACION[[#This Row],[$ CAPITAL]]&gt;=0,FINANCIACION[[#This Row],[$ CAPITAL]]+FINANCIACION[[#This Row],[$ INTERESES]],0)</f>
        <v>120000</v>
      </c>
    </row>
    <row r="1614" spans="1:10" ht="24" hidden="1" customHeight="1" x14ac:dyDescent="0.3">
      <c r="A1614" s="131">
        <v>45211</v>
      </c>
      <c r="B1614" s="50" t="s">
        <v>1562</v>
      </c>
      <c r="C1614" s="5"/>
      <c r="D1614" s="5">
        <v>700000</v>
      </c>
      <c r="E1614" s="5">
        <f>+IF(FINANCIACION[[#This Row],[$ CAPITAL]]&gt;=0,FINANCIACION[[#This Row],[$ CAPITAL]]+FINANCIACION[[#This Row],[$ INTERESES]],"")</f>
        <v>700000</v>
      </c>
      <c r="F1614" s="5">
        <f>+SUMIFS(FINANCIACION[$ CAPITAL],FINANCIACION[Fecha],"&lt;="&amp;FINANCIACION[[#This Row],[Fecha]],FINANCIACION[PRESTAMO],FINANCIACION[[#This Row],[PRESTAMO]])</f>
        <v>-70000000</v>
      </c>
      <c r="G1614" s="53"/>
      <c r="H1614" s="53"/>
      <c r="I1614" s="5" t="b">
        <f>+IF(FINANCIACION[[#This Row],[$ CAPITAL]]&gt;0,FINANCIACION[[#This Row],[$ CAPITAL]])</f>
        <v>0</v>
      </c>
      <c r="J1614" s="33">
        <f>+IF(FINANCIACION[[#This Row],[$ CAPITAL]]&gt;=0,FINANCIACION[[#This Row],[$ CAPITAL]]+FINANCIACION[[#This Row],[$ INTERESES]],0)</f>
        <v>700000</v>
      </c>
    </row>
    <row r="1615" spans="1:10" ht="24" hidden="1" customHeight="1" x14ac:dyDescent="0.3">
      <c r="A1615" s="131">
        <v>45212</v>
      </c>
      <c r="B1615" s="50" t="s">
        <v>148</v>
      </c>
      <c r="C1615" s="5"/>
      <c r="D1615" s="5">
        <v>779151</v>
      </c>
      <c r="E1615" s="5">
        <f>+IF(FINANCIACION[[#This Row],[$ CAPITAL]]&gt;=0,FINANCIACION[[#This Row],[$ CAPITAL]]+FINANCIACION[[#This Row],[$ INTERESES]],"")</f>
        <v>779151</v>
      </c>
      <c r="F1615" s="5">
        <f>+SUMIFS(FINANCIACION[$ CAPITAL],FINANCIACION[Fecha],"&lt;="&amp;FINANCIACION[[#This Row],[Fecha]],FINANCIACION[PRESTAMO],FINANCIACION[[#This Row],[PRESTAMO]])</f>
        <v>0</v>
      </c>
      <c r="G1615" s="53"/>
      <c r="H1615" s="53"/>
      <c r="I1615" s="5" t="b">
        <f>+IF(FINANCIACION[[#This Row],[$ CAPITAL]]&gt;0,FINANCIACION[[#This Row],[$ CAPITAL]])</f>
        <v>0</v>
      </c>
      <c r="J1615" s="33">
        <f>+IF(FINANCIACION[[#This Row],[$ CAPITAL]]&gt;=0,FINANCIACION[[#This Row],[$ CAPITAL]]+FINANCIACION[[#This Row],[$ INTERESES]],0)</f>
        <v>779151</v>
      </c>
    </row>
    <row r="1616" spans="1:10" ht="24" hidden="1" customHeight="1" x14ac:dyDescent="0.3">
      <c r="A1616" s="131">
        <v>45214</v>
      </c>
      <c r="B1616" s="50" t="s">
        <v>150</v>
      </c>
      <c r="C1616" s="5">
        <v>417000</v>
      </c>
      <c r="D1616" s="5">
        <v>158355</v>
      </c>
      <c r="E1616" s="5">
        <f>+IF(FINANCIACION[[#This Row],[$ CAPITAL]]&gt;=0,FINANCIACION[[#This Row],[$ CAPITAL]]+FINANCIACION[[#This Row],[$ INTERESES]],"")</f>
        <v>575355</v>
      </c>
      <c r="F1616" s="5">
        <f>+SUMIFS(FINANCIACION[$ CAPITAL],FINANCIACION[Fecha],"&lt;="&amp;FINANCIACION[[#This Row],[Fecha]],FINANCIACION[PRESTAMO],FINANCIACION[[#This Row],[PRESTAMO]])</f>
        <v>-8422820</v>
      </c>
      <c r="G1616" s="53"/>
      <c r="H1616" s="53"/>
      <c r="I1616" s="5">
        <f>+IF(FINANCIACION[[#This Row],[$ CAPITAL]]&gt;0,FINANCIACION[[#This Row],[$ CAPITAL]])</f>
        <v>417000</v>
      </c>
      <c r="J1616" s="33">
        <f>+IF(FINANCIACION[[#This Row],[$ CAPITAL]]&gt;=0,FINANCIACION[[#This Row],[$ CAPITAL]]+FINANCIACION[[#This Row],[$ INTERESES]],0)</f>
        <v>575355</v>
      </c>
    </row>
    <row r="1617" spans="1:10" ht="24" hidden="1" customHeight="1" x14ac:dyDescent="0.3">
      <c r="A1617" s="131">
        <v>45216</v>
      </c>
      <c r="B1617" s="50" t="s">
        <v>148</v>
      </c>
      <c r="C1617" s="5"/>
      <c r="D1617" s="5">
        <v>540897</v>
      </c>
      <c r="E1617" s="5">
        <f>+IF(FINANCIACION[[#This Row],[$ CAPITAL]]&gt;=0,FINANCIACION[[#This Row],[$ CAPITAL]]+FINANCIACION[[#This Row],[$ INTERESES]],"")</f>
        <v>540897</v>
      </c>
      <c r="F1617" s="5">
        <f>+SUMIFS(FINANCIACION[$ CAPITAL],FINANCIACION[Fecha],"&lt;="&amp;FINANCIACION[[#This Row],[Fecha]],FINANCIACION[PRESTAMO],FINANCIACION[[#This Row],[PRESTAMO]])</f>
        <v>0</v>
      </c>
      <c r="G1617" s="53"/>
      <c r="H1617" s="53"/>
      <c r="I1617" s="5" t="b">
        <f>+IF(FINANCIACION[[#This Row],[$ CAPITAL]]&gt;0,FINANCIACION[[#This Row],[$ CAPITAL]])</f>
        <v>0</v>
      </c>
      <c r="J1617" s="33">
        <f>+IF(FINANCIACION[[#This Row],[$ CAPITAL]]&gt;=0,FINANCIACION[[#This Row],[$ CAPITAL]]+FINANCIACION[[#This Row],[$ INTERESES]],0)</f>
        <v>540897</v>
      </c>
    </row>
    <row r="1618" spans="1:10" ht="24" hidden="1" customHeight="1" x14ac:dyDescent="0.3">
      <c r="A1618" s="131">
        <v>45217</v>
      </c>
      <c r="B1618" s="50" t="s">
        <v>1921</v>
      </c>
      <c r="C1618" s="5">
        <v>1297208</v>
      </c>
      <c r="D1618" s="5">
        <f>381286+5666291+151454</f>
        <v>6199031</v>
      </c>
      <c r="E1618" s="5">
        <f>+IF(FINANCIACION[[#This Row],[$ CAPITAL]]&gt;=0,FINANCIACION[[#This Row],[$ CAPITAL]]+FINANCIACION[[#This Row],[$ INTERESES]],"")</f>
        <v>7496239</v>
      </c>
      <c r="F1618" s="5">
        <f>+SUMIFS(FINANCIACION[$ CAPITAL],FINANCIACION[Fecha],"&lt;="&amp;FINANCIACION[[#This Row],[Fecha]],FINANCIACION[PRESTAMO],FINANCIACION[[#This Row],[PRESTAMO]])</f>
        <v>-343356593</v>
      </c>
      <c r="G1618" s="53"/>
      <c r="H1618" s="53"/>
      <c r="I1618" s="5">
        <f>+IF(FINANCIACION[[#This Row],[$ CAPITAL]]&gt;0,FINANCIACION[[#This Row],[$ CAPITAL]])</f>
        <v>1297208</v>
      </c>
      <c r="J1618" s="33">
        <f>+IF(FINANCIACION[[#This Row],[$ CAPITAL]]&gt;=0,FINANCIACION[[#This Row],[$ CAPITAL]]+FINANCIACION[[#This Row],[$ INTERESES]],0)</f>
        <v>7496239</v>
      </c>
    </row>
    <row r="1619" spans="1:10" ht="24" hidden="1" customHeight="1" x14ac:dyDescent="0.3">
      <c r="A1619" s="131">
        <v>45220</v>
      </c>
      <c r="B1619" s="50" t="s">
        <v>532</v>
      </c>
      <c r="C1619" s="5">
        <v>683036</v>
      </c>
      <c r="D1619" s="5">
        <v>316963</v>
      </c>
      <c r="E1619" s="5">
        <f>+IF(FINANCIACION[[#This Row],[$ CAPITAL]]&gt;=0,FINANCIACION[[#This Row],[$ CAPITAL]]+FINANCIACION[[#This Row],[$ INTERESES]],"")</f>
        <v>999999</v>
      </c>
      <c r="F1619" s="5">
        <f>+SUMIFS(FINANCIACION[$ CAPITAL],FINANCIACION[Fecha],"&lt;="&amp;FINANCIACION[[#This Row],[Fecha]],FINANCIACION[PRESTAMO],FINANCIACION[[#This Row],[PRESTAMO]])</f>
        <v>-31013315.514479995</v>
      </c>
      <c r="G1619" s="53"/>
      <c r="H1619" s="53"/>
      <c r="I1619" s="5">
        <f>+IF(FINANCIACION[[#This Row],[$ CAPITAL]]&gt;0,FINANCIACION[[#This Row],[$ CAPITAL]])</f>
        <v>683036</v>
      </c>
      <c r="J1619" s="33">
        <f>+IF(FINANCIACION[[#This Row],[$ CAPITAL]]&gt;=0,FINANCIACION[[#This Row],[$ CAPITAL]]+FINANCIACION[[#This Row],[$ INTERESES]],0)</f>
        <v>999999</v>
      </c>
    </row>
    <row r="1620" spans="1:10" ht="24" hidden="1" customHeight="1" x14ac:dyDescent="0.3">
      <c r="A1620" s="131">
        <v>45220</v>
      </c>
      <c r="B1620" s="50" t="s">
        <v>533</v>
      </c>
      <c r="C1620" s="5">
        <v>1549030</v>
      </c>
      <c r="D1620" s="5">
        <v>450970</v>
      </c>
      <c r="E1620" s="5">
        <f>+IF(FINANCIACION[[#This Row],[$ CAPITAL]]&gt;=0,FINANCIACION[[#This Row],[$ CAPITAL]]+FINANCIACION[[#This Row],[$ INTERESES]],"")</f>
        <v>2000000</v>
      </c>
      <c r="F1620" s="5">
        <f>+SUMIFS(FINANCIACION[$ CAPITAL],FINANCIACION[Fecha],"&lt;="&amp;FINANCIACION[[#This Row],[Fecha]],FINANCIACION[PRESTAMO],FINANCIACION[[#This Row],[PRESTAMO]])</f>
        <v>-43547952.97283452</v>
      </c>
      <c r="G1620" s="53"/>
      <c r="H1620" s="53"/>
      <c r="I1620" s="5">
        <f>+IF(FINANCIACION[[#This Row],[$ CAPITAL]]&gt;0,FINANCIACION[[#This Row],[$ CAPITAL]])</f>
        <v>1549030</v>
      </c>
      <c r="J1620" s="33">
        <f>+IF(FINANCIACION[[#This Row],[$ CAPITAL]]&gt;=0,FINANCIACION[[#This Row],[$ CAPITAL]]+FINANCIACION[[#This Row],[$ INTERESES]],0)</f>
        <v>2000000</v>
      </c>
    </row>
    <row r="1621" spans="1:10" ht="24" hidden="1" customHeight="1" x14ac:dyDescent="0.3">
      <c r="A1621" s="131">
        <v>45222</v>
      </c>
      <c r="B1621" s="50" t="s">
        <v>563</v>
      </c>
      <c r="C1621" s="5"/>
      <c r="D1621" s="5">
        <v>1400000</v>
      </c>
      <c r="E1621" s="5">
        <f>+IF(FINANCIACION[[#This Row],[$ CAPITAL]]&gt;=0,FINANCIACION[[#This Row],[$ CAPITAL]]+FINANCIACION[[#This Row],[$ INTERESES]],"")</f>
        <v>1400000</v>
      </c>
      <c r="F1621" s="5">
        <f>+SUMIFS(FINANCIACION[$ CAPITAL],FINANCIACION[Fecha],"&lt;="&amp;FINANCIACION[[#This Row],[Fecha]],FINANCIACION[PRESTAMO],FINANCIACION[[#This Row],[PRESTAMO]])</f>
        <v>-140000000</v>
      </c>
      <c r="G1621" s="53"/>
      <c r="H1621" s="53"/>
      <c r="I1621" s="5" t="b">
        <f>+IF(FINANCIACION[[#This Row],[$ CAPITAL]]&gt;0,FINANCIACION[[#This Row],[$ CAPITAL]])</f>
        <v>0</v>
      </c>
      <c r="J1621" s="33">
        <f>+IF(FINANCIACION[[#This Row],[$ CAPITAL]]&gt;=0,FINANCIACION[[#This Row],[$ CAPITAL]]+FINANCIACION[[#This Row],[$ INTERESES]],0)</f>
        <v>1400000</v>
      </c>
    </row>
    <row r="1622" spans="1:10" ht="24" hidden="1" customHeight="1" x14ac:dyDescent="0.3">
      <c r="A1622" s="131">
        <v>45223</v>
      </c>
      <c r="B1622" s="50" t="s">
        <v>548</v>
      </c>
      <c r="C1622" s="5">
        <v>1482234</v>
      </c>
      <c r="D1622" s="5">
        <v>797766</v>
      </c>
      <c r="E1622" s="5">
        <f>+IF(FINANCIACION[[#This Row],[$ CAPITAL]]&gt;=0,FINANCIACION[[#This Row],[$ CAPITAL]]+FINANCIACION[[#This Row],[$ INTERESES]],"")</f>
        <v>2280000</v>
      </c>
      <c r="F1622" s="5">
        <f>+SUMIFS(FINANCIACION[$ CAPITAL],FINANCIACION[Fecha],"&lt;="&amp;FINANCIACION[[#This Row],[Fecha]],FINANCIACION[PRESTAMO],FINANCIACION[[#This Row],[PRESTAMO]])</f>
        <v>-54923022.449999988</v>
      </c>
      <c r="G1622" s="53"/>
      <c r="H1622" s="53"/>
      <c r="I1622" s="5">
        <f>+IF(FINANCIACION[[#This Row],[$ CAPITAL]]&gt;0,FINANCIACION[[#This Row],[$ CAPITAL]])</f>
        <v>1482234</v>
      </c>
      <c r="J1622" s="33">
        <f>+IF(FINANCIACION[[#This Row],[$ CAPITAL]]&gt;=0,FINANCIACION[[#This Row],[$ CAPITAL]]+FINANCIACION[[#This Row],[$ INTERESES]],0)</f>
        <v>2280000</v>
      </c>
    </row>
    <row r="1623" spans="1:10" ht="24" hidden="1" customHeight="1" x14ac:dyDescent="0.3">
      <c r="A1623" s="131">
        <v>45230</v>
      </c>
      <c r="B1623" s="50" t="s">
        <v>146</v>
      </c>
      <c r="C1623" s="5">
        <v>1468400</v>
      </c>
      <c r="D1623" s="5">
        <v>164239</v>
      </c>
      <c r="E1623" s="5">
        <f>+IF(FINANCIACION[[#This Row],[$ CAPITAL]]&gt;=0,FINANCIACION[[#This Row],[$ CAPITAL]]+FINANCIACION[[#This Row],[$ INTERESES]],"")</f>
        <v>1632639</v>
      </c>
      <c r="F1623" s="5">
        <f>+SUMIFS(FINANCIACION[$ CAPITAL],FINANCIACION[Fecha],"&lt;="&amp;FINANCIACION[[#This Row],[Fecha]],FINANCIACION[PRESTAMO],FINANCIACION[[#This Row],[PRESTAMO]])</f>
        <v>-7342000</v>
      </c>
      <c r="G1623" s="53"/>
      <c r="H1623" s="53"/>
      <c r="I1623" s="5">
        <f>+IF(FINANCIACION[[#This Row],[$ CAPITAL]]&gt;0,FINANCIACION[[#This Row],[$ CAPITAL]])</f>
        <v>1468400</v>
      </c>
      <c r="J1623" s="33">
        <f>+IF(FINANCIACION[[#This Row],[$ CAPITAL]]&gt;=0,FINANCIACION[[#This Row],[$ CAPITAL]]+FINANCIACION[[#This Row],[$ INTERESES]],0)</f>
        <v>1632639</v>
      </c>
    </row>
    <row r="1624" spans="1:10" ht="24" hidden="1" customHeight="1" x14ac:dyDescent="0.3">
      <c r="A1624" s="131">
        <v>45230</v>
      </c>
      <c r="B1624" s="50" t="s">
        <v>1382</v>
      </c>
      <c r="C1624" s="5">
        <v>0</v>
      </c>
      <c r="D1624" s="5"/>
      <c r="E1624" s="5">
        <f>+IF(FINANCIACION[[#This Row],[$ CAPITAL]]&gt;=0,FINANCIACION[[#This Row],[$ CAPITAL]]+FINANCIACION[[#This Row],[$ INTERESES]],"")</f>
        <v>0</v>
      </c>
      <c r="F1624" s="5">
        <f>+SUMIFS(FINANCIACION[$ CAPITAL],FINANCIACION[Fecha],"&lt;="&amp;FINANCIACION[[#This Row],[Fecha]],FINANCIACION[PRESTAMO],FINANCIACION[[#This Row],[PRESTAMO]])</f>
        <v>-84825000</v>
      </c>
      <c r="G1624" s="53" t="s">
        <v>1860</v>
      </c>
      <c r="H1624" s="53"/>
      <c r="I1624" s="5" t="b">
        <f>+IF(FINANCIACION[[#This Row],[$ CAPITAL]]&gt;0,FINANCIACION[[#This Row],[$ CAPITAL]])</f>
        <v>0</v>
      </c>
      <c r="J1624" s="33">
        <f>+IF(FINANCIACION[[#This Row],[$ CAPITAL]]&gt;=0,FINANCIACION[[#This Row],[$ CAPITAL]]+FINANCIACION[[#This Row],[$ INTERESES]],0)</f>
        <v>0</v>
      </c>
    </row>
    <row r="1625" spans="1:10" ht="24" hidden="1" customHeight="1" x14ac:dyDescent="0.3">
      <c r="A1625" s="131">
        <v>45230</v>
      </c>
      <c r="B1625" s="50" t="s">
        <v>1485</v>
      </c>
      <c r="C1625" s="5">
        <v>0</v>
      </c>
      <c r="D1625" s="5"/>
      <c r="E1625" s="5">
        <f>+IF(FINANCIACION[[#This Row],[$ CAPITAL]]&gt;=0,FINANCIACION[[#This Row],[$ CAPITAL]]+FINANCIACION[[#This Row],[$ INTERESES]],"")</f>
        <v>0</v>
      </c>
      <c r="F1625" s="5">
        <f>+SUMIFS(FINANCIACION[$ CAPITAL],FINANCIACION[Fecha],"&lt;="&amp;FINANCIACION[[#This Row],[Fecha]],FINANCIACION[PRESTAMO],FINANCIACION[[#This Row],[PRESTAMO]])</f>
        <v>-53691702</v>
      </c>
      <c r="G1625" s="53"/>
      <c r="H1625" s="53"/>
      <c r="I1625" s="5" t="b">
        <f>+IF(FINANCIACION[[#This Row],[$ CAPITAL]]&gt;0,FINANCIACION[[#This Row],[$ CAPITAL]])</f>
        <v>0</v>
      </c>
      <c r="J1625" s="33">
        <f>+IF(FINANCIACION[[#This Row],[$ CAPITAL]]&gt;=0,FINANCIACION[[#This Row],[$ CAPITAL]]+FINANCIACION[[#This Row],[$ INTERESES]],0)</f>
        <v>0</v>
      </c>
    </row>
    <row r="1626" spans="1:10" ht="24" hidden="1" customHeight="1" x14ac:dyDescent="0.3">
      <c r="A1626" s="131">
        <v>45230</v>
      </c>
      <c r="B1626" s="50" t="s">
        <v>1488</v>
      </c>
      <c r="C1626" s="5">
        <v>895339</v>
      </c>
      <c r="D1626" s="5"/>
      <c r="E1626" s="5">
        <f>+IF(FINANCIACION[[#This Row],[$ CAPITAL]]&gt;=0,FINANCIACION[[#This Row],[$ CAPITAL]]+FINANCIACION[[#This Row],[$ INTERESES]],"")</f>
        <v>895339</v>
      </c>
      <c r="F1626" s="5">
        <f>+SUMIFS(FINANCIACION[$ CAPITAL],FINANCIACION[Fecha],"&lt;="&amp;FINANCIACION[[#This Row],[Fecha]],FINANCIACION[PRESTAMO],FINANCIACION[[#This Row],[PRESTAMO]])</f>
        <v>-1766912</v>
      </c>
      <c r="G1626" s="53"/>
      <c r="H1626" s="53"/>
      <c r="I1626" s="5">
        <f>+IF(FINANCIACION[[#This Row],[$ CAPITAL]]&gt;0,FINANCIACION[[#This Row],[$ CAPITAL]])</f>
        <v>895339</v>
      </c>
      <c r="J1626" s="33">
        <f>+IF(FINANCIACION[[#This Row],[$ CAPITAL]]&gt;=0,FINANCIACION[[#This Row],[$ CAPITAL]]+FINANCIACION[[#This Row],[$ INTERESES]],0)</f>
        <v>895339</v>
      </c>
    </row>
    <row r="1627" spans="1:10" ht="24" hidden="1" customHeight="1" x14ac:dyDescent="0.3">
      <c r="A1627" s="131">
        <v>45230</v>
      </c>
      <c r="B1627" s="50" t="s">
        <v>154</v>
      </c>
      <c r="C1627" s="5">
        <v>769950</v>
      </c>
      <c r="D1627" s="5"/>
      <c r="E1627" s="5">
        <f>+IF(FINANCIACION[[#This Row],[$ CAPITAL]]&gt;=0,FINANCIACION[[#This Row],[$ CAPITAL]]+FINANCIACION[[#This Row],[$ INTERESES]],"")</f>
        <v>769950</v>
      </c>
      <c r="F1627" s="5">
        <f>+SUMIFS(FINANCIACION[$ CAPITAL],FINANCIACION[Fecha],"&lt;="&amp;FINANCIACION[[#This Row],[Fecha]],FINANCIACION[PRESTAMO],FINANCIACION[[#This Row],[PRESTAMO]])</f>
        <v>-16208100</v>
      </c>
      <c r="G1627" s="53"/>
      <c r="H1627" s="53"/>
      <c r="I1627" s="5">
        <f>+IF(FINANCIACION[[#This Row],[$ CAPITAL]]&gt;0,FINANCIACION[[#This Row],[$ CAPITAL]])</f>
        <v>769950</v>
      </c>
      <c r="J1627" s="33">
        <f>+IF(FINANCIACION[[#This Row],[$ CAPITAL]]&gt;=0,FINANCIACION[[#This Row],[$ CAPITAL]]+FINANCIACION[[#This Row],[$ INTERESES]],0)</f>
        <v>769950</v>
      </c>
    </row>
    <row r="1628" spans="1:10" ht="24" hidden="1" customHeight="1" x14ac:dyDescent="0.3">
      <c r="A1628" s="131">
        <v>45230</v>
      </c>
      <c r="B1628" s="50" t="s">
        <v>155</v>
      </c>
      <c r="C1628" s="5">
        <v>-3423159</v>
      </c>
      <c r="D1628" s="5"/>
      <c r="E1628" s="5" t="str">
        <f>+IF(FINANCIACION[[#This Row],[$ CAPITAL]]&gt;=0,FINANCIACION[[#This Row],[$ CAPITAL]]+FINANCIACION[[#This Row],[$ INTERESES]],"")</f>
        <v/>
      </c>
      <c r="F1628" s="5">
        <f>+SUMIFS(FINANCIACION[$ CAPITAL],FINANCIACION[Fecha],"&lt;="&amp;FINANCIACION[[#This Row],[Fecha]],FINANCIACION[PRESTAMO],FINANCIACION[[#This Row],[PRESTAMO]])</f>
        <v>-21882691</v>
      </c>
      <c r="G1628" s="53"/>
      <c r="H1628" s="53"/>
      <c r="I1628" s="5" t="b">
        <f>+IF(FINANCIACION[[#This Row],[$ CAPITAL]]&gt;0,FINANCIACION[[#This Row],[$ CAPITAL]])</f>
        <v>0</v>
      </c>
      <c r="J1628" s="33">
        <f>+IF(FINANCIACION[[#This Row],[$ CAPITAL]]&gt;=0,FINANCIACION[[#This Row],[$ CAPITAL]]+FINANCIACION[[#This Row],[$ INTERESES]],0)</f>
        <v>0</v>
      </c>
    </row>
    <row r="1629" spans="1:10" ht="24" hidden="1" customHeight="1" x14ac:dyDescent="0.3">
      <c r="A1629" s="131">
        <v>45244</v>
      </c>
      <c r="B1629" s="50" t="s">
        <v>543</v>
      </c>
      <c r="C1629" s="5"/>
      <c r="D1629" s="5">
        <v>130000</v>
      </c>
      <c r="E1629" s="5">
        <f>+IF(FINANCIACION[[#This Row],[$ CAPITAL]]&gt;=0,FINANCIACION[[#This Row],[$ CAPITAL]]+FINANCIACION[[#This Row],[$ INTERESES]],"")</f>
        <v>130000</v>
      </c>
      <c r="F1629" s="5">
        <f>+SUMIFS(FINANCIACION[$ CAPITAL],FINANCIACION[Fecha],"&lt;="&amp;FINANCIACION[[#This Row],[Fecha]],FINANCIACION[PRESTAMO],FINANCIACION[[#This Row],[PRESTAMO]])</f>
        <v>-13000000</v>
      </c>
      <c r="G1629" s="53"/>
      <c r="H1629" s="53"/>
      <c r="I1629" s="5" t="b">
        <f>+IF(FINANCIACION[[#This Row],[$ CAPITAL]]&gt;0,FINANCIACION[[#This Row],[$ CAPITAL]])</f>
        <v>0</v>
      </c>
      <c r="J1629" s="33">
        <f>+IF(FINANCIACION[[#This Row],[$ CAPITAL]]&gt;=0,FINANCIACION[[#This Row],[$ CAPITAL]]+FINANCIACION[[#This Row],[$ INTERESES]],0)</f>
        <v>130000</v>
      </c>
    </row>
    <row r="1630" spans="1:10" ht="24" customHeight="1" x14ac:dyDescent="0.3">
      <c r="A1630" s="131">
        <v>45271</v>
      </c>
      <c r="B1630" s="50" t="s">
        <v>543</v>
      </c>
      <c r="C1630" s="5"/>
      <c r="D1630" s="5">
        <v>130000</v>
      </c>
      <c r="E1630" s="5">
        <f>+IF(FINANCIACION[[#This Row],[$ CAPITAL]]&gt;=0,FINANCIACION[[#This Row],[$ CAPITAL]]+FINANCIACION[[#This Row],[$ INTERESES]],"")</f>
        <v>130000</v>
      </c>
      <c r="F1630" s="5">
        <f>+SUMIFS(FINANCIACION[$ CAPITAL],FINANCIACION[Fecha],"&lt;="&amp;FINANCIACION[[#This Row],[Fecha]],FINANCIACION[PRESTAMO],FINANCIACION[[#This Row],[PRESTAMO]])</f>
        <v>-13000000</v>
      </c>
      <c r="G1630" s="53"/>
      <c r="H1630" s="53"/>
      <c r="I1630" s="5" t="b">
        <f>+IF(FINANCIACION[[#This Row],[$ CAPITAL]]&gt;0,FINANCIACION[[#This Row],[$ CAPITAL]])</f>
        <v>0</v>
      </c>
      <c r="J1630" s="33">
        <f>+IF(FINANCIACION[[#This Row],[$ CAPITAL]]&gt;=0,FINANCIACION[[#This Row],[$ CAPITAL]]+FINANCIACION[[#This Row],[$ INTERESES]],0)</f>
        <v>130000</v>
      </c>
    </row>
    <row r="1631" spans="1:10" ht="24" hidden="1" customHeight="1" x14ac:dyDescent="0.3">
      <c r="A1631" s="131">
        <v>45244</v>
      </c>
      <c r="B1631" s="50" t="s">
        <v>1562</v>
      </c>
      <c r="C1631" s="5"/>
      <c r="D1631" s="5">
        <v>700000</v>
      </c>
      <c r="E1631" s="5">
        <f>+IF(FINANCIACION[[#This Row],[$ CAPITAL]]&gt;=0,FINANCIACION[[#This Row],[$ CAPITAL]]+FINANCIACION[[#This Row],[$ INTERESES]],"")</f>
        <v>700000</v>
      </c>
      <c r="F1631" s="5">
        <f>+SUMIFS(FINANCIACION[$ CAPITAL],FINANCIACION[Fecha],"&lt;="&amp;FINANCIACION[[#This Row],[Fecha]],FINANCIACION[PRESTAMO],FINANCIACION[[#This Row],[PRESTAMO]])</f>
        <v>-70000000</v>
      </c>
      <c r="G1631" s="53"/>
      <c r="H1631" s="53"/>
      <c r="I1631" s="5" t="b">
        <f>+IF(FINANCIACION[[#This Row],[$ CAPITAL]]&gt;0,FINANCIACION[[#This Row],[$ CAPITAL]])</f>
        <v>0</v>
      </c>
      <c r="J1631" s="33">
        <f>+IF(FINANCIACION[[#This Row],[$ CAPITAL]]&gt;=0,FINANCIACION[[#This Row],[$ CAPITAL]]+FINANCIACION[[#This Row],[$ INTERESES]],0)</f>
        <v>700000</v>
      </c>
    </row>
    <row r="1632" spans="1:10" ht="24" customHeight="1" x14ac:dyDescent="0.3">
      <c r="A1632" s="131">
        <v>45271</v>
      </c>
      <c r="B1632" s="50" t="s">
        <v>1562</v>
      </c>
      <c r="C1632" s="5"/>
      <c r="D1632" s="5">
        <v>700000</v>
      </c>
      <c r="E1632" s="5">
        <f>+IF(FINANCIACION[[#This Row],[$ CAPITAL]]&gt;=0,FINANCIACION[[#This Row],[$ CAPITAL]]+FINANCIACION[[#This Row],[$ INTERESES]],"")</f>
        <v>700000</v>
      </c>
      <c r="F1632" s="5">
        <f>+SUMIFS(FINANCIACION[$ CAPITAL],FINANCIACION[Fecha],"&lt;="&amp;FINANCIACION[[#This Row],[Fecha]],FINANCIACION[PRESTAMO],FINANCIACION[[#This Row],[PRESTAMO]])</f>
        <v>-70000000</v>
      </c>
      <c r="G1632" s="53"/>
      <c r="H1632" s="53"/>
      <c r="I1632" s="5" t="b">
        <f>+IF(FINANCIACION[[#This Row],[$ CAPITAL]]&gt;0,FINANCIACION[[#This Row],[$ CAPITAL]])</f>
        <v>0</v>
      </c>
      <c r="J1632" s="33">
        <f>+IF(FINANCIACION[[#This Row],[$ CAPITAL]]&gt;=0,FINANCIACION[[#This Row],[$ CAPITAL]]+FINANCIACION[[#This Row],[$ INTERESES]],0)</f>
        <v>700000</v>
      </c>
    </row>
    <row r="1633" spans="1:10" ht="24" hidden="1" customHeight="1" x14ac:dyDescent="0.3">
      <c r="A1633" s="131">
        <v>45232</v>
      </c>
      <c r="B1633" s="50" t="s">
        <v>537</v>
      </c>
      <c r="C1633" s="5"/>
      <c r="D1633" s="5">
        <f>28373+32860+32860+53200</f>
        <v>147293</v>
      </c>
      <c r="E1633" s="5">
        <f>+IF(FINANCIACION[[#This Row],[$ CAPITAL]]&gt;=0,FINANCIACION[[#This Row],[$ CAPITAL]]+FINANCIACION[[#This Row],[$ INTERESES]],"")</f>
        <v>147293</v>
      </c>
      <c r="F1633" s="5">
        <f>+SUMIFS(FINANCIACION[$ CAPITAL],FINANCIACION[Fecha],"&lt;="&amp;FINANCIACION[[#This Row],[Fecha]],FINANCIACION[PRESTAMO],FINANCIACION[[#This Row],[PRESTAMO]])</f>
        <v>-75000000</v>
      </c>
      <c r="G1633" s="53" t="s">
        <v>2212</v>
      </c>
      <c r="H1633" s="53"/>
      <c r="I1633" s="5" t="b">
        <f>+IF(FINANCIACION[[#This Row],[$ CAPITAL]]&gt;0,FINANCIACION[[#This Row],[$ CAPITAL]])</f>
        <v>0</v>
      </c>
      <c r="J1633" s="33">
        <f>+IF(FINANCIACION[[#This Row],[$ CAPITAL]]&gt;=0,FINANCIACION[[#This Row],[$ CAPITAL]]+FINANCIACION[[#This Row],[$ INTERESES]],0)</f>
        <v>147293</v>
      </c>
    </row>
    <row r="1634" spans="1:10" ht="24" customHeight="1" x14ac:dyDescent="0.3">
      <c r="A1634" s="131">
        <v>45263</v>
      </c>
      <c r="B1634" s="50" t="s">
        <v>537</v>
      </c>
      <c r="C1634" s="5"/>
      <c r="D1634" s="5">
        <v>289402</v>
      </c>
      <c r="E1634" s="5">
        <f>+IF(FINANCIACION[[#This Row],[$ CAPITAL]]&gt;=0,FINANCIACION[[#This Row],[$ CAPITAL]]+FINANCIACION[[#This Row],[$ INTERESES]],"")</f>
        <v>289402</v>
      </c>
      <c r="F1634" s="5">
        <f>+SUMIFS(FINANCIACION[$ CAPITAL],FINANCIACION[Fecha],"&lt;="&amp;FINANCIACION[[#This Row],[Fecha]],FINANCIACION[PRESTAMO],FINANCIACION[[#This Row],[PRESTAMO]])</f>
        <v>-75000000</v>
      </c>
      <c r="G1634" s="53" t="s">
        <v>2213</v>
      </c>
      <c r="H1634" s="53"/>
      <c r="I1634" s="5" t="b">
        <f>+IF(FINANCIACION[[#This Row],[$ CAPITAL]]&gt;0,FINANCIACION[[#This Row],[$ CAPITAL]])</f>
        <v>0</v>
      </c>
      <c r="J1634" s="33">
        <f>+IF(FINANCIACION[[#This Row],[$ CAPITAL]]&gt;=0,FINANCIACION[[#This Row],[$ CAPITAL]]+FINANCIACION[[#This Row],[$ INTERESES]],0)</f>
        <v>289402</v>
      </c>
    </row>
    <row r="1635" spans="1:10" ht="24" customHeight="1" x14ac:dyDescent="0.3">
      <c r="A1635" s="131">
        <v>45271</v>
      </c>
      <c r="B1635" s="50" t="s">
        <v>537</v>
      </c>
      <c r="C1635" s="5">
        <v>-5000000</v>
      </c>
      <c r="D1635" s="5"/>
      <c r="E1635" s="5" t="str">
        <f>+IF(FINANCIACION[[#This Row],[$ CAPITAL]]&gt;=0,FINANCIACION[[#This Row],[$ CAPITAL]]+FINANCIACION[[#This Row],[$ INTERESES]],"")</f>
        <v/>
      </c>
      <c r="F1635" s="5">
        <f>+SUMIFS(FINANCIACION[$ CAPITAL],FINANCIACION[Fecha],"&lt;="&amp;FINANCIACION[[#This Row],[Fecha]],FINANCIACION[PRESTAMO],FINANCIACION[[#This Row],[PRESTAMO]])</f>
        <v>-80000000</v>
      </c>
      <c r="G1635" s="53"/>
      <c r="H1635" s="53"/>
      <c r="I1635" s="5" t="b">
        <f>+IF(FINANCIACION[[#This Row],[$ CAPITAL]]&gt;0,FINANCIACION[[#This Row],[$ CAPITAL]])</f>
        <v>0</v>
      </c>
      <c r="J1635" s="33">
        <f>+IF(FINANCIACION[[#This Row],[$ CAPITAL]]&gt;=0,FINANCIACION[[#This Row],[$ CAPITAL]]+FINANCIACION[[#This Row],[$ INTERESES]],0)</f>
        <v>0</v>
      </c>
    </row>
    <row r="1636" spans="1:10" ht="24" customHeight="1" x14ac:dyDescent="0.3">
      <c r="A1636" s="131">
        <v>45272</v>
      </c>
      <c r="B1636" s="50" t="s">
        <v>537</v>
      </c>
      <c r="C1636" s="5"/>
      <c r="D1636" s="5">
        <f>9000000-147293-289402-5000000</f>
        <v>3563305</v>
      </c>
      <c r="E1636" s="5">
        <f>+IF(FINANCIACION[[#This Row],[$ CAPITAL]]&gt;=0,FINANCIACION[[#This Row],[$ CAPITAL]]+FINANCIACION[[#This Row],[$ INTERESES]],"")</f>
        <v>3563305</v>
      </c>
      <c r="F1636" s="5">
        <f>+SUMIFS(FINANCIACION[$ CAPITAL],FINANCIACION[Fecha],"&lt;="&amp;FINANCIACION[[#This Row],[Fecha]],FINANCIACION[PRESTAMO],FINANCIACION[[#This Row],[PRESTAMO]])</f>
        <v>-80000000</v>
      </c>
      <c r="G1636" s="53"/>
      <c r="H1636" s="53"/>
      <c r="I1636" s="5" t="b">
        <f>+IF(FINANCIACION[[#This Row],[$ CAPITAL]]&gt;0,FINANCIACION[[#This Row],[$ CAPITAL]])</f>
        <v>0</v>
      </c>
      <c r="J1636" s="33">
        <f>+IF(FINANCIACION[[#This Row],[$ CAPITAL]]&gt;=0,FINANCIACION[[#This Row],[$ CAPITAL]]+FINANCIACION[[#This Row],[$ INTERESES]],0)</f>
        <v>3563305</v>
      </c>
    </row>
    <row r="1637" spans="1:10" ht="24" hidden="1" customHeight="1" x14ac:dyDescent="0.3">
      <c r="A1637" s="131">
        <v>44928</v>
      </c>
      <c r="B1637" s="50" t="s">
        <v>537</v>
      </c>
      <c r="C1637" s="5"/>
      <c r="D1637" s="5">
        <v>197070</v>
      </c>
      <c r="E1637" s="5">
        <f>+IF(FINANCIACION[[#This Row],[$ CAPITAL]]&gt;=0,FINANCIACION[[#This Row],[$ CAPITAL]]+FINANCIACION[[#This Row],[$ INTERESES]],"")</f>
        <v>197070</v>
      </c>
      <c r="F1637" s="5">
        <f>+SUMIFS(FINANCIACION[$ CAPITAL],FINANCIACION[Fecha],"&lt;="&amp;FINANCIACION[[#This Row],[Fecha]],FINANCIACION[PRESTAMO],FINANCIACION[[#This Row],[PRESTAMO]])</f>
        <v>-75000000</v>
      </c>
      <c r="G1637" s="53" t="s">
        <v>2324</v>
      </c>
      <c r="H1637" s="53"/>
      <c r="I1637" s="5" t="b">
        <f>+IF(FINANCIACION[[#This Row],[$ CAPITAL]]&gt;0,FINANCIACION[[#This Row],[$ CAPITAL]])</f>
        <v>0</v>
      </c>
      <c r="J1637" s="33">
        <f>+IF(FINANCIACION[[#This Row],[$ CAPITAL]]&gt;=0,FINANCIACION[[#This Row],[$ CAPITAL]]+FINANCIACION[[#This Row],[$ INTERESES]],0)</f>
        <v>197070</v>
      </c>
    </row>
    <row r="1638" spans="1:10" ht="24" hidden="1" customHeight="1" x14ac:dyDescent="0.3">
      <c r="A1638" s="131">
        <v>45244</v>
      </c>
      <c r="B1638" s="50" t="s">
        <v>547</v>
      </c>
      <c r="C1638" s="5"/>
      <c r="D1638" s="5">
        <v>350000</v>
      </c>
      <c r="E1638" s="5">
        <f>+IF(FINANCIACION[[#This Row],[$ CAPITAL]]&gt;=0,FINANCIACION[[#This Row],[$ CAPITAL]]+FINANCIACION[[#This Row],[$ INTERESES]],"")</f>
        <v>350000</v>
      </c>
      <c r="F1638" s="5">
        <f>+SUMIFS(FINANCIACION[$ CAPITAL],FINANCIACION[Fecha],"&lt;="&amp;FINANCIACION[[#This Row],[Fecha]],FINANCIACION[PRESTAMO],FINANCIACION[[#This Row],[PRESTAMO]])</f>
        <v>-35000000</v>
      </c>
      <c r="G1638" s="53"/>
      <c r="H1638" s="53"/>
      <c r="I1638" s="5" t="b">
        <f>+IF(FINANCIACION[[#This Row],[$ CAPITAL]]&gt;0,FINANCIACION[[#This Row],[$ CAPITAL]])</f>
        <v>0</v>
      </c>
      <c r="J1638" s="33">
        <f>+IF(FINANCIACION[[#This Row],[$ CAPITAL]]&gt;=0,FINANCIACION[[#This Row],[$ CAPITAL]]+FINANCIACION[[#This Row],[$ INTERESES]],0)</f>
        <v>350000</v>
      </c>
    </row>
    <row r="1639" spans="1:10" ht="24" customHeight="1" x14ac:dyDescent="0.3">
      <c r="A1639" s="131">
        <v>45271</v>
      </c>
      <c r="B1639" s="50" t="s">
        <v>547</v>
      </c>
      <c r="C1639" s="5"/>
      <c r="D1639" s="5">
        <v>350000</v>
      </c>
      <c r="E1639" s="5">
        <f>+IF(FINANCIACION[[#This Row],[$ CAPITAL]]&gt;=0,FINANCIACION[[#This Row],[$ CAPITAL]]+FINANCIACION[[#This Row],[$ INTERESES]],"")</f>
        <v>350000</v>
      </c>
      <c r="F1639" s="5">
        <f>+SUMIFS(FINANCIACION[$ CAPITAL],FINANCIACION[Fecha],"&lt;="&amp;FINANCIACION[[#This Row],[Fecha]],FINANCIACION[PRESTAMO],FINANCIACION[[#This Row],[PRESTAMO]])</f>
        <v>-35000000</v>
      </c>
      <c r="G1639" s="53"/>
      <c r="H1639" s="53"/>
      <c r="I1639" s="5" t="b">
        <f>+IF(FINANCIACION[[#This Row],[$ CAPITAL]]&gt;0,FINANCIACION[[#This Row],[$ CAPITAL]])</f>
        <v>0</v>
      </c>
      <c r="J1639" s="33">
        <f>+IF(FINANCIACION[[#This Row],[$ CAPITAL]]&gt;=0,FINANCIACION[[#This Row],[$ CAPITAL]]+FINANCIACION[[#This Row],[$ INTERESES]],0)</f>
        <v>350000</v>
      </c>
    </row>
    <row r="1640" spans="1:10" ht="24" hidden="1" customHeight="1" x14ac:dyDescent="0.3">
      <c r="A1640" s="131">
        <v>45244</v>
      </c>
      <c r="B1640" s="50" t="s">
        <v>532</v>
      </c>
      <c r="C1640" s="5">
        <v>689864</v>
      </c>
      <c r="D1640" s="5">
        <v>310136</v>
      </c>
      <c r="E1640" s="5">
        <f>+IF(FINANCIACION[[#This Row],[$ CAPITAL]]&gt;=0,FINANCIACION[[#This Row],[$ CAPITAL]]+FINANCIACION[[#This Row],[$ INTERESES]],"")</f>
        <v>1000000</v>
      </c>
      <c r="F1640" s="5">
        <f>+SUMIFS(FINANCIACION[$ CAPITAL],FINANCIACION[Fecha],"&lt;="&amp;FINANCIACION[[#This Row],[Fecha]],FINANCIACION[PRESTAMO],FINANCIACION[[#This Row],[PRESTAMO]])</f>
        <v>-30323451.514479995</v>
      </c>
      <c r="G1640" s="53"/>
      <c r="H1640" s="53"/>
      <c r="I1640" s="5">
        <f>+IF(FINANCIACION[[#This Row],[$ CAPITAL]]&gt;0,FINANCIACION[[#This Row],[$ CAPITAL]])</f>
        <v>689864</v>
      </c>
      <c r="J1640" s="33">
        <f>+IF(FINANCIACION[[#This Row],[$ CAPITAL]]&gt;=0,FINANCIACION[[#This Row],[$ CAPITAL]]+FINANCIACION[[#This Row],[$ INTERESES]],0)</f>
        <v>1000000</v>
      </c>
    </row>
    <row r="1641" spans="1:10" ht="24" customHeight="1" x14ac:dyDescent="0.3">
      <c r="A1641" s="131">
        <v>45271</v>
      </c>
      <c r="B1641" s="50" t="s">
        <v>532</v>
      </c>
      <c r="C1641" s="5">
        <v>696765</v>
      </c>
      <c r="D1641" s="5">
        <v>303235</v>
      </c>
      <c r="E1641" s="5">
        <f>+IF(FINANCIACION[[#This Row],[$ CAPITAL]]&gt;=0,FINANCIACION[[#This Row],[$ CAPITAL]]+FINANCIACION[[#This Row],[$ INTERESES]],"")</f>
        <v>1000000</v>
      </c>
      <c r="F1641" s="5">
        <f>+SUMIFS(FINANCIACION[$ CAPITAL],FINANCIACION[Fecha],"&lt;="&amp;FINANCIACION[[#This Row],[Fecha]],FINANCIACION[PRESTAMO],FINANCIACION[[#This Row],[PRESTAMO]])</f>
        <v>-29626686.514479995</v>
      </c>
      <c r="G1641" s="53"/>
      <c r="H1641" s="53"/>
      <c r="I1641" s="5">
        <f>+IF(FINANCIACION[[#This Row],[$ CAPITAL]]&gt;0,FINANCIACION[[#This Row],[$ CAPITAL]])</f>
        <v>696765</v>
      </c>
      <c r="J1641" s="33">
        <f>+IF(FINANCIACION[[#This Row],[$ CAPITAL]]&gt;=0,FINANCIACION[[#This Row],[$ CAPITAL]]+FINANCIACION[[#This Row],[$ INTERESES]],0)</f>
        <v>1000000</v>
      </c>
    </row>
    <row r="1642" spans="1:10" ht="24" hidden="1" customHeight="1" x14ac:dyDescent="0.3">
      <c r="A1642" s="131">
        <v>45232</v>
      </c>
      <c r="B1642" s="50" t="s">
        <v>549</v>
      </c>
      <c r="C1642" s="5">
        <v>-30000000</v>
      </c>
      <c r="D1642" s="5"/>
      <c r="E1642" s="5" t="str">
        <f>+IF(FINANCIACION[[#This Row],[$ CAPITAL]]&gt;=0,FINANCIACION[[#This Row],[$ CAPITAL]]+FINANCIACION[[#This Row],[$ INTERESES]],"")</f>
        <v/>
      </c>
      <c r="F1642" s="5">
        <f>+SUMIFS(FINANCIACION[$ CAPITAL],FINANCIACION[Fecha],"&lt;="&amp;FINANCIACION[[#This Row],[Fecha]],FINANCIACION[PRESTAMO],FINANCIACION[[#This Row],[PRESTAMO]])</f>
        <v>-30000000</v>
      </c>
      <c r="G1642" s="53"/>
      <c r="H1642" s="53"/>
      <c r="I1642" s="5" t="b">
        <f>+IF(FINANCIACION[[#This Row],[$ CAPITAL]]&gt;0,FINANCIACION[[#This Row],[$ CAPITAL]])</f>
        <v>0</v>
      </c>
      <c r="J1642" s="33">
        <f>+IF(FINANCIACION[[#This Row],[$ CAPITAL]]&gt;=0,FINANCIACION[[#This Row],[$ CAPITAL]]+FINANCIACION[[#This Row],[$ INTERESES]],0)</f>
        <v>0</v>
      </c>
    </row>
    <row r="1643" spans="1:10" ht="24" customHeight="1" x14ac:dyDescent="0.3">
      <c r="A1643" s="131">
        <v>45264</v>
      </c>
      <c r="B1643" s="50" t="s">
        <v>549</v>
      </c>
      <c r="C1643" s="5"/>
      <c r="D1643" s="5">
        <v>300000</v>
      </c>
      <c r="E1643" s="5">
        <f>+IF(FINANCIACION[[#This Row],[$ CAPITAL]]&gt;=0,FINANCIACION[[#This Row],[$ CAPITAL]]+FINANCIACION[[#This Row],[$ INTERESES]],"")</f>
        <v>300000</v>
      </c>
      <c r="F1643" s="5">
        <f>+SUMIFS(FINANCIACION[$ CAPITAL],FINANCIACION[Fecha],"&lt;="&amp;FINANCIACION[[#This Row],[Fecha]],FINANCIACION[PRESTAMO],FINANCIACION[[#This Row],[PRESTAMO]])</f>
        <v>-30000000</v>
      </c>
      <c r="G1643" s="53"/>
      <c r="H1643" s="53"/>
      <c r="I1643" s="5" t="b">
        <f>+IF(FINANCIACION[[#This Row],[$ CAPITAL]]&gt;0,FINANCIACION[[#This Row],[$ CAPITAL]])</f>
        <v>0</v>
      </c>
      <c r="J1643" s="33">
        <f>+IF(FINANCIACION[[#This Row],[$ CAPITAL]]&gt;=0,FINANCIACION[[#This Row],[$ CAPITAL]]+FINANCIACION[[#This Row],[$ INTERESES]],0)</f>
        <v>300000</v>
      </c>
    </row>
    <row r="1644" spans="1:10" ht="24" hidden="1" customHeight="1" x14ac:dyDescent="0.3">
      <c r="A1644" s="131">
        <v>45293</v>
      </c>
      <c r="B1644" s="50" t="s">
        <v>549</v>
      </c>
      <c r="C1644" s="5"/>
      <c r="D1644" s="5">
        <v>300000</v>
      </c>
      <c r="E1644" s="5">
        <f>+IF(FINANCIACION[[#This Row],[$ CAPITAL]]&gt;=0,FINANCIACION[[#This Row],[$ CAPITAL]]+FINANCIACION[[#This Row],[$ INTERESES]],"")</f>
        <v>300000</v>
      </c>
      <c r="F1644" s="5">
        <f>+SUMIFS(FINANCIACION[$ CAPITAL],FINANCIACION[Fecha],"&lt;="&amp;FINANCIACION[[#This Row],[Fecha]],FINANCIACION[PRESTAMO],FINANCIACION[[#This Row],[PRESTAMO]])</f>
        <v>-30000000</v>
      </c>
      <c r="G1644" s="53"/>
      <c r="H1644" s="53"/>
      <c r="I1644" s="5" t="b">
        <f>+IF(FINANCIACION[[#This Row],[$ CAPITAL]]&gt;0,FINANCIACION[[#This Row],[$ CAPITAL]])</f>
        <v>0</v>
      </c>
      <c r="J1644" s="33">
        <f>+IF(FINANCIACION[[#This Row],[$ CAPITAL]]&gt;=0,FINANCIACION[[#This Row],[$ CAPITAL]]+FINANCIACION[[#This Row],[$ INTERESES]],0)</f>
        <v>300000</v>
      </c>
    </row>
    <row r="1645" spans="1:10" ht="24" hidden="1" customHeight="1" x14ac:dyDescent="0.3">
      <c r="A1645" s="131">
        <v>45244</v>
      </c>
      <c r="B1645" s="50" t="s">
        <v>536</v>
      </c>
      <c r="C1645" s="5">
        <v>1167024</v>
      </c>
      <c r="D1645" s="5">
        <v>132976</v>
      </c>
      <c r="E1645" s="5">
        <f>+IF(FINANCIACION[[#This Row],[$ CAPITAL]]&gt;=0,FINANCIACION[[#This Row],[$ CAPITAL]]+FINANCIACION[[#This Row],[$ INTERESES]],"")</f>
        <v>1300000</v>
      </c>
      <c r="F1645" s="5">
        <f>+SUMIFS(FINANCIACION[$ CAPITAL],FINANCIACION[Fecha],"&lt;="&amp;FINANCIACION[[#This Row],[Fecha]],FINANCIACION[PRESTAMO],FINANCIACION[[#This Row],[PRESTAMO]])</f>
        <v>-12130584.05175975</v>
      </c>
      <c r="G1645" s="53"/>
      <c r="H1645" s="53"/>
      <c r="I1645" s="5">
        <f>+IF(FINANCIACION[[#This Row],[$ CAPITAL]]&gt;0,FINANCIACION[[#This Row],[$ CAPITAL]])</f>
        <v>1167024</v>
      </c>
      <c r="J1645" s="33">
        <f>+IF(FINANCIACION[[#This Row],[$ CAPITAL]]&gt;=0,FINANCIACION[[#This Row],[$ CAPITAL]]+FINANCIACION[[#This Row],[$ INTERESES]],0)</f>
        <v>1300000</v>
      </c>
    </row>
    <row r="1646" spans="1:10" ht="24" customHeight="1" x14ac:dyDescent="0.3">
      <c r="A1646" s="131">
        <v>45271</v>
      </c>
      <c r="B1646" s="50" t="s">
        <v>536</v>
      </c>
      <c r="C1646" s="5">
        <v>1178694</v>
      </c>
      <c r="D1646" s="5">
        <v>121306</v>
      </c>
      <c r="E1646" s="5">
        <f>+IF(FINANCIACION[[#This Row],[$ CAPITAL]]&gt;=0,FINANCIACION[[#This Row],[$ CAPITAL]]+FINANCIACION[[#This Row],[$ INTERESES]],"")</f>
        <v>1300000</v>
      </c>
      <c r="F1646" s="5">
        <f>+SUMIFS(FINANCIACION[$ CAPITAL],FINANCIACION[Fecha],"&lt;="&amp;FINANCIACION[[#This Row],[Fecha]],FINANCIACION[PRESTAMO],FINANCIACION[[#This Row],[PRESTAMO]])</f>
        <v>-10951890.05175975</v>
      </c>
      <c r="G1646" s="53"/>
      <c r="H1646" s="53"/>
      <c r="I1646" s="5">
        <f>+IF(FINANCIACION[[#This Row],[$ CAPITAL]]&gt;0,FINANCIACION[[#This Row],[$ CAPITAL]])</f>
        <v>1178694</v>
      </c>
      <c r="J1646" s="33">
        <f>+IF(FINANCIACION[[#This Row],[$ CAPITAL]]&gt;=0,FINANCIACION[[#This Row],[$ CAPITAL]]+FINANCIACION[[#This Row],[$ INTERESES]],0)</f>
        <v>1300000</v>
      </c>
    </row>
    <row r="1647" spans="1:10" ht="24" hidden="1" customHeight="1" x14ac:dyDescent="0.3">
      <c r="A1647" s="131">
        <v>45244</v>
      </c>
      <c r="B1647" s="50" t="s">
        <v>533</v>
      </c>
      <c r="C1647" s="5">
        <v>1564521</v>
      </c>
      <c r="D1647" s="5">
        <v>435479</v>
      </c>
      <c r="E1647" s="5">
        <f>+IF(FINANCIACION[[#This Row],[$ CAPITAL]]&gt;=0,FINANCIACION[[#This Row],[$ CAPITAL]]+FINANCIACION[[#This Row],[$ INTERESES]],"")</f>
        <v>2000000</v>
      </c>
      <c r="F1647" s="5">
        <f>+SUMIFS(FINANCIACION[$ CAPITAL],FINANCIACION[Fecha],"&lt;="&amp;FINANCIACION[[#This Row],[Fecha]],FINANCIACION[PRESTAMO],FINANCIACION[[#This Row],[PRESTAMO]])</f>
        <v>-41983431.97283452</v>
      </c>
      <c r="G1647" s="53"/>
      <c r="H1647" s="53"/>
      <c r="I1647" s="5">
        <f>+IF(FINANCIACION[[#This Row],[$ CAPITAL]]&gt;0,FINANCIACION[[#This Row],[$ CAPITAL]])</f>
        <v>1564521</v>
      </c>
      <c r="J1647" s="33">
        <f>+IF(FINANCIACION[[#This Row],[$ CAPITAL]]&gt;=0,FINANCIACION[[#This Row],[$ CAPITAL]]+FINANCIACION[[#This Row],[$ INTERESES]],0)</f>
        <v>2000000</v>
      </c>
    </row>
    <row r="1648" spans="1:10" ht="24" customHeight="1" x14ac:dyDescent="0.3">
      <c r="A1648" s="131">
        <v>45271</v>
      </c>
      <c r="B1648" s="50" t="s">
        <v>533</v>
      </c>
      <c r="C1648" s="5">
        <v>1580166</v>
      </c>
      <c r="D1648" s="5">
        <v>419834</v>
      </c>
      <c r="E1648" s="5">
        <f>+IF(FINANCIACION[[#This Row],[$ CAPITAL]]&gt;=0,FINANCIACION[[#This Row],[$ CAPITAL]]+FINANCIACION[[#This Row],[$ INTERESES]],"")</f>
        <v>2000000</v>
      </c>
      <c r="F1648" s="5">
        <f>+SUMIFS(FINANCIACION[$ CAPITAL],FINANCIACION[Fecha],"&lt;="&amp;FINANCIACION[[#This Row],[Fecha]],FINANCIACION[PRESTAMO],FINANCIACION[[#This Row],[PRESTAMO]])</f>
        <v>-40403265.97283452</v>
      </c>
      <c r="G1648" s="53"/>
      <c r="H1648" s="53"/>
      <c r="I1648" s="5">
        <f>+IF(FINANCIACION[[#This Row],[$ CAPITAL]]&gt;0,FINANCIACION[[#This Row],[$ CAPITAL]])</f>
        <v>1580166</v>
      </c>
      <c r="J1648" s="33">
        <f>+IF(FINANCIACION[[#This Row],[$ CAPITAL]]&gt;=0,FINANCIACION[[#This Row],[$ CAPITAL]]+FINANCIACION[[#This Row],[$ INTERESES]],0)</f>
        <v>2000000</v>
      </c>
    </row>
    <row r="1649" spans="1:10" ht="24" hidden="1" customHeight="1" x14ac:dyDescent="0.3">
      <c r="A1649" s="131">
        <v>45251</v>
      </c>
      <c r="B1649" s="50" t="s">
        <v>563</v>
      </c>
      <c r="C1649" s="5"/>
      <c r="D1649" s="5">
        <v>1400000</v>
      </c>
      <c r="E1649" s="5">
        <f>+IF(FINANCIACION[[#This Row],[$ CAPITAL]]&gt;=0,FINANCIACION[[#This Row],[$ CAPITAL]]+FINANCIACION[[#This Row],[$ INTERESES]],"")</f>
        <v>1400000</v>
      </c>
      <c r="F1649" s="5">
        <f>+SUMIFS(FINANCIACION[$ CAPITAL],FINANCIACION[Fecha],"&lt;="&amp;FINANCIACION[[#This Row],[Fecha]],FINANCIACION[PRESTAMO],FINANCIACION[[#This Row],[PRESTAMO]])</f>
        <v>-140000000</v>
      </c>
      <c r="G1649" s="53"/>
      <c r="H1649" s="53"/>
      <c r="I1649" s="5" t="b">
        <f>+IF(FINANCIACION[[#This Row],[$ CAPITAL]]&gt;0,FINANCIACION[[#This Row],[$ CAPITAL]])</f>
        <v>0</v>
      </c>
      <c r="J1649" s="33">
        <f>+IF(FINANCIACION[[#This Row],[$ CAPITAL]]&gt;=0,FINANCIACION[[#This Row],[$ CAPITAL]]+FINANCIACION[[#This Row],[$ INTERESES]],0)</f>
        <v>1400000</v>
      </c>
    </row>
    <row r="1650" spans="1:10" ht="24" customHeight="1" x14ac:dyDescent="0.3">
      <c r="A1650" s="131">
        <v>45281</v>
      </c>
      <c r="B1650" s="50" t="s">
        <v>563</v>
      </c>
      <c r="C1650" s="5"/>
      <c r="D1650" s="5">
        <v>1400000</v>
      </c>
      <c r="E1650" s="5">
        <f>+IF(FINANCIACION[[#This Row],[$ CAPITAL]]&gt;=0,FINANCIACION[[#This Row],[$ CAPITAL]]+FINANCIACION[[#This Row],[$ INTERESES]],"")</f>
        <v>1400000</v>
      </c>
      <c r="F1650" s="5">
        <f>+SUMIFS(FINANCIACION[$ CAPITAL],FINANCIACION[Fecha],"&lt;="&amp;FINANCIACION[[#This Row],[Fecha]],FINANCIACION[PRESTAMO],FINANCIACION[[#This Row],[PRESTAMO]])</f>
        <v>-140000000</v>
      </c>
      <c r="G1650" s="53"/>
      <c r="H1650" s="53"/>
      <c r="I1650" s="5" t="b">
        <f>+IF(FINANCIACION[[#This Row],[$ CAPITAL]]&gt;0,FINANCIACION[[#This Row],[$ CAPITAL]])</f>
        <v>0</v>
      </c>
      <c r="J1650" s="33">
        <f>+IF(FINANCIACION[[#This Row],[$ CAPITAL]]&gt;=0,FINANCIACION[[#This Row],[$ CAPITAL]]+FINANCIACION[[#This Row],[$ INTERESES]],0)</f>
        <v>1400000</v>
      </c>
    </row>
    <row r="1651" spans="1:10" ht="24" hidden="1" customHeight="1" x14ac:dyDescent="0.3">
      <c r="A1651" s="131">
        <v>45237</v>
      </c>
      <c r="B1651" s="50" t="s">
        <v>545</v>
      </c>
      <c r="C1651" s="5"/>
      <c r="D1651" s="5">
        <v>120000</v>
      </c>
      <c r="E1651" s="5">
        <f>+IF(FINANCIACION[[#This Row],[$ CAPITAL]]&gt;=0,FINANCIACION[[#This Row],[$ CAPITAL]]+FINANCIACION[[#This Row],[$ INTERESES]],"")</f>
        <v>120000</v>
      </c>
      <c r="F1651" s="5">
        <f>+SUMIFS(FINANCIACION[$ CAPITAL],FINANCIACION[Fecha],"&lt;="&amp;FINANCIACION[[#This Row],[Fecha]],FINANCIACION[PRESTAMO],FINANCIACION[[#This Row],[PRESTAMO]])</f>
        <v>0</v>
      </c>
      <c r="G1651" s="53"/>
      <c r="H1651" s="53"/>
      <c r="I1651" s="5" t="b">
        <f>+IF(FINANCIACION[[#This Row],[$ CAPITAL]]&gt;0,FINANCIACION[[#This Row],[$ CAPITAL]])</f>
        <v>0</v>
      </c>
      <c r="J1651" s="33">
        <f>+IF(FINANCIACION[[#This Row],[$ CAPITAL]]&gt;=0,FINANCIACION[[#This Row],[$ CAPITAL]]+FINANCIACION[[#This Row],[$ INTERESES]],0)</f>
        <v>120000</v>
      </c>
    </row>
    <row r="1652" spans="1:10" ht="24" hidden="1" customHeight="1" x14ac:dyDescent="0.3">
      <c r="A1652" s="131">
        <v>45237</v>
      </c>
      <c r="B1652" s="50" t="s">
        <v>545</v>
      </c>
      <c r="C1652" s="5">
        <v>12000000</v>
      </c>
      <c r="D1652" s="5"/>
      <c r="E1652" s="5">
        <f>+IF(FINANCIACION[[#This Row],[$ CAPITAL]]&gt;=0,FINANCIACION[[#This Row],[$ CAPITAL]]+FINANCIACION[[#This Row],[$ INTERESES]],"")</f>
        <v>12000000</v>
      </c>
      <c r="F1652" s="5">
        <f>+SUMIFS(FINANCIACION[$ CAPITAL],FINANCIACION[Fecha],"&lt;="&amp;FINANCIACION[[#This Row],[Fecha]],FINANCIACION[PRESTAMO],FINANCIACION[[#This Row],[PRESTAMO]])</f>
        <v>0</v>
      </c>
      <c r="G1652" s="53"/>
      <c r="H1652" s="53"/>
      <c r="I1652" s="5">
        <f>+IF(FINANCIACION[[#This Row],[$ CAPITAL]]&gt;0,FINANCIACION[[#This Row],[$ CAPITAL]])</f>
        <v>12000000</v>
      </c>
      <c r="J1652" s="33">
        <f>+IF(FINANCIACION[[#This Row],[$ CAPITAL]]&gt;=0,FINANCIACION[[#This Row],[$ CAPITAL]]+FINANCIACION[[#This Row],[$ INTERESES]],0)</f>
        <v>12000000</v>
      </c>
    </row>
    <row r="1653" spans="1:10" ht="24" hidden="1" customHeight="1" x14ac:dyDescent="0.3">
      <c r="A1653" s="131">
        <v>45260</v>
      </c>
      <c r="B1653" s="50" t="s">
        <v>146</v>
      </c>
      <c r="C1653" s="389">
        <v>1468400</v>
      </c>
      <c r="D1653" s="5">
        <v>134819</v>
      </c>
      <c r="E1653" s="5">
        <f>+IF(FINANCIACION[[#This Row],[$ CAPITAL]]&gt;=0,FINANCIACION[[#This Row],[$ CAPITAL]]+FINANCIACION[[#This Row],[$ INTERESES]],"")</f>
        <v>1603219</v>
      </c>
      <c r="F1653" s="5">
        <f>+SUMIFS(FINANCIACION[$ CAPITAL],FINANCIACION[Fecha],"&lt;="&amp;FINANCIACION[[#This Row],[Fecha]],FINANCIACION[PRESTAMO],FINANCIACION[[#This Row],[PRESTAMO]])</f>
        <v>-5873600</v>
      </c>
      <c r="G1653" s="53"/>
      <c r="H1653" s="53"/>
      <c r="I1653" s="5">
        <f>+IF(FINANCIACION[[#This Row],[$ CAPITAL]]&gt;0,FINANCIACION[[#This Row],[$ CAPITAL]])</f>
        <v>1468400</v>
      </c>
      <c r="J1653" s="33">
        <f>+IF(FINANCIACION[[#This Row],[$ CAPITAL]]&gt;=0,FINANCIACION[[#This Row],[$ CAPITAL]]+FINANCIACION[[#This Row],[$ INTERESES]],0)</f>
        <v>1603219</v>
      </c>
    </row>
    <row r="1654" spans="1:10" ht="24" customHeight="1" x14ac:dyDescent="0.3">
      <c r="A1654" s="131">
        <v>45291</v>
      </c>
      <c r="B1654" s="50" t="s">
        <v>146</v>
      </c>
      <c r="C1654" s="5">
        <v>0</v>
      </c>
      <c r="D1654" s="5">
        <v>0</v>
      </c>
      <c r="E1654" s="5">
        <f>+IF(FINANCIACION[[#This Row],[$ CAPITAL]]&gt;=0,FINANCIACION[[#This Row],[$ CAPITAL]]+FINANCIACION[[#This Row],[$ INTERESES]],"")</f>
        <v>0</v>
      </c>
      <c r="F1654" s="5">
        <f>+SUMIFS(FINANCIACION[$ CAPITAL],FINANCIACION[Fecha],"&lt;="&amp;FINANCIACION[[#This Row],[Fecha]],FINANCIACION[PRESTAMO],FINANCIACION[[#This Row],[PRESTAMO]])</f>
        <v>-5873600</v>
      </c>
      <c r="G1654" s="53"/>
      <c r="H1654" s="53"/>
      <c r="I1654" s="5" t="b">
        <f>+IF(FINANCIACION[[#This Row],[$ CAPITAL]]&gt;0,FINANCIACION[[#This Row],[$ CAPITAL]])</f>
        <v>0</v>
      </c>
      <c r="J1654" s="33">
        <f>+IF(FINANCIACION[[#This Row],[$ CAPITAL]]&gt;=0,FINANCIACION[[#This Row],[$ CAPITAL]]+FINANCIACION[[#This Row],[$ INTERESES]],0)</f>
        <v>0</v>
      </c>
    </row>
    <row r="1655" spans="1:10" ht="24" hidden="1" customHeight="1" x14ac:dyDescent="0.3">
      <c r="A1655" s="131">
        <v>45239</v>
      </c>
      <c r="B1655" s="50" t="s">
        <v>1487</v>
      </c>
      <c r="C1655" s="254">
        <v>1889477</v>
      </c>
      <c r="D1655" s="5">
        <v>103156</v>
      </c>
      <c r="E1655" s="5">
        <f>+IF(FINANCIACION[[#This Row],[$ CAPITAL]]&gt;=0,FINANCIACION[[#This Row],[$ CAPITAL]]+FINANCIACION[[#This Row],[$ INTERESES]],"")</f>
        <v>1992633</v>
      </c>
      <c r="F1655" s="5">
        <f>+SUMIFS(FINANCIACION[$ CAPITAL],FINANCIACION[Fecha],"&lt;="&amp;FINANCIACION[[#This Row],[Fecha]],FINANCIACION[PRESTAMO],FINANCIACION[[#This Row],[PRESTAMO]])</f>
        <v>-5668431</v>
      </c>
      <c r="G1655" s="53"/>
      <c r="H1655" s="53"/>
      <c r="I1655" s="5">
        <f>+IF(FINANCIACION[[#This Row],[$ CAPITAL]]&gt;0,FINANCIACION[[#This Row],[$ CAPITAL]])</f>
        <v>1889477</v>
      </c>
      <c r="J1655" s="33">
        <f>+IF(FINANCIACION[[#This Row],[$ CAPITAL]]&gt;=0,FINANCIACION[[#This Row],[$ CAPITAL]]+FINANCIACION[[#This Row],[$ INTERESES]],0)</f>
        <v>1992633</v>
      </c>
    </row>
    <row r="1656" spans="1:10" ht="24" customHeight="1" x14ac:dyDescent="0.3">
      <c r="A1656" s="131">
        <v>45271</v>
      </c>
      <c r="B1656" s="50" t="s">
        <v>1487</v>
      </c>
      <c r="C1656" s="5">
        <v>1889477</v>
      </c>
      <c r="D1656" s="5">
        <v>103156</v>
      </c>
      <c r="E1656" s="5">
        <f>+IF(FINANCIACION[[#This Row],[$ CAPITAL]]&gt;=0,FINANCIACION[[#This Row],[$ CAPITAL]]+FINANCIACION[[#This Row],[$ INTERESES]],"")</f>
        <v>1992633</v>
      </c>
      <c r="F1656" s="5">
        <f>+SUMIFS(FINANCIACION[$ CAPITAL],FINANCIACION[Fecha],"&lt;="&amp;FINANCIACION[[#This Row],[Fecha]],FINANCIACION[PRESTAMO],FINANCIACION[[#This Row],[PRESTAMO]])</f>
        <v>-3778954</v>
      </c>
      <c r="G1656" s="53"/>
      <c r="H1656" s="53"/>
      <c r="I1656" s="5">
        <f>+IF(FINANCIACION[[#This Row],[$ CAPITAL]]&gt;0,FINANCIACION[[#This Row],[$ CAPITAL]])</f>
        <v>1889477</v>
      </c>
      <c r="J1656" s="33">
        <f>+IF(FINANCIACION[[#This Row],[$ CAPITAL]]&gt;=0,FINANCIACION[[#This Row],[$ CAPITAL]]+FINANCIACION[[#This Row],[$ INTERESES]],0)</f>
        <v>1992633</v>
      </c>
    </row>
    <row r="1657" spans="1:10" ht="24" hidden="1" customHeight="1" x14ac:dyDescent="0.3">
      <c r="A1657" s="131">
        <v>45244</v>
      </c>
      <c r="B1657" s="50" t="s">
        <v>148</v>
      </c>
      <c r="C1657" s="5"/>
      <c r="D1657" s="5">
        <v>768358</v>
      </c>
      <c r="E1657" s="5">
        <f>+IF(FINANCIACION[[#This Row],[$ CAPITAL]]&gt;=0,FINANCIACION[[#This Row],[$ CAPITAL]]+FINANCIACION[[#This Row],[$ INTERESES]],"")</f>
        <v>768358</v>
      </c>
      <c r="F1657" s="5">
        <f>+SUMIFS(FINANCIACION[$ CAPITAL],FINANCIACION[Fecha],"&lt;="&amp;FINANCIACION[[#This Row],[Fecha]],FINANCIACION[PRESTAMO],FINANCIACION[[#This Row],[PRESTAMO]])</f>
        <v>0</v>
      </c>
      <c r="G1657" s="53"/>
      <c r="H1657" s="53"/>
      <c r="I1657" s="5" t="b">
        <f>+IF(FINANCIACION[[#This Row],[$ CAPITAL]]&gt;0,FINANCIACION[[#This Row],[$ CAPITAL]])</f>
        <v>0</v>
      </c>
      <c r="J1657" s="33">
        <f>+IF(FINANCIACION[[#This Row],[$ CAPITAL]]&gt;=0,FINANCIACION[[#This Row],[$ CAPITAL]]+FINANCIACION[[#This Row],[$ INTERESES]],0)</f>
        <v>768358</v>
      </c>
    </row>
    <row r="1658" spans="1:10" ht="24" hidden="1" customHeight="1" x14ac:dyDescent="0.3">
      <c r="A1658" s="131">
        <v>45245</v>
      </c>
      <c r="B1658" s="50" t="s">
        <v>148</v>
      </c>
      <c r="C1658" s="5"/>
      <c r="D1658" s="5">
        <v>521764</v>
      </c>
      <c r="E1658" s="5">
        <f>+IF(FINANCIACION[[#This Row],[$ CAPITAL]]&gt;=0,FINANCIACION[[#This Row],[$ CAPITAL]]+FINANCIACION[[#This Row],[$ INTERESES]],"")</f>
        <v>521764</v>
      </c>
      <c r="F1658" s="5">
        <f>+SUMIFS(FINANCIACION[$ CAPITAL],FINANCIACION[Fecha],"&lt;="&amp;FINANCIACION[[#This Row],[Fecha]],FINANCIACION[PRESTAMO],FINANCIACION[[#This Row],[PRESTAMO]])</f>
        <v>0</v>
      </c>
      <c r="G1658" s="53"/>
      <c r="H1658" s="53"/>
      <c r="I1658" s="5" t="b">
        <f>+IF(FINANCIACION[[#This Row],[$ CAPITAL]]&gt;0,FINANCIACION[[#This Row],[$ CAPITAL]])</f>
        <v>0</v>
      </c>
      <c r="J1658" s="33">
        <f>+IF(FINANCIACION[[#This Row],[$ CAPITAL]]&gt;=0,FINANCIACION[[#This Row],[$ CAPITAL]]+FINANCIACION[[#This Row],[$ INTERESES]],0)</f>
        <v>521764</v>
      </c>
    </row>
    <row r="1659" spans="1:10" ht="24" customHeight="1" x14ac:dyDescent="0.3">
      <c r="A1659" s="131">
        <v>45275</v>
      </c>
      <c r="B1659" s="50" t="s">
        <v>148</v>
      </c>
      <c r="C1659" s="5"/>
      <c r="D1659" s="5">
        <v>503741</v>
      </c>
      <c r="E1659" s="5">
        <f>+IF(FINANCIACION[[#This Row],[$ CAPITAL]]&gt;=0,FINANCIACION[[#This Row],[$ CAPITAL]]+FINANCIACION[[#This Row],[$ INTERESES]],"")</f>
        <v>503741</v>
      </c>
      <c r="F1659" s="5">
        <f>+SUMIFS(FINANCIACION[$ CAPITAL],FINANCIACION[Fecha],"&lt;="&amp;FINANCIACION[[#This Row],[Fecha]],FINANCIACION[PRESTAMO],FINANCIACION[[#This Row],[PRESTAMO]])</f>
        <v>0</v>
      </c>
      <c r="G1659" s="53"/>
      <c r="H1659" s="53"/>
      <c r="I1659" s="5" t="b">
        <f>+IF(FINANCIACION[[#This Row],[$ CAPITAL]]&gt;0,FINANCIACION[[#This Row],[$ CAPITAL]])</f>
        <v>0</v>
      </c>
      <c r="J1659" s="33">
        <f>+IF(FINANCIACION[[#This Row],[$ CAPITAL]]&gt;=0,FINANCIACION[[#This Row],[$ CAPITAL]]+FINANCIACION[[#This Row],[$ INTERESES]],0)</f>
        <v>503741</v>
      </c>
    </row>
    <row r="1660" spans="1:10" ht="24" customHeight="1" x14ac:dyDescent="0.3">
      <c r="A1660" s="131">
        <v>45286</v>
      </c>
      <c r="B1660" s="50" t="s">
        <v>148</v>
      </c>
      <c r="C1660" s="5"/>
      <c r="D1660" s="5">
        <v>183163</v>
      </c>
      <c r="E1660" s="5">
        <f>+IF(FINANCIACION[[#This Row],[$ CAPITAL]]&gt;=0,FINANCIACION[[#This Row],[$ CAPITAL]]+FINANCIACION[[#This Row],[$ INTERESES]],"")</f>
        <v>183163</v>
      </c>
      <c r="F1660" s="5">
        <f>+SUMIFS(FINANCIACION[$ CAPITAL],FINANCIACION[Fecha],"&lt;="&amp;FINANCIACION[[#This Row],[Fecha]],FINANCIACION[PRESTAMO],FINANCIACION[[#This Row],[PRESTAMO]])</f>
        <v>0</v>
      </c>
      <c r="G1660" s="53"/>
      <c r="H1660" s="53"/>
      <c r="I1660" s="5" t="b">
        <f>+IF(FINANCIACION[[#This Row],[$ CAPITAL]]&gt;0,FINANCIACION[[#This Row],[$ CAPITAL]])</f>
        <v>0</v>
      </c>
      <c r="J1660" s="33">
        <f>+IF(FINANCIACION[[#This Row],[$ CAPITAL]]&gt;=0,FINANCIACION[[#This Row],[$ CAPITAL]]+FINANCIACION[[#This Row],[$ INTERESES]],0)</f>
        <v>183163</v>
      </c>
    </row>
    <row r="1661" spans="1:10" ht="24" customHeight="1" x14ac:dyDescent="0.3">
      <c r="A1661" s="131">
        <v>45272</v>
      </c>
      <c r="B1661" s="50" t="s">
        <v>148</v>
      </c>
      <c r="C1661" s="5"/>
      <c r="D1661" s="5">
        <v>732740</v>
      </c>
      <c r="E1661" s="5">
        <f>+IF(FINANCIACION[[#This Row],[$ CAPITAL]]&gt;=0,FINANCIACION[[#This Row],[$ CAPITAL]]+FINANCIACION[[#This Row],[$ INTERESES]],"")</f>
        <v>732740</v>
      </c>
      <c r="F1661" s="5">
        <f>+SUMIFS(FINANCIACION[$ CAPITAL],FINANCIACION[Fecha],"&lt;="&amp;FINANCIACION[[#This Row],[Fecha]],FINANCIACION[PRESTAMO],FINANCIACION[[#This Row],[PRESTAMO]])</f>
        <v>0</v>
      </c>
      <c r="G1661" s="53"/>
      <c r="H1661" s="53"/>
      <c r="I1661" s="5" t="b">
        <f>+IF(FINANCIACION[[#This Row],[$ CAPITAL]]&gt;0,FINANCIACION[[#This Row],[$ CAPITAL]])</f>
        <v>0</v>
      </c>
      <c r="J1661" s="33">
        <f>+IF(FINANCIACION[[#This Row],[$ CAPITAL]]&gt;=0,FINANCIACION[[#This Row],[$ CAPITAL]]+FINANCIACION[[#This Row],[$ INTERESES]],0)</f>
        <v>732740</v>
      </c>
    </row>
    <row r="1662" spans="1:10" ht="24" hidden="1" customHeight="1" x14ac:dyDescent="0.3">
      <c r="A1662" s="131">
        <v>45260</v>
      </c>
      <c r="B1662" s="50" t="s">
        <v>1382</v>
      </c>
      <c r="C1662" s="5">
        <v>0</v>
      </c>
      <c r="D1662" s="5"/>
      <c r="E1662" s="5">
        <f>+IF(FINANCIACION[[#This Row],[$ CAPITAL]]&gt;=0,FINANCIACION[[#This Row],[$ CAPITAL]]+FINANCIACION[[#This Row],[$ INTERESES]],"")</f>
        <v>0</v>
      </c>
      <c r="F1662" s="5">
        <f>+SUMIFS(FINANCIACION[$ CAPITAL],FINANCIACION[Fecha],"&lt;="&amp;FINANCIACION[[#This Row],[Fecha]],FINANCIACION[PRESTAMO],FINANCIACION[[#This Row],[PRESTAMO]])</f>
        <v>-84825000</v>
      </c>
      <c r="G1662" s="53" t="s">
        <v>1860</v>
      </c>
      <c r="H1662" s="53"/>
      <c r="I1662" s="5" t="b">
        <f>+IF(FINANCIACION[[#This Row],[$ CAPITAL]]&gt;0,FINANCIACION[[#This Row],[$ CAPITAL]])</f>
        <v>0</v>
      </c>
      <c r="J1662" s="33">
        <f>+IF(FINANCIACION[[#This Row],[$ CAPITAL]]&gt;=0,FINANCIACION[[#This Row],[$ CAPITAL]]+FINANCIACION[[#This Row],[$ INTERESES]],0)</f>
        <v>0</v>
      </c>
    </row>
    <row r="1663" spans="1:10" ht="24" customHeight="1" x14ac:dyDescent="0.3">
      <c r="A1663" s="131">
        <v>45291</v>
      </c>
      <c r="B1663" s="50" t="s">
        <v>1382</v>
      </c>
      <c r="C1663" s="5">
        <v>0</v>
      </c>
      <c r="D1663" s="5">
        <v>0</v>
      </c>
      <c r="E1663" s="5">
        <f>+IF(FINANCIACION[[#This Row],[$ CAPITAL]]&gt;=0,FINANCIACION[[#This Row],[$ CAPITAL]]+FINANCIACION[[#This Row],[$ INTERESES]],"")</f>
        <v>0</v>
      </c>
      <c r="F1663" s="5">
        <f>+SUMIFS(FINANCIACION[$ CAPITAL],FINANCIACION[Fecha],"&lt;="&amp;FINANCIACION[[#This Row],[Fecha]],FINANCIACION[PRESTAMO],FINANCIACION[[#This Row],[PRESTAMO]])</f>
        <v>-84825000</v>
      </c>
      <c r="G1663" s="53" t="s">
        <v>1860</v>
      </c>
      <c r="H1663" s="53"/>
      <c r="I1663" s="5" t="b">
        <f>+IF(FINANCIACION[[#This Row],[$ CAPITAL]]&gt;0,FINANCIACION[[#This Row],[$ CAPITAL]])</f>
        <v>0</v>
      </c>
      <c r="J1663" s="33">
        <f>+IF(FINANCIACION[[#This Row],[$ CAPITAL]]&gt;=0,FINANCIACION[[#This Row],[$ CAPITAL]]+FINANCIACION[[#This Row],[$ INTERESES]],0)</f>
        <v>0</v>
      </c>
    </row>
    <row r="1664" spans="1:10" ht="24" hidden="1" customHeight="1" x14ac:dyDescent="0.3">
      <c r="A1664" s="131">
        <v>45260</v>
      </c>
      <c r="B1664" s="50" t="s">
        <v>1485</v>
      </c>
      <c r="C1664" s="5">
        <v>0</v>
      </c>
      <c r="D1664" s="5"/>
      <c r="E1664" s="5">
        <f>+IF(FINANCIACION[[#This Row],[$ CAPITAL]]&gt;=0,FINANCIACION[[#This Row],[$ CAPITAL]]+FINANCIACION[[#This Row],[$ INTERESES]],"")</f>
        <v>0</v>
      </c>
      <c r="F1664" s="5">
        <f>+SUMIFS(FINANCIACION[$ CAPITAL],FINANCIACION[Fecha],"&lt;="&amp;FINANCIACION[[#This Row],[Fecha]],FINANCIACION[PRESTAMO],FINANCIACION[[#This Row],[PRESTAMO]])</f>
        <v>-53691702</v>
      </c>
      <c r="G1664" s="53"/>
      <c r="H1664" s="53"/>
      <c r="I1664" s="5" t="b">
        <f>+IF(FINANCIACION[[#This Row],[$ CAPITAL]]&gt;0,FINANCIACION[[#This Row],[$ CAPITAL]])</f>
        <v>0</v>
      </c>
      <c r="J1664" s="33">
        <f>+IF(FINANCIACION[[#This Row],[$ CAPITAL]]&gt;=0,FINANCIACION[[#This Row],[$ CAPITAL]]+FINANCIACION[[#This Row],[$ INTERESES]],0)</f>
        <v>0</v>
      </c>
    </row>
    <row r="1665" spans="1:10" ht="24" customHeight="1" x14ac:dyDescent="0.3">
      <c r="A1665" s="131">
        <v>45286</v>
      </c>
      <c r="B1665" s="50" t="s">
        <v>1485</v>
      </c>
      <c r="C1665" s="5">
        <v>47942987</v>
      </c>
      <c r="D1665" s="5"/>
      <c r="E1665" s="5">
        <f>+IF(FINANCIACION[[#This Row],[$ CAPITAL]]&gt;=0,FINANCIACION[[#This Row],[$ CAPITAL]]+FINANCIACION[[#This Row],[$ INTERESES]],"")</f>
        <v>47942987</v>
      </c>
      <c r="F1665" s="5">
        <f>+SUMIFS(FINANCIACION[$ CAPITAL],FINANCIACION[Fecha],"&lt;="&amp;FINANCIACION[[#This Row],[Fecha]],FINANCIACION[PRESTAMO],FINANCIACION[[#This Row],[PRESTAMO]])</f>
        <v>-5748715</v>
      </c>
      <c r="G1665" s="53"/>
      <c r="H1665" s="53"/>
      <c r="I1665" s="5">
        <f>+IF(FINANCIACION[[#This Row],[$ CAPITAL]]&gt;0,FINANCIACION[[#This Row],[$ CAPITAL]])</f>
        <v>47942987</v>
      </c>
      <c r="J1665" s="33">
        <f>+IF(FINANCIACION[[#This Row],[$ CAPITAL]]&gt;=0,FINANCIACION[[#This Row],[$ CAPITAL]]+FINANCIACION[[#This Row],[$ INTERESES]],0)</f>
        <v>47942987</v>
      </c>
    </row>
    <row r="1666" spans="1:10" ht="24" customHeight="1" x14ac:dyDescent="0.3">
      <c r="A1666" s="131">
        <v>45291</v>
      </c>
      <c r="B1666" s="50" t="s">
        <v>1485</v>
      </c>
      <c r="C1666" s="5">
        <v>5748715</v>
      </c>
      <c r="D1666" s="5"/>
      <c r="E1666" s="5">
        <f>+IF(FINANCIACION[[#This Row],[$ CAPITAL]]&gt;=0,FINANCIACION[[#This Row],[$ CAPITAL]]+FINANCIACION[[#This Row],[$ INTERESES]],"")</f>
        <v>5748715</v>
      </c>
      <c r="F1666" s="5">
        <f>+SUMIFS(FINANCIACION[$ CAPITAL],FINANCIACION[Fecha],"&lt;="&amp;FINANCIACION[[#This Row],[Fecha]],FINANCIACION[PRESTAMO],FINANCIACION[[#This Row],[PRESTAMO]])</f>
        <v>0</v>
      </c>
      <c r="G1666" s="53" t="s">
        <v>1484</v>
      </c>
      <c r="H1666" s="53"/>
      <c r="I1666" s="5">
        <f>+IF(FINANCIACION[[#This Row],[$ CAPITAL]]&gt;0,FINANCIACION[[#This Row],[$ CAPITAL]])</f>
        <v>5748715</v>
      </c>
      <c r="J1666" s="33">
        <f>+IF(FINANCIACION[[#This Row],[$ CAPITAL]]&gt;=0,FINANCIACION[[#This Row],[$ CAPITAL]]+FINANCIACION[[#This Row],[$ INTERESES]],0)</f>
        <v>5748715</v>
      </c>
    </row>
    <row r="1667" spans="1:10" ht="24" hidden="1" customHeight="1" x14ac:dyDescent="0.3">
      <c r="A1667" s="131">
        <v>45245</v>
      </c>
      <c r="B1667" s="50" t="s">
        <v>150</v>
      </c>
      <c r="C1667" s="5">
        <v>422000</v>
      </c>
      <c r="D1667" s="5">
        <v>141890</v>
      </c>
      <c r="E1667" s="5">
        <f>+IF(FINANCIACION[[#This Row],[$ CAPITAL]]&gt;=0,FINANCIACION[[#This Row],[$ CAPITAL]]+FINANCIACION[[#This Row],[$ INTERESES]],"")</f>
        <v>563890</v>
      </c>
      <c r="F1667" s="5">
        <f>+SUMIFS(FINANCIACION[$ CAPITAL],FINANCIACION[Fecha],"&lt;="&amp;FINANCIACION[[#This Row],[Fecha]],FINANCIACION[PRESTAMO],FINANCIACION[[#This Row],[PRESTAMO]])</f>
        <v>-8000820</v>
      </c>
      <c r="G1667" s="53"/>
      <c r="H1667" s="53"/>
      <c r="I1667" s="5">
        <f>+IF(FINANCIACION[[#This Row],[$ CAPITAL]]&gt;0,FINANCIACION[[#This Row],[$ CAPITAL]])</f>
        <v>422000</v>
      </c>
      <c r="J1667" s="33">
        <f>+IF(FINANCIACION[[#This Row],[$ CAPITAL]]&gt;=0,FINANCIACION[[#This Row],[$ CAPITAL]]+FINANCIACION[[#This Row],[$ INTERESES]],0)</f>
        <v>563890</v>
      </c>
    </row>
    <row r="1668" spans="1:10" ht="24" hidden="1" customHeight="1" x14ac:dyDescent="0.3">
      <c r="A1668" s="131">
        <v>45258</v>
      </c>
      <c r="B1668" s="50" t="s">
        <v>150</v>
      </c>
      <c r="C1668" s="5">
        <v>7911000</v>
      </c>
      <c r="D1668" s="5"/>
      <c r="E1668" s="5">
        <f>+IF(FINANCIACION[[#This Row],[$ CAPITAL]]&gt;=0,FINANCIACION[[#This Row],[$ CAPITAL]]+FINANCIACION[[#This Row],[$ INTERESES]],"")</f>
        <v>7911000</v>
      </c>
      <c r="F1668" s="5">
        <f>+SUMIFS(FINANCIACION[$ CAPITAL],FINANCIACION[Fecha],"&lt;="&amp;FINANCIACION[[#This Row],[Fecha]],FINANCIACION[PRESTAMO],FINANCIACION[[#This Row],[PRESTAMO]])</f>
        <v>-89820</v>
      </c>
      <c r="G1668" s="53"/>
      <c r="H1668" s="53"/>
      <c r="I1668" s="5">
        <f>+IF(FINANCIACION[[#This Row],[$ CAPITAL]]&gt;0,FINANCIACION[[#This Row],[$ CAPITAL]])</f>
        <v>7911000</v>
      </c>
      <c r="J1668" s="33">
        <f>+IF(FINANCIACION[[#This Row],[$ CAPITAL]]&gt;=0,FINANCIACION[[#This Row],[$ CAPITAL]]+FINANCIACION[[#This Row],[$ INTERESES]],0)</f>
        <v>7911000</v>
      </c>
    </row>
    <row r="1669" spans="1:10" ht="24" hidden="1" customHeight="1" x14ac:dyDescent="0.3">
      <c r="A1669" s="131">
        <v>45260</v>
      </c>
      <c r="B1669" s="50" t="s">
        <v>150</v>
      </c>
      <c r="C1669" s="5">
        <v>89820</v>
      </c>
      <c r="D1669" s="5"/>
      <c r="E1669" s="5">
        <f>+IF(FINANCIACION[[#This Row],[$ CAPITAL]]&gt;=0,FINANCIACION[[#This Row],[$ CAPITAL]]+FINANCIACION[[#This Row],[$ INTERESES]],"")</f>
        <v>89820</v>
      </c>
      <c r="F1669" s="5">
        <f>+SUMIFS(FINANCIACION[$ CAPITAL],FINANCIACION[Fecha],"&lt;="&amp;FINANCIACION[[#This Row],[Fecha]],FINANCIACION[PRESTAMO],FINANCIACION[[#This Row],[PRESTAMO]])</f>
        <v>0</v>
      </c>
      <c r="G1669" s="53" t="s">
        <v>2207</v>
      </c>
      <c r="H1669" s="53"/>
      <c r="I1669" s="5">
        <f>+IF(FINANCIACION[[#This Row],[$ CAPITAL]]&gt;0,FINANCIACION[[#This Row],[$ CAPITAL]])</f>
        <v>89820</v>
      </c>
      <c r="J1669" s="33">
        <f>+IF(FINANCIACION[[#This Row],[$ CAPITAL]]&gt;=0,FINANCIACION[[#This Row],[$ CAPITAL]]+FINANCIACION[[#This Row],[$ INTERESES]],0)</f>
        <v>89820</v>
      </c>
    </row>
    <row r="1670" spans="1:10" ht="24" hidden="1" customHeight="1" x14ac:dyDescent="0.3">
      <c r="A1670" s="131">
        <v>45258</v>
      </c>
      <c r="B1670" s="41" t="s">
        <v>2208</v>
      </c>
      <c r="C1670" s="5">
        <v>-100000000</v>
      </c>
      <c r="D1670" s="5"/>
      <c r="E1670" s="5" t="str">
        <f>+IF(FINANCIACION[[#This Row],[$ CAPITAL]]&gt;=0,FINANCIACION[[#This Row],[$ CAPITAL]]+FINANCIACION[[#This Row],[$ INTERESES]],"")</f>
        <v/>
      </c>
      <c r="F1670" s="5">
        <f>+SUMIFS(FINANCIACION[$ CAPITAL],FINANCIACION[Fecha],"&lt;="&amp;FINANCIACION[[#This Row],[Fecha]],FINANCIACION[PRESTAMO],FINANCIACION[[#This Row],[PRESTAMO]])</f>
        <v>-100000000</v>
      </c>
      <c r="G1670" s="53"/>
      <c r="H1670" s="53"/>
      <c r="I1670" s="5" t="b">
        <f>+IF(FINANCIACION[[#This Row],[$ CAPITAL]]&gt;0,FINANCIACION[[#This Row],[$ CAPITAL]])</f>
        <v>0</v>
      </c>
      <c r="J1670" s="33">
        <f>+IF(FINANCIACION[[#This Row],[$ CAPITAL]]&gt;=0,FINANCIACION[[#This Row],[$ CAPITAL]]+FINANCIACION[[#This Row],[$ INTERESES]],0)</f>
        <v>0</v>
      </c>
    </row>
    <row r="1671" spans="1:10" ht="24" customHeight="1" x14ac:dyDescent="0.3">
      <c r="A1671" s="131">
        <v>45291</v>
      </c>
      <c r="B1671" s="50" t="s">
        <v>2208</v>
      </c>
      <c r="C1671" s="5">
        <v>0</v>
      </c>
      <c r="D1671" s="5">
        <v>0</v>
      </c>
      <c r="E1671" s="5">
        <f>+IF(FINANCIACION[[#This Row],[$ CAPITAL]]&gt;=0,FINANCIACION[[#This Row],[$ CAPITAL]]+FINANCIACION[[#This Row],[$ INTERESES]],"")</f>
        <v>0</v>
      </c>
      <c r="F1671" s="5">
        <f>+SUMIFS(FINANCIACION[$ CAPITAL],FINANCIACION[Fecha],"&lt;="&amp;FINANCIACION[[#This Row],[Fecha]],FINANCIACION[PRESTAMO],FINANCIACION[[#This Row],[PRESTAMO]])</f>
        <v>-100000000</v>
      </c>
      <c r="G1671" s="53"/>
      <c r="H1671" s="53"/>
      <c r="I1671" s="5" t="b">
        <f>+IF(FINANCIACION[[#This Row],[$ CAPITAL]]&gt;0,FINANCIACION[[#This Row],[$ CAPITAL]])</f>
        <v>0</v>
      </c>
      <c r="J1671" s="33">
        <f>+IF(FINANCIACION[[#This Row],[$ CAPITAL]]&gt;=0,FINANCIACION[[#This Row],[$ CAPITAL]]+FINANCIACION[[#This Row],[$ INTERESES]],0)</f>
        <v>0</v>
      </c>
    </row>
    <row r="1672" spans="1:10" ht="24" hidden="1" customHeight="1" x14ac:dyDescent="0.3">
      <c r="A1672" s="131">
        <v>45257</v>
      </c>
      <c r="B1672" s="50" t="s">
        <v>548</v>
      </c>
      <c r="C1672" s="389">
        <v>1481481</v>
      </c>
      <c r="D1672" s="5">
        <v>777519</v>
      </c>
      <c r="E1672" s="5">
        <f>+IF(FINANCIACION[[#This Row],[$ CAPITAL]]&gt;=0,FINANCIACION[[#This Row],[$ CAPITAL]]+FINANCIACION[[#This Row],[$ INTERESES]],"")</f>
        <v>2259000</v>
      </c>
      <c r="F1672" s="5">
        <f>+SUMIFS(FINANCIACION[$ CAPITAL],FINANCIACION[Fecha],"&lt;="&amp;FINANCIACION[[#This Row],[Fecha]],FINANCIACION[PRESTAMO],FINANCIACION[[#This Row],[PRESTAMO]])</f>
        <v>-53441541.449999988</v>
      </c>
      <c r="G1672" s="53"/>
      <c r="H1672" s="53"/>
      <c r="I1672" s="5">
        <f>+IF(FINANCIACION[[#This Row],[$ CAPITAL]]&gt;0,FINANCIACION[[#This Row],[$ CAPITAL]])</f>
        <v>1481481</v>
      </c>
      <c r="J1672" s="33">
        <f>+IF(FINANCIACION[[#This Row],[$ CAPITAL]]&gt;=0,FINANCIACION[[#This Row],[$ CAPITAL]]+FINANCIACION[[#This Row],[$ INTERESES]],0)</f>
        <v>2259000</v>
      </c>
    </row>
    <row r="1673" spans="1:10" ht="24" customHeight="1" x14ac:dyDescent="0.3">
      <c r="A1673" s="131">
        <v>45286</v>
      </c>
      <c r="B1673" s="50" t="s">
        <v>548</v>
      </c>
      <c r="C1673" s="5">
        <v>1484481</v>
      </c>
      <c r="D1673" s="5">
        <v>744678</v>
      </c>
      <c r="E1673" s="5">
        <f>+IF(FINANCIACION[[#This Row],[$ CAPITAL]]&gt;=0,FINANCIACION[[#This Row],[$ CAPITAL]]+FINANCIACION[[#This Row],[$ INTERESES]],"")</f>
        <v>2229159</v>
      </c>
      <c r="F1673" s="5">
        <f>+SUMIFS(FINANCIACION[$ CAPITAL],FINANCIACION[Fecha],"&lt;="&amp;FINANCIACION[[#This Row],[Fecha]],FINANCIACION[PRESTAMO],FINANCIACION[[#This Row],[PRESTAMO]])</f>
        <v>-51957060.449999988</v>
      </c>
      <c r="G1673" s="53"/>
      <c r="H1673" s="53"/>
      <c r="I1673" s="5">
        <f>+IF(FINANCIACION[[#This Row],[$ CAPITAL]]&gt;0,FINANCIACION[[#This Row],[$ CAPITAL]])</f>
        <v>1484481</v>
      </c>
      <c r="J1673" s="33">
        <f>+IF(FINANCIACION[[#This Row],[$ CAPITAL]]&gt;=0,FINANCIACION[[#This Row],[$ CAPITAL]]+FINANCIACION[[#This Row],[$ INTERESES]],0)</f>
        <v>2229159</v>
      </c>
    </row>
    <row r="1674" spans="1:10" ht="24" hidden="1" customHeight="1" x14ac:dyDescent="0.3">
      <c r="A1674" s="131">
        <v>45232</v>
      </c>
      <c r="B1674" s="50" t="s">
        <v>1489</v>
      </c>
      <c r="C1674" s="389">
        <v>3769874</v>
      </c>
      <c r="D1674" s="5">
        <f>1448896+338538</f>
        <v>1787434</v>
      </c>
      <c r="E1674" s="5">
        <f>+IF(FINANCIACION[[#This Row],[$ CAPITAL]]&gt;=0,FINANCIACION[[#This Row],[$ CAPITAL]]+FINANCIACION[[#This Row],[$ INTERESES]],"")</f>
        <v>5557308</v>
      </c>
      <c r="F1674" s="5">
        <f>+SUMIFS(FINANCIACION[$ CAPITAL],FINANCIACION[Fecha],"&lt;="&amp;FINANCIACION[[#This Row],[Fecha]],FINANCIACION[PRESTAMO],FINANCIACION[[#This Row],[PRESTAMO]])</f>
        <v>-73099671</v>
      </c>
      <c r="G1674" s="53"/>
      <c r="H1674" s="53"/>
      <c r="I1674" s="5">
        <f>+IF(FINANCIACION[[#This Row],[$ CAPITAL]]&gt;0,FINANCIACION[[#This Row],[$ CAPITAL]])</f>
        <v>3769874</v>
      </c>
      <c r="J1674" s="33">
        <f>+IF(FINANCIACION[[#This Row],[$ CAPITAL]]&gt;=0,FINANCIACION[[#This Row],[$ CAPITAL]]+FINANCIACION[[#This Row],[$ INTERESES]],0)</f>
        <v>5557308</v>
      </c>
    </row>
    <row r="1675" spans="1:10" ht="24" hidden="1" customHeight="1" x14ac:dyDescent="0.3">
      <c r="A1675" s="131">
        <v>45260</v>
      </c>
      <c r="B1675" s="50" t="s">
        <v>1489</v>
      </c>
      <c r="C1675" s="5">
        <v>50000000</v>
      </c>
      <c r="D1675" s="5"/>
      <c r="E1675" s="5">
        <f>+IF(FINANCIACION[[#This Row],[$ CAPITAL]]&gt;=0,FINANCIACION[[#This Row],[$ CAPITAL]]+FINANCIACION[[#This Row],[$ INTERESES]],"")</f>
        <v>50000000</v>
      </c>
      <c r="F1675" s="5">
        <f>+SUMIFS(FINANCIACION[$ CAPITAL],FINANCIACION[Fecha],"&lt;="&amp;FINANCIACION[[#This Row],[Fecha]],FINANCIACION[PRESTAMO],FINANCIACION[[#This Row],[PRESTAMO]])</f>
        <v>-23099671</v>
      </c>
      <c r="G1675" s="53" t="s">
        <v>2206</v>
      </c>
      <c r="H1675" s="53"/>
      <c r="I1675" s="5">
        <f>+IF(FINANCIACION[[#This Row],[$ CAPITAL]]&gt;0,FINANCIACION[[#This Row],[$ CAPITAL]])</f>
        <v>50000000</v>
      </c>
      <c r="J1675" s="33">
        <f>+IF(FINANCIACION[[#This Row],[$ CAPITAL]]&gt;=0,FINANCIACION[[#This Row],[$ CAPITAL]]+FINANCIACION[[#This Row],[$ INTERESES]],0)</f>
        <v>50000000</v>
      </c>
    </row>
    <row r="1676" spans="1:10" ht="24" customHeight="1" x14ac:dyDescent="0.3">
      <c r="A1676" s="131">
        <v>45262</v>
      </c>
      <c r="B1676" s="50" t="s">
        <v>1489</v>
      </c>
      <c r="C1676" s="5">
        <v>0</v>
      </c>
      <c r="D1676" s="5">
        <v>0</v>
      </c>
      <c r="E1676" s="5">
        <f>+IF(FINANCIACION[[#This Row],[$ CAPITAL]]&gt;=0,FINANCIACION[[#This Row],[$ CAPITAL]]+FINANCIACION[[#This Row],[$ INTERESES]],"")</f>
        <v>0</v>
      </c>
      <c r="F1676" s="5">
        <f>+SUMIFS(FINANCIACION[$ CAPITAL],FINANCIACION[Fecha],"&lt;="&amp;FINANCIACION[[#This Row],[Fecha]],FINANCIACION[PRESTAMO],FINANCIACION[[#This Row],[PRESTAMO]])</f>
        <v>-23099671</v>
      </c>
      <c r="G1676" s="53"/>
      <c r="H1676" s="53"/>
      <c r="I1676" s="5" t="b">
        <f>+IF(FINANCIACION[[#This Row],[$ CAPITAL]]&gt;0,FINANCIACION[[#This Row],[$ CAPITAL]])</f>
        <v>0</v>
      </c>
      <c r="J1676" s="33">
        <f>+IF(FINANCIACION[[#This Row],[$ CAPITAL]]&gt;=0,FINANCIACION[[#This Row],[$ CAPITAL]]+FINANCIACION[[#This Row],[$ INTERESES]],0)</f>
        <v>0</v>
      </c>
    </row>
    <row r="1677" spans="1:10" ht="24" customHeight="1" x14ac:dyDescent="0.3">
      <c r="A1677" s="131">
        <v>45280</v>
      </c>
      <c r="B1677" s="50" t="s">
        <v>1489</v>
      </c>
      <c r="C1677" s="5">
        <v>20920810</v>
      </c>
      <c r="D1677" s="5"/>
      <c r="E1677" s="5">
        <f>+IF(FINANCIACION[[#This Row],[$ CAPITAL]]&gt;=0,FINANCIACION[[#This Row],[$ CAPITAL]]+FINANCIACION[[#This Row],[$ INTERESES]],"")</f>
        <v>20920810</v>
      </c>
      <c r="F1677" s="5">
        <f>+SUMIFS(FINANCIACION[$ CAPITAL],FINANCIACION[Fecha],"&lt;="&amp;FINANCIACION[[#This Row],[Fecha]],FINANCIACION[PRESTAMO],FINANCIACION[[#This Row],[PRESTAMO]])</f>
        <v>-2178861</v>
      </c>
      <c r="G1677" s="53"/>
      <c r="H1677" s="53"/>
      <c r="I1677" s="5">
        <f>+IF(FINANCIACION[[#This Row],[$ CAPITAL]]&gt;0,FINANCIACION[[#This Row],[$ CAPITAL]])</f>
        <v>20920810</v>
      </c>
      <c r="J1677" s="33">
        <f>+IF(FINANCIACION[[#This Row],[$ CAPITAL]]&gt;=0,FINANCIACION[[#This Row],[$ CAPITAL]]+FINANCIACION[[#This Row],[$ INTERESES]],0)</f>
        <v>20920810</v>
      </c>
    </row>
    <row r="1678" spans="1:10" ht="24" customHeight="1" x14ac:dyDescent="0.3">
      <c r="A1678" s="131">
        <v>45291</v>
      </c>
      <c r="B1678" s="50" t="s">
        <v>1489</v>
      </c>
      <c r="C1678" s="5">
        <v>2178861</v>
      </c>
      <c r="D1678" s="5"/>
      <c r="E1678" s="5">
        <f>+IF(FINANCIACION[[#This Row],[$ CAPITAL]]&gt;=0,FINANCIACION[[#This Row],[$ CAPITAL]]+FINANCIACION[[#This Row],[$ INTERESES]],"")</f>
        <v>2178861</v>
      </c>
      <c r="F1678" s="5">
        <f>+SUMIFS(FINANCIACION[$ CAPITAL],FINANCIACION[Fecha],"&lt;="&amp;FINANCIACION[[#This Row],[Fecha]],FINANCIACION[PRESTAMO],FINANCIACION[[#This Row],[PRESTAMO]])</f>
        <v>0</v>
      </c>
      <c r="G1678" s="53" t="s">
        <v>1484</v>
      </c>
      <c r="H1678" s="53"/>
      <c r="I1678" s="5">
        <f>+IF(FINANCIACION[[#This Row],[$ CAPITAL]]&gt;0,FINANCIACION[[#This Row],[$ CAPITAL]])</f>
        <v>2178861</v>
      </c>
      <c r="J1678" s="33">
        <f>+IF(FINANCIACION[[#This Row],[$ CAPITAL]]&gt;=0,FINANCIACION[[#This Row],[$ CAPITAL]]+FINANCIACION[[#This Row],[$ INTERESES]],0)</f>
        <v>2178861</v>
      </c>
    </row>
    <row r="1679" spans="1:10" ht="24" hidden="1" customHeight="1" x14ac:dyDescent="0.3">
      <c r="A1679" s="131">
        <v>45250</v>
      </c>
      <c r="B1679" s="50" t="s">
        <v>1921</v>
      </c>
      <c r="C1679" s="389">
        <v>1320430</v>
      </c>
      <c r="D1679" s="5">
        <f>5644707+151454+381286</f>
        <v>6177447</v>
      </c>
      <c r="E1679" s="5">
        <f>+IF(FINANCIACION[[#This Row],[$ CAPITAL]]&gt;=0,FINANCIACION[[#This Row],[$ CAPITAL]]+FINANCIACION[[#This Row],[$ INTERESES]],"")</f>
        <v>7497877</v>
      </c>
      <c r="F1679" s="5">
        <f>+SUMIFS(FINANCIACION[$ CAPITAL],FINANCIACION[Fecha],"&lt;="&amp;FINANCIACION[[#This Row],[Fecha]],FINANCIACION[PRESTAMO],FINANCIACION[[#This Row],[PRESTAMO]])</f>
        <v>-342036163</v>
      </c>
      <c r="G1679" s="53"/>
      <c r="H1679" s="53"/>
      <c r="I1679" s="5">
        <f>+IF(FINANCIACION[[#This Row],[$ CAPITAL]]&gt;0,FINANCIACION[[#This Row],[$ CAPITAL]])</f>
        <v>1320430</v>
      </c>
      <c r="J1679" s="33">
        <f>+IF(FINANCIACION[[#This Row],[$ CAPITAL]]&gt;=0,FINANCIACION[[#This Row],[$ CAPITAL]]+FINANCIACION[[#This Row],[$ INTERESES]],0)</f>
        <v>7497877</v>
      </c>
    </row>
    <row r="1680" spans="1:10" ht="24" customHeight="1" x14ac:dyDescent="0.3">
      <c r="A1680" s="131">
        <v>45278</v>
      </c>
      <c r="B1680" s="50" t="s">
        <v>1921</v>
      </c>
      <c r="C1680" s="5">
        <v>1344557</v>
      </c>
      <c r="D1680" s="5">
        <f>5620580+151454+381286</f>
        <v>6153320</v>
      </c>
      <c r="E1680" s="5">
        <f>+IF(FINANCIACION[[#This Row],[$ CAPITAL]]&gt;=0,FINANCIACION[[#This Row],[$ CAPITAL]]+FINANCIACION[[#This Row],[$ INTERESES]],"")</f>
        <v>7497877</v>
      </c>
      <c r="F1680" s="5">
        <f>+SUMIFS(FINANCIACION[$ CAPITAL],FINANCIACION[Fecha],"&lt;="&amp;FINANCIACION[[#This Row],[Fecha]],FINANCIACION[PRESTAMO],FINANCIACION[[#This Row],[PRESTAMO]])</f>
        <v>-340691606</v>
      </c>
      <c r="G1680" s="53"/>
      <c r="H1680" s="53"/>
      <c r="I1680" s="5">
        <f>+IF(FINANCIACION[[#This Row],[$ CAPITAL]]&gt;0,FINANCIACION[[#This Row],[$ CAPITAL]])</f>
        <v>1344557</v>
      </c>
      <c r="J1680" s="33">
        <f>+IF(FINANCIACION[[#This Row],[$ CAPITAL]]&gt;=0,FINANCIACION[[#This Row],[$ CAPITAL]]+FINANCIACION[[#This Row],[$ INTERESES]],0)</f>
        <v>7497877</v>
      </c>
    </row>
    <row r="1681" spans="1:10" ht="24" hidden="1" customHeight="1" x14ac:dyDescent="0.3">
      <c r="A1681" s="131">
        <v>45260</v>
      </c>
      <c r="B1681" s="50" t="s">
        <v>1488</v>
      </c>
      <c r="C1681" s="5">
        <v>-2165488</v>
      </c>
      <c r="D1681" s="5"/>
      <c r="E1681" s="5" t="str">
        <f>+IF(FINANCIACION[[#This Row],[$ CAPITAL]]&gt;=0,FINANCIACION[[#This Row],[$ CAPITAL]]+FINANCIACION[[#This Row],[$ INTERESES]],"")</f>
        <v/>
      </c>
      <c r="F1681" s="5">
        <f>+SUMIFS(FINANCIACION[$ CAPITAL],FINANCIACION[Fecha],"&lt;="&amp;FINANCIACION[[#This Row],[Fecha]],FINANCIACION[PRESTAMO],FINANCIACION[[#This Row],[PRESTAMO]])</f>
        <v>-3932400</v>
      </c>
      <c r="G1681" s="53"/>
      <c r="H1681" s="53"/>
      <c r="I1681" s="5" t="b">
        <f>+IF(FINANCIACION[[#This Row],[$ CAPITAL]]&gt;0,FINANCIACION[[#This Row],[$ CAPITAL]])</f>
        <v>0</v>
      </c>
      <c r="J1681" s="33">
        <f>+IF(FINANCIACION[[#This Row],[$ CAPITAL]]&gt;=0,FINANCIACION[[#This Row],[$ CAPITAL]]+FINANCIACION[[#This Row],[$ INTERESES]],0)</f>
        <v>0</v>
      </c>
    </row>
    <row r="1682" spans="1:10" ht="24" customHeight="1" x14ac:dyDescent="0.3">
      <c r="A1682" s="131">
        <v>45291</v>
      </c>
      <c r="B1682" s="50" t="s">
        <v>1488</v>
      </c>
      <c r="C1682" s="5">
        <v>3816487</v>
      </c>
      <c r="D1682" s="5"/>
      <c r="E1682" s="5">
        <f>+IF(FINANCIACION[[#This Row],[$ CAPITAL]]&gt;=0,FINANCIACION[[#This Row],[$ CAPITAL]]+FINANCIACION[[#This Row],[$ INTERESES]],"")</f>
        <v>3816487</v>
      </c>
      <c r="F1682" s="5">
        <f>+SUMIFS(FINANCIACION[$ CAPITAL],FINANCIACION[Fecha],"&lt;="&amp;FINANCIACION[[#This Row],[Fecha]],FINANCIACION[PRESTAMO],FINANCIACION[[#This Row],[PRESTAMO]])</f>
        <v>-115913</v>
      </c>
      <c r="G1682" s="53"/>
      <c r="H1682" s="53"/>
      <c r="I1682" s="5">
        <f>+IF(FINANCIACION[[#This Row],[$ CAPITAL]]&gt;0,FINANCIACION[[#This Row],[$ CAPITAL]])</f>
        <v>3816487</v>
      </c>
      <c r="J1682" s="33">
        <f>+IF(FINANCIACION[[#This Row],[$ CAPITAL]]&gt;=0,FINANCIACION[[#This Row],[$ CAPITAL]]+FINANCIACION[[#This Row],[$ INTERESES]],0)</f>
        <v>3816487</v>
      </c>
    </row>
    <row r="1683" spans="1:10" ht="24" hidden="1" customHeight="1" x14ac:dyDescent="0.3">
      <c r="A1683" s="131">
        <v>45260</v>
      </c>
      <c r="B1683" s="50" t="s">
        <v>154</v>
      </c>
      <c r="C1683" s="5">
        <v>15576000</v>
      </c>
      <c r="D1683" s="5"/>
      <c r="E1683" s="5">
        <f>+IF(FINANCIACION[[#This Row],[$ CAPITAL]]&gt;=0,FINANCIACION[[#This Row],[$ CAPITAL]]+FINANCIACION[[#This Row],[$ INTERESES]],"")</f>
        <v>15576000</v>
      </c>
      <c r="F1683" s="5">
        <f>+SUMIFS(FINANCIACION[$ CAPITAL],FINANCIACION[Fecha],"&lt;="&amp;FINANCIACION[[#This Row],[Fecha]],FINANCIACION[PRESTAMO],FINANCIACION[[#This Row],[PRESTAMO]])</f>
        <v>-632100</v>
      </c>
      <c r="G1683" s="53"/>
      <c r="H1683" s="53"/>
      <c r="I1683" s="5">
        <f>+IF(FINANCIACION[[#This Row],[$ CAPITAL]]&gt;0,FINANCIACION[[#This Row],[$ CAPITAL]])</f>
        <v>15576000</v>
      </c>
      <c r="J1683" s="33">
        <f>+IF(FINANCIACION[[#This Row],[$ CAPITAL]]&gt;=0,FINANCIACION[[#This Row],[$ CAPITAL]]+FINANCIACION[[#This Row],[$ INTERESES]],0)</f>
        <v>15576000</v>
      </c>
    </row>
    <row r="1684" spans="1:10" ht="24" customHeight="1" x14ac:dyDescent="0.3">
      <c r="A1684" s="131">
        <v>45291</v>
      </c>
      <c r="B1684" s="50" t="s">
        <v>154</v>
      </c>
      <c r="C1684" s="5">
        <v>-10603950</v>
      </c>
      <c r="D1684" s="5"/>
      <c r="E1684" s="5" t="str">
        <f>+IF(FINANCIACION[[#This Row],[$ CAPITAL]]&gt;=0,FINANCIACION[[#This Row],[$ CAPITAL]]+FINANCIACION[[#This Row],[$ INTERESES]],"")</f>
        <v/>
      </c>
      <c r="F1684" s="5">
        <f>+SUMIFS(FINANCIACION[$ CAPITAL],FINANCIACION[Fecha],"&lt;="&amp;FINANCIACION[[#This Row],[Fecha]],FINANCIACION[PRESTAMO],FINANCIACION[[#This Row],[PRESTAMO]])</f>
        <v>-11236050</v>
      </c>
      <c r="G1684" s="53"/>
      <c r="H1684" s="53"/>
      <c r="I1684" s="5" t="b">
        <f>+IF(FINANCIACION[[#This Row],[$ CAPITAL]]&gt;0,FINANCIACION[[#This Row],[$ CAPITAL]])</f>
        <v>0</v>
      </c>
      <c r="J1684" s="33">
        <f>+IF(FINANCIACION[[#This Row],[$ CAPITAL]]&gt;=0,FINANCIACION[[#This Row],[$ CAPITAL]]+FINANCIACION[[#This Row],[$ INTERESES]],0)</f>
        <v>0</v>
      </c>
    </row>
    <row r="1685" spans="1:10" ht="24" hidden="1" customHeight="1" x14ac:dyDescent="0.3">
      <c r="A1685" s="131">
        <v>45260</v>
      </c>
      <c r="B1685" s="50" t="s">
        <v>155</v>
      </c>
      <c r="C1685" s="5">
        <v>9815942</v>
      </c>
      <c r="D1685" s="5"/>
      <c r="E1685" s="5">
        <f>+IF(FINANCIACION[[#This Row],[$ CAPITAL]]&gt;=0,FINANCIACION[[#This Row],[$ CAPITAL]]+FINANCIACION[[#This Row],[$ INTERESES]],"")</f>
        <v>9815942</v>
      </c>
      <c r="F1685" s="5">
        <f>+SUMIFS(FINANCIACION[$ CAPITAL],FINANCIACION[Fecha],"&lt;="&amp;FINANCIACION[[#This Row],[Fecha]],FINANCIACION[PRESTAMO],FINANCIACION[[#This Row],[PRESTAMO]])</f>
        <v>-12066749</v>
      </c>
      <c r="G1685" s="53"/>
      <c r="H1685" s="53"/>
      <c r="I1685" s="5">
        <f>+IF(FINANCIACION[[#This Row],[$ CAPITAL]]&gt;0,FINANCIACION[[#This Row],[$ CAPITAL]])</f>
        <v>9815942</v>
      </c>
      <c r="J1685" s="33">
        <f>+IF(FINANCIACION[[#This Row],[$ CAPITAL]]&gt;=0,FINANCIACION[[#This Row],[$ CAPITAL]]+FINANCIACION[[#This Row],[$ INTERESES]],0)</f>
        <v>9815942</v>
      </c>
    </row>
    <row r="1686" spans="1:10" ht="24" customHeight="1" x14ac:dyDescent="0.3">
      <c r="A1686" s="131">
        <v>45291</v>
      </c>
      <c r="B1686" s="50" t="s">
        <v>155</v>
      </c>
      <c r="C1686" s="5">
        <v>-2595310</v>
      </c>
      <c r="D1686" s="5"/>
      <c r="E1686" s="5" t="str">
        <f>+IF(FINANCIACION[[#This Row],[$ CAPITAL]]&gt;=0,FINANCIACION[[#This Row],[$ CAPITAL]]+FINANCIACION[[#This Row],[$ INTERESES]],"")</f>
        <v/>
      </c>
      <c r="F1686" s="5">
        <f>+SUMIFS(FINANCIACION[$ CAPITAL],FINANCIACION[Fecha],"&lt;="&amp;FINANCIACION[[#This Row],[Fecha]],FINANCIACION[PRESTAMO],FINANCIACION[[#This Row],[PRESTAMO]])</f>
        <v>-14662059</v>
      </c>
      <c r="G1686" s="53"/>
      <c r="H1686" s="53"/>
      <c r="I1686" s="5" t="b">
        <f>+IF(FINANCIACION[[#This Row],[$ CAPITAL]]&gt;0,FINANCIACION[[#This Row],[$ CAPITAL]])</f>
        <v>0</v>
      </c>
      <c r="J1686" s="33">
        <f>+IF(FINANCIACION[[#This Row],[$ CAPITAL]]&gt;=0,FINANCIACION[[#This Row],[$ CAPITAL]]+FINANCIACION[[#This Row],[$ INTERESES]],0)</f>
        <v>0</v>
      </c>
    </row>
  </sheetData>
  <phoneticPr fontId="2" type="noConversion"/>
  <conditionalFormatting sqref="C967">
    <cfRule type="expression" dxfId="76" priority="1" stopIfTrue="1">
      <formula>$T967="Por pagar"</formula>
    </cfRule>
    <cfRule type="expression" dxfId="75" priority="2" stopIfTrue="1">
      <formula>$T967="Vencida"</formula>
    </cfRule>
    <cfRule type="expression" dxfId="74" priority="3" stopIfTrue="1">
      <formula>$T967="Pagada"</formula>
    </cfRule>
  </conditionalFormatting>
  <dataValidations xWindow="542" yWindow="371" count="2">
    <dataValidation allowBlank="1" showInputMessage="1" showErrorMessage="1" prompt="Si es una deuda escribelo negativo._x000a__x000a_Si es un abono que sea positivo." sqref="C521 C541 C700 C2:C431" xr:uid="{00000000-0002-0000-0200-000000000000}"/>
    <dataValidation type="date" allowBlank="1" showInputMessage="1" showErrorMessage="1" error="SOLO FECHAS" sqref="A2:A1574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B439:B462 B464:B466 B587:B639 B868:B1043 B865 B842:B861 B779:B787 B825:B840 B805:B822 B791:B803 B769:B775 B762:B767 B753:B760 B741:B748 B716:B734 B703:B714 B641:B697 B579:B585 B569:B577 B515:B565 B1 B493:B513 B482:B491 B469:B480 B1045:B1048576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B467:B468 B1044 B866 B862:B864 B841 B823:B824 B804 B788:B790 B776:B778 B768 B761 B749:B752 B735:B740 B715 B698:B702 B640 B586 B578 B566:B568 B463 B492 B514 B481 B2:B438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X59"/>
  <sheetViews>
    <sheetView topLeftCell="N1" workbookViewId="0">
      <selection activeCell="Y1" sqref="Y1"/>
    </sheetView>
  </sheetViews>
  <sheetFormatPr defaultColWidth="13.44140625" defaultRowHeight="21.6" customHeight="1" x14ac:dyDescent="0.3"/>
  <cols>
    <col min="1" max="1" width="30.21875" style="41" customWidth="1"/>
    <col min="2" max="6" width="12.77734375" style="41" hidden="1" customWidth="1"/>
    <col min="7" max="9" width="13.77734375" style="41" hidden="1" customWidth="1"/>
    <col min="10" max="13" width="13.44140625" style="41" hidden="1" customWidth="1"/>
    <col min="14" max="16" width="13.44140625" style="41" customWidth="1"/>
    <col min="17" max="17" width="13.44140625" style="41"/>
    <col min="18" max="18" width="13.21875" style="41" customWidth="1"/>
    <col min="19" max="23" width="13.44140625" style="41"/>
    <col min="24" max="24" width="12.77734375" style="41" customWidth="1"/>
    <col min="25" max="16384" width="13.44140625" style="41"/>
  </cols>
  <sheetData>
    <row r="1" spans="1:24" s="58" customFormat="1" ht="21.6" customHeight="1" x14ac:dyDescent="0.3">
      <c r="A1" s="58" t="s">
        <v>167</v>
      </c>
      <c r="B1" s="58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1518</v>
      </c>
      <c r="K1" s="58" t="s">
        <v>1327</v>
      </c>
      <c r="L1" s="58" t="s">
        <v>1326</v>
      </c>
      <c r="M1" s="58" t="s">
        <v>1519</v>
      </c>
      <c r="N1" s="58" t="s">
        <v>1521</v>
      </c>
      <c r="O1" s="58" t="s">
        <v>1520</v>
      </c>
      <c r="P1" s="58" t="s">
        <v>1580</v>
      </c>
      <c r="Q1" s="58" t="s">
        <v>1670</v>
      </c>
      <c r="R1" s="58" t="s">
        <v>1718</v>
      </c>
      <c r="S1" s="58" t="s">
        <v>1792</v>
      </c>
      <c r="T1" s="58" t="s">
        <v>1861</v>
      </c>
      <c r="U1" s="58" t="s">
        <v>1941</v>
      </c>
      <c r="V1" s="369" t="s">
        <v>2022</v>
      </c>
      <c r="W1" s="369" t="s">
        <v>2099</v>
      </c>
      <c r="X1" s="369" t="s">
        <v>2224</v>
      </c>
    </row>
    <row r="2" spans="1:24" ht="21.6" customHeight="1" x14ac:dyDescent="0.3">
      <c r="A2" s="41" t="s">
        <v>558</v>
      </c>
      <c r="B2" s="52">
        <f>-SUMIFS(FINANCIACION[$ CAPITAL],
FINANCIACION[Fecha],"&lt;="&amp;EOMONTH(B$1,0),
FINANCIACION[PRESTAMO],$A2)</f>
        <v>0</v>
      </c>
      <c r="C2" s="52">
        <f>-SUMIFS(FINANCIACION[$ CAPITAL],
FINANCIACION[Fecha],"&lt;="&amp;EOMONTH(C$1,0),
FINANCIACION[PRESTAMO],$A2)</f>
        <v>0</v>
      </c>
      <c r="D2" s="52">
        <f>-SUMIFS(FINANCIACION[$ CAPITAL],
FINANCIACION[Fecha],"&lt;="&amp;EOMONTH(D$1,0),
FINANCIACION[PRESTAMO],$A2)</f>
        <v>0</v>
      </c>
      <c r="E2" s="52">
        <f>-SUMIFS(FINANCIACION[$ CAPITAL],
FINANCIACION[Fecha],"&lt;="&amp;EOMONTH(E$1,0),
FINANCIACION[PRESTAMO],$A2)</f>
        <v>0</v>
      </c>
      <c r="F2" s="52">
        <f>-SUMIFS(FINANCIACION[$ CAPITAL],
FINANCIACION[Fecha],"&lt;="&amp;EOMONTH(F$1,0),
FINANCIACION[PRESTAMO],$A2)</f>
        <v>0</v>
      </c>
      <c r="G2" s="52">
        <f>-SUMIFS(FINANCIACION[$ CAPITAL],
FINANCIACION[Fecha],"&lt;="&amp;EOMONTH(G$1,0),
FINANCIACION[PRESTAMO],$A2)</f>
        <v>0</v>
      </c>
      <c r="H2" s="52">
        <f>-SUMIFS(FINANCIACION[$ CAPITAL],
FINANCIACION[Fecha],"&lt;="&amp;EOMONTH(H$1,0),
FINANCIACION[PRESTAMO],$A2)</f>
        <v>0</v>
      </c>
      <c r="I2" s="52">
        <f>-SUMIFS(FINANCIACION[$ CAPITAL],
FINANCIACION[Fecha],"&lt;="&amp;EOMONTH(I$1,0),
FINANCIACION[PRESTAMO],$A2)</f>
        <v>0</v>
      </c>
      <c r="J2" s="52">
        <f>-SUMIFS(FINANCIACION[$ CAPITAL],
FINANCIACION[Fecha],"&lt;="&amp;EOMONTH(J$1,0),
FINANCIACION[PRESTAMO],$A2)</f>
        <v>0</v>
      </c>
      <c r="K2" s="52">
        <f>-SUMIFS(FINANCIACION[$ CAPITAL],
FINANCIACION[Fecha],"&lt;="&amp;EOMONTH(K$1,0),
FINANCIACION[PRESTAMO],$A2)</f>
        <v>0</v>
      </c>
      <c r="L2" s="52">
        <f>-SUMIFS(FINANCIACION[$ CAPITAL],
FINANCIACION[Fecha],"&lt;="&amp;EOMONTH(L$1,0),
FINANCIACION[PRESTAMO],$A2)</f>
        <v>0</v>
      </c>
      <c r="M2" s="52">
        <f>-SUMIFS(FINANCIACION[$ CAPITAL],
FINANCIACION[Fecha],"&lt;="&amp;EOMONTH(M$1,0),
FINANCIACION[PRESTAMO],$A2)</f>
        <v>0</v>
      </c>
      <c r="N2" s="52">
        <f>-SUMIFS(FINANCIACION[$ CAPITAL],
FINANCIACION[Fecha],"&lt;="&amp;EOMONTH(N$1,0),
FINANCIACION[PRESTAMO],$A2)</f>
        <v>0</v>
      </c>
      <c r="O2" s="52">
        <f>-SUMIFS(FINANCIACION[$ CAPITAL],
FINANCIACION[Fecha],"&lt;="&amp;EOMONTH(O$1,0),
FINANCIACION[PRESTAMO],$A2)</f>
        <v>0</v>
      </c>
      <c r="P2" s="52">
        <f>-SUMIFS(FINANCIACION[$ CAPITAL],
FINANCIACION[Fecha],"&lt;="&amp;EOMONTH(P$1,0),
FINANCIACION[PRESTAMO],$A2)</f>
        <v>0</v>
      </c>
      <c r="Q2" s="52">
        <f>-SUMIFS(FINANCIACION[$ CAPITAL],
FINANCIACION[Fecha],"&lt;="&amp;EOMONTH(Q$1,0),
FINANCIACION[PRESTAMO],$A2)</f>
        <v>0</v>
      </c>
      <c r="R2" s="52">
        <f>-SUMIFS(FINANCIACION[$ CAPITAL],
FINANCIACION[Fecha],"&lt;="&amp;EOMONTH(R$1,0),
FINANCIACION[PRESTAMO],$A2)</f>
        <v>0</v>
      </c>
      <c r="S2" s="52">
        <f>-SUMIFS(FINANCIACION[$ CAPITAL],
FINANCIACION[Fecha],"&lt;="&amp;EOMONTH(S$1,0),
FINANCIACION[PRESTAMO],$A2)</f>
        <v>0</v>
      </c>
      <c r="T2" s="52">
        <f>-SUMIFS(FINANCIACION[$ CAPITAL],
FINANCIACION[Fecha],"&lt;="&amp;EOMONTH(T$1,0),
FINANCIACION[PRESTAMO],$A2)</f>
        <v>0</v>
      </c>
      <c r="U2" s="52">
        <f>-SUMIFS(FINANCIACION[$ CAPITAL],
FINANCIACION[Fecha],"&lt;="&amp;EOMONTH(U$1,0),
FINANCIACION[PRESTAMO],$A2)</f>
        <v>0</v>
      </c>
      <c r="V2" s="52">
        <f>-SUMIFS(FINANCIACION[$ CAPITAL],
FINANCIACION[Fecha],"&lt;="&amp;EOMONTH(V$1,0),
FINANCIACION[PRESTAMO],$A2)</f>
        <v>0</v>
      </c>
      <c r="W2" s="52">
        <f>-SUMIFS(FINANCIACION[$ CAPITAL],
FINANCIACION[Fecha],"&lt;="&amp;EOMONTH(W$1,0),
FINANCIACION[PRESTAMO],$A2)</f>
        <v>0</v>
      </c>
      <c r="X2" s="52">
        <f>-SUMIFS(FINANCIACION[$ CAPITAL],
FINANCIACION[Fecha],"&lt;="&amp;EOMONTH(X$1,0),
FINANCIACION[PRESTAMO],$A2)</f>
        <v>0</v>
      </c>
    </row>
    <row r="3" spans="1:24" ht="21.6" customHeight="1" x14ac:dyDescent="0.3">
      <c r="A3" s="41" t="s">
        <v>543</v>
      </c>
      <c r="B3" s="52">
        <f>-SUMIFS(FINANCIACION[$ CAPITAL],
FINANCIACION[Fecha],"&lt;="&amp;EOMONTH(B$1,0),
FINANCIACION[PRESTAMO],$A3)</f>
        <v>13000000</v>
      </c>
      <c r="C3" s="52">
        <f>-SUMIFS(FINANCIACION[$ CAPITAL],
FINANCIACION[Fecha],"&lt;="&amp;EOMONTH(C$1,0),
FINANCIACION[PRESTAMO],$A3)</f>
        <v>13000000</v>
      </c>
      <c r="D3" s="52">
        <f>-SUMIFS(FINANCIACION[$ CAPITAL],
FINANCIACION[Fecha],"&lt;="&amp;EOMONTH(D$1,0),
FINANCIACION[PRESTAMO],$A3)</f>
        <v>13000000</v>
      </c>
      <c r="E3" s="52">
        <f>-SUMIFS(FINANCIACION[$ CAPITAL],
FINANCIACION[Fecha],"&lt;="&amp;EOMONTH(E$1,0),
FINANCIACION[PRESTAMO],$A3)</f>
        <v>13000000</v>
      </c>
      <c r="F3" s="52">
        <f>-SUMIFS(FINANCIACION[$ CAPITAL],
FINANCIACION[Fecha],"&lt;="&amp;EOMONTH(F$1,0),
FINANCIACION[PRESTAMO],$A3)</f>
        <v>13000000</v>
      </c>
      <c r="G3" s="52">
        <f>-SUMIFS(FINANCIACION[$ CAPITAL],
FINANCIACION[Fecha],"&lt;="&amp;EOMONTH(G$1,0),
FINANCIACION[PRESTAMO],$A3)</f>
        <v>13000000</v>
      </c>
      <c r="H3" s="52">
        <f>-SUMIFS(FINANCIACION[$ CAPITAL],
FINANCIACION[Fecha],"&lt;="&amp;EOMONTH(H$1,0),
FINANCIACION[PRESTAMO],$A3)</f>
        <v>13000000</v>
      </c>
      <c r="I3" s="52">
        <f>-SUMIFS(FINANCIACION[$ CAPITAL],
FINANCIACION[Fecha],"&lt;="&amp;EOMONTH(I$1,0),
FINANCIACION[PRESTAMO],$A3)</f>
        <v>13000000</v>
      </c>
      <c r="J3" s="52">
        <f>-SUMIFS(FINANCIACION[$ CAPITAL],
FINANCIACION[Fecha],"&lt;="&amp;EOMONTH(J$1,0),
FINANCIACION[PRESTAMO],$A3)</f>
        <v>13000000</v>
      </c>
      <c r="K3" s="52">
        <f>-SUMIFS(FINANCIACION[$ CAPITAL],
FINANCIACION[Fecha],"&lt;="&amp;EOMONTH(K$1,0),
FINANCIACION[PRESTAMO],$A3)</f>
        <v>13000000</v>
      </c>
      <c r="L3" s="52">
        <f>-SUMIFS(FINANCIACION[$ CAPITAL],
FINANCIACION[Fecha],"&lt;="&amp;EOMONTH(L$1,0),
FINANCIACION[PRESTAMO],$A3)</f>
        <v>13000000</v>
      </c>
      <c r="M3" s="52">
        <f>-SUMIFS(FINANCIACION[$ CAPITAL],
FINANCIACION[Fecha],"&lt;="&amp;EOMONTH(M$1,0),
FINANCIACION[PRESTAMO],$A3)</f>
        <v>13000000</v>
      </c>
      <c r="N3" s="52">
        <f>-SUMIFS(FINANCIACION[$ CAPITAL],
FINANCIACION[Fecha],"&lt;="&amp;EOMONTH(N$1,0),
FINANCIACION[PRESTAMO],$A3)</f>
        <v>0</v>
      </c>
      <c r="O3" s="52">
        <f>-SUMIFS(FINANCIACION[$ CAPITAL],
FINANCIACION[Fecha],"&lt;="&amp;EOMONTH(O$1,0),
FINANCIACION[PRESTAMO],$A3)</f>
        <v>0</v>
      </c>
      <c r="P3" s="52">
        <f>-SUMIFS(FINANCIACION[$ CAPITAL],
FINANCIACION[Fecha],"&lt;="&amp;EOMONTH(P$1,0),
FINANCIACION[PRESTAMO],$A3)</f>
        <v>0</v>
      </c>
      <c r="Q3" s="52">
        <f>-SUMIFS(FINANCIACION[$ CAPITAL],
FINANCIACION[Fecha],"&lt;="&amp;EOMONTH(Q$1,0),
FINANCIACION[PRESTAMO],$A3)</f>
        <v>0</v>
      </c>
      <c r="R3" s="52">
        <f>-SUMIFS(FINANCIACION[$ CAPITAL],
FINANCIACION[Fecha],"&lt;="&amp;EOMONTH(R$1,0),
FINANCIACION[PRESTAMO],$A3)</f>
        <v>0</v>
      </c>
      <c r="S3" s="52">
        <f>-SUMIFS(FINANCIACION[$ CAPITAL],
FINANCIACION[Fecha],"&lt;="&amp;EOMONTH(S$1,0),
FINANCIACION[PRESTAMO],$A3)</f>
        <v>0</v>
      </c>
      <c r="T3" s="52">
        <f>-SUMIFS(FINANCIACION[$ CAPITAL],
FINANCIACION[Fecha],"&lt;="&amp;EOMONTH(T$1,0),
FINANCIACION[PRESTAMO],$A3)</f>
        <v>0</v>
      </c>
      <c r="U3" s="52">
        <f>-SUMIFS(FINANCIACION[$ CAPITAL],
FINANCIACION[Fecha],"&lt;="&amp;EOMONTH(U$1,0),
FINANCIACION[PRESTAMO],$A3)</f>
        <v>0</v>
      </c>
      <c r="V3" s="52">
        <f>-SUMIFS(FINANCIACION[$ CAPITAL],
FINANCIACION[Fecha],"&lt;="&amp;EOMONTH(V$1,0),
FINANCIACION[PRESTAMO],$A3)</f>
        <v>0</v>
      </c>
      <c r="W3" s="52">
        <f>-SUMIFS(FINANCIACION[$ CAPITAL],
FINANCIACION[Fecha],"&lt;="&amp;EOMONTH(W$1,0),
FINANCIACION[PRESTAMO],$A3)</f>
        <v>0</v>
      </c>
      <c r="X3" s="52">
        <f>-SUMIFS(FINANCIACION[$ CAPITAL],
FINANCIACION[Fecha],"&lt;="&amp;EOMONTH(X$1,0),
FINANCIACION[PRESTAMO],$A3)</f>
        <v>0</v>
      </c>
    </row>
    <row r="4" spans="1:24" ht="21.6" customHeight="1" x14ac:dyDescent="0.3">
      <c r="A4" s="41" t="s">
        <v>559</v>
      </c>
      <c r="B4" s="52">
        <f>-SUMIFS(FINANCIACION[$ CAPITAL],
FINANCIACION[Fecha],"&lt;="&amp;EOMONTH(B$1,0),
FINANCIACION[PRESTAMO],$A4)</f>
        <v>0</v>
      </c>
      <c r="C4" s="52">
        <f>-SUMIFS(FINANCIACION[$ CAPITAL],
FINANCIACION[Fecha],"&lt;="&amp;EOMONTH(C$1,0),
FINANCIACION[PRESTAMO],$A4)</f>
        <v>0</v>
      </c>
      <c r="D4" s="52">
        <f>-SUMIFS(FINANCIACION[$ CAPITAL],
FINANCIACION[Fecha],"&lt;="&amp;EOMONTH(D$1,0),
FINANCIACION[PRESTAMO],$A4)</f>
        <v>0</v>
      </c>
      <c r="E4" s="52">
        <f>-SUMIFS(FINANCIACION[$ CAPITAL],
FINANCIACION[Fecha],"&lt;="&amp;EOMONTH(E$1,0),
FINANCIACION[PRESTAMO],$A4)</f>
        <v>0</v>
      </c>
      <c r="F4" s="52">
        <f>-SUMIFS(FINANCIACION[$ CAPITAL],
FINANCIACION[Fecha],"&lt;="&amp;EOMONTH(F$1,0),
FINANCIACION[PRESTAMO],$A4)</f>
        <v>0</v>
      </c>
      <c r="G4" s="52">
        <f>-SUMIFS(FINANCIACION[$ CAPITAL],
FINANCIACION[Fecha],"&lt;="&amp;EOMONTH(G$1,0),
FINANCIACION[PRESTAMO],$A4)</f>
        <v>0</v>
      </c>
      <c r="H4" s="52">
        <f>-SUMIFS(FINANCIACION[$ CAPITAL],
FINANCIACION[Fecha],"&lt;="&amp;EOMONTH(H$1,0),
FINANCIACION[PRESTAMO],$A4)</f>
        <v>0</v>
      </c>
      <c r="I4" s="52">
        <f>-SUMIFS(FINANCIACION[$ CAPITAL],
FINANCIACION[Fecha],"&lt;="&amp;EOMONTH(I$1,0),
FINANCIACION[PRESTAMO],$A4)</f>
        <v>0</v>
      </c>
      <c r="J4" s="52">
        <f>-SUMIFS(FINANCIACION[$ CAPITAL],
FINANCIACION[Fecha],"&lt;="&amp;EOMONTH(J$1,0),
FINANCIACION[PRESTAMO],$A4)</f>
        <v>0</v>
      </c>
      <c r="K4" s="52">
        <f>-SUMIFS(FINANCIACION[$ CAPITAL],
FINANCIACION[Fecha],"&lt;="&amp;EOMONTH(K$1,0),
FINANCIACION[PRESTAMO],$A4)</f>
        <v>0</v>
      </c>
      <c r="L4" s="52">
        <f>-SUMIFS(FINANCIACION[$ CAPITAL],
FINANCIACION[Fecha],"&lt;="&amp;EOMONTH(L$1,0),
FINANCIACION[PRESTAMO],$A4)</f>
        <v>0</v>
      </c>
      <c r="M4" s="52">
        <f>-SUMIFS(FINANCIACION[$ CAPITAL],
FINANCIACION[Fecha],"&lt;="&amp;EOMONTH(M$1,0),
FINANCIACION[PRESTAMO],$A4)</f>
        <v>0</v>
      </c>
      <c r="N4" s="52">
        <f>-SUMIFS(FINANCIACION[$ CAPITAL],
FINANCIACION[Fecha],"&lt;="&amp;EOMONTH(N$1,0),
FINANCIACION[PRESTAMO],$A4)</f>
        <v>0</v>
      </c>
      <c r="O4" s="52">
        <f>-SUMIFS(FINANCIACION[$ CAPITAL],
FINANCIACION[Fecha],"&lt;="&amp;EOMONTH(O$1,0),
FINANCIACION[PRESTAMO],$A4)</f>
        <v>0</v>
      </c>
      <c r="P4" s="52">
        <f>-SUMIFS(FINANCIACION[$ CAPITAL],
FINANCIACION[Fecha],"&lt;="&amp;EOMONTH(P$1,0),
FINANCIACION[PRESTAMO],$A4)</f>
        <v>0</v>
      </c>
      <c r="Q4" s="52">
        <f>-SUMIFS(FINANCIACION[$ CAPITAL],
FINANCIACION[Fecha],"&lt;="&amp;EOMONTH(Q$1,0),
FINANCIACION[PRESTAMO],$A4)</f>
        <v>0</v>
      </c>
      <c r="R4" s="52">
        <f>-SUMIFS(FINANCIACION[$ CAPITAL],
FINANCIACION[Fecha],"&lt;="&amp;EOMONTH(R$1,0),
FINANCIACION[PRESTAMO],$A4)</f>
        <v>0</v>
      </c>
      <c r="S4" s="52">
        <f>-SUMIFS(FINANCIACION[$ CAPITAL],
FINANCIACION[Fecha],"&lt;="&amp;EOMONTH(S$1,0),
FINANCIACION[PRESTAMO],$A4)</f>
        <v>0</v>
      </c>
      <c r="T4" s="52">
        <f>-SUMIFS(FINANCIACION[$ CAPITAL],
FINANCIACION[Fecha],"&lt;="&amp;EOMONTH(T$1,0),
FINANCIACION[PRESTAMO],$A4)</f>
        <v>0</v>
      </c>
      <c r="U4" s="52">
        <f>-SUMIFS(FINANCIACION[$ CAPITAL],
FINANCIACION[Fecha],"&lt;="&amp;EOMONTH(U$1,0),
FINANCIACION[PRESTAMO],$A4)</f>
        <v>0</v>
      </c>
      <c r="V4" s="52">
        <f>-SUMIFS(FINANCIACION[$ CAPITAL],
FINANCIACION[Fecha],"&lt;="&amp;EOMONTH(V$1,0),
FINANCIACION[PRESTAMO],$A4)</f>
        <v>0</v>
      </c>
      <c r="W4" s="52">
        <f>-SUMIFS(FINANCIACION[$ CAPITAL],
FINANCIACION[Fecha],"&lt;="&amp;EOMONTH(W$1,0),
FINANCIACION[PRESTAMO],$A4)</f>
        <v>0</v>
      </c>
      <c r="X4" s="52">
        <f>-SUMIFS(FINANCIACION[$ CAPITAL],
FINANCIACION[Fecha],"&lt;="&amp;EOMONTH(X$1,0),
FINANCIACION[PRESTAMO],$A4)</f>
        <v>0</v>
      </c>
    </row>
    <row r="5" spans="1:24" ht="21.6" customHeight="1" x14ac:dyDescent="0.3">
      <c r="A5" s="41" t="s">
        <v>1562</v>
      </c>
      <c r="B5" s="52">
        <f>-SUMIFS(FINANCIACION[$ CAPITAL],
FINANCIACION[Fecha],"&lt;="&amp;EOMONTH(B$1,0),
FINANCIACION[PRESTAMO],$A5)</f>
        <v>0</v>
      </c>
      <c r="C5" s="52">
        <f>-SUMIFS(FINANCIACION[$ CAPITAL],
FINANCIACION[Fecha],"&lt;="&amp;EOMONTH(C$1,0),
FINANCIACION[PRESTAMO],$A5)</f>
        <v>0</v>
      </c>
      <c r="D5" s="52">
        <f>-SUMIFS(FINANCIACION[$ CAPITAL],
FINANCIACION[Fecha],"&lt;="&amp;EOMONTH(D$1,0),
FINANCIACION[PRESTAMO],$A5)</f>
        <v>0</v>
      </c>
      <c r="E5" s="52">
        <f>-SUMIFS(FINANCIACION[$ CAPITAL],
FINANCIACION[Fecha],"&lt;="&amp;EOMONTH(E$1,0),
FINANCIACION[PRESTAMO],$A5)</f>
        <v>0</v>
      </c>
      <c r="F5" s="52">
        <f>-SUMIFS(FINANCIACION[$ CAPITAL],
FINANCIACION[Fecha],"&lt;="&amp;EOMONTH(F$1,0),
FINANCIACION[PRESTAMO],$A5)</f>
        <v>0</v>
      </c>
      <c r="G5" s="52">
        <f>-SUMIFS(FINANCIACION[$ CAPITAL],
FINANCIACION[Fecha],"&lt;="&amp;EOMONTH(G$1,0),
FINANCIACION[PRESTAMO],$A5)</f>
        <v>0</v>
      </c>
      <c r="H5" s="225">
        <f>-SUMIFS(FINANCIACION[$ CAPITAL],
FINANCIACION[Fecha],"&lt;="&amp;EOMONTH(H$1,0),
FINANCIACION[PRESTAMO],$A5)</f>
        <v>0</v>
      </c>
      <c r="I5" s="52">
        <f>-SUMIFS(FINANCIACION[$ CAPITAL],
FINANCIACION[Fecha],"&lt;="&amp;EOMONTH(I$1,0),
FINANCIACION[PRESTAMO],$A5)</f>
        <v>0</v>
      </c>
      <c r="J5" s="52">
        <f>-SUMIFS(FINANCIACION[$ CAPITAL],
FINANCIACION[Fecha],"&lt;="&amp;EOMONTH(J$1,0),
FINANCIACION[PRESTAMO],$A5)</f>
        <v>0</v>
      </c>
      <c r="K5" s="52">
        <f>-SUMIFS(FINANCIACION[$ CAPITAL],
FINANCIACION[Fecha],"&lt;="&amp;EOMONTH(K$1,0),
FINANCIACION[PRESTAMO],$A5)</f>
        <v>0</v>
      </c>
      <c r="L5" s="52">
        <f>-SUMIFS(FINANCIACION[$ CAPITAL],
FINANCIACION[Fecha],"&lt;="&amp;EOMONTH(L$1,0),
FINANCIACION[PRESTAMO],$A5)</f>
        <v>0</v>
      </c>
      <c r="M5" s="52">
        <f>-SUMIFS(FINANCIACION[$ CAPITAL],
FINANCIACION[Fecha],"&lt;="&amp;EOMONTH(M$1,0),
FINANCIACION[PRESTAMO],$A5)</f>
        <v>0</v>
      </c>
      <c r="N5" s="52">
        <f>-SUMIFS(FINANCIACION[$ CAPITAL],
FINANCIACION[Fecha],"&lt;="&amp;EOMONTH(N$1,0),
FINANCIACION[PRESTAMO],$A5)</f>
        <v>0</v>
      </c>
      <c r="O5" s="52">
        <f>-SUMIFS(FINANCIACION[$ CAPITAL],
FINANCIACION[Fecha],"&lt;="&amp;EOMONTH(O$1,0),
FINANCIACION[PRESTAMO],$A5)</f>
        <v>0</v>
      </c>
      <c r="P5" s="52">
        <f>-SUMIFS(FINANCIACION[$ CAPITAL],
FINANCIACION[Fecha],"&lt;="&amp;EOMONTH(P$1,0),
FINANCIACION[PRESTAMO],$A5)</f>
        <v>0</v>
      </c>
      <c r="Q5" s="52">
        <f>-SUMIFS(FINANCIACION[$ CAPITAL],
FINANCIACION[Fecha],"&lt;="&amp;EOMONTH(Q$1,0),
FINANCIACION[PRESTAMO],$A5)</f>
        <v>0</v>
      </c>
      <c r="R5" s="52">
        <f>-SUMIFS(FINANCIACION[$ CAPITAL],
FINANCIACION[Fecha],"&lt;="&amp;EOMONTH(R$1,0),
FINANCIACION[PRESTAMO],$A5)</f>
        <v>0</v>
      </c>
      <c r="S5" s="52">
        <f>-SUMIFS(FINANCIACION[$ CAPITAL],
FINANCIACION[Fecha],"&lt;="&amp;EOMONTH(S$1,0),
FINANCIACION[PRESTAMO],$A5)</f>
        <v>0</v>
      </c>
      <c r="T5" s="52">
        <f>-SUMIFS(FINANCIACION[$ CAPITAL],
FINANCIACION[Fecha],"&lt;="&amp;EOMONTH(T$1,0),
FINANCIACION[PRESTAMO],$A5)</f>
        <v>0</v>
      </c>
      <c r="U5" s="52">
        <f>-SUMIFS(FINANCIACION[$ CAPITAL],
FINANCIACION[Fecha],"&lt;="&amp;EOMONTH(U$1,0),
FINANCIACION[PRESTAMO],$A5)</f>
        <v>0</v>
      </c>
      <c r="V5" s="52">
        <f>-SUMIFS(FINANCIACION[$ CAPITAL],
FINANCIACION[Fecha],"&lt;="&amp;EOMONTH(V$1,0),
FINANCIACION[PRESTAMO],$A5)</f>
        <v>0</v>
      </c>
      <c r="W5" s="52">
        <f>-SUMIFS(FINANCIACION[$ CAPITAL],
FINANCIACION[Fecha],"&lt;="&amp;EOMONTH(W$1,0),
FINANCIACION[PRESTAMO],$A5)</f>
        <v>0</v>
      </c>
      <c r="X5" s="52">
        <f>-SUMIFS(FINANCIACION[$ CAPITAL],
FINANCIACION[Fecha],"&lt;="&amp;EOMONTH(X$1,0),
FINANCIACION[PRESTAMO],$A5)</f>
        <v>0</v>
      </c>
    </row>
    <row r="6" spans="1:24" ht="21.6" customHeight="1" x14ac:dyDescent="0.3">
      <c r="A6" s="41" t="s">
        <v>537</v>
      </c>
      <c r="B6" s="52">
        <f>-SUMIFS(FINANCIACION[$ CAPITAL],
FINANCIACION[Fecha],"&lt;="&amp;EOMONTH(B$1,0),
FINANCIACION[PRESTAMO],$A6)</f>
        <v>75000000</v>
      </c>
      <c r="C6" s="52">
        <f>-SUMIFS(FINANCIACION[$ CAPITAL],
FINANCIACION[Fecha],"&lt;="&amp;EOMONTH(C$1,0),
FINANCIACION[PRESTAMO],$A6)</f>
        <v>75000000</v>
      </c>
      <c r="D6" s="52">
        <f>-SUMIFS(FINANCIACION[$ CAPITAL],
FINANCIACION[Fecha],"&lt;="&amp;EOMONTH(D$1,0),
FINANCIACION[PRESTAMO],$A6)</f>
        <v>75000000</v>
      </c>
      <c r="E6" s="52">
        <f>-SUMIFS(FINANCIACION[$ CAPITAL],
FINANCIACION[Fecha],"&lt;="&amp;EOMONTH(E$1,0),
FINANCIACION[PRESTAMO],$A6)</f>
        <v>75000000</v>
      </c>
      <c r="F6" s="52">
        <f>-SUMIFS(FINANCIACION[$ CAPITAL],
FINANCIACION[Fecha],"&lt;="&amp;EOMONTH(F$1,0),
FINANCIACION[PRESTAMO],$A6)</f>
        <v>75000000</v>
      </c>
      <c r="G6" s="52">
        <f>-SUMIFS(FINANCIACION[$ CAPITAL],
FINANCIACION[Fecha],"&lt;="&amp;EOMONTH(G$1,0),
FINANCIACION[PRESTAMO],$A6)</f>
        <v>75000000</v>
      </c>
      <c r="H6" s="52">
        <f>-SUMIFS(FINANCIACION[$ CAPITAL],
FINANCIACION[Fecha],"&lt;="&amp;EOMONTH(H$1,0),
FINANCIACION[PRESTAMO],$A6)</f>
        <v>75000000</v>
      </c>
      <c r="I6" s="52">
        <f>-SUMIFS(FINANCIACION[$ CAPITAL],
FINANCIACION[Fecha],"&lt;="&amp;EOMONTH(I$1,0),
FINANCIACION[PRESTAMO],$A6)</f>
        <v>75000000</v>
      </c>
      <c r="J6" s="52">
        <f>-SUMIFS(FINANCIACION[$ CAPITAL],
FINANCIACION[Fecha],"&lt;="&amp;EOMONTH(J$1,0),
FINANCIACION[PRESTAMO],$A6)</f>
        <v>75000000</v>
      </c>
      <c r="K6" s="52">
        <f>-SUMIFS(FINANCIACION[$ CAPITAL],
FINANCIACION[Fecha],"&lt;="&amp;EOMONTH(K$1,0),
FINANCIACION[PRESTAMO],$A6)</f>
        <v>75000000</v>
      </c>
      <c r="L6" s="52">
        <f>-SUMIFS(FINANCIACION[$ CAPITAL],
FINANCIACION[Fecha],"&lt;="&amp;EOMONTH(L$1,0),
FINANCIACION[PRESTAMO],$A6)</f>
        <v>75000000</v>
      </c>
      <c r="M6" s="52">
        <f>-SUMIFS(FINANCIACION[$ CAPITAL],
FINANCIACION[Fecha],"&lt;="&amp;EOMONTH(M$1,0),
FINANCIACION[PRESTAMO],$A6)</f>
        <v>75000000</v>
      </c>
      <c r="N6" s="52">
        <f>-SUMIFS(FINANCIACION[$ CAPITAL],
FINANCIACION[Fecha],"&lt;="&amp;EOMONTH(N$1,0),
FINANCIACION[PRESTAMO],$A6)</f>
        <v>0</v>
      </c>
      <c r="O6" s="52">
        <f>-SUMIFS(FINANCIACION[$ CAPITAL],
FINANCIACION[Fecha],"&lt;="&amp;EOMONTH(O$1,0),
FINANCIACION[PRESTAMO],$A6)</f>
        <v>0</v>
      </c>
      <c r="P6" s="52">
        <f>-SUMIFS(FINANCIACION[$ CAPITAL],
FINANCIACION[Fecha],"&lt;="&amp;EOMONTH(P$1,0),
FINANCIACION[PRESTAMO],$A6)</f>
        <v>0</v>
      </c>
      <c r="Q6" s="52">
        <f>-SUMIFS(FINANCIACION[$ CAPITAL],
FINANCIACION[Fecha],"&lt;="&amp;EOMONTH(Q$1,0),
FINANCIACION[PRESTAMO],$A6)</f>
        <v>0</v>
      </c>
      <c r="R6" s="52">
        <f>-SUMIFS(FINANCIACION[$ CAPITAL],
FINANCIACION[Fecha],"&lt;="&amp;EOMONTH(R$1,0),
FINANCIACION[PRESTAMO],$A6)</f>
        <v>0</v>
      </c>
      <c r="S6" s="52">
        <f>-SUMIFS(FINANCIACION[$ CAPITAL],
FINANCIACION[Fecha],"&lt;="&amp;EOMONTH(S$1,0),
FINANCIACION[PRESTAMO],$A6)</f>
        <v>0</v>
      </c>
      <c r="T6" s="52">
        <f>-SUMIFS(FINANCIACION[$ CAPITAL],
FINANCIACION[Fecha],"&lt;="&amp;EOMONTH(T$1,0),
FINANCIACION[PRESTAMO],$A6)</f>
        <v>0</v>
      </c>
      <c r="U6" s="52">
        <f>-SUMIFS(FINANCIACION[$ CAPITAL],
FINANCIACION[Fecha],"&lt;="&amp;EOMONTH(U$1,0),
FINANCIACION[PRESTAMO],$A6)</f>
        <v>0</v>
      </c>
      <c r="V6" s="52">
        <f>-SUMIFS(FINANCIACION[$ CAPITAL],
FINANCIACION[Fecha],"&lt;="&amp;EOMONTH(V$1,0),
FINANCIACION[PRESTAMO],$A6)</f>
        <v>0</v>
      </c>
      <c r="W6" s="52">
        <f>-SUMIFS(FINANCIACION[$ CAPITAL],
FINANCIACION[Fecha],"&lt;="&amp;EOMONTH(W$1,0),
FINANCIACION[PRESTAMO],$A6)</f>
        <v>0</v>
      </c>
      <c r="X6" s="52">
        <f>-SUMIFS(FINANCIACION[$ CAPITAL],
FINANCIACION[Fecha],"&lt;="&amp;EOMONTH(X$1,0),
FINANCIACION[PRESTAMO],$A6)</f>
        <v>0</v>
      </c>
    </row>
    <row r="7" spans="1:24" ht="21.6" customHeight="1" x14ac:dyDescent="0.3">
      <c r="A7" s="41" t="s">
        <v>547</v>
      </c>
      <c r="B7" s="52">
        <f>-SUMIFS(FINANCIACION[$ CAPITAL],
FINANCIACION[Fecha],"&lt;="&amp;EOMONTH(B$1,0),
FINANCIACION[PRESTAMO],$A7)</f>
        <v>40000000</v>
      </c>
      <c r="C7" s="52">
        <f>-SUMIFS(FINANCIACION[$ CAPITAL],
FINANCIACION[Fecha],"&lt;="&amp;EOMONTH(C$1,0),
FINANCIACION[PRESTAMO],$A7)</f>
        <v>40000000</v>
      </c>
      <c r="D7" s="52">
        <f>-SUMIFS(FINANCIACION[$ CAPITAL],
FINANCIACION[Fecha],"&lt;="&amp;EOMONTH(D$1,0),
FINANCIACION[PRESTAMO],$A7)</f>
        <v>40000000</v>
      </c>
      <c r="E7" s="52">
        <f>-SUMIFS(FINANCIACION[$ CAPITAL],
FINANCIACION[Fecha],"&lt;="&amp;EOMONTH(E$1,0),
FINANCIACION[PRESTAMO],$A7)</f>
        <v>40000000</v>
      </c>
      <c r="F7" s="52">
        <f>-SUMIFS(FINANCIACION[$ CAPITAL],
FINANCIACION[Fecha],"&lt;="&amp;EOMONTH(F$1,0),
FINANCIACION[PRESTAMO],$A7)</f>
        <v>40000000</v>
      </c>
      <c r="G7" s="52">
        <f>-SUMIFS(FINANCIACION[$ CAPITAL],
FINANCIACION[Fecha],"&lt;="&amp;EOMONTH(G$1,0),
FINANCIACION[PRESTAMO],$A7)</f>
        <v>40000000</v>
      </c>
      <c r="H7" s="52">
        <f>-SUMIFS(FINANCIACION[$ CAPITAL],
FINANCIACION[Fecha],"&lt;="&amp;EOMONTH(H$1,0),
FINANCIACION[PRESTAMO],$A7)</f>
        <v>40000000</v>
      </c>
      <c r="I7" s="52">
        <f>-SUMIFS(FINANCIACION[$ CAPITAL],
FINANCIACION[Fecha],"&lt;="&amp;EOMONTH(I$1,0),
FINANCIACION[PRESTAMO],$A7)</f>
        <v>40000000</v>
      </c>
      <c r="J7" s="52">
        <f>-SUMIFS(FINANCIACION[$ CAPITAL],
FINANCIACION[Fecha],"&lt;="&amp;EOMONTH(J$1,0),
FINANCIACION[PRESTAMO],$A7)</f>
        <v>40000000</v>
      </c>
      <c r="K7" s="52">
        <f>-SUMIFS(FINANCIACION[$ CAPITAL],
FINANCIACION[Fecha],"&lt;="&amp;EOMONTH(K$1,0),
FINANCIACION[PRESTAMO],$A7)</f>
        <v>40000000</v>
      </c>
      <c r="L7" s="52">
        <f>-SUMIFS(FINANCIACION[$ CAPITAL],
FINANCIACION[Fecha],"&lt;="&amp;EOMONTH(L$1,0),
FINANCIACION[PRESTAMO],$A7)</f>
        <v>40000000</v>
      </c>
      <c r="M7" s="52">
        <f>-SUMIFS(FINANCIACION[$ CAPITAL],
FINANCIACION[Fecha],"&lt;="&amp;EOMONTH(M$1,0),
FINANCIACION[PRESTAMO],$A7)</f>
        <v>40000000</v>
      </c>
      <c r="N7" s="52">
        <f>-SUMIFS(FINANCIACION[$ CAPITAL],
FINANCIACION[Fecha],"&lt;="&amp;EOMONTH(N$1,0),
FINANCIACION[PRESTAMO],$A7)</f>
        <v>0</v>
      </c>
      <c r="O7" s="52">
        <f>-SUMIFS(FINANCIACION[$ CAPITAL],
FINANCIACION[Fecha],"&lt;="&amp;EOMONTH(O$1,0),
FINANCIACION[PRESTAMO],$A7)</f>
        <v>0</v>
      </c>
      <c r="P7" s="52">
        <f>-SUMIFS(FINANCIACION[$ CAPITAL],
FINANCIACION[Fecha],"&lt;="&amp;EOMONTH(P$1,0),
FINANCIACION[PRESTAMO],$A7)</f>
        <v>0</v>
      </c>
      <c r="Q7" s="52">
        <f>-SUMIFS(FINANCIACION[$ CAPITAL],
FINANCIACION[Fecha],"&lt;="&amp;EOMONTH(Q$1,0),
FINANCIACION[PRESTAMO],$A7)</f>
        <v>0</v>
      </c>
      <c r="R7" s="52">
        <f>-SUMIFS(FINANCIACION[$ CAPITAL],
FINANCIACION[Fecha],"&lt;="&amp;EOMONTH(R$1,0),
FINANCIACION[PRESTAMO],$A7)</f>
        <v>0</v>
      </c>
      <c r="S7" s="52">
        <f>-SUMIFS(FINANCIACION[$ CAPITAL],
FINANCIACION[Fecha],"&lt;="&amp;EOMONTH(S$1,0),
FINANCIACION[PRESTAMO],$A7)</f>
        <v>0</v>
      </c>
      <c r="T7" s="52">
        <f>-SUMIFS(FINANCIACION[$ CAPITAL],
FINANCIACION[Fecha],"&lt;="&amp;EOMONTH(T$1,0),
FINANCIACION[PRESTAMO],$A7)</f>
        <v>0</v>
      </c>
      <c r="U7" s="52">
        <f>-SUMIFS(FINANCIACION[$ CAPITAL],
FINANCIACION[Fecha],"&lt;="&amp;EOMONTH(U$1,0),
FINANCIACION[PRESTAMO],$A7)</f>
        <v>0</v>
      </c>
      <c r="V7" s="52">
        <f>-SUMIFS(FINANCIACION[$ CAPITAL],
FINANCIACION[Fecha],"&lt;="&amp;EOMONTH(V$1,0),
FINANCIACION[PRESTAMO],$A7)</f>
        <v>0</v>
      </c>
      <c r="W7" s="52">
        <f>-SUMIFS(FINANCIACION[$ CAPITAL],
FINANCIACION[Fecha],"&lt;="&amp;EOMONTH(W$1,0),
FINANCIACION[PRESTAMO],$A7)</f>
        <v>0</v>
      </c>
      <c r="X7" s="52">
        <f>-SUMIFS(FINANCIACION[$ CAPITAL],
FINANCIACION[Fecha],"&lt;="&amp;EOMONTH(X$1,0),
FINANCIACION[PRESTAMO],$A7)</f>
        <v>0</v>
      </c>
    </row>
    <row r="8" spans="1:24" ht="21.6" customHeight="1" x14ac:dyDescent="0.3">
      <c r="A8" s="41" t="s">
        <v>532</v>
      </c>
      <c r="B8" s="52">
        <f>-SUMIFS(FINANCIACION[$ CAPITAL],
FINANCIACION[Fecha],"&lt;="&amp;EOMONTH(B$1,0),
FINANCIACION[PRESTAMO],$A8)</f>
        <v>67269713.491023555</v>
      </c>
      <c r="C8" s="52">
        <f>-SUMIFS(FINANCIACION[$ CAPITAL],
FINANCIACION[Fecha],"&lt;="&amp;EOMONTH(C$1,0),
FINANCIACION[PRESTAMO],$A8)</f>
        <v>67269713.491023555</v>
      </c>
      <c r="D8" s="52">
        <f>-SUMIFS(FINANCIACION[$ CAPITAL],
FINANCIACION[Fecha],"&lt;="&amp;EOMONTH(D$1,0),
FINANCIACION[PRESTAMO],$A8)</f>
        <v>67269713.491023555</v>
      </c>
      <c r="E8" s="52">
        <f>-SUMIFS(FINANCIACION[$ CAPITAL],
FINANCIACION[Fecha],"&lt;="&amp;EOMONTH(E$1,0),
FINANCIACION[PRESTAMO],$A8)</f>
        <v>67269713.491023555</v>
      </c>
      <c r="F8" s="52">
        <f>-SUMIFS(FINANCIACION[$ CAPITAL],
FINANCIACION[Fecha],"&lt;="&amp;EOMONTH(F$1,0),
FINANCIACION[PRESTAMO],$A8)</f>
        <v>67269713.491023555</v>
      </c>
      <c r="G8" s="52">
        <f>-SUMIFS(FINANCIACION[$ CAPITAL],
FINANCIACION[Fecha],"&lt;="&amp;EOMONTH(G$1,0),
FINANCIACION[PRESTAMO],$A8)</f>
        <v>67269713.491023555</v>
      </c>
      <c r="H8" s="52">
        <f>-SUMIFS(FINANCIACION[$ CAPITAL],
FINANCIACION[Fecha],"&lt;="&amp;EOMONTH(H$1,0),
FINANCIACION[PRESTAMO],$A8)</f>
        <v>67269713.491023555</v>
      </c>
      <c r="I8" s="52">
        <f>-SUMIFS(FINANCIACION[$ CAPITAL],
FINANCIACION[Fecha],"&lt;="&amp;EOMONTH(I$1,0),
FINANCIACION[PRESTAMO],$A8)</f>
        <v>67269713.491023555</v>
      </c>
      <c r="J8" s="52">
        <f>-SUMIFS(FINANCIACION[$ CAPITAL],
FINANCIACION[Fecha],"&lt;="&amp;EOMONTH(J$1,0),
FINANCIACION[PRESTAMO],$A8)</f>
        <v>67269713.491023555</v>
      </c>
      <c r="K8" s="52">
        <f>-SUMIFS(FINANCIACION[$ CAPITAL],
FINANCIACION[Fecha],"&lt;="&amp;EOMONTH(K$1,0),
FINANCIACION[PRESTAMO],$A8)</f>
        <v>67269713.491023555</v>
      </c>
      <c r="L8" s="52">
        <f>-SUMIFS(FINANCIACION[$ CAPITAL],
FINANCIACION[Fecha],"&lt;="&amp;EOMONTH(L$1,0),
FINANCIACION[PRESTAMO],$A8)</f>
        <v>67269713.491023555</v>
      </c>
      <c r="M8" s="52">
        <f>-SUMIFS(FINANCIACION[$ CAPITAL],
FINANCIACION[Fecha],"&lt;="&amp;EOMONTH(M$1,0),
FINANCIACION[PRESTAMO],$A8)</f>
        <v>67269713.491023555</v>
      </c>
      <c r="N8" s="52">
        <f>-SUMIFS(FINANCIACION[$ CAPITAL],
FINANCIACION[Fecha],"&lt;="&amp;EOMONTH(N$1,0),
FINANCIACION[PRESTAMO],$A8)</f>
        <v>0</v>
      </c>
      <c r="O8" s="52">
        <f>-SUMIFS(FINANCIACION[$ CAPITAL],
FINANCIACION[Fecha],"&lt;="&amp;EOMONTH(O$1,0),
FINANCIACION[PRESTAMO],$A8)</f>
        <v>0</v>
      </c>
      <c r="P8" s="52">
        <f>-SUMIFS(FINANCIACION[$ CAPITAL],
FINANCIACION[Fecha],"&lt;="&amp;EOMONTH(P$1,0),
FINANCIACION[PRESTAMO],$A8)</f>
        <v>0</v>
      </c>
      <c r="Q8" s="52">
        <f>-SUMIFS(FINANCIACION[$ CAPITAL],
FINANCIACION[Fecha],"&lt;="&amp;EOMONTH(Q$1,0),
FINANCIACION[PRESTAMO],$A8)</f>
        <v>0</v>
      </c>
      <c r="R8" s="52">
        <f>-SUMIFS(FINANCIACION[$ CAPITAL],
FINANCIACION[Fecha],"&lt;="&amp;EOMONTH(R$1,0),
FINANCIACION[PRESTAMO],$A8)</f>
        <v>0</v>
      </c>
      <c r="S8" s="52">
        <f>-SUMIFS(FINANCIACION[$ CAPITAL],
FINANCIACION[Fecha],"&lt;="&amp;EOMONTH(S$1,0),
FINANCIACION[PRESTAMO],$A8)</f>
        <v>0</v>
      </c>
      <c r="T8" s="52">
        <f>-SUMIFS(FINANCIACION[$ CAPITAL],
FINANCIACION[Fecha],"&lt;="&amp;EOMONTH(T$1,0),
FINANCIACION[PRESTAMO],$A8)</f>
        <v>0</v>
      </c>
      <c r="U8" s="52">
        <f>-SUMIFS(FINANCIACION[$ CAPITAL],
FINANCIACION[Fecha],"&lt;="&amp;EOMONTH(U$1,0),
FINANCIACION[PRESTAMO],$A8)</f>
        <v>0</v>
      </c>
      <c r="V8" s="52">
        <f>-SUMIFS(FINANCIACION[$ CAPITAL],
FINANCIACION[Fecha],"&lt;="&amp;EOMONTH(V$1,0),
FINANCIACION[PRESTAMO],$A8)</f>
        <v>0</v>
      </c>
      <c r="W8" s="52">
        <f>-SUMIFS(FINANCIACION[$ CAPITAL],
FINANCIACION[Fecha],"&lt;="&amp;EOMONTH(W$1,0),
FINANCIACION[PRESTAMO],$A8)</f>
        <v>0</v>
      </c>
      <c r="X8" s="52">
        <f>-SUMIFS(FINANCIACION[$ CAPITAL],
FINANCIACION[Fecha],"&lt;="&amp;EOMONTH(X$1,0),
FINANCIACION[PRESTAMO],$A8)</f>
        <v>0</v>
      </c>
    </row>
    <row r="9" spans="1:24" ht="21.6" customHeight="1" x14ac:dyDescent="0.3">
      <c r="A9" s="41" t="s">
        <v>549</v>
      </c>
      <c r="B9" s="52">
        <f>-SUMIFS(FINANCIACION[$ CAPITAL],
FINANCIACION[Fecha],"&lt;="&amp;EOMONTH(B$1,0),
FINANCIACION[PRESTAMO],$A9)</f>
        <v>0</v>
      </c>
      <c r="C9" s="52">
        <f>-SUMIFS(FINANCIACION[$ CAPITAL],
FINANCIACION[Fecha],"&lt;="&amp;EOMONTH(C$1,0),
FINANCIACION[PRESTAMO],$A9)</f>
        <v>0</v>
      </c>
      <c r="D9" s="52">
        <f>-SUMIFS(FINANCIACION[$ CAPITAL],
FINANCIACION[Fecha],"&lt;="&amp;EOMONTH(D$1,0),
FINANCIACION[PRESTAMO],$A9)</f>
        <v>0</v>
      </c>
      <c r="E9" s="52">
        <f>-SUMIFS(FINANCIACION[$ CAPITAL],
FINANCIACION[Fecha],"&lt;="&amp;EOMONTH(E$1,0),
FINANCIACION[PRESTAMO],$A9)</f>
        <v>0</v>
      </c>
      <c r="F9" s="52">
        <f>-SUMIFS(FINANCIACION[$ CAPITAL],
FINANCIACION[Fecha],"&lt;="&amp;EOMONTH(F$1,0),
FINANCIACION[PRESTAMO],$A9)</f>
        <v>0</v>
      </c>
      <c r="G9" s="52">
        <f>-SUMIFS(FINANCIACION[$ CAPITAL],
FINANCIACION[Fecha],"&lt;="&amp;EOMONTH(G$1,0),
FINANCIACION[PRESTAMO],$A9)</f>
        <v>0</v>
      </c>
      <c r="H9" s="52">
        <f>-SUMIFS(FINANCIACION[$ CAPITAL],
FINANCIACION[Fecha],"&lt;="&amp;EOMONTH(H$1,0),
FINANCIACION[PRESTAMO],$A9)</f>
        <v>0</v>
      </c>
      <c r="I9" s="52">
        <f>-SUMIFS(FINANCIACION[$ CAPITAL],
FINANCIACION[Fecha],"&lt;="&amp;EOMONTH(I$1,0),
FINANCIACION[PRESTAMO],$A9)</f>
        <v>0</v>
      </c>
      <c r="J9" s="52">
        <f>-SUMIFS(FINANCIACION[$ CAPITAL],
FINANCIACION[Fecha],"&lt;="&amp;EOMONTH(J$1,0),
FINANCIACION[PRESTAMO],$A9)</f>
        <v>0</v>
      </c>
      <c r="K9" s="52">
        <f>-SUMIFS(FINANCIACION[$ CAPITAL],
FINANCIACION[Fecha],"&lt;="&amp;EOMONTH(K$1,0),
FINANCIACION[PRESTAMO],$A9)</f>
        <v>0</v>
      </c>
      <c r="L9" s="52">
        <f>-SUMIFS(FINANCIACION[$ CAPITAL],
FINANCIACION[Fecha],"&lt;="&amp;EOMONTH(L$1,0),
FINANCIACION[PRESTAMO],$A9)</f>
        <v>0</v>
      </c>
      <c r="M9" s="52">
        <f>-SUMIFS(FINANCIACION[$ CAPITAL],
FINANCIACION[Fecha],"&lt;="&amp;EOMONTH(M$1,0),
FINANCIACION[PRESTAMO],$A9)</f>
        <v>0</v>
      </c>
      <c r="N9" s="52">
        <f>-SUMIFS(FINANCIACION[$ CAPITAL],
FINANCIACION[Fecha],"&lt;="&amp;EOMONTH(N$1,0),
FINANCIACION[PRESTAMO],$A9)</f>
        <v>0</v>
      </c>
      <c r="O9" s="52">
        <f>-SUMIFS(FINANCIACION[$ CAPITAL],
FINANCIACION[Fecha],"&lt;="&amp;EOMONTH(O$1,0),
FINANCIACION[PRESTAMO],$A9)</f>
        <v>0</v>
      </c>
      <c r="P9" s="52">
        <f>-SUMIFS(FINANCIACION[$ CAPITAL],
FINANCIACION[Fecha],"&lt;="&amp;EOMONTH(P$1,0),
FINANCIACION[PRESTAMO],$A9)</f>
        <v>0</v>
      </c>
      <c r="Q9" s="52">
        <f>-SUMIFS(FINANCIACION[$ CAPITAL],
FINANCIACION[Fecha],"&lt;="&amp;EOMONTH(Q$1,0),
FINANCIACION[PRESTAMO],$A9)</f>
        <v>0</v>
      </c>
      <c r="R9" s="52">
        <f>-SUMIFS(FINANCIACION[$ CAPITAL],
FINANCIACION[Fecha],"&lt;="&amp;EOMONTH(R$1,0),
FINANCIACION[PRESTAMO],$A9)</f>
        <v>0</v>
      </c>
      <c r="S9" s="52">
        <f>-SUMIFS(FINANCIACION[$ CAPITAL],
FINANCIACION[Fecha],"&lt;="&amp;EOMONTH(S$1,0),
FINANCIACION[PRESTAMO],$A9)</f>
        <v>0</v>
      </c>
      <c r="T9" s="52">
        <f>-SUMIFS(FINANCIACION[$ CAPITAL],
FINANCIACION[Fecha],"&lt;="&amp;EOMONTH(T$1,0),
FINANCIACION[PRESTAMO],$A9)</f>
        <v>0</v>
      </c>
      <c r="U9" s="52">
        <f>-SUMIFS(FINANCIACION[$ CAPITAL],
FINANCIACION[Fecha],"&lt;="&amp;EOMONTH(U$1,0),
FINANCIACION[PRESTAMO],$A9)</f>
        <v>0</v>
      </c>
      <c r="V9" s="52">
        <f>-SUMIFS(FINANCIACION[$ CAPITAL],
FINANCIACION[Fecha],"&lt;="&amp;EOMONTH(V$1,0),
FINANCIACION[PRESTAMO],$A9)</f>
        <v>0</v>
      </c>
      <c r="W9" s="52">
        <f>-SUMIFS(FINANCIACION[$ CAPITAL],
FINANCIACION[Fecha],"&lt;="&amp;EOMONTH(W$1,0),
FINANCIACION[PRESTAMO],$A9)</f>
        <v>0</v>
      </c>
      <c r="X9" s="52">
        <f>-SUMIFS(FINANCIACION[$ CAPITAL],
FINANCIACION[Fecha],"&lt;="&amp;EOMONTH(X$1,0),
FINANCIACION[PRESTAMO],$A9)</f>
        <v>0</v>
      </c>
    </row>
    <row r="10" spans="1:24" ht="21.6" customHeight="1" x14ac:dyDescent="0.3">
      <c r="A10" s="41" t="s">
        <v>501</v>
      </c>
      <c r="B10" s="52">
        <f>-SUMIFS(FINANCIACION[$ CAPITAL],
FINANCIACION[Fecha],"&lt;="&amp;EOMONTH(B$1,0),
FINANCIACION[PRESTAMO],$A10)</f>
        <v>0</v>
      </c>
      <c r="C10" s="52">
        <f>-SUMIFS(FINANCIACION[$ CAPITAL],
FINANCIACION[Fecha],"&lt;="&amp;EOMONTH(C$1,0),
FINANCIACION[PRESTAMO],$A10)</f>
        <v>0</v>
      </c>
      <c r="D10" s="52">
        <f>-SUMIFS(FINANCIACION[$ CAPITAL],
FINANCIACION[Fecha],"&lt;="&amp;EOMONTH(D$1,0),
FINANCIACION[PRESTAMO],$A10)</f>
        <v>0</v>
      </c>
      <c r="E10" s="52">
        <f>-SUMIFS(FINANCIACION[$ CAPITAL],
FINANCIACION[Fecha],"&lt;="&amp;EOMONTH(E$1,0),
FINANCIACION[PRESTAMO],$A10)</f>
        <v>0</v>
      </c>
      <c r="F10" s="52">
        <f>-SUMIFS(FINANCIACION[$ CAPITAL],
FINANCIACION[Fecha],"&lt;="&amp;EOMONTH(F$1,0),
FINANCIACION[PRESTAMO],$A10)</f>
        <v>0</v>
      </c>
      <c r="G10" s="52">
        <f>-SUMIFS(FINANCIACION[$ CAPITAL],
FINANCIACION[Fecha],"&lt;="&amp;EOMONTH(G$1,0),
FINANCIACION[PRESTAMO],$A10)</f>
        <v>0</v>
      </c>
      <c r="H10" s="52">
        <f>-SUMIFS(FINANCIACION[$ CAPITAL],
FINANCIACION[Fecha],"&lt;="&amp;EOMONTH(H$1,0),
FINANCIACION[PRESTAMO],$A10)</f>
        <v>0</v>
      </c>
      <c r="I10" s="52">
        <f>-SUMIFS(FINANCIACION[$ CAPITAL],
FINANCIACION[Fecha],"&lt;="&amp;EOMONTH(I$1,0),
FINANCIACION[PRESTAMO],$A10)</f>
        <v>0</v>
      </c>
      <c r="J10" s="52">
        <f>-SUMIFS(FINANCIACION[$ CAPITAL],
FINANCIACION[Fecha],"&lt;="&amp;EOMONTH(J$1,0),
FINANCIACION[PRESTAMO],$A10)</f>
        <v>0</v>
      </c>
      <c r="K10" s="52">
        <f>-SUMIFS(FINANCIACION[$ CAPITAL],
FINANCIACION[Fecha],"&lt;="&amp;EOMONTH(K$1,0),
FINANCIACION[PRESTAMO],$A10)</f>
        <v>0</v>
      </c>
      <c r="L10" s="52">
        <f>-SUMIFS(FINANCIACION[$ CAPITAL],
FINANCIACION[Fecha],"&lt;="&amp;EOMONTH(L$1,0),
FINANCIACION[PRESTAMO],$A10)</f>
        <v>0</v>
      </c>
      <c r="M10" s="52">
        <f>-SUMIFS(FINANCIACION[$ CAPITAL],
FINANCIACION[Fecha],"&lt;="&amp;EOMONTH(M$1,0),
FINANCIACION[PRESTAMO],$A10)</f>
        <v>0</v>
      </c>
      <c r="N10" s="52">
        <f>-SUMIFS(FINANCIACION[$ CAPITAL],
FINANCIACION[Fecha],"&lt;="&amp;EOMONTH(N$1,0),
FINANCIACION[PRESTAMO],$A10)</f>
        <v>0</v>
      </c>
      <c r="O10" s="52">
        <f>-SUMIFS(FINANCIACION[$ CAPITAL],
FINANCIACION[Fecha],"&lt;="&amp;EOMONTH(O$1,0),
FINANCIACION[PRESTAMO],$A10)</f>
        <v>0</v>
      </c>
      <c r="P10" s="52">
        <f>-SUMIFS(FINANCIACION[$ CAPITAL],
FINANCIACION[Fecha],"&lt;="&amp;EOMONTH(P$1,0),
FINANCIACION[PRESTAMO],$A10)</f>
        <v>0</v>
      </c>
      <c r="Q10" s="52">
        <f>-SUMIFS(FINANCIACION[$ CAPITAL],
FINANCIACION[Fecha],"&lt;="&amp;EOMONTH(Q$1,0),
FINANCIACION[PRESTAMO],$A10)</f>
        <v>0</v>
      </c>
      <c r="R10" s="52">
        <f>-SUMIFS(FINANCIACION[$ CAPITAL],
FINANCIACION[Fecha],"&lt;="&amp;EOMONTH(R$1,0),
FINANCIACION[PRESTAMO],$A10)</f>
        <v>0</v>
      </c>
      <c r="S10" s="52">
        <f>-SUMIFS(FINANCIACION[$ CAPITAL],
FINANCIACION[Fecha],"&lt;="&amp;EOMONTH(S$1,0),
FINANCIACION[PRESTAMO],$A10)</f>
        <v>0</v>
      </c>
      <c r="T10" s="52">
        <f>-SUMIFS(FINANCIACION[$ CAPITAL],
FINANCIACION[Fecha],"&lt;="&amp;EOMONTH(T$1,0),
FINANCIACION[PRESTAMO],$A10)</f>
        <v>0</v>
      </c>
      <c r="U10" s="52">
        <f>-SUMIFS(FINANCIACION[$ CAPITAL],
FINANCIACION[Fecha],"&lt;="&amp;EOMONTH(U$1,0),
FINANCIACION[PRESTAMO],$A10)</f>
        <v>0</v>
      </c>
      <c r="V10" s="52">
        <f>-SUMIFS(FINANCIACION[$ CAPITAL],
FINANCIACION[Fecha],"&lt;="&amp;EOMONTH(V$1,0),
FINANCIACION[PRESTAMO],$A10)</f>
        <v>0</v>
      </c>
      <c r="W10" s="52">
        <f>-SUMIFS(FINANCIACION[$ CAPITAL],
FINANCIACION[Fecha],"&lt;="&amp;EOMONTH(W$1,0),
FINANCIACION[PRESTAMO],$A10)</f>
        <v>0</v>
      </c>
      <c r="X10" s="52">
        <f>-SUMIFS(FINANCIACION[$ CAPITAL],
FINANCIACION[Fecha],"&lt;="&amp;EOMONTH(X$1,0),
FINANCIACION[PRESTAMO],$A10)</f>
        <v>0</v>
      </c>
    </row>
    <row r="11" spans="1:24" ht="21.6" customHeight="1" x14ac:dyDescent="0.3">
      <c r="A11" s="41" t="s">
        <v>560</v>
      </c>
      <c r="B11" s="52">
        <f>-SUMIFS(FINANCIACION[$ CAPITAL],
FINANCIACION[Fecha],"&lt;="&amp;EOMONTH(B$1,0),
FINANCIACION[PRESTAMO],$A11)</f>
        <v>0</v>
      </c>
      <c r="C11" s="52">
        <f>-SUMIFS(FINANCIACION[$ CAPITAL],
FINANCIACION[Fecha],"&lt;="&amp;EOMONTH(C$1,0),
FINANCIACION[PRESTAMO],$A11)</f>
        <v>0</v>
      </c>
      <c r="D11" s="52">
        <f>-SUMIFS(FINANCIACION[$ CAPITAL],
FINANCIACION[Fecha],"&lt;="&amp;EOMONTH(D$1,0),
FINANCIACION[PRESTAMO],$A11)</f>
        <v>0</v>
      </c>
      <c r="E11" s="52">
        <f>-SUMIFS(FINANCIACION[$ CAPITAL],
FINANCIACION[Fecha],"&lt;="&amp;EOMONTH(E$1,0),
FINANCIACION[PRESTAMO],$A11)</f>
        <v>0</v>
      </c>
      <c r="F11" s="52">
        <f>-SUMIFS(FINANCIACION[$ CAPITAL],
FINANCIACION[Fecha],"&lt;="&amp;EOMONTH(F$1,0),
FINANCIACION[PRESTAMO],$A11)</f>
        <v>0</v>
      </c>
      <c r="G11" s="52">
        <f>-SUMIFS(FINANCIACION[$ CAPITAL],
FINANCIACION[Fecha],"&lt;="&amp;EOMONTH(G$1,0),
FINANCIACION[PRESTAMO],$A11)</f>
        <v>0</v>
      </c>
      <c r="H11" s="52">
        <f>-SUMIFS(FINANCIACION[$ CAPITAL],
FINANCIACION[Fecha],"&lt;="&amp;EOMONTH(H$1,0),
FINANCIACION[PRESTAMO],$A11)</f>
        <v>0</v>
      </c>
      <c r="I11" s="52">
        <f>-SUMIFS(FINANCIACION[$ CAPITAL],
FINANCIACION[Fecha],"&lt;="&amp;EOMONTH(I$1,0),
FINANCIACION[PRESTAMO],$A11)</f>
        <v>0</v>
      </c>
      <c r="J11" s="52">
        <f>-SUMIFS(FINANCIACION[$ CAPITAL],
FINANCIACION[Fecha],"&lt;="&amp;EOMONTH(J$1,0),
FINANCIACION[PRESTAMO],$A11)</f>
        <v>0</v>
      </c>
      <c r="K11" s="52">
        <f>-SUMIFS(FINANCIACION[$ CAPITAL],
FINANCIACION[Fecha],"&lt;="&amp;EOMONTH(K$1,0),
FINANCIACION[PRESTAMO],$A11)</f>
        <v>0</v>
      </c>
      <c r="L11" s="52">
        <f>-SUMIFS(FINANCIACION[$ CAPITAL],
FINANCIACION[Fecha],"&lt;="&amp;EOMONTH(L$1,0),
FINANCIACION[PRESTAMO],$A11)</f>
        <v>0</v>
      </c>
      <c r="M11" s="52">
        <f>-SUMIFS(FINANCIACION[$ CAPITAL],
FINANCIACION[Fecha],"&lt;="&amp;EOMONTH(M$1,0),
FINANCIACION[PRESTAMO],$A11)</f>
        <v>0</v>
      </c>
      <c r="N11" s="52">
        <f>-SUMIFS(FINANCIACION[$ CAPITAL],
FINANCIACION[Fecha],"&lt;="&amp;EOMONTH(N$1,0),
FINANCIACION[PRESTAMO],$A11)</f>
        <v>0</v>
      </c>
      <c r="O11" s="52">
        <f>-SUMIFS(FINANCIACION[$ CAPITAL],
FINANCIACION[Fecha],"&lt;="&amp;EOMONTH(O$1,0),
FINANCIACION[PRESTAMO],$A11)</f>
        <v>0</v>
      </c>
      <c r="P11" s="52">
        <f>-SUMIFS(FINANCIACION[$ CAPITAL],
FINANCIACION[Fecha],"&lt;="&amp;EOMONTH(P$1,0),
FINANCIACION[PRESTAMO],$A11)</f>
        <v>0</v>
      </c>
      <c r="Q11" s="52">
        <f>-SUMIFS(FINANCIACION[$ CAPITAL],
FINANCIACION[Fecha],"&lt;="&amp;EOMONTH(Q$1,0),
FINANCIACION[PRESTAMO],$A11)</f>
        <v>0</v>
      </c>
      <c r="R11" s="52">
        <f>-SUMIFS(FINANCIACION[$ CAPITAL],
FINANCIACION[Fecha],"&lt;="&amp;EOMONTH(R$1,0),
FINANCIACION[PRESTAMO],$A11)</f>
        <v>0</v>
      </c>
      <c r="S11" s="52">
        <f>-SUMIFS(FINANCIACION[$ CAPITAL],
FINANCIACION[Fecha],"&lt;="&amp;EOMONTH(S$1,0),
FINANCIACION[PRESTAMO],$A11)</f>
        <v>0</v>
      </c>
      <c r="T11" s="52">
        <f>-SUMIFS(FINANCIACION[$ CAPITAL],
FINANCIACION[Fecha],"&lt;="&amp;EOMONTH(T$1,0),
FINANCIACION[PRESTAMO],$A11)</f>
        <v>0</v>
      </c>
      <c r="U11" s="52">
        <f>-SUMIFS(FINANCIACION[$ CAPITAL],
FINANCIACION[Fecha],"&lt;="&amp;EOMONTH(U$1,0),
FINANCIACION[PRESTAMO],$A11)</f>
        <v>0</v>
      </c>
      <c r="V11" s="52">
        <f>-SUMIFS(FINANCIACION[$ CAPITAL],
FINANCIACION[Fecha],"&lt;="&amp;EOMONTH(V$1,0),
FINANCIACION[PRESTAMO],$A11)</f>
        <v>0</v>
      </c>
      <c r="W11" s="52">
        <f>-SUMIFS(FINANCIACION[$ CAPITAL],
FINANCIACION[Fecha],"&lt;="&amp;EOMONTH(W$1,0),
FINANCIACION[PRESTAMO],$A11)</f>
        <v>0</v>
      </c>
      <c r="X11" s="52">
        <f>-SUMIFS(FINANCIACION[$ CAPITAL],
FINANCIACION[Fecha],"&lt;="&amp;EOMONTH(X$1,0),
FINANCIACION[PRESTAMO],$A11)</f>
        <v>0</v>
      </c>
    </row>
    <row r="12" spans="1:24" ht="21.6" customHeight="1" x14ac:dyDescent="0.3">
      <c r="A12" s="41" t="s">
        <v>536</v>
      </c>
      <c r="B12" s="52">
        <f>-SUMIFS(FINANCIACION[$ CAPITAL],
FINANCIACION[Fecha],"&lt;="&amp;EOMONTH(B$1,0),
FINANCIACION[PRESTAMO],$A12)</f>
        <v>52764821.029823728</v>
      </c>
      <c r="C12" s="52">
        <f>-SUMIFS(FINANCIACION[$ CAPITAL],
FINANCIACION[Fecha],"&lt;="&amp;EOMONTH(C$1,0),
FINANCIACION[PRESTAMO],$A12)</f>
        <v>52764821.029823728</v>
      </c>
      <c r="D12" s="52">
        <f>-SUMIFS(FINANCIACION[$ CAPITAL],
FINANCIACION[Fecha],"&lt;="&amp;EOMONTH(D$1,0),
FINANCIACION[PRESTAMO],$A12)</f>
        <v>52764821.029823728</v>
      </c>
      <c r="E12" s="52">
        <f>-SUMIFS(FINANCIACION[$ CAPITAL],
FINANCIACION[Fecha],"&lt;="&amp;EOMONTH(E$1,0),
FINANCIACION[PRESTAMO],$A12)</f>
        <v>52764821.029823728</v>
      </c>
      <c r="F12" s="52">
        <f>-SUMIFS(FINANCIACION[$ CAPITAL],
FINANCIACION[Fecha],"&lt;="&amp;EOMONTH(F$1,0),
FINANCIACION[PRESTAMO],$A12)</f>
        <v>52764821.029823728</v>
      </c>
      <c r="G12" s="52">
        <f>-SUMIFS(FINANCIACION[$ CAPITAL],
FINANCIACION[Fecha],"&lt;="&amp;EOMONTH(G$1,0),
FINANCIACION[PRESTAMO],$A12)</f>
        <v>52764821.029823728</v>
      </c>
      <c r="H12" s="52">
        <f>-SUMIFS(FINANCIACION[$ CAPITAL],
FINANCIACION[Fecha],"&lt;="&amp;EOMONTH(H$1,0),
FINANCIACION[PRESTAMO],$A12)</f>
        <v>52764821.029823728</v>
      </c>
      <c r="I12" s="52">
        <f>-SUMIFS(FINANCIACION[$ CAPITAL],
FINANCIACION[Fecha],"&lt;="&amp;EOMONTH(I$1,0),
FINANCIACION[PRESTAMO],$A12)</f>
        <v>52764821.029823728</v>
      </c>
      <c r="J12" s="52">
        <f>-SUMIFS(FINANCIACION[$ CAPITAL],
FINANCIACION[Fecha],"&lt;="&amp;EOMONTH(J$1,0),
FINANCIACION[PRESTAMO],$A12)</f>
        <v>52764821.029823728</v>
      </c>
      <c r="K12" s="52">
        <f>-SUMIFS(FINANCIACION[$ CAPITAL],
FINANCIACION[Fecha],"&lt;="&amp;EOMONTH(K$1,0),
FINANCIACION[PRESTAMO],$A12)</f>
        <v>52764821.029823728</v>
      </c>
      <c r="L12" s="52">
        <f>-SUMIFS(FINANCIACION[$ CAPITAL],
FINANCIACION[Fecha],"&lt;="&amp;EOMONTH(L$1,0),
FINANCIACION[PRESTAMO],$A12)</f>
        <v>52764821.029823728</v>
      </c>
      <c r="M12" s="52">
        <f>-SUMIFS(FINANCIACION[$ CAPITAL],
FINANCIACION[Fecha],"&lt;="&amp;EOMONTH(M$1,0),
FINANCIACION[PRESTAMO],$A12)</f>
        <v>52764821.029823728</v>
      </c>
      <c r="N12" s="52">
        <f>-SUMIFS(FINANCIACION[$ CAPITAL],
FINANCIACION[Fecha],"&lt;="&amp;EOMONTH(N$1,0),
FINANCIACION[PRESTAMO],$A12)</f>
        <v>0</v>
      </c>
      <c r="O12" s="52">
        <f>-SUMIFS(FINANCIACION[$ CAPITAL],
FINANCIACION[Fecha],"&lt;="&amp;EOMONTH(O$1,0),
FINANCIACION[PRESTAMO],$A12)</f>
        <v>0</v>
      </c>
      <c r="P12" s="52">
        <f>-SUMIFS(FINANCIACION[$ CAPITAL],
FINANCIACION[Fecha],"&lt;="&amp;EOMONTH(P$1,0),
FINANCIACION[PRESTAMO],$A12)</f>
        <v>0</v>
      </c>
      <c r="Q12" s="52">
        <f>-SUMIFS(FINANCIACION[$ CAPITAL],
FINANCIACION[Fecha],"&lt;="&amp;EOMONTH(Q$1,0),
FINANCIACION[PRESTAMO],$A12)</f>
        <v>0</v>
      </c>
      <c r="R12" s="52">
        <f>-SUMIFS(FINANCIACION[$ CAPITAL],
FINANCIACION[Fecha],"&lt;="&amp;EOMONTH(R$1,0),
FINANCIACION[PRESTAMO],$A12)</f>
        <v>0</v>
      </c>
      <c r="S12" s="52">
        <f>-SUMIFS(FINANCIACION[$ CAPITAL],
FINANCIACION[Fecha],"&lt;="&amp;EOMONTH(S$1,0),
FINANCIACION[PRESTAMO],$A12)</f>
        <v>0</v>
      </c>
      <c r="T12" s="52">
        <f>-SUMIFS(FINANCIACION[$ CAPITAL],
FINANCIACION[Fecha],"&lt;="&amp;EOMONTH(T$1,0),
FINANCIACION[PRESTAMO],$A12)</f>
        <v>0</v>
      </c>
      <c r="U12" s="52">
        <f>-SUMIFS(FINANCIACION[$ CAPITAL],
FINANCIACION[Fecha],"&lt;="&amp;EOMONTH(U$1,0),
FINANCIACION[PRESTAMO],$A12)</f>
        <v>0</v>
      </c>
      <c r="V12" s="52">
        <f>-SUMIFS(FINANCIACION[$ CAPITAL],
FINANCIACION[Fecha],"&lt;="&amp;EOMONTH(V$1,0),
FINANCIACION[PRESTAMO],$A12)</f>
        <v>0</v>
      </c>
      <c r="W12" s="52">
        <f>-SUMIFS(FINANCIACION[$ CAPITAL],
FINANCIACION[Fecha],"&lt;="&amp;EOMONTH(W$1,0),
FINANCIACION[PRESTAMO],$A12)</f>
        <v>0</v>
      </c>
      <c r="X12" s="52">
        <f>-SUMIFS(FINANCIACION[$ CAPITAL],
FINANCIACION[Fecha],"&lt;="&amp;EOMONTH(X$1,0),
FINANCIACION[PRESTAMO],$A12)</f>
        <v>0</v>
      </c>
    </row>
    <row r="13" spans="1:24" ht="21.6" customHeight="1" x14ac:dyDescent="0.3">
      <c r="A13" s="41" t="s">
        <v>533</v>
      </c>
      <c r="B13" s="52">
        <f>-SUMIFS(FINANCIACION[$ CAPITAL],
FINANCIACION[Fecha],"&lt;="&amp;EOMONTH(B$1,0),
FINANCIACION[PRESTAMO],$A13)</f>
        <v>70056416.72662659</v>
      </c>
      <c r="C13" s="52">
        <f>-SUMIFS(FINANCIACION[$ CAPITAL],
FINANCIACION[Fecha],"&lt;="&amp;EOMONTH(C$1,0),
FINANCIACION[PRESTAMO],$A13)</f>
        <v>70056416.72662659</v>
      </c>
      <c r="D13" s="52">
        <f>-SUMIFS(FINANCIACION[$ CAPITAL],
FINANCIACION[Fecha],"&lt;="&amp;EOMONTH(D$1,0),
FINANCIACION[PRESTAMO],$A13)</f>
        <v>70056416.72662659</v>
      </c>
      <c r="E13" s="52">
        <f>-SUMIFS(FINANCIACION[$ CAPITAL],
FINANCIACION[Fecha],"&lt;="&amp;EOMONTH(E$1,0),
FINANCIACION[PRESTAMO],$A13)</f>
        <v>70056416.72662659</v>
      </c>
      <c r="F13" s="52">
        <f>-SUMIFS(FINANCIACION[$ CAPITAL],
FINANCIACION[Fecha],"&lt;="&amp;EOMONTH(F$1,0),
FINANCIACION[PRESTAMO],$A13)</f>
        <v>70056416.72662659</v>
      </c>
      <c r="G13" s="52">
        <f>-SUMIFS(FINANCIACION[$ CAPITAL],
FINANCIACION[Fecha],"&lt;="&amp;EOMONTH(G$1,0),
FINANCIACION[PRESTAMO],$A13)</f>
        <v>70056416.72662659</v>
      </c>
      <c r="H13" s="52">
        <f>-SUMIFS(FINANCIACION[$ CAPITAL],
FINANCIACION[Fecha],"&lt;="&amp;EOMONTH(H$1,0),
FINANCIACION[PRESTAMO],$A13)</f>
        <v>70056416.72662659</v>
      </c>
      <c r="I13" s="52">
        <f>-SUMIFS(FINANCIACION[$ CAPITAL],
FINANCIACION[Fecha],"&lt;="&amp;EOMONTH(I$1,0),
FINANCIACION[PRESTAMO],$A13)</f>
        <v>70056416.72662659</v>
      </c>
      <c r="J13" s="52">
        <f>-SUMIFS(FINANCIACION[$ CAPITAL],
FINANCIACION[Fecha],"&lt;="&amp;EOMONTH(J$1,0),
FINANCIACION[PRESTAMO],$A13)</f>
        <v>70056416.72662659</v>
      </c>
      <c r="K13" s="52">
        <f>-SUMIFS(FINANCIACION[$ CAPITAL],
FINANCIACION[Fecha],"&lt;="&amp;EOMONTH(K$1,0),
FINANCIACION[PRESTAMO],$A13)</f>
        <v>70056416.72662659</v>
      </c>
      <c r="L13" s="52">
        <f>-SUMIFS(FINANCIACION[$ CAPITAL],
FINANCIACION[Fecha],"&lt;="&amp;EOMONTH(L$1,0),
FINANCIACION[PRESTAMO],$A13)</f>
        <v>70056416.72662659</v>
      </c>
      <c r="M13" s="52">
        <f>-SUMIFS(FINANCIACION[$ CAPITAL],
FINANCIACION[Fecha],"&lt;="&amp;EOMONTH(M$1,0),
FINANCIACION[PRESTAMO],$A13)</f>
        <v>70056416.72662659</v>
      </c>
      <c r="N13" s="52">
        <f>-SUMIFS(FINANCIACION[$ CAPITAL],
FINANCIACION[Fecha],"&lt;="&amp;EOMONTH(N$1,0),
FINANCIACION[PRESTAMO],$A13)</f>
        <v>0</v>
      </c>
      <c r="O13" s="52">
        <f>-SUMIFS(FINANCIACION[$ CAPITAL],
FINANCIACION[Fecha],"&lt;="&amp;EOMONTH(O$1,0),
FINANCIACION[PRESTAMO],$A13)</f>
        <v>0</v>
      </c>
      <c r="P13" s="52">
        <f>-SUMIFS(FINANCIACION[$ CAPITAL],
FINANCIACION[Fecha],"&lt;="&amp;EOMONTH(P$1,0),
FINANCIACION[PRESTAMO],$A13)</f>
        <v>0</v>
      </c>
      <c r="Q13" s="52">
        <f>-SUMIFS(FINANCIACION[$ CAPITAL],
FINANCIACION[Fecha],"&lt;="&amp;EOMONTH(Q$1,0),
FINANCIACION[PRESTAMO],$A13)</f>
        <v>0</v>
      </c>
      <c r="R13" s="52">
        <f>-SUMIFS(FINANCIACION[$ CAPITAL],
FINANCIACION[Fecha],"&lt;="&amp;EOMONTH(R$1,0),
FINANCIACION[PRESTAMO],$A13)</f>
        <v>0</v>
      </c>
      <c r="S13" s="52">
        <f>-SUMIFS(FINANCIACION[$ CAPITAL],
FINANCIACION[Fecha],"&lt;="&amp;EOMONTH(S$1,0),
FINANCIACION[PRESTAMO],$A13)</f>
        <v>0</v>
      </c>
      <c r="T13" s="52">
        <f>-SUMIFS(FINANCIACION[$ CAPITAL],
FINANCIACION[Fecha],"&lt;="&amp;EOMONTH(T$1,0),
FINANCIACION[PRESTAMO],$A13)</f>
        <v>0</v>
      </c>
      <c r="U13" s="52">
        <f>-SUMIFS(FINANCIACION[$ CAPITAL],
FINANCIACION[Fecha],"&lt;="&amp;EOMONTH(U$1,0),
FINANCIACION[PRESTAMO],$A13)</f>
        <v>0</v>
      </c>
      <c r="V13" s="52">
        <f>-SUMIFS(FINANCIACION[$ CAPITAL],
FINANCIACION[Fecha],"&lt;="&amp;EOMONTH(V$1,0),
FINANCIACION[PRESTAMO],$A13)</f>
        <v>0</v>
      </c>
      <c r="W13" s="52">
        <f>-SUMIFS(FINANCIACION[$ CAPITAL],
FINANCIACION[Fecha],"&lt;="&amp;EOMONTH(W$1,0),
FINANCIACION[PRESTAMO],$A13)</f>
        <v>0</v>
      </c>
      <c r="X13" s="52">
        <f>-SUMIFS(FINANCIACION[$ CAPITAL],
FINANCIACION[Fecha],"&lt;="&amp;EOMONTH(X$1,0),
FINANCIACION[PRESTAMO],$A13)</f>
        <v>0</v>
      </c>
    </row>
    <row r="14" spans="1:24" ht="21.6" customHeight="1" x14ac:dyDescent="0.3">
      <c r="A14" s="41" t="s">
        <v>561</v>
      </c>
      <c r="B14" s="52">
        <f>-SUMIFS(FINANCIACION[$ CAPITAL],
FINANCIACION[Fecha],"&lt;="&amp;EOMONTH(B$1,0),
FINANCIACION[PRESTAMO],$A14)</f>
        <v>0</v>
      </c>
      <c r="C14" s="52">
        <f>-SUMIFS(FINANCIACION[$ CAPITAL],
FINANCIACION[Fecha],"&lt;="&amp;EOMONTH(C$1,0),
FINANCIACION[PRESTAMO],$A14)</f>
        <v>0</v>
      </c>
      <c r="D14" s="52">
        <f>-SUMIFS(FINANCIACION[$ CAPITAL],
FINANCIACION[Fecha],"&lt;="&amp;EOMONTH(D$1,0),
FINANCIACION[PRESTAMO],$A14)</f>
        <v>0</v>
      </c>
      <c r="E14" s="52">
        <f>-SUMIFS(FINANCIACION[$ CAPITAL],
FINANCIACION[Fecha],"&lt;="&amp;EOMONTH(E$1,0),
FINANCIACION[PRESTAMO],$A14)</f>
        <v>0</v>
      </c>
      <c r="F14" s="52">
        <f>-SUMIFS(FINANCIACION[$ CAPITAL],
FINANCIACION[Fecha],"&lt;="&amp;EOMONTH(F$1,0),
FINANCIACION[PRESTAMO],$A14)</f>
        <v>0</v>
      </c>
      <c r="G14" s="52">
        <f>-SUMIFS(FINANCIACION[$ CAPITAL],
FINANCIACION[Fecha],"&lt;="&amp;EOMONTH(G$1,0),
FINANCIACION[PRESTAMO],$A14)</f>
        <v>0</v>
      </c>
      <c r="H14" s="52">
        <f>-SUMIFS(FINANCIACION[$ CAPITAL],
FINANCIACION[Fecha],"&lt;="&amp;EOMONTH(H$1,0),
FINANCIACION[PRESTAMO],$A14)</f>
        <v>0</v>
      </c>
      <c r="I14" s="52">
        <f>-SUMIFS(FINANCIACION[$ CAPITAL],
FINANCIACION[Fecha],"&lt;="&amp;EOMONTH(I$1,0),
FINANCIACION[PRESTAMO],$A14)</f>
        <v>0</v>
      </c>
      <c r="J14" s="52">
        <f>-SUMIFS(FINANCIACION[$ CAPITAL],
FINANCIACION[Fecha],"&lt;="&amp;EOMONTH(J$1,0),
FINANCIACION[PRESTAMO],$A14)</f>
        <v>0</v>
      </c>
      <c r="K14" s="52">
        <f>-SUMIFS(FINANCIACION[$ CAPITAL],
FINANCIACION[Fecha],"&lt;="&amp;EOMONTH(K$1,0),
FINANCIACION[PRESTAMO],$A14)</f>
        <v>0</v>
      </c>
      <c r="L14" s="52">
        <f>-SUMIFS(FINANCIACION[$ CAPITAL],
FINANCIACION[Fecha],"&lt;="&amp;EOMONTH(L$1,0),
FINANCIACION[PRESTAMO],$A14)</f>
        <v>0</v>
      </c>
      <c r="M14" s="52">
        <f>-SUMIFS(FINANCIACION[$ CAPITAL],
FINANCIACION[Fecha],"&lt;="&amp;EOMONTH(M$1,0),
FINANCIACION[PRESTAMO],$A14)</f>
        <v>0</v>
      </c>
      <c r="N14" s="52">
        <f>-SUMIFS(FINANCIACION[$ CAPITAL],
FINANCIACION[Fecha],"&lt;="&amp;EOMONTH(N$1,0),
FINANCIACION[PRESTAMO],$A14)</f>
        <v>0</v>
      </c>
      <c r="O14" s="52">
        <f>-SUMIFS(FINANCIACION[$ CAPITAL],
FINANCIACION[Fecha],"&lt;="&amp;EOMONTH(O$1,0),
FINANCIACION[PRESTAMO],$A14)</f>
        <v>0</v>
      </c>
      <c r="P14" s="52">
        <f>-SUMIFS(FINANCIACION[$ CAPITAL],
FINANCIACION[Fecha],"&lt;="&amp;EOMONTH(P$1,0),
FINANCIACION[PRESTAMO],$A14)</f>
        <v>0</v>
      </c>
      <c r="Q14" s="52">
        <f>-SUMIFS(FINANCIACION[$ CAPITAL],
FINANCIACION[Fecha],"&lt;="&amp;EOMONTH(Q$1,0),
FINANCIACION[PRESTAMO],$A14)</f>
        <v>0</v>
      </c>
      <c r="R14" s="52">
        <f>-SUMIFS(FINANCIACION[$ CAPITAL],
FINANCIACION[Fecha],"&lt;="&amp;EOMONTH(R$1,0),
FINANCIACION[PRESTAMO],$A14)</f>
        <v>0</v>
      </c>
      <c r="S14" s="52">
        <f>-SUMIFS(FINANCIACION[$ CAPITAL],
FINANCIACION[Fecha],"&lt;="&amp;EOMONTH(S$1,0),
FINANCIACION[PRESTAMO],$A14)</f>
        <v>0</v>
      </c>
      <c r="T14" s="52">
        <f>-SUMIFS(FINANCIACION[$ CAPITAL],
FINANCIACION[Fecha],"&lt;="&amp;EOMONTH(T$1,0),
FINANCIACION[PRESTAMO],$A14)</f>
        <v>0</v>
      </c>
      <c r="U14" s="52">
        <f>-SUMIFS(FINANCIACION[$ CAPITAL],
FINANCIACION[Fecha],"&lt;="&amp;EOMONTH(U$1,0),
FINANCIACION[PRESTAMO],$A14)</f>
        <v>0</v>
      </c>
      <c r="V14" s="52">
        <f>-SUMIFS(FINANCIACION[$ CAPITAL],
FINANCIACION[Fecha],"&lt;="&amp;EOMONTH(V$1,0),
FINANCIACION[PRESTAMO],$A14)</f>
        <v>0</v>
      </c>
      <c r="W14" s="52">
        <f>-SUMIFS(FINANCIACION[$ CAPITAL],
FINANCIACION[Fecha],"&lt;="&amp;EOMONTH(W$1,0),
FINANCIACION[PRESTAMO],$A14)</f>
        <v>0</v>
      </c>
      <c r="X14" s="52">
        <f>-SUMIFS(FINANCIACION[$ CAPITAL],
FINANCIACION[Fecha],"&lt;="&amp;EOMONTH(X$1,0),
FINANCIACION[PRESTAMO],$A14)</f>
        <v>0</v>
      </c>
    </row>
    <row r="15" spans="1:24" ht="21.6" customHeight="1" x14ac:dyDescent="0.3">
      <c r="A15" s="41" t="s">
        <v>562</v>
      </c>
      <c r="B15" s="52">
        <f>-SUMIFS(FINANCIACION[$ CAPITAL],
FINANCIACION[Fecha],"&lt;="&amp;EOMONTH(B$1,0),
FINANCIACION[PRESTAMO],$A15)</f>
        <v>0</v>
      </c>
      <c r="C15" s="52">
        <f>-SUMIFS(FINANCIACION[$ CAPITAL],
FINANCIACION[Fecha],"&lt;="&amp;EOMONTH(C$1,0),
FINANCIACION[PRESTAMO],$A15)</f>
        <v>0</v>
      </c>
      <c r="D15" s="52">
        <f>-SUMIFS(FINANCIACION[$ CAPITAL],
FINANCIACION[Fecha],"&lt;="&amp;EOMONTH(D$1,0),
FINANCIACION[PRESTAMO],$A15)</f>
        <v>0</v>
      </c>
      <c r="E15" s="52">
        <f>-SUMIFS(FINANCIACION[$ CAPITAL],
FINANCIACION[Fecha],"&lt;="&amp;EOMONTH(E$1,0),
FINANCIACION[PRESTAMO],$A15)</f>
        <v>0</v>
      </c>
      <c r="F15" s="52">
        <f>-SUMIFS(FINANCIACION[$ CAPITAL],
FINANCIACION[Fecha],"&lt;="&amp;EOMONTH(F$1,0),
FINANCIACION[PRESTAMO],$A15)</f>
        <v>0</v>
      </c>
      <c r="G15" s="52">
        <f>-SUMIFS(FINANCIACION[$ CAPITAL],
FINANCIACION[Fecha],"&lt;="&amp;EOMONTH(G$1,0),
FINANCIACION[PRESTAMO],$A15)</f>
        <v>0</v>
      </c>
      <c r="H15" s="52">
        <f>-SUMIFS(FINANCIACION[$ CAPITAL],
FINANCIACION[Fecha],"&lt;="&amp;EOMONTH(H$1,0),
FINANCIACION[PRESTAMO],$A15)</f>
        <v>0</v>
      </c>
      <c r="I15" s="52">
        <f>-SUMIFS(FINANCIACION[$ CAPITAL],
FINANCIACION[Fecha],"&lt;="&amp;EOMONTH(I$1,0),
FINANCIACION[PRESTAMO],$A15)</f>
        <v>0</v>
      </c>
      <c r="J15" s="52">
        <f>-SUMIFS(FINANCIACION[$ CAPITAL],
FINANCIACION[Fecha],"&lt;="&amp;EOMONTH(J$1,0),
FINANCIACION[PRESTAMO],$A15)</f>
        <v>0</v>
      </c>
      <c r="K15" s="52">
        <f>-SUMIFS(FINANCIACION[$ CAPITAL],
FINANCIACION[Fecha],"&lt;="&amp;EOMONTH(K$1,0),
FINANCIACION[PRESTAMO],$A15)</f>
        <v>0</v>
      </c>
      <c r="L15" s="52">
        <f>-SUMIFS(FINANCIACION[$ CAPITAL],
FINANCIACION[Fecha],"&lt;="&amp;EOMONTH(L$1,0),
FINANCIACION[PRESTAMO],$A15)</f>
        <v>0</v>
      </c>
      <c r="M15" s="52">
        <f>-SUMIFS(FINANCIACION[$ CAPITAL],
FINANCIACION[Fecha],"&lt;="&amp;EOMONTH(M$1,0),
FINANCIACION[PRESTAMO],$A15)</f>
        <v>0</v>
      </c>
      <c r="N15" s="52">
        <f>-SUMIFS(FINANCIACION[$ CAPITAL],
FINANCIACION[Fecha],"&lt;="&amp;EOMONTH(N$1,0),
FINANCIACION[PRESTAMO],$A15)</f>
        <v>0</v>
      </c>
      <c r="O15" s="52">
        <f>-SUMIFS(FINANCIACION[$ CAPITAL],
FINANCIACION[Fecha],"&lt;="&amp;EOMONTH(O$1,0),
FINANCIACION[PRESTAMO],$A15)</f>
        <v>0</v>
      </c>
      <c r="P15" s="52">
        <f>-SUMIFS(FINANCIACION[$ CAPITAL],
FINANCIACION[Fecha],"&lt;="&amp;EOMONTH(P$1,0),
FINANCIACION[PRESTAMO],$A15)</f>
        <v>0</v>
      </c>
      <c r="Q15" s="52">
        <f>-SUMIFS(FINANCIACION[$ CAPITAL],
FINANCIACION[Fecha],"&lt;="&amp;EOMONTH(Q$1,0),
FINANCIACION[PRESTAMO],$A15)</f>
        <v>0</v>
      </c>
      <c r="R15" s="52">
        <f>-SUMIFS(FINANCIACION[$ CAPITAL],
FINANCIACION[Fecha],"&lt;="&amp;EOMONTH(R$1,0),
FINANCIACION[PRESTAMO],$A15)</f>
        <v>0</v>
      </c>
      <c r="S15" s="52">
        <f>-SUMIFS(FINANCIACION[$ CAPITAL],
FINANCIACION[Fecha],"&lt;="&amp;EOMONTH(S$1,0),
FINANCIACION[PRESTAMO],$A15)</f>
        <v>0</v>
      </c>
      <c r="T15" s="52">
        <f>-SUMIFS(FINANCIACION[$ CAPITAL],
FINANCIACION[Fecha],"&lt;="&amp;EOMONTH(T$1,0),
FINANCIACION[PRESTAMO],$A15)</f>
        <v>0</v>
      </c>
      <c r="U15" s="52">
        <f>-SUMIFS(FINANCIACION[$ CAPITAL],
FINANCIACION[Fecha],"&lt;="&amp;EOMONTH(U$1,0),
FINANCIACION[PRESTAMO],$A15)</f>
        <v>0</v>
      </c>
      <c r="V15" s="52">
        <f>-SUMIFS(FINANCIACION[$ CAPITAL],
FINANCIACION[Fecha],"&lt;="&amp;EOMONTH(V$1,0),
FINANCIACION[PRESTAMO],$A15)</f>
        <v>0</v>
      </c>
      <c r="W15" s="52">
        <f>-SUMIFS(FINANCIACION[$ CAPITAL],
FINANCIACION[Fecha],"&lt;="&amp;EOMONTH(W$1,0),
FINANCIACION[PRESTAMO],$A15)</f>
        <v>0</v>
      </c>
      <c r="X15" s="52">
        <f>-SUMIFS(FINANCIACION[$ CAPITAL],
FINANCIACION[Fecha],"&lt;="&amp;EOMONTH(X$1,0),
FINANCIACION[PRESTAMO],$A15)</f>
        <v>0</v>
      </c>
    </row>
    <row r="16" spans="1:24" ht="21.6" customHeight="1" x14ac:dyDescent="0.3">
      <c r="A16" s="41" t="s">
        <v>563</v>
      </c>
      <c r="B16" s="52">
        <f>-SUMIFS(FINANCIACION[$ CAPITAL],
FINANCIACION[Fecha],"&lt;="&amp;EOMONTH(B$1,0),
FINANCIACION[PRESTAMO],$A16)</f>
        <v>0</v>
      </c>
      <c r="C16" s="52">
        <f>-SUMIFS(FINANCIACION[$ CAPITAL],
FINANCIACION[Fecha],"&lt;="&amp;EOMONTH(C$1,0),
FINANCIACION[PRESTAMO],$A16)</f>
        <v>0</v>
      </c>
      <c r="D16" s="52">
        <f>-SUMIFS(FINANCIACION[$ CAPITAL],
FINANCIACION[Fecha],"&lt;="&amp;EOMONTH(D$1,0),
FINANCIACION[PRESTAMO],$A16)</f>
        <v>0</v>
      </c>
      <c r="E16" s="52">
        <f>-SUMIFS(FINANCIACION[$ CAPITAL],
FINANCIACION[Fecha],"&lt;="&amp;EOMONTH(E$1,0),
FINANCIACION[PRESTAMO],$A16)</f>
        <v>0</v>
      </c>
      <c r="F16" s="52">
        <f>-SUMIFS(FINANCIACION[$ CAPITAL],
FINANCIACION[Fecha],"&lt;="&amp;EOMONTH(F$1,0),
FINANCIACION[PRESTAMO],$A16)</f>
        <v>0</v>
      </c>
      <c r="G16" s="52">
        <f>-SUMIFS(FINANCIACION[$ CAPITAL],
FINANCIACION[Fecha],"&lt;="&amp;EOMONTH(G$1,0),
FINANCIACION[PRESTAMO],$A16)</f>
        <v>0</v>
      </c>
      <c r="H16" s="52">
        <f>-SUMIFS(FINANCIACION[$ CAPITAL],
FINANCIACION[Fecha],"&lt;="&amp;EOMONTH(H$1,0),
FINANCIACION[PRESTAMO],$A16)</f>
        <v>0</v>
      </c>
      <c r="I16" s="52">
        <f>-SUMIFS(FINANCIACION[$ CAPITAL],
FINANCIACION[Fecha],"&lt;="&amp;EOMONTH(I$1,0),
FINANCIACION[PRESTAMO],$A16)</f>
        <v>0</v>
      </c>
      <c r="J16" s="52">
        <f>-SUMIFS(FINANCIACION[$ CAPITAL],
FINANCIACION[Fecha],"&lt;="&amp;EOMONTH(J$1,0),
FINANCIACION[PRESTAMO],$A16)</f>
        <v>0</v>
      </c>
      <c r="K16" s="52">
        <f>-SUMIFS(FINANCIACION[$ CAPITAL],
FINANCIACION[Fecha],"&lt;="&amp;EOMONTH(K$1,0),
FINANCIACION[PRESTAMO],$A16)</f>
        <v>0</v>
      </c>
      <c r="L16" s="52">
        <f>-SUMIFS(FINANCIACION[$ CAPITAL],
FINANCIACION[Fecha],"&lt;="&amp;EOMONTH(L$1,0),
FINANCIACION[PRESTAMO],$A16)</f>
        <v>0</v>
      </c>
      <c r="M16" s="52">
        <f>-SUMIFS(FINANCIACION[$ CAPITAL],
FINANCIACION[Fecha],"&lt;="&amp;EOMONTH(M$1,0),
FINANCIACION[PRESTAMO],$A16)</f>
        <v>0</v>
      </c>
      <c r="N16" s="52">
        <f>-SUMIFS(FINANCIACION[$ CAPITAL],
FINANCIACION[Fecha],"&lt;="&amp;EOMONTH(N$1,0),
FINANCIACION[PRESTAMO],$A16)</f>
        <v>0</v>
      </c>
      <c r="O16" s="52">
        <f>-SUMIFS(FINANCIACION[$ CAPITAL],
FINANCIACION[Fecha],"&lt;="&amp;EOMONTH(O$1,0),
FINANCIACION[PRESTAMO],$A16)</f>
        <v>0</v>
      </c>
      <c r="P16" s="52">
        <f>-SUMIFS(FINANCIACION[$ CAPITAL],
FINANCIACION[Fecha],"&lt;="&amp;EOMONTH(P$1,0),
FINANCIACION[PRESTAMO],$A16)</f>
        <v>0</v>
      </c>
      <c r="Q16" s="52">
        <f>-SUMIFS(FINANCIACION[$ CAPITAL],
FINANCIACION[Fecha],"&lt;="&amp;EOMONTH(Q$1,0),
FINANCIACION[PRESTAMO],$A16)</f>
        <v>0</v>
      </c>
      <c r="R16" s="52">
        <f>-SUMIFS(FINANCIACION[$ CAPITAL],
FINANCIACION[Fecha],"&lt;="&amp;EOMONTH(R$1,0),
FINANCIACION[PRESTAMO],$A16)</f>
        <v>0</v>
      </c>
      <c r="S16" s="52">
        <f>-SUMIFS(FINANCIACION[$ CAPITAL],
FINANCIACION[Fecha],"&lt;="&amp;EOMONTH(S$1,0),
FINANCIACION[PRESTAMO],$A16)</f>
        <v>0</v>
      </c>
      <c r="T16" s="52">
        <f>-SUMIFS(FINANCIACION[$ CAPITAL],
FINANCIACION[Fecha],"&lt;="&amp;EOMONTH(T$1,0),
FINANCIACION[PRESTAMO],$A16)</f>
        <v>0</v>
      </c>
      <c r="U16" s="52">
        <f>-SUMIFS(FINANCIACION[$ CAPITAL],
FINANCIACION[Fecha],"&lt;="&amp;EOMONTH(U$1,0),
FINANCIACION[PRESTAMO],$A16)</f>
        <v>0</v>
      </c>
      <c r="V16" s="52">
        <f>-SUMIFS(FINANCIACION[$ CAPITAL],
FINANCIACION[Fecha],"&lt;="&amp;EOMONTH(V$1,0),
FINANCIACION[PRESTAMO],$A16)</f>
        <v>0</v>
      </c>
      <c r="W16" s="52">
        <f>-SUMIFS(FINANCIACION[$ CAPITAL],
FINANCIACION[Fecha],"&lt;="&amp;EOMONTH(W$1,0),
FINANCIACION[PRESTAMO],$A16)</f>
        <v>0</v>
      </c>
      <c r="X16" s="52">
        <f>-SUMIFS(FINANCIACION[$ CAPITAL],
FINANCIACION[Fecha],"&lt;="&amp;EOMONTH(X$1,0),
FINANCIACION[PRESTAMO],$A16)</f>
        <v>0</v>
      </c>
    </row>
    <row r="17" spans="1:24" ht="21.6" customHeight="1" x14ac:dyDescent="0.3">
      <c r="A17" s="41" t="s">
        <v>550</v>
      </c>
      <c r="B17" s="52">
        <f>-SUMIFS(FINANCIACION[$ CAPITAL],
FINANCIACION[Fecha],"&lt;="&amp;EOMONTH(B$1,0),
FINANCIACION[PRESTAMO],$A17)</f>
        <v>23305032.5</v>
      </c>
      <c r="C17" s="52">
        <f>-SUMIFS(FINANCIACION[$ CAPITAL],
FINANCIACION[Fecha],"&lt;="&amp;EOMONTH(C$1,0),
FINANCIACION[PRESTAMO],$A17)</f>
        <v>23305032.5</v>
      </c>
      <c r="D17" s="52">
        <f>-SUMIFS(FINANCIACION[$ CAPITAL],
FINANCIACION[Fecha],"&lt;="&amp;EOMONTH(D$1,0),
FINANCIACION[PRESTAMO],$A17)</f>
        <v>23305032.5</v>
      </c>
      <c r="E17" s="52">
        <f>-SUMIFS(FINANCIACION[$ CAPITAL],
FINANCIACION[Fecha],"&lt;="&amp;EOMONTH(E$1,0),
FINANCIACION[PRESTAMO],$A17)</f>
        <v>23305032.5</v>
      </c>
      <c r="F17" s="52">
        <f>-SUMIFS(FINANCIACION[$ CAPITAL],
FINANCIACION[Fecha],"&lt;="&amp;EOMONTH(F$1,0),
FINANCIACION[PRESTAMO],$A17)</f>
        <v>23305032.5</v>
      </c>
      <c r="G17" s="52">
        <f>-SUMIFS(FINANCIACION[$ CAPITAL],
FINANCIACION[Fecha],"&lt;="&amp;EOMONTH(G$1,0),
FINANCIACION[PRESTAMO],$A17)</f>
        <v>23305032.5</v>
      </c>
      <c r="H17" s="52">
        <f>-SUMIFS(FINANCIACION[$ CAPITAL],
FINANCIACION[Fecha],"&lt;="&amp;EOMONTH(H$1,0),
FINANCIACION[PRESTAMO],$A17)</f>
        <v>23305032.5</v>
      </c>
      <c r="I17" s="52">
        <f>-SUMIFS(FINANCIACION[$ CAPITAL],
FINANCIACION[Fecha],"&lt;="&amp;EOMONTH(I$1,0),
FINANCIACION[PRESTAMO],$A17)</f>
        <v>23305032.5</v>
      </c>
      <c r="J17" s="52">
        <f>-SUMIFS(FINANCIACION[$ CAPITAL],
FINANCIACION[Fecha],"&lt;="&amp;EOMONTH(J$1,0),
FINANCIACION[PRESTAMO],$A17)</f>
        <v>23305032.5</v>
      </c>
      <c r="K17" s="52">
        <f>-SUMIFS(FINANCIACION[$ CAPITAL],
FINANCIACION[Fecha],"&lt;="&amp;EOMONTH(K$1,0),
FINANCIACION[PRESTAMO],$A17)</f>
        <v>23305032.5</v>
      </c>
      <c r="L17" s="52">
        <f>-SUMIFS(FINANCIACION[$ CAPITAL],
FINANCIACION[Fecha],"&lt;="&amp;EOMONTH(L$1,0),
FINANCIACION[PRESTAMO],$A17)</f>
        <v>23305032.5</v>
      </c>
      <c r="M17" s="52">
        <f>-SUMIFS(FINANCIACION[$ CAPITAL],
FINANCIACION[Fecha],"&lt;="&amp;EOMONTH(M$1,0),
FINANCIACION[PRESTAMO],$A17)</f>
        <v>23305032.5</v>
      </c>
      <c r="N17" s="52">
        <f>-SUMIFS(FINANCIACION[$ CAPITAL],
FINANCIACION[Fecha],"&lt;="&amp;EOMONTH(N$1,0),
FINANCIACION[PRESTAMO],$A17)</f>
        <v>0</v>
      </c>
      <c r="O17" s="52">
        <f>-SUMIFS(FINANCIACION[$ CAPITAL],
FINANCIACION[Fecha],"&lt;="&amp;EOMONTH(O$1,0),
FINANCIACION[PRESTAMO],$A17)</f>
        <v>0</v>
      </c>
      <c r="P17" s="52">
        <f>-SUMIFS(FINANCIACION[$ CAPITAL],
FINANCIACION[Fecha],"&lt;="&amp;EOMONTH(P$1,0),
FINANCIACION[PRESTAMO],$A17)</f>
        <v>0</v>
      </c>
      <c r="Q17" s="52">
        <f>-SUMIFS(FINANCIACION[$ CAPITAL],
FINANCIACION[Fecha],"&lt;="&amp;EOMONTH(Q$1,0),
FINANCIACION[PRESTAMO],$A17)</f>
        <v>0</v>
      </c>
      <c r="R17" s="52">
        <f>-SUMIFS(FINANCIACION[$ CAPITAL],
FINANCIACION[Fecha],"&lt;="&amp;EOMONTH(R$1,0),
FINANCIACION[PRESTAMO],$A17)</f>
        <v>0</v>
      </c>
      <c r="S17" s="52">
        <f>-SUMIFS(FINANCIACION[$ CAPITAL],
FINANCIACION[Fecha],"&lt;="&amp;EOMONTH(S$1,0),
FINANCIACION[PRESTAMO],$A17)</f>
        <v>0</v>
      </c>
      <c r="T17" s="52">
        <f>-SUMIFS(FINANCIACION[$ CAPITAL],
FINANCIACION[Fecha],"&lt;="&amp;EOMONTH(T$1,0),
FINANCIACION[PRESTAMO],$A17)</f>
        <v>0</v>
      </c>
      <c r="U17" s="52">
        <f>-SUMIFS(FINANCIACION[$ CAPITAL],
FINANCIACION[Fecha],"&lt;="&amp;EOMONTH(U$1,0),
FINANCIACION[PRESTAMO],$A17)</f>
        <v>0</v>
      </c>
      <c r="V17" s="52">
        <f>-SUMIFS(FINANCIACION[$ CAPITAL],
FINANCIACION[Fecha],"&lt;="&amp;EOMONTH(V$1,0),
FINANCIACION[PRESTAMO],$A17)</f>
        <v>0</v>
      </c>
      <c r="W17" s="52">
        <f>-SUMIFS(FINANCIACION[$ CAPITAL],
FINANCIACION[Fecha],"&lt;="&amp;EOMONTH(W$1,0),
FINANCIACION[PRESTAMO],$A17)</f>
        <v>0</v>
      </c>
      <c r="X17" s="52">
        <f>-SUMIFS(FINANCIACION[$ CAPITAL],
FINANCIACION[Fecha],"&lt;="&amp;EOMONTH(X$1,0),
FINANCIACION[PRESTAMO],$A17)</f>
        <v>0</v>
      </c>
    </row>
    <row r="18" spans="1:24" ht="21.6" customHeight="1" x14ac:dyDescent="0.3">
      <c r="A18" s="41" t="s">
        <v>541</v>
      </c>
      <c r="B18" s="52">
        <f>-SUMIFS(FINANCIACION[$ CAPITAL],
FINANCIACION[Fecha],"&lt;="&amp;EOMONTH(B$1,0),
FINANCIACION[PRESTAMO],$A18)</f>
        <v>8000000</v>
      </c>
      <c r="C18" s="52">
        <f>-SUMIFS(FINANCIACION[$ CAPITAL],
FINANCIACION[Fecha],"&lt;="&amp;EOMONTH(C$1,0),
FINANCIACION[PRESTAMO],$A18)</f>
        <v>8000000</v>
      </c>
      <c r="D18" s="52">
        <f>-SUMIFS(FINANCIACION[$ CAPITAL],
FINANCIACION[Fecha],"&lt;="&amp;EOMONTH(D$1,0),
FINANCIACION[PRESTAMO],$A18)</f>
        <v>8000000</v>
      </c>
      <c r="E18" s="52">
        <f>-SUMIFS(FINANCIACION[$ CAPITAL],
FINANCIACION[Fecha],"&lt;="&amp;EOMONTH(E$1,0),
FINANCIACION[PRESTAMO],$A18)</f>
        <v>8000000</v>
      </c>
      <c r="F18" s="52">
        <f>-SUMIFS(FINANCIACION[$ CAPITAL],
FINANCIACION[Fecha],"&lt;="&amp;EOMONTH(F$1,0),
FINANCIACION[PRESTAMO],$A18)</f>
        <v>8000000</v>
      </c>
      <c r="G18" s="52">
        <f>-SUMIFS(FINANCIACION[$ CAPITAL],
FINANCIACION[Fecha],"&lt;="&amp;EOMONTH(G$1,0),
FINANCIACION[PRESTAMO],$A18)</f>
        <v>8000000</v>
      </c>
      <c r="H18" s="52">
        <f>-SUMIFS(FINANCIACION[$ CAPITAL],
FINANCIACION[Fecha],"&lt;="&amp;EOMONTH(H$1,0),
FINANCIACION[PRESTAMO],$A18)</f>
        <v>8000000</v>
      </c>
      <c r="I18" s="52">
        <f>-SUMIFS(FINANCIACION[$ CAPITAL],
FINANCIACION[Fecha],"&lt;="&amp;EOMONTH(I$1,0),
FINANCIACION[PRESTAMO],$A18)</f>
        <v>8000000</v>
      </c>
      <c r="J18" s="52">
        <f>-SUMIFS(FINANCIACION[$ CAPITAL],
FINANCIACION[Fecha],"&lt;="&amp;EOMONTH(J$1,0),
FINANCIACION[PRESTAMO],$A18)</f>
        <v>8000000</v>
      </c>
      <c r="K18" s="52">
        <f>-SUMIFS(FINANCIACION[$ CAPITAL],
FINANCIACION[Fecha],"&lt;="&amp;EOMONTH(K$1,0),
FINANCIACION[PRESTAMO],$A18)</f>
        <v>8000000</v>
      </c>
      <c r="L18" s="52">
        <f>-SUMIFS(FINANCIACION[$ CAPITAL],
FINANCIACION[Fecha],"&lt;="&amp;EOMONTH(L$1,0),
FINANCIACION[PRESTAMO],$A18)</f>
        <v>8000000</v>
      </c>
      <c r="M18" s="52">
        <f>-SUMIFS(FINANCIACION[$ CAPITAL],
FINANCIACION[Fecha],"&lt;="&amp;EOMONTH(M$1,0),
FINANCIACION[PRESTAMO],$A18)</f>
        <v>8000000</v>
      </c>
      <c r="N18" s="52">
        <f>-SUMIFS(FINANCIACION[$ CAPITAL],
FINANCIACION[Fecha],"&lt;="&amp;EOMONTH(N$1,0),
FINANCIACION[PRESTAMO],$A18)</f>
        <v>0</v>
      </c>
      <c r="O18" s="52">
        <f>-SUMIFS(FINANCIACION[$ CAPITAL],
FINANCIACION[Fecha],"&lt;="&amp;EOMONTH(O$1,0),
FINANCIACION[PRESTAMO],$A18)</f>
        <v>0</v>
      </c>
      <c r="P18" s="52">
        <f>-SUMIFS(FINANCIACION[$ CAPITAL],
FINANCIACION[Fecha],"&lt;="&amp;EOMONTH(P$1,0),
FINANCIACION[PRESTAMO],$A18)</f>
        <v>0</v>
      </c>
      <c r="Q18" s="52">
        <f>-SUMIFS(FINANCIACION[$ CAPITAL],
FINANCIACION[Fecha],"&lt;="&amp;EOMONTH(Q$1,0),
FINANCIACION[PRESTAMO],$A18)</f>
        <v>0</v>
      </c>
      <c r="R18" s="52">
        <f>-SUMIFS(FINANCIACION[$ CAPITAL],
FINANCIACION[Fecha],"&lt;="&amp;EOMONTH(R$1,0),
FINANCIACION[PRESTAMO],$A18)</f>
        <v>0</v>
      </c>
      <c r="S18" s="52">
        <f>-SUMIFS(FINANCIACION[$ CAPITAL],
FINANCIACION[Fecha],"&lt;="&amp;EOMONTH(S$1,0),
FINANCIACION[PRESTAMO],$A18)</f>
        <v>0</v>
      </c>
      <c r="T18" s="52">
        <f>-SUMIFS(FINANCIACION[$ CAPITAL],
FINANCIACION[Fecha],"&lt;="&amp;EOMONTH(T$1,0),
FINANCIACION[PRESTAMO],$A18)</f>
        <v>0</v>
      </c>
      <c r="U18" s="52">
        <f>-SUMIFS(FINANCIACION[$ CAPITAL],
FINANCIACION[Fecha],"&lt;="&amp;EOMONTH(U$1,0),
FINANCIACION[PRESTAMO],$A18)</f>
        <v>0</v>
      </c>
      <c r="V18" s="52">
        <f>-SUMIFS(FINANCIACION[$ CAPITAL],
FINANCIACION[Fecha],"&lt;="&amp;EOMONTH(V$1,0),
FINANCIACION[PRESTAMO],$A18)</f>
        <v>0</v>
      </c>
      <c r="W18" s="52">
        <f>-SUMIFS(FINANCIACION[$ CAPITAL],
FINANCIACION[Fecha],"&lt;="&amp;EOMONTH(W$1,0),
FINANCIACION[PRESTAMO],$A18)</f>
        <v>0</v>
      </c>
      <c r="X18" s="52">
        <f>-SUMIFS(FINANCIACION[$ CAPITAL],
FINANCIACION[Fecha],"&lt;="&amp;EOMONTH(X$1,0),
FINANCIACION[PRESTAMO],$A18)</f>
        <v>0</v>
      </c>
    </row>
    <row r="19" spans="1:24" ht="21.6" customHeight="1" x14ac:dyDescent="0.3">
      <c r="A19" s="41" t="s">
        <v>545</v>
      </c>
      <c r="B19" s="52">
        <f>-SUMIFS(FINANCIACION[$ CAPITAL],
FINANCIACION[Fecha],"&lt;="&amp;EOMONTH(B$1,0),
FINANCIACION[PRESTAMO],$A19)</f>
        <v>12000000</v>
      </c>
      <c r="C19" s="52">
        <f>-SUMIFS(FINANCIACION[$ CAPITAL],
FINANCIACION[Fecha],"&lt;="&amp;EOMONTH(C$1,0),
FINANCIACION[PRESTAMO],$A19)</f>
        <v>12000000</v>
      </c>
      <c r="D19" s="52">
        <f>-SUMIFS(FINANCIACION[$ CAPITAL],
FINANCIACION[Fecha],"&lt;="&amp;EOMONTH(D$1,0),
FINANCIACION[PRESTAMO],$A19)</f>
        <v>12000000</v>
      </c>
      <c r="E19" s="52">
        <f>-SUMIFS(FINANCIACION[$ CAPITAL],
FINANCIACION[Fecha],"&lt;="&amp;EOMONTH(E$1,0),
FINANCIACION[PRESTAMO],$A19)</f>
        <v>12000000</v>
      </c>
      <c r="F19" s="52">
        <f>-SUMIFS(FINANCIACION[$ CAPITAL],
FINANCIACION[Fecha],"&lt;="&amp;EOMONTH(F$1,0),
FINANCIACION[PRESTAMO],$A19)</f>
        <v>12000000</v>
      </c>
      <c r="G19" s="52">
        <f>-SUMIFS(FINANCIACION[$ CAPITAL],
FINANCIACION[Fecha],"&lt;="&amp;EOMONTH(G$1,0),
FINANCIACION[PRESTAMO],$A19)</f>
        <v>12000000</v>
      </c>
      <c r="H19" s="52">
        <f>-SUMIFS(FINANCIACION[$ CAPITAL],
FINANCIACION[Fecha],"&lt;="&amp;EOMONTH(H$1,0),
FINANCIACION[PRESTAMO],$A19)</f>
        <v>12000000</v>
      </c>
      <c r="I19" s="52">
        <f>-SUMIFS(FINANCIACION[$ CAPITAL],
FINANCIACION[Fecha],"&lt;="&amp;EOMONTH(I$1,0),
FINANCIACION[PRESTAMO],$A19)</f>
        <v>12000000</v>
      </c>
      <c r="J19" s="52">
        <f>-SUMIFS(FINANCIACION[$ CAPITAL],
FINANCIACION[Fecha],"&lt;="&amp;EOMONTH(J$1,0),
FINANCIACION[PRESTAMO],$A19)</f>
        <v>12000000</v>
      </c>
      <c r="K19" s="52">
        <f>-SUMIFS(FINANCIACION[$ CAPITAL],
FINANCIACION[Fecha],"&lt;="&amp;EOMONTH(K$1,0),
FINANCIACION[PRESTAMO],$A19)</f>
        <v>12000000</v>
      </c>
      <c r="L19" s="52">
        <f>-SUMIFS(FINANCIACION[$ CAPITAL],
FINANCIACION[Fecha],"&lt;="&amp;EOMONTH(L$1,0),
FINANCIACION[PRESTAMO],$A19)</f>
        <v>12000000</v>
      </c>
      <c r="M19" s="52">
        <f>-SUMIFS(FINANCIACION[$ CAPITAL],
FINANCIACION[Fecha],"&lt;="&amp;EOMONTH(M$1,0),
FINANCIACION[PRESTAMO],$A19)</f>
        <v>12000000</v>
      </c>
      <c r="N19" s="52">
        <f>-SUMIFS(FINANCIACION[$ CAPITAL],
FINANCIACION[Fecha],"&lt;="&amp;EOMONTH(N$1,0),
FINANCIACION[PRESTAMO],$A19)</f>
        <v>0</v>
      </c>
      <c r="O19" s="52">
        <f>-SUMIFS(FINANCIACION[$ CAPITAL],
FINANCIACION[Fecha],"&lt;="&amp;EOMONTH(O$1,0),
FINANCIACION[PRESTAMO],$A19)</f>
        <v>0</v>
      </c>
      <c r="P19" s="52">
        <f>-SUMIFS(FINANCIACION[$ CAPITAL],
FINANCIACION[Fecha],"&lt;="&amp;EOMONTH(P$1,0),
FINANCIACION[PRESTAMO],$A19)</f>
        <v>0</v>
      </c>
      <c r="Q19" s="52">
        <f>-SUMIFS(FINANCIACION[$ CAPITAL],
FINANCIACION[Fecha],"&lt;="&amp;EOMONTH(Q$1,0),
FINANCIACION[PRESTAMO],$A19)</f>
        <v>0</v>
      </c>
      <c r="R19" s="52">
        <f>-SUMIFS(FINANCIACION[$ CAPITAL],
FINANCIACION[Fecha],"&lt;="&amp;EOMONTH(R$1,0),
FINANCIACION[PRESTAMO],$A19)</f>
        <v>0</v>
      </c>
      <c r="S19" s="52">
        <f>-SUMIFS(FINANCIACION[$ CAPITAL],
FINANCIACION[Fecha],"&lt;="&amp;EOMONTH(S$1,0),
FINANCIACION[PRESTAMO],$A19)</f>
        <v>0</v>
      </c>
      <c r="T19" s="52">
        <f>-SUMIFS(FINANCIACION[$ CAPITAL],
FINANCIACION[Fecha],"&lt;="&amp;EOMONTH(T$1,0),
FINANCIACION[PRESTAMO],$A19)</f>
        <v>0</v>
      </c>
      <c r="U19" s="52">
        <f>-SUMIFS(FINANCIACION[$ CAPITAL],
FINANCIACION[Fecha],"&lt;="&amp;EOMONTH(U$1,0),
FINANCIACION[PRESTAMO],$A19)</f>
        <v>0</v>
      </c>
      <c r="V19" s="52">
        <f>-SUMIFS(FINANCIACION[$ CAPITAL],
FINANCIACION[Fecha],"&lt;="&amp;EOMONTH(V$1,0),
FINANCIACION[PRESTAMO],$A19)</f>
        <v>0</v>
      </c>
      <c r="W19" s="52">
        <f>-SUMIFS(FINANCIACION[$ CAPITAL],
FINANCIACION[Fecha],"&lt;="&amp;EOMONTH(W$1,0),
FINANCIACION[PRESTAMO],$A19)</f>
        <v>0</v>
      </c>
      <c r="X19" s="52">
        <f>-SUMIFS(FINANCIACION[$ CAPITAL],
FINANCIACION[Fecha],"&lt;="&amp;EOMONTH(X$1,0),
FINANCIACION[PRESTAMO],$A19)</f>
        <v>0</v>
      </c>
    </row>
    <row r="20" spans="1:24" ht="21.6" customHeight="1" x14ac:dyDescent="0.3">
      <c r="A20" s="41" t="s">
        <v>145</v>
      </c>
      <c r="B20" s="52">
        <f>-SUMIFS(FINANCIACION[$ CAPITAL],
FINANCIACION[Fecha],"&lt;="&amp;EOMONTH(B$1,0),
FINANCIACION[PRESTAMO],$A20)</f>
        <v>0</v>
      </c>
      <c r="C20" s="52">
        <f>-SUMIFS(FINANCIACION[$ CAPITAL],
FINANCIACION[Fecha],"&lt;="&amp;EOMONTH(C$1,0),
FINANCIACION[PRESTAMO],$A20)</f>
        <v>0</v>
      </c>
      <c r="D20" s="52">
        <f>-SUMIFS(FINANCIACION[$ CAPITAL],
FINANCIACION[Fecha],"&lt;="&amp;EOMONTH(D$1,0),
FINANCIACION[PRESTAMO],$A20)</f>
        <v>0</v>
      </c>
      <c r="E20" s="52">
        <f>-SUMIFS(FINANCIACION[$ CAPITAL],
FINANCIACION[Fecha],"&lt;="&amp;EOMONTH(E$1,0),
FINANCIACION[PRESTAMO],$A20)</f>
        <v>0</v>
      </c>
      <c r="F20" s="52">
        <f>-SUMIFS(FINANCIACION[$ CAPITAL],
FINANCIACION[Fecha],"&lt;="&amp;EOMONTH(F$1,0),
FINANCIACION[PRESTAMO],$A20)</f>
        <v>0</v>
      </c>
      <c r="G20" s="52">
        <f>-SUMIFS(FINANCIACION[$ CAPITAL],
FINANCIACION[Fecha],"&lt;="&amp;EOMONTH(G$1,0),
FINANCIACION[PRESTAMO],$A20)</f>
        <v>0</v>
      </c>
      <c r="H20" s="52">
        <f>-SUMIFS(FINANCIACION[$ CAPITAL],
FINANCIACION[Fecha],"&lt;="&amp;EOMONTH(H$1,0),
FINANCIACION[PRESTAMO],$A20)</f>
        <v>0</v>
      </c>
      <c r="I20" s="52">
        <f>-SUMIFS(FINANCIACION[$ CAPITAL],
FINANCIACION[Fecha],"&lt;="&amp;EOMONTH(I$1,0),
FINANCIACION[PRESTAMO],$A20)</f>
        <v>0</v>
      </c>
      <c r="J20" s="52">
        <f>-SUMIFS(FINANCIACION[$ CAPITAL],
FINANCIACION[Fecha],"&lt;="&amp;EOMONTH(J$1,0),
FINANCIACION[PRESTAMO],$A20)</f>
        <v>0</v>
      </c>
      <c r="K20" s="52">
        <f>-SUMIFS(FINANCIACION[$ CAPITAL],
FINANCIACION[Fecha],"&lt;="&amp;EOMONTH(K$1,0),
FINANCIACION[PRESTAMO],$A20)</f>
        <v>0</v>
      </c>
      <c r="L20" s="52">
        <f>-SUMIFS(FINANCIACION[$ CAPITAL],
FINANCIACION[Fecha],"&lt;="&amp;EOMONTH(L$1,0),
FINANCIACION[PRESTAMO],$A20)</f>
        <v>0</v>
      </c>
      <c r="M20" s="52">
        <f>-SUMIFS(FINANCIACION[$ CAPITAL],
FINANCIACION[Fecha],"&lt;="&amp;EOMONTH(M$1,0),
FINANCIACION[PRESTAMO],$A20)</f>
        <v>0</v>
      </c>
      <c r="N20" s="52">
        <f>-SUMIFS(FINANCIACION[$ CAPITAL],
FINANCIACION[Fecha],"&lt;="&amp;EOMONTH(N$1,0),
FINANCIACION[PRESTAMO],$A20)</f>
        <v>0</v>
      </c>
      <c r="O20" s="52">
        <f>-SUMIFS(FINANCIACION[$ CAPITAL],
FINANCIACION[Fecha],"&lt;="&amp;EOMONTH(O$1,0),
FINANCIACION[PRESTAMO],$A20)</f>
        <v>0</v>
      </c>
      <c r="P20" s="52">
        <f>-SUMIFS(FINANCIACION[$ CAPITAL],
FINANCIACION[Fecha],"&lt;="&amp;EOMONTH(P$1,0),
FINANCIACION[PRESTAMO],$A20)</f>
        <v>0</v>
      </c>
      <c r="Q20" s="52">
        <f>-SUMIFS(FINANCIACION[$ CAPITAL],
FINANCIACION[Fecha],"&lt;="&amp;EOMONTH(Q$1,0),
FINANCIACION[PRESTAMO],$A20)</f>
        <v>0</v>
      </c>
      <c r="R20" s="52">
        <f>-SUMIFS(FINANCIACION[$ CAPITAL],
FINANCIACION[Fecha],"&lt;="&amp;EOMONTH(R$1,0),
FINANCIACION[PRESTAMO],$A20)</f>
        <v>0</v>
      </c>
      <c r="S20" s="52">
        <f>-SUMIFS(FINANCIACION[$ CAPITAL],
FINANCIACION[Fecha],"&lt;="&amp;EOMONTH(S$1,0),
FINANCIACION[PRESTAMO],$A20)</f>
        <v>0</v>
      </c>
      <c r="T20" s="52">
        <f>-SUMIFS(FINANCIACION[$ CAPITAL],
FINANCIACION[Fecha],"&lt;="&amp;EOMONTH(T$1,0),
FINANCIACION[PRESTAMO],$A20)</f>
        <v>0</v>
      </c>
      <c r="U20" s="52">
        <f>-SUMIFS(FINANCIACION[$ CAPITAL],
FINANCIACION[Fecha],"&lt;="&amp;EOMONTH(U$1,0),
FINANCIACION[PRESTAMO],$A20)</f>
        <v>0</v>
      </c>
      <c r="V20" s="52">
        <f>-SUMIFS(FINANCIACION[$ CAPITAL],
FINANCIACION[Fecha],"&lt;="&amp;EOMONTH(V$1,0),
FINANCIACION[PRESTAMO],$A20)</f>
        <v>0</v>
      </c>
      <c r="W20" s="52">
        <f>-SUMIFS(FINANCIACION[$ CAPITAL],
FINANCIACION[Fecha],"&lt;="&amp;EOMONTH(W$1,0),
FINANCIACION[PRESTAMO],$A20)</f>
        <v>0</v>
      </c>
      <c r="X20" s="52">
        <f>-SUMIFS(FINANCIACION[$ CAPITAL],
FINANCIACION[Fecha],"&lt;="&amp;EOMONTH(X$1,0),
FINANCIACION[PRESTAMO],$A20)</f>
        <v>0</v>
      </c>
    </row>
    <row r="21" spans="1:24" ht="21.6" customHeight="1" x14ac:dyDescent="0.3">
      <c r="A21" s="41" t="s">
        <v>146</v>
      </c>
      <c r="B21" s="52">
        <f>-SUMIFS(FINANCIACION[$ CAPITAL],
FINANCIACION[Fecha],"&lt;="&amp;EOMONTH(B$1,0),
FINANCIACION[PRESTAMO],$A21)</f>
        <v>38178400</v>
      </c>
      <c r="C21" s="52">
        <f>-SUMIFS(FINANCIACION[$ CAPITAL],
FINANCIACION[Fecha],"&lt;="&amp;EOMONTH(C$1,0),
FINANCIACION[PRESTAMO],$A21)</f>
        <v>38178400</v>
      </c>
      <c r="D21" s="52">
        <f>-SUMIFS(FINANCIACION[$ CAPITAL],
FINANCIACION[Fecha],"&lt;="&amp;EOMONTH(D$1,0),
FINANCIACION[PRESTAMO],$A21)</f>
        <v>38178400</v>
      </c>
      <c r="E21" s="52">
        <f>-SUMIFS(FINANCIACION[$ CAPITAL],
FINANCIACION[Fecha],"&lt;="&amp;EOMONTH(E$1,0),
FINANCIACION[PRESTAMO],$A21)</f>
        <v>38178400</v>
      </c>
      <c r="F21" s="52">
        <f>-SUMIFS(FINANCIACION[$ CAPITAL],
FINANCIACION[Fecha],"&lt;="&amp;EOMONTH(F$1,0),
FINANCIACION[PRESTAMO],$A21)</f>
        <v>38178400</v>
      </c>
      <c r="G21" s="52">
        <f>-SUMIFS(FINANCIACION[$ CAPITAL],
FINANCIACION[Fecha],"&lt;="&amp;EOMONTH(G$1,0),
FINANCIACION[PRESTAMO],$A21)</f>
        <v>38178400</v>
      </c>
      <c r="H21" s="52">
        <f>-SUMIFS(FINANCIACION[$ CAPITAL],
FINANCIACION[Fecha],"&lt;="&amp;EOMONTH(H$1,0),
FINANCIACION[PRESTAMO],$A21)</f>
        <v>38178400</v>
      </c>
      <c r="I21" s="52">
        <f>-SUMIFS(FINANCIACION[$ CAPITAL],
FINANCIACION[Fecha],"&lt;="&amp;EOMONTH(I$1,0),
FINANCIACION[PRESTAMO],$A21)</f>
        <v>38178400</v>
      </c>
      <c r="J21" s="52">
        <f>-SUMIFS(FINANCIACION[$ CAPITAL],
FINANCIACION[Fecha],"&lt;="&amp;EOMONTH(J$1,0),
FINANCIACION[PRESTAMO],$A21)</f>
        <v>38178400</v>
      </c>
      <c r="K21" s="52">
        <f>-SUMIFS(FINANCIACION[$ CAPITAL],
FINANCIACION[Fecha],"&lt;="&amp;EOMONTH(K$1,0),
FINANCIACION[PRESTAMO],$A21)</f>
        <v>38178400</v>
      </c>
      <c r="L21" s="52">
        <f>-SUMIFS(FINANCIACION[$ CAPITAL],
FINANCIACION[Fecha],"&lt;="&amp;EOMONTH(L$1,0),
FINANCIACION[PRESTAMO],$A21)</f>
        <v>38178400</v>
      </c>
      <c r="M21" s="52">
        <f>-SUMIFS(FINANCIACION[$ CAPITAL],
FINANCIACION[Fecha],"&lt;="&amp;EOMONTH(M$1,0),
FINANCIACION[PRESTAMO],$A21)</f>
        <v>38178400</v>
      </c>
      <c r="N21" s="52">
        <f>-SUMIFS(FINANCIACION[$ CAPITAL],
FINANCIACION[Fecha],"&lt;="&amp;EOMONTH(N$1,0),
FINANCIACION[PRESTAMO],$A21)</f>
        <v>0</v>
      </c>
      <c r="O21" s="52">
        <f>-SUMIFS(FINANCIACION[$ CAPITAL],
FINANCIACION[Fecha],"&lt;="&amp;EOMONTH(O$1,0),
FINANCIACION[PRESTAMO],$A21)</f>
        <v>0</v>
      </c>
      <c r="P21" s="52">
        <f>-SUMIFS(FINANCIACION[$ CAPITAL],
FINANCIACION[Fecha],"&lt;="&amp;EOMONTH(P$1,0),
FINANCIACION[PRESTAMO],$A21)</f>
        <v>0</v>
      </c>
      <c r="Q21" s="52">
        <f>-SUMIFS(FINANCIACION[$ CAPITAL],
FINANCIACION[Fecha],"&lt;="&amp;EOMONTH(Q$1,0),
FINANCIACION[PRESTAMO],$A21)</f>
        <v>0</v>
      </c>
      <c r="R21" s="52">
        <f>-SUMIFS(FINANCIACION[$ CAPITAL],
FINANCIACION[Fecha],"&lt;="&amp;EOMONTH(R$1,0),
FINANCIACION[PRESTAMO],$A21)</f>
        <v>0</v>
      </c>
      <c r="S21" s="52">
        <f>-SUMIFS(FINANCIACION[$ CAPITAL],
FINANCIACION[Fecha],"&lt;="&amp;EOMONTH(S$1,0),
FINANCIACION[PRESTAMO],$A21)</f>
        <v>0</v>
      </c>
      <c r="T21" s="52">
        <f>-SUMIFS(FINANCIACION[$ CAPITAL],
FINANCIACION[Fecha],"&lt;="&amp;EOMONTH(T$1,0),
FINANCIACION[PRESTAMO],$A21)</f>
        <v>0</v>
      </c>
      <c r="U21" s="52">
        <f>-SUMIFS(FINANCIACION[$ CAPITAL],
FINANCIACION[Fecha],"&lt;="&amp;EOMONTH(U$1,0),
FINANCIACION[PRESTAMO],$A21)</f>
        <v>0</v>
      </c>
      <c r="V21" s="52">
        <f>-SUMIFS(FINANCIACION[$ CAPITAL],
FINANCIACION[Fecha],"&lt;="&amp;EOMONTH(V$1,0),
FINANCIACION[PRESTAMO],$A21)</f>
        <v>0</v>
      </c>
      <c r="W21" s="52">
        <f>-SUMIFS(FINANCIACION[$ CAPITAL],
FINANCIACION[Fecha],"&lt;="&amp;EOMONTH(W$1,0),
FINANCIACION[PRESTAMO],$A21)</f>
        <v>0</v>
      </c>
      <c r="X21" s="52">
        <f>-SUMIFS(FINANCIACION[$ CAPITAL],
FINANCIACION[Fecha],"&lt;="&amp;EOMONTH(X$1,0),
FINANCIACION[PRESTAMO],$A21)</f>
        <v>0</v>
      </c>
    </row>
    <row r="22" spans="1:24" ht="21.6" customHeight="1" x14ac:dyDescent="0.3">
      <c r="A22" s="41" t="s">
        <v>147</v>
      </c>
      <c r="B22" s="52">
        <f>-SUMIFS(FINANCIACION[$ CAPITAL],
FINANCIACION[Fecha],"&lt;="&amp;EOMONTH(B$1,0),
FINANCIACION[PRESTAMO],$A22)</f>
        <v>1996566</v>
      </c>
      <c r="C22" s="52">
        <f>-SUMIFS(FINANCIACION[$ CAPITAL],
FINANCIACION[Fecha],"&lt;="&amp;EOMONTH(C$1,0),
FINANCIACION[PRESTAMO],$A22)</f>
        <v>1996566</v>
      </c>
      <c r="D22" s="52">
        <f>-SUMIFS(FINANCIACION[$ CAPITAL],
FINANCIACION[Fecha],"&lt;="&amp;EOMONTH(D$1,0),
FINANCIACION[PRESTAMO],$A22)</f>
        <v>1996566</v>
      </c>
      <c r="E22" s="52">
        <f>-SUMIFS(FINANCIACION[$ CAPITAL],
FINANCIACION[Fecha],"&lt;="&amp;EOMONTH(E$1,0),
FINANCIACION[PRESTAMO],$A22)</f>
        <v>1996566</v>
      </c>
      <c r="F22" s="52">
        <f>-SUMIFS(FINANCIACION[$ CAPITAL],
FINANCIACION[Fecha],"&lt;="&amp;EOMONTH(F$1,0),
FINANCIACION[PRESTAMO],$A22)</f>
        <v>1996566</v>
      </c>
      <c r="G22" s="52">
        <f>-SUMIFS(FINANCIACION[$ CAPITAL],
FINANCIACION[Fecha],"&lt;="&amp;EOMONTH(G$1,0),
FINANCIACION[PRESTAMO],$A22)</f>
        <v>1996566</v>
      </c>
      <c r="H22" s="52">
        <f>-SUMIFS(FINANCIACION[$ CAPITAL],
FINANCIACION[Fecha],"&lt;="&amp;EOMONTH(H$1,0),
FINANCIACION[PRESTAMO],$A22)</f>
        <v>1996566</v>
      </c>
      <c r="I22" s="52">
        <f>-SUMIFS(FINANCIACION[$ CAPITAL],
FINANCIACION[Fecha],"&lt;="&amp;EOMONTH(I$1,0),
FINANCIACION[PRESTAMO],$A22)</f>
        <v>1996566</v>
      </c>
      <c r="J22" s="52">
        <f>-SUMIFS(FINANCIACION[$ CAPITAL],
FINANCIACION[Fecha],"&lt;="&amp;EOMONTH(J$1,0),
FINANCIACION[PRESTAMO],$A22)</f>
        <v>1996566</v>
      </c>
      <c r="K22" s="52">
        <f>-SUMIFS(FINANCIACION[$ CAPITAL],
FINANCIACION[Fecha],"&lt;="&amp;EOMONTH(K$1,0),
FINANCIACION[PRESTAMO],$A22)</f>
        <v>1996566</v>
      </c>
      <c r="L22" s="52">
        <f>-SUMIFS(FINANCIACION[$ CAPITAL],
FINANCIACION[Fecha],"&lt;="&amp;EOMONTH(L$1,0),
FINANCIACION[PRESTAMO],$A22)</f>
        <v>1996566</v>
      </c>
      <c r="M22" s="52">
        <f>-SUMIFS(FINANCIACION[$ CAPITAL],
FINANCIACION[Fecha],"&lt;="&amp;EOMONTH(M$1,0),
FINANCIACION[PRESTAMO],$A22)</f>
        <v>1996566</v>
      </c>
      <c r="N22" s="52">
        <f>-SUMIFS(FINANCIACION[$ CAPITAL],
FINANCIACION[Fecha],"&lt;="&amp;EOMONTH(N$1,0),
FINANCIACION[PRESTAMO],$A22)</f>
        <v>0</v>
      </c>
      <c r="O22" s="52">
        <f>-SUMIFS(FINANCIACION[$ CAPITAL],
FINANCIACION[Fecha],"&lt;="&amp;EOMONTH(O$1,0),
FINANCIACION[PRESTAMO],$A22)</f>
        <v>0</v>
      </c>
      <c r="P22" s="52">
        <f>-SUMIFS(FINANCIACION[$ CAPITAL],
FINANCIACION[Fecha],"&lt;="&amp;EOMONTH(P$1,0),
FINANCIACION[PRESTAMO],$A22)</f>
        <v>0</v>
      </c>
      <c r="Q22" s="52">
        <f>-SUMIFS(FINANCIACION[$ CAPITAL],
FINANCIACION[Fecha],"&lt;="&amp;EOMONTH(Q$1,0),
FINANCIACION[PRESTAMO],$A22)</f>
        <v>0</v>
      </c>
      <c r="R22" s="52">
        <f>-SUMIFS(FINANCIACION[$ CAPITAL],
FINANCIACION[Fecha],"&lt;="&amp;EOMONTH(R$1,0),
FINANCIACION[PRESTAMO],$A22)</f>
        <v>0</v>
      </c>
      <c r="S22" s="52">
        <f>-SUMIFS(FINANCIACION[$ CAPITAL],
FINANCIACION[Fecha],"&lt;="&amp;EOMONTH(S$1,0),
FINANCIACION[PRESTAMO],$A22)</f>
        <v>0</v>
      </c>
      <c r="T22" s="52">
        <f>-SUMIFS(FINANCIACION[$ CAPITAL],
FINANCIACION[Fecha],"&lt;="&amp;EOMONTH(T$1,0),
FINANCIACION[PRESTAMO],$A22)</f>
        <v>0</v>
      </c>
      <c r="U22" s="52">
        <f>-SUMIFS(FINANCIACION[$ CAPITAL],
FINANCIACION[Fecha],"&lt;="&amp;EOMONTH(U$1,0),
FINANCIACION[PRESTAMO],$A22)</f>
        <v>0</v>
      </c>
      <c r="V22" s="52">
        <f>-SUMIFS(FINANCIACION[$ CAPITAL],
FINANCIACION[Fecha],"&lt;="&amp;EOMONTH(V$1,0),
FINANCIACION[PRESTAMO],$A22)</f>
        <v>0</v>
      </c>
      <c r="W22" s="52">
        <f>-SUMIFS(FINANCIACION[$ CAPITAL],
FINANCIACION[Fecha],"&lt;="&amp;EOMONTH(W$1,0),
FINANCIACION[PRESTAMO],$A22)</f>
        <v>0</v>
      </c>
      <c r="X22" s="52">
        <f>-SUMIFS(FINANCIACION[$ CAPITAL],
FINANCIACION[Fecha],"&lt;="&amp;EOMONTH(X$1,0),
FINANCIACION[PRESTAMO],$A22)</f>
        <v>0</v>
      </c>
    </row>
    <row r="23" spans="1:24" ht="21.6" customHeight="1" x14ac:dyDescent="0.3">
      <c r="A23" s="41" t="s">
        <v>552</v>
      </c>
      <c r="B23" s="52">
        <f>-SUMIFS(FINANCIACION[$ CAPITAL],
FINANCIACION[Fecha],"&lt;="&amp;EOMONTH(B$1,0),
FINANCIACION[PRESTAMO],$A23)</f>
        <v>0</v>
      </c>
      <c r="C23" s="52">
        <f>-SUMIFS(FINANCIACION[$ CAPITAL],
FINANCIACION[Fecha],"&lt;="&amp;EOMONTH(C$1,0),
FINANCIACION[PRESTAMO],$A23)</f>
        <v>0</v>
      </c>
      <c r="D23" s="52">
        <f>-SUMIFS(FINANCIACION[$ CAPITAL],
FINANCIACION[Fecha],"&lt;="&amp;EOMONTH(D$1,0),
FINANCIACION[PRESTAMO],$A23)</f>
        <v>0</v>
      </c>
      <c r="E23" s="52">
        <f>-SUMIFS(FINANCIACION[$ CAPITAL],
FINANCIACION[Fecha],"&lt;="&amp;EOMONTH(E$1,0),
FINANCIACION[PRESTAMO],$A23)</f>
        <v>0</v>
      </c>
      <c r="F23" s="52">
        <f>-SUMIFS(FINANCIACION[$ CAPITAL],
FINANCIACION[Fecha],"&lt;="&amp;EOMONTH(F$1,0),
FINANCIACION[PRESTAMO],$A23)</f>
        <v>0</v>
      </c>
      <c r="G23" s="52">
        <f>-SUMIFS(FINANCIACION[$ CAPITAL],
FINANCIACION[Fecha],"&lt;="&amp;EOMONTH(G$1,0),
FINANCIACION[PRESTAMO],$A23)</f>
        <v>0</v>
      </c>
      <c r="H23" s="52">
        <f>-SUMIFS(FINANCIACION[$ CAPITAL],
FINANCIACION[Fecha],"&lt;="&amp;EOMONTH(H$1,0),
FINANCIACION[PRESTAMO],$A23)</f>
        <v>0</v>
      </c>
      <c r="I23" s="52">
        <f>-SUMIFS(FINANCIACION[$ CAPITAL],
FINANCIACION[Fecha],"&lt;="&amp;EOMONTH(I$1,0),
FINANCIACION[PRESTAMO],$A23)</f>
        <v>0</v>
      </c>
      <c r="J23" s="52">
        <f>-SUMIFS(FINANCIACION[$ CAPITAL],
FINANCIACION[Fecha],"&lt;="&amp;EOMONTH(J$1,0),
FINANCIACION[PRESTAMO],$A23)</f>
        <v>0</v>
      </c>
      <c r="K23" s="52">
        <f>-SUMIFS(FINANCIACION[$ CAPITAL],
FINANCIACION[Fecha],"&lt;="&amp;EOMONTH(K$1,0),
FINANCIACION[PRESTAMO],$A23)</f>
        <v>0</v>
      </c>
      <c r="L23" s="52">
        <f>-SUMIFS(FINANCIACION[$ CAPITAL],
FINANCIACION[Fecha],"&lt;="&amp;EOMONTH(L$1,0),
FINANCIACION[PRESTAMO],$A23)</f>
        <v>0</v>
      </c>
      <c r="M23" s="52">
        <f>-SUMIFS(FINANCIACION[$ CAPITAL],
FINANCIACION[Fecha],"&lt;="&amp;EOMONTH(M$1,0),
FINANCIACION[PRESTAMO],$A23)</f>
        <v>0</v>
      </c>
      <c r="N23" s="52">
        <f>-SUMIFS(FINANCIACION[$ CAPITAL],
FINANCIACION[Fecha],"&lt;="&amp;EOMONTH(N$1,0),
FINANCIACION[PRESTAMO],$A23)</f>
        <v>0</v>
      </c>
      <c r="O23" s="52">
        <f>-SUMIFS(FINANCIACION[$ CAPITAL],
FINANCIACION[Fecha],"&lt;="&amp;EOMONTH(O$1,0),
FINANCIACION[PRESTAMO],$A23)</f>
        <v>0</v>
      </c>
      <c r="P23" s="52">
        <f>-SUMIFS(FINANCIACION[$ CAPITAL],
FINANCIACION[Fecha],"&lt;="&amp;EOMONTH(P$1,0),
FINANCIACION[PRESTAMO],$A23)</f>
        <v>0</v>
      </c>
      <c r="Q23" s="52">
        <f>-SUMIFS(FINANCIACION[$ CAPITAL],
FINANCIACION[Fecha],"&lt;="&amp;EOMONTH(Q$1,0),
FINANCIACION[PRESTAMO],$A23)</f>
        <v>0</v>
      </c>
      <c r="R23" s="52">
        <f>-SUMIFS(FINANCIACION[$ CAPITAL],
FINANCIACION[Fecha],"&lt;="&amp;EOMONTH(R$1,0),
FINANCIACION[PRESTAMO],$A23)</f>
        <v>0</v>
      </c>
      <c r="S23" s="52">
        <f>-SUMIFS(FINANCIACION[$ CAPITAL],
FINANCIACION[Fecha],"&lt;="&amp;EOMONTH(S$1,0),
FINANCIACION[PRESTAMO],$A23)</f>
        <v>0</v>
      </c>
      <c r="T23" s="52">
        <f>-SUMIFS(FINANCIACION[$ CAPITAL],
FINANCIACION[Fecha],"&lt;="&amp;EOMONTH(T$1,0),
FINANCIACION[PRESTAMO],$A23)</f>
        <v>0</v>
      </c>
      <c r="U23" s="52">
        <f>-SUMIFS(FINANCIACION[$ CAPITAL],
FINANCIACION[Fecha],"&lt;="&amp;EOMONTH(U$1,0),
FINANCIACION[PRESTAMO],$A23)</f>
        <v>0</v>
      </c>
      <c r="V23" s="52">
        <f>-SUMIFS(FINANCIACION[$ CAPITAL],
FINANCIACION[Fecha],"&lt;="&amp;EOMONTH(V$1,0),
FINANCIACION[PRESTAMO],$A23)</f>
        <v>0</v>
      </c>
      <c r="W23" s="52">
        <f>-SUMIFS(FINANCIACION[$ CAPITAL],
FINANCIACION[Fecha],"&lt;="&amp;EOMONTH(W$1,0),
FINANCIACION[PRESTAMO],$A23)</f>
        <v>0</v>
      </c>
      <c r="X23" s="52">
        <f>-SUMIFS(FINANCIACION[$ CAPITAL],
FINANCIACION[Fecha],"&lt;="&amp;EOMONTH(X$1,0),
FINANCIACION[PRESTAMO],$A23)</f>
        <v>0</v>
      </c>
    </row>
    <row r="24" spans="1:24" ht="21.6" customHeight="1" x14ac:dyDescent="0.3">
      <c r="A24" s="41" t="s">
        <v>1487</v>
      </c>
      <c r="B24" s="52">
        <f>-SUMIFS(FINANCIACION[$ CAPITAL],
FINANCIACION[Fecha],"&lt;="&amp;EOMONTH(B$1,0),
FINANCIACION[PRESTAMO],$A24)</f>
        <v>0</v>
      </c>
      <c r="C24" s="52">
        <f>-SUMIFS(FINANCIACION[$ CAPITAL],
FINANCIACION[Fecha],"&lt;="&amp;EOMONTH(C$1,0),
FINANCIACION[PRESTAMO],$A24)</f>
        <v>0</v>
      </c>
      <c r="D24" s="52">
        <f>-SUMIFS(FINANCIACION[$ CAPITAL],
FINANCIACION[Fecha],"&lt;="&amp;EOMONTH(D$1,0),
FINANCIACION[PRESTAMO],$A24)</f>
        <v>0</v>
      </c>
      <c r="E24" s="52">
        <f>-SUMIFS(FINANCIACION[$ CAPITAL],
FINANCIACION[Fecha],"&lt;="&amp;EOMONTH(E$1,0),
FINANCIACION[PRESTAMO],$A24)</f>
        <v>0</v>
      </c>
      <c r="F24" s="52">
        <f>-SUMIFS(FINANCIACION[$ CAPITAL],
FINANCIACION[Fecha],"&lt;="&amp;EOMONTH(F$1,0),
FINANCIACION[PRESTAMO],$A24)</f>
        <v>0</v>
      </c>
      <c r="G24" s="52">
        <f>-SUMIFS(FINANCIACION[$ CAPITAL],
FINANCIACION[Fecha],"&lt;="&amp;EOMONTH(G$1,0),
FINANCIACION[PRESTAMO],$A24)</f>
        <v>0</v>
      </c>
      <c r="H24" s="225">
        <f>-SUMIFS(FINANCIACION[$ CAPITAL],
FINANCIACION[Fecha],"&lt;="&amp;EOMONTH(H$1,0),
FINANCIACION[PRESTAMO],$A24)</f>
        <v>0</v>
      </c>
      <c r="I24" s="52">
        <f>-SUMIFS(FINANCIACION[$ CAPITAL],
FINANCIACION[Fecha],"&lt;="&amp;EOMONTH(I$1,0),
FINANCIACION[PRESTAMO],$A24)</f>
        <v>0</v>
      </c>
      <c r="J24" s="52">
        <f>-SUMIFS(FINANCIACION[$ CAPITAL],
FINANCIACION[Fecha],"&lt;="&amp;EOMONTH(J$1,0),
FINANCIACION[PRESTAMO],$A24)</f>
        <v>0</v>
      </c>
      <c r="K24" s="52">
        <f>-SUMIFS(FINANCIACION[$ CAPITAL],
FINANCIACION[Fecha],"&lt;="&amp;EOMONTH(K$1,0),
FINANCIACION[PRESTAMO],$A24)</f>
        <v>0</v>
      </c>
      <c r="L24" s="52">
        <f>-SUMIFS(FINANCIACION[$ CAPITAL],
FINANCIACION[Fecha],"&lt;="&amp;EOMONTH(L$1,0),
FINANCIACION[PRESTAMO],$A24)</f>
        <v>0</v>
      </c>
      <c r="M24" s="52">
        <f>-SUMIFS(FINANCIACION[$ CAPITAL],
FINANCIACION[Fecha],"&lt;="&amp;EOMONTH(M$1,0),
FINANCIACION[PRESTAMO],$A24)</f>
        <v>0</v>
      </c>
      <c r="N24" s="52">
        <f>-SUMIFS(FINANCIACION[$ CAPITAL],
FINANCIACION[Fecha],"&lt;="&amp;EOMONTH(N$1,0),
FINANCIACION[PRESTAMO],$A24)</f>
        <v>0</v>
      </c>
      <c r="O24" s="52">
        <f>-SUMIFS(FINANCIACION[$ CAPITAL],
FINANCIACION[Fecha],"&lt;="&amp;EOMONTH(O$1,0),
FINANCIACION[PRESTAMO],$A24)</f>
        <v>0</v>
      </c>
      <c r="P24" s="52">
        <f>-SUMIFS(FINANCIACION[$ CAPITAL],
FINANCIACION[Fecha],"&lt;="&amp;EOMONTH(P$1,0),
FINANCIACION[PRESTAMO],$A24)</f>
        <v>0</v>
      </c>
      <c r="Q24" s="52">
        <f>-SUMIFS(FINANCIACION[$ CAPITAL],
FINANCIACION[Fecha],"&lt;="&amp;EOMONTH(Q$1,0),
FINANCIACION[PRESTAMO],$A24)</f>
        <v>0</v>
      </c>
      <c r="R24" s="52">
        <f>-SUMIFS(FINANCIACION[$ CAPITAL],
FINANCIACION[Fecha],"&lt;="&amp;EOMONTH(R$1,0),
FINANCIACION[PRESTAMO],$A24)</f>
        <v>0</v>
      </c>
      <c r="S24" s="52">
        <f>-SUMIFS(FINANCIACION[$ CAPITAL],
FINANCIACION[Fecha],"&lt;="&amp;EOMONTH(S$1,0),
FINANCIACION[PRESTAMO],$A24)</f>
        <v>0</v>
      </c>
      <c r="T24" s="52">
        <f>-SUMIFS(FINANCIACION[$ CAPITAL],
FINANCIACION[Fecha],"&lt;="&amp;EOMONTH(T$1,0),
FINANCIACION[PRESTAMO],$A24)</f>
        <v>0</v>
      </c>
      <c r="U24" s="52">
        <f>-SUMIFS(FINANCIACION[$ CAPITAL],
FINANCIACION[Fecha],"&lt;="&amp;EOMONTH(U$1,0),
FINANCIACION[PRESTAMO],$A24)</f>
        <v>0</v>
      </c>
      <c r="V24" s="52">
        <f>-SUMIFS(FINANCIACION[$ CAPITAL],
FINANCIACION[Fecha],"&lt;="&amp;EOMONTH(V$1,0),
FINANCIACION[PRESTAMO],$A24)</f>
        <v>0</v>
      </c>
      <c r="W24" s="52">
        <f>-SUMIFS(FINANCIACION[$ CAPITAL],
FINANCIACION[Fecha],"&lt;="&amp;EOMONTH(W$1,0),
FINANCIACION[PRESTAMO],$A24)</f>
        <v>0</v>
      </c>
      <c r="X24" s="52">
        <f>-SUMIFS(FINANCIACION[$ CAPITAL],
FINANCIACION[Fecha],"&lt;="&amp;EOMONTH(X$1,0),
FINANCIACION[PRESTAMO],$A24)</f>
        <v>0</v>
      </c>
    </row>
    <row r="25" spans="1:24" ht="21.6" customHeight="1" x14ac:dyDescent="0.3">
      <c r="A25" s="41" t="s">
        <v>148</v>
      </c>
      <c r="B25" s="52">
        <f>-SUMIFS(FINANCIACION[$ CAPITAL],
FINANCIACION[Fecha],"&lt;="&amp;EOMONTH(B$1,0),
FINANCIACION[PRESTAMO],$A25)</f>
        <v>0</v>
      </c>
      <c r="C25" s="52">
        <f>-SUMIFS(FINANCIACION[$ CAPITAL],
FINANCIACION[Fecha],"&lt;="&amp;EOMONTH(C$1,0),
FINANCIACION[PRESTAMO],$A25)</f>
        <v>0</v>
      </c>
      <c r="D25" s="52">
        <f>-SUMIFS(FINANCIACION[$ CAPITAL],
FINANCIACION[Fecha],"&lt;="&amp;EOMONTH(D$1,0),
FINANCIACION[PRESTAMO],$A25)</f>
        <v>0</v>
      </c>
      <c r="E25" s="52">
        <f>-SUMIFS(FINANCIACION[$ CAPITAL],
FINANCIACION[Fecha],"&lt;="&amp;EOMONTH(E$1,0),
FINANCIACION[PRESTAMO],$A25)</f>
        <v>0</v>
      </c>
      <c r="F25" s="52">
        <f>-SUMIFS(FINANCIACION[$ CAPITAL],
FINANCIACION[Fecha],"&lt;="&amp;EOMONTH(F$1,0),
FINANCIACION[PRESTAMO],$A25)</f>
        <v>0</v>
      </c>
      <c r="G25" s="52">
        <f>-SUMIFS(FINANCIACION[$ CAPITAL],
FINANCIACION[Fecha],"&lt;="&amp;EOMONTH(G$1,0),
FINANCIACION[PRESTAMO],$A25)</f>
        <v>0</v>
      </c>
      <c r="H25" s="52">
        <f>-SUMIFS(FINANCIACION[$ CAPITAL],
FINANCIACION[Fecha],"&lt;="&amp;EOMONTH(H$1,0),
FINANCIACION[PRESTAMO],$A25)</f>
        <v>0</v>
      </c>
      <c r="I25" s="52">
        <f>-SUMIFS(FINANCIACION[$ CAPITAL],
FINANCIACION[Fecha],"&lt;="&amp;EOMONTH(I$1,0),
FINANCIACION[PRESTAMO],$A25)</f>
        <v>0</v>
      </c>
      <c r="J25" s="52">
        <f>-SUMIFS(FINANCIACION[$ CAPITAL],
FINANCIACION[Fecha],"&lt;="&amp;EOMONTH(J$1,0),
FINANCIACION[PRESTAMO],$A25)</f>
        <v>0</v>
      </c>
      <c r="K25" s="52">
        <f>-SUMIFS(FINANCIACION[$ CAPITAL],
FINANCIACION[Fecha],"&lt;="&amp;EOMONTH(K$1,0),
FINANCIACION[PRESTAMO],$A25)</f>
        <v>0</v>
      </c>
      <c r="L25" s="52">
        <f>-SUMIFS(FINANCIACION[$ CAPITAL],
FINANCIACION[Fecha],"&lt;="&amp;EOMONTH(L$1,0),
FINANCIACION[PRESTAMO],$A25)</f>
        <v>0</v>
      </c>
      <c r="M25" s="52">
        <f>-SUMIFS(FINANCIACION[$ CAPITAL],
FINANCIACION[Fecha],"&lt;="&amp;EOMONTH(M$1,0),
FINANCIACION[PRESTAMO],$A25)</f>
        <v>0</v>
      </c>
      <c r="N25" s="52">
        <f>-SUMIFS(FINANCIACION[$ CAPITAL],
FINANCIACION[Fecha],"&lt;="&amp;EOMONTH(N$1,0),
FINANCIACION[PRESTAMO],$A25)</f>
        <v>0</v>
      </c>
      <c r="O25" s="52">
        <f>-SUMIFS(FINANCIACION[$ CAPITAL],
FINANCIACION[Fecha],"&lt;="&amp;EOMONTH(O$1,0),
FINANCIACION[PRESTAMO],$A25)</f>
        <v>0</v>
      </c>
      <c r="P25" s="52">
        <f>-SUMIFS(FINANCIACION[$ CAPITAL],
FINANCIACION[Fecha],"&lt;="&amp;EOMONTH(P$1,0),
FINANCIACION[PRESTAMO],$A25)</f>
        <v>0</v>
      </c>
      <c r="Q25" s="52">
        <f>-SUMIFS(FINANCIACION[$ CAPITAL],
FINANCIACION[Fecha],"&lt;="&amp;EOMONTH(Q$1,0),
FINANCIACION[PRESTAMO],$A25)</f>
        <v>0</v>
      </c>
      <c r="R25" s="52">
        <f>-SUMIFS(FINANCIACION[$ CAPITAL],
FINANCIACION[Fecha],"&lt;="&amp;EOMONTH(R$1,0),
FINANCIACION[PRESTAMO],$A25)</f>
        <v>0</v>
      </c>
      <c r="S25" s="52">
        <f>-SUMIFS(FINANCIACION[$ CAPITAL],
FINANCIACION[Fecha],"&lt;="&amp;EOMONTH(S$1,0),
FINANCIACION[PRESTAMO],$A25)</f>
        <v>0</v>
      </c>
      <c r="T25" s="52">
        <f>-SUMIFS(FINANCIACION[$ CAPITAL],
FINANCIACION[Fecha],"&lt;="&amp;EOMONTH(T$1,0),
FINANCIACION[PRESTAMO],$A25)</f>
        <v>0</v>
      </c>
      <c r="U25" s="52">
        <f>-SUMIFS(FINANCIACION[$ CAPITAL],
FINANCIACION[Fecha],"&lt;="&amp;EOMONTH(U$1,0),
FINANCIACION[PRESTAMO],$A25)</f>
        <v>0</v>
      </c>
      <c r="V25" s="52">
        <f>-SUMIFS(FINANCIACION[$ CAPITAL],
FINANCIACION[Fecha],"&lt;="&amp;EOMONTH(V$1,0),
FINANCIACION[PRESTAMO],$A25)</f>
        <v>0</v>
      </c>
      <c r="W25" s="52">
        <f>-SUMIFS(FINANCIACION[$ CAPITAL],
FINANCIACION[Fecha],"&lt;="&amp;EOMONTH(W$1,0),
FINANCIACION[PRESTAMO],$A25)</f>
        <v>0</v>
      </c>
      <c r="X25" s="52">
        <f>-SUMIFS(FINANCIACION[$ CAPITAL],
FINANCIACION[Fecha],"&lt;="&amp;EOMONTH(X$1,0),
FINANCIACION[PRESTAMO],$A25)</f>
        <v>0</v>
      </c>
    </row>
    <row r="26" spans="1:24" ht="21.6" customHeight="1" x14ac:dyDescent="0.3">
      <c r="A26" s="41" t="s">
        <v>163</v>
      </c>
      <c r="B26" s="52">
        <f>-SUMIFS(FINANCIACION[$ CAPITAL],
FINANCIACION[Fecha],"&lt;="&amp;EOMONTH(B$1,0),
FINANCIACION[PRESTAMO],$A26)</f>
        <v>0</v>
      </c>
      <c r="C26" s="52">
        <f>-SUMIFS(FINANCIACION[$ CAPITAL],
FINANCIACION[Fecha],"&lt;="&amp;EOMONTH(C$1,0),
FINANCIACION[PRESTAMO],$A26)</f>
        <v>0</v>
      </c>
      <c r="D26" s="52">
        <f>-SUMIFS(FINANCIACION[$ CAPITAL],
FINANCIACION[Fecha],"&lt;="&amp;EOMONTH(D$1,0),
FINANCIACION[PRESTAMO],$A26)</f>
        <v>0</v>
      </c>
      <c r="E26" s="52">
        <f>-SUMIFS(FINANCIACION[$ CAPITAL],
FINANCIACION[Fecha],"&lt;="&amp;EOMONTH(E$1,0),
FINANCIACION[PRESTAMO],$A26)</f>
        <v>0</v>
      </c>
      <c r="F26" s="52">
        <f>-SUMIFS(FINANCIACION[$ CAPITAL],
FINANCIACION[Fecha],"&lt;="&amp;EOMONTH(F$1,0),
FINANCIACION[PRESTAMO],$A26)</f>
        <v>0</v>
      </c>
      <c r="G26" s="52">
        <f>-SUMIFS(FINANCIACION[$ CAPITAL],
FINANCIACION[Fecha],"&lt;="&amp;EOMONTH(G$1,0),
FINANCIACION[PRESTAMO],$A26)</f>
        <v>0</v>
      </c>
      <c r="H26" s="52">
        <f>-SUMIFS(FINANCIACION[$ CAPITAL],
FINANCIACION[Fecha],"&lt;="&amp;EOMONTH(H$1,0),
FINANCIACION[PRESTAMO],$A26)</f>
        <v>0</v>
      </c>
      <c r="I26" s="52">
        <f>-SUMIFS(FINANCIACION[$ CAPITAL],
FINANCIACION[Fecha],"&lt;="&amp;EOMONTH(I$1,0),
FINANCIACION[PRESTAMO],$A26)</f>
        <v>0</v>
      </c>
      <c r="J26" s="52">
        <f>-SUMIFS(FINANCIACION[$ CAPITAL],
FINANCIACION[Fecha],"&lt;="&amp;EOMONTH(J$1,0),
FINANCIACION[PRESTAMO],$A26)</f>
        <v>0</v>
      </c>
      <c r="K26" s="52">
        <f>-SUMIFS(FINANCIACION[$ CAPITAL],
FINANCIACION[Fecha],"&lt;="&amp;EOMONTH(K$1,0),
FINANCIACION[PRESTAMO],$A26)</f>
        <v>0</v>
      </c>
      <c r="L26" s="52">
        <f>-SUMIFS(FINANCIACION[$ CAPITAL],
FINANCIACION[Fecha],"&lt;="&amp;EOMONTH(L$1,0),
FINANCIACION[PRESTAMO],$A26)</f>
        <v>0</v>
      </c>
      <c r="M26" s="52">
        <f>-SUMIFS(FINANCIACION[$ CAPITAL],
FINANCIACION[Fecha],"&lt;="&amp;EOMONTH(M$1,0),
FINANCIACION[PRESTAMO],$A26)</f>
        <v>0</v>
      </c>
      <c r="N26" s="52">
        <f>-SUMIFS(FINANCIACION[$ CAPITAL],
FINANCIACION[Fecha],"&lt;="&amp;EOMONTH(N$1,0),
FINANCIACION[PRESTAMO],$A26)</f>
        <v>0</v>
      </c>
      <c r="O26" s="52">
        <f>-SUMIFS(FINANCIACION[$ CAPITAL],
FINANCIACION[Fecha],"&lt;="&amp;EOMONTH(O$1,0),
FINANCIACION[PRESTAMO],$A26)</f>
        <v>0</v>
      </c>
      <c r="P26" s="52">
        <f>-SUMIFS(FINANCIACION[$ CAPITAL],
FINANCIACION[Fecha],"&lt;="&amp;EOMONTH(P$1,0),
FINANCIACION[PRESTAMO],$A26)</f>
        <v>0</v>
      </c>
      <c r="Q26" s="52">
        <f>-SUMIFS(FINANCIACION[$ CAPITAL],
FINANCIACION[Fecha],"&lt;="&amp;EOMONTH(Q$1,0),
FINANCIACION[PRESTAMO],$A26)</f>
        <v>0</v>
      </c>
      <c r="R26" s="52">
        <f>-SUMIFS(FINANCIACION[$ CAPITAL],
FINANCIACION[Fecha],"&lt;="&amp;EOMONTH(R$1,0),
FINANCIACION[PRESTAMO],$A26)</f>
        <v>0</v>
      </c>
      <c r="S26" s="52">
        <f>-SUMIFS(FINANCIACION[$ CAPITAL],
FINANCIACION[Fecha],"&lt;="&amp;EOMONTH(S$1,0),
FINANCIACION[PRESTAMO],$A26)</f>
        <v>0</v>
      </c>
      <c r="T26" s="52">
        <f>-SUMIFS(FINANCIACION[$ CAPITAL],
FINANCIACION[Fecha],"&lt;="&amp;EOMONTH(T$1,0),
FINANCIACION[PRESTAMO],$A26)</f>
        <v>0</v>
      </c>
      <c r="U26" s="52">
        <f>-SUMIFS(FINANCIACION[$ CAPITAL],
FINANCIACION[Fecha],"&lt;="&amp;EOMONTH(U$1,0),
FINANCIACION[PRESTAMO],$A26)</f>
        <v>0</v>
      </c>
      <c r="V26" s="52">
        <f>-SUMIFS(FINANCIACION[$ CAPITAL],
FINANCIACION[Fecha],"&lt;="&amp;EOMONTH(V$1,0),
FINANCIACION[PRESTAMO],$A26)</f>
        <v>0</v>
      </c>
      <c r="W26" s="52">
        <f>-SUMIFS(FINANCIACION[$ CAPITAL],
FINANCIACION[Fecha],"&lt;="&amp;EOMONTH(W$1,0),
FINANCIACION[PRESTAMO],$A26)</f>
        <v>0</v>
      </c>
      <c r="X26" s="52">
        <f>-SUMIFS(FINANCIACION[$ CAPITAL],
FINANCIACION[Fecha],"&lt;="&amp;EOMONTH(X$1,0),
FINANCIACION[PRESTAMO],$A26)</f>
        <v>0</v>
      </c>
    </row>
    <row r="27" spans="1:24" ht="21.6" customHeight="1" x14ac:dyDescent="0.3">
      <c r="A27" s="41" t="s">
        <v>164</v>
      </c>
      <c r="B27" s="52">
        <f>-SUMIFS(FINANCIACION[$ CAPITAL],
FINANCIACION[Fecha],"&lt;="&amp;EOMONTH(B$1,0),
FINANCIACION[PRESTAMO],$A27)</f>
        <v>0</v>
      </c>
      <c r="C27" s="52">
        <f>-SUMIFS(FINANCIACION[$ CAPITAL],
FINANCIACION[Fecha],"&lt;="&amp;EOMONTH(C$1,0),
FINANCIACION[PRESTAMO],$A27)</f>
        <v>0</v>
      </c>
      <c r="D27" s="52">
        <f>-SUMIFS(FINANCIACION[$ CAPITAL],
FINANCIACION[Fecha],"&lt;="&amp;EOMONTH(D$1,0),
FINANCIACION[PRESTAMO],$A27)</f>
        <v>0</v>
      </c>
      <c r="E27" s="52">
        <f>-SUMIFS(FINANCIACION[$ CAPITAL],
FINANCIACION[Fecha],"&lt;="&amp;EOMONTH(E$1,0),
FINANCIACION[PRESTAMO],$A27)</f>
        <v>0</v>
      </c>
      <c r="F27" s="52">
        <f>-SUMIFS(FINANCIACION[$ CAPITAL],
FINANCIACION[Fecha],"&lt;="&amp;EOMONTH(F$1,0),
FINANCIACION[PRESTAMO],$A27)</f>
        <v>0</v>
      </c>
      <c r="G27" s="52">
        <f>-SUMIFS(FINANCIACION[$ CAPITAL],
FINANCIACION[Fecha],"&lt;="&amp;EOMONTH(G$1,0),
FINANCIACION[PRESTAMO],$A27)</f>
        <v>0</v>
      </c>
      <c r="H27" s="52">
        <f>-SUMIFS(FINANCIACION[$ CAPITAL],
FINANCIACION[Fecha],"&lt;="&amp;EOMONTH(H$1,0),
FINANCIACION[PRESTAMO],$A27)</f>
        <v>0</v>
      </c>
      <c r="I27" s="52">
        <f>-SUMIFS(FINANCIACION[$ CAPITAL],
FINANCIACION[Fecha],"&lt;="&amp;EOMONTH(I$1,0),
FINANCIACION[PRESTAMO],$A27)</f>
        <v>0</v>
      </c>
      <c r="J27" s="52">
        <f>-SUMIFS(FINANCIACION[$ CAPITAL],
FINANCIACION[Fecha],"&lt;="&amp;EOMONTH(J$1,0),
FINANCIACION[PRESTAMO],$A27)</f>
        <v>0</v>
      </c>
      <c r="K27" s="52">
        <f>-SUMIFS(FINANCIACION[$ CAPITAL],
FINANCIACION[Fecha],"&lt;="&amp;EOMONTH(K$1,0),
FINANCIACION[PRESTAMO],$A27)</f>
        <v>0</v>
      </c>
      <c r="L27" s="52">
        <f>-SUMIFS(FINANCIACION[$ CAPITAL],
FINANCIACION[Fecha],"&lt;="&amp;EOMONTH(L$1,0),
FINANCIACION[PRESTAMO],$A27)</f>
        <v>0</v>
      </c>
      <c r="M27" s="52">
        <f>-SUMIFS(FINANCIACION[$ CAPITAL],
FINANCIACION[Fecha],"&lt;="&amp;EOMONTH(M$1,0),
FINANCIACION[PRESTAMO],$A27)</f>
        <v>0</v>
      </c>
      <c r="N27" s="52">
        <f>-SUMIFS(FINANCIACION[$ CAPITAL],
FINANCIACION[Fecha],"&lt;="&amp;EOMONTH(N$1,0),
FINANCIACION[PRESTAMO],$A27)</f>
        <v>0</v>
      </c>
      <c r="O27" s="52">
        <f>-SUMIFS(FINANCIACION[$ CAPITAL],
FINANCIACION[Fecha],"&lt;="&amp;EOMONTH(O$1,0),
FINANCIACION[PRESTAMO],$A27)</f>
        <v>0</v>
      </c>
      <c r="P27" s="52">
        <f>-SUMIFS(FINANCIACION[$ CAPITAL],
FINANCIACION[Fecha],"&lt;="&amp;EOMONTH(P$1,0),
FINANCIACION[PRESTAMO],$A27)</f>
        <v>0</v>
      </c>
      <c r="Q27" s="52">
        <f>-SUMIFS(FINANCIACION[$ CAPITAL],
FINANCIACION[Fecha],"&lt;="&amp;EOMONTH(Q$1,0),
FINANCIACION[PRESTAMO],$A27)</f>
        <v>0</v>
      </c>
      <c r="R27" s="52">
        <f>-SUMIFS(FINANCIACION[$ CAPITAL],
FINANCIACION[Fecha],"&lt;="&amp;EOMONTH(R$1,0),
FINANCIACION[PRESTAMO],$A27)</f>
        <v>0</v>
      </c>
      <c r="S27" s="52">
        <f>-SUMIFS(FINANCIACION[$ CAPITAL],
FINANCIACION[Fecha],"&lt;="&amp;EOMONTH(S$1,0),
FINANCIACION[PRESTAMO],$A27)</f>
        <v>0</v>
      </c>
      <c r="T27" s="52">
        <f>-SUMIFS(FINANCIACION[$ CAPITAL],
FINANCIACION[Fecha],"&lt;="&amp;EOMONTH(T$1,0),
FINANCIACION[PRESTAMO],$A27)</f>
        <v>0</v>
      </c>
      <c r="U27" s="52">
        <f>-SUMIFS(FINANCIACION[$ CAPITAL],
FINANCIACION[Fecha],"&lt;="&amp;EOMONTH(U$1,0),
FINANCIACION[PRESTAMO],$A27)</f>
        <v>0</v>
      </c>
      <c r="V27" s="52">
        <f>-SUMIFS(FINANCIACION[$ CAPITAL],
FINANCIACION[Fecha],"&lt;="&amp;EOMONTH(V$1,0),
FINANCIACION[PRESTAMO],$A27)</f>
        <v>0</v>
      </c>
      <c r="W27" s="52">
        <f>-SUMIFS(FINANCIACION[$ CAPITAL],
FINANCIACION[Fecha],"&lt;="&amp;EOMONTH(W$1,0),
FINANCIACION[PRESTAMO],$A27)</f>
        <v>0</v>
      </c>
      <c r="X27" s="52">
        <f>-SUMIFS(FINANCIACION[$ CAPITAL],
FINANCIACION[Fecha],"&lt;="&amp;EOMONTH(X$1,0),
FINANCIACION[PRESTAMO],$A27)</f>
        <v>0</v>
      </c>
    </row>
    <row r="28" spans="1:24" ht="21.6" customHeight="1" x14ac:dyDescent="0.3">
      <c r="A28" s="41" t="s">
        <v>165</v>
      </c>
      <c r="B28" s="52">
        <f>-SUMIFS(FINANCIACION[$ CAPITAL],
FINANCIACION[Fecha],"&lt;="&amp;EOMONTH(B$1,0),
FINANCIACION[PRESTAMO],$A28)</f>
        <v>0</v>
      </c>
      <c r="C28" s="52">
        <f>-SUMIFS(FINANCIACION[$ CAPITAL],
FINANCIACION[Fecha],"&lt;="&amp;EOMONTH(C$1,0),
FINANCIACION[PRESTAMO],$A28)</f>
        <v>0</v>
      </c>
      <c r="D28" s="52">
        <f>-SUMIFS(FINANCIACION[$ CAPITAL],
FINANCIACION[Fecha],"&lt;="&amp;EOMONTH(D$1,0),
FINANCIACION[PRESTAMO],$A28)</f>
        <v>0</v>
      </c>
      <c r="E28" s="52">
        <f>-SUMIFS(FINANCIACION[$ CAPITAL],
FINANCIACION[Fecha],"&lt;="&amp;EOMONTH(E$1,0),
FINANCIACION[PRESTAMO],$A28)</f>
        <v>0</v>
      </c>
      <c r="F28" s="52">
        <f>-SUMIFS(FINANCIACION[$ CAPITAL],
FINANCIACION[Fecha],"&lt;="&amp;EOMONTH(F$1,0),
FINANCIACION[PRESTAMO],$A28)</f>
        <v>0</v>
      </c>
      <c r="G28" s="52">
        <f>-SUMIFS(FINANCIACION[$ CAPITAL],
FINANCIACION[Fecha],"&lt;="&amp;EOMONTH(G$1,0),
FINANCIACION[PRESTAMO],$A28)</f>
        <v>0</v>
      </c>
      <c r="H28" s="52">
        <f>-SUMIFS(FINANCIACION[$ CAPITAL],
FINANCIACION[Fecha],"&lt;="&amp;EOMONTH(H$1,0),
FINANCIACION[PRESTAMO],$A28)</f>
        <v>0</v>
      </c>
      <c r="I28" s="52">
        <f>-SUMIFS(FINANCIACION[$ CAPITAL],
FINANCIACION[Fecha],"&lt;="&amp;EOMONTH(I$1,0),
FINANCIACION[PRESTAMO],$A28)</f>
        <v>0</v>
      </c>
      <c r="J28" s="52">
        <f>-SUMIFS(FINANCIACION[$ CAPITAL],
FINANCIACION[Fecha],"&lt;="&amp;EOMONTH(J$1,0),
FINANCIACION[PRESTAMO],$A28)</f>
        <v>0</v>
      </c>
      <c r="K28" s="52">
        <f>-SUMIFS(FINANCIACION[$ CAPITAL],
FINANCIACION[Fecha],"&lt;="&amp;EOMONTH(K$1,0),
FINANCIACION[PRESTAMO],$A28)</f>
        <v>0</v>
      </c>
      <c r="L28" s="52">
        <f>-SUMIFS(FINANCIACION[$ CAPITAL],
FINANCIACION[Fecha],"&lt;="&amp;EOMONTH(L$1,0),
FINANCIACION[PRESTAMO],$A28)</f>
        <v>0</v>
      </c>
      <c r="M28" s="52">
        <f>-SUMIFS(FINANCIACION[$ CAPITAL],
FINANCIACION[Fecha],"&lt;="&amp;EOMONTH(M$1,0),
FINANCIACION[PRESTAMO],$A28)</f>
        <v>0</v>
      </c>
      <c r="N28" s="52">
        <f>-SUMIFS(FINANCIACION[$ CAPITAL],
FINANCIACION[Fecha],"&lt;="&amp;EOMONTH(N$1,0),
FINANCIACION[PRESTAMO],$A28)</f>
        <v>0</v>
      </c>
      <c r="O28" s="52">
        <f>-SUMIFS(FINANCIACION[$ CAPITAL],
FINANCIACION[Fecha],"&lt;="&amp;EOMONTH(O$1,0),
FINANCIACION[PRESTAMO],$A28)</f>
        <v>0</v>
      </c>
      <c r="P28" s="52">
        <f>-SUMIFS(FINANCIACION[$ CAPITAL],
FINANCIACION[Fecha],"&lt;="&amp;EOMONTH(P$1,0),
FINANCIACION[PRESTAMO],$A28)</f>
        <v>0</v>
      </c>
      <c r="Q28" s="52">
        <f>-SUMIFS(FINANCIACION[$ CAPITAL],
FINANCIACION[Fecha],"&lt;="&amp;EOMONTH(Q$1,0),
FINANCIACION[PRESTAMO],$A28)</f>
        <v>0</v>
      </c>
      <c r="R28" s="52">
        <f>-SUMIFS(FINANCIACION[$ CAPITAL],
FINANCIACION[Fecha],"&lt;="&amp;EOMONTH(R$1,0),
FINANCIACION[PRESTAMO],$A28)</f>
        <v>0</v>
      </c>
      <c r="S28" s="52">
        <f>-SUMIFS(FINANCIACION[$ CAPITAL],
FINANCIACION[Fecha],"&lt;="&amp;EOMONTH(S$1,0),
FINANCIACION[PRESTAMO],$A28)</f>
        <v>0</v>
      </c>
      <c r="T28" s="52">
        <f>-SUMIFS(FINANCIACION[$ CAPITAL],
FINANCIACION[Fecha],"&lt;="&amp;EOMONTH(T$1,0),
FINANCIACION[PRESTAMO],$A28)</f>
        <v>0</v>
      </c>
      <c r="U28" s="52">
        <f>-SUMIFS(FINANCIACION[$ CAPITAL],
FINANCIACION[Fecha],"&lt;="&amp;EOMONTH(U$1,0),
FINANCIACION[PRESTAMO],$A28)</f>
        <v>0</v>
      </c>
      <c r="V28" s="52">
        <f>-SUMIFS(FINANCIACION[$ CAPITAL],
FINANCIACION[Fecha],"&lt;="&amp;EOMONTH(V$1,0),
FINANCIACION[PRESTAMO],$A28)</f>
        <v>0</v>
      </c>
      <c r="W28" s="52">
        <f>-SUMIFS(FINANCIACION[$ CAPITAL],
FINANCIACION[Fecha],"&lt;="&amp;EOMONTH(W$1,0),
FINANCIACION[PRESTAMO],$A28)</f>
        <v>0</v>
      </c>
      <c r="X28" s="52">
        <f>-SUMIFS(FINANCIACION[$ CAPITAL],
FINANCIACION[Fecha],"&lt;="&amp;EOMONTH(X$1,0),
FINANCIACION[PRESTAMO],$A28)</f>
        <v>0</v>
      </c>
    </row>
    <row r="29" spans="1:24" ht="21.6" customHeight="1" x14ac:dyDescent="0.3">
      <c r="A29" s="41" t="s">
        <v>166</v>
      </c>
      <c r="B29" s="52">
        <f>-SUMIFS(FINANCIACION[$ CAPITAL],
FINANCIACION[Fecha],"&lt;="&amp;EOMONTH(B$1,0),
FINANCIACION[PRESTAMO],$A29)</f>
        <v>0</v>
      </c>
      <c r="C29" s="52">
        <f>-SUMIFS(FINANCIACION[$ CAPITAL],
FINANCIACION[Fecha],"&lt;="&amp;EOMONTH(C$1,0),
FINANCIACION[PRESTAMO],$A29)</f>
        <v>0</v>
      </c>
      <c r="D29" s="52">
        <f>-SUMIFS(FINANCIACION[$ CAPITAL],
FINANCIACION[Fecha],"&lt;="&amp;EOMONTH(D$1,0),
FINANCIACION[PRESTAMO],$A29)</f>
        <v>0</v>
      </c>
      <c r="E29" s="52">
        <f>-SUMIFS(FINANCIACION[$ CAPITAL],
FINANCIACION[Fecha],"&lt;="&amp;EOMONTH(E$1,0),
FINANCIACION[PRESTAMO],$A29)</f>
        <v>0</v>
      </c>
      <c r="F29" s="52">
        <f>-SUMIFS(FINANCIACION[$ CAPITAL],
FINANCIACION[Fecha],"&lt;="&amp;EOMONTH(F$1,0),
FINANCIACION[PRESTAMO],$A29)</f>
        <v>0</v>
      </c>
      <c r="G29" s="52">
        <f>-SUMIFS(FINANCIACION[$ CAPITAL],
FINANCIACION[Fecha],"&lt;="&amp;EOMONTH(G$1,0),
FINANCIACION[PRESTAMO],$A29)</f>
        <v>0</v>
      </c>
      <c r="H29" s="52">
        <f>-SUMIFS(FINANCIACION[$ CAPITAL],
FINANCIACION[Fecha],"&lt;="&amp;EOMONTH(H$1,0),
FINANCIACION[PRESTAMO],$A29)</f>
        <v>0</v>
      </c>
      <c r="I29" s="52">
        <f>-SUMIFS(FINANCIACION[$ CAPITAL],
FINANCIACION[Fecha],"&lt;="&amp;EOMONTH(I$1,0),
FINANCIACION[PRESTAMO],$A29)</f>
        <v>0</v>
      </c>
      <c r="J29" s="52">
        <f>-SUMIFS(FINANCIACION[$ CAPITAL],
FINANCIACION[Fecha],"&lt;="&amp;EOMONTH(J$1,0),
FINANCIACION[PRESTAMO],$A29)</f>
        <v>0</v>
      </c>
      <c r="K29" s="52">
        <f>-SUMIFS(FINANCIACION[$ CAPITAL],
FINANCIACION[Fecha],"&lt;="&amp;EOMONTH(K$1,0),
FINANCIACION[PRESTAMO],$A29)</f>
        <v>0</v>
      </c>
      <c r="L29" s="52">
        <f>-SUMIFS(FINANCIACION[$ CAPITAL],
FINANCIACION[Fecha],"&lt;="&amp;EOMONTH(L$1,0),
FINANCIACION[PRESTAMO],$A29)</f>
        <v>0</v>
      </c>
      <c r="M29" s="52">
        <f>-SUMIFS(FINANCIACION[$ CAPITAL],
FINANCIACION[Fecha],"&lt;="&amp;EOMONTH(M$1,0),
FINANCIACION[PRESTAMO],$A29)</f>
        <v>0</v>
      </c>
      <c r="N29" s="52">
        <f>-SUMIFS(FINANCIACION[$ CAPITAL],
FINANCIACION[Fecha],"&lt;="&amp;EOMONTH(N$1,0),
FINANCIACION[PRESTAMO],$A29)</f>
        <v>0</v>
      </c>
      <c r="O29" s="52">
        <f>-SUMIFS(FINANCIACION[$ CAPITAL],
FINANCIACION[Fecha],"&lt;="&amp;EOMONTH(O$1,0),
FINANCIACION[PRESTAMO],$A29)</f>
        <v>0</v>
      </c>
      <c r="P29" s="52">
        <f>-SUMIFS(FINANCIACION[$ CAPITAL],
FINANCIACION[Fecha],"&lt;="&amp;EOMONTH(P$1,0),
FINANCIACION[PRESTAMO],$A29)</f>
        <v>0</v>
      </c>
      <c r="Q29" s="52">
        <f>-SUMIFS(FINANCIACION[$ CAPITAL],
FINANCIACION[Fecha],"&lt;="&amp;EOMONTH(Q$1,0),
FINANCIACION[PRESTAMO],$A29)</f>
        <v>0</v>
      </c>
      <c r="R29" s="52">
        <f>-SUMIFS(FINANCIACION[$ CAPITAL],
FINANCIACION[Fecha],"&lt;="&amp;EOMONTH(R$1,0),
FINANCIACION[PRESTAMO],$A29)</f>
        <v>0</v>
      </c>
      <c r="S29" s="52">
        <f>-SUMIFS(FINANCIACION[$ CAPITAL],
FINANCIACION[Fecha],"&lt;="&amp;EOMONTH(S$1,0),
FINANCIACION[PRESTAMO],$A29)</f>
        <v>0</v>
      </c>
      <c r="T29" s="52">
        <f>-SUMIFS(FINANCIACION[$ CAPITAL],
FINANCIACION[Fecha],"&lt;="&amp;EOMONTH(T$1,0),
FINANCIACION[PRESTAMO],$A29)</f>
        <v>0</v>
      </c>
      <c r="U29" s="52">
        <f>-SUMIFS(FINANCIACION[$ CAPITAL],
FINANCIACION[Fecha],"&lt;="&amp;EOMONTH(U$1,0),
FINANCIACION[PRESTAMO],$A29)</f>
        <v>0</v>
      </c>
      <c r="V29" s="52">
        <f>-SUMIFS(FINANCIACION[$ CAPITAL],
FINANCIACION[Fecha],"&lt;="&amp;EOMONTH(V$1,0),
FINANCIACION[PRESTAMO],$A29)</f>
        <v>0</v>
      </c>
      <c r="W29" s="52">
        <f>-SUMIFS(FINANCIACION[$ CAPITAL],
FINANCIACION[Fecha],"&lt;="&amp;EOMONTH(W$1,0),
FINANCIACION[PRESTAMO],$A29)</f>
        <v>0</v>
      </c>
      <c r="X29" s="52">
        <f>-SUMIFS(FINANCIACION[$ CAPITAL],
FINANCIACION[Fecha],"&lt;="&amp;EOMONTH(X$1,0),
FINANCIACION[PRESTAMO],$A29)</f>
        <v>0</v>
      </c>
    </row>
    <row r="30" spans="1:24" ht="21.6" customHeight="1" x14ac:dyDescent="0.3">
      <c r="A30" s="41" t="s">
        <v>149</v>
      </c>
      <c r="B30" s="52">
        <f>-SUMIFS(FINANCIACION[$ CAPITAL],
FINANCIACION[Fecha],"&lt;="&amp;EOMONTH(B$1,0),
FINANCIACION[PRESTAMO],$A30)</f>
        <v>0</v>
      </c>
      <c r="C30" s="52">
        <f>-SUMIFS(FINANCIACION[$ CAPITAL],
FINANCIACION[Fecha],"&lt;="&amp;EOMONTH(C$1,0),
FINANCIACION[PRESTAMO],$A30)</f>
        <v>0</v>
      </c>
      <c r="D30" s="52">
        <f>-SUMIFS(FINANCIACION[$ CAPITAL],
FINANCIACION[Fecha],"&lt;="&amp;EOMONTH(D$1,0),
FINANCIACION[PRESTAMO],$A30)</f>
        <v>0</v>
      </c>
      <c r="E30" s="52">
        <f>-SUMIFS(FINANCIACION[$ CAPITAL],
FINANCIACION[Fecha],"&lt;="&amp;EOMONTH(E$1,0),
FINANCIACION[PRESTAMO],$A30)</f>
        <v>0</v>
      </c>
      <c r="F30" s="52">
        <f>-SUMIFS(FINANCIACION[$ CAPITAL],
FINANCIACION[Fecha],"&lt;="&amp;EOMONTH(F$1,0),
FINANCIACION[PRESTAMO],$A30)</f>
        <v>0</v>
      </c>
      <c r="G30" s="52">
        <f>-SUMIFS(FINANCIACION[$ CAPITAL],
FINANCIACION[Fecha],"&lt;="&amp;EOMONTH(G$1,0),
FINANCIACION[PRESTAMO],$A30)</f>
        <v>0</v>
      </c>
      <c r="H30" s="52">
        <f>-SUMIFS(FINANCIACION[$ CAPITAL],
FINANCIACION[Fecha],"&lt;="&amp;EOMONTH(H$1,0),
FINANCIACION[PRESTAMO],$A30)</f>
        <v>0</v>
      </c>
      <c r="I30" s="52">
        <f>-SUMIFS(FINANCIACION[$ CAPITAL],
FINANCIACION[Fecha],"&lt;="&amp;EOMONTH(I$1,0),
FINANCIACION[PRESTAMO],$A30)</f>
        <v>0</v>
      </c>
      <c r="J30" s="52">
        <f>-SUMIFS(FINANCIACION[$ CAPITAL],
FINANCIACION[Fecha],"&lt;="&amp;EOMONTH(J$1,0),
FINANCIACION[PRESTAMO],$A30)</f>
        <v>0</v>
      </c>
      <c r="K30" s="52">
        <f>-SUMIFS(FINANCIACION[$ CAPITAL],
FINANCIACION[Fecha],"&lt;="&amp;EOMONTH(K$1,0),
FINANCIACION[PRESTAMO],$A30)</f>
        <v>0</v>
      </c>
      <c r="L30" s="52">
        <f>-SUMIFS(FINANCIACION[$ CAPITAL],
FINANCIACION[Fecha],"&lt;="&amp;EOMONTH(L$1,0),
FINANCIACION[PRESTAMO],$A30)</f>
        <v>0</v>
      </c>
      <c r="M30" s="52">
        <f>-SUMIFS(FINANCIACION[$ CAPITAL],
FINANCIACION[Fecha],"&lt;="&amp;EOMONTH(M$1,0),
FINANCIACION[PRESTAMO],$A30)</f>
        <v>0</v>
      </c>
      <c r="N30" s="52">
        <f>-SUMIFS(FINANCIACION[$ CAPITAL],
FINANCIACION[Fecha],"&lt;="&amp;EOMONTH(N$1,0),
FINANCIACION[PRESTAMO],$A30)</f>
        <v>0</v>
      </c>
      <c r="O30" s="52">
        <f>-SUMIFS(FINANCIACION[$ CAPITAL],
FINANCIACION[Fecha],"&lt;="&amp;EOMONTH(O$1,0),
FINANCIACION[PRESTAMO],$A30)</f>
        <v>0</v>
      </c>
      <c r="P30" s="52">
        <f>-SUMIFS(FINANCIACION[$ CAPITAL],
FINANCIACION[Fecha],"&lt;="&amp;EOMONTH(P$1,0),
FINANCIACION[PRESTAMO],$A30)</f>
        <v>0</v>
      </c>
      <c r="Q30" s="52">
        <f>-SUMIFS(FINANCIACION[$ CAPITAL],
FINANCIACION[Fecha],"&lt;="&amp;EOMONTH(Q$1,0),
FINANCIACION[PRESTAMO],$A30)</f>
        <v>0</v>
      </c>
      <c r="R30" s="52">
        <f>-SUMIFS(FINANCIACION[$ CAPITAL],
FINANCIACION[Fecha],"&lt;="&amp;EOMONTH(R$1,0),
FINANCIACION[PRESTAMO],$A30)</f>
        <v>0</v>
      </c>
      <c r="S30" s="52">
        <f>-SUMIFS(FINANCIACION[$ CAPITAL],
FINANCIACION[Fecha],"&lt;="&amp;EOMONTH(S$1,0),
FINANCIACION[PRESTAMO],$A30)</f>
        <v>0</v>
      </c>
      <c r="T30" s="52">
        <f>-SUMIFS(FINANCIACION[$ CAPITAL],
FINANCIACION[Fecha],"&lt;="&amp;EOMONTH(T$1,0),
FINANCIACION[PRESTAMO],$A30)</f>
        <v>0</v>
      </c>
      <c r="U30" s="52">
        <f>-SUMIFS(FINANCIACION[$ CAPITAL],
FINANCIACION[Fecha],"&lt;="&amp;EOMONTH(U$1,0),
FINANCIACION[PRESTAMO],$A30)</f>
        <v>0</v>
      </c>
      <c r="V30" s="52">
        <f>-SUMIFS(FINANCIACION[$ CAPITAL],
FINANCIACION[Fecha],"&lt;="&amp;EOMONTH(V$1,0),
FINANCIACION[PRESTAMO],$A30)</f>
        <v>0</v>
      </c>
      <c r="W30" s="52">
        <f>-SUMIFS(FINANCIACION[$ CAPITAL],
FINANCIACION[Fecha],"&lt;="&amp;EOMONTH(W$1,0),
FINANCIACION[PRESTAMO],$A30)</f>
        <v>0</v>
      </c>
      <c r="X30" s="52">
        <f>-SUMIFS(FINANCIACION[$ CAPITAL],
FINANCIACION[Fecha],"&lt;="&amp;EOMONTH(X$1,0),
FINANCIACION[PRESTAMO],$A30)</f>
        <v>0</v>
      </c>
    </row>
    <row r="31" spans="1:24" ht="21.6" customHeight="1" x14ac:dyDescent="0.3">
      <c r="A31" s="41" t="s">
        <v>206</v>
      </c>
      <c r="B31" s="52">
        <f>-SUMIFS(FINANCIACION[$ CAPITAL],
FINANCIACION[Fecha],"&lt;="&amp;EOMONTH(B$1,0),
FINANCIACION[PRESTAMO],$A31)</f>
        <v>59935720</v>
      </c>
      <c r="C31" s="52">
        <f>-SUMIFS(FINANCIACION[$ CAPITAL],
FINANCIACION[Fecha],"&lt;="&amp;EOMONTH(C$1,0),
FINANCIACION[PRESTAMO],$A31)</f>
        <v>59935720</v>
      </c>
      <c r="D31" s="52">
        <f>-SUMIFS(FINANCIACION[$ CAPITAL],
FINANCIACION[Fecha],"&lt;="&amp;EOMONTH(D$1,0),
FINANCIACION[PRESTAMO],$A31)</f>
        <v>59935720</v>
      </c>
      <c r="E31" s="52">
        <f>-SUMIFS(FINANCIACION[$ CAPITAL],
FINANCIACION[Fecha],"&lt;="&amp;EOMONTH(E$1,0),
FINANCIACION[PRESTAMO],$A31)</f>
        <v>59935720</v>
      </c>
      <c r="F31" s="52">
        <f>-SUMIFS(FINANCIACION[$ CAPITAL],
FINANCIACION[Fecha],"&lt;="&amp;EOMONTH(F$1,0),
FINANCIACION[PRESTAMO],$A31)</f>
        <v>59935720</v>
      </c>
      <c r="G31" s="52">
        <f>-SUMIFS(FINANCIACION[$ CAPITAL],
FINANCIACION[Fecha],"&lt;="&amp;EOMONTH(G$1,0),
FINANCIACION[PRESTAMO],$A31)</f>
        <v>59935720</v>
      </c>
      <c r="H31" s="52">
        <f>-SUMIFS(FINANCIACION[$ CAPITAL],
FINANCIACION[Fecha],"&lt;="&amp;EOMONTH(H$1,0),
FINANCIACION[PRESTAMO],$A31)</f>
        <v>59935720</v>
      </c>
      <c r="I31" s="52">
        <f>-SUMIFS(FINANCIACION[$ CAPITAL],
FINANCIACION[Fecha],"&lt;="&amp;EOMONTH(I$1,0),
FINANCIACION[PRESTAMO],$A31)</f>
        <v>59935720</v>
      </c>
      <c r="J31" s="52">
        <f>-SUMIFS(FINANCIACION[$ CAPITAL],
FINANCIACION[Fecha],"&lt;="&amp;EOMONTH(J$1,0),
FINANCIACION[PRESTAMO],$A31)</f>
        <v>59935720</v>
      </c>
      <c r="K31" s="52">
        <f>-SUMIFS(FINANCIACION[$ CAPITAL],
FINANCIACION[Fecha],"&lt;="&amp;EOMONTH(K$1,0),
FINANCIACION[PRESTAMO],$A31)</f>
        <v>59935720</v>
      </c>
      <c r="L31" s="52">
        <f>-SUMIFS(FINANCIACION[$ CAPITAL],
FINANCIACION[Fecha],"&lt;="&amp;EOMONTH(L$1,0),
FINANCIACION[PRESTAMO],$A31)</f>
        <v>59935720</v>
      </c>
      <c r="M31" s="52">
        <f>-SUMIFS(FINANCIACION[$ CAPITAL],
FINANCIACION[Fecha],"&lt;="&amp;EOMONTH(M$1,0),
FINANCIACION[PRESTAMO],$A31)</f>
        <v>59935720</v>
      </c>
      <c r="N31" s="52">
        <f>-SUMIFS(FINANCIACION[$ CAPITAL],
FINANCIACION[Fecha],"&lt;="&amp;EOMONTH(N$1,0),
FINANCIACION[PRESTAMO],$A31)</f>
        <v>0</v>
      </c>
      <c r="O31" s="52">
        <f>-SUMIFS(FINANCIACION[$ CAPITAL],
FINANCIACION[Fecha],"&lt;="&amp;EOMONTH(O$1,0),
FINANCIACION[PRESTAMO],$A31)</f>
        <v>0</v>
      </c>
      <c r="P31" s="52">
        <f>-SUMIFS(FINANCIACION[$ CAPITAL],
FINANCIACION[Fecha],"&lt;="&amp;EOMONTH(P$1,0),
FINANCIACION[PRESTAMO],$A31)</f>
        <v>0</v>
      </c>
      <c r="Q31" s="52">
        <f>-SUMIFS(FINANCIACION[$ CAPITAL],
FINANCIACION[Fecha],"&lt;="&amp;EOMONTH(Q$1,0),
FINANCIACION[PRESTAMO],$A31)</f>
        <v>0</v>
      </c>
      <c r="R31" s="52">
        <f>-SUMIFS(FINANCIACION[$ CAPITAL],
FINANCIACION[Fecha],"&lt;="&amp;EOMONTH(R$1,0),
FINANCIACION[PRESTAMO],$A31)</f>
        <v>0</v>
      </c>
      <c r="S31" s="52">
        <f>-SUMIFS(FINANCIACION[$ CAPITAL],
FINANCIACION[Fecha],"&lt;="&amp;EOMONTH(S$1,0),
FINANCIACION[PRESTAMO],$A31)</f>
        <v>0</v>
      </c>
      <c r="T31" s="52">
        <f>-SUMIFS(FINANCIACION[$ CAPITAL],
FINANCIACION[Fecha],"&lt;="&amp;EOMONTH(T$1,0),
FINANCIACION[PRESTAMO],$A31)</f>
        <v>0</v>
      </c>
      <c r="U31" s="52">
        <f>-SUMIFS(FINANCIACION[$ CAPITAL],
FINANCIACION[Fecha],"&lt;="&amp;EOMONTH(U$1,0),
FINANCIACION[PRESTAMO],$A31)</f>
        <v>0</v>
      </c>
      <c r="V31" s="52">
        <f>-SUMIFS(FINANCIACION[$ CAPITAL],
FINANCIACION[Fecha],"&lt;="&amp;EOMONTH(V$1,0),
FINANCIACION[PRESTAMO],$A31)</f>
        <v>0</v>
      </c>
      <c r="W31" s="52">
        <f>-SUMIFS(FINANCIACION[$ CAPITAL],
FINANCIACION[Fecha],"&lt;="&amp;EOMONTH(W$1,0),
FINANCIACION[PRESTAMO],$A31)</f>
        <v>0</v>
      </c>
      <c r="X31" s="52">
        <f>-SUMIFS(FINANCIACION[$ CAPITAL],
FINANCIACION[Fecha],"&lt;="&amp;EOMONTH(X$1,0),
FINANCIACION[PRESTAMO],$A31)</f>
        <v>0</v>
      </c>
    </row>
    <row r="32" spans="1:24" ht="21.6" customHeight="1" x14ac:dyDescent="0.3">
      <c r="A32" s="41" t="s">
        <v>234</v>
      </c>
      <c r="B32" s="52">
        <f>-SUMIFS(FINANCIACION[$ CAPITAL],
FINANCIACION[Fecha],"&lt;="&amp;EOMONTH(B$1,0),
FINANCIACION[PRESTAMO],$A32)</f>
        <v>23708120</v>
      </c>
      <c r="C32" s="52">
        <f>-SUMIFS(FINANCIACION[$ CAPITAL],
FINANCIACION[Fecha],"&lt;="&amp;EOMONTH(C$1,0),
FINANCIACION[PRESTAMO],$A32)</f>
        <v>23708120</v>
      </c>
      <c r="D32" s="52">
        <f>-SUMIFS(FINANCIACION[$ CAPITAL],
FINANCIACION[Fecha],"&lt;="&amp;EOMONTH(D$1,0),
FINANCIACION[PRESTAMO],$A32)</f>
        <v>23708120</v>
      </c>
      <c r="E32" s="52">
        <f>-SUMIFS(FINANCIACION[$ CAPITAL],
FINANCIACION[Fecha],"&lt;="&amp;EOMONTH(E$1,0),
FINANCIACION[PRESTAMO],$A32)</f>
        <v>23708120</v>
      </c>
      <c r="F32" s="52">
        <f>-SUMIFS(FINANCIACION[$ CAPITAL],
FINANCIACION[Fecha],"&lt;="&amp;EOMONTH(F$1,0),
FINANCIACION[PRESTAMO],$A32)</f>
        <v>23708120</v>
      </c>
      <c r="G32" s="52">
        <f>-SUMIFS(FINANCIACION[$ CAPITAL],
FINANCIACION[Fecha],"&lt;="&amp;EOMONTH(G$1,0),
FINANCIACION[PRESTAMO],$A32)</f>
        <v>23708120</v>
      </c>
      <c r="H32" s="52">
        <f>-SUMIFS(FINANCIACION[$ CAPITAL],
FINANCIACION[Fecha],"&lt;="&amp;EOMONTH(H$1,0),
FINANCIACION[PRESTAMO],$A32)</f>
        <v>23708120</v>
      </c>
      <c r="I32" s="52">
        <f>-SUMIFS(FINANCIACION[$ CAPITAL],
FINANCIACION[Fecha],"&lt;="&amp;EOMONTH(I$1,0),
FINANCIACION[PRESTAMO],$A32)</f>
        <v>23708120</v>
      </c>
      <c r="J32" s="52">
        <f>-SUMIFS(FINANCIACION[$ CAPITAL],
FINANCIACION[Fecha],"&lt;="&amp;EOMONTH(J$1,0),
FINANCIACION[PRESTAMO],$A32)</f>
        <v>23708120</v>
      </c>
      <c r="K32" s="52">
        <f>-SUMIFS(FINANCIACION[$ CAPITAL],
FINANCIACION[Fecha],"&lt;="&amp;EOMONTH(K$1,0),
FINANCIACION[PRESTAMO],$A32)</f>
        <v>23708120</v>
      </c>
      <c r="L32" s="52">
        <f>-SUMIFS(FINANCIACION[$ CAPITAL],
FINANCIACION[Fecha],"&lt;="&amp;EOMONTH(L$1,0),
FINANCIACION[PRESTAMO],$A32)</f>
        <v>23708120</v>
      </c>
      <c r="M32" s="52">
        <f>-SUMIFS(FINANCIACION[$ CAPITAL],
FINANCIACION[Fecha],"&lt;="&amp;EOMONTH(M$1,0),
FINANCIACION[PRESTAMO],$A32)</f>
        <v>23708120</v>
      </c>
      <c r="N32" s="52">
        <f>-SUMIFS(FINANCIACION[$ CAPITAL],
FINANCIACION[Fecha],"&lt;="&amp;EOMONTH(N$1,0),
FINANCIACION[PRESTAMO],$A32)</f>
        <v>0</v>
      </c>
      <c r="O32" s="52">
        <f>-SUMIFS(FINANCIACION[$ CAPITAL],
FINANCIACION[Fecha],"&lt;="&amp;EOMONTH(O$1,0),
FINANCIACION[PRESTAMO],$A32)</f>
        <v>0</v>
      </c>
      <c r="P32" s="52">
        <f>-SUMIFS(FINANCIACION[$ CAPITAL],
FINANCIACION[Fecha],"&lt;="&amp;EOMONTH(P$1,0),
FINANCIACION[PRESTAMO],$A32)</f>
        <v>0</v>
      </c>
      <c r="Q32" s="52">
        <f>-SUMIFS(FINANCIACION[$ CAPITAL],
FINANCIACION[Fecha],"&lt;="&amp;EOMONTH(Q$1,0),
FINANCIACION[PRESTAMO],$A32)</f>
        <v>0</v>
      </c>
      <c r="R32" s="52">
        <f>-SUMIFS(FINANCIACION[$ CAPITAL],
FINANCIACION[Fecha],"&lt;="&amp;EOMONTH(R$1,0),
FINANCIACION[PRESTAMO],$A32)</f>
        <v>0</v>
      </c>
      <c r="S32" s="52">
        <f>-SUMIFS(FINANCIACION[$ CAPITAL],
FINANCIACION[Fecha],"&lt;="&amp;EOMONTH(S$1,0),
FINANCIACION[PRESTAMO],$A32)</f>
        <v>0</v>
      </c>
      <c r="T32" s="52">
        <f>-SUMIFS(FINANCIACION[$ CAPITAL],
FINANCIACION[Fecha],"&lt;="&amp;EOMONTH(T$1,0),
FINANCIACION[PRESTAMO],$A32)</f>
        <v>0</v>
      </c>
      <c r="U32" s="52">
        <f>-SUMIFS(FINANCIACION[$ CAPITAL],
FINANCIACION[Fecha],"&lt;="&amp;EOMONTH(U$1,0),
FINANCIACION[PRESTAMO],$A32)</f>
        <v>0</v>
      </c>
      <c r="V32" s="52">
        <f>-SUMIFS(FINANCIACION[$ CAPITAL],
FINANCIACION[Fecha],"&lt;="&amp;EOMONTH(V$1,0),
FINANCIACION[PRESTAMO],$A32)</f>
        <v>0</v>
      </c>
      <c r="W32" s="52">
        <f>-SUMIFS(FINANCIACION[$ CAPITAL],
FINANCIACION[Fecha],"&lt;="&amp;EOMONTH(W$1,0),
FINANCIACION[PRESTAMO],$A32)</f>
        <v>0</v>
      </c>
      <c r="X32" s="52">
        <f>-SUMIFS(FINANCIACION[$ CAPITAL],
FINANCIACION[Fecha],"&lt;="&amp;EOMONTH(X$1,0),
FINANCIACION[PRESTAMO],$A32)</f>
        <v>0</v>
      </c>
    </row>
    <row r="33" spans="1:24" ht="21.6" customHeight="1" x14ac:dyDescent="0.3">
      <c r="A33" s="41" t="s">
        <v>272</v>
      </c>
      <c r="B33" s="52">
        <f>-SUMIFS(FINANCIACION[$ CAPITAL],
FINANCIACION[Fecha],"&lt;="&amp;EOMONTH(B$1,0),
FINANCIACION[PRESTAMO],$A33)</f>
        <v>54750760</v>
      </c>
      <c r="C33" s="52">
        <f>-SUMIFS(FINANCIACION[$ CAPITAL],
FINANCIACION[Fecha],"&lt;="&amp;EOMONTH(C$1,0),
FINANCIACION[PRESTAMO],$A33)</f>
        <v>54750760</v>
      </c>
      <c r="D33" s="52">
        <f>-SUMIFS(FINANCIACION[$ CAPITAL],
FINANCIACION[Fecha],"&lt;="&amp;EOMONTH(D$1,0),
FINANCIACION[PRESTAMO],$A33)</f>
        <v>54750760</v>
      </c>
      <c r="E33" s="52">
        <f>-SUMIFS(FINANCIACION[$ CAPITAL],
FINANCIACION[Fecha],"&lt;="&amp;EOMONTH(E$1,0),
FINANCIACION[PRESTAMO],$A33)</f>
        <v>54750760</v>
      </c>
      <c r="F33" s="52">
        <f>-SUMIFS(FINANCIACION[$ CAPITAL],
FINANCIACION[Fecha],"&lt;="&amp;EOMONTH(F$1,0),
FINANCIACION[PRESTAMO],$A33)</f>
        <v>54750760</v>
      </c>
      <c r="G33" s="52">
        <f>-SUMIFS(FINANCIACION[$ CAPITAL],
FINANCIACION[Fecha],"&lt;="&amp;EOMONTH(G$1,0),
FINANCIACION[PRESTAMO],$A33)</f>
        <v>54750760</v>
      </c>
      <c r="H33" s="52">
        <f>-SUMIFS(FINANCIACION[$ CAPITAL],
FINANCIACION[Fecha],"&lt;="&amp;EOMONTH(H$1,0),
FINANCIACION[PRESTAMO],$A33)</f>
        <v>54750760</v>
      </c>
      <c r="I33" s="52">
        <f>-SUMIFS(FINANCIACION[$ CAPITAL],
FINANCIACION[Fecha],"&lt;="&amp;EOMONTH(I$1,0),
FINANCIACION[PRESTAMO],$A33)</f>
        <v>54750760</v>
      </c>
      <c r="J33" s="52">
        <f>-SUMIFS(FINANCIACION[$ CAPITAL],
FINANCIACION[Fecha],"&lt;="&amp;EOMONTH(J$1,0),
FINANCIACION[PRESTAMO],$A33)</f>
        <v>54750760</v>
      </c>
      <c r="K33" s="52">
        <f>-SUMIFS(FINANCIACION[$ CAPITAL],
FINANCIACION[Fecha],"&lt;="&amp;EOMONTH(K$1,0),
FINANCIACION[PRESTAMO],$A33)</f>
        <v>54750760</v>
      </c>
      <c r="L33" s="52">
        <f>-SUMIFS(FINANCIACION[$ CAPITAL],
FINANCIACION[Fecha],"&lt;="&amp;EOMONTH(L$1,0),
FINANCIACION[PRESTAMO],$A33)</f>
        <v>54750760</v>
      </c>
      <c r="M33" s="52">
        <f>-SUMIFS(FINANCIACION[$ CAPITAL],
FINANCIACION[Fecha],"&lt;="&amp;EOMONTH(M$1,0),
FINANCIACION[PRESTAMO],$A33)</f>
        <v>54750760</v>
      </c>
      <c r="N33" s="52">
        <f>-SUMIFS(FINANCIACION[$ CAPITAL],
FINANCIACION[Fecha],"&lt;="&amp;EOMONTH(N$1,0),
FINANCIACION[PRESTAMO],$A33)</f>
        <v>0</v>
      </c>
      <c r="O33" s="52">
        <f>-SUMIFS(FINANCIACION[$ CAPITAL],
FINANCIACION[Fecha],"&lt;="&amp;EOMONTH(O$1,0),
FINANCIACION[PRESTAMO],$A33)</f>
        <v>0</v>
      </c>
      <c r="P33" s="52">
        <f>-SUMIFS(FINANCIACION[$ CAPITAL],
FINANCIACION[Fecha],"&lt;="&amp;EOMONTH(P$1,0),
FINANCIACION[PRESTAMO],$A33)</f>
        <v>0</v>
      </c>
      <c r="Q33" s="52">
        <f>-SUMIFS(FINANCIACION[$ CAPITAL],
FINANCIACION[Fecha],"&lt;="&amp;EOMONTH(Q$1,0),
FINANCIACION[PRESTAMO],$A33)</f>
        <v>0</v>
      </c>
      <c r="R33" s="52">
        <f>-SUMIFS(FINANCIACION[$ CAPITAL],
FINANCIACION[Fecha],"&lt;="&amp;EOMONTH(R$1,0),
FINANCIACION[PRESTAMO],$A33)</f>
        <v>0</v>
      </c>
      <c r="S33" s="52">
        <f>-SUMIFS(FINANCIACION[$ CAPITAL],
FINANCIACION[Fecha],"&lt;="&amp;EOMONTH(S$1,0),
FINANCIACION[PRESTAMO],$A33)</f>
        <v>0</v>
      </c>
      <c r="T33" s="52">
        <f>-SUMIFS(FINANCIACION[$ CAPITAL],
FINANCIACION[Fecha],"&lt;="&amp;EOMONTH(T$1,0),
FINANCIACION[PRESTAMO],$A33)</f>
        <v>0</v>
      </c>
      <c r="U33" s="52">
        <f>-SUMIFS(FINANCIACION[$ CAPITAL],
FINANCIACION[Fecha],"&lt;="&amp;EOMONTH(U$1,0),
FINANCIACION[PRESTAMO],$A33)</f>
        <v>0</v>
      </c>
      <c r="V33" s="52">
        <f>-SUMIFS(FINANCIACION[$ CAPITAL],
FINANCIACION[Fecha],"&lt;="&amp;EOMONTH(V$1,0),
FINANCIACION[PRESTAMO],$A33)</f>
        <v>0</v>
      </c>
      <c r="W33" s="52">
        <f>-SUMIFS(FINANCIACION[$ CAPITAL],
FINANCIACION[Fecha],"&lt;="&amp;EOMONTH(W$1,0),
FINANCIACION[PRESTAMO],$A33)</f>
        <v>0</v>
      </c>
      <c r="X33" s="52">
        <f>-SUMIFS(FINANCIACION[$ CAPITAL],
FINANCIACION[Fecha],"&lt;="&amp;EOMONTH(X$1,0),
FINANCIACION[PRESTAMO],$A33)</f>
        <v>0</v>
      </c>
    </row>
    <row r="34" spans="1:24" ht="21.6" customHeight="1" x14ac:dyDescent="0.3">
      <c r="A34" s="41" t="s">
        <v>331</v>
      </c>
      <c r="B34" s="52">
        <f>-SUMIFS(FINANCIACION[$ CAPITAL],
FINANCIACION[Fecha],"&lt;="&amp;EOMONTH(B$1,0),
FINANCIACION[PRESTAMO],$A34)</f>
        <v>57737440</v>
      </c>
      <c r="C34" s="52">
        <f>-SUMIFS(FINANCIACION[$ CAPITAL],
FINANCIACION[Fecha],"&lt;="&amp;EOMONTH(C$1,0),
FINANCIACION[PRESTAMO],$A34)</f>
        <v>57737440</v>
      </c>
      <c r="D34" s="52">
        <f>-SUMIFS(FINANCIACION[$ CAPITAL],
FINANCIACION[Fecha],"&lt;="&amp;EOMONTH(D$1,0),
FINANCIACION[PRESTAMO],$A34)</f>
        <v>57737440</v>
      </c>
      <c r="E34" s="52">
        <f>-SUMIFS(FINANCIACION[$ CAPITAL],
FINANCIACION[Fecha],"&lt;="&amp;EOMONTH(E$1,0),
FINANCIACION[PRESTAMO],$A34)</f>
        <v>57737440</v>
      </c>
      <c r="F34" s="52">
        <f>-SUMIFS(FINANCIACION[$ CAPITAL],
FINANCIACION[Fecha],"&lt;="&amp;EOMONTH(F$1,0),
FINANCIACION[PRESTAMO],$A34)</f>
        <v>57737440</v>
      </c>
      <c r="G34" s="52">
        <f>-SUMIFS(FINANCIACION[$ CAPITAL],
FINANCIACION[Fecha],"&lt;="&amp;EOMONTH(G$1,0),
FINANCIACION[PRESTAMO],$A34)</f>
        <v>57737440</v>
      </c>
      <c r="H34" s="52">
        <f>-SUMIFS(FINANCIACION[$ CAPITAL],
FINANCIACION[Fecha],"&lt;="&amp;EOMONTH(H$1,0),
FINANCIACION[PRESTAMO],$A34)</f>
        <v>57737440</v>
      </c>
      <c r="I34" s="52">
        <f>-SUMIFS(FINANCIACION[$ CAPITAL],
FINANCIACION[Fecha],"&lt;="&amp;EOMONTH(I$1,0),
FINANCIACION[PRESTAMO],$A34)</f>
        <v>57737440</v>
      </c>
      <c r="J34" s="52">
        <f>-SUMIFS(FINANCIACION[$ CAPITAL],
FINANCIACION[Fecha],"&lt;="&amp;EOMONTH(J$1,0),
FINANCIACION[PRESTAMO],$A34)</f>
        <v>57737440</v>
      </c>
      <c r="K34" s="52">
        <f>-SUMIFS(FINANCIACION[$ CAPITAL],
FINANCIACION[Fecha],"&lt;="&amp;EOMONTH(K$1,0),
FINANCIACION[PRESTAMO],$A34)</f>
        <v>57737440</v>
      </c>
      <c r="L34" s="52">
        <f>-SUMIFS(FINANCIACION[$ CAPITAL],
FINANCIACION[Fecha],"&lt;="&amp;EOMONTH(L$1,0),
FINANCIACION[PRESTAMO],$A34)</f>
        <v>57737440</v>
      </c>
      <c r="M34" s="52">
        <f>-SUMIFS(FINANCIACION[$ CAPITAL],
FINANCIACION[Fecha],"&lt;="&amp;EOMONTH(M$1,0),
FINANCIACION[PRESTAMO],$A34)</f>
        <v>57737440</v>
      </c>
      <c r="N34" s="52">
        <f>-SUMIFS(FINANCIACION[$ CAPITAL],
FINANCIACION[Fecha],"&lt;="&amp;EOMONTH(N$1,0),
FINANCIACION[PRESTAMO],$A34)</f>
        <v>0</v>
      </c>
      <c r="O34" s="52">
        <f>-SUMIFS(FINANCIACION[$ CAPITAL],
FINANCIACION[Fecha],"&lt;="&amp;EOMONTH(O$1,0),
FINANCIACION[PRESTAMO],$A34)</f>
        <v>0</v>
      </c>
      <c r="P34" s="52">
        <f>-SUMIFS(FINANCIACION[$ CAPITAL],
FINANCIACION[Fecha],"&lt;="&amp;EOMONTH(P$1,0),
FINANCIACION[PRESTAMO],$A34)</f>
        <v>0</v>
      </c>
      <c r="Q34" s="52">
        <f>-SUMIFS(FINANCIACION[$ CAPITAL],
FINANCIACION[Fecha],"&lt;="&amp;EOMONTH(Q$1,0),
FINANCIACION[PRESTAMO],$A34)</f>
        <v>0</v>
      </c>
      <c r="R34" s="52">
        <f>-SUMIFS(FINANCIACION[$ CAPITAL],
FINANCIACION[Fecha],"&lt;="&amp;EOMONTH(R$1,0),
FINANCIACION[PRESTAMO],$A34)</f>
        <v>0</v>
      </c>
      <c r="S34" s="52">
        <f>-SUMIFS(FINANCIACION[$ CAPITAL],
FINANCIACION[Fecha],"&lt;="&amp;EOMONTH(S$1,0),
FINANCIACION[PRESTAMO],$A34)</f>
        <v>0</v>
      </c>
      <c r="T34" s="52">
        <f>-SUMIFS(FINANCIACION[$ CAPITAL],
FINANCIACION[Fecha],"&lt;="&amp;EOMONTH(T$1,0),
FINANCIACION[PRESTAMO],$A34)</f>
        <v>0</v>
      </c>
      <c r="U34" s="52">
        <f>-SUMIFS(FINANCIACION[$ CAPITAL],
FINANCIACION[Fecha],"&lt;="&amp;EOMONTH(U$1,0),
FINANCIACION[PRESTAMO],$A34)</f>
        <v>0</v>
      </c>
      <c r="V34" s="52">
        <f>-SUMIFS(FINANCIACION[$ CAPITAL],
FINANCIACION[Fecha],"&lt;="&amp;EOMONTH(V$1,0),
FINANCIACION[PRESTAMO],$A34)</f>
        <v>0</v>
      </c>
      <c r="W34" s="52">
        <f>-SUMIFS(FINANCIACION[$ CAPITAL],
FINANCIACION[Fecha],"&lt;="&amp;EOMONTH(W$1,0),
FINANCIACION[PRESTAMO],$A34)</f>
        <v>0</v>
      </c>
      <c r="X34" s="52">
        <f>-SUMIFS(FINANCIACION[$ CAPITAL],
FINANCIACION[Fecha],"&lt;="&amp;EOMONTH(X$1,0),
FINANCIACION[PRESTAMO],$A34)</f>
        <v>0</v>
      </c>
    </row>
    <row r="35" spans="1:24" ht="21.6" customHeight="1" x14ac:dyDescent="0.3">
      <c r="A35" s="41" t="s">
        <v>684</v>
      </c>
      <c r="B35" s="52">
        <f>-SUMIFS(FINANCIACION[$ CAPITAL],
FINANCIACION[Fecha],"&lt;="&amp;EOMONTH(B$1,0),
FINANCIACION[PRESTAMO],$A35)</f>
        <v>0</v>
      </c>
      <c r="C35" s="52">
        <f>-SUMIFS(FINANCIACION[$ CAPITAL],
FINANCIACION[Fecha],"&lt;="&amp;EOMONTH(C$1,0),
FINANCIACION[PRESTAMO],$A35)</f>
        <v>0</v>
      </c>
      <c r="D35" s="52">
        <f>-SUMIFS(FINANCIACION[$ CAPITAL],
FINANCIACION[Fecha],"&lt;="&amp;EOMONTH(D$1,0),
FINANCIACION[PRESTAMO],$A35)</f>
        <v>0</v>
      </c>
      <c r="E35" s="52">
        <f>-SUMIFS(FINANCIACION[$ CAPITAL],
FINANCIACION[Fecha],"&lt;="&amp;EOMONTH(E$1,0),
FINANCIACION[PRESTAMO],$A35)</f>
        <v>0</v>
      </c>
      <c r="F35" s="52">
        <f>-SUMIFS(FINANCIACION[$ CAPITAL],
FINANCIACION[Fecha],"&lt;="&amp;EOMONTH(F$1,0),
FINANCIACION[PRESTAMO],$A35)</f>
        <v>0</v>
      </c>
      <c r="G35" s="52">
        <f>-SUMIFS(FINANCIACION[$ CAPITAL],
FINANCIACION[Fecha],"&lt;="&amp;EOMONTH(G$1,0),
FINANCIACION[PRESTAMO],$A35)</f>
        <v>0</v>
      </c>
      <c r="H35" s="52">
        <f>-SUMIFS(FINANCIACION[$ CAPITAL],
FINANCIACION[Fecha],"&lt;="&amp;EOMONTH(H$1,0),
FINANCIACION[PRESTAMO],$A35)</f>
        <v>0</v>
      </c>
      <c r="I35" s="52">
        <f>-SUMIFS(FINANCIACION[$ CAPITAL],
FINANCIACION[Fecha],"&lt;="&amp;EOMONTH(I$1,0),
FINANCIACION[PRESTAMO],$A35)</f>
        <v>0</v>
      </c>
      <c r="J35" s="52">
        <f>-SUMIFS(FINANCIACION[$ CAPITAL],
FINANCIACION[Fecha],"&lt;="&amp;EOMONTH(J$1,0),
FINANCIACION[PRESTAMO],$A35)</f>
        <v>0</v>
      </c>
      <c r="K35" s="52">
        <f>-SUMIFS(FINANCIACION[$ CAPITAL],
FINANCIACION[Fecha],"&lt;="&amp;EOMONTH(K$1,0),
FINANCIACION[PRESTAMO],$A35)</f>
        <v>0</v>
      </c>
      <c r="L35" s="52">
        <f>-SUMIFS(FINANCIACION[$ CAPITAL],
FINANCIACION[Fecha],"&lt;="&amp;EOMONTH(L$1,0),
FINANCIACION[PRESTAMO],$A35)</f>
        <v>0</v>
      </c>
      <c r="M35" s="52">
        <f>-SUMIFS(FINANCIACION[$ CAPITAL],
FINANCIACION[Fecha],"&lt;="&amp;EOMONTH(M$1,0),
FINANCIACION[PRESTAMO],$A35)</f>
        <v>0</v>
      </c>
      <c r="N35" s="52">
        <f>-SUMIFS(FINANCIACION[$ CAPITAL],
FINANCIACION[Fecha],"&lt;="&amp;EOMONTH(N$1,0),
FINANCIACION[PRESTAMO],$A35)</f>
        <v>0</v>
      </c>
      <c r="O35" s="52">
        <f>-SUMIFS(FINANCIACION[$ CAPITAL],
FINANCIACION[Fecha],"&lt;="&amp;EOMONTH(O$1,0),
FINANCIACION[PRESTAMO],$A35)</f>
        <v>0</v>
      </c>
      <c r="P35" s="52">
        <f>-SUMIFS(FINANCIACION[$ CAPITAL],
FINANCIACION[Fecha],"&lt;="&amp;EOMONTH(P$1,0),
FINANCIACION[PRESTAMO],$A35)</f>
        <v>0</v>
      </c>
      <c r="Q35" s="52">
        <f>-SUMIFS(FINANCIACION[$ CAPITAL],
FINANCIACION[Fecha],"&lt;="&amp;EOMONTH(Q$1,0),
FINANCIACION[PRESTAMO],$A35)</f>
        <v>0</v>
      </c>
      <c r="R35" s="52">
        <f>-SUMIFS(FINANCIACION[$ CAPITAL],
FINANCIACION[Fecha],"&lt;="&amp;EOMONTH(R$1,0),
FINANCIACION[PRESTAMO],$A35)</f>
        <v>0</v>
      </c>
      <c r="S35" s="52">
        <f>-SUMIFS(FINANCIACION[$ CAPITAL],
FINANCIACION[Fecha],"&lt;="&amp;EOMONTH(S$1,0),
FINANCIACION[PRESTAMO],$A35)</f>
        <v>0</v>
      </c>
      <c r="T35" s="52">
        <f>-SUMIFS(FINANCIACION[$ CAPITAL],
FINANCIACION[Fecha],"&lt;="&amp;EOMONTH(T$1,0),
FINANCIACION[PRESTAMO],$A35)</f>
        <v>0</v>
      </c>
      <c r="U35" s="52">
        <f>-SUMIFS(FINANCIACION[$ CAPITAL],
FINANCIACION[Fecha],"&lt;="&amp;EOMONTH(U$1,0),
FINANCIACION[PRESTAMO],$A35)</f>
        <v>0</v>
      </c>
      <c r="V35" s="52">
        <f>-SUMIFS(FINANCIACION[$ CAPITAL],
FINANCIACION[Fecha],"&lt;="&amp;EOMONTH(V$1,0),
FINANCIACION[PRESTAMO],$A35)</f>
        <v>0</v>
      </c>
      <c r="W35" s="52">
        <f>-SUMIFS(FINANCIACION[$ CAPITAL],
FINANCIACION[Fecha],"&lt;="&amp;EOMONTH(W$1,0),
FINANCIACION[PRESTAMO],$A35)</f>
        <v>0</v>
      </c>
      <c r="X35" s="52">
        <f>-SUMIFS(FINANCIACION[$ CAPITAL],
FINANCIACION[Fecha],"&lt;="&amp;EOMONTH(X$1,0),
FINANCIACION[PRESTAMO],$A35)</f>
        <v>0</v>
      </c>
    </row>
    <row r="36" spans="1:24" ht="21.6" customHeight="1" x14ac:dyDescent="0.3">
      <c r="A36" s="41" t="s">
        <v>812</v>
      </c>
      <c r="B36" s="52">
        <f>-SUMIFS(FINANCIACION[$ CAPITAL],
FINANCIACION[Fecha],"&lt;="&amp;EOMONTH(B$1,0),
FINANCIACION[PRESTAMO],$A36)</f>
        <v>0</v>
      </c>
      <c r="C36" s="52">
        <f>-SUMIFS(FINANCIACION[$ CAPITAL],
FINANCIACION[Fecha],"&lt;="&amp;EOMONTH(C$1,0),
FINANCIACION[PRESTAMO],$A36)</f>
        <v>0</v>
      </c>
      <c r="D36" s="52">
        <f>-SUMIFS(FINANCIACION[$ CAPITAL],
FINANCIACION[Fecha],"&lt;="&amp;EOMONTH(D$1,0),
FINANCIACION[PRESTAMO],$A36)</f>
        <v>0</v>
      </c>
      <c r="E36" s="52">
        <f>-SUMIFS(FINANCIACION[$ CAPITAL],
FINANCIACION[Fecha],"&lt;="&amp;EOMONTH(E$1,0),
FINANCIACION[PRESTAMO],$A36)</f>
        <v>0</v>
      </c>
      <c r="F36" s="52">
        <f>-SUMIFS(FINANCIACION[$ CAPITAL],
FINANCIACION[Fecha],"&lt;="&amp;EOMONTH(F$1,0),
FINANCIACION[PRESTAMO],$A36)</f>
        <v>0</v>
      </c>
      <c r="G36" s="52">
        <f>-SUMIFS(FINANCIACION[$ CAPITAL],
FINANCIACION[Fecha],"&lt;="&amp;EOMONTH(G$1,0),
FINANCIACION[PRESTAMO],$A36)</f>
        <v>0</v>
      </c>
      <c r="H36" s="52">
        <f>-SUMIFS(FINANCIACION[$ CAPITAL],
FINANCIACION[Fecha],"&lt;="&amp;EOMONTH(H$1,0),
FINANCIACION[PRESTAMO],$A36)</f>
        <v>0</v>
      </c>
      <c r="I36" s="52">
        <f>-SUMIFS(FINANCIACION[$ CAPITAL],
FINANCIACION[Fecha],"&lt;="&amp;EOMONTH(I$1,0),
FINANCIACION[PRESTAMO],$A36)</f>
        <v>0</v>
      </c>
      <c r="J36" s="52">
        <f>-SUMIFS(FINANCIACION[$ CAPITAL],
FINANCIACION[Fecha],"&lt;="&amp;EOMONTH(J$1,0),
FINANCIACION[PRESTAMO],$A36)</f>
        <v>0</v>
      </c>
      <c r="K36" s="52">
        <f>-SUMIFS(FINANCIACION[$ CAPITAL],
FINANCIACION[Fecha],"&lt;="&amp;EOMONTH(K$1,0),
FINANCIACION[PRESTAMO],$A36)</f>
        <v>0</v>
      </c>
      <c r="L36" s="52">
        <f>-SUMIFS(FINANCIACION[$ CAPITAL],
FINANCIACION[Fecha],"&lt;="&amp;EOMONTH(L$1,0),
FINANCIACION[PRESTAMO],$A36)</f>
        <v>0</v>
      </c>
      <c r="M36" s="52">
        <f>-SUMIFS(FINANCIACION[$ CAPITAL],
FINANCIACION[Fecha],"&lt;="&amp;EOMONTH(M$1,0),
FINANCIACION[PRESTAMO],$A36)</f>
        <v>0</v>
      </c>
      <c r="N36" s="52">
        <f>-SUMIFS(FINANCIACION[$ CAPITAL],
FINANCIACION[Fecha],"&lt;="&amp;EOMONTH(N$1,0),
FINANCIACION[PRESTAMO],$A36)</f>
        <v>0</v>
      </c>
      <c r="O36" s="52">
        <f>-SUMIFS(FINANCIACION[$ CAPITAL],
FINANCIACION[Fecha],"&lt;="&amp;EOMONTH(O$1,0),
FINANCIACION[PRESTAMO],$A36)</f>
        <v>0</v>
      </c>
      <c r="P36" s="52">
        <f>-SUMIFS(FINANCIACION[$ CAPITAL],
FINANCIACION[Fecha],"&lt;="&amp;EOMONTH(P$1,0),
FINANCIACION[PRESTAMO],$A36)</f>
        <v>0</v>
      </c>
      <c r="Q36" s="52">
        <f>-SUMIFS(FINANCIACION[$ CAPITAL],
FINANCIACION[Fecha],"&lt;="&amp;EOMONTH(Q$1,0),
FINANCIACION[PRESTAMO],$A36)</f>
        <v>0</v>
      </c>
      <c r="R36" s="52">
        <f>-SUMIFS(FINANCIACION[$ CAPITAL],
FINANCIACION[Fecha],"&lt;="&amp;EOMONTH(R$1,0),
FINANCIACION[PRESTAMO],$A36)</f>
        <v>0</v>
      </c>
      <c r="S36" s="52">
        <f>-SUMIFS(FINANCIACION[$ CAPITAL],
FINANCIACION[Fecha],"&lt;="&amp;EOMONTH(S$1,0),
FINANCIACION[PRESTAMO],$A36)</f>
        <v>0</v>
      </c>
      <c r="T36" s="52">
        <f>-SUMIFS(FINANCIACION[$ CAPITAL],
FINANCIACION[Fecha],"&lt;="&amp;EOMONTH(T$1,0),
FINANCIACION[PRESTAMO],$A36)</f>
        <v>0</v>
      </c>
      <c r="U36" s="52">
        <f>-SUMIFS(FINANCIACION[$ CAPITAL],
FINANCIACION[Fecha],"&lt;="&amp;EOMONTH(U$1,0),
FINANCIACION[PRESTAMO],$A36)</f>
        <v>0</v>
      </c>
      <c r="V36" s="52">
        <f>-SUMIFS(FINANCIACION[$ CAPITAL],
FINANCIACION[Fecha],"&lt;="&amp;EOMONTH(V$1,0),
FINANCIACION[PRESTAMO],$A36)</f>
        <v>0</v>
      </c>
      <c r="W36" s="52">
        <f>-SUMIFS(FINANCIACION[$ CAPITAL],
FINANCIACION[Fecha],"&lt;="&amp;EOMONTH(W$1,0),
FINANCIACION[PRESTAMO],$A36)</f>
        <v>0</v>
      </c>
      <c r="X36" s="52">
        <f>-SUMIFS(FINANCIACION[$ CAPITAL],
FINANCIACION[Fecha],"&lt;="&amp;EOMONTH(X$1,0),
FINANCIACION[PRESTAMO],$A36)</f>
        <v>0</v>
      </c>
    </row>
    <row r="37" spans="1:24" ht="21.6" customHeight="1" x14ac:dyDescent="0.3">
      <c r="A37" s="41" t="s">
        <v>1173</v>
      </c>
      <c r="B37" s="52">
        <f>-SUMIFS(FINANCIACION[$ CAPITAL],
FINANCIACION[Fecha],"&lt;="&amp;EOMONTH(B$1,0),
FINANCIACION[PRESTAMO],$A37)</f>
        <v>0</v>
      </c>
      <c r="C37" s="52">
        <f>-SUMIFS(FINANCIACION[$ CAPITAL],
FINANCIACION[Fecha],"&lt;="&amp;EOMONTH(C$1,0),
FINANCIACION[PRESTAMO],$A37)</f>
        <v>0</v>
      </c>
      <c r="D37" s="52">
        <f>-SUMIFS(FINANCIACION[$ CAPITAL],
FINANCIACION[Fecha],"&lt;="&amp;EOMONTH(D$1,0),
FINANCIACION[PRESTAMO],$A37)</f>
        <v>0</v>
      </c>
      <c r="E37" s="52">
        <f>-SUMIFS(FINANCIACION[$ CAPITAL],
FINANCIACION[Fecha],"&lt;="&amp;EOMONTH(E$1,0),
FINANCIACION[PRESTAMO],$A37)</f>
        <v>0</v>
      </c>
      <c r="F37" s="52">
        <f>-SUMIFS(FINANCIACION[$ CAPITAL],
FINANCIACION[Fecha],"&lt;="&amp;EOMONTH(F$1,0),
FINANCIACION[PRESTAMO],$A37)</f>
        <v>0</v>
      </c>
      <c r="G37" s="52">
        <f>-SUMIFS(FINANCIACION[$ CAPITAL],
FINANCIACION[Fecha],"&lt;="&amp;EOMONTH(G$1,0),
FINANCIACION[PRESTAMO],$A37)</f>
        <v>0</v>
      </c>
      <c r="H37" s="225">
        <f>-SUMIFS(FINANCIACION[$ CAPITAL],
FINANCIACION[Fecha],"&lt;="&amp;EOMONTH(H$1,0),
FINANCIACION[PRESTAMO],$A37)</f>
        <v>0</v>
      </c>
      <c r="I37" s="52">
        <f>-SUMIFS(FINANCIACION[$ CAPITAL],
FINANCIACION[Fecha],"&lt;="&amp;EOMONTH(I$1,0),
FINANCIACION[PRESTAMO],$A37)</f>
        <v>0</v>
      </c>
      <c r="J37" s="52">
        <f>-SUMIFS(FINANCIACION[$ CAPITAL],
FINANCIACION[Fecha],"&lt;="&amp;EOMONTH(J$1,0),
FINANCIACION[PRESTAMO],$A37)</f>
        <v>0</v>
      </c>
      <c r="K37" s="52">
        <f>-SUMIFS(FINANCIACION[$ CAPITAL],
FINANCIACION[Fecha],"&lt;="&amp;EOMONTH(K$1,0),
FINANCIACION[PRESTAMO],$A37)</f>
        <v>0</v>
      </c>
      <c r="L37" s="52">
        <f>-SUMIFS(FINANCIACION[$ CAPITAL],
FINANCIACION[Fecha],"&lt;="&amp;EOMONTH(L$1,0),
FINANCIACION[PRESTAMO],$A37)</f>
        <v>0</v>
      </c>
      <c r="M37" s="52">
        <f>-SUMIFS(FINANCIACION[$ CAPITAL],
FINANCIACION[Fecha],"&lt;="&amp;EOMONTH(M$1,0),
FINANCIACION[PRESTAMO],$A37)</f>
        <v>0</v>
      </c>
      <c r="N37" s="52">
        <f>-SUMIFS(FINANCIACION[$ CAPITAL],
FINANCIACION[Fecha],"&lt;="&amp;EOMONTH(N$1,0),
FINANCIACION[PRESTAMO],$A37)</f>
        <v>0</v>
      </c>
      <c r="O37" s="52">
        <f>-SUMIFS(FINANCIACION[$ CAPITAL],
FINANCIACION[Fecha],"&lt;="&amp;EOMONTH(O$1,0),
FINANCIACION[PRESTAMO],$A37)</f>
        <v>0</v>
      </c>
      <c r="P37" s="52">
        <f>-SUMIFS(FINANCIACION[$ CAPITAL],
FINANCIACION[Fecha],"&lt;="&amp;EOMONTH(P$1,0),
FINANCIACION[PRESTAMO],$A37)</f>
        <v>0</v>
      </c>
      <c r="Q37" s="52">
        <f>-SUMIFS(FINANCIACION[$ CAPITAL],
FINANCIACION[Fecha],"&lt;="&amp;EOMONTH(Q$1,0),
FINANCIACION[PRESTAMO],$A37)</f>
        <v>0</v>
      </c>
      <c r="R37" s="52">
        <f>-SUMIFS(FINANCIACION[$ CAPITAL],
FINANCIACION[Fecha],"&lt;="&amp;EOMONTH(R$1,0),
FINANCIACION[PRESTAMO],$A37)</f>
        <v>0</v>
      </c>
      <c r="S37" s="52">
        <f>-SUMIFS(FINANCIACION[$ CAPITAL],
FINANCIACION[Fecha],"&lt;="&amp;EOMONTH(S$1,0),
FINANCIACION[PRESTAMO],$A37)</f>
        <v>0</v>
      </c>
      <c r="T37" s="52">
        <f>-SUMIFS(FINANCIACION[$ CAPITAL],
FINANCIACION[Fecha],"&lt;="&amp;EOMONTH(T$1,0),
FINANCIACION[PRESTAMO],$A37)</f>
        <v>0</v>
      </c>
      <c r="U37" s="52">
        <f>-SUMIFS(FINANCIACION[$ CAPITAL],
FINANCIACION[Fecha],"&lt;="&amp;EOMONTH(U$1,0),
FINANCIACION[PRESTAMO],$A37)</f>
        <v>0</v>
      </c>
      <c r="V37" s="52">
        <f>-SUMIFS(FINANCIACION[$ CAPITAL],
FINANCIACION[Fecha],"&lt;="&amp;EOMONTH(V$1,0),
FINANCIACION[PRESTAMO],$A37)</f>
        <v>0</v>
      </c>
      <c r="W37" s="52">
        <f>-SUMIFS(FINANCIACION[$ CAPITAL],
FINANCIACION[Fecha],"&lt;="&amp;EOMONTH(W$1,0),
FINANCIACION[PRESTAMO],$A37)</f>
        <v>0</v>
      </c>
      <c r="X37" s="52">
        <f>-SUMIFS(FINANCIACION[$ CAPITAL],
FINANCIACION[Fecha],"&lt;="&amp;EOMONTH(X$1,0),
FINANCIACION[PRESTAMO],$A37)</f>
        <v>0</v>
      </c>
    </row>
    <row r="38" spans="1:24" ht="21.6" customHeight="1" x14ac:dyDescent="0.3">
      <c r="A38" s="41" t="s">
        <v>1382</v>
      </c>
      <c r="B38" s="52">
        <f>-SUMIFS(FINANCIACION[$ CAPITAL],
FINANCIACION[Fecha],"&lt;="&amp;EOMONTH(B$1,0),
FINANCIACION[PRESTAMO],$A38)</f>
        <v>0</v>
      </c>
      <c r="C38" s="52">
        <f>-SUMIFS(FINANCIACION[$ CAPITAL],
FINANCIACION[Fecha],"&lt;="&amp;EOMONTH(C$1,0),
FINANCIACION[PRESTAMO],$A38)</f>
        <v>0</v>
      </c>
      <c r="D38" s="52">
        <f>-SUMIFS(FINANCIACION[$ CAPITAL],
FINANCIACION[Fecha],"&lt;="&amp;EOMONTH(D$1,0),
FINANCIACION[PRESTAMO],$A38)</f>
        <v>0</v>
      </c>
      <c r="E38" s="52">
        <f>-SUMIFS(FINANCIACION[$ CAPITAL],
FINANCIACION[Fecha],"&lt;="&amp;EOMONTH(E$1,0),
FINANCIACION[PRESTAMO],$A38)</f>
        <v>0</v>
      </c>
      <c r="F38" s="52">
        <f>-SUMIFS(FINANCIACION[$ CAPITAL],
FINANCIACION[Fecha],"&lt;="&amp;EOMONTH(F$1,0),
FINANCIACION[PRESTAMO],$A38)</f>
        <v>0</v>
      </c>
      <c r="G38" s="52">
        <f>-SUMIFS(FINANCIACION[$ CAPITAL],
FINANCIACION[Fecha],"&lt;="&amp;EOMONTH(G$1,0),
FINANCIACION[PRESTAMO],$A38)</f>
        <v>0</v>
      </c>
      <c r="H38" s="225">
        <f>-SUMIFS(FINANCIACION[$ CAPITAL],
FINANCIACION[Fecha],"&lt;="&amp;EOMONTH(H$1,0),
FINANCIACION[PRESTAMO],$A38)</f>
        <v>0</v>
      </c>
      <c r="I38" s="52">
        <f>-SUMIFS(FINANCIACION[$ CAPITAL],
FINANCIACION[Fecha],"&lt;="&amp;EOMONTH(I$1,0),
FINANCIACION[PRESTAMO],$A38)</f>
        <v>0</v>
      </c>
      <c r="J38" s="52">
        <f>-SUMIFS(FINANCIACION[$ CAPITAL],
FINANCIACION[Fecha],"&lt;="&amp;EOMONTH(J$1,0),
FINANCIACION[PRESTAMO],$A38)</f>
        <v>0</v>
      </c>
      <c r="K38" s="52">
        <f>-SUMIFS(FINANCIACION[$ CAPITAL],
FINANCIACION[Fecha],"&lt;="&amp;EOMONTH(K$1,0),
FINANCIACION[PRESTAMO],$A38)</f>
        <v>0</v>
      </c>
      <c r="L38" s="52">
        <f>-SUMIFS(FINANCIACION[$ CAPITAL],
FINANCIACION[Fecha],"&lt;="&amp;EOMONTH(L$1,0),
FINANCIACION[PRESTAMO],$A38)</f>
        <v>0</v>
      </c>
      <c r="M38" s="52">
        <f>-SUMIFS(FINANCIACION[$ CAPITAL],
FINANCIACION[Fecha],"&lt;="&amp;EOMONTH(M$1,0),
FINANCIACION[PRESTAMO],$A38)</f>
        <v>0</v>
      </c>
      <c r="N38" s="52">
        <f>-SUMIFS(FINANCIACION[$ CAPITAL],
FINANCIACION[Fecha],"&lt;="&amp;EOMONTH(N$1,0),
FINANCIACION[PRESTAMO],$A38)</f>
        <v>0</v>
      </c>
      <c r="O38" s="52">
        <f>-SUMIFS(FINANCIACION[$ CAPITAL],
FINANCIACION[Fecha],"&lt;="&amp;EOMONTH(O$1,0),
FINANCIACION[PRESTAMO],$A38)</f>
        <v>0</v>
      </c>
      <c r="P38" s="52">
        <f>-SUMIFS(FINANCIACION[$ CAPITAL],
FINANCIACION[Fecha],"&lt;="&amp;EOMONTH(P$1,0),
FINANCIACION[PRESTAMO],$A38)</f>
        <v>0</v>
      </c>
      <c r="Q38" s="52">
        <f>-SUMIFS(FINANCIACION[$ CAPITAL],
FINANCIACION[Fecha],"&lt;="&amp;EOMONTH(Q$1,0),
FINANCIACION[PRESTAMO],$A38)</f>
        <v>0</v>
      </c>
      <c r="R38" s="52">
        <f>-SUMIFS(FINANCIACION[$ CAPITAL],
FINANCIACION[Fecha],"&lt;="&amp;EOMONTH(R$1,0),
FINANCIACION[PRESTAMO],$A38)</f>
        <v>0</v>
      </c>
      <c r="S38" s="52">
        <f>-SUMIFS(FINANCIACION[$ CAPITAL],
FINANCIACION[Fecha],"&lt;="&amp;EOMONTH(S$1,0),
FINANCIACION[PRESTAMO],$A38)</f>
        <v>0</v>
      </c>
      <c r="T38" s="52">
        <f>-SUMIFS(FINANCIACION[$ CAPITAL],
FINANCIACION[Fecha],"&lt;="&amp;EOMONTH(T$1,0),
FINANCIACION[PRESTAMO],$A38)</f>
        <v>0</v>
      </c>
      <c r="U38" s="52">
        <f>-SUMIFS(FINANCIACION[$ CAPITAL],
FINANCIACION[Fecha],"&lt;="&amp;EOMONTH(U$1,0),
FINANCIACION[PRESTAMO],$A38)</f>
        <v>0</v>
      </c>
      <c r="V38" s="52">
        <f>-SUMIFS(FINANCIACION[$ CAPITAL],
FINANCIACION[Fecha],"&lt;="&amp;EOMONTH(V$1,0),
FINANCIACION[PRESTAMO],$A38)</f>
        <v>0</v>
      </c>
      <c r="W38" s="52">
        <f>-SUMIFS(FINANCIACION[$ CAPITAL],
FINANCIACION[Fecha],"&lt;="&amp;EOMONTH(W$1,0),
FINANCIACION[PRESTAMO],$A38)</f>
        <v>0</v>
      </c>
      <c r="X38" s="52">
        <f>-SUMIFS(FINANCIACION[$ CAPITAL],
FINANCIACION[Fecha],"&lt;="&amp;EOMONTH(X$1,0),
FINANCIACION[PRESTAMO],$A38)</f>
        <v>0</v>
      </c>
    </row>
    <row r="39" spans="1:24" ht="21.6" customHeight="1" x14ac:dyDescent="0.3">
      <c r="A39" s="41" t="s">
        <v>1485</v>
      </c>
      <c r="B39" s="52">
        <f>-SUMIFS(FINANCIACION[$ CAPITAL],
FINANCIACION[Fecha],"&lt;="&amp;EOMONTH(B$1,0),
FINANCIACION[PRESTAMO],$A39)</f>
        <v>0</v>
      </c>
      <c r="C39" s="52">
        <f>-SUMIFS(FINANCIACION[$ CAPITAL],
FINANCIACION[Fecha],"&lt;="&amp;EOMONTH(C$1,0),
FINANCIACION[PRESTAMO],$A39)</f>
        <v>0</v>
      </c>
      <c r="D39" s="52">
        <f>-SUMIFS(FINANCIACION[$ CAPITAL],
FINANCIACION[Fecha],"&lt;="&amp;EOMONTH(D$1,0),
FINANCIACION[PRESTAMO],$A39)</f>
        <v>0</v>
      </c>
      <c r="E39" s="52">
        <f>-SUMIFS(FINANCIACION[$ CAPITAL],
FINANCIACION[Fecha],"&lt;="&amp;EOMONTH(E$1,0),
FINANCIACION[PRESTAMO],$A39)</f>
        <v>0</v>
      </c>
      <c r="F39" s="52">
        <f>-SUMIFS(FINANCIACION[$ CAPITAL],
FINANCIACION[Fecha],"&lt;="&amp;EOMONTH(F$1,0),
FINANCIACION[PRESTAMO],$A39)</f>
        <v>0</v>
      </c>
      <c r="G39" s="52">
        <f>-SUMIFS(FINANCIACION[$ CAPITAL],
FINANCIACION[Fecha],"&lt;="&amp;EOMONTH(G$1,0),
FINANCIACION[PRESTAMO],$A39)</f>
        <v>0</v>
      </c>
      <c r="H39" s="225">
        <f>-SUMIFS(FINANCIACION[$ CAPITAL],
FINANCIACION[Fecha],"&lt;="&amp;EOMONTH(H$1,0),
FINANCIACION[PRESTAMO],$A39)</f>
        <v>0</v>
      </c>
      <c r="I39" s="52">
        <f>-SUMIFS(FINANCIACION[$ CAPITAL],
FINANCIACION[Fecha],"&lt;="&amp;EOMONTH(I$1,0),
FINANCIACION[PRESTAMO],$A39)</f>
        <v>0</v>
      </c>
      <c r="J39" s="52">
        <f>-SUMIFS(FINANCIACION[$ CAPITAL],
FINANCIACION[Fecha],"&lt;="&amp;EOMONTH(J$1,0),
FINANCIACION[PRESTAMO],$A39)</f>
        <v>0</v>
      </c>
      <c r="K39" s="52">
        <f>-SUMIFS(FINANCIACION[$ CAPITAL],
FINANCIACION[Fecha],"&lt;="&amp;EOMONTH(K$1,0),
FINANCIACION[PRESTAMO],$A39)</f>
        <v>0</v>
      </c>
      <c r="L39" s="52">
        <f>-SUMIFS(FINANCIACION[$ CAPITAL],
FINANCIACION[Fecha],"&lt;="&amp;EOMONTH(L$1,0),
FINANCIACION[PRESTAMO],$A39)</f>
        <v>0</v>
      </c>
      <c r="M39" s="52">
        <f>-SUMIFS(FINANCIACION[$ CAPITAL],
FINANCIACION[Fecha],"&lt;="&amp;EOMONTH(M$1,0),
FINANCIACION[PRESTAMO],$A39)</f>
        <v>0</v>
      </c>
      <c r="N39" s="52">
        <f>-SUMIFS(FINANCIACION[$ CAPITAL],
FINANCIACION[Fecha],"&lt;="&amp;EOMONTH(N$1,0),
FINANCIACION[PRESTAMO],$A39)</f>
        <v>0</v>
      </c>
      <c r="O39" s="52">
        <f>-SUMIFS(FINANCIACION[$ CAPITAL],
FINANCIACION[Fecha],"&lt;="&amp;EOMONTH(O$1,0),
FINANCIACION[PRESTAMO],$A39)</f>
        <v>0</v>
      </c>
      <c r="P39" s="52">
        <f>-SUMIFS(FINANCIACION[$ CAPITAL],
FINANCIACION[Fecha],"&lt;="&amp;EOMONTH(P$1,0),
FINANCIACION[PRESTAMO],$A39)</f>
        <v>0</v>
      </c>
      <c r="Q39" s="52">
        <f>-SUMIFS(FINANCIACION[$ CAPITAL],
FINANCIACION[Fecha],"&lt;="&amp;EOMONTH(Q$1,0),
FINANCIACION[PRESTAMO],$A39)</f>
        <v>0</v>
      </c>
      <c r="R39" s="52">
        <f>-SUMIFS(FINANCIACION[$ CAPITAL],
FINANCIACION[Fecha],"&lt;="&amp;EOMONTH(R$1,0),
FINANCIACION[PRESTAMO],$A39)</f>
        <v>0</v>
      </c>
      <c r="S39" s="52">
        <f>-SUMIFS(FINANCIACION[$ CAPITAL],
FINANCIACION[Fecha],"&lt;="&amp;EOMONTH(S$1,0),
FINANCIACION[PRESTAMO],$A39)</f>
        <v>0</v>
      </c>
      <c r="T39" s="52">
        <f>-SUMIFS(FINANCIACION[$ CAPITAL],
FINANCIACION[Fecha],"&lt;="&amp;EOMONTH(T$1,0),
FINANCIACION[PRESTAMO],$A39)</f>
        <v>0</v>
      </c>
      <c r="U39" s="52">
        <f>-SUMIFS(FINANCIACION[$ CAPITAL],
FINANCIACION[Fecha],"&lt;="&amp;EOMONTH(U$1,0),
FINANCIACION[PRESTAMO],$A39)</f>
        <v>0</v>
      </c>
      <c r="V39" s="52">
        <f>-SUMIFS(FINANCIACION[$ CAPITAL],
FINANCIACION[Fecha],"&lt;="&amp;EOMONTH(V$1,0),
FINANCIACION[PRESTAMO],$A39)</f>
        <v>0</v>
      </c>
      <c r="W39" s="52">
        <f>-SUMIFS(FINANCIACION[$ CAPITAL],
FINANCIACION[Fecha],"&lt;="&amp;EOMONTH(W$1,0),
FINANCIACION[PRESTAMO],$A39)</f>
        <v>0</v>
      </c>
      <c r="X39" s="52">
        <f>-SUMIFS(FINANCIACION[$ CAPITAL],
FINANCIACION[Fecha],"&lt;="&amp;EOMONTH(X$1,0),
FINANCIACION[PRESTAMO],$A39)</f>
        <v>0</v>
      </c>
    </row>
    <row r="40" spans="1:24" ht="21.6" customHeight="1" x14ac:dyDescent="0.3">
      <c r="A40" s="41" t="s">
        <v>150</v>
      </c>
      <c r="B40" s="52">
        <f>-SUMIFS(FINANCIACION[$ CAPITAL],
FINANCIACION[Fecha],"&lt;="&amp;EOMONTH(B$1,0),
FINANCIACION[PRESTAMO],$A40)</f>
        <v>9757126</v>
      </c>
      <c r="C40" s="52">
        <f>-SUMIFS(FINANCIACION[$ CAPITAL],
FINANCIACION[Fecha],"&lt;="&amp;EOMONTH(C$1,0),
FINANCIACION[PRESTAMO],$A40)</f>
        <v>9757126</v>
      </c>
      <c r="D40" s="52">
        <f>-SUMIFS(FINANCIACION[$ CAPITAL],
FINANCIACION[Fecha],"&lt;="&amp;EOMONTH(D$1,0),
FINANCIACION[PRESTAMO],$A40)</f>
        <v>9757126</v>
      </c>
      <c r="E40" s="52">
        <f>-SUMIFS(FINANCIACION[$ CAPITAL],
FINANCIACION[Fecha],"&lt;="&amp;EOMONTH(E$1,0),
FINANCIACION[PRESTAMO],$A40)</f>
        <v>9757126</v>
      </c>
      <c r="F40" s="52">
        <f>-SUMIFS(FINANCIACION[$ CAPITAL],
FINANCIACION[Fecha],"&lt;="&amp;EOMONTH(F$1,0),
FINANCIACION[PRESTAMO],$A40)</f>
        <v>9757126</v>
      </c>
      <c r="G40" s="52">
        <f>-SUMIFS(FINANCIACION[$ CAPITAL],
FINANCIACION[Fecha],"&lt;="&amp;EOMONTH(G$1,0),
FINANCIACION[PRESTAMO],$A40)</f>
        <v>9757126</v>
      </c>
      <c r="H40" s="52">
        <f>-SUMIFS(FINANCIACION[$ CAPITAL],
FINANCIACION[Fecha],"&lt;="&amp;EOMONTH(H$1,0),
FINANCIACION[PRESTAMO],$A40)</f>
        <v>9757126</v>
      </c>
      <c r="I40" s="52">
        <f>-SUMIFS(FINANCIACION[$ CAPITAL],
FINANCIACION[Fecha],"&lt;="&amp;EOMONTH(I$1,0),
FINANCIACION[PRESTAMO],$A40)</f>
        <v>9757126</v>
      </c>
      <c r="J40" s="52">
        <f>-SUMIFS(FINANCIACION[$ CAPITAL],
FINANCIACION[Fecha],"&lt;="&amp;EOMONTH(J$1,0),
FINANCIACION[PRESTAMO],$A40)</f>
        <v>9757126</v>
      </c>
      <c r="K40" s="52">
        <f>-SUMIFS(FINANCIACION[$ CAPITAL],
FINANCIACION[Fecha],"&lt;="&amp;EOMONTH(K$1,0),
FINANCIACION[PRESTAMO],$A40)</f>
        <v>9757126</v>
      </c>
      <c r="L40" s="52">
        <f>-SUMIFS(FINANCIACION[$ CAPITAL],
FINANCIACION[Fecha],"&lt;="&amp;EOMONTH(L$1,0),
FINANCIACION[PRESTAMO],$A40)</f>
        <v>9757126</v>
      </c>
      <c r="M40" s="52">
        <f>-SUMIFS(FINANCIACION[$ CAPITAL],
FINANCIACION[Fecha],"&lt;="&amp;EOMONTH(M$1,0),
FINANCIACION[PRESTAMO],$A40)</f>
        <v>9757126</v>
      </c>
      <c r="N40" s="52">
        <f>-SUMIFS(FINANCIACION[$ CAPITAL],
FINANCIACION[Fecha],"&lt;="&amp;EOMONTH(N$1,0),
FINANCIACION[PRESTAMO],$A40)</f>
        <v>0</v>
      </c>
      <c r="O40" s="52">
        <f>-SUMIFS(FINANCIACION[$ CAPITAL],
FINANCIACION[Fecha],"&lt;="&amp;EOMONTH(O$1,0),
FINANCIACION[PRESTAMO],$A40)</f>
        <v>0</v>
      </c>
      <c r="P40" s="52">
        <f>-SUMIFS(FINANCIACION[$ CAPITAL],
FINANCIACION[Fecha],"&lt;="&amp;EOMONTH(P$1,0),
FINANCIACION[PRESTAMO],$A40)</f>
        <v>0</v>
      </c>
      <c r="Q40" s="52">
        <f>-SUMIFS(FINANCIACION[$ CAPITAL],
FINANCIACION[Fecha],"&lt;="&amp;EOMONTH(Q$1,0),
FINANCIACION[PRESTAMO],$A40)</f>
        <v>0</v>
      </c>
      <c r="R40" s="52">
        <f>-SUMIFS(FINANCIACION[$ CAPITAL],
FINANCIACION[Fecha],"&lt;="&amp;EOMONTH(R$1,0),
FINANCIACION[PRESTAMO],$A40)</f>
        <v>0</v>
      </c>
      <c r="S40" s="52">
        <f>-SUMIFS(FINANCIACION[$ CAPITAL],
FINANCIACION[Fecha],"&lt;="&amp;EOMONTH(S$1,0),
FINANCIACION[PRESTAMO],$A40)</f>
        <v>0</v>
      </c>
      <c r="T40" s="52">
        <f>-SUMIFS(FINANCIACION[$ CAPITAL],
FINANCIACION[Fecha],"&lt;="&amp;EOMONTH(T$1,0),
FINANCIACION[PRESTAMO],$A40)</f>
        <v>0</v>
      </c>
      <c r="U40" s="52">
        <f>-SUMIFS(FINANCIACION[$ CAPITAL],
FINANCIACION[Fecha],"&lt;="&amp;EOMONTH(U$1,0),
FINANCIACION[PRESTAMO],$A40)</f>
        <v>0</v>
      </c>
      <c r="V40" s="52">
        <f>-SUMIFS(FINANCIACION[$ CAPITAL],
FINANCIACION[Fecha],"&lt;="&amp;EOMONTH(V$1,0),
FINANCIACION[PRESTAMO],$A40)</f>
        <v>0</v>
      </c>
      <c r="W40" s="52">
        <f>-SUMIFS(FINANCIACION[$ CAPITAL],
FINANCIACION[Fecha],"&lt;="&amp;EOMONTH(W$1,0),
FINANCIACION[PRESTAMO],$A40)</f>
        <v>0</v>
      </c>
      <c r="X40" s="52">
        <f>-SUMIFS(FINANCIACION[$ CAPITAL],
FINANCIACION[Fecha],"&lt;="&amp;EOMONTH(X$1,0),
FINANCIACION[PRESTAMO],$A40)</f>
        <v>0</v>
      </c>
    </row>
    <row r="41" spans="1:24" ht="21.6" customHeight="1" x14ac:dyDescent="0.3">
      <c r="A41" s="41" t="s">
        <v>151</v>
      </c>
      <c r="B41" s="52">
        <f>-SUMIFS(FINANCIACION[$ CAPITAL],
FINANCIACION[Fecha],"&lt;="&amp;EOMONTH(B$1,0),
FINANCIACION[PRESTAMO],$A41)</f>
        <v>0</v>
      </c>
      <c r="C41" s="52">
        <f>-SUMIFS(FINANCIACION[$ CAPITAL],
FINANCIACION[Fecha],"&lt;="&amp;EOMONTH(C$1,0),
FINANCIACION[PRESTAMO],$A41)</f>
        <v>0</v>
      </c>
      <c r="D41" s="52">
        <f>-SUMIFS(FINANCIACION[$ CAPITAL],
FINANCIACION[Fecha],"&lt;="&amp;EOMONTH(D$1,0),
FINANCIACION[PRESTAMO],$A41)</f>
        <v>0</v>
      </c>
      <c r="E41" s="52">
        <f>-SUMIFS(FINANCIACION[$ CAPITAL],
FINANCIACION[Fecha],"&lt;="&amp;EOMONTH(E$1,0),
FINANCIACION[PRESTAMO],$A41)</f>
        <v>0</v>
      </c>
      <c r="F41" s="52">
        <f>-SUMIFS(FINANCIACION[$ CAPITAL],
FINANCIACION[Fecha],"&lt;="&amp;EOMONTH(F$1,0),
FINANCIACION[PRESTAMO],$A41)</f>
        <v>0</v>
      </c>
      <c r="G41" s="52">
        <f>-SUMIFS(FINANCIACION[$ CAPITAL],
FINANCIACION[Fecha],"&lt;="&amp;EOMONTH(G$1,0),
FINANCIACION[PRESTAMO],$A41)</f>
        <v>0</v>
      </c>
      <c r="H41" s="52">
        <f>-SUMIFS(FINANCIACION[$ CAPITAL],
FINANCIACION[Fecha],"&lt;="&amp;EOMONTH(H$1,0),
FINANCIACION[PRESTAMO],$A41)</f>
        <v>0</v>
      </c>
      <c r="I41" s="52">
        <f>-SUMIFS(FINANCIACION[$ CAPITAL],
FINANCIACION[Fecha],"&lt;="&amp;EOMONTH(I$1,0),
FINANCIACION[PRESTAMO],$A41)</f>
        <v>0</v>
      </c>
      <c r="J41" s="52">
        <f>-SUMIFS(FINANCIACION[$ CAPITAL],
FINANCIACION[Fecha],"&lt;="&amp;EOMONTH(J$1,0),
FINANCIACION[PRESTAMO],$A41)</f>
        <v>0</v>
      </c>
      <c r="K41" s="52">
        <f>-SUMIFS(FINANCIACION[$ CAPITAL],
FINANCIACION[Fecha],"&lt;="&amp;EOMONTH(K$1,0),
FINANCIACION[PRESTAMO],$A41)</f>
        <v>0</v>
      </c>
      <c r="L41" s="52">
        <f>-SUMIFS(FINANCIACION[$ CAPITAL],
FINANCIACION[Fecha],"&lt;="&amp;EOMONTH(L$1,0),
FINANCIACION[PRESTAMO],$A41)</f>
        <v>0</v>
      </c>
      <c r="M41" s="52">
        <f>-SUMIFS(FINANCIACION[$ CAPITAL],
FINANCIACION[Fecha],"&lt;="&amp;EOMONTH(M$1,0),
FINANCIACION[PRESTAMO],$A41)</f>
        <v>0</v>
      </c>
      <c r="N41" s="52">
        <f>-SUMIFS(FINANCIACION[$ CAPITAL],
FINANCIACION[Fecha],"&lt;="&amp;EOMONTH(N$1,0),
FINANCIACION[PRESTAMO],$A41)</f>
        <v>0</v>
      </c>
      <c r="O41" s="52">
        <f>-SUMIFS(FINANCIACION[$ CAPITAL],
FINANCIACION[Fecha],"&lt;="&amp;EOMONTH(O$1,0),
FINANCIACION[PRESTAMO],$A41)</f>
        <v>0</v>
      </c>
      <c r="P41" s="52">
        <f>-SUMIFS(FINANCIACION[$ CAPITAL],
FINANCIACION[Fecha],"&lt;="&amp;EOMONTH(P$1,0),
FINANCIACION[PRESTAMO],$A41)</f>
        <v>0</v>
      </c>
      <c r="Q41" s="52">
        <f>-SUMIFS(FINANCIACION[$ CAPITAL],
FINANCIACION[Fecha],"&lt;="&amp;EOMONTH(Q$1,0),
FINANCIACION[PRESTAMO],$A41)</f>
        <v>0</v>
      </c>
      <c r="R41" s="52">
        <f>-SUMIFS(FINANCIACION[$ CAPITAL],
FINANCIACION[Fecha],"&lt;="&amp;EOMONTH(R$1,0),
FINANCIACION[PRESTAMO],$A41)</f>
        <v>0</v>
      </c>
      <c r="S41" s="52">
        <f>-SUMIFS(FINANCIACION[$ CAPITAL],
FINANCIACION[Fecha],"&lt;="&amp;EOMONTH(S$1,0),
FINANCIACION[PRESTAMO],$A41)</f>
        <v>0</v>
      </c>
      <c r="T41" s="52">
        <f>-SUMIFS(FINANCIACION[$ CAPITAL],
FINANCIACION[Fecha],"&lt;="&amp;EOMONTH(T$1,0),
FINANCIACION[PRESTAMO],$A41)</f>
        <v>0</v>
      </c>
      <c r="U41" s="52">
        <f>-SUMIFS(FINANCIACION[$ CAPITAL],
FINANCIACION[Fecha],"&lt;="&amp;EOMONTH(U$1,0),
FINANCIACION[PRESTAMO],$A41)</f>
        <v>0</v>
      </c>
      <c r="V41" s="52">
        <f>-SUMIFS(FINANCIACION[$ CAPITAL],
FINANCIACION[Fecha],"&lt;="&amp;EOMONTH(V$1,0),
FINANCIACION[PRESTAMO],$A41)</f>
        <v>0</v>
      </c>
      <c r="W41" s="52">
        <f>-SUMIFS(FINANCIACION[$ CAPITAL],
FINANCIACION[Fecha],"&lt;="&amp;EOMONTH(W$1,0),
FINANCIACION[PRESTAMO],$A41)</f>
        <v>0</v>
      </c>
      <c r="X41" s="52">
        <f>-SUMIFS(FINANCIACION[$ CAPITAL],
FINANCIACION[Fecha],"&lt;="&amp;EOMONTH(X$1,0),
FINANCIACION[PRESTAMO],$A41)</f>
        <v>0</v>
      </c>
    </row>
    <row r="42" spans="1:24" ht="21.6" customHeight="1" x14ac:dyDescent="0.3">
      <c r="A42" s="41" t="s">
        <v>152</v>
      </c>
      <c r="B42" s="52">
        <f>-SUMIFS(FINANCIACION[$ CAPITAL],
FINANCIACION[Fecha],"&lt;="&amp;EOMONTH(B$1,0),
FINANCIACION[PRESTAMO],$A42)</f>
        <v>0</v>
      </c>
      <c r="C42" s="52">
        <f>-SUMIFS(FINANCIACION[$ CAPITAL],
FINANCIACION[Fecha],"&lt;="&amp;EOMONTH(C$1,0),
FINANCIACION[PRESTAMO],$A42)</f>
        <v>0</v>
      </c>
      <c r="D42" s="52">
        <f>-SUMIFS(FINANCIACION[$ CAPITAL],
FINANCIACION[Fecha],"&lt;="&amp;EOMONTH(D$1,0),
FINANCIACION[PRESTAMO],$A42)</f>
        <v>0</v>
      </c>
      <c r="E42" s="52">
        <f>-SUMIFS(FINANCIACION[$ CAPITAL],
FINANCIACION[Fecha],"&lt;="&amp;EOMONTH(E$1,0),
FINANCIACION[PRESTAMO],$A42)</f>
        <v>0</v>
      </c>
      <c r="F42" s="52">
        <f>-SUMIFS(FINANCIACION[$ CAPITAL],
FINANCIACION[Fecha],"&lt;="&amp;EOMONTH(F$1,0),
FINANCIACION[PRESTAMO],$A42)</f>
        <v>0</v>
      </c>
      <c r="G42" s="52">
        <f>-SUMIFS(FINANCIACION[$ CAPITAL],
FINANCIACION[Fecha],"&lt;="&amp;EOMONTH(G$1,0),
FINANCIACION[PRESTAMO],$A42)</f>
        <v>0</v>
      </c>
      <c r="H42" s="52">
        <f>-SUMIFS(FINANCIACION[$ CAPITAL],
FINANCIACION[Fecha],"&lt;="&amp;EOMONTH(H$1,0),
FINANCIACION[PRESTAMO],$A42)</f>
        <v>0</v>
      </c>
      <c r="I42" s="52">
        <f>-SUMIFS(FINANCIACION[$ CAPITAL],
FINANCIACION[Fecha],"&lt;="&amp;EOMONTH(I$1,0),
FINANCIACION[PRESTAMO],$A42)</f>
        <v>0</v>
      </c>
      <c r="J42" s="52">
        <f>-SUMIFS(FINANCIACION[$ CAPITAL],
FINANCIACION[Fecha],"&lt;="&amp;EOMONTH(J$1,0),
FINANCIACION[PRESTAMO],$A42)</f>
        <v>0</v>
      </c>
      <c r="K42" s="52">
        <f>-SUMIFS(FINANCIACION[$ CAPITAL],
FINANCIACION[Fecha],"&lt;="&amp;EOMONTH(K$1,0),
FINANCIACION[PRESTAMO],$A42)</f>
        <v>0</v>
      </c>
      <c r="L42" s="52">
        <f>-SUMIFS(FINANCIACION[$ CAPITAL],
FINANCIACION[Fecha],"&lt;="&amp;EOMONTH(L$1,0),
FINANCIACION[PRESTAMO],$A42)</f>
        <v>0</v>
      </c>
      <c r="M42" s="52">
        <f>-SUMIFS(FINANCIACION[$ CAPITAL],
FINANCIACION[Fecha],"&lt;="&amp;EOMONTH(M$1,0),
FINANCIACION[PRESTAMO],$A42)</f>
        <v>0</v>
      </c>
      <c r="N42" s="52">
        <f>-SUMIFS(FINANCIACION[$ CAPITAL],
FINANCIACION[Fecha],"&lt;="&amp;EOMONTH(N$1,0),
FINANCIACION[PRESTAMO],$A42)</f>
        <v>0</v>
      </c>
      <c r="O42" s="52">
        <f>-SUMIFS(FINANCIACION[$ CAPITAL],
FINANCIACION[Fecha],"&lt;="&amp;EOMONTH(O$1,0),
FINANCIACION[PRESTAMO],$A42)</f>
        <v>0</v>
      </c>
      <c r="P42" s="52">
        <f>-SUMIFS(FINANCIACION[$ CAPITAL],
FINANCIACION[Fecha],"&lt;="&amp;EOMONTH(P$1,0),
FINANCIACION[PRESTAMO],$A42)</f>
        <v>0</v>
      </c>
      <c r="Q42" s="52">
        <f>-SUMIFS(FINANCIACION[$ CAPITAL],
FINANCIACION[Fecha],"&lt;="&amp;EOMONTH(Q$1,0),
FINANCIACION[PRESTAMO],$A42)</f>
        <v>0</v>
      </c>
      <c r="R42" s="52">
        <f>-SUMIFS(FINANCIACION[$ CAPITAL],
FINANCIACION[Fecha],"&lt;="&amp;EOMONTH(R$1,0),
FINANCIACION[PRESTAMO],$A42)</f>
        <v>0</v>
      </c>
      <c r="S42" s="52">
        <f>-SUMIFS(FINANCIACION[$ CAPITAL],
FINANCIACION[Fecha],"&lt;="&amp;EOMONTH(S$1,0),
FINANCIACION[PRESTAMO],$A42)</f>
        <v>0</v>
      </c>
      <c r="T42" s="52">
        <f>-SUMIFS(FINANCIACION[$ CAPITAL],
FINANCIACION[Fecha],"&lt;="&amp;EOMONTH(T$1,0),
FINANCIACION[PRESTAMO],$A42)</f>
        <v>0</v>
      </c>
      <c r="U42" s="52">
        <f>-SUMIFS(FINANCIACION[$ CAPITAL],
FINANCIACION[Fecha],"&lt;="&amp;EOMONTH(U$1,0),
FINANCIACION[PRESTAMO],$A42)</f>
        <v>0</v>
      </c>
      <c r="V42" s="52">
        <f>-SUMIFS(FINANCIACION[$ CAPITAL],
FINANCIACION[Fecha],"&lt;="&amp;EOMONTH(V$1,0),
FINANCIACION[PRESTAMO],$A42)</f>
        <v>0</v>
      </c>
      <c r="W42" s="52">
        <f>-SUMIFS(FINANCIACION[$ CAPITAL],
FINANCIACION[Fecha],"&lt;="&amp;EOMONTH(W$1,0),
FINANCIACION[PRESTAMO],$A42)</f>
        <v>0</v>
      </c>
      <c r="X42" s="52">
        <f>-SUMIFS(FINANCIACION[$ CAPITAL],
FINANCIACION[Fecha],"&lt;="&amp;EOMONTH(X$1,0),
FINANCIACION[PRESTAMO],$A42)</f>
        <v>0</v>
      </c>
    </row>
    <row r="43" spans="1:24" ht="21.6" customHeight="1" x14ac:dyDescent="0.3">
      <c r="A43" s="41" t="s">
        <v>546</v>
      </c>
      <c r="B43" s="52">
        <f>-SUMIFS(FINANCIACION[$ CAPITAL],
FINANCIACION[Fecha],"&lt;="&amp;EOMONTH(B$1,0),
FINANCIACION[PRESTAMO],$A43)</f>
        <v>17690624.41</v>
      </c>
      <c r="C43" s="52">
        <f>-SUMIFS(FINANCIACION[$ CAPITAL],
FINANCIACION[Fecha],"&lt;="&amp;EOMONTH(C$1,0),
FINANCIACION[PRESTAMO],$A43)</f>
        <v>17690624.41</v>
      </c>
      <c r="D43" s="52">
        <f>-SUMIFS(FINANCIACION[$ CAPITAL],
FINANCIACION[Fecha],"&lt;="&amp;EOMONTH(D$1,0),
FINANCIACION[PRESTAMO],$A43)</f>
        <v>17690624.41</v>
      </c>
      <c r="E43" s="52">
        <f>-SUMIFS(FINANCIACION[$ CAPITAL],
FINANCIACION[Fecha],"&lt;="&amp;EOMONTH(E$1,0),
FINANCIACION[PRESTAMO],$A43)</f>
        <v>17690624.41</v>
      </c>
      <c r="F43" s="52">
        <f>-SUMIFS(FINANCIACION[$ CAPITAL],
FINANCIACION[Fecha],"&lt;="&amp;EOMONTH(F$1,0),
FINANCIACION[PRESTAMO],$A43)</f>
        <v>17690624.41</v>
      </c>
      <c r="G43" s="52">
        <f>-SUMIFS(FINANCIACION[$ CAPITAL],
FINANCIACION[Fecha],"&lt;="&amp;EOMONTH(G$1,0),
FINANCIACION[PRESTAMO],$A43)</f>
        <v>17690624.41</v>
      </c>
      <c r="H43" s="52">
        <f>-SUMIFS(FINANCIACION[$ CAPITAL],
FINANCIACION[Fecha],"&lt;="&amp;EOMONTH(H$1,0),
FINANCIACION[PRESTAMO],$A43)</f>
        <v>17690624.41</v>
      </c>
      <c r="I43" s="52">
        <f>-SUMIFS(FINANCIACION[$ CAPITAL],
FINANCIACION[Fecha],"&lt;="&amp;EOMONTH(I$1,0),
FINANCIACION[PRESTAMO],$A43)</f>
        <v>17690624.41</v>
      </c>
      <c r="J43" s="52">
        <f>-SUMIFS(FINANCIACION[$ CAPITAL],
FINANCIACION[Fecha],"&lt;="&amp;EOMONTH(J$1,0),
FINANCIACION[PRESTAMO],$A43)</f>
        <v>17690624.41</v>
      </c>
      <c r="K43" s="52">
        <f>-SUMIFS(FINANCIACION[$ CAPITAL],
FINANCIACION[Fecha],"&lt;="&amp;EOMONTH(K$1,0),
FINANCIACION[PRESTAMO],$A43)</f>
        <v>17690624.41</v>
      </c>
      <c r="L43" s="52">
        <f>-SUMIFS(FINANCIACION[$ CAPITAL],
FINANCIACION[Fecha],"&lt;="&amp;EOMONTH(L$1,0),
FINANCIACION[PRESTAMO],$A43)</f>
        <v>17690624.41</v>
      </c>
      <c r="M43" s="52">
        <f>-SUMIFS(FINANCIACION[$ CAPITAL],
FINANCIACION[Fecha],"&lt;="&amp;EOMONTH(M$1,0),
FINANCIACION[PRESTAMO],$A43)</f>
        <v>17690624.41</v>
      </c>
      <c r="N43" s="52">
        <f>-SUMIFS(FINANCIACION[$ CAPITAL],
FINANCIACION[Fecha],"&lt;="&amp;EOMONTH(N$1,0),
FINANCIACION[PRESTAMO],$A43)</f>
        <v>0</v>
      </c>
      <c r="O43" s="52">
        <f>-SUMIFS(FINANCIACION[$ CAPITAL],
FINANCIACION[Fecha],"&lt;="&amp;EOMONTH(O$1,0),
FINANCIACION[PRESTAMO],$A43)</f>
        <v>0</v>
      </c>
      <c r="P43" s="52">
        <f>-SUMIFS(FINANCIACION[$ CAPITAL],
FINANCIACION[Fecha],"&lt;="&amp;EOMONTH(P$1,0),
FINANCIACION[PRESTAMO],$A43)</f>
        <v>0</v>
      </c>
      <c r="Q43" s="52">
        <f>-SUMIFS(FINANCIACION[$ CAPITAL],
FINANCIACION[Fecha],"&lt;="&amp;EOMONTH(Q$1,0),
FINANCIACION[PRESTAMO],$A43)</f>
        <v>0</v>
      </c>
      <c r="R43" s="52">
        <f>-SUMIFS(FINANCIACION[$ CAPITAL],
FINANCIACION[Fecha],"&lt;="&amp;EOMONTH(R$1,0),
FINANCIACION[PRESTAMO],$A43)</f>
        <v>0</v>
      </c>
      <c r="S43" s="52">
        <f>-SUMIFS(FINANCIACION[$ CAPITAL],
FINANCIACION[Fecha],"&lt;="&amp;EOMONTH(S$1,0),
FINANCIACION[PRESTAMO],$A43)</f>
        <v>0</v>
      </c>
      <c r="T43" s="52">
        <f>-SUMIFS(FINANCIACION[$ CAPITAL],
FINANCIACION[Fecha],"&lt;="&amp;EOMONTH(T$1,0),
FINANCIACION[PRESTAMO],$A43)</f>
        <v>0</v>
      </c>
      <c r="U43" s="52">
        <f>-SUMIFS(FINANCIACION[$ CAPITAL],
FINANCIACION[Fecha],"&lt;="&amp;EOMONTH(U$1,0),
FINANCIACION[PRESTAMO],$A43)</f>
        <v>0</v>
      </c>
      <c r="V43" s="52">
        <f>-SUMIFS(FINANCIACION[$ CAPITAL],
FINANCIACION[Fecha],"&lt;="&amp;EOMONTH(V$1,0),
FINANCIACION[PRESTAMO],$A43)</f>
        <v>0</v>
      </c>
      <c r="W43" s="52">
        <f>-SUMIFS(FINANCIACION[$ CAPITAL],
FINANCIACION[Fecha],"&lt;="&amp;EOMONTH(W$1,0),
FINANCIACION[PRESTAMO],$A43)</f>
        <v>0</v>
      </c>
      <c r="X43" s="52">
        <f>-SUMIFS(FINANCIACION[$ CAPITAL],
FINANCIACION[Fecha],"&lt;="&amp;EOMONTH(X$1,0),
FINANCIACION[PRESTAMO],$A43)</f>
        <v>0</v>
      </c>
    </row>
    <row r="44" spans="1:24" ht="21.6" customHeight="1" x14ac:dyDescent="0.3">
      <c r="A44" s="41" t="s">
        <v>588</v>
      </c>
      <c r="B44" s="52">
        <f>-SUMIFS(FINANCIACION[$ CAPITAL],
FINANCIACION[Fecha],"&lt;="&amp;EOMONTH(B$1,0),
FINANCIACION[PRESTAMO],$A44)</f>
        <v>1469243.3599999994</v>
      </c>
      <c r="C44" s="52">
        <f>-SUMIFS(FINANCIACION[$ CAPITAL],
FINANCIACION[Fecha],"&lt;="&amp;EOMONTH(C$1,0),
FINANCIACION[PRESTAMO],$A44)</f>
        <v>1469243.3599999994</v>
      </c>
      <c r="D44" s="52">
        <f>-SUMIFS(FINANCIACION[$ CAPITAL],
FINANCIACION[Fecha],"&lt;="&amp;EOMONTH(D$1,0),
FINANCIACION[PRESTAMO],$A44)</f>
        <v>1469243.3599999994</v>
      </c>
      <c r="E44" s="52">
        <f>-SUMIFS(FINANCIACION[$ CAPITAL],
FINANCIACION[Fecha],"&lt;="&amp;EOMONTH(E$1,0),
FINANCIACION[PRESTAMO],$A44)</f>
        <v>1469243.3599999994</v>
      </c>
      <c r="F44" s="52">
        <f>-SUMIFS(FINANCIACION[$ CAPITAL],
FINANCIACION[Fecha],"&lt;="&amp;EOMONTH(F$1,0),
FINANCIACION[PRESTAMO],$A44)</f>
        <v>1469243.3599999994</v>
      </c>
      <c r="G44" s="52">
        <f>-SUMIFS(FINANCIACION[$ CAPITAL],
FINANCIACION[Fecha],"&lt;="&amp;EOMONTH(G$1,0),
FINANCIACION[PRESTAMO],$A44)</f>
        <v>1469243.3599999994</v>
      </c>
      <c r="H44" s="52">
        <f>-SUMIFS(FINANCIACION[$ CAPITAL],
FINANCIACION[Fecha],"&lt;="&amp;EOMONTH(H$1,0),
FINANCIACION[PRESTAMO],$A44)</f>
        <v>1469243.3599999994</v>
      </c>
      <c r="I44" s="52">
        <f>-SUMIFS(FINANCIACION[$ CAPITAL],
FINANCIACION[Fecha],"&lt;="&amp;EOMONTH(I$1,0),
FINANCIACION[PRESTAMO],$A44)</f>
        <v>1469243.3599999994</v>
      </c>
      <c r="J44" s="52">
        <f>-SUMIFS(FINANCIACION[$ CAPITAL],
FINANCIACION[Fecha],"&lt;="&amp;EOMONTH(J$1,0),
FINANCIACION[PRESTAMO],$A44)</f>
        <v>1469243.3599999994</v>
      </c>
      <c r="K44" s="52">
        <f>-SUMIFS(FINANCIACION[$ CAPITAL],
FINANCIACION[Fecha],"&lt;="&amp;EOMONTH(K$1,0),
FINANCIACION[PRESTAMO],$A44)</f>
        <v>1469243.3599999994</v>
      </c>
      <c r="L44" s="52">
        <f>-SUMIFS(FINANCIACION[$ CAPITAL],
FINANCIACION[Fecha],"&lt;="&amp;EOMONTH(L$1,0),
FINANCIACION[PRESTAMO],$A44)</f>
        <v>1469243.3599999994</v>
      </c>
      <c r="M44" s="52">
        <f>-SUMIFS(FINANCIACION[$ CAPITAL],
FINANCIACION[Fecha],"&lt;="&amp;EOMONTH(M$1,0),
FINANCIACION[PRESTAMO],$A44)</f>
        <v>1469243.3599999994</v>
      </c>
      <c r="N44" s="52">
        <f>-SUMIFS(FINANCIACION[$ CAPITAL],
FINANCIACION[Fecha],"&lt;="&amp;EOMONTH(N$1,0),
FINANCIACION[PRESTAMO],$A44)</f>
        <v>0</v>
      </c>
      <c r="O44" s="52">
        <f>-SUMIFS(FINANCIACION[$ CAPITAL],
FINANCIACION[Fecha],"&lt;="&amp;EOMONTH(O$1,0),
FINANCIACION[PRESTAMO],$A44)</f>
        <v>0</v>
      </c>
      <c r="P44" s="52">
        <f>-SUMIFS(FINANCIACION[$ CAPITAL],
FINANCIACION[Fecha],"&lt;="&amp;EOMONTH(P$1,0),
FINANCIACION[PRESTAMO],$A44)</f>
        <v>0</v>
      </c>
      <c r="Q44" s="52">
        <f>-SUMIFS(FINANCIACION[$ CAPITAL],
FINANCIACION[Fecha],"&lt;="&amp;EOMONTH(Q$1,0),
FINANCIACION[PRESTAMO],$A44)</f>
        <v>0</v>
      </c>
      <c r="R44" s="52">
        <f>-SUMIFS(FINANCIACION[$ CAPITAL],
FINANCIACION[Fecha],"&lt;="&amp;EOMONTH(R$1,0),
FINANCIACION[PRESTAMO],$A44)</f>
        <v>0</v>
      </c>
      <c r="S44" s="52">
        <f>-SUMIFS(FINANCIACION[$ CAPITAL],
FINANCIACION[Fecha],"&lt;="&amp;EOMONTH(S$1,0),
FINANCIACION[PRESTAMO],$A44)</f>
        <v>0</v>
      </c>
      <c r="T44" s="52">
        <f>-SUMIFS(FINANCIACION[$ CAPITAL],
FINANCIACION[Fecha],"&lt;="&amp;EOMONTH(T$1,0),
FINANCIACION[PRESTAMO],$A44)</f>
        <v>0</v>
      </c>
      <c r="U44" s="52">
        <f>-SUMIFS(FINANCIACION[$ CAPITAL],
FINANCIACION[Fecha],"&lt;="&amp;EOMONTH(U$1,0),
FINANCIACION[PRESTAMO],$A44)</f>
        <v>0</v>
      </c>
      <c r="V44" s="52">
        <f>-SUMIFS(FINANCIACION[$ CAPITAL],
FINANCIACION[Fecha],"&lt;="&amp;EOMONTH(V$1,0),
FINANCIACION[PRESTAMO],$A44)</f>
        <v>0</v>
      </c>
      <c r="W44" s="52">
        <f>-SUMIFS(FINANCIACION[$ CAPITAL],
FINANCIACION[Fecha],"&lt;="&amp;EOMONTH(W$1,0),
FINANCIACION[PRESTAMO],$A44)</f>
        <v>0</v>
      </c>
      <c r="X44" s="52">
        <f>-SUMIFS(FINANCIACION[$ CAPITAL],
FINANCIACION[Fecha],"&lt;="&amp;EOMONTH(X$1,0),
FINANCIACION[PRESTAMO],$A44)</f>
        <v>0</v>
      </c>
    </row>
    <row r="45" spans="1:24" ht="21.6" customHeight="1" x14ac:dyDescent="0.3">
      <c r="A45" s="41" t="s">
        <v>540</v>
      </c>
      <c r="B45" s="52">
        <f>-SUMIFS(FINANCIACION[$ CAPITAL],
FINANCIACION[Fecha],"&lt;="&amp;EOMONTH(B$1,0),
FINANCIACION[PRESTAMO],$A45)</f>
        <v>15744456.239999995</v>
      </c>
      <c r="C45" s="52">
        <f>-SUMIFS(FINANCIACION[$ CAPITAL],
FINANCIACION[Fecha],"&lt;="&amp;EOMONTH(C$1,0),
FINANCIACION[PRESTAMO],$A45)</f>
        <v>15744456.239999995</v>
      </c>
      <c r="D45" s="52">
        <f>-SUMIFS(FINANCIACION[$ CAPITAL],
FINANCIACION[Fecha],"&lt;="&amp;EOMONTH(D$1,0),
FINANCIACION[PRESTAMO],$A45)</f>
        <v>15744456.239999995</v>
      </c>
      <c r="E45" s="52">
        <f>-SUMIFS(FINANCIACION[$ CAPITAL],
FINANCIACION[Fecha],"&lt;="&amp;EOMONTH(E$1,0),
FINANCIACION[PRESTAMO],$A45)</f>
        <v>15744456.239999995</v>
      </c>
      <c r="F45" s="52">
        <f>-SUMIFS(FINANCIACION[$ CAPITAL],
FINANCIACION[Fecha],"&lt;="&amp;EOMONTH(F$1,0),
FINANCIACION[PRESTAMO],$A45)</f>
        <v>15744456.239999995</v>
      </c>
      <c r="G45" s="52">
        <f>-SUMIFS(FINANCIACION[$ CAPITAL],
FINANCIACION[Fecha],"&lt;="&amp;EOMONTH(G$1,0),
FINANCIACION[PRESTAMO],$A45)</f>
        <v>15744456.239999995</v>
      </c>
      <c r="H45" s="52">
        <f>-SUMIFS(FINANCIACION[$ CAPITAL],
FINANCIACION[Fecha],"&lt;="&amp;EOMONTH(H$1,0),
FINANCIACION[PRESTAMO],$A45)</f>
        <v>15744456.239999995</v>
      </c>
      <c r="I45" s="52">
        <f>-SUMIFS(FINANCIACION[$ CAPITAL],
FINANCIACION[Fecha],"&lt;="&amp;EOMONTH(I$1,0),
FINANCIACION[PRESTAMO],$A45)</f>
        <v>15744456.239999995</v>
      </c>
      <c r="J45" s="52">
        <f>-SUMIFS(FINANCIACION[$ CAPITAL],
FINANCIACION[Fecha],"&lt;="&amp;EOMONTH(J$1,0),
FINANCIACION[PRESTAMO],$A45)</f>
        <v>15744456.239999995</v>
      </c>
      <c r="K45" s="52">
        <f>-SUMIFS(FINANCIACION[$ CAPITAL],
FINANCIACION[Fecha],"&lt;="&amp;EOMONTH(K$1,0),
FINANCIACION[PRESTAMO],$A45)</f>
        <v>15744456.239999995</v>
      </c>
      <c r="L45" s="52">
        <f>-SUMIFS(FINANCIACION[$ CAPITAL],
FINANCIACION[Fecha],"&lt;="&amp;EOMONTH(L$1,0),
FINANCIACION[PRESTAMO],$A45)</f>
        <v>15744456.239999995</v>
      </c>
      <c r="M45" s="52">
        <f>-SUMIFS(FINANCIACION[$ CAPITAL],
FINANCIACION[Fecha],"&lt;="&amp;EOMONTH(M$1,0),
FINANCIACION[PRESTAMO],$A45)</f>
        <v>15744456.239999995</v>
      </c>
      <c r="N45" s="52">
        <f>-SUMIFS(FINANCIACION[$ CAPITAL],
FINANCIACION[Fecha],"&lt;="&amp;EOMONTH(N$1,0),
FINANCIACION[PRESTAMO],$A45)</f>
        <v>0</v>
      </c>
      <c r="O45" s="52">
        <f>-SUMIFS(FINANCIACION[$ CAPITAL],
FINANCIACION[Fecha],"&lt;="&amp;EOMONTH(O$1,0),
FINANCIACION[PRESTAMO],$A45)</f>
        <v>0</v>
      </c>
      <c r="P45" s="52">
        <f>-SUMIFS(FINANCIACION[$ CAPITAL],
FINANCIACION[Fecha],"&lt;="&amp;EOMONTH(P$1,0),
FINANCIACION[PRESTAMO],$A45)</f>
        <v>0</v>
      </c>
      <c r="Q45" s="52">
        <f>-SUMIFS(FINANCIACION[$ CAPITAL],
FINANCIACION[Fecha],"&lt;="&amp;EOMONTH(Q$1,0),
FINANCIACION[PRESTAMO],$A45)</f>
        <v>0</v>
      </c>
      <c r="R45" s="52">
        <f>-SUMIFS(FINANCIACION[$ CAPITAL],
FINANCIACION[Fecha],"&lt;="&amp;EOMONTH(R$1,0),
FINANCIACION[PRESTAMO],$A45)</f>
        <v>0</v>
      </c>
      <c r="S45" s="52">
        <f>-SUMIFS(FINANCIACION[$ CAPITAL],
FINANCIACION[Fecha],"&lt;="&amp;EOMONTH(S$1,0),
FINANCIACION[PRESTAMO],$A45)</f>
        <v>0</v>
      </c>
      <c r="T45" s="52">
        <f>-SUMIFS(FINANCIACION[$ CAPITAL],
FINANCIACION[Fecha],"&lt;="&amp;EOMONTH(T$1,0),
FINANCIACION[PRESTAMO],$A45)</f>
        <v>0</v>
      </c>
      <c r="U45" s="52">
        <f>-SUMIFS(FINANCIACION[$ CAPITAL],
FINANCIACION[Fecha],"&lt;="&amp;EOMONTH(U$1,0),
FINANCIACION[PRESTAMO],$A45)</f>
        <v>0</v>
      </c>
      <c r="V45" s="52">
        <f>-SUMIFS(FINANCIACION[$ CAPITAL],
FINANCIACION[Fecha],"&lt;="&amp;EOMONTH(V$1,0),
FINANCIACION[PRESTAMO],$A45)</f>
        <v>0</v>
      </c>
      <c r="W45" s="52">
        <f>-SUMIFS(FINANCIACION[$ CAPITAL],
FINANCIACION[Fecha],"&lt;="&amp;EOMONTH(W$1,0),
FINANCIACION[PRESTAMO],$A45)</f>
        <v>0</v>
      </c>
      <c r="X45" s="52">
        <f>-SUMIFS(FINANCIACION[$ CAPITAL],
FINANCIACION[Fecha],"&lt;="&amp;EOMONTH(X$1,0),
FINANCIACION[PRESTAMO],$A45)</f>
        <v>0</v>
      </c>
    </row>
    <row r="46" spans="1:24" ht="21.6" customHeight="1" x14ac:dyDescent="0.3">
      <c r="A46" s="41" t="s">
        <v>833</v>
      </c>
      <c r="B46" s="52">
        <f>-SUMIFS(FINANCIACION[$ CAPITAL],
FINANCIACION[Fecha],"&lt;="&amp;EOMONTH(B$1,0),
FINANCIACION[PRESTAMO],$A46)</f>
        <v>0</v>
      </c>
      <c r="C46" s="52">
        <f>-SUMIFS(FINANCIACION[$ CAPITAL],
FINANCIACION[Fecha],"&lt;="&amp;EOMONTH(C$1,0),
FINANCIACION[PRESTAMO],$A46)</f>
        <v>0</v>
      </c>
      <c r="D46" s="52">
        <f>-SUMIFS(FINANCIACION[$ CAPITAL],
FINANCIACION[Fecha],"&lt;="&amp;EOMONTH(D$1,0),
FINANCIACION[PRESTAMO],$A46)</f>
        <v>0</v>
      </c>
      <c r="E46" s="52">
        <f>-SUMIFS(FINANCIACION[$ CAPITAL],
FINANCIACION[Fecha],"&lt;="&amp;EOMONTH(E$1,0),
FINANCIACION[PRESTAMO],$A46)</f>
        <v>0</v>
      </c>
      <c r="F46" s="52">
        <f>-SUMIFS(FINANCIACION[$ CAPITAL],
FINANCIACION[Fecha],"&lt;="&amp;EOMONTH(F$1,0),
FINANCIACION[PRESTAMO],$A46)</f>
        <v>0</v>
      </c>
      <c r="G46" s="52">
        <f>-SUMIFS(FINANCIACION[$ CAPITAL],
FINANCIACION[Fecha],"&lt;="&amp;EOMONTH(G$1,0),
FINANCIACION[PRESTAMO],$A46)</f>
        <v>0</v>
      </c>
      <c r="H46" s="52">
        <f>-SUMIFS(FINANCIACION[$ CAPITAL],
FINANCIACION[Fecha],"&lt;="&amp;EOMONTH(H$1,0),
FINANCIACION[PRESTAMO],$A46)</f>
        <v>0</v>
      </c>
      <c r="I46" s="52">
        <f>-SUMIFS(FINANCIACION[$ CAPITAL],
FINANCIACION[Fecha],"&lt;="&amp;EOMONTH(I$1,0),
FINANCIACION[PRESTAMO],$A46)</f>
        <v>0</v>
      </c>
      <c r="J46" s="52">
        <f>-SUMIFS(FINANCIACION[$ CAPITAL],
FINANCIACION[Fecha],"&lt;="&amp;EOMONTH(J$1,0),
FINANCIACION[PRESTAMO],$A46)</f>
        <v>0</v>
      </c>
      <c r="K46" s="52">
        <f>-SUMIFS(FINANCIACION[$ CAPITAL],
FINANCIACION[Fecha],"&lt;="&amp;EOMONTH(K$1,0),
FINANCIACION[PRESTAMO],$A46)</f>
        <v>0</v>
      </c>
      <c r="L46" s="52">
        <f>-SUMIFS(FINANCIACION[$ CAPITAL],
FINANCIACION[Fecha],"&lt;="&amp;EOMONTH(L$1,0),
FINANCIACION[PRESTAMO],$A46)</f>
        <v>0</v>
      </c>
      <c r="M46" s="52">
        <f>-SUMIFS(FINANCIACION[$ CAPITAL],
FINANCIACION[Fecha],"&lt;="&amp;EOMONTH(M$1,0),
FINANCIACION[PRESTAMO],$A46)</f>
        <v>0</v>
      </c>
      <c r="N46" s="52">
        <f>-SUMIFS(FINANCIACION[$ CAPITAL],
FINANCIACION[Fecha],"&lt;="&amp;EOMONTH(N$1,0),
FINANCIACION[PRESTAMO],$A46)</f>
        <v>0</v>
      </c>
      <c r="O46" s="52">
        <f>-SUMIFS(FINANCIACION[$ CAPITAL],
FINANCIACION[Fecha],"&lt;="&amp;EOMONTH(O$1,0),
FINANCIACION[PRESTAMO],$A46)</f>
        <v>0</v>
      </c>
      <c r="P46" s="52">
        <f>-SUMIFS(FINANCIACION[$ CAPITAL],
FINANCIACION[Fecha],"&lt;="&amp;EOMONTH(P$1,0),
FINANCIACION[PRESTAMO],$A46)</f>
        <v>0</v>
      </c>
      <c r="Q46" s="52">
        <f>-SUMIFS(FINANCIACION[$ CAPITAL],
FINANCIACION[Fecha],"&lt;="&amp;EOMONTH(Q$1,0),
FINANCIACION[PRESTAMO],$A46)</f>
        <v>0</v>
      </c>
      <c r="R46" s="52">
        <f>-SUMIFS(FINANCIACION[$ CAPITAL],
FINANCIACION[Fecha],"&lt;="&amp;EOMONTH(R$1,0),
FINANCIACION[PRESTAMO],$A46)</f>
        <v>0</v>
      </c>
      <c r="S46" s="52">
        <f>-SUMIFS(FINANCIACION[$ CAPITAL],
FINANCIACION[Fecha],"&lt;="&amp;EOMONTH(S$1,0),
FINANCIACION[PRESTAMO],$A46)</f>
        <v>0</v>
      </c>
      <c r="T46" s="52">
        <f>-SUMIFS(FINANCIACION[$ CAPITAL],
FINANCIACION[Fecha],"&lt;="&amp;EOMONTH(T$1,0),
FINANCIACION[PRESTAMO],$A46)</f>
        <v>0</v>
      </c>
      <c r="U46" s="52">
        <f>-SUMIFS(FINANCIACION[$ CAPITAL],
FINANCIACION[Fecha],"&lt;="&amp;EOMONTH(U$1,0),
FINANCIACION[PRESTAMO],$A46)</f>
        <v>0</v>
      </c>
      <c r="V46" s="52">
        <f>-SUMIFS(FINANCIACION[$ CAPITAL],
FINANCIACION[Fecha],"&lt;="&amp;EOMONTH(V$1,0),
FINANCIACION[PRESTAMO],$A46)</f>
        <v>0</v>
      </c>
      <c r="W46" s="52">
        <f>-SUMIFS(FINANCIACION[$ CAPITAL],
FINANCIACION[Fecha],"&lt;="&amp;EOMONTH(W$1,0),
FINANCIACION[PRESTAMO],$A46)</f>
        <v>0</v>
      </c>
      <c r="X46" s="52">
        <f>-SUMIFS(FINANCIACION[$ CAPITAL],
FINANCIACION[Fecha],"&lt;="&amp;EOMONTH(X$1,0),
FINANCIACION[PRESTAMO],$A46)</f>
        <v>0</v>
      </c>
    </row>
    <row r="47" spans="1:24" ht="21.6" customHeight="1" x14ac:dyDescent="0.3">
      <c r="A47" s="41" t="s">
        <v>548</v>
      </c>
      <c r="B47" s="52">
        <f>-SUMIFS(FINANCIACION[$ CAPITAL],
FINANCIACION[Fecha],"&lt;="&amp;EOMONTH(B$1,0),
FINANCIACION[PRESTAMO],$A47)</f>
        <v>82320576.00999999</v>
      </c>
      <c r="C47" s="52">
        <f>-SUMIFS(FINANCIACION[$ CAPITAL],
FINANCIACION[Fecha],"&lt;="&amp;EOMONTH(C$1,0),
FINANCIACION[PRESTAMO],$A47)</f>
        <v>82320576.00999999</v>
      </c>
      <c r="D47" s="52">
        <f>-SUMIFS(FINANCIACION[$ CAPITAL],
FINANCIACION[Fecha],"&lt;="&amp;EOMONTH(D$1,0),
FINANCIACION[PRESTAMO],$A47)</f>
        <v>82320576.00999999</v>
      </c>
      <c r="E47" s="52">
        <f>-SUMIFS(FINANCIACION[$ CAPITAL],
FINANCIACION[Fecha],"&lt;="&amp;EOMONTH(E$1,0),
FINANCIACION[PRESTAMO],$A47)</f>
        <v>82320576.00999999</v>
      </c>
      <c r="F47" s="52">
        <f>-SUMIFS(FINANCIACION[$ CAPITAL],
FINANCIACION[Fecha],"&lt;="&amp;EOMONTH(F$1,0),
FINANCIACION[PRESTAMO],$A47)</f>
        <v>82320576.00999999</v>
      </c>
      <c r="G47" s="52">
        <f>-SUMIFS(FINANCIACION[$ CAPITAL],
FINANCIACION[Fecha],"&lt;="&amp;EOMONTH(G$1,0),
FINANCIACION[PRESTAMO],$A47)</f>
        <v>82320576.00999999</v>
      </c>
      <c r="H47" s="52">
        <f>-SUMIFS(FINANCIACION[$ CAPITAL],
FINANCIACION[Fecha],"&lt;="&amp;EOMONTH(H$1,0),
FINANCIACION[PRESTAMO],$A47)</f>
        <v>82320576.00999999</v>
      </c>
      <c r="I47" s="52">
        <f>-SUMIFS(FINANCIACION[$ CAPITAL],
FINANCIACION[Fecha],"&lt;="&amp;EOMONTH(I$1,0),
FINANCIACION[PRESTAMO],$A47)</f>
        <v>82320576.00999999</v>
      </c>
      <c r="J47" s="52">
        <f>-SUMIFS(FINANCIACION[$ CAPITAL],
FINANCIACION[Fecha],"&lt;="&amp;EOMONTH(J$1,0),
FINANCIACION[PRESTAMO],$A47)</f>
        <v>82320576.00999999</v>
      </c>
      <c r="K47" s="52">
        <f>-SUMIFS(FINANCIACION[$ CAPITAL],
FINANCIACION[Fecha],"&lt;="&amp;EOMONTH(K$1,0),
FINANCIACION[PRESTAMO],$A47)</f>
        <v>82320576.00999999</v>
      </c>
      <c r="L47" s="52">
        <f>-SUMIFS(FINANCIACION[$ CAPITAL],
FINANCIACION[Fecha],"&lt;="&amp;EOMONTH(L$1,0),
FINANCIACION[PRESTAMO],$A47)</f>
        <v>82320576.00999999</v>
      </c>
      <c r="M47" s="52">
        <f>-SUMIFS(FINANCIACION[$ CAPITAL],
FINANCIACION[Fecha],"&lt;="&amp;EOMONTH(M$1,0),
FINANCIACION[PRESTAMO],$A47)</f>
        <v>82320576.00999999</v>
      </c>
      <c r="N47" s="52">
        <f>-SUMIFS(FINANCIACION[$ CAPITAL],
FINANCIACION[Fecha],"&lt;="&amp;EOMONTH(N$1,0),
FINANCIACION[PRESTAMO],$A47)</f>
        <v>0</v>
      </c>
      <c r="O47" s="52">
        <f>-SUMIFS(FINANCIACION[$ CAPITAL],
FINANCIACION[Fecha],"&lt;="&amp;EOMONTH(O$1,0),
FINANCIACION[PRESTAMO],$A47)</f>
        <v>0</v>
      </c>
      <c r="P47" s="52">
        <f>-SUMIFS(FINANCIACION[$ CAPITAL],
FINANCIACION[Fecha],"&lt;="&amp;EOMONTH(P$1,0),
FINANCIACION[PRESTAMO],$A47)</f>
        <v>0</v>
      </c>
      <c r="Q47" s="52">
        <f>-SUMIFS(FINANCIACION[$ CAPITAL],
FINANCIACION[Fecha],"&lt;="&amp;EOMONTH(Q$1,0),
FINANCIACION[PRESTAMO],$A47)</f>
        <v>0</v>
      </c>
      <c r="R47" s="52">
        <f>-SUMIFS(FINANCIACION[$ CAPITAL],
FINANCIACION[Fecha],"&lt;="&amp;EOMONTH(R$1,0),
FINANCIACION[PRESTAMO],$A47)</f>
        <v>0</v>
      </c>
      <c r="S47" s="52">
        <f>-SUMIFS(FINANCIACION[$ CAPITAL],
FINANCIACION[Fecha],"&lt;="&amp;EOMONTH(S$1,0),
FINANCIACION[PRESTAMO],$A47)</f>
        <v>0</v>
      </c>
      <c r="T47" s="52">
        <f>-SUMIFS(FINANCIACION[$ CAPITAL],
FINANCIACION[Fecha],"&lt;="&amp;EOMONTH(T$1,0),
FINANCIACION[PRESTAMO],$A47)</f>
        <v>0</v>
      </c>
      <c r="U47" s="52">
        <f>-SUMIFS(FINANCIACION[$ CAPITAL],
FINANCIACION[Fecha],"&lt;="&amp;EOMONTH(U$1,0),
FINANCIACION[PRESTAMO],$A47)</f>
        <v>0</v>
      </c>
      <c r="V47" s="52">
        <f>-SUMIFS(FINANCIACION[$ CAPITAL],
FINANCIACION[Fecha],"&lt;="&amp;EOMONTH(V$1,0),
FINANCIACION[PRESTAMO],$A47)</f>
        <v>0</v>
      </c>
      <c r="W47" s="52">
        <f>-SUMIFS(FINANCIACION[$ CAPITAL],
FINANCIACION[Fecha],"&lt;="&amp;EOMONTH(W$1,0),
FINANCIACION[PRESTAMO],$A47)</f>
        <v>0</v>
      </c>
      <c r="X47" s="52">
        <f>-SUMIFS(FINANCIACION[$ CAPITAL],
FINANCIACION[Fecha],"&lt;="&amp;EOMONTH(X$1,0),
FINANCIACION[PRESTAMO],$A47)</f>
        <v>0</v>
      </c>
    </row>
    <row r="48" spans="1:24" ht="21.6" customHeight="1" x14ac:dyDescent="0.3">
      <c r="A48" s="41" t="s">
        <v>1489</v>
      </c>
      <c r="B48" s="52">
        <f>-SUMIFS(FINANCIACION[$ CAPITAL],
FINANCIACION[Fecha],"&lt;="&amp;EOMONTH(B$1,0),
FINANCIACION[PRESTAMO],$A48)</f>
        <v>0</v>
      </c>
      <c r="C48" s="52">
        <f>-SUMIFS(FINANCIACION[$ CAPITAL],
FINANCIACION[Fecha],"&lt;="&amp;EOMONTH(C$1,0),
FINANCIACION[PRESTAMO],$A48)</f>
        <v>0</v>
      </c>
      <c r="D48" s="52">
        <f>-SUMIFS(FINANCIACION[$ CAPITAL],
FINANCIACION[Fecha],"&lt;="&amp;EOMONTH(D$1,0),
FINANCIACION[PRESTAMO],$A48)</f>
        <v>0</v>
      </c>
      <c r="E48" s="52">
        <f>-SUMIFS(FINANCIACION[$ CAPITAL],
FINANCIACION[Fecha],"&lt;="&amp;EOMONTH(E$1,0),
FINANCIACION[PRESTAMO],$A48)</f>
        <v>0</v>
      </c>
      <c r="F48" s="52">
        <f>-SUMIFS(FINANCIACION[$ CAPITAL],
FINANCIACION[Fecha],"&lt;="&amp;EOMONTH(F$1,0),
FINANCIACION[PRESTAMO],$A48)</f>
        <v>0</v>
      </c>
      <c r="G48" s="52">
        <f>-SUMIFS(FINANCIACION[$ CAPITAL],
FINANCIACION[Fecha],"&lt;="&amp;EOMONTH(G$1,0),
FINANCIACION[PRESTAMO],$A48)</f>
        <v>0</v>
      </c>
      <c r="H48" s="225">
        <f>-SUMIFS(FINANCIACION[$ CAPITAL],
FINANCIACION[Fecha],"&lt;="&amp;EOMONTH(H$1,0),
FINANCIACION[PRESTAMO],$A48)</f>
        <v>0</v>
      </c>
      <c r="I48" s="52">
        <f>-SUMIFS(FINANCIACION[$ CAPITAL],
FINANCIACION[Fecha],"&lt;="&amp;EOMONTH(I$1,0),
FINANCIACION[PRESTAMO],$A48)</f>
        <v>0</v>
      </c>
      <c r="J48" s="52">
        <f>-SUMIFS(FINANCIACION[$ CAPITAL],
FINANCIACION[Fecha],"&lt;="&amp;EOMONTH(J$1,0),
FINANCIACION[PRESTAMO],$A48)</f>
        <v>0</v>
      </c>
      <c r="K48" s="52">
        <f>-SUMIFS(FINANCIACION[$ CAPITAL],
FINANCIACION[Fecha],"&lt;="&amp;EOMONTH(K$1,0),
FINANCIACION[PRESTAMO],$A48)</f>
        <v>0</v>
      </c>
      <c r="L48" s="52">
        <f>-SUMIFS(FINANCIACION[$ CAPITAL],
FINANCIACION[Fecha],"&lt;="&amp;EOMONTH(L$1,0),
FINANCIACION[PRESTAMO],$A48)</f>
        <v>0</v>
      </c>
      <c r="M48" s="52">
        <f>-SUMIFS(FINANCIACION[$ CAPITAL],
FINANCIACION[Fecha],"&lt;="&amp;EOMONTH(M$1,0),
FINANCIACION[PRESTAMO],$A48)</f>
        <v>0</v>
      </c>
      <c r="N48" s="52">
        <f>-SUMIFS(FINANCIACION[$ CAPITAL],
FINANCIACION[Fecha],"&lt;="&amp;EOMONTH(N$1,0),
FINANCIACION[PRESTAMO],$A48)</f>
        <v>0</v>
      </c>
      <c r="O48" s="52">
        <f>-SUMIFS(FINANCIACION[$ CAPITAL],
FINANCIACION[Fecha],"&lt;="&amp;EOMONTH(O$1,0),
FINANCIACION[PRESTAMO],$A48)</f>
        <v>0</v>
      </c>
      <c r="P48" s="52">
        <f>-SUMIFS(FINANCIACION[$ CAPITAL],
FINANCIACION[Fecha],"&lt;="&amp;EOMONTH(P$1,0),
FINANCIACION[PRESTAMO],$A48)</f>
        <v>0</v>
      </c>
      <c r="Q48" s="52">
        <f>-SUMIFS(FINANCIACION[$ CAPITAL],
FINANCIACION[Fecha],"&lt;="&amp;EOMONTH(Q$1,0),
FINANCIACION[PRESTAMO],$A48)</f>
        <v>0</v>
      </c>
      <c r="R48" s="52">
        <f>-SUMIFS(FINANCIACION[$ CAPITAL],
FINANCIACION[Fecha],"&lt;="&amp;EOMONTH(R$1,0),
FINANCIACION[PRESTAMO],$A48)</f>
        <v>0</v>
      </c>
      <c r="S48" s="52">
        <f>-SUMIFS(FINANCIACION[$ CAPITAL],
FINANCIACION[Fecha],"&lt;="&amp;EOMONTH(S$1,0),
FINANCIACION[PRESTAMO],$A48)</f>
        <v>0</v>
      </c>
      <c r="T48" s="52">
        <f>-SUMIFS(FINANCIACION[$ CAPITAL],
FINANCIACION[Fecha],"&lt;="&amp;EOMONTH(T$1,0),
FINANCIACION[PRESTAMO],$A48)</f>
        <v>0</v>
      </c>
      <c r="U48" s="52">
        <f>-SUMIFS(FINANCIACION[$ CAPITAL],
FINANCIACION[Fecha],"&lt;="&amp;EOMONTH(U$1,0),
FINANCIACION[PRESTAMO],$A48)</f>
        <v>0</v>
      </c>
      <c r="V48" s="52">
        <f>-SUMIFS(FINANCIACION[$ CAPITAL],
FINANCIACION[Fecha],"&lt;="&amp;EOMONTH(V$1,0),
FINANCIACION[PRESTAMO],$A48)</f>
        <v>0</v>
      </c>
      <c r="W48" s="52">
        <f>-SUMIFS(FINANCIACION[$ CAPITAL],
FINANCIACION[Fecha],"&lt;="&amp;EOMONTH(W$1,0),
FINANCIACION[PRESTAMO],$A48)</f>
        <v>0</v>
      </c>
      <c r="X48" s="52">
        <f>-SUMIFS(FINANCIACION[$ CAPITAL],
FINANCIACION[Fecha],"&lt;="&amp;EOMONTH(X$1,0),
FINANCIACION[PRESTAMO],$A48)</f>
        <v>0</v>
      </c>
    </row>
    <row r="49" spans="1:24" ht="21.6" customHeight="1" x14ac:dyDescent="0.3">
      <c r="A49" s="41" t="s">
        <v>542</v>
      </c>
      <c r="B49" s="52">
        <f>-SUMIFS(FINANCIACION[$ CAPITAL],
FINANCIACION[Fecha],"&lt;="&amp;EOMONTH(B$1,0),
FINANCIACION[PRESTAMO],$A49)</f>
        <v>17433419.309999995</v>
      </c>
      <c r="C49" s="52">
        <f>-SUMIFS(FINANCIACION[$ CAPITAL],
FINANCIACION[Fecha],"&lt;="&amp;EOMONTH(C$1,0),
FINANCIACION[PRESTAMO],$A49)</f>
        <v>17433419.309999995</v>
      </c>
      <c r="D49" s="52">
        <f>-SUMIFS(FINANCIACION[$ CAPITAL],
FINANCIACION[Fecha],"&lt;="&amp;EOMONTH(D$1,0),
FINANCIACION[PRESTAMO],$A49)</f>
        <v>17433419.309999995</v>
      </c>
      <c r="E49" s="52">
        <f>-SUMIFS(FINANCIACION[$ CAPITAL],
FINANCIACION[Fecha],"&lt;="&amp;EOMONTH(E$1,0),
FINANCIACION[PRESTAMO],$A49)</f>
        <v>17433419.309999995</v>
      </c>
      <c r="F49" s="52">
        <f>-SUMIFS(FINANCIACION[$ CAPITAL],
FINANCIACION[Fecha],"&lt;="&amp;EOMONTH(F$1,0),
FINANCIACION[PRESTAMO],$A49)</f>
        <v>17433419.309999995</v>
      </c>
      <c r="G49" s="52">
        <f>-SUMIFS(FINANCIACION[$ CAPITAL],
FINANCIACION[Fecha],"&lt;="&amp;EOMONTH(G$1,0),
FINANCIACION[PRESTAMO],$A49)</f>
        <v>17433419.309999995</v>
      </c>
      <c r="H49" s="52">
        <f>-SUMIFS(FINANCIACION[$ CAPITAL],
FINANCIACION[Fecha],"&lt;="&amp;EOMONTH(H$1,0),
FINANCIACION[PRESTAMO],$A49)</f>
        <v>17433419.309999995</v>
      </c>
      <c r="I49" s="52">
        <f>-SUMIFS(FINANCIACION[$ CAPITAL],
FINANCIACION[Fecha],"&lt;="&amp;EOMONTH(I$1,0),
FINANCIACION[PRESTAMO],$A49)</f>
        <v>17433419.309999995</v>
      </c>
      <c r="J49" s="52">
        <f>-SUMIFS(FINANCIACION[$ CAPITAL],
FINANCIACION[Fecha],"&lt;="&amp;EOMONTH(J$1,0),
FINANCIACION[PRESTAMO],$A49)</f>
        <v>17433419.309999995</v>
      </c>
      <c r="K49" s="52">
        <f>-SUMIFS(FINANCIACION[$ CAPITAL],
FINANCIACION[Fecha],"&lt;="&amp;EOMONTH(K$1,0),
FINANCIACION[PRESTAMO],$A49)</f>
        <v>17433419.309999995</v>
      </c>
      <c r="L49" s="52">
        <f>-SUMIFS(FINANCIACION[$ CAPITAL],
FINANCIACION[Fecha],"&lt;="&amp;EOMONTH(L$1,0),
FINANCIACION[PRESTAMO],$A49)</f>
        <v>17433419.309999995</v>
      </c>
      <c r="M49" s="52">
        <f>-SUMIFS(FINANCIACION[$ CAPITAL],
FINANCIACION[Fecha],"&lt;="&amp;EOMONTH(M$1,0),
FINANCIACION[PRESTAMO],$A49)</f>
        <v>17433419.309999995</v>
      </c>
      <c r="N49" s="52">
        <f>-SUMIFS(FINANCIACION[$ CAPITAL],
FINANCIACION[Fecha],"&lt;="&amp;EOMONTH(N$1,0),
FINANCIACION[PRESTAMO],$A49)</f>
        <v>0</v>
      </c>
      <c r="O49" s="52">
        <f>-SUMIFS(FINANCIACION[$ CAPITAL],
FINANCIACION[Fecha],"&lt;="&amp;EOMONTH(O$1,0),
FINANCIACION[PRESTAMO],$A49)</f>
        <v>0</v>
      </c>
      <c r="P49" s="52">
        <f>-SUMIFS(FINANCIACION[$ CAPITAL],
FINANCIACION[Fecha],"&lt;="&amp;EOMONTH(P$1,0),
FINANCIACION[PRESTAMO],$A49)</f>
        <v>0</v>
      </c>
      <c r="Q49" s="52">
        <f>-SUMIFS(FINANCIACION[$ CAPITAL],
FINANCIACION[Fecha],"&lt;="&amp;EOMONTH(Q$1,0),
FINANCIACION[PRESTAMO],$A49)</f>
        <v>0</v>
      </c>
      <c r="R49" s="52">
        <f>-SUMIFS(FINANCIACION[$ CAPITAL],
FINANCIACION[Fecha],"&lt;="&amp;EOMONTH(R$1,0),
FINANCIACION[PRESTAMO],$A49)</f>
        <v>0</v>
      </c>
      <c r="S49" s="52">
        <f>-SUMIFS(FINANCIACION[$ CAPITAL],
FINANCIACION[Fecha],"&lt;="&amp;EOMONTH(S$1,0),
FINANCIACION[PRESTAMO],$A49)</f>
        <v>0</v>
      </c>
      <c r="T49" s="52">
        <f>-SUMIFS(FINANCIACION[$ CAPITAL],
FINANCIACION[Fecha],"&lt;="&amp;EOMONTH(T$1,0),
FINANCIACION[PRESTAMO],$A49)</f>
        <v>0</v>
      </c>
      <c r="U49" s="52">
        <f>-SUMIFS(FINANCIACION[$ CAPITAL],
FINANCIACION[Fecha],"&lt;="&amp;EOMONTH(U$1,0),
FINANCIACION[PRESTAMO],$A49)</f>
        <v>0</v>
      </c>
      <c r="V49" s="52">
        <f>-SUMIFS(FINANCIACION[$ CAPITAL],
FINANCIACION[Fecha],"&lt;="&amp;EOMONTH(V$1,0),
FINANCIACION[PRESTAMO],$A49)</f>
        <v>0</v>
      </c>
      <c r="W49" s="52">
        <f>-SUMIFS(FINANCIACION[$ CAPITAL],
FINANCIACION[Fecha],"&lt;="&amp;EOMONTH(W$1,0),
FINANCIACION[PRESTAMO],$A49)</f>
        <v>0</v>
      </c>
      <c r="X49" s="52">
        <f>-SUMIFS(FINANCIACION[$ CAPITAL],
FINANCIACION[Fecha],"&lt;="&amp;EOMONTH(X$1,0),
FINANCIACION[PRESTAMO],$A49)</f>
        <v>0</v>
      </c>
    </row>
    <row r="50" spans="1:24" ht="21.6" customHeight="1" x14ac:dyDescent="0.3">
      <c r="A50" s="41" t="s">
        <v>538</v>
      </c>
      <c r="B50" s="52">
        <f>-SUMIFS(FINANCIACION[$ CAPITAL],
FINANCIACION[Fecha],"&lt;="&amp;EOMONTH(B$1,0),
FINANCIACION[PRESTAMO],$A50)</f>
        <v>38018466.950000003</v>
      </c>
      <c r="C50" s="52">
        <f>-SUMIFS(FINANCIACION[$ CAPITAL],
FINANCIACION[Fecha],"&lt;="&amp;EOMONTH(C$1,0),
FINANCIACION[PRESTAMO],$A50)</f>
        <v>38018466.950000003</v>
      </c>
      <c r="D50" s="52">
        <f>-SUMIFS(FINANCIACION[$ CAPITAL],
FINANCIACION[Fecha],"&lt;="&amp;EOMONTH(D$1,0),
FINANCIACION[PRESTAMO],$A50)</f>
        <v>38018466.950000003</v>
      </c>
      <c r="E50" s="52">
        <f>-SUMIFS(FINANCIACION[$ CAPITAL],
FINANCIACION[Fecha],"&lt;="&amp;EOMONTH(E$1,0),
FINANCIACION[PRESTAMO],$A50)</f>
        <v>38018466.950000003</v>
      </c>
      <c r="F50" s="52">
        <f>-SUMIFS(FINANCIACION[$ CAPITAL],
FINANCIACION[Fecha],"&lt;="&amp;EOMONTH(F$1,0),
FINANCIACION[PRESTAMO],$A50)</f>
        <v>38018466.950000003</v>
      </c>
      <c r="G50" s="52">
        <f>-SUMIFS(FINANCIACION[$ CAPITAL],
FINANCIACION[Fecha],"&lt;="&amp;EOMONTH(G$1,0),
FINANCIACION[PRESTAMO],$A50)</f>
        <v>38018466.950000003</v>
      </c>
      <c r="H50" s="52">
        <f>-SUMIFS(FINANCIACION[$ CAPITAL],
FINANCIACION[Fecha],"&lt;="&amp;EOMONTH(H$1,0),
FINANCIACION[PRESTAMO],$A50)</f>
        <v>38018466.950000003</v>
      </c>
      <c r="I50" s="52">
        <f>-SUMIFS(FINANCIACION[$ CAPITAL],
FINANCIACION[Fecha],"&lt;="&amp;EOMONTH(I$1,0),
FINANCIACION[PRESTAMO],$A50)</f>
        <v>38018466.950000003</v>
      </c>
      <c r="J50" s="52">
        <f>-SUMIFS(FINANCIACION[$ CAPITAL],
FINANCIACION[Fecha],"&lt;="&amp;EOMONTH(J$1,0),
FINANCIACION[PRESTAMO],$A50)</f>
        <v>38018466.950000003</v>
      </c>
      <c r="K50" s="52">
        <f>-SUMIFS(FINANCIACION[$ CAPITAL],
FINANCIACION[Fecha],"&lt;="&amp;EOMONTH(K$1,0),
FINANCIACION[PRESTAMO],$A50)</f>
        <v>38018466.950000003</v>
      </c>
      <c r="L50" s="52">
        <f>-SUMIFS(FINANCIACION[$ CAPITAL],
FINANCIACION[Fecha],"&lt;="&amp;EOMONTH(L$1,0),
FINANCIACION[PRESTAMO],$A50)</f>
        <v>38018466.950000003</v>
      </c>
      <c r="M50" s="52">
        <f>-SUMIFS(FINANCIACION[$ CAPITAL],
FINANCIACION[Fecha],"&lt;="&amp;EOMONTH(M$1,0),
FINANCIACION[PRESTAMO],$A50)</f>
        <v>38018466.950000003</v>
      </c>
      <c r="N50" s="52">
        <f>-SUMIFS(FINANCIACION[$ CAPITAL],
FINANCIACION[Fecha],"&lt;="&amp;EOMONTH(N$1,0),
FINANCIACION[PRESTAMO],$A50)</f>
        <v>0</v>
      </c>
      <c r="O50" s="52">
        <f>-SUMIFS(FINANCIACION[$ CAPITAL],
FINANCIACION[Fecha],"&lt;="&amp;EOMONTH(O$1,0),
FINANCIACION[PRESTAMO],$A50)</f>
        <v>0</v>
      </c>
      <c r="P50" s="52">
        <f>-SUMIFS(FINANCIACION[$ CAPITAL],
FINANCIACION[Fecha],"&lt;="&amp;EOMONTH(P$1,0),
FINANCIACION[PRESTAMO],$A50)</f>
        <v>0</v>
      </c>
      <c r="Q50" s="52">
        <f>-SUMIFS(FINANCIACION[$ CAPITAL],
FINANCIACION[Fecha],"&lt;="&amp;EOMONTH(Q$1,0),
FINANCIACION[PRESTAMO],$A50)</f>
        <v>0</v>
      </c>
      <c r="R50" s="52">
        <f>-SUMIFS(FINANCIACION[$ CAPITAL],
FINANCIACION[Fecha],"&lt;="&amp;EOMONTH(R$1,0),
FINANCIACION[PRESTAMO],$A50)</f>
        <v>0</v>
      </c>
      <c r="S50" s="52">
        <f>-SUMIFS(FINANCIACION[$ CAPITAL],
FINANCIACION[Fecha],"&lt;="&amp;EOMONTH(S$1,0),
FINANCIACION[PRESTAMO],$A50)</f>
        <v>0</v>
      </c>
      <c r="T50" s="52">
        <f>-SUMIFS(FINANCIACION[$ CAPITAL],
FINANCIACION[Fecha],"&lt;="&amp;EOMONTH(T$1,0),
FINANCIACION[PRESTAMO],$A50)</f>
        <v>0</v>
      </c>
      <c r="U50" s="52">
        <f>-SUMIFS(FINANCIACION[$ CAPITAL],
FINANCIACION[Fecha],"&lt;="&amp;EOMONTH(U$1,0),
FINANCIACION[PRESTAMO],$A50)</f>
        <v>0</v>
      </c>
      <c r="V50" s="52">
        <f>-SUMIFS(FINANCIACION[$ CAPITAL],
FINANCIACION[Fecha],"&lt;="&amp;EOMONTH(V$1,0),
FINANCIACION[PRESTAMO],$A50)</f>
        <v>0</v>
      </c>
      <c r="W50" s="52">
        <f>-SUMIFS(FINANCIACION[$ CAPITAL],
FINANCIACION[Fecha],"&lt;="&amp;EOMONTH(W$1,0),
FINANCIACION[PRESTAMO],$A50)</f>
        <v>0</v>
      </c>
      <c r="X50" s="52">
        <f>-SUMIFS(FINANCIACION[$ CAPITAL],
FINANCIACION[Fecha],"&lt;="&amp;EOMONTH(X$1,0),
FINANCIACION[PRESTAMO],$A50)</f>
        <v>0</v>
      </c>
    </row>
    <row r="51" spans="1:24" ht="21.6" customHeight="1" x14ac:dyDescent="0.3">
      <c r="A51" s="41" t="s">
        <v>539</v>
      </c>
      <c r="B51" s="52">
        <f>-SUMIFS(FINANCIACION[$ CAPITAL],
FINANCIACION[Fecha],"&lt;="&amp;EOMONTH(B$1,0),
FINANCIACION[PRESTAMO],$A51)</f>
        <v>55236742.439999998</v>
      </c>
      <c r="C51" s="52">
        <f>-SUMIFS(FINANCIACION[$ CAPITAL],
FINANCIACION[Fecha],"&lt;="&amp;EOMONTH(C$1,0),
FINANCIACION[PRESTAMO],$A51)</f>
        <v>55236742.439999998</v>
      </c>
      <c r="D51" s="52">
        <f>-SUMIFS(FINANCIACION[$ CAPITAL],
FINANCIACION[Fecha],"&lt;="&amp;EOMONTH(D$1,0),
FINANCIACION[PRESTAMO],$A51)</f>
        <v>55236742.439999998</v>
      </c>
      <c r="E51" s="52">
        <f>-SUMIFS(FINANCIACION[$ CAPITAL],
FINANCIACION[Fecha],"&lt;="&amp;EOMONTH(E$1,0),
FINANCIACION[PRESTAMO],$A51)</f>
        <v>55236742.439999998</v>
      </c>
      <c r="F51" s="52">
        <f>-SUMIFS(FINANCIACION[$ CAPITAL],
FINANCIACION[Fecha],"&lt;="&amp;EOMONTH(F$1,0),
FINANCIACION[PRESTAMO],$A51)</f>
        <v>55236742.439999998</v>
      </c>
      <c r="G51" s="52">
        <f>-SUMIFS(FINANCIACION[$ CAPITAL],
FINANCIACION[Fecha],"&lt;="&amp;EOMONTH(G$1,0),
FINANCIACION[PRESTAMO],$A51)</f>
        <v>55236742.439999998</v>
      </c>
      <c r="H51" s="52">
        <f>-SUMIFS(FINANCIACION[$ CAPITAL],
FINANCIACION[Fecha],"&lt;="&amp;EOMONTH(H$1,0),
FINANCIACION[PRESTAMO],$A51)</f>
        <v>55236742.439999998</v>
      </c>
      <c r="I51" s="52">
        <f>-SUMIFS(FINANCIACION[$ CAPITAL],
FINANCIACION[Fecha],"&lt;="&amp;EOMONTH(I$1,0),
FINANCIACION[PRESTAMO],$A51)</f>
        <v>55236742.439999998</v>
      </c>
      <c r="J51" s="52">
        <f>-SUMIFS(FINANCIACION[$ CAPITAL],
FINANCIACION[Fecha],"&lt;="&amp;EOMONTH(J$1,0),
FINANCIACION[PRESTAMO],$A51)</f>
        <v>55236742.439999998</v>
      </c>
      <c r="K51" s="52">
        <f>-SUMIFS(FINANCIACION[$ CAPITAL],
FINANCIACION[Fecha],"&lt;="&amp;EOMONTH(K$1,0),
FINANCIACION[PRESTAMO],$A51)</f>
        <v>55236742.439999998</v>
      </c>
      <c r="L51" s="52">
        <f>-SUMIFS(FINANCIACION[$ CAPITAL],
FINANCIACION[Fecha],"&lt;="&amp;EOMONTH(L$1,0),
FINANCIACION[PRESTAMO],$A51)</f>
        <v>55236742.439999998</v>
      </c>
      <c r="M51" s="52">
        <f>-SUMIFS(FINANCIACION[$ CAPITAL],
FINANCIACION[Fecha],"&lt;="&amp;EOMONTH(M$1,0),
FINANCIACION[PRESTAMO],$A51)</f>
        <v>55236742.439999998</v>
      </c>
      <c r="N51" s="52">
        <f>-SUMIFS(FINANCIACION[$ CAPITAL],
FINANCIACION[Fecha],"&lt;="&amp;EOMONTH(N$1,0),
FINANCIACION[PRESTAMO],$A51)</f>
        <v>0</v>
      </c>
      <c r="O51" s="52">
        <f>-SUMIFS(FINANCIACION[$ CAPITAL],
FINANCIACION[Fecha],"&lt;="&amp;EOMONTH(O$1,0),
FINANCIACION[PRESTAMO],$A51)</f>
        <v>0</v>
      </c>
      <c r="P51" s="52">
        <f>-SUMIFS(FINANCIACION[$ CAPITAL],
FINANCIACION[Fecha],"&lt;="&amp;EOMONTH(P$1,0),
FINANCIACION[PRESTAMO],$A51)</f>
        <v>0</v>
      </c>
      <c r="Q51" s="52">
        <f>-SUMIFS(FINANCIACION[$ CAPITAL],
FINANCIACION[Fecha],"&lt;="&amp;EOMONTH(Q$1,0),
FINANCIACION[PRESTAMO],$A51)</f>
        <v>0</v>
      </c>
      <c r="R51" s="52">
        <f>-SUMIFS(FINANCIACION[$ CAPITAL],
FINANCIACION[Fecha],"&lt;="&amp;EOMONTH(R$1,0),
FINANCIACION[PRESTAMO],$A51)</f>
        <v>0</v>
      </c>
      <c r="S51" s="52">
        <f>-SUMIFS(FINANCIACION[$ CAPITAL],
FINANCIACION[Fecha],"&lt;="&amp;EOMONTH(S$1,0),
FINANCIACION[PRESTAMO],$A51)</f>
        <v>0</v>
      </c>
      <c r="T51" s="52">
        <f>-SUMIFS(FINANCIACION[$ CAPITAL],
FINANCIACION[Fecha],"&lt;="&amp;EOMONTH(T$1,0),
FINANCIACION[PRESTAMO],$A51)</f>
        <v>0</v>
      </c>
      <c r="U51" s="52">
        <f>-SUMIFS(FINANCIACION[$ CAPITAL],
FINANCIACION[Fecha],"&lt;="&amp;EOMONTH(U$1,0),
FINANCIACION[PRESTAMO],$A51)</f>
        <v>0</v>
      </c>
      <c r="V51" s="52">
        <f>-SUMIFS(FINANCIACION[$ CAPITAL],
FINANCIACION[Fecha],"&lt;="&amp;EOMONTH(V$1,0),
FINANCIACION[PRESTAMO],$A51)</f>
        <v>0</v>
      </c>
      <c r="W51" s="52">
        <f>-SUMIFS(FINANCIACION[$ CAPITAL],
FINANCIACION[Fecha],"&lt;="&amp;EOMONTH(W$1,0),
FINANCIACION[PRESTAMO],$A51)</f>
        <v>0</v>
      </c>
      <c r="X51" s="52">
        <f>-SUMIFS(FINANCIACION[$ CAPITAL],
FINANCIACION[Fecha],"&lt;="&amp;EOMONTH(X$1,0),
FINANCIACION[PRESTAMO],$A51)</f>
        <v>0</v>
      </c>
    </row>
    <row r="52" spans="1:24" ht="21.6" customHeight="1" x14ac:dyDescent="0.3">
      <c r="A52" s="41" t="s">
        <v>534</v>
      </c>
      <c r="B52" s="52">
        <f>-SUMIFS(FINANCIACION[$ CAPITAL],
FINANCIACION[Fecha],"&lt;="&amp;EOMONTH(B$1,0),
FINANCIACION[PRESTAMO],$A52)</f>
        <v>388417656</v>
      </c>
      <c r="C52" s="52">
        <f>-SUMIFS(FINANCIACION[$ CAPITAL],
FINANCIACION[Fecha],"&lt;="&amp;EOMONTH(C$1,0),
FINANCIACION[PRESTAMO],$A52)</f>
        <v>388417656</v>
      </c>
      <c r="D52" s="52">
        <f>-SUMIFS(FINANCIACION[$ CAPITAL],
FINANCIACION[Fecha],"&lt;="&amp;EOMONTH(D$1,0),
FINANCIACION[PRESTAMO],$A52)</f>
        <v>388417656</v>
      </c>
      <c r="E52" s="52">
        <f>-SUMIFS(FINANCIACION[$ CAPITAL],
FINANCIACION[Fecha],"&lt;="&amp;EOMONTH(E$1,0),
FINANCIACION[PRESTAMO],$A52)</f>
        <v>388417656</v>
      </c>
      <c r="F52" s="52">
        <f>-SUMIFS(FINANCIACION[$ CAPITAL],
FINANCIACION[Fecha],"&lt;="&amp;EOMONTH(F$1,0),
FINANCIACION[PRESTAMO],$A52)</f>
        <v>388417656</v>
      </c>
      <c r="G52" s="52">
        <f>-SUMIFS(FINANCIACION[$ CAPITAL],
FINANCIACION[Fecha],"&lt;="&amp;EOMONTH(G$1,0),
FINANCIACION[PRESTAMO],$A52)</f>
        <v>388417656</v>
      </c>
      <c r="H52" s="52">
        <f>-SUMIFS(FINANCIACION[$ CAPITAL],
FINANCIACION[Fecha],"&lt;="&amp;EOMONTH(H$1,0),
FINANCIACION[PRESTAMO],$A52)</f>
        <v>388417656</v>
      </c>
      <c r="I52" s="52">
        <f>-SUMIFS(FINANCIACION[$ CAPITAL],
FINANCIACION[Fecha],"&lt;="&amp;EOMONTH(I$1,0),
FINANCIACION[PRESTAMO],$A52)</f>
        <v>388417656</v>
      </c>
      <c r="J52" s="52">
        <f>-SUMIFS(FINANCIACION[$ CAPITAL],
FINANCIACION[Fecha],"&lt;="&amp;EOMONTH(J$1,0),
FINANCIACION[PRESTAMO],$A52)</f>
        <v>388417656</v>
      </c>
      <c r="K52" s="52">
        <f>-SUMIFS(FINANCIACION[$ CAPITAL],
FINANCIACION[Fecha],"&lt;="&amp;EOMONTH(K$1,0),
FINANCIACION[PRESTAMO],$A52)</f>
        <v>388417656</v>
      </c>
      <c r="L52" s="52">
        <f>-SUMIFS(FINANCIACION[$ CAPITAL],
FINANCIACION[Fecha],"&lt;="&amp;EOMONTH(L$1,0),
FINANCIACION[PRESTAMO],$A52)</f>
        <v>388417656</v>
      </c>
      <c r="M52" s="52">
        <f>-SUMIFS(FINANCIACION[$ CAPITAL],
FINANCIACION[Fecha],"&lt;="&amp;EOMONTH(M$1,0),
FINANCIACION[PRESTAMO],$A52)</f>
        <v>388417656</v>
      </c>
      <c r="N52" s="52">
        <f>-SUMIFS(FINANCIACION[$ CAPITAL],
FINANCIACION[Fecha],"&lt;="&amp;EOMONTH(N$1,0),
FINANCIACION[PRESTAMO],$A52)</f>
        <v>0</v>
      </c>
      <c r="O52" s="52">
        <f>-SUMIFS(FINANCIACION[$ CAPITAL],
FINANCIACION[Fecha],"&lt;="&amp;EOMONTH(O$1,0),
FINANCIACION[PRESTAMO],$A52)</f>
        <v>0</v>
      </c>
      <c r="P52" s="52">
        <f>-SUMIFS(FINANCIACION[$ CAPITAL],
FINANCIACION[Fecha],"&lt;="&amp;EOMONTH(P$1,0),
FINANCIACION[PRESTAMO],$A52)</f>
        <v>0</v>
      </c>
      <c r="Q52" s="52">
        <f>-SUMIFS(FINANCIACION[$ CAPITAL],
FINANCIACION[Fecha],"&lt;="&amp;EOMONTH(Q$1,0),
FINANCIACION[PRESTAMO],$A52)</f>
        <v>0</v>
      </c>
      <c r="R52" s="52">
        <f>-SUMIFS(FINANCIACION[$ CAPITAL],
FINANCIACION[Fecha],"&lt;="&amp;EOMONTH(R$1,0),
FINANCIACION[PRESTAMO],$A52)</f>
        <v>0</v>
      </c>
      <c r="S52" s="52">
        <f>-SUMIFS(FINANCIACION[$ CAPITAL],
FINANCIACION[Fecha],"&lt;="&amp;EOMONTH(S$1,0),
FINANCIACION[PRESTAMO],$A52)</f>
        <v>0</v>
      </c>
      <c r="T52" s="52">
        <f>-SUMIFS(FINANCIACION[$ CAPITAL],
FINANCIACION[Fecha],"&lt;="&amp;EOMONTH(T$1,0),
FINANCIACION[PRESTAMO],$A52)</f>
        <v>0</v>
      </c>
      <c r="U52" s="52">
        <f>-SUMIFS(FINANCIACION[$ CAPITAL],
FINANCIACION[Fecha],"&lt;="&amp;EOMONTH(U$1,0),
FINANCIACION[PRESTAMO],$A52)</f>
        <v>0</v>
      </c>
      <c r="V52" s="52">
        <f>-SUMIFS(FINANCIACION[$ CAPITAL],
FINANCIACION[Fecha],"&lt;="&amp;EOMONTH(V$1,0),
FINANCIACION[PRESTAMO],$A52)</f>
        <v>0</v>
      </c>
      <c r="W52" s="52">
        <f>-SUMIFS(FINANCIACION[$ CAPITAL],
FINANCIACION[Fecha],"&lt;="&amp;EOMONTH(W$1,0),
FINANCIACION[PRESTAMO],$A52)</f>
        <v>0</v>
      </c>
      <c r="X52" s="52">
        <f>-SUMIFS(FINANCIACION[$ CAPITAL],
FINANCIACION[Fecha],"&lt;="&amp;EOMONTH(X$1,0),
FINANCIACION[PRESTAMO],$A52)</f>
        <v>0</v>
      </c>
    </row>
    <row r="53" spans="1:24" ht="21.6" customHeight="1" x14ac:dyDescent="0.3">
      <c r="A53" s="41" t="s">
        <v>535</v>
      </c>
      <c r="B53" s="52">
        <f>-SUMIFS(FINANCIACION[$ CAPITAL],
FINANCIACION[Fecha],"&lt;="&amp;EOMONTH(B$1,0),
FINANCIACION[PRESTAMO],$A53)</f>
        <v>20060826.500000004</v>
      </c>
      <c r="C53" s="52">
        <f>-SUMIFS(FINANCIACION[$ CAPITAL],
FINANCIACION[Fecha],"&lt;="&amp;EOMONTH(C$1,0),
FINANCIACION[PRESTAMO],$A53)</f>
        <v>20060826.500000004</v>
      </c>
      <c r="D53" s="52">
        <f>-SUMIFS(FINANCIACION[$ CAPITAL],
FINANCIACION[Fecha],"&lt;="&amp;EOMONTH(D$1,0),
FINANCIACION[PRESTAMO],$A53)</f>
        <v>20060826.500000004</v>
      </c>
      <c r="E53" s="52">
        <f>-SUMIFS(FINANCIACION[$ CAPITAL],
FINANCIACION[Fecha],"&lt;="&amp;EOMONTH(E$1,0),
FINANCIACION[PRESTAMO],$A53)</f>
        <v>20060826.500000004</v>
      </c>
      <c r="F53" s="52">
        <f>-SUMIFS(FINANCIACION[$ CAPITAL],
FINANCIACION[Fecha],"&lt;="&amp;EOMONTH(F$1,0),
FINANCIACION[PRESTAMO],$A53)</f>
        <v>20060826.500000004</v>
      </c>
      <c r="G53" s="52">
        <f>-SUMIFS(FINANCIACION[$ CAPITAL],
FINANCIACION[Fecha],"&lt;="&amp;EOMONTH(G$1,0),
FINANCIACION[PRESTAMO],$A53)</f>
        <v>20060826.500000004</v>
      </c>
      <c r="H53" s="52">
        <f>-SUMIFS(FINANCIACION[$ CAPITAL],
FINANCIACION[Fecha],"&lt;="&amp;EOMONTH(H$1,0),
FINANCIACION[PRESTAMO],$A53)</f>
        <v>20060826.500000004</v>
      </c>
      <c r="I53" s="52">
        <f>-SUMIFS(FINANCIACION[$ CAPITAL],
FINANCIACION[Fecha],"&lt;="&amp;EOMONTH(I$1,0),
FINANCIACION[PRESTAMO],$A53)</f>
        <v>20060826.500000004</v>
      </c>
      <c r="J53" s="52">
        <f>-SUMIFS(FINANCIACION[$ CAPITAL],
FINANCIACION[Fecha],"&lt;="&amp;EOMONTH(J$1,0),
FINANCIACION[PRESTAMO],$A53)</f>
        <v>20060826.500000004</v>
      </c>
      <c r="K53" s="52">
        <f>-SUMIFS(FINANCIACION[$ CAPITAL],
FINANCIACION[Fecha],"&lt;="&amp;EOMONTH(K$1,0),
FINANCIACION[PRESTAMO],$A53)</f>
        <v>20060826.500000004</v>
      </c>
      <c r="L53" s="52">
        <f>-SUMIFS(FINANCIACION[$ CAPITAL],
FINANCIACION[Fecha],"&lt;="&amp;EOMONTH(L$1,0),
FINANCIACION[PRESTAMO],$A53)</f>
        <v>20060826.500000004</v>
      </c>
      <c r="M53" s="52">
        <f>-SUMIFS(FINANCIACION[$ CAPITAL],
FINANCIACION[Fecha],"&lt;="&amp;EOMONTH(M$1,0),
FINANCIACION[PRESTAMO],$A53)</f>
        <v>20060826.500000004</v>
      </c>
      <c r="N53" s="52">
        <f>-SUMIFS(FINANCIACION[$ CAPITAL],
FINANCIACION[Fecha],"&lt;="&amp;EOMONTH(N$1,0),
FINANCIACION[PRESTAMO],$A53)</f>
        <v>0</v>
      </c>
      <c r="O53" s="52">
        <f>-SUMIFS(FINANCIACION[$ CAPITAL],
FINANCIACION[Fecha],"&lt;="&amp;EOMONTH(O$1,0),
FINANCIACION[PRESTAMO],$A53)</f>
        <v>0</v>
      </c>
      <c r="P53" s="52">
        <f>-SUMIFS(FINANCIACION[$ CAPITAL],
FINANCIACION[Fecha],"&lt;="&amp;EOMONTH(P$1,0),
FINANCIACION[PRESTAMO],$A53)</f>
        <v>0</v>
      </c>
      <c r="Q53" s="52">
        <f>-SUMIFS(FINANCIACION[$ CAPITAL],
FINANCIACION[Fecha],"&lt;="&amp;EOMONTH(Q$1,0),
FINANCIACION[PRESTAMO],$A53)</f>
        <v>0</v>
      </c>
      <c r="R53" s="52">
        <f>-SUMIFS(FINANCIACION[$ CAPITAL],
FINANCIACION[Fecha],"&lt;="&amp;EOMONTH(R$1,0),
FINANCIACION[PRESTAMO],$A53)</f>
        <v>0</v>
      </c>
      <c r="S53" s="52">
        <f>-SUMIFS(FINANCIACION[$ CAPITAL],
FINANCIACION[Fecha],"&lt;="&amp;EOMONTH(S$1,0),
FINANCIACION[PRESTAMO],$A53)</f>
        <v>0</v>
      </c>
      <c r="T53" s="52">
        <f>-SUMIFS(FINANCIACION[$ CAPITAL],
FINANCIACION[Fecha],"&lt;="&amp;EOMONTH(T$1,0),
FINANCIACION[PRESTAMO],$A53)</f>
        <v>0</v>
      </c>
      <c r="U53" s="52">
        <f>-SUMIFS(FINANCIACION[$ CAPITAL],
FINANCIACION[Fecha],"&lt;="&amp;EOMONTH(U$1,0),
FINANCIACION[PRESTAMO],$A53)</f>
        <v>0</v>
      </c>
      <c r="V53" s="52">
        <f>-SUMIFS(FINANCIACION[$ CAPITAL],
FINANCIACION[Fecha],"&lt;="&amp;EOMONTH(V$1,0),
FINANCIACION[PRESTAMO],$A53)</f>
        <v>0</v>
      </c>
      <c r="W53" s="52">
        <f>-SUMIFS(FINANCIACION[$ CAPITAL],
FINANCIACION[Fecha],"&lt;="&amp;EOMONTH(W$1,0),
FINANCIACION[PRESTAMO],$A53)</f>
        <v>0</v>
      </c>
      <c r="X53" s="52">
        <f>-SUMIFS(FINANCIACION[$ CAPITAL],
FINANCIACION[Fecha],"&lt;="&amp;EOMONTH(X$1,0),
FINANCIACION[PRESTAMO],$A53)</f>
        <v>0</v>
      </c>
    </row>
    <row r="54" spans="1:24" ht="21.6" customHeight="1" x14ac:dyDescent="0.3">
      <c r="A54" s="41" t="s">
        <v>240</v>
      </c>
      <c r="B54" s="52">
        <f>-SUMIFS(FINANCIACION[$ CAPITAL],
FINANCIACION[Fecha],"&lt;="&amp;EOMONTH(B$1,0),
FINANCIACION[PRESTAMO],$A54)</f>
        <v>0</v>
      </c>
      <c r="C54" s="52">
        <f>-SUMIFS(FINANCIACION[$ CAPITAL],
FINANCIACION[Fecha],"&lt;="&amp;EOMONTH(C$1,0),
FINANCIACION[PRESTAMO],$A54)</f>
        <v>0</v>
      </c>
      <c r="D54" s="52">
        <f>-SUMIFS(FINANCIACION[$ CAPITAL],
FINANCIACION[Fecha],"&lt;="&amp;EOMONTH(D$1,0),
FINANCIACION[PRESTAMO],$A54)</f>
        <v>0</v>
      </c>
      <c r="E54" s="52">
        <f>-SUMIFS(FINANCIACION[$ CAPITAL],
FINANCIACION[Fecha],"&lt;="&amp;EOMONTH(E$1,0),
FINANCIACION[PRESTAMO],$A54)</f>
        <v>0</v>
      </c>
      <c r="F54" s="52">
        <f>-SUMIFS(FINANCIACION[$ CAPITAL],
FINANCIACION[Fecha],"&lt;="&amp;EOMONTH(F$1,0),
FINANCIACION[PRESTAMO],$A54)</f>
        <v>0</v>
      </c>
      <c r="G54" s="52">
        <f>-SUMIFS(FINANCIACION[$ CAPITAL],
FINANCIACION[Fecha],"&lt;="&amp;EOMONTH(G$1,0),
FINANCIACION[PRESTAMO],$A54)</f>
        <v>0</v>
      </c>
      <c r="H54" s="52">
        <f>-SUMIFS(FINANCIACION[$ CAPITAL],
FINANCIACION[Fecha],"&lt;="&amp;EOMONTH(H$1,0),
FINANCIACION[PRESTAMO],$A54)</f>
        <v>0</v>
      </c>
      <c r="I54" s="52">
        <f>-SUMIFS(FINANCIACION[$ CAPITAL],
FINANCIACION[Fecha],"&lt;="&amp;EOMONTH(I$1,0),
FINANCIACION[PRESTAMO],$A54)</f>
        <v>0</v>
      </c>
      <c r="J54" s="52">
        <f>-SUMIFS(FINANCIACION[$ CAPITAL],
FINANCIACION[Fecha],"&lt;="&amp;EOMONTH(J$1,0),
FINANCIACION[PRESTAMO],$A54)</f>
        <v>0</v>
      </c>
      <c r="K54" s="52">
        <f>-SUMIFS(FINANCIACION[$ CAPITAL],
FINANCIACION[Fecha],"&lt;="&amp;EOMONTH(K$1,0),
FINANCIACION[PRESTAMO],$A54)</f>
        <v>0</v>
      </c>
      <c r="L54" s="52">
        <f>-SUMIFS(FINANCIACION[$ CAPITAL],
FINANCIACION[Fecha],"&lt;="&amp;EOMONTH(L$1,0),
FINANCIACION[PRESTAMO],$A54)</f>
        <v>0</v>
      </c>
      <c r="M54" s="52">
        <f>-SUMIFS(FINANCIACION[$ CAPITAL],
FINANCIACION[Fecha],"&lt;="&amp;EOMONTH(M$1,0),
FINANCIACION[PRESTAMO],$A54)</f>
        <v>0</v>
      </c>
      <c r="N54" s="52">
        <f>-SUMIFS(FINANCIACION[$ CAPITAL],
FINANCIACION[Fecha],"&lt;="&amp;EOMONTH(N$1,0),
FINANCIACION[PRESTAMO],$A54)</f>
        <v>0</v>
      </c>
      <c r="O54" s="52">
        <f>-SUMIFS(FINANCIACION[$ CAPITAL],
FINANCIACION[Fecha],"&lt;="&amp;EOMONTH(O$1,0),
FINANCIACION[PRESTAMO],$A54)</f>
        <v>0</v>
      </c>
      <c r="P54" s="52">
        <f>-SUMIFS(FINANCIACION[$ CAPITAL],
FINANCIACION[Fecha],"&lt;="&amp;EOMONTH(P$1,0),
FINANCIACION[PRESTAMO],$A54)</f>
        <v>0</v>
      </c>
      <c r="Q54" s="52">
        <f>-SUMIFS(FINANCIACION[$ CAPITAL],
FINANCIACION[Fecha],"&lt;="&amp;EOMONTH(Q$1,0),
FINANCIACION[PRESTAMO],$A54)</f>
        <v>0</v>
      </c>
      <c r="R54" s="52">
        <f>-SUMIFS(FINANCIACION[$ CAPITAL],
FINANCIACION[Fecha],"&lt;="&amp;EOMONTH(R$1,0),
FINANCIACION[PRESTAMO],$A54)</f>
        <v>0</v>
      </c>
      <c r="S54" s="52">
        <f>-SUMIFS(FINANCIACION[$ CAPITAL],
FINANCIACION[Fecha],"&lt;="&amp;EOMONTH(S$1,0),
FINANCIACION[PRESTAMO],$A54)</f>
        <v>0</v>
      </c>
      <c r="T54" s="52">
        <f>-SUMIFS(FINANCIACION[$ CAPITAL],
FINANCIACION[Fecha],"&lt;="&amp;EOMONTH(T$1,0),
FINANCIACION[PRESTAMO],$A54)</f>
        <v>0</v>
      </c>
      <c r="U54" s="52">
        <f>-SUMIFS(FINANCIACION[$ CAPITAL],
FINANCIACION[Fecha],"&lt;="&amp;EOMONTH(U$1,0),
FINANCIACION[PRESTAMO],$A54)</f>
        <v>0</v>
      </c>
      <c r="V54" s="52">
        <f>-SUMIFS(FINANCIACION[$ CAPITAL],
FINANCIACION[Fecha],"&lt;="&amp;EOMONTH(V$1,0),
FINANCIACION[PRESTAMO],$A54)</f>
        <v>0</v>
      </c>
      <c r="W54" s="52">
        <f>-SUMIFS(FINANCIACION[$ CAPITAL],
FINANCIACION[Fecha],"&lt;="&amp;EOMONTH(W$1,0),
FINANCIACION[PRESTAMO],$A54)</f>
        <v>0</v>
      </c>
      <c r="X54" s="52">
        <f>-SUMIFS(FINANCIACION[$ CAPITAL],
FINANCIACION[Fecha],"&lt;="&amp;EOMONTH(X$1,0),
FINANCIACION[PRESTAMO],$A54)</f>
        <v>0</v>
      </c>
    </row>
    <row r="55" spans="1:24" ht="21.6" customHeight="1" x14ac:dyDescent="0.3">
      <c r="A55" s="41" t="s">
        <v>153</v>
      </c>
      <c r="B55" s="52">
        <f>-SUMIFS(FINANCIACION[$ CAPITAL],
FINANCIACION[Fecha],"&lt;="&amp;EOMONTH(B$1,0),
FINANCIACION[PRESTAMO],$A55)</f>
        <v>31111112</v>
      </c>
      <c r="C55" s="52">
        <f>-SUMIFS(FINANCIACION[$ CAPITAL],
FINANCIACION[Fecha],"&lt;="&amp;EOMONTH(C$1,0),
FINANCIACION[PRESTAMO],$A55)</f>
        <v>31111112</v>
      </c>
      <c r="D55" s="52">
        <f>-SUMIFS(FINANCIACION[$ CAPITAL],
FINANCIACION[Fecha],"&lt;="&amp;EOMONTH(D$1,0),
FINANCIACION[PRESTAMO],$A55)</f>
        <v>31111112</v>
      </c>
      <c r="E55" s="52">
        <f>-SUMIFS(FINANCIACION[$ CAPITAL],
FINANCIACION[Fecha],"&lt;="&amp;EOMONTH(E$1,0),
FINANCIACION[PRESTAMO],$A55)</f>
        <v>31111112</v>
      </c>
      <c r="F55" s="52">
        <f>-SUMIFS(FINANCIACION[$ CAPITAL],
FINANCIACION[Fecha],"&lt;="&amp;EOMONTH(F$1,0),
FINANCIACION[PRESTAMO],$A55)</f>
        <v>31111112</v>
      </c>
      <c r="G55" s="52">
        <f>-SUMIFS(FINANCIACION[$ CAPITAL],
FINANCIACION[Fecha],"&lt;="&amp;EOMONTH(G$1,0),
FINANCIACION[PRESTAMO],$A55)</f>
        <v>31111112</v>
      </c>
      <c r="H55" s="52">
        <f>-SUMIFS(FINANCIACION[$ CAPITAL],
FINANCIACION[Fecha],"&lt;="&amp;EOMONTH(H$1,0),
FINANCIACION[PRESTAMO],$A55)</f>
        <v>31111112</v>
      </c>
      <c r="I55" s="52">
        <f>-SUMIFS(FINANCIACION[$ CAPITAL],
FINANCIACION[Fecha],"&lt;="&amp;EOMONTH(I$1,0),
FINANCIACION[PRESTAMO],$A55)</f>
        <v>31111112</v>
      </c>
      <c r="J55" s="52">
        <f>-SUMIFS(FINANCIACION[$ CAPITAL],
FINANCIACION[Fecha],"&lt;="&amp;EOMONTH(J$1,0),
FINANCIACION[PRESTAMO],$A55)</f>
        <v>31111112</v>
      </c>
      <c r="K55" s="52">
        <f>-SUMIFS(FINANCIACION[$ CAPITAL],
FINANCIACION[Fecha],"&lt;="&amp;EOMONTH(K$1,0),
FINANCIACION[PRESTAMO],$A55)</f>
        <v>31111112</v>
      </c>
      <c r="L55" s="52">
        <f>-SUMIFS(FINANCIACION[$ CAPITAL],
FINANCIACION[Fecha],"&lt;="&amp;EOMONTH(L$1,0),
FINANCIACION[PRESTAMO],$A55)</f>
        <v>31111112</v>
      </c>
      <c r="M55" s="52">
        <f>-SUMIFS(FINANCIACION[$ CAPITAL],
FINANCIACION[Fecha],"&lt;="&amp;EOMONTH(M$1,0),
FINANCIACION[PRESTAMO],$A55)</f>
        <v>31111112</v>
      </c>
      <c r="N55" s="52">
        <f>-SUMIFS(FINANCIACION[$ CAPITAL],
FINANCIACION[Fecha],"&lt;="&amp;EOMONTH(N$1,0),
FINANCIACION[PRESTAMO],$A55)</f>
        <v>0</v>
      </c>
      <c r="O55" s="52">
        <f>-SUMIFS(FINANCIACION[$ CAPITAL],
FINANCIACION[Fecha],"&lt;="&amp;EOMONTH(O$1,0),
FINANCIACION[PRESTAMO],$A55)</f>
        <v>0</v>
      </c>
      <c r="P55" s="52">
        <f>-SUMIFS(FINANCIACION[$ CAPITAL],
FINANCIACION[Fecha],"&lt;="&amp;EOMONTH(P$1,0),
FINANCIACION[PRESTAMO],$A55)</f>
        <v>0</v>
      </c>
      <c r="Q55" s="52">
        <f>-SUMIFS(FINANCIACION[$ CAPITAL],
FINANCIACION[Fecha],"&lt;="&amp;EOMONTH(Q$1,0),
FINANCIACION[PRESTAMO],$A55)</f>
        <v>0</v>
      </c>
      <c r="R55" s="52">
        <f>-SUMIFS(FINANCIACION[$ CAPITAL],
FINANCIACION[Fecha],"&lt;="&amp;EOMONTH(R$1,0),
FINANCIACION[PRESTAMO],$A55)</f>
        <v>0</v>
      </c>
      <c r="S55" s="52">
        <f>-SUMIFS(FINANCIACION[$ CAPITAL],
FINANCIACION[Fecha],"&lt;="&amp;EOMONTH(S$1,0),
FINANCIACION[PRESTAMO],$A55)</f>
        <v>0</v>
      </c>
      <c r="T55" s="52">
        <f>-SUMIFS(FINANCIACION[$ CAPITAL],
FINANCIACION[Fecha],"&lt;="&amp;EOMONTH(T$1,0),
FINANCIACION[PRESTAMO],$A55)</f>
        <v>0</v>
      </c>
      <c r="U55" s="52">
        <f>-SUMIFS(FINANCIACION[$ CAPITAL],
FINANCIACION[Fecha],"&lt;="&amp;EOMONTH(U$1,0),
FINANCIACION[PRESTAMO],$A55)</f>
        <v>0</v>
      </c>
      <c r="V55" s="52">
        <f>-SUMIFS(FINANCIACION[$ CAPITAL],
FINANCIACION[Fecha],"&lt;="&amp;EOMONTH(V$1,0),
FINANCIACION[PRESTAMO],$A55)</f>
        <v>0</v>
      </c>
      <c r="W55" s="52">
        <f>-SUMIFS(FINANCIACION[$ CAPITAL],
FINANCIACION[Fecha],"&lt;="&amp;EOMONTH(W$1,0),
FINANCIACION[PRESTAMO],$A55)</f>
        <v>0</v>
      </c>
      <c r="X55" s="52">
        <f>-SUMIFS(FINANCIACION[$ CAPITAL],
FINANCIACION[Fecha],"&lt;="&amp;EOMONTH(X$1,0),
FINANCIACION[PRESTAMO],$A55)</f>
        <v>0</v>
      </c>
    </row>
    <row r="56" spans="1:24" ht="21.6" customHeight="1" x14ac:dyDescent="0.3">
      <c r="A56" s="41" t="s">
        <v>1488</v>
      </c>
      <c r="B56" s="52">
        <f>-SUMIFS(FINANCIACION[$ CAPITAL],
FINANCIACION[Fecha],"&lt;="&amp;EOMONTH(B$1,0),
FINANCIACION[PRESTAMO],$A56)</f>
        <v>2547513</v>
      </c>
      <c r="C56" s="52">
        <f>-SUMIFS(FINANCIACION[$ CAPITAL],
FINANCIACION[Fecha],"&lt;="&amp;EOMONTH(C$1,0),
FINANCIACION[PRESTAMO],$A56)</f>
        <v>2547513</v>
      </c>
      <c r="D56" s="52">
        <f>-SUMIFS(FINANCIACION[$ CAPITAL],
FINANCIACION[Fecha],"&lt;="&amp;EOMONTH(D$1,0),
FINANCIACION[PRESTAMO],$A56)</f>
        <v>2547513</v>
      </c>
      <c r="E56" s="52">
        <f>-SUMIFS(FINANCIACION[$ CAPITAL],
FINANCIACION[Fecha],"&lt;="&amp;EOMONTH(E$1,0),
FINANCIACION[PRESTAMO],$A56)</f>
        <v>2547513</v>
      </c>
      <c r="F56" s="52">
        <f>-SUMIFS(FINANCIACION[$ CAPITAL],
FINANCIACION[Fecha],"&lt;="&amp;EOMONTH(F$1,0),
FINANCIACION[PRESTAMO],$A56)</f>
        <v>2547513</v>
      </c>
      <c r="G56" s="52">
        <f>-SUMIFS(FINANCIACION[$ CAPITAL],
FINANCIACION[Fecha],"&lt;="&amp;EOMONTH(G$1,0),
FINANCIACION[PRESTAMO],$A56)</f>
        <v>2547513</v>
      </c>
      <c r="H56" s="52">
        <f>-SUMIFS(FINANCIACION[$ CAPITAL],
FINANCIACION[Fecha],"&lt;="&amp;EOMONTH(H$1,0),
FINANCIACION[PRESTAMO],$A56)</f>
        <v>2547513</v>
      </c>
      <c r="I56" s="52">
        <f>-SUMIFS(FINANCIACION[$ CAPITAL],
FINANCIACION[Fecha],"&lt;="&amp;EOMONTH(I$1,0),
FINANCIACION[PRESTAMO],$A56)</f>
        <v>2547513</v>
      </c>
      <c r="J56" s="52">
        <f>-SUMIFS(FINANCIACION[$ CAPITAL],
FINANCIACION[Fecha],"&lt;="&amp;EOMONTH(J$1,0),
FINANCIACION[PRESTAMO],$A56)</f>
        <v>2547513</v>
      </c>
      <c r="K56" s="52">
        <f>-SUMIFS(FINANCIACION[$ CAPITAL],
FINANCIACION[Fecha],"&lt;="&amp;EOMONTH(K$1,0),
FINANCIACION[PRESTAMO],$A56)</f>
        <v>2547513</v>
      </c>
      <c r="L56" s="52">
        <f>-SUMIFS(FINANCIACION[$ CAPITAL],
FINANCIACION[Fecha],"&lt;="&amp;EOMONTH(L$1,0),
FINANCIACION[PRESTAMO],$A56)</f>
        <v>2547513</v>
      </c>
      <c r="M56" s="52">
        <f>-SUMIFS(FINANCIACION[$ CAPITAL],
FINANCIACION[Fecha],"&lt;="&amp;EOMONTH(M$1,0),
FINANCIACION[PRESTAMO],$A56)</f>
        <v>2547513</v>
      </c>
      <c r="N56" s="52">
        <f>-SUMIFS(FINANCIACION[$ CAPITAL],
FINANCIACION[Fecha],"&lt;="&amp;EOMONTH(N$1,0),
FINANCIACION[PRESTAMO],$A56)</f>
        <v>0</v>
      </c>
      <c r="O56" s="52">
        <f>-SUMIFS(FINANCIACION[$ CAPITAL],
FINANCIACION[Fecha],"&lt;="&amp;EOMONTH(O$1,0),
FINANCIACION[PRESTAMO],$A56)</f>
        <v>0</v>
      </c>
      <c r="P56" s="52">
        <f>-SUMIFS(FINANCIACION[$ CAPITAL],
FINANCIACION[Fecha],"&lt;="&amp;EOMONTH(P$1,0),
FINANCIACION[PRESTAMO],$A56)</f>
        <v>0</v>
      </c>
      <c r="Q56" s="52">
        <f>-SUMIFS(FINANCIACION[$ CAPITAL],
FINANCIACION[Fecha],"&lt;="&amp;EOMONTH(Q$1,0),
FINANCIACION[PRESTAMO],$A56)</f>
        <v>0</v>
      </c>
      <c r="R56" s="52">
        <f>-SUMIFS(FINANCIACION[$ CAPITAL],
FINANCIACION[Fecha],"&lt;="&amp;EOMONTH(R$1,0),
FINANCIACION[PRESTAMO],$A56)</f>
        <v>0</v>
      </c>
      <c r="S56" s="52">
        <f>-SUMIFS(FINANCIACION[$ CAPITAL],
FINANCIACION[Fecha],"&lt;="&amp;EOMONTH(S$1,0),
FINANCIACION[PRESTAMO],$A56)</f>
        <v>0</v>
      </c>
      <c r="T56" s="52">
        <f>-SUMIFS(FINANCIACION[$ CAPITAL],
FINANCIACION[Fecha],"&lt;="&amp;EOMONTH(T$1,0),
FINANCIACION[PRESTAMO],$A56)</f>
        <v>0</v>
      </c>
      <c r="U56" s="52">
        <f>-SUMIFS(FINANCIACION[$ CAPITAL],
FINANCIACION[Fecha],"&lt;="&amp;EOMONTH(U$1,0),
FINANCIACION[PRESTAMO],$A56)</f>
        <v>0</v>
      </c>
      <c r="V56" s="52">
        <f>-SUMIFS(FINANCIACION[$ CAPITAL],
FINANCIACION[Fecha],"&lt;="&amp;EOMONTH(V$1,0),
FINANCIACION[PRESTAMO],$A56)</f>
        <v>0</v>
      </c>
      <c r="W56" s="52">
        <f>-SUMIFS(FINANCIACION[$ CAPITAL],
FINANCIACION[Fecha],"&lt;="&amp;EOMONTH(W$1,0),
FINANCIACION[PRESTAMO],$A56)</f>
        <v>0</v>
      </c>
      <c r="X56" s="52">
        <f>-SUMIFS(FINANCIACION[$ CAPITAL],
FINANCIACION[Fecha],"&lt;="&amp;EOMONTH(X$1,0),
FINANCIACION[PRESTAMO],$A56)</f>
        <v>0</v>
      </c>
    </row>
    <row r="57" spans="1:24" ht="21.6" customHeight="1" x14ac:dyDescent="0.3">
      <c r="A57" s="41" t="s">
        <v>154</v>
      </c>
      <c r="B57" s="52">
        <f>-SUMIFS(FINANCIACION[$ CAPITAL],
FINANCIACION[Fecha],"&lt;="&amp;EOMONTH(B$1,0),
FINANCIACION[PRESTAMO],$A57)</f>
        <v>30496000</v>
      </c>
      <c r="C57" s="52">
        <f>-SUMIFS(FINANCIACION[$ CAPITAL],
FINANCIACION[Fecha],"&lt;="&amp;EOMONTH(C$1,0),
FINANCIACION[PRESTAMO],$A57)</f>
        <v>30496000</v>
      </c>
      <c r="D57" s="52">
        <f>-SUMIFS(FINANCIACION[$ CAPITAL],
FINANCIACION[Fecha],"&lt;="&amp;EOMONTH(D$1,0),
FINANCIACION[PRESTAMO],$A57)</f>
        <v>30496000</v>
      </c>
      <c r="E57" s="52">
        <f>-SUMIFS(FINANCIACION[$ CAPITAL],
FINANCIACION[Fecha],"&lt;="&amp;EOMONTH(E$1,0),
FINANCIACION[PRESTAMO],$A57)</f>
        <v>30496000</v>
      </c>
      <c r="F57" s="52">
        <f>-SUMIFS(FINANCIACION[$ CAPITAL],
FINANCIACION[Fecha],"&lt;="&amp;EOMONTH(F$1,0),
FINANCIACION[PRESTAMO],$A57)</f>
        <v>30496000</v>
      </c>
      <c r="G57" s="52">
        <f>-SUMIFS(FINANCIACION[$ CAPITAL],
FINANCIACION[Fecha],"&lt;="&amp;EOMONTH(G$1,0),
FINANCIACION[PRESTAMO],$A57)</f>
        <v>30496000</v>
      </c>
      <c r="H57" s="52">
        <f>-SUMIFS(FINANCIACION[$ CAPITAL],
FINANCIACION[Fecha],"&lt;="&amp;EOMONTH(H$1,0),
FINANCIACION[PRESTAMO],$A57)</f>
        <v>30496000</v>
      </c>
      <c r="I57" s="52">
        <f>-SUMIFS(FINANCIACION[$ CAPITAL],
FINANCIACION[Fecha],"&lt;="&amp;EOMONTH(I$1,0),
FINANCIACION[PRESTAMO],$A57)</f>
        <v>30496000</v>
      </c>
      <c r="J57" s="52">
        <f>-SUMIFS(FINANCIACION[$ CAPITAL],
FINANCIACION[Fecha],"&lt;="&amp;EOMONTH(J$1,0),
FINANCIACION[PRESTAMO],$A57)</f>
        <v>30496000</v>
      </c>
      <c r="K57" s="52">
        <f>-SUMIFS(FINANCIACION[$ CAPITAL],
FINANCIACION[Fecha],"&lt;="&amp;EOMONTH(K$1,0),
FINANCIACION[PRESTAMO],$A57)</f>
        <v>30496000</v>
      </c>
      <c r="L57" s="52">
        <f>-SUMIFS(FINANCIACION[$ CAPITAL],
FINANCIACION[Fecha],"&lt;="&amp;EOMONTH(L$1,0),
FINANCIACION[PRESTAMO],$A57)</f>
        <v>30496000</v>
      </c>
      <c r="M57" s="52">
        <f>-SUMIFS(FINANCIACION[$ CAPITAL],
FINANCIACION[Fecha],"&lt;="&amp;EOMONTH(M$1,0),
FINANCIACION[PRESTAMO],$A57)</f>
        <v>30496000</v>
      </c>
      <c r="N57" s="52">
        <f>-SUMIFS(FINANCIACION[$ CAPITAL],
FINANCIACION[Fecha],"&lt;="&amp;EOMONTH(N$1,0),
FINANCIACION[PRESTAMO],$A57)</f>
        <v>0</v>
      </c>
      <c r="O57" s="52">
        <f>-SUMIFS(FINANCIACION[$ CAPITAL],
FINANCIACION[Fecha],"&lt;="&amp;EOMONTH(O$1,0),
FINANCIACION[PRESTAMO],$A57)</f>
        <v>0</v>
      </c>
      <c r="P57" s="52">
        <f>-SUMIFS(FINANCIACION[$ CAPITAL],
FINANCIACION[Fecha],"&lt;="&amp;EOMONTH(P$1,0),
FINANCIACION[PRESTAMO],$A57)</f>
        <v>0</v>
      </c>
      <c r="Q57" s="52">
        <f>-SUMIFS(FINANCIACION[$ CAPITAL],
FINANCIACION[Fecha],"&lt;="&amp;EOMONTH(Q$1,0),
FINANCIACION[PRESTAMO],$A57)</f>
        <v>0</v>
      </c>
      <c r="R57" s="52">
        <f>-SUMIFS(FINANCIACION[$ CAPITAL],
FINANCIACION[Fecha],"&lt;="&amp;EOMONTH(R$1,0),
FINANCIACION[PRESTAMO],$A57)</f>
        <v>0</v>
      </c>
      <c r="S57" s="52">
        <f>-SUMIFS(FINANCIACION[$ CAPITAL],
FINANCIACION[Fecha],"&lt;="&amp;EOMONTH(S$1,0),
FINANCIACION[PRESTAMO],$A57)</f>
        <v>0</v>
      </c>
      <c r="T57" s="52">
        <f>-SUMIFS(FINANCIACION[$ CAPITAL],
FINANCIACION[Fecha],"&lt;="&amp;EOMONTH(T$1,0),
FINANCIACION[PRESTAMO],$A57)</f>
        <v>0</v>
      </c>
      <c r="U57" s="52">
        <f>-SUMIFS(FINANCIACION[$ CAPITAL],
FINANCIACION[Fecha],"&lt;="&amp;EOMONTH(U$1,0),
FINANCIACION[PRESTAMO],$A57)</f>
        <v>0</v>
      </c>
      <c r="V57" s="52">
        <f>-SUMIFS(FINANCIACION[$ CAPITAL],
FINANCIACION[Fecha],"&lt;="&amp;EOMONTH(V$1,0),
FINANCIACION[PRESTAMO],$A57)</f>
        <v>0</v>
      </c>
      <c r="W57" s="52">
        <f>-SUMIFS(FINANCIACION[$ CAPITAL],
FINANCIACION[Fecha],"&lt;="&amp;EOMONTH(W$1,0),
FINANCIACION[PRESTAMO],$A57)</f>
        <v>0</v>
      </c>
      <c r="X57" s="52">
        <f>-SUMIFS(FINANCIACION[$ CAPITAL],
FINANCIACION[Fecha],"&lt;="&amp;EOMONTH(X$1,0),
FINANCIACION[PRESTAMO],$A57)</f>
        <v>0</v>
      </c>
    </row>
    <row r="58" spans="1:24" ht="21.6" customHeight="1" x14ac:dyDescent="0.3">
      <c r="A58" s="41" t="s">
        <v>155</v>
      </c>
      <c r="B58" s="52">
        <f>-SUMIFS(FINANCIACION[$ CAPITAL],
FINANCIACION[Fecha],"&lt;="&amp;EOMONTH(B$1,0),
FINANCIACION[PRESTAMO],$A58)</f>
        <v>404277</v>
      </c>
      <c r="C58" s="52">
        <f>-SUMIFS(FINANCIACION[$ CAPITAL],
FINANCIACION[Fecha],"&lt;="&amp;EOMONTH(C$1,0),
FINANCIACION[PRESTAMO],$A58)</f>
        <v>404277</v>
      </c>
      <c r="D58" s="52">
        <f>-SUMIFS(FINANCIACION[$ CAPITAL],
FINANCIACION[Fecha],"&lt;="&amp;EOMONTH(D$1,0),
FINANCIACION[PRESTAMO],$A58)</f>
        <v>404277</v>
      </c>
      <c r="E58" s="52">
        <f>-SUMIFS(FINANCIACION[$ CAPITAL],
FINANCIACION[Fecha],"&lt;="&amp;EOMONTH(E$1,0),
FINANCIACION[PRESTAMO],$A58)</f>
        <v>404277</v>
      </c>
      <c r="F58" s="52">
        <f>-SUMIFS(FINANCIACION[$ CAPITAL],
FINANCIACION[Fecha],"&lt;="&amp;EOMONTH(F$1,0),
FINANCIACION[PRESTAMO],$A58)</f>
        <v>404277</v>
      </c>
      <c r="G58" s="52">
        <f>-SUMIFS(FINANCIACION[$ CAPITAL],
FINANCIACION[Fecha],"&lt;="&amp;EOMONTH(G$1,0),
FINANCIACION[PRESTAMO],$A58)</f>
        <v>404277</v>
      </c>
      <c r="H58" s="52">
        <f>-SUMIFS(FINANCIACION[$ CAPITAL],
FINANCIACION[Fecha],"&lt;="&amp;EOMONTH(H$1,0),
FINANCIACION[PRESTAMO],$A58)</f>
        <v>404277</v>
      </c>
      <c r="I58" s="52">
        <f>-SUMIFS(FINANCIACION[$ CAPITAL],
FINANCIACION[Fecha],"&lt;="&amp;EOMONTH(I$1,0),
FINANCIACION[PRESTAMO],$A58)</f>
        <v>404277</v>
      </c>
      <c r="J58" s="52">
        <f>-SUMIFS(FINANCIACION[$ CAPITAL],
FINANCIACION[Fecha],"&lt;="&amp;EOMONTH(J$1,0),
FINANCIACION[PRESTAMO],$A58)</f>
        <v>404277</v>
      </c>
      <c r="K58" s="52">
        <f>-SUMIFS(FINANCIACION[$ CAPITAL],
FINANCIACION[Fecha],"&lt;="&amp;EOMONTH(K$1,0),
FINANCIACION[PRESTAMO],$A58)</f>
        <v>404277</v>
      </c>
      <c r="L58" s="52">
        <f>-SUMIFS(FINANCIACION[$ CAPITAL],
FINANCIACION[Fecha],"&lt;="&amp;EOMONTH(L$1,0),
FINANCIACION[PRESTAMO],$A58)</f>
        <v>404277</v>
      </c>
      <c r="M58" s="52">
        <f>-SUMIFS(FINANCIACION[$ CAPITAL],
FINANCIACION[Fecha],"&lt;="&amp;EOMONTH(M$1,0),
FINANCIACION[PRESTAMO],$A58)</f>
        <v>404277</v>
      </c>
      <c r="N58" s="52">
        <f>-SUMIFS(FINANCIACION[$ CAPITAL],
FINANCIACION[Fecha],"&lt;="&amp;EOMONTH(N$1,0),
FINANCIACION[PRESTAMO],$A58)</f>
        <v>0</v>
      </c>
      <c r="O58" s="52">
        <f>-SUMIFS(FINANCIACION[$ CAPITAL],
FINANCIACION[Fecha],"&lt;="&amp;EOMONTH(O$1,0),
FINANCIACION[PRESTAMO],$A58)</f>
        <v>0</v>
      </c>
      <c r="P58" s="52">
        <f>-SUMIFS(FINANCIACION[$ CAPITAL],
FINANCIACION[Fecha],"&lt;="&amp;EOMONTH(P$1,0),
FINANCIACION[PRESTAMO],$A58)</f>
        <v>0</v>
      </c>
      <c r="Q58" s="52">
        <f>-SUMIFS(FINANCIACION[$ CAPITAL],
FINANCIACION[Fecha],"&lt;="&amp;EOMONTH(Q$1,0),
FINANCIACION[PRESTAMO],$A58)</f>
        <v>0</v>
      </c>
      <c r="R58" s="52">
        <f>-SUMIFS(FINANCIACION[$ CAPITAL],
FINANCIACION[Fecha],"&lt;="&amp;EOMONTH(R$1,0),
FINANCIACION[PRESTAMO],$A58)</f>
        <v>0</v>
      </c>
      <c r="S58" s="52">
        <f>-SUMIFS(FINANCIACION[$ CAPITAL],
FINANCIACION[Fecha],"&lt;="&amp;EOMONTH(S$1,0),
FINANCIACION[PRESTAMO],$A58)</f>
        <v>0</v>
      </c>
      <c r="T58" s="52">
        <f>-SUMIFS(FINANCIACION[$ CAPITAL],
FINANCIACION[Fecha],"&lt;="&amp;EOMONTH(T$1,0),
FINANCIACION[PRESTAMO],$A58)</f>
        <v>0</v>
      </c>
      <c r="U58" s="52">
        <f>-SUMIFS(FINANCIACION[$ CAPITAL],
FINANCIACION[Fecha],"&lt;="&amp;EOMONTH(U$1,0),
FINANCIACION[PRESTAMO],$A58)</f>
        <v>0</v>
      </c>
      <c r="V58" s="52">
        <f>-SUMIFS(FINANCIACION[$ CAPITAL],
FINANCIACION[Fecha],"&lt;="&amp;EOMONTH(V$1,0),
FINANCIACION[PRESTAMO],$A58)</f>
        <v>0</v>
      </c>
      <c r="W58" s="52">
        <f>-SUMIFS(FINANCIACION[$ CAPITAL],
FINANCIACION[Fecha],"&lt;="&amp;EOMONTH(W$1,0),
FINANCIACION[PRESTAMO],$A58)</f>
        <v>0</v>
      </c>
      <c r="X58" s="52">
        <f>-SUMIFS(FINANCIACION[$ CAPITAL],
FINANCIACION[Fecha],"&lt;="&amp;EOMONTH(X$1,0),
FINANCIACION[PRESTAMO],$A58)</f>
        <v>0</v>
      </c>
    </row>
    <row r="59" spans="1:24" ht="21.6" customHeight="1" x14ac:dyDescent="0.3">
      <c r="A59" s="41" t="s">
        <v>2208</v>
      </c>
      <c r="B59" s="52">
        <f>-SUMIFS(FINANCIACION[$ CAPITAL],
FINANCIACION[Fecha],"&lt;="&amp;EOMONTH(B$1,0),
FINANCIACION[PRESTAMO],$A59)</f>
        <v>0</v>
      </c>
      <c r="C59" s="52">
        <f>-SUMIFS(FINANCIACION[$ CAPITAL],
FINANCIACION[Fecha],"&lt;="&amp;EOMONTH(C$1,0),
FINANCIACION[PRESTAMO],$A59)</f>
        <v>0</v>
      </c>
      <c r="D59" s="52">
        <f>-SUMIFS(FINANCIACION[$ CAPITAL],
FINANCIACION[Fecha],"&lt;="&amp;EOMONTH(D$1,0),
FINANCIACION[PRESTAMO],$A59)</f>
        <v>0</v>
      </c>
      <c r="E59" s="52">
        <f>-SUMIFS(FINANCIACION[$ CAPITAL],
FINANCIACION[Fecha],"&lt;="&amp;EOMONTH(E$1,0),
FINANCIACION[PRESTAMO],$A59)</f>
        <v>0</v>
      </c>
      <c r="F59" s="52">
        <f>-SUMIFS(FINANCIACION[$ CAPITAL],
FINANCIACION[Fecha],"&lt;="&amp;EOMONTH(F$1,0),
FINANCIACION[PRESTAMO],$A59)</f>
        <v>0</v>
      </c>
      <c r="G59" s="52">
        <f>-SUMIFS(FINANCIACION[$ CAPITAL],
FINANCIACION[Fecha],"&lt;="&amp;EOMONTH(G$1,0),
FINANCIACION[PRESTAMO],$A59)</f>
        <v>0</v>
      </c>
      <c r="H59" s="225">
        <f>-SUMIFS(FINANCIACION[$ CAPITAL],
FINANCIACION[Fecha],"&lt;="&amp;EOMONTH(H$1,0),
FINANCIACION[PRESTAMO],$A59)</f>
        <v>0</v>
      </c>
      <c r="I59" s="52">
        <f>-SUMIFS(FINANCIACION[$ CAPITAL],
FINANCIACION[Fecha],"&lt;="&amp;EOMONTH(I$1,0),
FINANCIACION[PRESTAMO],$A59)</f>
        <v>0</v>
      </c>
      <c r="J59" s="52">
        <f>-SUMIFS(FINANCIACION[$ CAPITAL],
FINANCIACION[Fecha],"&lt;="&amp;EOMONTH(J$1,0),
FINANCIACION[PRESTAMO],$A59)</f>
        <v>0</v>
      </c>
      <c r="K59" s="52">
        <f>-SUMIFS(FINANCIACION[$ CAPITAL],
FINANCIACION[Fecha],"&lt;="&amp;EOMONTH(K$1,0),
FINANCIACION[PRESTAMO],$A59)</f>
        <v>0</v>
      </c>
      <c r="L59" s="52">
        <f>-SUMIFS(FINANCIACION[$ CAPITAL],
FINANCIACION[Fecha],"&lt;="&amp;EOMONTH(L$1,0),
FINANCIACION[PRESTAMO],$A59)</f>
        <v>0</v>
      </c>
      <c r="M59" s="52">
        <f>-SUMIFS(FINANCIACION[$ CAPITAL],
FINANCIACION[Fecha],"&lt;="&amp;EOMONTH(M$1,0),
FINANCIACION[PRESTAMO],$A59)</f>
        <v>0</v>
      </c>
      <c r="N59" s="52">
        <f>-SUMIFS(FINANCIACION[$ CAPITAL],
FINANCIACION[Fecha],"&lt;="&amp;EOMONTH(N$1,0),
FINANCIACION[PRESTAMO],$A59)</f>
        <v>0</v>
      </c>
      <c r="O59" s="52">
        <f>-SUMIFS(FINANCIACION[$ CAPITAL],
FINANCIACION[Fecha],"&lt;="&amp;EOMONTH(O$1,0),
FINANCIACION[PRESTAMO],$A59)</f>
        <v>0</v>
      </c>
      <c r="P59" s="52">
        <f>-SUMIFS(FINANCIACION[$ CAPITAL],
FINANCIACION[Fecha],"&lt;="&amp;EOMONTH(P$1,0),
FINANCIACION[PRESTAMO],$A59)</f>
        <v>0</v>
      </c>
      <c r="Q59" s="52">
        <f>-SUMIFS(FINANCIACION[$ CAPITAL],
FINANCIACION[Fecha],"&lt;="&amp;EOMONTH(Q$1,0),
FINANCIACION[PRESTAMO],$A59)</f>
        <v>0</v>
      </c>
      <c r="R59" s="52">
        <f>-SUMIFS(FINANCIACION[$ CAPITAL],
FINANCIACION[Fecha],"&lt;="&amp;EOMONTH(R$1,0),
FINANCIACION[PRESTAMO],$A59)</f>
        <v>0</v>
      </c>
      <c r="S59" s="52">
        <f>-SUMIFS(FINANCIACION[$ CAPITAL],
FINANCIACION[Fecha],"&lt;="&amp;EOMONTH(S$1,0),
FINANCIACION[PRESTAMO],$A59)</f>
        <v>0</v>
      </c>
      <c r="T59" s="52">
        <f>-SUMIFS(FINANCIACION[$ CAPITAL],
FINANCIACION[Fecha],"&lt;="&amp;EOMONTH(T$1,0),
FINANCIACION[PRESTAMO],$A59)</f>
        <v>0</v>
      </c>
      <c r="U59" s="52">
        <f>-SUMIFS(FINANCIACION[$ CAPITAL],
FINANCIACION[Fecha],"&lt;="&amp;EOMONTH(U$1,0),
FINANCIACION[PRESTAMO],$A59)</f>
        <v>0</v>
      </c>
      <c r="V59" s="52">
        <f>-SUMIFS(FINANCIACION[$ CAPITAL],
FINANCIACION[Fecha],"&lt;="&amp;EOMONTH(V$1,0),
FINANCIACION[PRESTAMO],$A59)</f>
        <v>0</v>
      </c>
      <c r="W59" s="52">
        <f>-SUMIFS(FINANCIACION[$ CAPITAL],
FINANCIACION[Fecha],"&lt;="&amp;EOMONTH(W$1,0),
FINANCIACION[PRESTAMO],$A59)</f>
        <v>0</v>
      </c>
      <c r="X59" s="52">
        <f>-SUMIFS(FINANCIACION[$ CAPITAL],
FINANCIACION[Fecha],"&lt;="&amp;EOMONTH(X$1,0),
FINANCIACION[PRESTAMO],$A59)</f>
        <v>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B2390"/>
  <sheetViews>
    <sheetView zoomScale="130" zoomScaleNormal="130" workbookViewId="0">
      <selection activeCell="W4" sqref="W4"/>
    </sheetView>
  </sheetViews>
  <sheetFormatPr defaultColWidth="11.5546875" defaultRowHeight="14.4" x14ac:dyDescent="0.3"/>
  <cols>
    <col min="1" max="1" width="13" customWidth="1"/>
    <col min="2" max="4" width="11.44140625" hidden="1" customWidth="1"/>
    <col min="5" max="5" width="17.21875" style="145" customWidth="1"/>
    <col min="6" max="6" width="27.21875" customWidth="1"/>
    <col min="7" max="7" width="24.77734375" style="145" customWidth="1"/>
    <col min="8" max="15" width="11.44140625" hidden="1" customWidth="1"/>
    <col min="16" max="16" width="15.77734375" style="108" customWidth="1"/>
    <col min="17" max="17" width="14.77734375" style="108" hidden="1" customWidth="1"/>
    <col min="18" max="18" width="14.77734375" style="139" hidden="1" customWidth="1"/>
    <col min="19" max="19" width="12.21875" hidden="1" customWidth="1"/>
    <col min="20" max="20" width="16.21875" style="139" hidden="1" customWidth="1"/>
    <col min="21" max="21" width="11.77734375" hidden="1" customWidth="1"/>
    <col min="22" max="22" width="11.44140625" hidden="1" customWidth="1"/>
    <col min="23" max="23" width="17.77734375" style="141" customWidth="1"/>
  </cols>
  <sheetData>
    <row r="1" spans="1:28" ht="15.75" customHeight="1" x14ac:dyDescent="0.3">
      <c r="A1" s="137" t="s">
        <v>813</v>
      </c>
      <c r="B1" s="137"/>
      <c r="C1" s="137"/>
      <c r="D1" s="137"/>
      <c r="E1" s="144"/>
      <c r="F1" s="137"/>
      <c r="G1" s="144"/>
      <c r="H1" s="137"/>
      <c r="I1" s="137"/>
      <c r="J1" s="137"/>
      <c r="K1" s="137"/>
      <c r="L1" s="137"/>
      <c r="M1" s="137"/>
      <c r="N1" s="137"/>
      <c r="O1" s="137"/>
      <c r="P1" s="138"/>
      <c r="Q1" s="138"/>
      <c r="R1" s="143"/>
      <c r="W1" s="427" t="s">
        <v>720</v>
      </c>
    </row>
    <row r="2" spans="1:28" ht="15" customHeight="1" thickBot="1" x14ac:dyDescent="0.35">
      <c r="A2" s="137" t="s">
        <v>1676</v>
      </c>
      <c r="B2" s="137"/>
      <c r="C2" s="137"/>
      <c r="D2" s="137"/>
      <c r="E2" s="144"/>
      <c r="F2" s="137"/>
      <c r="G2" s="144"/>
      <c r="H2" s="137"/>
      <c r="I2" s="137"/>
      <c r="J2" s="137"/>
      <c r="K2" s="137"/>
      <c r="L2" s="137"/>
      <c r="M2" s="137"/>
      <c r="N2" s="137"/>
      <c r="O2" s="137"/>
      <c r="P2" s="138"/>
      <c r="Q2" s="138"/>
      <c r="R2" s="143"/>
      <c r="W2" s="428"/>
    </row>
    <row r="3" spans="1:28" ht="16.5" customHeight="1" x14ac:dyDescent="0.3">
      <c r="A3" s="137" t="s">
        <v>721</v>
      </c>
      <c r="B3" s="137"/>
      <c r="C3" s="137"/>
      <c r="D3" s="137"/>
      <c r="E3" s="144"/>
      <c r="F3" s="137"/>
      <c r="G3" s="144"/>
      <c r="H3" s="137"/>
      <c r="I3" s="137"/>
      <c r="J3" s="137"/>
      <c r="K3" s="137"/>
      <c r="L3" s="137"/>
      <c r="M3" s="137"/>
      <c r="N3" s="137"/>
      <c r="O3" s="137"/>
      <c r="P3" s="138"/>
      <c r="Q3" s="138"/>
      <c r="R3" s="143"/>
      <c r="W3" s="160"/>
    </row>
    <row r="4" spans="1:28" ht="15.75" customHeight="1" thickBot="1" x14ac:dyDescent="0.35">
      <c r="A4" s="140" t="s">
        <v>726</v>
      </c>
      <c r="B4" s="137"/>
      <c r="C4" s="137"/>
      <c r="D4" s="137"/>
      <c r="E4" s="144"/>
      <c r="F4" s="137"/>
      <c r="G4" s="144"/>
      <c r="H4" s="137"/>
      <c r="I4" s="137"/>
      <c r="J4" s="137"/>
      <c r="K4" s="137"/>
      <c r="L4" s="137"/>
      <c r="M4" s="137"/>
      <c r="N4" s="137"/>
      <c r="O4" s="137"/>
      <c r="P4" s="138"/>
      <c r="Q4" s="138"/>
      <c r="R4" s="143"/>
      <c r="W4" s="376">
        <f>+SUMIFS(Tabla2[Total],Tabla2[VENCIDA],"vencida")</f>
        <v>36383327.946199998</v>
      </c>
      <c r="AB4" s="159"/>
    </row>
    <row r="5" spans="1:28" ht="16.2" thickBot="1" x14ac:dyDescent="0.35">
      <c r="A5" s="144" t="s">
        <v>879</v>
      </c>
      <c r="B5" s="137"/>
      <c r="C5" s="137"/>
      <c r="D5" s="137"/>
      <c r="E5" s="144"/>
      <c r="F5" s="137"/>
      <c r="G5" s="144"/>
      <c r="H5" s="140"/>
      <c r="I5" s="140"/>
      <c r="J5" s="140"/>
      <c r="K5" s="140"/>
      <c r="L5" s="140"/>
      <c r="M5" s="137"/>
      <c r="N5" s="137"/>
      <c r="O5" s="137"/>
      <c r="P5" s="138" t="s">
        <v>722</v>
      </c>
      <c r="Q5" s="138"/>
      <c r="R5" s="143"/>
      <c r="W5" s="142">
        <v>45291</v>
      </c>
    </row>
    <row r="6" spans="1:28" x14ac:dyDescent="0.3">
      <c r="A6" t="s">
        <v>4</v>
      </c>
      <c r="B6" t="s">
        <v>140</v>
      </c>
      <c r="C6" t="s">
        <v>5</v>
      </c>
      <c r="D6" t="s">
        <v>102</v>
      </c>
      <c r="E6" s="145" t="s">
        <v>6</v>
      </c>
      <c r="F6" t="s">
        <v>3</v>
      </c>
      <c r="G6" s="145" t="s">
        <v>1</v>
      </c>
      <c r="H6" t="s">
        <v>2</v>
      </c>
      <c r="I6" t="s">
        <v>84</v>
      </c>
      <c r="J6" t="s">
        <v>841</v>
      </c>
      <c r="K6" t="s">
        <v>85</v>
      </c>
      <c r="L6" t="s">
        <v>87</v>
      </c>
      <c r="M6" t="s">
        <v>840</v>
      </c>
      <c r="N6" t="s">
        <v>89</v>
      </c>
      <c r="O6" t="s">
        <v>88</v>
      </c>
      <c r="P6" s="108" t="s">
        <v>86</v>
      </c>
      <c r="Q6" s="108" t="s">
        <v>7</v>
      </c>
      <c r="R6" s="139" t="s">
        <v>492</v>
      </c>
      <c r="S6" s="100" t="s">
        <v>653</v>
      </c>
      <c r="T6" s="139" t="s">
        <v>723</v>
      </c>
      <c r="U6" t="s">
        <v>724</v>
      </c>
      <c r="V6" t="s">
        <v>725</v>
      </c>
      <c r="W6" s="141" t="s">
        <v>727</v>
      </c>
    </row>
    <row r="7" spans="1:28" ht="15.6" x14ac:dyDescent="0.3">
      <c r="A7" s="20">
        <v>30</v>
      </c>
      <c r="B7" s="25">
        <v>0</v>
      </c>
      <c r="C7" s="25"/>
      <c r="D7" s="56" t="s">
        <v>107</v>
      </c>
      <c r="E7" s="426"/>
      <c r="F7" s="26" t="s">
        <v>401</v>
      </c>
      <c r="G7" s="426">
        <v>45261</v>
      </c>
      <c r="H7" s="35" t="s">
        <v>2314</v>
      </c>
      <c r="I7" s="21">
        <v>866000</v>
      </c>
      <c r="J7" s="21"/>
      <c r="K7" s="22">
        <v>0</v>
      </c>
      <c r="L7" s="23"/>
      <c r="M7" s="22">
        <v>0</v>
      </c>
      <c r="N7" s="74">
        <v>0</v>
      </c>
      <c r="O7" s="22">
        <v>0</v>
      </c>
      <c r="P7" s="21">
        <v>866000</v>
      </c>
      <c r="S7" s="108" t="b">
        <f>OR(COUNTIF(Tabla2[[#This Row],[PROVEEDOR]],"*"&amp;'Palabra no opera'!$A$2&amp;"*"))</f>
        <v>0</v>
      </c>
      <c r="T7" s="139">
        <f>+$W$5-Tabla2[[#This Row],[FECHA DE FACTURACIÓN]]</f>
        <v>30</v>
      </c>
      <c r="U7" t="str">
        <f>+IF(Tabla2[[#This Row],[dias de credito]]&gt;=Tabla2[[#This Row],[PLAZO Días]],"venc", "No venc")</f>
        <v>venc</v>
      </c>
      <c r="V7" t="str">
        <f>+IF(Tabla2[[#This Row],[FECHA DE PAGO]]&gt;0,"pagada","por pagar")</f>
        <v>por pagar</v>
      </c>
      <c r="W7" s="141" t="str">
        <f>+IF(AND(Tabla2[[#This Row],[venc]]="venc",Tabla2[[#This Row],[Columna1]]="por pagar"),"vencida","no")</f>
        <v>vencida</v>
      </c>
    </row>
    <row r="8" spans="1:28" ht="15.6" x14ac:dyDescent="0.3">
      <c r="A8" s="20">
        <v>30</v>
      </c>
      <c r="B8" s="25">
        <v>0</v>
      </c>
      <c r="C8" s="25"/>
      <c r="D8" s="56">
        <v>0</v>
      </c>
      <c r="E8" s="426"/>
      <c r="F8" s="26" t="s">
        <v>413</v>
      </c>
      <c r="G8" s="426">
        <v>45261</v>
      </c>
      <c r="H8" s="35" t="s">
        <v>2302</v>
      </c>
      <c r="I8" s="21">
        <v>1386600</v>
      </c>
      <c r="J8" s="21"/>
      <c r="K8" s="22">
        <v>0</v>
      </c>
      <c r="L8" s="23"/>
      <c r="M8" s="22">
        <v>0</v>
      </c>
      <c r="N8" s="74">
        <v>0</v>
      </c>
      <c r="O8" s="22">
        <v>0</v>
      </c>
      <c r="P8" s="21">
        <v>1386600</v>
      </c>
      <c r="S8" s="108" t="b">
        <f>OR(COUNTIF(Tabla2[[#This Row],[PROVEEDOR]],"*"&amp;'Palabra no opera'!$A$2&amp;"*"))</f>
        <v>0</v>
      </c>
      <c r="T8" s="139">
        <f>+$W$5-Tabla2[[#This Row],[FECHA DE FACTURACIÓN]]</f>
        <v>30</v>
      </c>
      <c r="U8" t="str">
        <f>+IF(Tabla2[[#This Row],[dias de credito]]&gt;=Tabla2[[#This Row],[PLAZO Días]],"venc", "No venc")</f>
        <v>venc</v>
      </c>
      <c r="V8" t="str">
        <f>+IF(Tabla2[[#This Row],[FECHA DE PAGO]]&gt;0,"pagada","por pagar")</f>
        <v>por pagar</v>
      </c>
      <c r="W8" s="141" t="str">
        <f>+IF(AND(Tabla2[[#This Row],[venc]]="venc",Tabla2[[#This Row],[Columna1]]="por pagar"),"vencida","no")</f>
        <v>vencida</v>
      </c>
    </row>
    <row r="9" spans="1:28" ht="15.6" hidden="1" x14ac:dyDescent="0.3">
      <c r="A9" s="20">
        <v>30</v>
      </c>
      <c r="B9" s="25">
        <v>1316890.8900000001</v>
      </c>
      <c r="C9" s="25"/>
      <c r="D9" s="56" t="s">
        <v>188</v>
      </c>
      <c r="E9" s="426"/>
      <c r="F9" s="26" t="s">
        <v>17</v>
      </c>
      <c r="G9" s="426">
        <v>45274</v>
      </c>
      <c r="H9" s="35" t="s">
        <v>2248</v>
      </c>
      <c r="I9" s="21">
        <v>120904</v>
      </c>
      <c r="J9" s="21"/>
      <c r="K9" s="22">
        <v>22971.760000000002</v>
      </c>
      <c r="L9" s="23"/>
      <c r="M9" s="22">
        <v>0</v>
      </c>
      <c r="N9" s="74">
        <v>0</v>
      </c>
      <c r="O9" s="22">
        <v>0</v>
      </c>
      <c r="P9" s="21">
        <v>143875.76</v>
      </c>
      <c r="S9" s="108" t="b">
        <f>OR(COUNTIF(Tabla2[[#This Row],[PROVEEDOR]],"*"&amp;'Palabra no opera'!$A$2&amp;"*"))</f>
        <v>0</v>
      </c>
      <c r="T9" s="139">
        <f>+$W$5-Tabla2[[#This Row],[FECHA DE FACTURACIÓN]]</f>
        <v>17</v>
      </c>
      <c r="U9" t="str">
        <f>+IF(Tabla2[[#This Row],[dias de credito]]&gt;=Tabla2[[#This Row],[PLAZO Días]],"venc", "No venc")</f>
        <v>No venc</v>
      </c>
      <c r="V9" t="str">
        <f>+IF(Tabla2[[#This Row],[FECHA DE PAGO]]&gt;0,"pagada","por pagar")</f>
        <v>por pagar</v>
      </c>
      <c r="W9" s="141" t="str">
        <f>+IF(AND(Tabla2[[#This Row],[venc]]="venc",Tabla2[[#This Row],[Columna1]]="por pagar"),"vencida","no")</f>
        <v>no</v>
      </c>
    </row>
    <row r="10" spans="1:28" ht="15.6" x14ac:dyDescent="0.3">
      <c r="A10" s="20">
        <v>30</v>
      </c>
      <c r="B10" s="25">
        <v>1316890.8900000001</v>
      </c>
      <c r="C10" s="25"/>
      <c r="D10" s="56" t="s">
        <v>188</v>
      </c>
      <c r="E10" s="426"/>
      <c r="F10" s="26" t="s">
        <v>17</v>
      </c>
      <c r="G10" s="426">
        <v>45261</v>
      </c>
      <c r="H10" s="35" t="s">
        <v>2209</v>
      </c>
      <c r="I10" s="21">
        <v>537354</v>
      </c>
      <c r="J10" s="21"/>
      <c r="K10" s="22">
        <v>0</v>
      </c>
      <c r="L10" s="23"/>
      <c r="M10" s="22">
        <v>0</v>
      </c>
      <c r="N10" s="74">
        <v>0</v>
      </c>
      <c r="O10" s="22">
        <v>0</v>
      </c>
      <c r="P10" s="21">
        <v>537354</v>
      </c>
      <c r="S10" s="108" t="b">
        <f>OR(COUNTIF(Tabla2[[#This Row],[PROVEEDOR]],"*"&amp;'Palabra no opera'!$A$2&amp;"*"))</f>
        <v>0</v>
      </c>
      <c r="T10" s="139">
        <f>+$W$5-Tabla2[[#This Row],[FECHA DE FACTURACIÓN]]</f>
        <v>30</v>
      </c>
      <c r="U10" t="str">
        <f>+IF(Tabla2[[#This Row],[dias de credito]]&gt;=Tabla2[[#This Row],[PLAZO Días]],"venc", "No venc")</f>
        <v>venc</v>
      </c>
      <c r="V10" t="str">
        <f>+IF(Tabla2[[#This Row],[FECHA DE PAGO]]&gt;0,"pagada","por pagar")</f>
        <v>por pagar</v>
      </c>
      <c r="W10" s="141" t="str">
        <f>+IF(AND(Tabla2[[#This Row],[venc]]="venc",Tabla2[[#This Row],[Columna1]]="por pagar"),"vencida","no")</f>
        <v>vencida</v>
      </c>
    </row>
    <row r="11" spans="1:28" ht="15.6" hidden="1" x14ac:dyDescent="0.3">
      <c r="A11" s="20">
        <v>30</v>
      </c>
      <c r="B11" s="25">
        <v>0</v>
      </c>
      <c r="C11" s="25"/>
      <c r="D11" s="56" t="s">
        <v>107</v>
      </c>
      <c r="E11" s="426">
        <v>45291</v>
      </c>
      <c r="F11" s="26" t="s">
        <v>1194</v>
      </c>
      <c r="G11" s="426">
        <v>45290</v>
      </c>
      <c r="H11" s="35" t="s">
        <v>2316</v>
      </c>
      <c r="I11" s="21">
        <v>690000</v>
      </c>
      <c r="J11" s="21"/>
      <c r="K11" s="22">
        <v>0</v>
      </c>
      <c r="L11" s="23"/>
      <c r="M11" s="22">
        <v>0</v>
      </c>
      <c r="N11" s="74">
        <v>0</v>
      </c>
      <c r="O11" s="22">
        <v>0</v>
      </c>
      <c r="P11" s="21">
        <v>690000</v>
      </c>
      <c r="S11" s="108" t="b">
        <f>OR(COUNTIF(Tabla2[[#This Row],[PROVEEDOR]],"*"&amp;'Palabra no opera'!$A$2&amp;"*"))</f>
        <v>0</v>
      </c>
      <c r="T11" s="139">
        <f>+$W$5-Tabla2[[#This Row],[FECHA DE FACTURACIÓN]]</f>
        <v>1</v>
      </c>
      <c r="U11" t="str">
        <f>+IF(Tabla2[[#This Row],[dias de credito]]&gt;=Tabla2[[#This Row],[PLAZO Días]],"venc", "No venc")</f>
        <v>No venc</v>
      </c>
      <c r="V11" t="str">
        <f>+IF(Tabla2[[#This Row],[FECHA DE PAGO]]&gt;0,"pagada","por pagar")</f>
        <v>pagada</v>
      </c>
      <c r="W11" s="141" t="str">
        <f>+IF(AND(Tabla2[[#This Row],[venc]]="venc",Tabla2[[#This Row],[Columna1]]="por pagar"),"vencida","no")</f>
        <v>no</v>
      </c>
    </row>
    <row r="12" spans="1:28" ht="15.6" hidden="1" x14ac:dyDescent="0.3">
      <c r="A12" s="20">
        <v>30</v>
      </c>
      <c r="B12" s="25">
        <v>0</v>
      </c>
      <c r="C12" s="25"/>
      <c r="D12" s="56" t="s">
        <v>107</v>
      </c>
      <c r="E12" s="426">
        <v>45290</v>
      </c>
      <c r="F12" s="26" t="s">
        <v>1194</v>
      </c>
      <c r="G12" s="426">
        <v>45289</v>
      </c>
      <c r="H12" s="35" t="s">
        <v>2315</v>
      </c>
      <c r="I12" s="21">
        <v>1345000</v>
      </c>
      <c r="J12" s="21"/>
      <c r="K12" s="22">
        <v>0</v>
      </c>
      <c r="L12" s="23"/>
      <c r="M12" s="22">
        <v>0</v>
      </c>
      <c r="N12" s="74">
        <v>0</v>
      </c>
      <c r="O12" s="22">
        <v>0</v>
      </c>
      <c r="P12" s="21">
        <v>1345000</v>
      </c>
      <c r="S12" s="108" t="b">
        <f>OR(COUNTIF(Tabla2[[#This Row],[PROVEEDOR]],"*"&amp;'Palabra no opera'!$A$2&amp;"*"))</f>
        <v>0</v>
      </c>
      <c r="T12" s="139">
        <f>+$W$5-Tabla2[[#This Row],[FECHA DE FACTURACIÓN]]</f>
        <v>2</v>
      </c>
      <c r="U12" t="str">
        <f>+IF(Tabla2[[#This Row],[dias de credito]]&gt;=Tabla2[[#This Row],[PLAZO Días]],"venc", "No venc")</f>
        <v>No venc</v>
      </c>
      <c r="V12" t="str">
        <f>+IF(Tabla2[[#This Row],[FECHA DE PAGO]]&gt;0,"pagada","por pagar")</f>
        <v>pagada</v>
      </c>
      <c r="W12" s="141" t="str">
        <f>+IF(AND(Tabla2[[#This Row],[venc]]="venc",Tabla2[[#This Row],[Columna1]]="por pagar"),"vencida","no")</f>
        <v>no</v>
      </c>
    </row>
    <row r="13" spans="1:28" ht="15.6" hidden="1" x14ac:dyDescent="0.3">
      <c r="A13" s="20">
        <v>0</v>
      </c>
      <c r="B13" s="25">
        <v>0</v>
      </c>
      <c r="C13" s="25"/>
      <c r="D13" s="56">
        <v>0</v>
      </c>
      <c r="E13" s="426">
        <v>45289</v>
      </c>
      <c r="F13" s="26" t="s">
        <v>1083</v>
      </c>
      <c r="G13" s="426">
        <v>45289</v>
      </c>
      <c r="H13" s="35" t="s">
        <v>2210</v>
      </c>
      <c r="I13" s="21">
        <v>245000</v>
      </c>
      <c r="J13" s="21"/>
      <c r="K13" s="22">
        <v>0</v>
      </c>
      <c r="L13" s="23"/>
      <c r="M13" s="22">
        <v>0</v>
      </c>
      <c r="N13" s="74">
        <v>0</v>
      </c>
      <c r="O13" s="22">
        <v>0</v>
      </c>
      <c r="P13" s="21">
        <v>245000</v>
      </c>
      <c r="S13" s="108" t="b">
        <f>OR(COUNTIF(Tabla2[[#This Row],[PROVEEDOR]],"*"&amp;'Palabra no opera'!$A$2&amp;"*"))</f>
        <v>1</v>
      </c>
      <c r="T13" s="139">
        <f>+$W$5-Tabla2[[#This Row],[FECHA DE FACTURACIÓN]]</f>
        <v>2</v>
      </c>
      <c r="U13" t="str">
        <f>+IF(Tabla2[[#This Row],[dias de credito]]&gt;=Tabla2[[#This Row],[PLAZO Días]],"venc", "No venc")</f>
        <v>venc</v>
      </c>
      <c r="V13" t="str">
        <f>+IF(Tabla2[[#This Row],[FECHA DE PAGO]]&gt;0,"pagada","por pagar")</f>
        <v>pagada</v>
      </c>
      <c r="W13" s="141" t="str">
        <f>+IF(AND(Tabla2[[#This Row],[venc]]="venc",Tabla2[[#This Row],[Columna1]]="por pagar"),"vencida","no")</f>
        <v>no</v>
      </c>
    </row>
    <row r="14" spans="1:28" ht="15.6" hidden="1" x14ac:dyDescent="0.3">
      <c r="A14" s="20">
        <v>30</v>
      </c>
      <c r="B14" s="25">
        <v>0</v>
      </c>
      <c r="C14" s="25"/>
      <c r="D14" s="56">
        <v>0</v>
      </c>
      <c r="E14" s="426">
        <v>45289</v>
      </c>
      <c r="F14" s="26" t="s">
        <v>2317</v>
      </c>
      <c r="G14" s="426">
        <v>45289</v>
      </c>
      <c r="H14" s="35" t="s">
        <v>2318</v>
      </c>
      <c r="I14" s="21">
        <v>1981000</v>
      </c>
      <c r="J14" s="21"/>
      <c r="K14" s="22"/>
      <c r="L14" s="23"/>
      <c r="M14" s="22">
        <v>0</v>
      </c>
      <c r="N14" s="74">
        <v>2.5000000000000001E-2</v>
      </c>
      <c r="O14" s="22">
        <v>49525</v>
      </c>
      <c r="P14" s="21">
        <v>1931475</v>
      </c>
      <c r="S14" s="108" t="b">
        <f>OR(COUNTIF(Tabla2[[#This Row],[PROVEEDOR]],"*"&amp;'Palabra no opera'!$A$2&amp;"*"))</f>
        <v>0</v>
      </c>
      <c r="T14" s="139">
        <f>+$W$5-Tabla2[[#This Row],[FECHA DE FACTURACIÓN]]</f>
        <v>2</v>
      </c>
      <c r="U14" t="str">
        <f>+IF(Tabla2[[#This Row],[dias de credito]]&gt;=Tabla2[[#This Row],[PLAZO Días]],"venc", "No venc")</f>
        <v>No venc</v>
      </c>
      <c r="V14" t="str">
        <f>+IF(Tabla2[[#This Row],[FECHA DE PAGO]]&gt;0,"pagada","por pagar")</f>
        <v>pagada</v>
      </c>
      <c r="W14" s="141" t="str">
        <f>+IF(AND(Tabla2[[#This Row],[venc]]="venc",Tabla2[[#This Row],[Columna1]]="por pagar"),"vencida","no")</f>
        <v>no</v>
      </c>
    </row>
    <row r="15" spans="1:28" ht="15.6" hidden="1" x14ac:dyDescent="0.3">
      <c r="A15" s="20">
        <v>30</v>
      </c>
      <c r="B15" s="25">
        <v>27189617.395</v>
      </c>
      <c r="C15" s="25"/>
      <c r="D15" s="56" t="s">
        <v>686</v>
      </c>
      <c r="E15" s="426">
        <v>45288</v>
      </c>
      <c r="F15" s="26" t="s">
        <v>77</v>
      </c>
      <c r="G15" s="426">
        <v>45288</v>
      </c>
      <c r="H15" s="35" t="s">
        <v>2321</v>
      </c>
      <c r="I15" s="21">
        <v>-5378151</v>
      </c>
      <c r="J15" s="21"/>
      <c r="K15" s="22">
        <v>-1021848.6900000001</v>
      </c>
      <c r="L15" s="23"/>
      <c r="M15" s="22">
        <v>0</v>
      </c>
      <c r="N15" s="74">
        <v>0</v>
      </c>
      <c r="O15" s="22">
        <v>0</v>
      </c>
      <c r="P15" s="21">
        <v>-6399999.6900000004</v>
      </c>
      <c r="S15" s="108" t="b">
        <f>OR(COUNTIF(Tabla2[[#This Row],[PROVEEDOR]],"*"&amp;'Palabra no opera'!$A$2&amp;"*"))</f>
        <v>0</v>
      </c>
      <c r="T15" s="139">
        <f>+$W$5-Tabla2[[#This Row],[FECHA DE FACTURACIÓN]]</f>
        <v>3</v>
      </c>
      <c r="U15" t="str">
        <f>+IF(Tabla2[[#This Row],[dias de credito]]&gt;=Tabla2[[#This Row],[PLAZO Días]],"venc", "No venc")</f>
        <v>No venc</v>
      </c>
      <c r="V15" t="str">
        <f>+IF(Tabla2[[#This Row],[FECHA DE PAGO]]&gt;0,"pagada","por pagar")</f>
        <v>pagada</v>
      </c>
      <c r="W15" s="141" t="str">
        <f>+IF(AND(Tabla2[[#This Row],[venc]]="venc",Tabla2[[#This Row],[Columna1]]="por pagar"),"vencida","no")</f>
        <v>no</v>
      </c>
    </row>
    <row r="16" spans="1:28" ht="15.6" hidden="1" x14ac:dyDescent="0.3">
      <c r="A16" s="20">
        <v>30</v>
      </c>
      <c r="B16" s="25">
        <v>0</v>
      </c>
      <c r="C16" s="25"/>
      <c r="D16" s="56">
        <v>0</v>
      </c>
      <c r="E16" s="426">
        <v>45288</v>
      </c>
      <c r="F16" s="26" t="s">
        <v>1736</v>
      </c>
      <c r="G16" s="426">
        <v>45288</v>
      </c>
      <c r="H16" s="35" t="s">
        <v>2310</v>
      </c>
      <c r="I16" s="21">
        <v>248000</v>
      </c>
      <c r="J16" s="21"/>
      <c r="K16" s="22">
        <v>0</v>
      </c>
      <c r="L16" s="23"/>
      <c r="M16" s="22">
        <v>0</v>
      </c>
      <c r="N16" s="74">
        <v>0</v>
      </c>
      <c r="O16" s="22">
        <v>0</v>
      </c>
      <c r="P16" s="21">
        <v>248000</v>
      </c>
      <c r="S16" s="108" t="b">
        <f>OR(COUNTIF(Tabla2[[#This Row],[PROVEEDOR]],"*"&amp;'Palabra no opera'!$A$2&amp;"*"))</f>
        <v>0</v>
      </c>
      <c r="T16" s="139">
        <f>+$W$5-Tabla2[[#This Row],[FECHA DE FACTURACIÓN]]</f>
        <v>3</v>
      </c>
      <c r="U16" t="str">
        <f>+IF(Tabla2[[#This Row],[dias de credito]]&gt;=Tabla2[[#This Row],[PLAZO Días]],"venc", "No venc")</f>
        <v>No venc</v>
      </c>
      <c r="V16" t="str">
        <f>+IF(Tabla2[[#This Row],[FECHA DE PAGO]]&gt;0,"pagada","por pagar")</f>
        <v>pagada</v>
      </c>
      <c r="W16" s="141" t="str">
        <f>+IF(AND(Tabla2[[#This Row],[venc]]="venc",Tabla2[[#This Row],[Columna1]]="por pagar"),"vencida","no")</f>
        <v>no</v>
      </c>
    </row>
    <row r="17" spans="1:23" ht="15.6" hidden="1" x14ac:dyDescent="0.3">
      <c r="A17" s="20">
        <v>30</v>
      </c>
      <c r="B17" s="25">
        <v>0</v>
      </c>
      <c r="C17" s="25"/>
      <c r="D17" s="56" t="s">
        <v>107</v>
      </c>
      <c r="E17" s="426">
        <v>45288</v>
      </c>
      <c r="F17" s="26" t="s">
        <v>390</v>
      </c>
      <c r="G17" s="426">
        <v>45288</v>
      </c>
      <c r="H17" s="35"/>
      <c r="I17" s="21">
        <v>1303050</v>
      </c>
      <c r="J17" s="21"/>
      <c r="K17" s="22">
        <v>0</v>
      </c>
      <c r="L17" s="23"/>
      <c r="M17" s="22">
        <v>0</v>
      </c>
      <c r="N17" s="74">
        <v>0</v>
      </c>
      <c r="O17" s="22">
        <v>0</v>
      </c>
      <c r="P17" s="21">
        <v>1303050</v>
      </c>
      <c r="S17" s="108" t="b">
        <f>OR(COUNTIF(Tabla2[[#This Row],[PROVEEDOR]],"*"&amp;'Palabra no opera'!$A$2&amp;"*"))</f>
        <v>0</v>
      </c>
      <c r="T17" s="139">
        <f>+$W$5-Tabla2[[#This Row],[FECHA DE FACTURACIÓN]]</f>
        <v>3</v>
      </c>
      <c r="U17" t="str">
        <f>+IF(Tabla2[[#This Row],[dias de credito]]&gt;=Tabla2[[#This Row],[PLAZO Días]],"venc", "No venc")</f>
        <v>No venc</v>
      </c>
      <c r="V17" t="str">
        <f>+IF(Tabla2[[#This Row],[FECHA DE PAGO]]&gt;0,"pagada","por pagar")</f>
        <v>pagada</v>
      </c>
      <c r="W17" s="141" t="str">
        <f>+IF(AND(Tabla2[[#This Row],[venc]]="venc",Tabla2[[#This Row],[Columna1]]="por pagar"),"vencida","no")</f>
        <v>no</v>
      </c>
    </row>
    <row r="18" spans="1:23" ht="15.6" hidden="1" x14ac:dyDescent="0.3">
      <c r="A18" s="20">
        <v>30</v>
      </c>
      <c r="B18" s="25">
        <v>0</v>
      </c>
      <c r="C18" s="25"/>
      <c r="D18" s="56" t="s">
        <v>2093</v>
      </c>
      <c r="E18" s="426">
        <v>45288</v>
      </c>
      <c r="F18" s="26" t="s">
        <v>2094</v>
      </c>
      <c r="G18" s="426">
        <v>45287</v>
      </c>
      <c r="H18" s="35" t="s">
        <v>2297</v>
      </c>
      <c r="I18" s="21">
        <v>2280672</v>
      </c>
      <c r="J18" s="21"/>
      <c r="K18" s="22">
        <v>433327.68</v>
      </c>
      <c r="L18" s="23"/>
      <c r="M18" s="22">
        <v>0</v>
      </c>
      <c r="N18" s="74">
        <v>2.5000000000000001E-2</v>
      </c>
      <c r="O18" s="22">
        <v>57016.800000000003</v>
      </c>
      <c r="P18" s="21">
        <v>2656982.8800000004</v>
      </c>
      <c r="S18" s="108" t="b">
        <f>OR(COUNTIF(Tabla2[[#This Row],[PROVEEDOR]],"*"&amp;'Palabra no opera'!$A$2&amp;"*"))</f>
        <v>0</v>
      </c>
      <c r="T18" s="139">
        <f>+$W$5-Tabla2[[#This Row],[FECHA DE FACTURACIÓN]]</f>
        <v>4</v>
      </c>
      <c r="U18" t="str">
        <f>+IF(Tabla2[[#This Row],[dias de credito]]&gt;=Tabla2[[#This Row],[PLAZO Días]],"venc", "No venc")</f>
        <v>No venc</v>
      </c>
      <c r="V18" t="str">
        <f>+IF(Tabla2[[#This Row],[FECHA DE PAGO]]&gt;0,"pagada","por pagar")</f>
        <v>pagada</v>
      </c>
      <c r="W18" s="141" t="str">
        <f>+IF(AND(Tabla2[[#This Row],[venc]]="venc",Tabla2[[#This Row],[Columna1]]="por pagar"),"vencida","no")</f>
        <v>no</v>
      </c>
    </row>
    <row r="19" spans="1:23" ht="15.6" hidden="1" x14ac:dyDescent="0.3">
      <c r="A19" s="20">
        <v>30</v>
      </c>
      <c r="B19" s="25">
        <v>0</v>
      </c>
      <c r="C19" s="25"/>
      <c r="D19" s="56" t="s">
        <v>277</v>
      </c>
      <c r="E19" s="426">
        <v>45288</v>
      </c>
      <c r="F19" s="26" t="s">
        <v>248</v>
      </c>
      <c r="G19" s="426">
        <v>45264</v>
      </c>
      <c r="H19" s="35" t="s">
        <v>2251</v>
      </c>
      <c r="I19" s="21">
        <v>1632998</v>
      </c>
      <c r="J19" s="21"/>
      <c r="K19" s="22">
        <v>310269.62</v>
      </c>
      <c r="L19" s="23"/>
      <c r="M19" s="22">
        <v>0</v>
      </c>
      <c r="N19" s="74">
        <v>0</v>
      </c>
      <c r="O19" s="22">
        <v>0</v>
      </c>
      <c r="P19" s="21">
        <v>1943267.62</v>
      </c>
      <c r="S19" s="108" t="b">
        <f>OR(COUNTIF(Tabla2[[#This Row],[PROVEEDOR]],"*"&amp;'Palabra no opera'!$A$2&amp;"*"))</f>
        <v>0</v>
      </c>
      <c r="T19" s="139">
        <f>+$W$5-Tabla2[[#This Row],[FECHA DE FACTURACIÓN]]</f>
        <v>27</v>
      </c>
      <c r="U19" t="str">
        <f>+IF(Tabla2[[#This Row],[dias de credito]]&gt;=Tabla2[[#This Row],[PLAZO Días]],"venc", "No venc")</f>
        <v>No venc</v>
      </c>
      <c r="V19" t="str">
        <f>+IF(Tabla2[[#This Row],[FECHA DE PAGO]]&gt;0,"pagada","por pagar")</f>
        <v>pagada</v>
      </c>
      <c r="W19" s="141" t="str">
        <f>+IF(AND(Tabla2[[#This Row],[venc]]="venc",Tabla2[[#This Row],[Columna1]]="por pagar"),"vencida","no")</f>
        <v>no</v>
      </c>
    </row>
    <row r="20" spans="1:23" ht="15.6" hidden="1" x14ac:dyDescent="0.3">
      <c r="A20" s="20">
        <v>30</v>
      </c>
      <c r="B20" s="25">
        <v>0</v>
      </c>
      <c r="C20" s="25"/>
      <c r="D20" s="56" t="s">
        <v>277</v>
      </c>
      <c r="E20" s="426">
        <v>45288</v>
      </c>
      <c r="F20" s="26" t="s">
        <v>248</v>
      </c>
      <c r="G20" s="426">
        <v>45261</v>
      </c>
      <c r="H20" s="35" t="s">
        <v>2250</v>
      </c>
      <c r="I20" s="21">
        <v>1979981</v>
      </c>
      <c r="J20" s="21"/>
      <c r="K20" s="22">
        <v>376196.39</v>
      </c>
      <c r="L20" s="23"/>
      <c r="M20" s="22">
        <v>0</v>
      </c>
      <c r="N20" s="74">
        <v>0</v>
      </c>
      <c r="O20" s="22">
        <v>0</v>
      </c>
      <c r="P20" s="21">
        <v>2356177.39</v>
      </c>
      <c r="S20" s="108" t="b">
        <f>OR(COUNTIF(Tabla2[[#This Row],[PROVEEDOR]],"*"&amp;'Palabra no opera'!$A$2&amp;"*"))</f>
        <v>0</v>
      </c>
      <c r="T20" s="139">
        <f>+$W$5-Tabla2[[#This Row],[FECHA DE FACTURACIÓN]]</f>
        <v>30</v>
      </c>
      <c r="U20" t="str">
        <f>+IF(Tabla2[[#This Row],[dias de credito]]&gt;=Tabla2[[#This Row],[PLAZO Días]],"venc", "No venc")</f>
        <v>venc</v>
      </c>
      <c r="V20" t="str">
        <f>+IF(Tabla2[[#This Row],[FECHA DE PAGO]]&gt;0,"pagada","por pagar")</f>
        <v>pagada</v>
      </c>
      <c r="W20" s="141" t="str">
        <f>+IF(AND(Tabla2[[#This Row],[venc]]="venc",Tabla2[[#This Row],[Columna1]]="por pagar"),"vencida","no")</f>
        <v>no</v>
      </c>
    </row>
    <row r="21" spans="1:23" ht="15.6" hidden="1" x14ac:dyDescent="0.3">
      <c r="A21" s="20">
        <v>30</v>
      </c>
      <c r="B21" s="25">
        <v>3669750</v>
      </c>
      <c r="C21" s="25"/>
      <c r="D21" s="56" t="s">
        <v>1082</v>
      </c>
      <c r="E21" s="426">
        <v>45288</v>
      </c>
      <c r="F21" s="26" t="s">
        <v>24</v>
      </c>
      <c r="G21" s="426">
        <v>45258</v>
      </c>
      <c r="H21" s="35" t="s">
        <v>2176</v>
      </c>
      <c r="I21" s="21">
        <v>898400</v>
      </c>
      <c r="J21" s="21"/>
      <c r="K21" s="22">
        <v>170696</v>
      </c>
      <c r="L21" s="23"/>
      <c r="M21" s="22">
        <v>0</v>
      </c>
      <c r="N21" s="74">
        <v>0</v>
      </c>
      <c r="O21" s="22">
        <v>0</v>
      </c>
      <c r="P21" s="21">
        <v>1069096</v>
      </c>
      <c r="S21" s="108" t="b">
        <f>OR(COUNTIF(Tabla2[[#This Row],[PROVEEDOR]],"*"&amp;'Palabra no opera'!$A$2&amp;"*"))</f>
        <v>0</v>
      </c>
      <c r="T21" s="139">
        <f>+$W$5-Tabla2[[#This Row],[FECHA DE FACTURACIÓN]]</f>
        <v>33</v>
      </c>
      <c r="U21" t="str">
        <f>+IF(Tabla2[[#This Row],[dias de credito]]&gt;=Tabla2[[#This Row],[PLAZO Días]],"venc", "No venc")</f>
        <v>venc</v>
      </c>
      <c r="V21" t="str">
        <f>+IF(Tabla2[[#This Row],[FECHA DE PAGO]]&gt;0,"pagada","por pagar")</f>
        <v>pagada</v>
      </c>
      <c r="W21" s="141" t="str">
        <f>+IF(AND(Tabla2[[#This Row],[venc]]="venc",Tabla2[[#This Row],[Columna1]]="por pagar"),"vencida","no")</f>
        <v>no</v>
      </c>
    </row>
    <row r="22" spans="1:23" ht="15.6" hidden="1" x14ac:dyDescent="0.3">
      <c r="A22" s="20">
        <v>30</v>
      </c>
      <c r="B22" s="25">
        <v>3669750</v>
      </c>
      <c r="C22" s="25"/>
      <c r="D22" s="56" t="s">
        <v>1082</v>
      </c>
      <c r="E22" s="426">
        <v>45288</v>
      </c>
      <c r="F22" s="26" t="s">
        <v>24</v>
      </c>
      <c r="G22" s="426">
        <v>45254</v>
      </c>
      <c r="H22" s="35" t="s">
        <v>2177</v>
      </c>
      <c r="I22" s="21">
        <v>2695200</v>
      </c>
      <c r="J22" s="21"/>
      <c r="K22" s="22">
        <v>512088</v>
      </c>
      <c r="L22" s="23"/>
      <c r="M22" s="22">
        <v>0</v>
      </c>
      <c r="N22" s="74">
        <v>2.5000000000000001E-2</v>
      </c>
      <c r="O22" s="22">
        <v>67380</v>
      </c>
      <c r="P22" s="21">
        <v>3139908</v>
      </c>
      <c r="S22" s="108" t="b">
        <f>OR(COUNTIF(Tabla2[[#This Row],[PROVEEDOR]],"*"&amp;'Palabra no opera'!$A$2&amp;"*"))</f>
        <v>0</v>
      </c>
      <c r="T22" s="139">
        <f>+$W$5-Tabla2[[#This Row],[FECHA DE FACTURACIÓN]]</f>
        <v>37</v>
      </c>
      <c r="U22" t="str">
        <f>+IF(Tabla2[[#This Row],[dias de credito]]&gt;=Tabla2[[#This Row],[PLAZO Días]],"venc", "No venc")</f>
        <v>venc</v>
      </c>
      <c r="V22" t="str">
        <f>+IF(Tabla2[[#This Row],[FECHA DE PAGO]]&gt;0,"pagada","por pagar")</f>
        <v>pagada</v>
      </c>
      <c r="W22" s="141" t="str">
        <f>+IF(AND(Tabla2[[#This Row],[venc]]="venc",Tabla2[[#This Row],[Columna1]]="por pagar"),"vencida","no")</f>
        <v>no</v>
      </c>
    </row>
    <row r="23" spans="1:23" ht="15.6" hidden="1" x14ac:dyDescent="0.3">
      <c r="A23" s="20">
        <v>30</v>
      </c>
      <c r="B23" s="25">
        <v>0</v>
      </c>
      <c r="C23" s="25"/>
      <c r="D23" s="56" t="s">
        <v>296</v>
      </c>
      <c r="E23" s="426">
        <v>45288</v>
      </c>
      <c r="F23" s="26" t="s">
        <v>281</v>
      </c>
      <c r="G23" s="426">
        <v>45253</v>
      </c>
      <c r="H23" s="35" t="s">
        <v>2237</v>
      </c>
      <c r="I23" s="21">
        <v>4760520</v>
      </c>
      <c r="J23" s="21">
        <v>2482280</v>
      </c>
      <c r="K23" s="22">
        <v>432865.6</v>
      </c>
      <c r="L23" s="23"/>
      <c r="M23" s="22">
        <v>0</v>
      </c>
      <c r="N23" s="74">
        <v>0</v>
      </c>
      <c r="O23" s="22">
        <v>0</v>
      </c>
      <c r="P23" s="21">
        <v>2711105.5999999996</v>
      </c>
      <c r="S23" s="108" t="b">
        <f>OR(COUNTIF(Tabla2[[#This Row],[PROVEEDOR]],"*"&amp;'Palabra no opera'!$A$2&amp;"*"))</f>
        <v>0</v>
      </c>
      <c r="T23" s="139">
        <f>+$W$5-Tabla2[[#This Row],[FECHA DE FACTURACIÓN]]</f>
        <v>38</v>
      </c>
      <c r="U23" t="str">
        <f>+IF(Tabla2[[#This Row],[dias de credito]]&gt;=Tabla2[[#This Row],[PLAZO Días]],"venc", "No venc")</f>
        <v>venc</v>
      </c>
      <c r="V23" t="str">
        <f>+IF(Tabla2[[#This Row],[FECHA DE PAGO]]&gt;0,"pagada","por pagar")</f>
        <v>pagada</v>
      </c>
      <c r="W23" s="141" t="str">
        <f>+IF(AND(Tabla2[[#This Row],[venc]]="venc",Tabla2[[#This Row],[Columna1]]="por pagar"),"vencida","no")</f>
        <v>no</v>
      </c>
    </row>
    <row r="24" spans="1:23" ht="15.6" hidden="1" x14ac:dyDescent="0.3">
      <c r="A24" s="20">
        <v>45</v>
      </c>
      <c r="B24" s="25">
        <v>15770594</v>
      </c>
      <c r="C24" s="25"/>
      <c r="D24" s="56" t="s">
        <v>594</v>
      </c>
      <c r="E24" s="426">
        <v>45288</v>
      </c>
      <c r="F24" s="26" t="s">
        <v>19</v>
      </c>
      <c r="G24" s="426">
        <v>45252</v>
      </c>
      <c r="H24" s="35" t="s">
        <v>2162</v>
      </c>
      <c r="I24" s="21">
        <v>2102085</v>
      </c>
      <c r="J24" s="21"/>
      <c r="K24" s="22">
        <v>399396.15</v>
      </c>
      <c r="L24" s="23"/>
      <c r="M24" s="22">
        <v>0</v>
      </c>
      <c r="N24" s="74">
        <v>0</v>
      </c>
      <c r="O24" s="22">
        <v>0</v>
      </c>
      <c r="P24" s="21">
        <v>2501481.15</v>
      </c>
      <c r="S24" s="108" t="b">
        <f>OR(COUNTIF(Tabla2[[#This Row],[PROVEEDOR]],"*"&amp;'Palabra no opera'!$A$2&amp;"*"))</f>
        <v>0</v>
      </c>
      <c r="T24" s="139">
        <f>+$W$5-Tabla2[[#This Row],[FECHA DE FACTURACIÓN]]</f>
        <v>39</v>
      </c>
      <c r="U24" t="str">
        <f>+IF(Tabla2[[#This Row],[dias de credito]]&gt;=Tabla2[[#This Row],[PLAZO Días]],"venc", "No venc")</f>
        <v>No venc</v>
      </c>
      <c r="V24" t="str">
        <f>+IF(Tabla2[[#This Row],[FECHA DE PAGO]]&gt;0,"pagada","por pagar")</f>
        <v>pagada</v>
      </c>
      <c r="W24" s="141" t="str">
        <f>+IF(AND(Tabla2[[#This Row],[venc]]="venc",Tabla2[[#This Row],[Columna1]]="por pagar"),"vencida","no")</f>
        <v>no</v>
      </c>
    </row>
    <row r="25" spans="1:23" ht="15.6" hidden="1" x14ac:dyDescent="0.3">
      <c r="A25" s="20">
        <v>30</v>
      </c>
      <c r="B25" s="25">
        <v>0</v>
      </c>
      <c r="C25" s="25"/>
      <c r="D25" s="56" t="s">
        <v>177</v>
      </c>
      <c r="E25" s="426">
        <v>45288</v>
      </c>
      <c r="F25" s="26" t="s">
        <v>1850</v>
      </c>
      <c r="G25" s="426">
        <v>45251</v>
      </c>
      <c r="H25" s="35" t="s">
        <v>2172</v>
      </c>
      <c r="I25" s="21">
        <v>756303</v>
      </c>
      <c r="J25" s="21"/>
      <c r="K25" s="22">
        <v>143697.57</v>
      </c>
      <c r="L25" s="23"/>
      <c r="M25" s="22">
        <v>0</v>
      </c>
      <c r="N25" s="74">
        <v>0</v>
      </c>
      <c r="O25" s="22">
        <v>0</v>
      </c>
      <c r="P25" s="21">
        <v>900000.57000000007</v>
      </c>
      <c r="S25" s="108" t="b">
        <f>OR(COUNTIF(Tabla2[[#This Row],[PROVEEDOR]],"*"&amp;'Palabra no opera'!$A$2&amp;"*"))</f>
        <v>0</v>
      </c>
      <c r="T25" s="139">
        <f>+$W$5-Tabla2[[#This Row],[FECHA DE FACTURACIÓN]]</f>
        <v>40</v>
      </c>
      <c r="U25" t="str">
        <f>+IF(Tabla2[[#This Row],[dias de credito]]&gt;=Tabla2[[#This Row],[PLAZO Días]],"venc", "No venc")</f>
        <v>venc</v>
      </c>
      <c r="V25" t="str">
        <f>+IF(Tabla2[[#This Row],[FECHA DE PAGO]]&gt;0,"pagada","por pagar")</f>
        <v>pagada</v>
      </c>
      <c r="W25" s="141" t="str">
        <f>+IF(AND(Tabla2[[#This Row],[venc]]="venc",Tabla2[[#This Row],[Columna1]]="por pagar"),"vencida","no")</f>
        <v>no</v>
      </c>
    </row>
    <row r="26" spans="1:23" ht="15.6" hidden="1" x14ac:dyDescent="0.3">
      <c r="A26" s="20">
        <v>45</v>
      </c>
      <c r="B26" s="25">
        <v>8072960</v>
      </c>
      <c r="C26" s="25"/>
      <c r="D26" s="56" t="s">
        <v>198</v>
      </c>
      <c r="E26" s="426">
        <v>45288</v>
      </c>
      <c r="F26" s="26" t="s">
        <v>10</v>
      </c>
      <c r="G26" s="426">
        <v>45247</v>
      </c>
      <c r="H26" s="35" t="s">
        <v>2158</v>
      </c>
      <c r="I26" s="21">
        <v>2800000</v>
      </c>
      <c r="J26" s="21"/>
      <c r="K26" s="22">
        <v>532000</v>
      </c>
      <c r="L26" s="23"/>
      <c r="M26" s="22">
        <v>0</v>
      </c>
      <c r="N26" s="74">
        <v>0</v>
      </c>
      <c r="O26" s="22">
        <v>0</v>
      </c>
      <c r="P26" s="21">
        <v>3332000</v>
      </c>
      <c r="S26" s="108" t="b">
        <f>OR(COUNTIF(Tabla2[[#This Row],[PROVEEDOR]],"*"&amp;'Palabra no opera'!$A$2&amp;"*"))</f>
        <v>0</v>
      </c>
      <c r="T26" s="139">
        <f>+$W$5-Tabla2[[#This Row],[FECHA DE FACTURACIÓN]]</f>
        <v>44</v>
      </c>
      <c r="U26" t="str">
        <f>+IF(Tabla2[[#This Row],[dias de credito]]&gt;=Tabla2[[#This Row],[PLAZO Días]],"venc", "No venc")</f>
        <v>No venc</v>
      </c>
      <c r="V26" t="str">
        <f>+IF(Tabla2[[#This Row],[FECHA DE PAGO]]&gt;0,"pagada","por pagar")</f>
        <v>pagada</v>
      </c>
      <c r="W26" s="141" t="str">
        <f>+IF(AND(Tabla2[[#This Row],[venc]]="venc",Tabla2[[#This Row],[Columna1]]="por pagar"),"vencida","no")</f>
        <v>no</v>
      </c>
    </row>
    <row r="27" spans="1:23" ht="15.6" hidden="1" x14ac:dyDescent="0.3">
      <c r="A27" s="20">
        <v>45</v>
      </c>
      <c r="B27" s="25">
        <v>8072960</v>
      </c>
      <c r="C27" s="25"/>
      <c r="D27" s="56" t="s">
        <v>198</v>
      </c>
      <c r="E27" s="426">
        <v>45288</v>
      </c>
      <c r="F27" s="26" t="s">
        <v>10</v>
      </c>
      <c r="G27" s="426">
        <v>45247</v>
      </c>
      <c r="H27" s="35" t="s">
        <v>2159</v>
      </c>
      <c r="I27" s="21">
        <v>380000</v>
      </c>
      <c r="J27" s="21"/>
      <c r="K27" s="22">
        <v>72200</v>
      </c>
      <c r="L27" s="23"/>
      <c r="M27" s="22">
        <v>0</v>
      </c>
      <c r="N27" s="74">
        <v>0</v>
      </c>
      <c r="O27" s="22">
        <v>0</v>
      </c>
      <c r="P27" s="21">
        <v>452200</v>
      </c>
      <c r="S27" s="108" t="b">
        <f>OR(COUNTIF(Tabla2[[#This Row],[PROVEEDOR]],"*"&amp;'Palabra no opera'!$A$2&amp;"*"))</f>
        <v>0</v>
      </c>
      <c r="T27" s="139">
        <f>+$W$5-Tabla2[[#This Row],[FECHA DE FACTURACIÓN]]</f>
        <v>44</v>
      </c>
      <c r="U27" t="str">
        <f>+IF(Tabla2[[#This Row],[dias de credito]]&gt;=Tabla2[[#This Row],[PLAZO Días]],"venc", "No venc")</f>
        <v>No venc</v>
      </c>
      <c r="V27" t="str">
        <f>+IF(Tabla2[[#This Row],[FECHA DE PAGO]]&gt;0,"pagada","por pagar")</f>
        <v>pagada</v>
      </c>
      <c r="W27" s="141" t="str">
        <f>+IF(AND(Tabla2[[#This Row],[venc]]="venc",Tabla2[[#This Row],[Columna1]]="por pagar"),"vencida","no")</f>
        <v>no</v>
      </c>
    </row>
    <row r="28" spans="1:23" ht="15.6" hidden="1" x14ac:dyDescent="0.3">
      <c r="A28" s="20">
        <v>30</v>
      </c>
      <c r="B28" s="25">
        <v>0</v>
      </c>
      <c r="C28" s="25"/>
      <c r="D28" s="56" t="s">
        <v>186</v>
      </c>
      <c r="E28" s="426">
        <v>45287</v>
      </c>
      <c r="F28" s="26" t="s">
        <v>76</v>
      </c>
      <c r="G28" s="426">
        <v>45286</v>
      </c>
      <c r="H28" s="35" t="s">
        <v>2296</v>
      </c>
      <c r="I28" s="21">
        <v>-6302521</v>
      </c>
      <c r="J28" s="21"/>
      <c r="K28" s="22">
        <v>-1197478.99</v>
      </c>
      <c r="L28" s="23"/>
      <c r="M28" s="22">
        <v>0</v>
      </c>
      <c r="N28" s="74">
        <v>0</v>
      </c>
      <c r="O28" s="22">
        <v>0</v>
      </c>
      <c r="P28" s="21">
        <v>-7499999.9900000002</v>
      </c>
      <c r="S28" s="108" t="b">
        <f>OR(COUNTIF(Tabla2[[#This Row],[PROVEEDOR]],"*"&amp;'Palabra no opera'!$A$2&amp;"*"))</f>
        <v>0</v>
      </c>
      <c r="T28" s="139">
        <f>+$W$5-Tabla2[[#This Row],[FECHA DE FACTURACIÓN]]</f>
        <v>5</v>
      </c>
      <c r="U28" t="str">
        <f>+IF(Tabla2[[#This Row],[dias de credito]]&gt;=Tabla2[[#This Row],[PLAZO Días]],"venc", "No venc")</f>
        <v>No venc</v>
      </c>
      <c r="V28" t="str">
        <f>+IF(Tabla2[[#This Row],[FECHA DE PAGO]]&gt;0,"pagada","por pagar")</f>
        <v>pagada</v>
      </c>
      <c r="W28" s="141" t="str">
        <f>+IF(AND(Tabla2[[#This Row],[venc]]="venc",Tabla2[[#This Row],[Columna1]]="por pagar"),"vencida","no")</f>
        <v>no</v>
      </c>
    </row>
    <row r="29" spans="1:23" ht="15.6" hidden="1" x14ac:dyDescent="0.3">
      <c r="A29" s="20">
        <v>30</v>
      </c>
      <c r="B29" s="25">
        <v>22881826.27</v>
      </c>
      <c r="C29" s="25"/>
      <c r="D29" s="56" t="s">
        <v>197</v>
      </c>
      <c r="E29" s="426">
        <v>45287</v>
      </c>
      <c r="F29" s="26" t="s">
        <v>9</v>
      </c>
      <c r="G29" s="426">
        <v>45261</v>
      </c>
      <c r="H29" s="35" t="s">
        <v>2292</v>
      </c>
      <c r="I29" s="21">
        <v>159664</v>
      </c>
      <c r="J29" s="21"/>
      <c r="K29" s="22">
        <v>30336.16</v>
      </c>
      <c r="L29" s="23"/>
      <c r="M29" s="22">
        <v>0</v>
      </c>
      <c r="N29" s="74">
        <v>0</v>
      </c>
      <c r="O29" s="22">
        <v>0</v>
      </c>
      <c r="P29" s="21">
        <v>190000.16</v>
      </c>
      <c r="S29" s="108" t="b">
        <f>OR(COUNTIF(Tabla2[[#This Row],[PROVEEDOR]],"*"&amp;'Palabra no opera'!$A$2&amp;"*"))</f>
        <v>0</v>
      </c>
      <c r="T29" s="139">
        <f>+$W$5-Tabla2[[#This Row],[FECHA DE FACTURACIÓN]]</f>
        <v>30</v>
      </c>
      <c r="U29" t="str">
        <f>+IF(Tabla2[[#This Row],[dias de credito]]&gt;=Tabla2[[#This Row],[PLAZO Días]],"venc", "No venc")</f>
        <v>venc</v>
      </c>
      <c r="V29" t="str">
        <f>+IF(Tabla2[[#This Row],[FECHA DE PAGO]]&gt;0,"pagada","por pagar")</f>
        <v>pagada</v>
      </c>
      <c r="W29" s="141" t="str">
        <f>+IF(AND(Tabla2[[#This Row],[venc]]="venc",Tabla2[[#This Row],[Columna1]]="por pagar"),"vencida","no")</f>
        <v>no</v>
      </c>
    </row>
    <row r="30" spans="1:23" ht="15.6" hidden="1" x14ac:dyDescent="0.3">
      <c r="A30" s="20">
        <v>30</v>
      </c>
      <c r="B30" s="25">
        <v>0</v>
      </c>
      <c r="C30" s="25"/>
      <c r="D30" s="56" t="s">
        <v>843</v>
      </c>
      <c r="E30" s="426">
        <v>45287</v>
      </c>
      <c r="F30" s="26" t="s">
        <v>809</v>
      </c>
      <c r="G30" s="426">
        <v>45252</v>
      </c>
      <c r="H30" s="35" t="s">
        <v>2181</v>
      </c>
      <c r="I30" s="21">
        <v>1071000</v>
      </c>
      <c r="J30" s="21"/>
      <c r="K30" s="22">
        <v>203490</v>
      </c>
      <c r="L30" s="23">
        <v>0.1</v>
      </c>
      <c r="M30" s="22">
        <v>107100</v>
      </c>
      <c r="N30" s="74">
        <v>0</v>
      </c>
      <c r="O30" s="22">
        <v>0</v>
      </c>
      <c r="P30" s="21">
        <v>1167390</v>
      </c>
      <c r="S30" s="108" t="b">
        <f>OR(COUNTIF(Tabla2[[#This Row],[PROVEEDOR]],"*"&amp;'Palabra no opera'!$A$2&amp;"*"))</f>
        <v>0</v>
      </c>
      <c r="T30" s="139">
        <f>+$W$5-Tabla2[[#This Row],[FECHA DE FACTURACIÓN]]</f>
        <v>39</v>
      </c>
      <c r="U30" t="str">
        <f>+IF(Tabla2[[#This Row],[dias de credito]]&gt;=Tabla2[[#This Row],[PLAZO Días]],"venc", "No venc")</f>
        <v>venc</v>
      </c>
      <c r="V30" t="str">
        <f>+IF(Tabla2[[#This Row],[FECHA DE PAGO]]&gt;0,"pagada","por pagar")</f>
        <v>pagada</v>
      </c>
      <c r="W30" s="141" t="str">
        <f>+IF(AND(Tabla2[[#This Row],[venc]]="venc",Tabla2[[#This Row],[Columna1]]="por pagar"),"vencida","no")</f>
        <v>no</v>
      </c>
    </row>
    <row r="31" spans="1:23" ht="15.6" hidden="1" x14ac:dyDescent="0.3">
      <c r="A31" s="20">
        <v>30</v>
      </c>
      <c r="B31" s="25">
        <v>0</v>
      </c>
      <c r="C31" s="25"/>
      <c r="D31" s="56" t="s">
        <v>186</v>
      </c>
      <c r="E31" s="426">
        <v>45287</v>
      </c>
      <c r="F31" s="26" t="s">
        <v>76</v>
      </c>
      <c r="G31" s="426">
        <v>45246</v>
      </c>
      <c r="H31" s="35" t="s">
        <v>2171</v>
      </c>
      <c r="I31" s="21">
        <v>16744527</v>
      </c>
      <c r="J31" s="21"/>
      <c r="K31" s="22">
        <v>3181460.13</v>
      </c>
      <c r="L31" s="23">
        <v>0.05</v>
      </c>
      <c r="M31" s="22">
        <v>837226.35000000009</v>
      </c>
      <c r="N31" s="74">
        <v>2.5000000000000001E-2</v>
      </c>
      <c r="O31" s="22">
        <v>418613.17500000005</v>
      </c>
      <c r="P31" s="21">
        <v>18670147.604999997</v>
      </c>
      <c r="S31" s="108" t="b">
        <f>OR(COUNTIF(Tabla2[[#This Row],[PROVEEDOR]],"*"&amp;'Palabra no opera'!$A$2&amp;"*"))</f>
        <v>0</v>
      </c>
      <c r="T31" s="139">
        <f>+$W$5-Tabla2[[#This Row],[FECHA DE FACTURACIÓN]]</f>
        <v>45</v>
      </c>
      <c r="U31" t="str">
        <f>+IF(Tabla2[[#This Row],[dias de credito]]&gt;=Tabla2[[#This Row],[PLAZO Días]],"venc", "No venc")</f>
        <v>venc</v>
      </c>
      <c r="V31" t="str">
        <f>+IF(Tabla2[[#This Row],[FECHA DE PAGO]]&gt;0,"pagada","por pagar")</f>
        <v>pagada</v>
      </c>
      <c r="W31" s="141" t="str">
        <f>+IF(AND(Tabla2[[#This Row],[venc]]="venc",Tabla2[[#This Row],[Columna1]]="por pagar"),"vencida","no")</f>
        <v>no</v>
      </c>
    </row>
    <row r="32" spans="1:23" ht="15.6" hidden="1" x14ac:dyDescent="0.3">
      <c r="A32" s="20">
        <v>30</v>
      </c>
      <c r="B32" s="25">
        <v>22881826.27</v>
      </c>
      <c r="C32" s="25"/>
      <c r="D32" s="56" t="s">
        <v>197</v>
      </c>
      <c r="E32" s="426">
        <v>45286</v>
      </c>
      <c r="F32" s="26" t="s">
        <v>9</v>
      </c>
      <c r="G32" s="426">
        <v>45281</v>
      </c>
      <c r="H32" s="35" t="s">
        <v>2261</v>
      </c>
      <c r="I32" s="21">
        <v>22815172</v>
      </c>
      <c r="J32" s="21"/>
      <c r="K32" s="22">
        <v>4334882.68</v>
      </c>
      <c r="L32" s="23">
        <v>0.08</v>
      </c>
      <c r="M32" s="22">
        <v>1825213.76</v>
      </c>
      <c r="N32" s="74">
        <v>2.5000000000000001E-2</v>
      </c>
      <c r="O32" s="22">
        <v>570379.30000000005</v>
      </c>
      <c r="P32" s="21">
        <v>24754461.619999997</v>
      </c>
      <c r="S32" s="108" t="b">
        <f>OR(COUNTIF(Tabla2[[#This Row],[PROVEEDOR]],"*"&amp;'Palabra no opera'!$A$2&amp;"*"))</f>
        <v>0</v>
      </c>
      <c r="T32" s="139">
        <f>+$W$5-Tabla2[[#This Row],[FECHA DE FACTURACIÓN]]</f>
        <v>10</v>
      </c>
      <c r="U32" t="str">
        <f>+IF(Tabla2[[#This Row],[dias de credito]]&gt;=Tabla2[[#This Row],[PLAZO Días]],"venc", "No venc")</f>
        <v>No venc</v>
      </c>
      <c r="V32" t="str">
        <f>+IF(Tabla2[[#This Row],[FECHA DE PAGO]]&gt;0,"pagada","por pagar")</f>
        <v>pagada</v>
      </c>
      <c r="W32" s="141" t="str">
        <f>+IF(AND(Tabla2[[#This Row],[venc]]="venc",Tabla2[[#This Row],[Columna1]]="por pagar"),"vencida","no")</f>
        <v>no</v>
      </c>
    </row>
    <row r="33" spans="1:23" ht="15.6" hidden="1" x14ac:dyDescent="0.3">
      <c r="A33" s="20">
        <v>30</v>
      </c>
      <c r="B33" s="25">
        <v>12030261.305</v>
      </c>
      <c r="C33" s="25"/>
      <c r="D33" s="56" t="s">
        <v>179</v>
      </c>
      <c r="E33" s="426">
        <v>45286</v>
      </c>
      <c r="F33" s="26" t="s">
        <v>12</v>
      </c>
      <c r="G33" s="426">
        <v>45254</v>
      </c>
      <c r="H33" s="35" t="s">
        <v>2173</v>
      </c>
      <c r="I33" s="21">
        <v>1260504</v>
      </c>
      <c r="J33" s="21"/>
      <c r="K33" s="22">
        <v>239495.76</v>
      </c>
      <c r="L33" s="23">
        <v>0.05</v>
      </c>
      <c r="M33" s="22">
        <v>63025.200000000004</v>
      </c>
      <c r="N33" s="74">
        <v>2.5000000000000001E-2</v>
      </c>
      <c r="O33" s="22">
        <v>31512.600000000002</v>
      </c>
      <c r="P33" s="21">
        <v>1405461.96</v>
      </c>
      <c r="S33" s="108" t="b">
        <f>OR(COUNTIF(Tabla2[[#This Row],[PROVEEDOR]],"*"&amp;'Palabra no opera'!$A$2&amp;"*"))</f>
        <v>0</v>
      </c>
      <c r="T33" s="139">
        <f>+$W$5-Tabla2[[#This Row],[FECHA DE FACTURACIÓN]]</f>
        <v>37</v>
      </c>
      <c r="U33" t="str">
        <f>+IF(Tabla2[[#This Row],[dias de credito]]&gt;=Tabla2[[#This Row],[PLAZO Días]],"venc", "No venc")</f>
        <v>venc</v>
      </c>
      <c r="V33" t="str">
        <f>+IF(Tabla2[[#This Row],[FECHA DE PAGO]]&gt;0,"pagada","por pagar")</f>
        <v>pagada</v>
      </c>
      <c r="W33" s="141" t="str">
        <f>+IF(AND(Tabla2[[#This Row],[venc]]="venc",Tabla2[[#This Row],[Columna1]]="por pagar"),"vencida","no")</f>
        <v>no</v>
      </c>
    </row>
    <row r="34" spans="1:23" ht="15.6" hidden="1" x14ac:dyDescent="0.3">
      <c r="A34" s="20">
        <v>30</v>
      </c>
      <c r="B34" s="25">
        <v>12030261.305</v>
      </c>
      <c r="C34" s="25"/>
      <c r="D34" s="56" t="s">
        <v>179</v>
      </c>
      <c r="E34" s="426">
        <v>45286</v>
      </c>
      <c r="F34" s="26" t="s">
        <v>12</v>
      </c>
      <c r="G34" s="426">
        <v>45254</v>
      </c>
      <c r="H34" s="35" t="s">
        <v>2174</v>
      </c>
      <c r="I34" s="21">
        <v>21214285</v>
      </c>
      <c r="J34" s="21"/>
      <c r="K34" s="22">
        <v>4030714.15</v>
      </c>
      <c r="L34" s="23">
        <v>0.05</v>
      </c>
      <c r="M34" s="22">
        <v>1060714.25</v>
      </c>
      <c r="N34" s="74">
        <v>2.5000000000000001E-2</v>
      </c>
      <c r="O34" s="22">
        <v>530357.125</v>
      </c>
      <c r="P34" s="21">
        <v>23653927.774999999</v>
      </c>
      <c r="S34" s="108" t="b">
        <f>OR(COUNTIF(Tabla2[[#This Row],[PROVEEDOR]],"*"&amp;'Palabra no opera'!$A$2&amp;"*"))</f>
        <v>0</v>
      </c>
      <c r="T34" s="139">
        <f>+$W$5-Tabla2[[#This Row],[FECHA DE FACTURACIÓN]]</f>
        <v>37</v>
      </c>
      <c r="U34" t="str">
        <f>+IF(Tabla2[[#This Row],[dias de credito]]&gt;=Tabla2[[#This Row],[PLAZO Días]],"venc", "No venc")</f>
        <v>venc</v>
      </c>
      <c r="V34" t="str">
        <f>+IF(Tabla2[[#This Row],[FECHA DE PAGO]]&gt;0,"pagada","por pagar")</f>
        <v>pagada</v>
      </c>
      <c r="W34" s="141" t="str">
        <f>+IF(AND(Tabla2[[#This Row],[venc]]="venc",Tabla2[[#This Row],[Columna1]]="por pagar"),"vencida","no")</f>
        <v>no</v>
      </c>
    </row>
    <row r="35" spans="1:23" ht="15.6" hidden="1" x14ac:dyDescent="0.3">
      <c r="A35" s="20">
        <v>30</v>
      </c>
      <c r="B35" s="25">
        <v>12030261.305</v>
      </c>
      <c r="C35" s="25"/>
      <c r="D35" s="56" t="s">
        <v>179</v>
      </c>
      <c r="E35" s="426">
        <v>45286</v>
      </c>
      <c r="F35" s="26" t="s">
        <v>12</v>
      </c>
      <c r="G35" s="426">
        <v>45254</v>
      </c>
      <c r="H35" s="35" t="s">
        <v>2175</v>
      </c>
      <c r="I35" s="21">
        <v>49989</v>
      </c>
      <c r="J35" s="21"/>
      <c r="K35" s="22">
        <v>0</v>
      </c>
      <c r="L35" s="23"/>
      <c r="M35" s="22">
        <v>0</v>
      </c>
      <c r="N35" s="74">
        <v>0</v>
      </c>
      <c r="O35" s="22">
        <v>0</v>
      </c>
      <c r="P35" s="21">
        <v>49989</v>
      </c>
      <c r="S35" s="108" t="b">
        <f>OR(COUNTIF(Tabla2[[#This Row],[PROVEEDOR]],"*"&amp;'Palabra no opera'!$A$2&amp;"*"))</f>
        <v>0</v>
      </c>
      <c r="T35" s="139">
        <f>+$W$5-Tabla2[[#This Row],[FECHA DE FACTURACIÓN]]</f>
        <v>37</v>
      </c>
      <c r="U35" t="str">
        <f>+IF(Tabla2[[#This Row],[dias de credito]]&gt;=Tabla2[[#This Row],[PLAZO Días]],"venc", "No venc")</f>
        <v>venc</v>
      </c>
      <c r="V35" t="str">
        <f>+IF(Tabla2[[#This Row],[FECHA DE PAGO]]&gt;0,"pagada","por pagar")</f>
        <v>pagada</v>
      </c>
      <c r="W35" s="141" t="str">
        <f>+IF(AND(Tabla2[[#This Row],[venc]]="venc",Tabla2[[#This Row],[Columna1]]="por pagar"),"vencida","no")</f>
        <v>no</v>
      </c>
    </row>
    <row r="36" spans="1:23" ht="15.6" hidden="1" x14ac:dyDescent="0.3">
      <c r="A36" s="20">
        <v>30</v>
      </c>
      <c r="B36" s="25">
        <v>17870934.149999999</v>
      </c>
      <c r="C36" s="25"/>
      <c r="D36" s="56" t="s">
        <v>182</v>
      </c>
      <c r="E36" s="426">
        <v>45286</v>
      </c>
      <c r="F36" s="26" t="s">
        <v>18</v>
      </c>
      <c r="G36" s="426">
        <v>45254</v>
      </c>
      <c r="H36" s="35" t="s">
        <v>2170</v>
      </c>
      <c r="I36" s="21">
        <v>3212390</v>
      </c>
      <c r="J36" s="21"/>
      <c r="K36" s="22">
        <v>610354.1</v>
      </c>
      <c r="L36" s="23"/>
      <c r="M36" s="22">
        <v>0</v>
      </c>
      <c r="N36" s="74">
        <v>2.5000000000000001E-2</v>
      </c>
      <c r="O36" s="22">
        <v>80309.75</v>
      </c>
      <c r="P36" s="21">
        <v>3742434.35</v>
      </c>
      <c r="S36" s="108" t="b">
        <f>OR(COUNTIF(Tabla2[[#This Row],[PROVEEDOR]],"*"&amp;'Palabra no opera'!$A$2&amp;"*"))</f>
        <v>0</v>
      </c>
      <c r="T36" s="139">
        <f>+$W$5-Tabla2[[#This Row],[FECHA DE FACTURACIÓN]]</f>
        <v>37</v>
      </c>
      <c r="U36" t="str">
        <f>+IF(Tabla2[[#This Row],[dias de credito]]&gt;=Tabla2[[#This Row],[PLAZO Días]],"venc", "No venc")</f>
        <v>venc</v>
      </c>
      <c r="V36" t="str">
        <f>+IF(Tabla2[[#This Row],[FECHA DE PAGO]]&gt;0,"pagada","por pagar")</f>
        <v>pagada</v>
      </c>
      <c r="W36" s="141" t="str">
        <f>+IF(AND(Tabla2[[#This Row],[venc]]="venc",Tabla2[[#This Row],[Columna1]]="por pagar"),"vencida","no")</f>
        <v>no</v>
      </c>
    </row>
    <row r="37" spans="1:23" ht="15.6" hidden="1" x14ac:dyDescent="0.3">
      <c r="A37" s="20">
        <v>30</v>
      </c>
      <c r="B37" s="25">
        <v>17870934.149999999</v>
      </c>
      <c r="C37" s="25"/>
      <c r="D37" s="56" t="s">
        <v>182</v>
      </c>
      <c r="E37" s="426">
        <v>45286</v>
      </c>
      <c r="F37" s="26" t="s">
        <v>18</v>
      </c>
      <c r="G37" s="426">
        <v>45252</v>
      </c>
      <c r="H37" s="35" t="s">
        <v>2168</v>
      </c>
      <c r="I37" s="21">
        <v>3851267</v>
      </c>
      <c r="J37" s="21"/>
      <c r="K37" s="22">
        <v>731740.73</v>
      </c>
      <c r="L37" s="23"/>
      <c r="M37" s="22">
        <v>0</v>
      </c>
      <c r="N37" s="74">
        <v>2.5000000000000001E-2</v>
      </c>
      <c r="O37" s="22">
        <v>96281.675000000003</v>
      </c>
      <c r="P37" s="21">
        <v>4486726.0550000006</v>
      </c>
      <c r="S37" s="108" t="b">
        <f>OR(COUNTIF(Tabla2[[#This Row],[PROVEEDOR]],"*"&amp;'Palabra no opera'!$A$2&amp;"*"))</f>
        <v>0</v>
      </c>
      <c r="T37" s="139">
        <f>+$W$5-Tabla2[[#This Row],[FECHA DE FACTURACIÓN]]</f>
        <v>39</v>
      </c>
      <c r="U37" t="str">
        <f>+IF(Tabla2[[#This Row],[dias de credito]]&gt;=Tabla2[[#This Row],[PLAZO Días]],"venc", "No venc")</f>
        <v>venc</v>
      </c>
      <c r="V37" t="str">
        <f>+IF(Tabla2[[#This Row],[FECHA DE PAGO]]&gt;0,"pagada","por pagar")</f>
        <v>pagada</v>
      </c>
      <c r="W37" s="141" t="str">
        <f>+IF(AND(Tabla2[[#This Row],[venc]]="venc",Tabla2[[#This Row],[Columna1]]="por pagar"),"vencida","no")</f>
        <v>no</v>
      </c>
    </row>
    <row r="38" spans="1:23" ht="15.6" hidden="1" x14ac:dyDescent="0.3">
      <c r="A38" s="20">
        <v>30</v>
      </c>
      <c r="B38" s="25">
        <v>22881826.27</v>
      </c>
      <c r="C38" s="25"/>
      <c r="D38" s="56" t="s">
        <v>197</v>
      </c>
      <c r="E38" s="426">
        <v>45286</v>
      </c>
      <c r="F38" s="26" t="s">
        <v>9</v>
      </c>
      <c r="G38" s="426">
        <v>45203</v>
      </c>
      <c r="H38" s="35" t="s">
        <v>2262</v>
      </c>
      <c r="I38" s="21">
        <v>67227</v>
      </c>
      <c r="J38" s="21"/>
      <c r="K38" s="22">
        <v>12773.130000000001</v>
      </c>
      <c r="L38" s="23"/>
      <c r="M38" s="22">
        <v>0</v>
      </c>
      <c r="N38" s="74">
        <v>0</v>
      </c>
      <c r="O38" s="22">
        <v>0</v>
      </c>
      <c r="P38" s="21">
        <v>80000.13</v>
      </c>
      <c r="S38" s="108" t="b">
        <f>OR(COUNTIF(Tabla2[[#This Row],[PROVEEDOR]],"*"&amp;'Palabra no opera'!$A$2&amp;"*"))</f>
        <v>0</v>
      </c>
      <c r="T38" s="139">
        <f>+$W$5-Tabla2[[#This Row],[FECHA DE FACTURACIÓN]]</f>
        <v>88</v>
      </c>
      <c r="U38" t="str">
        <f>+IF(Tabla2[[#This Row],[dias de credito]]&gt;=Tabla2[[#This Row],[PLAZO Días]],"venc", "No venc")</f>
        <v>venc</v>
      </c>
      <c r="V38" t="str">
        <f>+IF(Tabla2[[#This Row],[FECHA DE PAGO]]&gt;0,"pagada","por pagar")</f>
        <v>pagada</v>
      </c>
      <c r="W38" s="141" t="str">
        <f>+IF(AND(Tabla2[[#This Row],[venc]]="venc",Tabla2[[#This Row],[Columna1]]="por pagar"),"vencida","no")</f>
        <v>no</v>
      </c>
    </row>
    <row r="39" spans="1:23" ht="15.6" hidden="1" x14ac:dyDescent="0.3">
      <c r="A39" s="20">
        <v>30</v>
      </c>
      <c r="B39" s="25">
        <v>2100000</v>
      </c>
      <c r="C39" s="25"/>
      <c r="D39" s="56" t="s">
        <v>107</v>
      </c>
      <c r="E39" s="426">
        <v>45282</v>
      </c>
      <c r="F39" s="26" t="s">
        <v>349</v>
      </c>
      <c r="G39" s="426">
        <v>45251</v>
      </c>
      <c r="H39" s="35" t="s">
        <v>2190</v>
      </c>
      <c r="I39" s="21">
        <v>6427500</v>
      </c>
      <c r="J39" s="21"/>
      <c r="K39" s="22">
        <v>0</v>
      </c>
      <c r="L39" s="23"/>
      <c r="M39" s="22">
        <v>0</v>
      </c>
      <c r="N39" s="74">
        <v>0</v>
      </c>
      <c r="O39" s="22">
        <v>0</v>
      </c>
      <c r="P39" s="21">
        <v>6427500</v>
      </c>
      <c r="S39" s="108" t="b">
        <f>OR(COUNTIF(Tabla2[[#This Row],[PROVEEDOR]],"*"&amp;'Palabra no opera'!$A$2&amp;"*"))</f>
        <v>0</v>
      </c>
      <c r="T39" s="139">
        <f>+$W$5-Tabla2[[#This Row],[FECHA DE FACTURACIÓN]]</f>
        <v>40</v>
      </c>
      <c r="U39" t="str">
        <f>+IF(Tabla2[[#This Row],[dias de credito]]&gt;=Tabla2[[#This Row],[PLAZO Días]],"venc", "No venc")</f>
        <v>venc</v>
      </c>
      <c r="V39" t="str">
        <f>+IF(Tabla2[[#This Row],[FECHA DE PAGO]]&gt;0,"pagada","por pagar")</f>
        <v>pagada</v>
      </c>
      <c r="W39" s="141" t="str">
        <f>+IF(AND(Tabla2[[#This Row],[venc]]="venc",Tabla2[[#This Row],[Columna1]]="por pagar"),"vencida","no")</f>
        <v>no</v>
      </c>
    </row>
    <row r="40" spans="1:23" ht="15.6" hidden="1" x14ac:dyDescent="0.3">
      <c r="A40" s="20">
        <v>30</v>
      </c>
      <c r="B40" s="25">
        <v>0</v>
      </c>
      <c r="C40" s="25"/>
      <c r="D40" s="56" t="s">
        <v>199</v>
      </c>
      <c r="E40" s="426">
        <v>45282</v>
      </c>
      <c r="F40" s="26" t="s">
        <v>1069</v>
      </c>
      <c r="G40" s="426">
        <v>45251</v>
      </c>
      <c r="H40" s="35" t="s">
        <v>2157</v>
      </c>
      <c r="I40" s="21">
        <v>1411768</v>
      </c>
      <c r="J40" s="21"/>
      <c r="K40" s="22">
        <v>268235.92</v>
      </c>
      <c r="L40" s="23"/>
      <c r="M40" s="22">
        <v>0</v>
      </c>
      <c r="N40" s="74">
        <v>2.5000000000000001E-2</v>
      </c>
      <c r="O40" s="22">
        <v>35294.200000000004</v>
      </c>
      <c r="P40" s="21">
        <v>1644709.72</v>
      </c>
      <c r="S40" s="108" t="b">
        <f>OR(COUNTIF(Tabla2[[#This Row],[PROVEEDOR]],"*"&amp;'Palabra no opera'!$A$2&amp;"*"))</f>
        <v>0</v>
      </c>
      <c r="T40" s="139">
        <f>+$W$5-Tabla2[[#This Row],[FECHA DE FACTURACIÓN]]</f>
        <v>40</v>
      </c>
      <c r="U40" t="str">
        <f>+IF(Tabla2[[#This Row],[dias de credito]]&gt;=Tabla2[[#This Row],[PLAZO Días]],"venc", "No venc")</f>
        <v>venc</v>
      </c>
      <c r="V40" t="str">
        <f>+IF(Tabla2[[#This Row],[FECHA DE PAGO]]&gt;0,"pagada","por pagar")</f>
        <v>pagada</v>
      </c>
      <c r="W40" s="141" t="str">
        <f>+IF(AND(Tabla2[[#This Row],[venc]]="venc",Tabla2[[#This Row],[Columna1]]="por pagar"),"vencida","no")</f>
        <v>no</v>
      </c>
    </row>
    <row r="41" spans="1:23" ht="15.6" hidden="1" x14ac:dyDescent="0.3">
      <c r="A41" s="20">
        <v>30</v>
      </c>
      <c r="B41" s="25">
        <v>0</v>
      </c>
      <c r="C41" s="25"/>
      <c r="D41" s="56" t="s">
        <v>740</v>
      </c>
      <c r="E41" s="426">
        <v>45281</v>
      </c>
      <c r="F41" s="26" t="s">
        <v>637</v>
      </c>
      <c r="G41" s="426">
        <v>45280</v>
      </c>
      <c r="H41" s="35" t="s">
        <v>2309</v>
      </c>
      <c r="I41" s="21">
        <v>82000</v>
      </c>
      <c r="J41" s="21"/>
      <c r="K41" s="22">
        <v>0</v>
      </c>
      <c r="L41" s="23"/>
      <c r="M41" s="22">
        <v>0</v>
      </c>
      <c r="N41" s="74">
        <v>0</v>
      </c>
      <c r="O41" s="22">
        <v>0</v>
      </c>
      <c r="P41" s="21">
        <v>82000</v>
      </c>
      <c r="S41" s="108" t="b">
        <f>OR(COUNTIF(Tabla2[[#This Row],[PROVEEDOR]],"*"&amp;'Palabra no opera'!$A$2&amp;"*"))</f>
        <v>1</v>
      </c>
      <c r="T41" s="139">
        <f>+$W$5-Tabla2[[#This Row],[FECHA DE FACTURACIÓN]]</f>
        <v>11</v>
      </c>
      <c r="U41" t="str">
        <f>+IF(Tabla2[[#This Row],[dias de credito]]&gt;=Tabla2[[#This Row],[PLAZO Días]],"venc", "No venc")</f>
        <v>No venc</v>
      </c>
      <c r="V41" t="str">
        <f>+IF(Tabla2[[#This Row],[FECHA DE PAGO]]&gt;0,"pagada","por pagar")</f>
        <v>pagada</v>
      </c>
      <c r="W41" s="141" t="str">
        <f>+IF(AND(Tabla2[[#This Row],[venc]]="venc",Tabla2[[#This Row],[Columna1]]="por pagar"),"vencida","no")</f>
        <v>no</v>
      </c>
    </row>
    <row r="42" spans="1:23" ht="15.6" hidden="1" x14ac:dyDescent="0.3">
      <c r="A42" s="20">
        <v>30</v>
      </c>
      <c r="B42" s="25">
        <v>0</v>
      </c>
      <c r="C42" s="25"/>
      <c r="D42" s="56" t="s">
        <v>2037</v>
      </c>
      <c r="E42" s="426">
        <v>45281</v>
      </c>
      <c r="F42" s="26" t="s">
        <v>2038</v>
      </c>
      <c r="G42" s="426">
        <v>45274</v>
      </c>
      <c r="H42" s="35" t="s">
        <v>2257</v>
      </c>
      <c r="I42" s="21">
        <v>649719</v>
      </c>
      <c r="J42" s="21"/>
      <c r="K42" s="22">
        <v>123446.61</v>
      </c>
      <c r="L42" s="23">
        <v>0.1</v>
      </c>
      <c r="M42" s="22">
        <v>64971.9</v>
      </c>
      <c r="N42" s="74">
        <v>0</v>
      </c>
      <c r="O42" s="22">
        <v>0</v>
      </c>
      <c r="P42" s="21">
        <v>708193.71</v>
      </c>
      <c r="S42" s="108" t="b">
        <f>OR(COUNTIF(Tabla2[[#This Row],[PROVEEDOR]],"*"&amp;'Palabra no opera'!$A$2&amp;"*"))</f>
        <v>0</v>
      </c>
      <c r="T42" s="139">
        <f>+$W$5-Tabla2[[#This Row],[FECHA DE FACTURACIÓN]]</f>
        <v>17</v>
      </c>
      <c r="U42" t="str">
        <f>+IF(Tabla2[[#This Row],[dias de credito]]&gt;=Tabla2[[#This Row],[PLAZO Días]],"venc", "No venc")</f>
        <v>No venc</v>
      </c>
      <c r="V42" t="str">
        <f>+IF(Tabla2[[#This Row],[FECHA DE PAGO]]&gt;0,"pagada","por pagar")</f>
        <v>pagada</v>
      </c>
      <c r="W42" s="141" t="str">
        <f>+IF(AND(Tabla2[[#This Row],[venc]]="venc",Tabla2[[#This Row],[Columna1]]="por pagar"),"vencida","no")</f>
        <v>no</v>
      </c>
    </row>
    <row r="43" spans="1:23" ht="15.6" hidden="1" x14ac:dyDescent="0.3">
      <c r="A43" s="20">
        <v>30</v>
      </c>
      <c r="B43" s="25">
        <v>0</v>
      </c>
      <c r="C43" s="25"/>
      <c r="D43" s="56" t="s">
        <v>2037</v>
      </c>
      <c r="E43" s="426">
        <v>45281</v>
      </c>
      <c r="F43" s="26" t="s">
        <v>2038</v>
      </c>
      <c r="G43" s="426">
        <v>45274</v>
      </c>
      <c r="H43" s="35" t="s">
        <v>2258</v>
      </c>
      <c r="I43" s="21">
        <v>-26639</v>
      </c>
      <c r="J43" s="21"/>
      <c r="K43" s="22">
        <v>-5061.41</v>
      </c>
      <c r="L43" s="23"/>
      <c r="M43" s="22">
        <v>0</v>
      </c>
      <c r="N43" s="74">
        <v>0</v>
      </c>
      <c r="O43" s="22">
        <v>0</v>
      </c>
      <c r="P43" s="21">
        <v>-31700.41</v>
      </c>
      <c r="S43" s="108" t="b">
        <f>OR(COUNTIF(Tabla2[[#This Row],[PROVEEDOR]],"*"&amp;'Palabra no opera'!$A$2&amp;"*"))</f>
        <v>0</v>
      </c>
      <c r="T43" s="139">
        <f>+$W$5-Tabla2[[#This Row],[FECHA DE FACTURACIÓN]]</f>
        <v>17</v>
      </c>
      <c r="U43" t="str">
        <f>+IF(Tabla2[[#This Row],[dias de credito]]&gt;=Tabla2[[#This Row],[PLAZO Días]],"venc", "No venc")</f>
        <v>No venc</v>
      </c>
      <c r="V43" t="str">
        <f>+IF(Tabla2[[#This Row],[FECHA DE PAGO]]&gt;0,"pagada","por pagar")</f>
        <v>pagada</v>
      </c>
      <c r="W43" s="141" t="str">
        <f>+IF(AND(Tabla2[[#This Row],[venc]]="venc",Tabla2[[#This Row],[Columna1]]="por pagar"),"vencida","no")</f>
        <v>no</v>
      </c>
    </row>
    <row r="44" spans="1:23" ht="15.6" hidden="1" x14ac:dyDescent="0.3">
      <c r="A44" s="20">
        <v>30</v>
      </c>
      <c r="B44" s="25">
        <v>2773899.95</v>
      </c>
      <c r="C44" s="25"/>
      <c r="D44" s="56" t="s">
        <v>135</v>
      </c>
      <c r="E44" s="426">
        <v>45281</v>
      </c>
      <c r="F44" s="26" t="s">
        <v>20</v>
      </c>
      <c r="G44" s="426">
        <v>45253</v>
      </c>
      <c r="H44" s="35" t="s">
        <v>2185</v>
      </c>
      <c r="I44" s="21">
        <v>2961970</v>
      </c>
      <c r="J44" s="21"/>
      <c r="K44" s="22">
        <v>562774.30000000005</v>
      </c>
      <c r="L44" s="23"/>
      <c r="M44" s="22">
        <v>0</v>
      </c>
      <c r="N44" s="74">
        <v>2.5000000000000001E-2</v>
      </c>
      <c r="O44" s="22">
        <v>74049.25</v>
      </c>
      <c r="P44" s="21">
        <v>3450695.05</v>
      </c>
      <c r="S44" s="108" t="b">
        <f>OR(COUNTIF(Tabla2[[#This Row],[PROVEEDOR]],"*"&amp;'Palabra no opera'!$A$2&amp;"*"))</f>
        <v>0</v>
      </c>
      <c r="T44" s="139">
        <f>+$W$5-Tabla2[[#This Row],[FECHA DE FACTURACIÓN]]</f>
        <v>38</v>
      </c>
      <c r="U44" t="str">
        <f>+IF(Tabla2[[#This Row],[dias de credito]]&gt;=Tabla2[[#This Row],[PLAZO Días]],"venc", "No venc")</f>
        <v>venc</v>
      </c>
      <c r="V44" t="str">
        <f>+IF(Tabla2[[#This Row],[FECHA DE PAGO]]&gt;0,"pagada","por pagar")</f>
        <v>pagada</v>
      </c>
      <c r="W44" s="141" t="str">
        <f>+IF(AND(Tabla2[[#This Row],[venc]]="venc",Tabla2[[#This Row],[Columna1]]="por pagar"),"vencida","no")</f>
        <v>no</v>
      </c>
    </row>
    <row r="45" spans="1:23" ht="15.6" hidden="1" x14ac:dyDescent="0.3">
      <c r="A45" s="20">
        <v>30</v>
      </c>
      <c r="B45" s="25">
        <v>0</v>
      </c>
      <c r="C45" s="25"/>
      <c r="D45" s="56" t="s">
        <v>107</v>
      </c>
      <c r="E45" s="426">
        <v>45281</v>
      </c>
      <c r="F45" s="26" t="s">
        <v>401</v>
      </c>
      <c r="G45" s="426">
        <v>45251</v>
      </c>
      <c r="H45" s="35" t="s">
        <v>2187</v>
      </c>
      <c r="I45" s="21">
        <v>1479000</v>
      </c>
      <c r="J45" s="21"/>
      <c r="K45" s="22">
        <v>0</v>
      </c>
      <c r="L45" s="23"/>
      <c r="M45" s="22">
        <v>0</v>
      </c>
      <c r="N45" s="74">
        <v>0</v>
      </c>
      <c r="O45" s="22">
        <v>0</v>
      </c>
      <c r="P45" s="21">
        <v>1479000</v>
      </c>
      <c r="S45" s="108" t="b">
        <f>OR(COUNTIF(Tabla2[[#This Row],[PROVEEDOR]],"*"&amp;'Palabra no opera'!$A$2&amp;"*"))</f>
        <v>0</v>
      </c>
      <c r="T45" s="139">
        <f>+$W$5-Tabla2[[#This Row],[FECHA DE FACTURACIÓN]]</f>
        <v>40</v>
      </c>
      <c r="U45" t="str">
        <f>+IF(Tabla2[[#This Row],[dias de credito]]&gt;=Tabla2[[#This Row],[PLAZO Días]],"venc", "No venc")</f>
        <v>venc</v>
      </c>
      <c r="V45" t="str">
        <f>+IF(Tabla2[[#This Row],[FECHA DE PAGO]]&gt;0,"pagada","por pagar")</f>
        <v>pagada</v>
      </c>
      <c r="W45" s="141" t="str">
        <f>+IF(AND(Tabla2[[#This Row],[venc]]="venc",Tabla2[[#This Row],[Columna1]]="por pagar"),"vencida","no")</f>
        <v>no</v>
      </c>
    </row>
    <row r="46" spans="1:23" ht="15.6" hidden="1" x14ac:dyDescent="0.3">
      <c r="A46" s="20">
        <v>30</v>
      </c>
      <c r="B46" s="25">
        <v>0</v>
      </c>
      <c r="C46" s="25"/>
      <c r="D46" s="56" t="s">
        <v>258</v>
      </c>
      <c r="E46" s="426">
        <v>45281</v>
      </c>
      <c r="F46" s="26" t="s">
        <v>394</v>
      </c>
      <c r="G46" s="426">
        <v>45250</v>
      </c>
      <c r="H46" s="35" t="s">
        <v>2189</v>
      </c>
      <c r="I46" s="21">
        <v>2610000</v>
      </c>
      <c r="J46" s="21"/>
      <c r="K46" s="22">
        <v>0</v>
      </c>
      <c r="L46" s="23"/>
      <c r="M46" s="22">
        <v>0</v>
      </c>
      <c r="N46" s="74">
        <v>0</v>
      </c>
      <c r="O46" s="22">
        <v>0</v>
      </c>
      <c r="P46" s="21">
        <v>2610000</v>
      </c>
      <c r="S46" s="108" t="b">
        <f>OR(COUNTIF(Tabla2[[#This Row],[PROVEEDOR]],"*"&amp;'Palabra no opera'!$A$2&amp;"*"))</f>
        <v>0</v>
      </c>
      <c r="T46" s="139">
        <f>+$W$5-Tabla2[[#This Row],[FECHA DE FACTURACIÓN]]</f>
        <v>41</v>
      </c>
      <c r="U46" t="str">
        <f>+IF(Tabla2[[#This Row],[dias de credito]]&gt;=Tabla2[[#This Row],[PLAZO Días]],"venc", "No venc")</f>
        <v>venc</v>
      </c>
      <c r="V46" t="str">
        <f>+IF(Tabla2[[#This Row],[FECHA DE PAGO]]&gt;0,"pagada","por pagar")</f>
        <v>pagada</v>
      </c>
      <c r="W46" s="141" t="str">
        <f>+IF(AND(Tabla2[[#This Row],[venc]]="venc",Tabla2[[#This Row],[Columna1]]="por pagar"),"vencida","no")</f>
        <v>no</v>
      </c>
    </row>
    <row r="47" spans="1:23" ht="15.6" hidden="1" x14ac:dyDescent="0.3">
      <c r="A47" s="20">
        <v>30</v>
      </c>
      <c r="B47" s="25">
        <v>0</v>
      </c>
      <c r="C47" s="25"/>
      <c r="D47" s="56" t="s">
        <v>211</v>
      </c>
      <c r="E47" s="426">
        <v>45281</v>
      </c>
      <c r="F47" s="26" t="s">
        <v>26</v>
      </c>
      <c r="G47" s="426">
        <v>45246</v>
      </c>
      <c r="H47" s="35" t="s">
        <v>2155</v>
      </c>
      <c r="I47" s="21">
        <v>1996000</v>
      </c>
      <c r="J47" s="21"/>
      <c r="K47" s="22">
        <v>379240</v>
      </c>
      <c r="L47" s="23"/>
      <c r="M47" s="22">
        <v>0</v>
      </c>
      <c r="N47" s="74">
        <v>2.5000000000000001E-2</v>
      </c>
      <c r="O47" s="22">
        <v>49900</v>
      </c>
      <c r="P47" s="21">
        <v>2325340</v>
      </c>
      <c r="S47" s="108" t="b">
        <f>OR(COUNTIF(Tabla2[[#This Row],[PROVEEDOR]],"*"&amp;'Palabra no opera'!$A$2&amp;"*"))</f>
        <v>0</v>
      </c>
      <c r="T47" s="139">
        <f>+$W$5-Tabla2[[#This Row],[FECHA DE FACTURACIÓN]]</f>
        <v>45</v>
      </c>
      <c r="U47" t="str">
        <f>+IF(Tabla2[[#This Row],[dias de credito]]&gt;=Tabla2[[#This Row],[PLAZO Días]],"venc", "No venc")</f>
        <v>venc</v>
      </c>
      <c r="V47" t="str">
        <f>+IF(Tabla2[[#This Row],[FECHA DE PAGO]]&gt;0,"pagada","por pagar")</f>
        <v>pagada</v>
      </c>
      <c r="W47" s="141" t="str">
        <f>+IF(AND(Tabla2[[#This Row],[venc]]="venc",Tabla2[[#This Row],[Columna1]]="por pagar"),"vencida","no")</f>
        <v>no</v>
      </c>
    </row>
    <row r="48" spans="1:23" ht="15.6" hidden="1" x14ac:dyDescent="0.3">
      <c r="A48" s="20">
        <v>30</v>
      </c>
      <c r="B48" s="25">
        <v>0</v>
      </c>
      <c r="C48" s="25"/>
      <c r="D48" s="56" t="s">
        <v>107</v>
      </c>
      <c r="E48" s="426">
        <v>45280</v>
      </c>
      <c r="F48" s="26" t="s">
        <v>362</v>
      </c>
      <c r="G48" s="426">
        <v>45280</v>
      </c>
      <c r="H48" s="35" t="s">
        <v>2259</v>
      </c>
      <c r="I48" s="21">
        <v>665000</v>
      </c>
      <c r="J48" s="21"/>
      <c r="K48" s="22">
        <v>0</v>
      </c>
      <c r="L48" s="23"/>
      <c r="M48" s="22">
        <v>0</v>
      </c>
      <c r="N48" s="74">
        <v>0</v>
      </c>
      <c r="O48" s="22">
        <v>0</v>
      </c>
      <c r="P48" s="21">
        <v>665000</v>
      </c>
      <c r="S48" s="108" t="b">
        <f>OR(COUNTIF(Tabla2[[#This Row],[PROVEEDOR]],"*"&amp;'Palabra no opera'!$A$2&amp;"*"))</f>
        <v>0</v>
      </c>
      <c r="T48" s="139">
        <f>+$W$5-Tabla2[[#This Row],[FECHA DE FACTURACIÓN]]</f>
        <v>11</v>
      </c>
      <c r="U48" t="str">
        <f>+IF(Tabla2[[#This Row],[dias de credito]]&gt;=Tabla2[[#This Row],[PLAZO Días]],"venc", "No venc")</f>
        <v>No venc</v>
      </c>
      <c r="V48" t="str">
        <f>+IF(Tabla2[[#This Row],[FECHA DE PAGO]]&gt;0,"pagada","por pagar")</f>
        <v>pagada</v>
      </c>
      <c r="W48" s="141" t="str">
        <f>+IF(AND(Tabla2[[#This Row],[venc]]="venc",Tabla2[[#This Row],[Columna1]]="por pagar"),"vencida","no")</f>
        <v>no</v>
      </c>
    </row>
    <row r="49" spans="1:23" ht="15.6" hidden="1" x14ac:dyDescent="0.3">
      <c r="A49" s="20">
        <v>30</v>
      </c>
      <c r="B49" s="25">
        <v>0</v>
      </c>
      <c r="C49" s="25"/>
      <c r="D49" s="56" t="s">
        <v>107</v>
      </c>
      <c r="E49" s="426">
        <v>45280</v>
      </c>
      <c r="F49" s="26" t="s">
        <v>390</v>
      </c>
      <c r="G49" s="426">
        <v>45280</v>
      </c>
      <c r="H49" s="35"/>
      <c r="I49" s="21">
        <v>1048450</v>
      </c>
      <c r="J49" s="21"/>
      <c r="K49" s="22">
        <v>0</v>
      </c>
      <c r="L49" s="23"/>
      <c r="M49" s="22">
        <v>0</v>
      </c>
      <c r="N49" s="74">
        <v>0</v>
      </c>
      <c r="O49" s="22">
        <v>0</v>
      </c>
      <c r="P49" s="21">
        <v>1048450</v>
      </c>
      <c r="S49" s="108" t="b">
        <f>OR(COUNTIF(Tabla2[[#This Row],[PROVEEDOR]],"*"&amp;'Palabra no opera'!$A$2&amp;"*"))</f>
        <v>0</v>
      </c>
      <c r="T49" s="139">
        <f>+$W$5-Tabla2[[#This Row],[FECHA DE FACTURACIÓN]]</f>
        <v>11</v>
      </c>
      <c r="U49" t="str">
        <f>+IF(Tabla2[[#This Row],[dias de credito]]&gt;=Tabla2[[#This Row],[PLAZO Días]],"venc", "No venc")</f>
        <v>No venc</v>
      </c>
      <c r="V49" t="str">
        <f>+IF(Tabla2[[#This Row],[FECHA DE PAGO]]&gt;0,"pagada","por pagar")</f>
        <v>pagada</v>
      </c>
      <c r="W49" s="141" t="str">
        <f>+IF(AND(Tabla2[[#This Row],[venc]]="venc",Tabla2[[#This Row],[Columna1]]="por pagar"),"vencida","no")</f>
        <v>no</v>
      </c>
    </row>
    <row r="50" spans="1:23" ht="15.6" hidden="1" x14ac:dyDescent="0.3">
      <c r="A50" s="20">
        <v>30</v>
      </c>
      <c r="B50" s="25">
        <v>0</v>
      </c>
      <c r="C50" s="25"/>
      <c r="D50" s="56">
        <v>0</v>
      </c>
      <c r="E50" s="426">
        <v>45280</v>
      </c>
      <c r="F50" s="26" t="s">
        <v>1736</v>
      </c>
      <c r="G50" s="426">
        <v>45278</v>
      </c>
      <c r="H50" s="35" t="s">
        <v>2260</v>
      </c>
      <c r="I50" s="21">
        <v>500000</v>
      </c>
      <c r="J50" s="21"/>
      <c r="K50" s="22">
        <v>0</v>
      </c>
      <c r="L50" s="23"/>
      <c r="M50" s="22">
        <v>0</v>
      </c>
      <c r="N50" s="74">
        <v>0</v>
      </c>
      <c r="O50" s="22">
        <v>0</v>
      </c>
      <c r="P50" s="21">
        <v>500000</v>
      </c>
      <c r="S50" s="108" t="b">
        <f>OR(COUNTIF(Tabla2[[#This Row],[PROVEEDOR]],"*"&amp;'Palabra no opera'!$A$2&amp;"*"))</f>
        <v>0</v>
      </c>
      <c r="T50" s="139">
        <f>+$W$5-Tabla2[[#This Row],[FECHA DE FACTURACIÓN]]</f>
        <v>13</v>
      </c>
      <c r="U50" t="str">
        <f>+IF(Tabla2[[#This Row],[dias de credito]]&gt;=Tabla2[[#This Row],[PLAZO Días]],"venc", "No venc")</f>
        <v>No venc</v>
      </c>
      <c r="V50" t="str">
        <f>+IF(Tabla2[[#This Row],[FECHA DE PAGO]]&gt;0,"pagada","por pagar")</f>
        <v>pagada</v>
      </c>
      <c r="W50" s="141" t="str">
        <f>+IF(AND(Tabla2[[#This Row],[venc]]="venc",Tabla2[[#This Row],[Columna1]]="por pagar"),"vencida","no")</f>
        <v>no</v>
      </c>
    </row>
    <row r="51" spans="1:23" ht="15.6" hidden="1" x14ac:dyDescent="0.3">
      <c r="A51" s="20">
        <v>180</v>
      </c>
      <c r="B51" s="25">
        <v>0</v>
      </c>
      <c r="C51" s="25"/>
      <c r="D51" s="56" t="s">
        <v>280</v>
      </c>
      <c r="E51" s="426">
        <v>45280</v>
      </c>
      <c r="F51" s="26" t="s">
        <v>625</v>
      </c>
      <c r="G51" s="426">
        <v>45253</v>
      </c>
      <c r="H51" s="35" t="s">
        <v>2180</v>
      </c>
      <c r="I51" s="21">
        <v>545547</v>
      </c>
      <c r="J51" s="21"/>
      <c r="K51" s="22">
        <v>103653.93000000001</v>
      </c>
      <c r="L51" s="23"/>
      <c r="M51" s="22">
        <v>0</v>
      </c>
      <c r="N51" s="74">
        <v>0</v>
      </c>
      <c r="O51" s="22">
        <v>0</v>
      </c>
      <c r="P51" s="21">
        <v>649200.93000000005</v>
      </c>
      <c r="S51" s="108" t="b">
        <f>OR(COUNTIF(Tabla2[[#This Row],[PROVEEDOR]],"*"&amp;'Palabra no opera'!$A$2&amp;"*"))</f>
        <v>1</v>
      </c>
      <c r="T51" s="139">
        <f>+$W$5-Tabla2[[#This Row],[FECHA DE FACTURACIÓN]]</f>
        <v>38</v>
      </c>
      <c r="U51" t="str">
        <f>+IF(Tabla2[[#This Row],[dias de credito]]&gt;=Tabla2[[#This Row],[PLAZO Días]],"venc", "No venc")</f>
        <v>No venc</v>
      </c>
      <c r="V51" t="str">
        <f>+IF(Tabla2[[#This Row],[FECHA DE PAGO]]&gt;0,"pagada","por pagar")</f>
        <v>pagada</v>
      </c>
      <c r="W51" s="141" t="str">
        <f>+IF(AND(Tabla2[[#This Row],[venc]]="venc",Tabla2[[#This Row],[Columna1]]="por pagar"),"vencida","no")</f>
        <v>no</v>
      </c>
    </row>
    <row r="52" spans="1:23" ht="15.6" hidden="1" x14ac:dyDescent="0.3">
      <c r="A52" s="20">
        <v>30</v>
      </c>
      <c r="B52" s="25">
        <v>10321993.199999999</v>
      </c>
      <c r="C52" s="25"/>
      <c r="D52" s="56" t="s">
        <v>189</v>
      </c>
      <c r="E52" s="426">
        <v>45280</v>
      </c>
      <c r="F52" s="26" t="s">
        <v>1068</v>
      </c>
      <c r="G52" s="426">
        <v>45251</v>
      </c>
      <c r="H52" s="35" t="s">
        <v>2164</v>
      </c>
      <c r="I52" s="21">
        <v>1008000</v>
      </c>
      <c r="J52" s="21"/>
      <c r="K52" s="22">
        <v>191520</v>
      </c>
      <c r="L52" s="23"/>
      <c r="M52" s="22">
        <v>0</v>
      </c>
      <c r="N52" s="74">
        <v>0</v>
      </c>
      <c r="O52" s="22">
        <v>0</v>
      </c>
      <c r="P52" s="21">
        <v>1199520</v>
      </c>
      <c r="S52" s="108" t="b">
        <f>OR(COUNTIF(Tabla2[[#This Row],[PROVEEDOR]],"*"&amp;'Palabra no opera'!$A$2&amp;"*"))</f>
        <v>0</v>
      </c>
      <c r="T52" s="139">
        <f>+$W$5-Tabla2[[#This Row],[FECHA DE FACTURACIÓN]]</f>
        <v>40</v>
      </c>
      <c r="U52" t="str">
        <f>+IF(Tabla2[[#This Row],[dias de credito]]&gt;=Tabla2[[#This Row],[PLAZO Días]],"venc", "No venc")</f>
        <v>venc</v>
      </c>
      <c r="V52" t="str">
        <f>+IF(Tabla2[[#This Row],[FECHA DE PAGO]]&gt;0,"pagada","por pagar")</f>
        <v>pagada</v>
      </c>
      <c r="W52" s="141" t="str">
        <f>+IF(AND(Tabla2[[#This Row],[venc]]="venc",Tabla2[[#This Row],[Columna1]]="por pagar"),"vencida","no")</f>
        <v>no</v>
      </c>
    </row>
    <row r="53" spans="1:23" ht="15.6" hidden="1" x14ac:dyDescent="0.3">
      <c r="A53" s="20">
        <v>30</v>
      </c>
      <c r="B53" s="25">
        <v>10321993.199999999</v>
      </c>
      <c r="C53" s="25"/>
      <c r="D53" s="56" t="s">
        <v>189</v>
      </c>
      <c r="E53" s="426">
        <v>45280</v>
      </c>
      <c r="F53" s="26" t="s">
        <v>1068</v>
      </c>
      <c r="G53" s="426">
        <v>45247</v>
      </c>
      <c r="H53" s="35" t="s">
        <v>2163</v>
      </c>
      <c r="I53" s="21">
        <v>763000</v>
      </c>
      <c r="J53" s="21"/>
      <c r="K53" s="22">
        <v>144970</v>
      </c>
      <c r="L53" s="23"/>
      <c r="M53" s="22">
        <v>0</v>
      </c>
      <c r="N53" s="74">
        <v>0</v>
      </c>
      <c r="O53" s="22">
        <v>0</v>
      </c>
      <c r="P53" s="21">
        <v>907970</v>
      </c>
      <c r="S53" s="108" t="b">
        <f>OR(COUNTIF(Tabla2[[#This Row],[PROVEEDOR]],"*"&amp;'Palabra no opera'!$A$2&amp;"*"))</f>
        <v>0</v>
      </c>
      <c r="T53" s="139">
        <f>+$W$5-Tabla2[[#This Row],[FECHA DE FACTURACIÓN]]</f>
        <v>44</v>
      </c>
      <c r="U53" t="str">
        <f>+IF(Tabla2[[#This Row],[dias de credito]]&gt;=Tabla2[[#This Row],[PLAZO Días]],"venc", "No venc")</f>
        <v>venc</v>
      </c>
      <c r="V53" t="str">
        <f>+IF(Tabla2[[#This Row],[FECHA DE PAGO]]&gt;0,"pagada","por pagar")</f>
        <v>pagada</v>
      </c>
      <c r="W53" s="141" t="str">
        <f>+IF(AND(Tabla2[[#This Row],[venc]]="venc",Tabla2[[#This Row],[Columna1]]="por pagar"),"vencida","no")</f>
        <v>no</v>
      </c>
    </row>
    <row r="54" spans="1:23" ht="15.6" hidden="1" x14ac:dyDescent="0.3">
      <c r="A54" s="20">
        <v>30</v>
      </c>
      <c r="B54" s="25">
        <v>5537221.7000000002</v>
      </c>
      <c r="C54" s="25"/>
      <c r="D54" s="56" t="s">
        <v>402</v>
      </c>
      <c r="E54" s="426">
        <v>45280</v>
      </c>
      <c r="F54" s="26" t="s">
        <v>293</v>
      </c>
      <c r="G54" s="426">
        <v>45246</v>
      </c>
      <c r="H54" s="35" t="s">
        <v>2160</v>
      </c>
      <c r="I54" s="21">
        <v>2491740</v>
      </c>
      <c r="J54" s="21"/>
      <c r="K54" s="22">
        <v>473430.6</v>
      </c>
      <c r="L54" s="23">
        <v>0.05</v>
      </c>
      <c r="M54" s="22">
        <v>124587</v>
      </c>
      <c r="N54" s="74">
        <v>2.5000000000000001E-2</v>
      </c>
      <c r="O54" s="22">
        <v>62293.5</v>
      </c>
      <c r="P54" s="21">
        <v>2778290.1</v>
      </c>
      <c r="S54" s="108" t="b">
        <f>OR(COUNTIF(Tabla2[[#This Row],[PROVEEDOR]],"*"&amp;'Palabra no opera'!$A$2&amp;"*"))</f>
        <v>0</v>
      </c>
      <c r="T54" s="139">
        <f>+$W$5-Tabla2[[#This Row],[FECHA DE FACTURACIÓN]]</f>
        <v>45</v>
      </c>
      <c r="U54" t="str">
        <f>+IF(Tabla2[[#This Row],[dias de credito]]&gt;=Tabla2[[#This Row],[PLAZO Días]],"venc", "No venc")</f>
        <v>venc</v>
      </c>
      <c r="V54" t="str">
        <f>+IF(Tabla2[[#This Row],[FECHA DE PAGO]]&gt;0,"pagada","por pagar")</f>
        <v>pagada</v>
      </c>
      <c r="W54" s="141" t="str">
        <f>+IF(AND(Tabla2[[#This Row],[venc]]="venc",Tabla2[[#This Row],[Columna1]]="por pagar"),"vencida","no")</f>
        <v>no</v>
      </c>
    </row>
    <row r="55" spans="1:23" ht="15.6" hidden="1" x14ac:dyDescent="0.3">
      <c r="A55" s="20">
        <v>30</v>
      </c>
      <c r="B55" s="25">
        <v>0</v>
      </c>
      <c r="C55" s="25"/>
      <c r="D55" s="56" t="s">
        <v>2265</v>
      </c>
      <c r="E55" s="426">
        <v>45278</v>
      </c>
      <c r="F55" s="26" t="s">
        <v>2264</v>
      </c>
      <c r="G55" s="426">
        <v>45278</v>
      </c>
      <c r="H55" s="35" t="s">
        <v>2267</v>
      </c>
      <c r="I55" s="21">
        <v>630252</v>
      </c>
      <c r="J55" s="21"/>
      <c r="K55" s="22">
        <v>119747.88</v>
      </c>
      <c r="L55" s="23"/>
      <c r="M55" s="22">
        <v>0</v>
      </c>
      <c r="N55" s="74">
        <v>0</v>
      </c>
      <c r="O55" s="22">
        <v>0</v>
      </c>
      <c r="P55" s="21">
        <v>749999.88</v>
      </c>
      <c r="S55" s="108" t="b">
        <f>OR(COUNTIF(Tabla2[[#This Row],[PROVEEDOR]],"*"&amp;'Palabra no opera'!$A$2&amp;"*"))</f>
        <v>0</v>
      </c>
      <c r="T55" s="139">
        <f>+$W$5-Tabla2[[#This Row],[FECHA DE FACTURACIÓN]]</f>
        <v>13</v>
      </c>
      <c r="U55" t="str">
        <f>+IF(Tabla2[[#This Row],[dias de credito]]&gt;=Tabla2[[#This Row],[PLAZO Días]],"venc", "No venc")</f>
        <v>No venc</v>
      </c>
      <c r="V55" t="str">
        <f>+IF(Tabla2[[#This Row],[FECHA DE PAGO]]&gt;0,"pagada","por pagar")</f>
        <v>pagada</v>
      </c>
      <c r="W55" s="141" t="str">
        <f>+IF(AND(Tabla2[[#This Row],[venc]]="venc",Tabla2[[#This Row],[Columna1]]="por pagar"),"vencida","no")</f>
        <v>no</v>
      </c>
    </row>
    <row r="56" spans="1:23" ht="15.6" hidden="1" x14ac:dyDescent="0.3">
      <c r="A56" s="20">
        <v>30</v>
      </c>
      <c r="B56" s="25">
        <v>0</v>
      </c>
      <c r="C56" s="25"/>
      <c r="D56" s="56">
        <v>0</v>
      </c>
      <c r="E56" s="426">
        <v>45278</v>
      </c>
      <c r="F56" s="26" t="s">
        <v>1350</v>
      </c>
      <c r="G56" s="426">
        <v>45278</v>
      </c>
      <c r="H56" s="35" t="s">
        <v>2268</v>
      </c>
      <c r="I56" s="21">
        <v>1000000</v>
      </c>
      <c r="J56" s="21"/>
      <c r="K56" s="22">
        <v>190000</v>
      </c>
      <c r="L56" s="23"/>
      <c r="M56" s="22">
        <v>0</v>
      </c>
      <c r="N56" s="74">
        <v>0</v>
      </c>
      <c r="O56" s="22">
        <v>0</v>
      </c>
      <c r="P56" s="21">
        <v>1190000</v>
      </c>
      <c r="S56" s="108" t="b">
        <f>OR(COUNTIF(Tabla2[[#This Row],[PROVEEDOR]],"*"&amp;'Palabra no opera'!$A$2&amp;"*"))</f>
        <v>0</v>
      </c>
      <c r="T56" s="139">
        <f>+$W$5-Tabla2[[#This Row],[FECHA DE FACTURACIÓN]]</f>
        <v>13</v>
      </c>
      <c r="U56" t="str">
        <f>+IF(Tabla2[[#This Row],[dias de credito]]&gt;=Tabla2[[#This Row],[PLAZO Días]],"venc", "No venc")</f>
        <v>No venc</v>
      </c>
      <c r="V56" t="str">
        <f>+IF(Tabla2[[#This Row],[FECHA DE PAGO]]&gt;0,"pagada","por pagar")</f>
        <v>pagada</v>
      </c>
      <c r="W56" s="141" t="str">
        <f>+IF(AND(Tabla2[[#This Row],[venc]]="venc",Tabla2[[#This Row],[Columna1]]="por pagar"),"vencida","no")</f>
        <v>no</v>
      </c>
    </row>
    <row r="57" spans="1:23" ht="15.6" hidden="1" x14ac:dyDescent="0.3">
      <c r="A57" s="20">
        <v>60</v>
      </c>
      <c r="B57" s="25">
        <v>395600</v>
      </c>
      <c r="C57" s="25"/>
      <c r="D57" s="56" t="s">
        <v>1482</v>
      </c>
      <c r="E57" s="426">
        <v>45278</v>
      </c>
      <c r="F57" s="26" t="s">
        <v>287</v>
      </c>
      <c r="G57" s="426">
        <v>45267</v>
      </c>
      <c r="H57" s="35">
        <v>1854</v>
      </c>
      <c r="I57" s="21">
        <v>344000</v>
      </c>
      <c r="J57" s="21"/>
      <c r="K57" s="22">
        <v>0</v>
      </c>
      <c r="L57" s="23"/>
      <c r="M57" s="22">
        <v>0</v>
      </c>
      <c r="N57" s="74">
        <v>0</v>
      </c>
      <c r="O57" s="22">
        <v>0</v>
      </c>
      <c r="P57" s="21">
        <v>344000</v>
      </c>
      <c r="S57" s="108" t="b">
        <f>OR(COUNTIF(Tabla2[[#This Row],[PROVEEDOR]],"*"&amp;'Palabra no opera'!$A$2&amp;"*"))</f>
        <v>0</v>
      </c>
      <c r="T57" s="139">
        <f>+$W$5-Tabla2[[#This Row],[FECHA DE FACTURACIÓN]]</f>
        <v>24</v>
      </c>
      <c r="U57" t="str">
        <f>+IF(Tabla2[[#This Row],[dias de credito]]&gt;=Tabla2[[#This Row],[PLAZO Días]],"venc", "No venc")</f>
        <v>No venc</v>
      </c>
      <c r="V57" t="str">
        <f>+IF(Tabla2[[#This Row],[FECHA DE PAGO]]&gt;0,"pagada","por pagar")</f>
        <v>pagada</v>
      </c>
      <c r="W57" s="141" t="str">
        <f>+IF(AND(Tabla2[[#This Row],[venc]]="venc",Tabla2[[#This Row],[Columna1]]="por pagar"),"vencida","no")</f>
        <v>no</v>
      </c>
    </row>
    <row r="58" spans="1:23" ht="15.6" hidden="1" x14ac:dyDescent="0.3">
      <c r="A58" s="20">
        <v>60</v>
      </c>
      <c r="B58" s="25">
        <v>395600</v>
      </c>
      <c r="C58" s="25"/>
      <c r="D58" s="56" t="s">
        <v>1482</v>
      </c>
      <c r="E58" s="426">
        <v>45278</v>
      </c>
      <c r="F58" s="26" t="s">
        <v>287</v>
      </c>
      <c r="G58" s="426">
        <v>45267</v>
      </c>
      <c r="H58" s="35">
        <v>1863</v>
      </c>
      <c r="I58" s="21">
        <v>430000</v>
      </c>
      <c r="J58" s="21"/>
      <c r="K58" s="22">
        <v>0</v>
      </c>
      <c r="L58" s="23"/>
      <c r="M58" s="22">
        <v>0</v>
      </c>
      <c r="N58" s="74">
        <v>0</v>
      </c>
      <c r="O58" s="22">
        <v>0</v>
      </c>
      <c r="P58" s="21">
        <v>430000</v>
      </c>
      <c r="S58" s="108" t="b">
        <f>OR(COUNTIF(Tabla2[[#This Row],[PROVEEDOR]],"*"&amp;'Palabra no opera'!$A$2&amp;"*"))</f>
        <v>0</v>
      </c>
      <c r="T58" s="139">
        <f>+$W$5-Tabla2[[#This Row],[FECHA DE FACTURACIÓN]]</f>
        <v>24</v>
      </c>
      <c r="U58" t="str">
        <f>+IF(Tabla2[[#This Row],[dias de credito]]&gt;=Tabla2[[#This Row],[PLAZO Días]],"venc", "No venc")</f>
        <v>No venc</v>
      </c>
      <c r="V58" t="str">
        <f>+IF(Tabla2[[#This Row],[FECHA DE PAGO]]&gt;0,"pagada","por pagar")</f>
        <v>pagada</v>
      </c>
      <c r="W58" s="141" t="str">
        <f>+IF(AND(Tabla2[[#This Row],[venc]]="venc",Tabla2[[#This Row],[Columna1]]="por pagar"),"vencida","no")</f>
        <v>no</v>
      </c>
    </row>
    <row r="59" spans="1:23" ht="15.6" hidden="1" x14ac:dyDescent="0.3">
      <c r="A59" s="20">
        <v>60</v>
      </c>
      <c r="B59" s="25">
        <v>395600</v>
      </c>
      <c r="C59" s="25"/>
      <c r="D59" s="56" t="s">
        <v>1482</v>
      </c>
      <c r="E59" s="426">
        <v>45278</v>
      </c>
      <c r="F59" s="26" t="s">
        <v>287</v>
      </c>
      <c r="G59" s="426">
        <v>45264</v>
      </c>
      <c r="H59" s="35">
        <v>1853</v>
      </c>
      <c r="I59" s="21">
        <v>619200</v>
      </c>
      <c r="J59" s="21"/>
      <c r="K59" s="22">
        <v>0</v>
      </c>
      <c r="L59" s="23"/>
      <c r="M59" s="22">
        <v>0</v>
      </c>
      <c r="N59" s="74">
        <v>0</v>
      </c>
      <c r="O59" s="22">
        <v>0</v>
      </c>
      <c r="P59" s="21">
        <v>619200</v>
      </c>
      <c r="S59" s="108" t="b">
        <f>OR(COUNTIF(Tabla2[[#This Row],[PROVEEDOR]],"*"&amp;'Palabra no opera'!$A$2&amp;"*"))</f>
        <v>0</v>
      </c>
      <c r="T59" s="139">
        <f>+$W$5-Tabla2[[#This Row],[FECHA DE FACTURACIÓN]]</f>
        <v>27</v>
      </c>
      <c r="U59" t="str">
        <f>+IF(Tabla2[[#This Row],[dias de credito]]&gt;=Tabla2[[#This Row],[PLAZO Días]],"venc", "No venc")</f>
        <v>No venc</v>
      </c>
      <c r="V59" t="str">
        <f>+IF(Tabla2[[#This Row],[FECHA DE PAGO]]&gt;0,"pagada","por pagar")</f>
        <v>pagada</v>
      </c>
      <c r="W59" s="141" t="str">
        <f>+IF(AND(Tabla2[[#This Row],[venc]]="venc",Tabla2[[#This Row],[Columna1]]="por pagar"),"vencida","no")</f>
        <v>no</v>
      </c>
    </row>
    <row r="60" spans="1:23" ht="15.6" hidden="1" x14ac:dyDescent="0.3">
      <c r="A60" s="20">
        <v>60</v>
      </c>
      <c r="B60" s="25">
        <v>395600</v>
      </c>
      <c r="C60" s="25"/>
      <c r="D60" s="56" t="s">
        <v>1482</v>
      </c>
      <c r="E60" s="426">
        <v>45278</v>
      </c>
      <c r="F60" s="26" t="s">
        <v>287</v>
      </c>
      <c r="G60" s="426">
        <v>45260</v>
      </c>
      <c r="H60" s="35">
        <v>1835</v>
      </c>
      <c r="I60" s="21">
        <v>172000</v>
      </c>
      <c r="J60" s="21"/>
      <c r="K60" s="22">
        <v>0</v>
      </c>
      <c r="L60" s="23"/>
      <c r="M60" s="22">
        <v>0</v>
      </c>
      <c r="N60" s="74">
        <v>0</v>
      </c>
      <c r="O60" s="22">
        <v>0</v>
      </c>
      <c r="P60" s="21">
        <v>172000</v>
      </c>
      <c r="S60" s="108" t="b">
        <f>OR(COUNTIF(Tabla2[[#This Row],[PROVEEDOR]],"*"&amp;'Palabra no opera'!$A$2&amp;"*"))</f>
        <v>0</v>
      </c>
      <c r="T60" s="139">
        <f>+$W$5-Tabla2[[#This Row],[FECHA DE FACTURACIÓN]]</f>
        <v>31</v>
      </c>
      <c r="U60" t="str">
        <f>+IF(Tabla2[[#This Row],[dias de credito]]&gt;=Tabla2[[#This Row],[PLAZO Días]],"venc", "No venc")</f>
        <v>No venc</v>
      </c>
      <c r="V60" t="str">
        <f>+IF(Tabla2[[#This Row],[FECHA DE PAGO]]&gt;0,"pagada","por pagar")</f>
        <v>pagada</v>
      </c>
      <c r="W60" s="141" t="str">
        <f>+IF(AND(Tabla2[[#This Row],[venc]]="venc",Tabla2[[#This Row],[Columna1]]="por pagar"),"vencida","no")</f>
        <v>no</v>
      </c>
    </row>
    <row r="61" spans="1:23" ht="15.6" hidden="1" x14ac:dyDescent="0.3">
      <c r="A61" s="20">
        <v>60</v>
      </c>
      <c r="B61" s="25">
        <v>395600</v>
      </c>
      <c r="C61" s="25"/>
      <c r="D61" s="56" t="s">
        <v>1482</v>
      </c>
      <c r="E61" s="426">
        <v>45278</v>
      </c>
      <c r="F61" s="26" t="s">
        <v>287</v>
      </c>
      <c r="G61" s="426">
        <v>45260</v>
      </c>
      <c r="H61" s="35">
        <v>1836</v>
      </c>
      <c r="I61" s="21">
        <v>447200</v>
      </c>
      <c r="J61" s="21"/>
      <c r="K61" s="22">
        <v>0</v>
      </c>
      <c r="L61" s="23"/>
      <c r="M61" s="22">
        <v>0</v>
      </c>
      <c r="N61" s="74">
        <v>0</v>
      </c>
      <c r="O61" s="22">
        <v>0</v>
      </c>
      <c r="P61" s="21">
        <v>447200</v>
      </c>
      <c r="S61" s="108" t="b">
        <f>OR(COUNTIF(Tabla2[[#This Row],[PROVEEDOR]],"*"&amp;'Palabra no opera'!$A$2&amp;"*"))</f>
        <v>0</v>
      </c>
      <c r="T61" s="139">
        <f>+$W$5-Tabla2[[#This Row],[FECHA DE FACTURACIÓN]]</f>
        <v>31</v>
      </c>
      <c r="U61" t="str">
        <f>+IF(Tabla2[[#This Row],[dias de credito]]&gt;=Tabla2[[#This Row],[PLAZO Días]],"venc", "No venc")</f>
        <v>No venc</v>
      </c>
      <c r="V61" t="str">
        <f>+IF(Tabla2[[#This Row],[FECHA DE PAGO]]&gt;0,"pagada","por pagar")</f>
        <v>pagada</v>
      </c>
      <c r="W61" s="141" t="str">
        <f>+IF(AND(Tabla2[[#This Row],[venc]]="venc",Tabla2[[#This Row],[Columna1]]="por pagar"),"vencida","no")</f>
        <v>no</v>
      </c>
    </row>
    <row r="62" spans="1:23" ht="15.6" hidden="1" x14ac:dyDescent="0.3">
      <c r="A62" s="20">
        <v>60</v>
      </c>
      <c r="B62" s="25">
        <v>395600</v>
      </c>
      <c r="C62" s="25"/>
      <c r="D62" s="56" t="s">
        <v>1482</v>
      </c>
      <c r="E62" s="426">
        <v>45278</v>
      </c>
      <c r="F62" s="26" t="s">
        <v>287</v>
      </c>
      <c r="G62" s="426">
        <v>45260</v>
      </c>
      <c r="H62" s="35">
        <v>1837</v>
      </c>
      <c r="I62" s="21">
        <v>516000</v>
      </c>
      <c r="J62" s="21"/>
      <c r="K62" s="22">
        <v>0</v>
      </c>
      <c r="L62" s="23"/>
      <c r="M62" s="22">
        <v>0</v>
      </c>
      <c r="N62" s="74">
        <v>0</v>
      </c>
      <c r="O62" s="22">
        <v>0</v>
      </c>
      <c r="P62" s="21">
        <v>516000</v>
      </c>
      <c r="S62" s="108" t="b">
        <f>OR(COUNTIF(Tabla2[[#This Row],[PROVEEDOR]],"*"&amp;'Palabra no opera'!$A$2&amp;"*"))</f>
        <v>0</v>
      </c>
      <c r="T62" s="139">
        <f>+$W$5-Tabla2[[#This Row],[FECHA DE FACTURACIÓN]]</f>
        <v>31</v>
      </c>
      <c r="U62" t="str">
        <f>+IF(Tabla2[[#This Row],[dias de credito]]&gt;=Tabla2[[#This Row],[PLAZO Días]],"venc", "No venc")</f>
        <v>No venc</v>
      </c>
      <c r="V62" t="str">
        <f>+IF(Tabla2[[#This Row],[FECHA DE PAGO]]&gt;0,"pagada","por pagar")</f>
        <v>pagada</v>
      </c>
      <c r="W62" s="141" t="str">
        <f>+IF(AND(Tabla2[[#This Row],[venc]]="venc",Tabla2[[#This Row],[Columna1]]="por pagar"),"vencida","no")</f>
        <v>no</v>
      </c>
    </row>
    <row r="63" spans="1:23" ht="15.6" hidden="1" x14ac:dyDescent="0.3">
      <c r="A63" s="20">
        <v>60</v>
      </c>
      <c r="B63" s="25">
        <v>395600</v>
      </c>
      <c r="C63" s="25"/>
      <c r="D63" s="56" t="s">
        <v>1482</v>
      </c>
      <c r="E63" s="426">
        <v>45278</v>
      </c>
      <c r="F63" s="26" t="s">
        <v>287</v>
      </c>
      <c r="G63" s="426">
        <v>45260</v>
      </c>
      <c r="H63" s="35">
        <v>1841</v>
      </c>
      <c r="I63" s="21">
        <v>1097790</v>
      </c>
      <c r="J63" s="21"/>
      <c r="K63" s="22">
        <v>0</v>
      </c>
      <c r="L63" s="23"/>
      <c r="M63" s="22">
        <v>0</v>
      </c>
      <c r="N63" s="74">
        <v>0</v>
      </c>
      <c r="O63" s="22">
        <v>0</v>
      </c>
      <c r="P63" s="21">
        <v>1097790</v>
      </c>
      <c r="S63" s="108" t="b">
        <f>OR(COUNTIF(Tabla2[[#This Row],[PROVEEDOR]],"*"&amp;'Palabra no opera'!$A$2&amp;"*"))</f>
        <v>0</v>
      </c>
      <c r="T63" s="139">
        <f>+$W$5-Tabla2[[#This Row],[FECHA DE FACTURACIÓN]]</f>
        <v>31</v>
      </c>
      <c r="U63" t="str">
        <f>+IF(Tabla2[[#This Row],[dias de credito]]&gt;=Tabla2[[#This Row],[PLAZO Días]],"venc", "No venc")</f>
        <v>No venc</v>
      </c>
      <c r="V63" t="str">
        <f>+IF(Tabla2[[#This Row],[FECHA DE PAGO]]&gt;0,"pagada","por pagar")</f>
        <v>pagada</v>
      </c>
      <c r="W63" s="141" t="str">
        <f>+IF(AND(Tabla2[[#This Row],[venc]]="venc",Tabla2[[#This Row],[Columna1]]="por pagar"),"vencida","no")</f>
        <v>no</v>
      </c>
    </row>
    <row r="64" spans="1:23" ht="15.6" hidden="1" x14ac:dyDescent="0.3">
      <c r="A64" s="20">
        <v>60</v>
      </c>
      <c r="B64" s="25">
        <v>395600</v>
      </c>
      <c r="C64" s="25"/>
      <c r="D64" s="56" t="s">
        <v>1482</v>
      </c>
      <c r="E64" s="426">
        <v>45278</v>
      </c>
      <c r="F64" s="26" t="s">
        <v>287</v>
      </c>
      <c r="G64" s="426">
        <v>45260</v>
      </c>
      <c r="H64" s="35">
        <v>1851</v>
      </c>
      <c r="I64" s="21">
        <v>756800</v>
      </c>
      <c r="J64" s="21"/>
      <c r="K64" s="22">
        <v>0</v>
      </c>
      <c r="L64" s="23"/>
      <c r="M64" s="22">
        <v>0</v>
      </c>
      <c r="N64" s="74">
        <v>0</v>
      </c>
      <c r="O64" s="22">
        <v>0</v>
      </c>
      <c r="P64" s="21">
        <v>756800</v>
      </c>
      <c r="S64" s="108" t="b">
        <f>OR(COUNTIF(Tabla2[[#This Row],[PROVEEDOR]],"*"&amp;'Palabra no opera'!$A$2&amp;"*"))</f>
        <v>0</v>
      </c>
      <c r="T64" s="139">
        <f>+$W$5-Tabla2[[#This Row],[FECHA DE FACTURACIÓN]]</f>
        <v>31</v>
      </c>
      <c r="U64" t="str">
        <f>+IF(Tabla2[[#This Row],[dias de credito]]&gt;=Tabla2[[#This Row],[PLAZO Días]],"venc", "No venc")</f>
        <v>No venc</v>
      </c>
      <c r="V64" t="str">
        <f>+IF(Tabla2[[#This Row],[FECHA DE PAGO]]&gt;0,"pagada","por pagar")</f>
        <v>pagada</v>
      </c>
      <c r="W64" s="141" t="str">
        <f>+IF(AND(Tabla2[[#This Row],[venc]]="venc",Tabla2[[#This Row],[Columna1]]="por pagar"),"vencida","no")</f>
        <v>no</v>
      </c>
    </row>
    <row r="65" spans="1:23" ht="15.6" hidden="1" x14ac:dyDescent="0.3">
      <c r="A65" s="20">
        <v>60</v>
      </c>
      <c r="B65" s="25">
        <v>395600</v>
      </c>
      <c r="C65" s="25"/>
      <c r="D65" s="56" t="s">
        <v>1482</v>
      </c>
      <c r="E65" s="426">
        <v>45278</v>
      </c>
      <c r="F65" s="26" t="s">
        <v>287</v>
      </c>
      <c r="G65" s="426">
        <v>45260</v>
      </c>
      <c r="H65" s="35">
        <v>1850</v>
      </c>
      <c r="I65" s="21">
        <v>1177770</v>
      </c>
      <c r="J65" s="21"/>
      <c r="K65" s="22">
        <v>0</v>
      </c>
      <c r="L65" s="23"/>
      <c r="M65" s="22">
        <v>0</v>
      </c>
      <c r="N65" s="74">
        <v>0</v>
      </c>
      <c r="O65" s="22">
        <v>0</v>
      </c>
      <c r="P65" s="21">
        <v>1177770</v>
      </c>
      <c r="S65" s="108" t="b">
        <f>OR(COUNTIF(Tabla2[[#This Row],[PROVEEDOR]],"*"&amp;'Palabra no opera'!$A$2&amp;"*"))</f>
        <v>0</v>
      </c>
      <c r="T65" s="139">
        <f>+$W$5-Tabla2[[#This Row],[FECHA DE FACTURACIÓN]]</f>
        <v>31</v>
      </c>
      <c r="U65" t="str">
        <f>+IF(Tabla2[[#This Row],[dias de credito]]&gt;=Tabla2[[#This Row],[PLAZO Días]],"venc", "No venc")</f>
        <v>No venc</v>
      </c>
      <c r="V65" t="str">
        <f>+IF(Tabla2[[#This Row],[FECHA DE PAGO]]&gt;0,"pagada","por pagar")</f>
        <v>pagada</v>
      </c>
      <c r="W65" s="141" t="str">
        <f>+IF(AND(Tabla2[[#This Row],[venc]]="venc",Tabla2[[#This Row],[Columna1]]="por pagar"),"vencida","no")</f>
        <v>no</v>
      </c>
    </row>
    <row r="66" spans="1:23" ht="15.6" hidden="1" x14ac:dyDescent="0.3">
      <c r="A66" s="20">
        <v>30</v>
      </c>
      <c r="B66" s="25">
        <v>1316890.8900000001</v>
      </c>
      <c r="C66" s="25"/>
      <c r="D66" s="56" t="s">
        <v>188</v>
      </c>
      <c r="E66" s="426">
        <v>45278</v>
      </c>
      <c r="F66" s="26" t="s">
        <v>17</v>
      </c>
      <c r="G66" s="426">
        <v>45257</v>
      </c>
      <c r="H66" s="35" t="s">
        <v>2184</v>
      </c>
      <c r="I66" s="21">
        <v>137997.5</v>
      </c>
      <c r="J66" s="21"/>
      <c r="K66" s="22">
        <v>26219.525000000001</v>
      </c>
      <c r="L66" s="23"/>
      <c r="M66" s="22">
        <v>0</v>
      </c>
      <c r="N66" s="74">
        <v>0</v>
      </c>
      <c r="O66" s="22">
        <v>0</v>
      </c>
      <c r="P66" s="21">
        <v>164217.02499999999</v>
      </c>
      <c r="S66" s="108" t="b">
        <f>OR(COUNTIF(Tabla2[[#This Row],[PROVEEDOR]],"*"&amp;'Palabra no opera'!$A$2&amp;"*"))</f>
        <v>0</v>
      </c>
      <c r="T66" s="139">
        <f>+$W$5-Tabla2[[#This Row],[FECHA DE FACTURACIÓN]]</f>
        <v>34</v>
      </c>
      <c r="U66" t="str">
        <f>+IF(Tabla2[[#This Row],[dias de credito]]&gt;=Tabla2[[#This Row],[PLAZO Días]],"venc", "No venc")</f>
        <v>venc</v>
      </c>
      <c r="V66" t="str">
        <f>+IF(Tabla2[[#This Row],[FECHA DE PAGO]]&gt;0,"pagada","por pagar")</f>
        <v>pagada</v>
      </c>
      <c r="W66" s="141" t="str">
        <f>+IF(AND(Tabla2[[#This Row],[venc]]="venc",Tabla2[[#This Row],[Columna1]]="por pagar"),"vencida","no")</f>
        <v>no</v>
      </c>
    </row>
    <row r="67" spans="1:23" ht="15.6" hidden="1" x14ac:dyDescent="0.3">
      <c r="A67" s="20">
        <v>60</v>
      </c>
      <c r="B67" s="25">
        <v>395600</v>
      </c>
      <c r="C67" s="25"/>
      <c r="D67" s="56" t="s">
        <v>1482</v>
      </c>
      <c r="E67" s="426">
        <v>45278</v>
      </c>
      <c r="F67" s="26" t="s">
        <v>287</v>
      </c>
      <c r="G67" s="426">
        <v>45252</v>
      </c>
      <c r="H67" s="35">
        <v>1832</v>
      </c>
      <c r="I67" s="21">
        <v>584800</v>
      </c>
      <c r="J67" s="21"/>
      <c r="K67" s="22">
        <v>0</v>
      </c>
      <c r="L67" s="23"/>
      <c r="M67" s="22">
        <v>0</v>
      </c>
      <c r="N67" s="74">
        <v>0</v>
      </c>
      <c r="O67" s="22">
        <v>0</v>
      </c>
      <c r="P67" s="21">
        <v>584800</v>
      </c>
      <c r="S67" s="108" t="b">
        <f>OR(COUNTIF(Tabla2[[#This Row],[PROVEEDOR]],"*"&amp;'Palabra no opera'!$A$2&amp;"*"))</f>
        <v>0</v>
      </c>
      <c r="T67" s="139">
        <f>+$W$5-Tabla2[[#This Row],[FECHA DE FACTURACIÓN]]</f>
        <v>39</v>
      </c>
      <c r="U67" t="str">
        <f>+IF(Tabla2[[#This Row],[dias de credito]]&gt;=Tabla2[[#This Row],[PLAZO Días]],"venc", "No venc")</f>
        <v>No venc</v>
      </c>
      <c r="V67" t="str">
        <f>+IF(Tabla2[[#This Row],[FECHA DE PAGO]]&gt;0,"pagada","por pagar")</f>
        <v>pagada</v>
      </c>
      <c r="W67" s="141" t="str">
        <f>+IF(AND(Tabla2[[#This Row],[venc]]="venc",Tabla2[[#This Row],[Columna1]]="por pagar"),"vencida","no")</f>
        <v>no</v>
      </c>
    </row>
    <row r="68" spans="1:23" ht="15.6" hidden="1" x14ac:dyDescent="0.3">
      <c r="A68" s="20">
        <v>60</v>
      </c>
      <c r="B68" s="25">
        <v>395600</v>
      </c>
      <c r="C68" s="25"/>
      <c r="D68" s="56" t="s">
        <v>1482</v>
      </c>
      <c r="E68" s="426">
        <v>45278</v>
      </c>
      <c r="F68" s="26" t="s">
        <v>287</v>
      </c>
      <c r="G68" s="426">
        <v>45251</v>
      </c>
      <c r="H68" s="35">
        <v>1831</v>
      </c>
      <c r="I68" s="21">
        <v>602000</v>
      </c>
      <c r="J68" s="21"/>
      <c r="K68" s="22">
        <v>0</v>
      </c>
      <c r="L68" s="23"/>
      <c r="M68" s="22">
        <v>0</v>
      </c>
      <c r="N68" s="74">
        <v>0</v>
      </c>
      <c r="O68" s="22">
        <v>0</v>
      </c>
      <c r="P68" s="21">
        <v>602000</v>
      </c>
      <c r="S68" s="108" t="b">
        <f>OR(COUNTIF(Tabla2[[#This Row],[PROVEEDOR]],"*"&amp;'Palabra no opera'!$A$2&amp;"*"))</f>
        <v>0</v>
      </c>
      <c r="T68" s="139">
        <f>+$W$5-Tabla2[[#This Row],[FECHA DE FACTURACIÓN]]</f>
        <v>40</v>
      </c>
      <c r="U68" t="str">
        <f>+IF(Tabla2[[#This Row],[dias de credito]]&gt;=Tabla2[[#This Row],[PLAZO Días]],"venc", "No venc")</f>
        <v>No venc</v>
      </c>
      <c r="V68" t="str">
        <f>+IF(Tabla2[[#This Row],[FECHA DE PAGO]]&gt;0,"pagada","por pagar")</f>
        <v>pagada</v>
      </c>
      <c r="W68" s="141" t="str">
        <f>+IF(AND(Tabla2[[#This Row],[venc]]="venc",Tabla2[[#This Row],[Columna1]]="por pagar"),"vencida","no")</f>
        <v>no</v>
      </c>
    </row>
    <row r="69" spans="1:23" ht="15.6" hidden="1" x14ac:dyDescent="0.3">
      <c r="A69" s="20">
        <v>30</v>
      </c>
      <c r="B69" s="25">
        <v>1316890.8900000001</v>
      </c>
      <c r="C69" s="25"/>
      <c r="D69" s="56" t="s">
        <v>188</v>
      </c>
      <c r="E69" s="426">
        <v>45278</v>
      </c>
      <c r="F69" s="26" t="s">
        <v>17</v>
      </c>
      <c r="G69" s="426">
        <v>45247</v>
      </c>
      <c r="H69" s="35" t="s">
        <v>2140</v>
      </c>
      <c r="I69" s="21">
        <v>1350000</v>
      </c>
      <c r="J69" s="21"/>
      <c r="K69" s="22">
        <v>256500</v>
      </c>
      <c r="L69" s="23"/>
      <c r="M69" s="22">
        <v>0</v>
      </c>
      <c r="N69" s="74">
        <v>0</v>
      </c>
      <c r="O69" s="22">
        <v>0</v>
      </c>
      <c r="P69" s="21">
        <v>1606500</v>
      </c>
      <c r="S69" s="108" t="b">
        <f>OR(COUNTIF(Tabla2[[#This Row],[PROVEEDOR]],"*"&amp;'Palabra no opera'!$A$2&amp;"*"))</f>
        <v>0</v>
      </c>
      <c r="T69" s="139">
        <f>+$W$5-Tabla2[[#This Row],[FECHA DE FACTURACIÓN]]</f>
        <v>44</v>
      </c>
      <c r="U69" t="str">
        <f>+IF(Tabla2[[#This Row],[dias de credito]]&gt;=Tabla2[[#This Row],[PLAZO Días]],"venc", "No venc")</f>
        <v>venc</v>
      </c>
      <c r="V69" t="str">
        <f>+IF(Tabla2[[#This Row],[FECHA DE PAGO]]&gt;0,"pagada","por pagar")</f>
        <v>pagada</v>
      </c>
      <c r="W69" s="141" t="str">
        <f>+IF(AND(Tabla2[[#This Row],[venc]]="venc",Tabla2[[#This Row],[Columna1]]="por pagar"),"vencida","no")</f>
        <v>no</v>
      </c>
    </row>
    <row r="70" spans="1:23" ht="15.6" hidden="1" x14ac:dyDescent="0.3">
      <c r="A70" s="20">
        <v>30</v>
      </c>
      <c r="B70" s="25">
        <v>4248480.9550000001</v>
      </c>
      <c r="C70" s="25"/>
      <c r="D70" s="56" t="s">
        <v>107</v>
      </c>
      <c r="E70" s="426">
        <v>45278</v>
      </c>
      <c r="F70" s="26" t="s">
        <v>78</v>
      </c>
      <c r="G70" s="426">
        <v>45245</v>
      </c>
      <c r="H70" s="35" t="s">
        <v>2183</v>
      </c>
      <c r="I70" s="21">
        <v>3617549</v>
      </c>
      <c r="J70" s="21"/>
      <c r="K70" s="22">
        <v>687334.31</v>
      </c>
      <c r="L70" s="23"/>
      <c r="M70" s="22">
        <v>0</v>
      </c>
      <c r="N70" s="74">
        <v>2.5000000000000001E-2</v>
      </c>
      <c r="O70" s="22">
        <v>90438.725000000006</v>
      </c>
      <c r="P70" s="21">
        <v>4214444.5850000009</v>
      </c>
      <c r="S70" s="108" t="b">
        <f>OR(COUNTIF(Tabla2[[#This Row],[PROVEEDOR]],"*"&amp;'Palabra no opera'!$A$2&amp;"*"))</f>
        <v>0</v>
      </c>
      <c r="T70" s="139">
        <f>+$W$5-Tabla2[[#This Row],[FECHA DE FACTURACIÓN]]</f>
        <v>46</v>
      </c>
      <c r="U70" t="str">
        <f>+IF(Tabla2[[#This Row],[dias de credito]]&gt;=Tabla2[[#This Row],[PLAZO Días]],"venc", "No venc")</f>
        <v>venc</v>
      </c>
      <c r="V70" t="str">
        <f>+IF(Tabla2[[#This Row],[FECHA DE PAGO]]&gt;0,"pagada","por pagar")</f>
        <v>pagada</v>
      </c>
      <c r="W70" s="141" t="str">
        <f>+IF(AND(Tabla2[[#This Row],[venc]]="venc",Tabla2[[#This Row],[Columna1]]="por pagar"),"vencida","no")</f>
        <v>no</v>
      </c>
    </row>
    <row r="71" spans="1:23" ht="15.6" hidden="1" x14ac:dyDescent="0.3">
      <c r="A71" s="20">
        <v>30</v>
      </c>
      <c r="B71" s="25">
        <v>17870934.149999999</v>
      </c>
      <c r="C71" s="25"/>
      <c r="D71" s="56" t="s">
        <v>182</v>
      </c>
      <c r="E71" s="426">
        <v>45278</v>
      </c>
      <c r="F71" s="26" t="s">
        <v>18</v>
      </c>
      <c r="G71" s="426">
        <v>45245</v>
      </c>
      <c r="H71" s="35" t="s">
        <v>2169</v>
      </c>
      <c r="I71" s="21">
        <v>1809303</v>
      </c>
      <c r="J71" s="21"/>
      <c r="K71" s="22">
        <v>343767.57</v>
      </c>
      <c r="L71" s="23"/>
      <c r="M71" s="22">
        <v>0</v>
      </c>
      <c r="N71" s="74">
        <v>2.5000000000000001E-2</v>
      </c>
      <c r="O71" s="22">
        <v>45232.575000000004</v>
      </c>
      <c r="P71" s="21">
        <v>2107837.9949999996</v>
      </c>
      <c r="S71" s="108" t="b">
        <f>OR(COUNTIF(Tabla2[[#This Row],[PROVEEDOR]],"*"&amp;'Palabra no opera'!$A$2&amp;"*"))</f>
        <v>0</v>
      </c>
      <c r="T71" s="139">
        <f>+$W$5-Tabla2[[#This Row],[FECHA DE FACTURACIÓN]]</f>
        <v>46</v>
      </c>
      <c r="U71" t="str">
        <f>+IF(Tabla2[[#This Row],[dias de credito]]&gt;=Tabla2[[#This Row],[PLAZO Días]],"venc", "No venc")</f>
        <v>venc</v>
      </c>
      <c r="V71" t="str">
        <f>+IF(Tabla2[[#This Row],[FECHA DE PAGO]]&gt;0,"pagada","por pagar")</f>
        <v>pagada</v>
      </c>
      <c r="W71" s="141" t="str">
        <f>+IF(AND(Tabla2[[#This Row],[venc]]="venc",Tabla2[[#This Row],[Columna1]]="por pagar"),"vencida","no")</f>
        <v>no</v>
      </c>
    </row>
    <row r="72" spans="1:23" ht="15.6" hidden="1" x14ac:dyDescent="0.3">
      <c r="A72" s="20">
        <v>30</v>
      </c>
      <c r="B72" s="25">
        <v>4248480.9550000001</v>
      </c>
      <c r="C72" s="25"/>
      <c r="D72" s="56" t="s">
        <v>107</v>
      </c>
      <c r="E72" s="426">
        <v>45278</v>
      </c>
      <c r="F72" s="26" t="s">
        <v>78</v>
      </c>
      <c r="G72" s="426">
        <v>45240</v>
      </c>
      <c r="H72" s="35" t="s">
        <v>2182</v>
      </c>
      <c r="I72" s="21">
        <v>105189</v>
      </c>
      <c r="J72" s="21"/>
      <c r="K72" s="22">
        <v>19985.91</v>
      </c>
      <c r="L72" s="23"/>
      <c r="M72" s="22">
        <v>0</v>
      </c>
      <c r="N72" s="74">
        <v>0</v>
      </c>
      <c r="O72" s="22">
        <v>0</v>
      </c>
      <c r="P72" s="21">
        <v>125174.91</v>
      </c>
      <c r="S72" s="108" t="b">
        <f>OR(COUNTIF(Tabla2[[#This Row],[PROVEEDOR]],"*"&amp;'Palabra no opera'!$A$2&amp;"*"))</f>
        <v>0</v>
      </c>
      <c r="T72" s="139">
        <f>+$W$5-Tabla2[[#This Row],[FECHA DE FACTURACIÓN]]</f>
        <v>51</v>
      </c>
      <c r="U72" t="str">
        <f>+IF(Tabla2[[#This Row],[dias de credito]]&gt;=Tabla2[[#This Row],[PLAZO Días]],"venc", "No venc")</f>
        <v>venc</v>
      </c>
      <c r="V72" t="str">
        <f>+IF(Tabla2[[#This Row],[FECHA DE PAGO]]&gt;0,"pagada","por pagar")</f>
        <v>pagada</v>
      </c>
      <c r="W72" s="141" t="str">
        <f>+IF(AND(Tabla2[[#This Row],[venc]]="venc",Tabla2[[#This Row],[Columna1]]="por pagar"),"vencida","no")</f>
        <v>no</v>
      </c>
    </row>
    <row r="73" spans="1:23" ht="15.6" hidden="1" x14ac:dyDescent="0.3">
      <c r="A73" s="20">
        <v>30</v>
      </c>
      <c r="B73" s="25">
        <v>4282200</v>
      </c>
      <c r="C73" s="25"/>
      <c r="D73" s="56" t="s">
        <v>244</v>
      </c>
      <c r="E73" s="426">
        <v>45278</v>
      </c>
      <c r="F73" s="26" t="s">
        <v>406</v>
      </c>
      <c r="G73" s="426">
        <v>45239</v>
      </c>
      <c r="H73" s="35" t="s">
        <v>2186</v>
      </c>
      <c r="I73" s="21">
        <v>606900</v>
      </c>
      <c r="J73" s="21"/>
      <c r="K73" s="22">
        <v>0</v>
      </c>
      <c r="L73" s="23"/>
      <c r="M73" s="22">
        <v>0</v>
      </c>
      <c r="N73" s="74">
        <v>0</v>
      </c>
      <c r="O73" s="22">
        <v>0</v>
      </c>
      <c r="P73" s="21">
        <v>606900</v>
      </c>
      <c r="S73" s="108" t="b">
        <f>OR(COUNTIF(Tabla2[[#This Row],[PROVEEDOR]],"*"&amp;'Palabra no opera'!$A$2&amp;"*"))</f>
        <v>0</v>
      </c>
      <c r="T73" s="139">
        <f>+$W$5-Tabla2[[#This Row],[FECHA DE FACTURACIÓN]]</f>
        <v>52</v>
      </c>
      <c r="U73" t="str">
        <f>+IF(Tabla2[[#This Row],[dias de credito]]&gt;=Tabla2[[#This Row],[PLAZO Días]],"venc", "No venc")</f>
        <v>venc</v>
      </c>
      <c r="V73" t="str">
        <f>+IF(Tabla2[[#This Row],[FECHA DE PAGO]]&gt;0,"pagada","por pagar")</f>
        <v>pagada</v>
      </c>
      <c r="W73" s="141" t="str">
        <f>+IF(AND(Tabla2[[#This Row],[venc]]="venc",Tabla2[[#This Row],[Columna1]]="por pagar"),"vencida","no")</f>
        <v>no</v>
      </c>
    </row>
    <row r="74" spans="1:23" ht="15.6" hidden="1" x14ac:dyDescent="0.3">
      <c r="A74" s="20">
        <v>30</v>
      </c>
      <c r="B74" s="25">
        <v>17870934.149999999</v>
      </c>
      <c r="C74" s="25"/>
      <c r="D74" s="56" t="s">
        <v>182</v>
      </c>
      <c r="E74" s="426">
        <v>45278</v>
      </c>
      <c r="F74" s="26" t="s">
        <v>18</v>
      </c>
      <c r="G74" s="426">
        <v>45239</v>
      </c>
      <c r="H74" s="35" t="s">
        <v>2135</v>
      </c>
      <c r="I74" s="21">
        <v>10721534</v>
      </c>
      <c r="J74" s="21"/>
      <c r="K74" s="22">
        <v>2037091.46</v>
      </c>
      <c r="L74" s="23"/>
      <c r="M74" s="22">
        <v>0</v>
      </c>
      <c r="N74" s="74">
        <v>2.5000000000000001E-2</v>
      </c>
      <c r="O74" s="22">
        <v>268038.35000000003</v>
      </c>
      <c r="P74" s="21">
        <v>12490587.110000001</v>
      </c>
      <c r="S74" s="108" t="b">
        <f>OR(COUNTIF(Tabla2[[#This Row],[PROVEEDOR]],"*"&amp;'Palabra no opera'!$A$2&amp;"*"))</f>
        <v>0</v>
      </c>
      <c r="T74" s="139">
        <f>+$W$5-Tabla2[[#This Row],[FECHA DE FACTURACIÓN]]</f>
        <v>52</v>
      </c>
      <c r="U74" t="str">
        <f>+IF(Tabla2[[#This Row],[dias de credito]]&gt;=Tabla2[[#This Row],[PLAZO Días]],"venc", "No venc")</f>
        <v>venc</v>
      </c>
      <c r="V74" t="str">
        <f>+IF(Tabla2[[#This Row],[FECHA DE PAGO]]&gt;0,"pagada","por pagar")</f>
        <v>pagada</v>
      </c>
      <c r="W74" s="141" t="str">
        <f>+IF(AND(Tabla2[[#This Row],[venc]]="venc",Tabla2[[#This Row],[Columna1]]="por pagar"),"vencida","no")</f>
        <v>no</v>
      </c>
    </row>
    <row r="75" spans="1:23" ht="15.6" hidden="1" x14ac:dyDescent="0.3">
      <c r="A75" s="20">
        <v>30</v>
      </c>
      <c r="B75" s="25">
        <v>0</v>
      </c>
      <c r="C75" s="25"/>
      <c r="D75" s="56" t="s">
        <v>177</v>
      </c>
      <c r="E75" s="426">
        <v>45278</v>
      </c>
      <c r="F75" s="26" t="s">
        <v>1850</v>
      </c>
      <c r="G75" s="426">
        <v>45239</v>
      </c>
      <c r="H75" s="35" t="s">
        <v>2132</v>
      </c>
      <c r="I75" s="21">
        <v>1593276</v>
      </c>
      <c r="J75" s="21"/>
      <c r="K75" s="22">
        <v>302722.44</v>
      </c>
      <c r="L75" s="23"/>
      <c r="M75" s="22">
        <v>0</v>
      </c>
      <c r="N75" s="74">
        <v>2.5000000000000001E-2</v>
      </c>
      <c r="O75" s="22">
        <v>39831.9</v>
      </c>
      <c r="P75" s="21">
        <v>1856166.54</v>
      </c>
      <c r="S75" s="108" t="b">
        <f>OR(COUNTIF(Tabla2[[#This Row],[PROVEEDOR]],"*"&amp;'Palabra no opera'!$A$2&amp;"*"))</f>
        <v>0</v>
      </c>
      <c r="T75" s="139">
        <f>+$W$5-Tabla2[[#This Row],[FECHA DE FACTURACIÓN]]</f>
        <v>52</v>
      </c>
      <c r="U75" t="str">
        <f>+IF(Tabla2[[#This Row],[dias de credito]]&gt;=Tabla2[[#This Row],[PLAZO Días]],"venc", "No venc")</f>
        <v>venc</v>
      </c>
      <c r="V75" t="str">
        <f>+IF(Tabla2[[#This Row],[FECHA DE PAGO]]&gt;0,"pagada","por pagar")</f>
        <v>pagada</v>
      </c>
      <c r="W75" s="141" t="str">
        <f>+IF(AND(Tabla2[[#This Row],[venc]]="venc",Tabla2[[#This Row],[Columna1]]="por pagar"),"vencida","no")</f>
        <v>no</v>
      </c>
    </row>
    <row r="76" spans="1:23" ht="15.6" hidden="1" x14ac:dyDescent="0.3">
      <c r="A76" s="20">
        <v>30</v>
      </c>
      <c r="B76" s="25">
        <v>17870934.149999999</v>
      </c>
      <c r="C76" s="25"/>
      <c r="D76" s="56" t="s">
        <v>182</v>
      </c>
      <c r="E76" s="426">
        <v>45278</v>
      </c>
      <c r="F76" s="26" t="s">
        <v>18</v>
      </c>
      <c r="G76" s="426">
        <v>45237</v>
      </c>
      <c r="H76" s="35" t="s">
        <v>2133</v>
      </c>
      <c r="I76" s="21">
        <v>2007744</v>
      </c>
      <c r="J76" s="21"/>
      <c r="K76" s="22">
        <v>381471.36</v>
      </c>
      <c r="L76" s="23"/>
      <c r="M76" s="22">
        <v>0</v>
      </c>
      <c r="N76" s="74">
        <v>2.5000000000000001E-2</v>
      </c>
      <c r="O76" s="22">
        <v>50193.600000000006</v>
      </c>
      <c r="P76" s="21">
        <v>2339021.7599999998</v>
      </c>
      <c r="S76" s="108" t="b">
        <f>OR(COUNTIF(Tabla2[[#This Row],[PROVEEDOR]],"*"&amp;'Palabra no opera'!$A$2&amp;"*"))</f>
        <v>0</v>
      </c>
      <c r="T76" s="139">
        <f>+$W$5-Tabla2[[#This Row],[FECHA DE FACTURACIÓN]]</f>
        <v>54</v>
      </c>
      <c r="U76" t="str">
        <f>+IF(Tabla2[[#This Row],[dias de credito]]&gt;=Tabla2[[#This Row],[PLAZO Días]],"venc", "No venc")</f>
        <v>venc</v>
      </c>
      <c r="V76" t="str">
        <f>+IF(Tabla2[[#This Row],[FECHA DE PAGO]]&gt;0,"pagada","por pagar")</f>
        <v>pagada</v>
      </c>
      <c r="W76" s="141" t="str">
        <f>+IF(AND(Tabla2[[#This Row],[venc]]="venc",Tabla2[[#This Row],[Columna1]]="por pagar"),"vencida","no")</f>
        <v>no</v>
      </c>
    </row>
    <row r="77" spans="1:23" ht="15.6" hidden="1" x14ac:dyDescent="0.3">
      <c r="A77" s="20">
        <v>30</v>
      </c>
      <c r="B77" s="25">
        <v>0</v>
      </c>
      <c r="C77" s="25"/>
      <c r="D77" s="56" t="s">
        <v>107</v>
      </c>
      <c r="E77" s="426">
        <v>45277</v>
      </c>
      <c r="F77" s="26" t="s">
        <v>362</v>
      </c>
      <c r="G77" s="426">
        <v>45277</v>
      </c>
      <c r="H77" s="35" t="s">
        <v>2028</v>
      </c>
      <c r="I77" s="21">
        <v>400000</v>
      </c>
      <c r="J77" s="21"/>
      <c r="K77" s="22">
        <v>0</v>
      </c>
      <c r="L77" s="23"/>
      <c r="M77" s="22">
        <v>0</v>
      </c>
      <c r="N77" s="74">
        <v>0</v>
      </c>
      <c r="O77" s="22">
        <v>0</v>
      </c>
      <c r="P77" s="21">
        <v>400000</v>
      </c>
      <c r="S77" s="108" t="b">
        <f>OR(COUNTIF(Tabla2[[#This Row],[PROVEEDOR]],"*"&amp;'Palabra no opera'!$A$2&amp;"*"))</f>
        <v>0</v>
      </c>
      <c r="T77" s="139">
        <f>+$W$5-Tabla2[[#This Row],[FECHA DE FACTURACIÓN]]</f>
        <v>14</v>
      </c>
      <c r="U77" t="str">
        <f>+IF(Tabla2[[#This Row],[dias de credito]]&gt;=Tabla2[[#This Row],[PLAZO Días]],"venc", "No venc")</f>
        <v>No venc</v>
      </c>
      <c r="V77" t="str">
        <f>+IF(Tabla2[[#This Row],[FECHA DE PAGO]]&gt;0,"pagada","por pagar")</f>
        <v>pagada</v>
      </c>
      <c r="W77" s="141" t="str">
        <f>+IF(AND(Tabla2[[#This Row],[venc]]="venc",Tabla2[[#This Row],[Columna1]]="por pagar"),"vencida","no")</f>
        <v>no</v>
      </c>
    </row>
    <row r="78" spans="1:23" ht="15.6" hidden="1" x14ac:dyDescent="0.3">
      <c r="A78" s="20">
        <v>30</v>
      </c>
      <c r="B78" s="25">
        <v>0</v>
      </c>
      <c r="C78" s="25"/>
      <c r="D78" s="56">
        <v>0</v>
      </c>
      <c r="E78" s="426">
        <v>45276</v>
      </c>
      <c r="F78" s="26" t="s">
        <v>1350</v>
      </c>
      <c r="G78" s="426">
        <v>45276</v>
      </c>
      <c r="H78" s="35" t="s">
        <v>2269</v>
      </c>
      <c r="I78" s="21">
        <v>516000</v>
      </c>
      <c r="J78" s="21"/>
      <c r="K78" s="22">
        <v>98040</v>
      </c>
      <c r="L78" s="23"/>
      <c r="M78" s="22">
        <v>0</v>
      </c>
      <c r="N78" s="74">
        <v>0</v>
      </c>
      <c r="O78" s="22">
        <v>0</v>
      </c>
      <c r="P78" s="21">
        <v>614040</v>
      </c>
      <c r="S78" s="108" t="b">
        <f>OR(COUNTIF(Tabla2[[#This Row],[PROVEEDOR]],"*"&amp;'Palabra no opera'!$A$2&amp;"*"))</f>
        <v>0</v>
      </c>
      <c r="T78" s="139">
        <f>+$W$5-Tabla2[[#This Row],[FECHA DE FACTURACIÓN]]</f>
        <v>15</v>
      </c>
      <c r="U78" t="str">
        <f>+IF(Tabla2[[#This Row],[dias de credito]]&gt;=Tabla2[[#This Row],[PLAZO Días]],"venc", "No venc")</f>
        <v>No venc</v>
      </c>
      <c r="V78" t="str">
        <f>+IF(Tabla2[[#This Row],[FECHA DE PAGO]]&gt;0,"pagada","por pagar")</f>
        <v>pagada</v>
      </c>
      <c r="W78" s="141" t="str">
        <f>+IF(AND(Tabla2[[#This Row],[venc]]="venc",Tabla2[[#This Row],[Columna1]]="por pagar"),"vencida","no")</f>
        <v>no</v>
      </c>
    </row>
    <row r="79" spans="1:23" ht="15.6" hidden="1" x14ac:dyDescent="0.3">
      <c r="A79" s="20">
        <v>30</v>
      </c>
      <c r="B79" s="25">
        <v>0</v>
      </c>
      <c r="C79" s="25"/>
      <c r="D79" s="56" t="s">
        <v>107</v>
      </c>
      <c r="E79" s="426">
        <v>45275</v>
      </c>
      <c r="F79" s="26" t="s">
        <v>362</v>
      </c>
      <c r="G79" s="426">
        <v>45275</v>
      </c>
      <c r="H79" s="35" t="s">
        <v>2255</v>
      </c>
      <c r="I79" s="21">
        <v>180000</v>
      </c>
      <c r="J79" s="21"/>
      <c r="K79" s="22">
        <v>0</v>
      </c>
      <c r="L79" s="23"/>
      <c r="M79" s="22">
        <v>0</v>
      </c>
      <c r="N79" s="74">
        <v>0</v>
      </c>
      <c r="O79" s="22">
        <v>0</v>
      </c>
      <c r="P79" s="21">
        <v>180000</v>
      </c>
      <c r="S79" s="108" t="b">
        <f>OR(COUNTIF(Tabla2[[#This Row],[PROVEEDOR]],"*"&amp;'Palabra no opera'!$A$2&amp;"*"))</f>
        <v>0</v>
      </c>
      <c r="T79" s="139">
        <f>+$W$5-Tabla2[[#This Row],[FECHA DE FACTURACIÓN]]</f>
        <v>16</v>
      </c>
      <c r="U79" t="str">
        <f>+IF(Tabla2[[#This Row],[dias de credito]]&gt;=Tabla2[[#This Row],[PLAZO Días]],"venc", "No venc")</f>
        <v>No venc</v>
      </c>
      <c r="V79" t="str">
        <f>+IF(Tabla2[[#This Row],[FECHA DE PAGO]]&gt;0,"pagada","por pagar")</f>
        <v>pagada</v>
      </c>
      <c r="W79" s="141" t="str">
        <f>+IF(AND(Tabla2[[#This Row],[venc]]="venc",Tabla2[[#This Row],[Columna1]]="por pagar"),"vencida","no")</f>
        <v>no</v>
      </c>
    </row>
    <row r="80" spans="1:23" ht="15.6" hidden="1" x14ac:dyDescent="0.3">
      <c r="A80" s="20">
        <v>13</v>
      </c>
      <c r="B80" s="25">
        <v>0</v>
      </c>
      <c r="C80" s="25"/>
      <c r="D80" s="56">
        <v>0</v>
      </c>
      <c r="E80" s="426">
        <v>45275</v>
      </c>
      <c r="F80" s="26" t="s">
        <v>644</v>
      </c>
      <c r="G80" s="426">
        <v>45261</v>
      </c>
      <c r="H80" s="35"/>
      <c r="I80" s="21">
        <v>777310</v>
      </c>
      <c r="J80" s="21"/>
      <c r="K80" s="22">
        <v>0</v>
      </c>
      <c r="L80" s="23"/>
      <c r="M80" s="22">
        <v>0</v>
      </c>
      <c r="N80" s="74">
        <v>0</v>
      </c>
      <c r="O80" s="22">
        <v>0</v>
      </c>
      <c r="P80" s="21">
        <v>777310</v>
      </c>
      <c r="S80" s="108" t="b">
        <f>OR(COUNTIF(Tabla2[[#This Row],[PROVEEDOR]],"*"&amp;'Palabra no opera'!$A$2&amp;"*"))</f>
        <v>1</v>
      </c>
      <c r="T80" s="139">
        <f>+$W$5-Tabla2[[#This Row],[FECHA DE FACTURACIÓN]]</f>
        <v>30</v>
      </c>
      <c r="U80" t="str">
        <f>+IF(Tabla2[[#This Row],[dias de credito]]&gt;=Tabla2[[#This Row],[PLAZO Días]],"venc", "No venc")</f>
        <v>venc</v>
      </c>
      <c r="V80" t="str">
        <f>+IF(Tabla2[[#This Row],[FECHA DE PAGO]]&gt;0,"pagada","por pagar")</f>
        <v>pagada</v>
      </c>
      <c r="W80" s="141" t="str">
        <f>+IF(AND(Tabla2[[#This Row],[venc]]="venc",Tabla2[[#This Row],[Columna1]]="por pagar"),"vencida","no")</f>
        <v>no</v>
      </c>
    </row>
    <row r="81" spans="1:23" ht="15.6" hidden="1" x14ac:dyDescent="0.3">
      <c r="A81" s="20">
        <v>30</v>
      </c>
      <c r="B81" s="25">
        <v>0</v>
      </c>
      <c r="C81" s="25"/>
      <c r="D81" s="56" t="s">
        <v>107</v>
      </c>
      <c r="E81" s="426">
        <v>45274</v>
      </c>
      <c r="F81" s="26" t="s">
        <v>390</v>
      </c>
      <c r="G81" s="426">
        <v>45274</v>
      </c>
      <c r="H81" s="35"/>
      <c r="I81" s="21">
        <v>1300850</v>
      </c>
      <c r="J81" s="21"/>
      <c r="K81" s="22">
        <v>0</v>
      </c>
      <c r="L81" s="23"/>
      <c r="M81" s="22">
        <v>0</v>
      </c>
      <c r="N81" s="74">
        <v>0</v>
      </c>
      <c r="O81" s="22">
        <v>0</v>
      </c>
      <c r="P81" s="21">
        <v>1300850</v>
      </c>
      <c r="S81" s="108" t="b">
        <f>OR(COUNTIF(Tabla2[[#This Row],[PROVEEDOR]],"*"&amp;'Palabra no opera'!$A$2&amp;"*"))</f>
        <v>0</v>
      </c>
      <c r="T81" s="139">
        <f>+$W$5-Tabla2[[#This Row],[FECHA DE FACTURACIÓN]]</f>
        <v>17</v>
      </c>
      <c r="U81" t="str">
        <f>+IF(Tabla2[[#This Row],[dias de credito]]&gt;=Tabla2[[#This Row],[PLAZO Días]],"venc", "No venc")</f>
        <v>No venc</v>
      </c>
      <c r="V81" t="str">
        <f>+IF(Tabla2[[#This Row],[FECHA DE PAGO]]&gt;0,"pagada","por pagar")</f>
        <v>pagada</v>
      </c>
      <c r="W81" s="141" t="str">
        <f>+IF(AND(Tabla2[[#This Row],[venc]]="venc",Tabla2[[#This Row],[Columna1]]="por pagar"),"vencida","no")</f>
        <v>no</v>
      </c>
    </row>
    <row r="82" spans="1:23" ht="15.6" hidden="1" x14ac:dyDescent="0.3">
      <c r="A82" s="20">
        <v>30</v>
      </c>
      <c r="B82" s="25">
        <v>0</v>
      </c>
      <c r="C82" s="25"/>
      <c r="D82" s="56" t="s">
        <v>107</v>
      </c>
      <c r="E82" s="426">
        <v>45274</v>
      </c>
      <c r="F82" s="26" t="s">
        <v>362</v>
      </c>
      <c r="G82" s="426">
        <v>45253</v>
      </c>
      <c r="H82" s="35" t="s">
        <v>2153</v>
      </c>
      <c r="I82" s="21">
        <v>22500</v>
      </c>
      <c r="J82" s="21"/>
      <c r="K82" s="22">
        <v>0</v>
      </c>
      <c r="L82" s="23"/>
      <c r="M82" s="22">
        <v>0</v>
      </c>
      <c r="N82" s="74">
        <v>0</v>
      </c>
      <c r="O82" s="22">
        <v>0</v>
      </c>
      <c r="P82" s="21">
        <v>22500</v>
      </c>
      <c r="S82" s="108" t="b">
        <f>OR(COUNTIF(Tabla2[[#This Row],[PROVEEDOR]],"*"&amp;'Palabra no opera'!$A$2&amp;"*"))</f>
        <v>0</v>
      </c>
      <c r="T82" s="139">
        <f>+$W$5-Tabla2[[#This Row],[FECHA DE FACTURACIÓN]]</f>
        <v>38</v>
      </c>
      <c r="U82" t="str">
        <f>+IF(Tabla2[[#This Row],[dias de credito]]&gt;=Tabla2[[#This Row],[PLAZO Días]],"venc", "No venc")</f>
        <v>venc</v>
      </c>
      <c r="V82" t="str">
        <f>+IF(Tabla2[[#This Row],[FECHA DE PAGO]]&gt;0,"pagada","por pagar")</f>
        <v>pagada</v>
      </c>
      <c r="W82" s="141" t="str">
        <f>+IF(AND(Tabla2[[#This Row],[venc]]="venc",Tabla2[[#This Row],[Columna1]]="por pagar"),"vencida","no")</f>
        <v>no</v>
      </c>
    </row>
    <row r="83" spans="1:23" ht="15.6" hidden="1" x14ac:dyDescent="0.3">
      <c r="A83" s="20">
        <v>30</v>
      </c>
      <c r="B83" s="25">
        <v>0</v>
      </c>
      <c r="C83" s="25"/>
      <c r="D83" s="56" t="s">
        <v>107</v>
      </c>
      <c r="E83" s="426">
        <v>45273</v>
      </c>
      <c r="F83" s="26" t="s">
        <v>397</v>
      </c>
      <c r="G83" s="426">
        <v>45273</v>
      </c>
      <c r="H83" s="35">
        <v>1312</v>
      </c>
      <c r="I83" s="21">
        <v>1172300</v>
      </c>
      <c r="J83" s="21"/>
      <c r="K83" s="22">
        <v>0</v>
      </c>
      <c r="L83" s="23"/>
      <c r="M83" s="22">
        <v>0</v>
      </c>
      <c r="N83" s="74">
        <v>0</v>
      </c>
      <c r="O83" s="22">
        <v>0</v>
      </c>
      <c r="P83" s="21">
        <v>1172300</v>
      </c>
      <c r="S83" s="108" t="b">
        <f>OR(COUNTIF(Tabla2[[#This Row],[PROVEEDOR]],"*"&amp;'Palabra no opera'!$A$2&amp;"*"))</f>
        <v>0</v>
      </c>
      <c r="T83" s="139">
        <f>+$W$5-Tabla2[[#This Row],[FECHA DE FACTURACIÓN]]</f>
        <v>18</v>
      </c>
      <c r="U83" t="str">
        <f>+IF(Tabla2[[#This Row],[dias de credito]]&gt;=Tabla2[[#This Row],[PLAZO Días]],"venc", "No venc")</f>
        <v>No venc</v>
      </c>
      <c r="V83" t="str">
        <f>+IF(Tabla2[[#This Row],[FECHA DE PAGO]]&gt;0,"pagada","por pagar")</f>
        <v>pagada</v>
      </c>
      <c r="W83" s="141" t="str">
        <f>+IF(AND(Tabla2[[#This Row],[venc]]="venc",Tabla2[[#This Row],[Columna1]]="por pagar"),"vencida","no")</f>
        <v>no</v>
      </c>
    </row>
    <row r="84" spans="1:23" ht="15.6" hidden="1" x14ac:dyDescent="0.3">
      <c r="A84" s="20">
        <v>0</v>
      </c>
      <c r="B84" s="25">
        <v>0</v>
      </c>
      <c r="C84" s="25"/>
      <c r="D84" s="56" t="s">
        <v>1111</v>
      </c>
      <c r="E84" s="426">
        <v>45273</v>
      </c>
      <c r="F84" s="26" t="s">
        <v>1109</v>
      </c>
      <c r="G84" s="426">
        <v>45273</v>
      </c>
      <c r="H84" s="35" t="s">
        <v>1112</v>
      </c>
      <c r="I84" s="21">
        <v>1500000</v>
      </c>
      <c r="J84" s="21"/>
      <c r="K84" s="22">
        <v>0</v>
      </c>
      <c r="L84" s="23"/>
      <c r="M84" s="22">
        <v>0</v>
      </c>
      <c r="N84" s="74">
        <v>0</v>
      </c>
      <c r="O84" s="22">
        <v>0</v>
      </c>
      <c r="P84" s="21">
        <v>1500000</v>
      </c>
      <c r="S84" s="108" t="b">
        <f>OR(COUNTIF(Tabla2[[#This Row],[PROVEEDOR]],"*"&amp;'Palabra no opera'!$A$2&amp;"*"))</f>
        <v>1</v>
      </c>
      <c r="T84" s="139">
        <f>+$W$5-Tabla2[[#This Row],[FECHA DE FACTURACIÓN]]</f>
        <v>18</v>
      </c>
      <c r="U84" t="str">
        <f>+IF(Tabla2[[#This Row],[dias de credito]]&gt;=Tabla2[[#This Row],[PLAZO Días]],"venc", "No venc")</f>
        <v>venc</v>
      </c>
      <c r="V84" t="str">
        <f>+IF(Tabla2[[#This Row],[FECHA DE PAGO]]&gt;0,"pagada","por pagar")</f>
        <v>pagada</v>
      </c>
      <c r="W84" s="141" t="str">
        <f>+IF(AND(Tabla2[[#This Row],[venc]]="venc",Tabla2[[#This Row],[Columna1]]="por pagar"),"vencida","no")</f>
        <v>no</v>
      </c>
    </row>
    <row r="85" spans="1:23" ht="15.6" hidden="1" x14ac:dyDescent="0.3">
      <c r="A85" s="20">
        <v>30</v>
      </c>
      <c r="B85" s="25">
        <v>0</v>
      </c>
      <c r="C85" s="25"/>
      <c r="D85" s="56">
        <v>0</v>
      </c>
      <c r="E85" s="426">
        <v>45273</v>
      </c>
      <c r="F85" s="26" t="s">
        <v>262</v>
      </c>
      <c r="G85" s="426">
        <v>45272</v>
      </c>
      <c r="H85" s="35" t="s">
        <v>2239</v>
      </c>
      <c r="I85" s="21">
        <v>1900000</v>
      </c>
      <c r="J85" s="21"/>
      <c r="K85" s="22">
        <v>95000</v>
      </c>
      <c r="L85" s="23"/>
      <c r="M85" s="22">
        <v>0</v>
      </c>
      <c r="N85" s="74">
        <v>2.5000000000000001E-2</v>
      </c>
      <c r="O85" s="22">
        <v>47500</v>
      </c>
      <c r="P85" s="21">
        <v>1947500</v>
      </c>
      <c r="S85" s="108" t="b">
        <f>OR(COUNTIF(Tabla2[[#This Row],[PROVEEDOR]],"*"&amp;'Palabra no opera'!$A$2&amp;"*"))</f>
        <v>0</v>
      </c>
      <c r="T85" s="139">
        <f>+$W$5-Tabla2[[#This Row],[FECHA DE FACTURACIÓN]]</f>
        <v>19</v>
      </c>
      <c r="U85" t="str">
        <f>+IF(Tabla2[[#This Row],[dias de credito]]&gt;=Tabla2[[#This Row],[PLAZO Días]],"venc", "No venc")</f>
        <v>No venc</v>
      </c>
      <c r="V85" t="str">
        <f>+IF(Tabla2[[#This Row],[FECHA DE PAGO]]&gt;0,"pagada","por pagar")</f>
        <v>pagada</v>
      </c>
      <c r="W85" s="141" t="str">
        <f>+IF(AND(Tabla2[[#This Row],[venc]]="venc",Tabla2[[#This Row],[Columna1]]="por pagar"),"vencida","no")</f>
        <v>no</v>
      </c>
    </row>
    <row r="86" spans="1:23" ht="15.6" hidden="1" x14ac:dyDescent="0.3">
      <c r="A86" s="20">
        <v>30</v>
      </c>
      <c r="B86" s="25">
        <v>0</v>
      </c>
      <c r="C86" s="25"/>
      <c r="D86" s="56" t="s">
        <v>107</v>
      </c>
      <c r="E86" s="426">
        <v>45273</v>
      </c>
      <c r="F86" s="26" t="s">
        <v>362</v>
      </c>
      <c r="G86" s="426">
        <v>45258</v>
      </c>
      <c r="H86" s="35" t="s">
        <v>2154</v>
      </c>
      <c r="I86" s="21">
        <v>821850</v>
      </c>
      <c r="J86" s="21"/>
      <c r="K86" s="22">
        <v>0</v>
      </c>
      <c r="L86" s="23"/>
      <c r="M86" s="22">
        <v>0</v>
      </c>
      <c r="N86" s="74">
        <v>0</v>
      </c>
      <c r="O86" s="22">
        <v>0</v>
      </c>
      <c r="P86" s="21">
        <v>821850</v>
      </c>
      <c r="S86" s="108" t="b">
        <f>OR(COUNTIF(Tabla2[[#This Row],[PROVEEDOR]],"*"&amp;'Palabra no opera'!$A$2&amp;"*"))</f>
        <v>0</v>
      </c>
      <c r="T86" s="139">
        <f>+$W$5-Tabla2[[#This Row],[FECHA DE FACTURACIÓN]]</f>
        <v>33</v>
      </c>
      <c r="U86" t="str">
        <f>+IF(Tabla2[[#This Row],[dias de credito]]&gt;=Tabla2[[#This Row],[PLAZO Días]],"venc", "No venc")</f>
        <v>venc</v>
      </c>
      <c r="V86" t="str">
        <f>+IF(Tabla2[[#This Row],[FECHA DE PAGO]]&gt;0,"pagada","por pagar")</f>
        <v>pagada</v>
      </c>
      <c r="W86" s="141" t="str">
        <f>+IF(AND(Tabla2[[#This Row],[venc]]="venc",Tabla2[[#This Row],[Columna1]]="por pagar"),"vencida","no")</f>
        <v>no</v>
      </c>
    </row>
    <row r="87" spans="1:23" ht="15.6" hidden="1" x14ac:dyDescent="0.3">
      <c r="A87" s="20">
        <v>30</v>
      </c>
      <c r="B87" s="25">
        <v>2950000</v>
      </c>
      <c r="C87" s="25"/>
      <c r="D87" s="56">
        <v>0</v>
      </c>
      <c r="E87" s="426">
        <v>45273</v>
      </c>
      <c r="F87" s="26" t="s">
        <v>1152</v>
      </c>
      <c r="G87" s="426">
        <v>45252</v>
      </c>
      <c r="H87" s="35" t="s">
        <v>2188</v>
      </c>
      <c r="I87" s="21">
        <v>2250000</v>
      </c>
      <c r="J87" s="21"/>
      <c r="K87" s="22">
        <v>0</v>
      </c>
      <c r="L87" s="23"/>
      <c r="M87" s="22">
        <v>0</v>
      </c>
      <c r="N87" s="74">
        <v>0</v>
      </c>
      <c r="O87" s="22">
        <v>0</v>
      </c>
      <c r="P87" s="21">
        <v>2250000</v>
      </c>
      <c r="S87" s="108" t="b">
        <f>OR(COUNTIF(Tabla2[[#This Row],[PROVEEDOR]],"*"&amp;'Palabra no opera'!$A$2&amp;"*"))</f>
        <v>0</v>
      </c>
      <c r="T87" s="139">
        <f>+$W$5-Tabla2[[#This Row],[FECHA DE FACTURACIÓN]]</f>
        <v>39</v>
      </c>
      <c r="U87" t="str">
        <f>+IF(Tabla2[[#This Row],[dias de credito]]&gt;=Tabla2[[#This Row],[PLAZO Días]],"venc", "No venc")</f>
        <v>venc</v>
      </c>
      <c r="V87" t="str">
        <f>+IF(Tabla2[[#This Row],[FECHA DE PAGO]]&gt;0,"pagada","por pagar")</f>
        <v>pagada</v>
      </c>
      <c r="W87" s="141" t="str">
        <f>+IF(AND(Tabla2[[#This Row],[venc]]="venc",Tabla2[[#This Row],[Columna1]]="por pagar"),"vencida","no")</f>
        <v>no</v>
      </c>
    </row>
    <row r="88" spans="1:23" ht="15.6" hidden="1" x14ac:dyDescent="0.3">
      <c r="A88" s="20">
        <v>30</v>
      </c>
      <c r="B88" s="25">
        <v>2950000</v>
      </c>
      <c r="C88" s="25"/>
      <c r="D88" s="56">
        <v>0</v>
      </c>
      <c r="E88" s="426">
        <v>45273</v>
      </c>
      <c r="F88" s="26" t="s">
        <v>1152</v>
      </c>
      <c r="G88" s="426">
        <v>45240</v>
      </c>
      <c r="H88" s="35" t="s">
        <v>2120</v>
      </c>
      <c r="I88" s="21">
        <v>1991500</v>
      </c>
      <c r="J88" s="21"/>
      <c r="K88" s="22">
        <v>0</v>
      </c>
      <c r="L88" s="23"/>
      <c r="M88" s="22">
        <v>0</v>
      </c>
      <c r="N88" s="74">
        <v>0</v>
      </c>
      <c r="O88" s="22">
        <v>0</v>
      </c>
      <c r="P88" s="21">
        <v>1991500</v>
      </c>
      <c r="S88" s="108" t="b">
        <f>OR(COUNTIF(Tabla2[[#This Row],[PROVEEDOR]],"*"&amp;'Palabra no opera'!$A$2&amp;"*"))</f>
        <v>0</v>
      </c>
      <c r="T88" s="139">
        <f>+$W$5-Tabla2[[#This Row],[FECHA DE FACTURACIÓN]]</f>
        <v>51</v>
      </c>
      <c r="U88" t="str">
        <f>+IF(Tabla2[[#This Row],[dias de credito]]&gt;=Tabla2[[#This Row],[PLAZO Días]],"venc", "No venc")</f>
        <v>venc</v>
      </c>
      <c r="V88" t="str">
        <f>+IF(Tabla2[[#This Row],[FECHA DE PAGO]]&gt;0,"pagada","por pagar")</f>
        <v>pagada</v>
      </c>
      <c r="W88" s="141" t="str">
        <f>+IF(AND(Tabla2[[#This Row],[venc]]="venc",Tabla2[[#This Row],[Columna1]]="por pagar"),"vencida","no")</f>
        <v>no</v>
      </c>
    </row>
    <row r="89" spans="1:23" ht="15.6" hidden="1" x14ac:dyDescent="0.3">
      <c r="A89" s="20">
        <v>30</v>
      </c>
      <c r="B89" s="25">
        <v>0</v>
      </c>
      <c r="C89" s="25"/>
      <c r="D89" s="56" t="s">
        <v>107</v>
      </c>
      <c r="E89" s="426">
        <v>45273</v>
      </c>
      <c r="F89" s="26" t="s">
        <v>1403</v>
      </c>
      <c r="G89" s="426">
        <v>45231</v>
      </c>
      <c r="H89" s="35">
        <v>69</v>
      </c>
      <c r="I89" s="21">
        <v>78000</v>
      </c>
      <c r="J89" s="21"/>
      <c r="K89" s="22">
        <v>0</v>
      </c>
      <c r="L89" s="23"/>
      <c r="M89" s="22">
        <v>0</v>
      </c>
      <c r="N89" s="74">
        <v>0</v>
      </c>
      <c r="O89" s="22">
        <v>0</v>
      </c>
      <c r="P89" s="21">
        <v>78000</v>
      </c>
      <c r="S89" s="108" t="b">
        <f>OR(COUNTIF(Tabla2[[#This Row],[PROVEEDOR]],"*"&amp;'Palabra no opera'!$A$2&amp;"*"))</f>
        <v>0</v>
      </c>
      <c r="T89" s="139">
        <f>+$W$5-Tabla2[[#This Row],[FECHA DE FACTURACIÓN]]</f>
        <v>60</v>
      </c>
      <c r="U89" t="str">
        <f>+IF(Tabla2[[#This Row],[dias de credito]]&gt;=Tabla2[[#This Row],[PLAZO Días]],"venc", "No venc")</f>
        <v>venc</v>
      </c>
      <c r="V89" t="str">
        <f>+IF(Tabla2[[#This Row],[FECHA DE PAGO]]&gt;0,"pagada","por pagar")</f>
        <v>pagada</v>
      </c>
      <c r="W89" s="141" t="str">
        <f>+IF(AND(Tabla2[[#This Row],[venc]]="venc",Tabla2[[#This Row],[Columna1]]="por pagar"),"vencida","no")</f>
        <v>no</v>
      </c>
    </row>
    <row r="90" spans="1:23" ht="15.6" hidden="1" x14ac:dyDescent="0.3">
      <c r="A90" s="20">
        <v>30</v>
      </c>
      <c r="B90" s="25">
        <v>0</v>
      </c>
      <c r="C90" s="25"/>
      <c r="D90" s="56" t="s">
        <v>107</v>
      </c>
      <c r="E90" s="426">
        <v>45273</v>
      </c>
      <c r="F90" s="26" t="s">
        <v>1403</v>
      </c>
      <c r="G90" s="426">
        <v>45194</v>
      </c>
      <c r="H90" s="35">
        <v>70</v>
      </c>
      <c r="I90" s="21">
        <v>65000</v>
      </c>
      <c r="J90" s="21"/>
      <c r="K90" s="22">
        <v>0</v>
      </c>
      <c r="L90" s="23"/>
      <c r="M90" s="22">
        <v>0</v>
      </c>
      <c r="N90" s="74">
        <v>0</v>
      </c>
      <c r="O90" s="22">
        <v>0</v>
      </c>
      <c r="P90" s="21">
        <v>65000</v>
      </c>
      <c r="S90" s="108" t="b">
        <f>OR(COUNTIF(Tabla2[[#This Row],[PROVEEDOR]],"*"&amp;'Palabra no opera'!$A$2&amp;"*"))</f>
        <v>0</v>
      </c>
      <c r="T90" s="139">
        <f>+$W$5-Tabla2[[#This Row],[FECHA DE FACTURACIÓN]]</f>
        <v>97</v>
      </c>
      <c r="U90" t="str">
        <f>+IF(Tabla2[[#This Row],[dias de credito]]&gt;=Tabla2[[#This Row],[PLAZO Días]],"venc", "No venc")</f>
        <v>venc</v>
      </c>
      <c r="V90" t="str">
        <f>+IF(Tabla2[[#This Row],[FECHA DE PAGO]]&gt;0,"pagada","por pagar")</f>
        <v>pagada</v>
      </c>
      <c r="W90" s="141" t="str">
        <f>+IF(AND(Tabla2[[#This Row],[venc]]="venc",Tabla2[[#This Row],[Columna1]]="por pagar"),"vencida","no")</f>
        <v>no</v>
      </c>
    </row>
    <row r="91" spans="1:23" ht="15.6" hidden="1" x14ac:dyDescent="0.3">
      <c r="A91" s="20">
        <v>30</v>
      </c>
      <c r="B91" s="25">
        <v>27189617.395</v>
      </c>
      <c r="C91" s="25"/>
      <c r="D91" s="56" t="s">
        <v>686</v>
      </c>
      <c r="E91" s="426">
        <v>45272</v>
      </c>
      <c r="F91" s="26" t="s">
        <v>77</v>
      </c>
      <c r="G91" s="426">
        <v>45272</v>
      </c>
      <c r="H91" s="35" t="s">
        <v>2278</v>
      </c>
      <c r="I91" s="21">
        <v>-10084034</v>
      </c>
      <c r="J91" s="21"/>
      <c r="K91" s="22">
        <v>-1915966.46</v>
      </c>
      <c r="L91" s="23"/>
      <c r="M91" s="22">
        <v>0</v>
      </c>
      <c r="N91" s="74">
        <v>0</v>
      </c>
      <c r="O91" s="22"/>
      <c r="P91" s="21">
        <v>-12000000.460000001</v>
      </c>
      <c r="S91" s="108" t="b">
        <f>OR(COUNTIF(Tabla2[[#This Row],[PROVEEDOR]],"*"&amp;'Palabra no opera'!$A$2&amp;"*"))</f>
        <v>0</v>
      </c>
      <c r="T91" s="139">
        <f>+$W$5-Tabla2[[#This Row],[FECHA DE FACTURACIÓN]]</f>
        <v>19</v>
      </c>
      <c r="U91" t="str">
        <f>+IF(Tabla2[[#This Row],[dias de credito]]&gt;=Tabla2[[#This Row],[PLAZO Días]],"venc", "No venc")</f>
        <v>No venc</v>
      </c>
      <c r="V91" t="str">
        <f>+IF(Tabla2[[#This Row],[FECHA DE PAGO]]&gt;0,"pagada","por pagar")</f>
        <v>pagada</v>
      </c>
      <c r="W91" s="141" t="str">
        <f>+IF(AND(Tabla2[[#This Row],[venc]]="venc",Tabla2[[#This Row],[Columna1]]="por pagar"),"vencida","no")</f>
        <v>no</v>
      </c>
    </row>
    <row r="92" spans="1:23" ht="15.6" hidden="1" x14ac:dyDescent="0.3">
      <c r="A92" s="20">
        <v>30</v>
      </c>
      <c r="B92" s="25">
        <v>0</v>
      </c>
      <c r="C92" s="25"/>
      <c r="D92" s="56">
        <v>0</v>
      </c>
      <c r="E92" s="426">
        <v>45272</v>
      </c>
      <c r="F92" s="26" t="s">
        <v>1423</v>
      </c>
      <c r="G92" s="426">
        <v>45272</v>
      </c>
      <c r="H92" s="35" t="s">
        <v>2263</v>
      </c>
      <c r="I92" s="21">
        <v>275000</v>
      </c>
      <c r="J92" s="21"/>
      <c r="K92" s="22">
        <v>52250</v>
      </c>
      <c r="L92" s="23"/>
      <c r="M92" s="22">
        <v>0</v>
      </c>
      <c r="N92" s="74">
        <v>0</v>
      </c>
      <c r="O92" s="22">
        <v>0</v>
      </c>
      <c r="P92" s="21">
        <v>327250</v>
      </c>
      <c r="S92" s="108" t="b">
        <f>OR(COUNTIF(Tabla2[[#This Row],[PROVEEDOR]],"*"&amp;'Palabra no opera'!$A$2&amp;"*"))</f>
        <v>0</v>
      </c>
      <c r="T92" s="139">
        <f>+$W$5-Tabla2[[#This Row],[FECHA DE FACTURACIÓN]]</f>
        <v>19</v>
      </c>
      <c r="U92" t="str">
        <f>+IF(Tabla2[[#This Row],[dias de credito]]&gt;=Tabla2[[#This Row],[PLAZO Días]],"venc", "No venc")</f>
        <v>No venc</v>
      </c>
      <c r="V92" t="str">
        <f>+IF(Tabla2[[#This Row],[FECHA DE PAGO]]&gt;0,"pagada","por pagar")</f>
        <v>pagada</v>
      </c>
      <c r="W92" s="141" t="str">
        <f>+IF(AND(Tabla2[[#This Row],[venc]]="venc",Tabla2[[#This Row],[Columna1]]="por pagar"),"vencida","no")</f>
        <v>no</v>
      </c>
    </row>
    <row r="93" spans="1:23" ht="15.6" hidden="1" x14ac:dyDescent="0.3">
      <c r="A93" s="20">
        <v>30</v>
      </c>
      <c r="B93" s="25">
        <v>0</v>
      </c>
      <c r="C93" s="25"/>
      <c r="D93" s="56" t="s">
        <v>107</v>
      </c>
      <c r="E93" s="426">
        <v>45272</v>
      </c>
      <c r="F93" s="26" t="s">
        <v>1403</v>
      </c>
      <c r="G93" s="426">
        <v>45272</v>
      </c>
      <c r="H93" s="35" t="s">
        <v>2299</v>
      </c>
      <c r="I93" s="21">
        <v>195000</v>
      </c>
      <c r="J93" s="21"/>
      <c r="K93" s="22">
        <v>0</v>
      </c>
      <c r="L93" s="23"/>
      <c r="M93" s="22">
        <v>0</v>
      </c>
      <c r="N93" s="74">
        <v>0</v>
      </c>
      <c r="O93" s="22">
        <v>0</v>
      </c>
      <c r="P93" s="21">
        <v>195000</v>
      </c>
      <c r="S93" s="108" t="b">
        <f>OR(COUNTIF(Tabla2[[#This Row],[PROVEEDOR]],"*"&amp;'Palabra no opera'!$A$2&amp;"*"))</f>
        <v>0</v>
      </c>
      <c r="T93" s="139">
        <f>+$W$5-Tabla2[[#This Row],[FECHA DE FACTURACIÓN]]</f>
        <v>19</v>
      </c>
      <c r="U93" t="str">
        <f>+IF(Tabla2[[#This Row],[dias de credito]]&gt;=Tabla2[[#This Row],[PLAZO Días]],"venc", "No venc")</f>
        <v>No venc</v>
      </c>
      <c r="V93" t="str">
        <f>+IF(Tabla2[[#This Row],[FECHA DE PAGO]]&gt;0,"pagada","por pagar")</f>
        <v>pagada</v>
      </c>
      <c r="W93" s="141" t="str">
        <f>+IF(AND(Tabla2[[#This Row],[venc]]="venc",Tabla2[[#This Row],[Columna1]]="por pagar"),"vencida","no")</f>
        <v>no</v>
      </c>
    </row>
    <row r="94" spans="1:23" ht="15.6" hidden="1" x14ac:dyDescent="0.3">
      <c r="A94" s="20">
        <v>30</v>
      </c>
      <c r="B94" s="25">
        <v>1316890.8900000001</v>
      </c>
      <c r="C94" s="25"/>
      <c r="D94" s="56" t="s">
        <v>188</v>
      </c>
      <c r="E94" s="426">
        <v>45272</v>
      </c>
      <c r="F94" s="26" t="s">
        <v>17</v>
      </c>
      <c r="G94" s="426">
        <v>45239</v>
      </c>
      <c r="H94" s="35" t="s">
        <v>2139</v>
      </c>
      <c r="I94" s="21">
        <v>1597368</v>
      </c>
      <c r="J94" s="21"/>
      <c r="K94" s="22">
        <v>0</v>
      </c>
      <c r="L94" s="23"/>
      <c r="M94" s="22">
        <v>0</v>
      </c>
      <c r="N94" s="74">
        <v>0</v>
      </c>
      <c r="O94" s="22">
        <v>0</v>
      </c>
      <c r="P94" s="21">
        <v>1597368</v>
      </c>
      <c r="S94" s="108" t="b">
        <f>OR(COUNTIF(Tabla2[[#This Row],[PROVEEDOR]],"*"&amp;'Palabra no opera'!$A$2&amp;"*"))</f>
        <v>0</v>
      </c>
      <c r="T94" s="139">
        <f>+$W$5-Tabla2[[#This Row],[FECHA DE FACTURACIÓN]]</f>
        <v>52</v>
      </c>
      <c r="U94" t="str">
        <f>+IF(Tabla2[[#This Row],[dias de credito]]&gt;=Tabla2[[#This Row],[PLAZO Días]],"venc", "No venc")</f>
        <v>venc</v>
      </c>
      <c r="V94" t="str">
        <f>+IF(Tabla2[[#This Row],[FECHA DE PAGO]]&gt;0,"pagada","por pagar")</f>
        <v>pagada</v>
      </c>
      <c r="W94" s="141" t="str">
        <f>+IF(AND(Tabla2[[#This Row],[venc]]="venc",Tabla2[[#This Row],[Columna1]]="por pagar"),"vencida","no")</f>
        <v>no</v>
      </c>
    </row>
    <row r="95" spans="1:23" ht="15.6" hidden="1" x14ac:dyDescent="0.3">
      <c r="A95" s="20">
        <v>30</v>
      </c>
      <c r="B95" s="25">
        <v>18444236.894999996</v>
      </c>
      <c r="C95" s="25"/>
      <c r="D95" s="56" t="s">
        <v>731</v>
      </c>
      <c r="E95" s="426">
        <v>45272</v>
      </c>
      <c r="F95" s="26" t="s">
        <v>11</v>
      </c>
      <c r="G95" s="426">
        <v>45238</v>
      </c>
      <c r="H95" s="35" t="s">
        <v>2141</v>
      </c>
      <c r="I95" s="21">
        <v>3105888</v>
      </c>
      <c r="J95" s="21"/>
      <c r="K95" s="22">
        <v>590118.72</v>
      </c>
      <c r="L95" s="23"/>
      <c r="M95" s="22">
        <v>0</v>
      </c>
      <c r="N95" s="74">
        <v>2.5000000000000001E-2</v>
      </c>
      <c r="O95" s="22">
        <v>77647.199999999997</v>
      </c>
      <c r="P95" s="21">
        <v>3618359.5199999996</v>
      </c>
      <c r="S95" s="108" t="b">
        <f>OR(COUNTIF(Tabla2[[#This Row],[PROVEEDOR]],"*"&amp;'Palabra no opera'!$A$2&amp;"*"))</f>
        <v>0</v>
      </c>
      <c r="T95" s="139">
        <f>+$W$5-Tabla2[[#This Row],[FECHA DE FACTURACIÓN]]</f>
        <v>53</v>
      </c>
      <c r="U95" t="str">
        <f>+IF(Tabla2[[#This Row],[dias de credito]]&gt;=Tabla2[[#This Row],[PLAZO Días]],"venc", "No venc")</f>
        <v>venc</v>
      </c>
      <c r="V95" t="str">
        <f>+IF(Tabla2[[#This Row],[FECHA DE PAGO]]&gt;0,"pagada","por pagar")</f>
        <v>pagada</v>
      </c>
      <c r="W95" s="141" t="str">
        <f>+IF(AND(Tabla2[[#This Row],[venc]]="venc",Tabla2[[#This Row],[Columna1]]="por pagar"),"vencida","no")</f>
        <v>no</v>
      </c>
    </row>
    <row r="96" spans="1:23" ht="15.6" hidden="1" x14ac:dyDescent="0.3">
      <c r="A96" s="20">
        <v>30</v>
      </c>
      <c r="B96" s="25">
        <v>0</v>
      </c>
      <c r="C96" s="25"/>
      <c r="D96" s="56" t="s">
        <v>190</v>
      </c>
      <c r="E96" s="426">
        <v>45272</v>
      </c>
      <c r="F96" s="26" t="s">
        <v>964</v>
      </c>
      <c r="G96" s="426">
        <v>45234</v>
      </c>
      <c r="H96" s="35" t="s">
        <v>2130</v>
      </c>
      <c r="I96" s="21">
        <v>4908000</v>
      </c>
      <c r="J96" s="21"/>
      <c r="K96" s="22">
        <v>932520</v>
      </c>
      <c r="L96" s="23"/>
      <c r="M96" s="22">
        <v>0</v>
      </c>
      <c r="N96" s="74">
        <v>0</v>
      </c>
      <c r="O96" s="22">
        <v>0</v>
      </c>
      <c r="P96" s="21">
        <v>5840520</v>
      </c>
      <c r="S96" s="108" t="b">
        <f>OR(COUNTIF(Tabla2[[#This Row],[PROVEEDOR]],"*"&amp;'Palabra no opera'!$A$2&amp;"*"))</f>
        <v>0</v>
      </c>
      <c r="T96" s="139">
        <f>+$W$5-Tabla2[[#This Row],[FECHA DE FACTURACIÓN]]</f>
        <v>57</v>
      </c>
      <c r="U96" t="str">
        <f>+IF(Tabla2[[#This Row],[dias de credito]]&gt;=Tabla2[[#This Row],[PLAZO Días]],"venc", "No venc")</f>
        <v>venc</v>
      </c>
      <c r="V96" t="str">
        <f>+IF(Tabla2[[#This Row],[FECHA DE PAGO]]&gt;0,"pagada","por pagar")</f>
        <v>pagada</v>
      </c>
      <c r="W96" s="141" t="str">
        <f>+IF(AND(Tabla2[[#This Row],[venc]]="venc",Tabla2[[#This Row],[Columna1]]="por pagar"),"vencida","no")</f>
        <v>no</v>
      </c>
    </row>
    <row r="97" spans="1:23" ht="15.6" hidden="1" x14ac:dyDescent="0.3">
      <c r="A97" s="20">
        <v>45</v>
      </c>
      <c r="B97" s="25">
        <v>8072960</v>
      </c>
      <c r="C97" s="25"/>
      <c r="D97" s="56" t="s">
        <v>198</v>
      </c>
      <c r="E97" s="426">
        <v>45272</v>
      </c>
      <c r="F97" s="26" t="s">
        <v>10</v>
      </c>
      <c r="G97" s="426">
        <v>45223</v>
      </c>
      <c r="H97" s="35" t="s">
        <v>2088</v>
      </c>
      <c r="I97" s="21">
        <v>4200000</v>
      </c>
      <c r="J97" s="21"/>
      <c r="K97" s="22">
        <v>798000</v>
      </c>
      <c r="L97" s="23"/>
      <c r="M97" s="22">
        <v>0</v>
      </c>
      <c r="N97" s="74">
        <v>0</v>
      </c>
      <c r="O97" s="22">
        <v>0</v>
      </c>
      <c r="P97" s="21">
        <v>4998000</v>
      </c>
      <c r="S97" s="108" t="b">
        <f>OR(COUNTIF(Tabla2[[#This Row],[PROVEEDOR]],"*"&amp;'Palabra no opera'!$A$2&amp;"*"))</f>
        <v>0</v>
      </c>
      <c r="T97" s="139">
        <f>+$W$5-Tabla2[[#This Row],[FECHA DE FACTURACIÓN]]</f>
        <v>68</v>
      </c>
      <c r="U97" t="str">
        <f>+IF(Tabla2[[#This Row],[dias de credito]]&gt;=Tabla2[[#This Row],[PLAZO Días]],"venc", "No venc")</f>
        <v>venc</v>
      </c>
      <c r="V97" t="str">
        <f>+IF(Tabla2[[#This Row],[FECHA DE PAGO]]&gt;0,"pagada","por pagar")</f>
        <v>pagada</v>
      </c>
      <c r="W97" s="141" t="str">
        <f>+IF(AND(Tabla2[[#This Row],[venc]]="venc",Tabla2[[#This Row],[Columna1]]="por pagar"),"vencida","no")</f>
        <v>no</v>
      </c>
    </row>
    <row r="98" spans="1:23" ht="15.6" hidden="1" x14ac:dyDescent="0.3">
      <c r="A98" s="20">
        <v>30</v>
      </c>
      <c r="B98" s="25">
        <v>0</v>
      </c>
      <c r="C98" s="25"/>
      <c r="D98" s="56" t="s">
        <v>276</v>
      </c>
      <c r="E98" s="426">
        <v>45272</v>
      </c>
      <c r="F98" s="26" t="s">
        <v>239</v>
      </c>
      <c r="G98" s="426">
        <v>45202</v>
      </c>
      <c r="H98" s="35" t="s">
        <v>2003</v>
      </c>
      <c r="I98" s="21">
        <v>6385210</v>
      </c>
      <c r="J98" s="21"/>
      <c r="K98" s="22">
        <v>1213189.8999999999</v>
      </c>
      <c r="L98" s="23"/>
      <c r="M98" s="22">
        <v>0</v>
      </c>
      <c r="N98" s="74">
        <v>2.5000000000000001E-2</v>
      </c>
      <c r="O98" s="22">
        <v>159630.25</v>
      </c>
      <c r="P98" s="21">
        <v>7438769.6500000004</v>
      </c>
      <c r="S98" s="108" t="b">
        <f>OR(COUNTIF(Tabla2[[#This Row],[PROVEEDOR]],"*"&amp;'Palabra no opera'!$A$2&amp;"*"))</f>
        <v>0</v>
      </c>
      <c r="T98" s="139">
        <f>+$W$5-Tabla2[[#This Row],[FECHA DE FACTURACIÓN]]</f>
        <v>89</v>
      </c>
      <c r="U98" t="str">
        <f>+IF(Tabla2[[#This Row],[dias de credito]]&gt;=Tabla2[[#This Row],[PLAZO Días]],"venc", "No venc")</f>
        <v>venc</v>
      </c>
      <c r="V98" t="str">
        <f>+IF(Tabla2[[#This Row],[FECHA DE PAGO]]&gt;0,"pagada","por pagar")</f>
        <v>pagada</v>
      </c>
      <c r="W98" s="141" t="str">
        <f>+IF(AND(Tabla2[[#This Row],[venc]]="venc",Tabla2[[#This Row],[Columna1]]="por pagar"),"vencida","no")</f>
        <v>no</v>
      </c>
    </row>
    <row r="99" spans="1:23" ht="15.6" hidden="1" x14ac:dyDescent="0.3">
      <c r="A99" s="20">
        <v>30</v>
      </c>
      <c r="B99" s="25">
        <v>0</v>
      </c>
      <c r="C99" s="25"/>
      <c r="D99" s="56" t="s">
        <v>107</v>
      </c>
      <c r="E99" s="426">
        <v>45271</v>
      </c>
      <c r="F99" s="26" t="s">
        <v>1401</v>
      </c>
      <c r="G99" s="426">
        <v>45271</v>
      </c>
      <c r="H99" s="35" t="s">
        <v>2225</v>
      </c>
      <c r="I99" s="21">
        <v>1500000</v>
      </c>
      <c r="J99" s="21"/>
      <c r="K99" s="22">
        <v>0</v>
      </c>
      <c r="L99" s="23"/>
      <c r="M99" s="22">
        <v>0</v>
      </c>
      <c r="N99" s="74">
        <v>0</v>
      </c>
      <c r="O99" s="22">
        <v>0</v>
      </c>
      <c r="P99" s="21">
        <v>1500000</v>
      </c>
      <c r="S99" s="108" t="b">
        <f>OR(COUNTIF(Tabla2[[#This Row],[PROVEEDOR]],"*"&amp;'Palabra no opera'!$A$2&amp;"*"))</f>
        <v>0</v>
      </c>
      <c r="T99" s="139">
        <f>+$W$5-Tabla2[[#This Row],[FECHA DE FACTURACIÓN]]</f>
        <v>20</v>
      </c>
      <c r="U99" t="str">
        <f>+IF(Tabla2[[#This Row],[dias de credito]]&gt;=Tabla2[[#This Row],[PLAZO Días]],"venc", "No venc")</f>
        <v>No venc</v>
      </c>
      <c r="V99" t="str">
        <f>+IF(Tabla2[[#This Row],[FECHA DE PAGO]]&gt;0,"pagada","por pagar")</f>
        <v>pagada</v>
      </c>
      <c r="W99" s="141" t="str">
        <f>+IF(AND(Tabla2[[#This Row],[venc]]="venc",Tabla2[[#This Row],[Columna1]]="por pagar"),"vencida","no")</f>
        <v>no</v>
      </c>
    </row>
    <row r="100" spans="1:23" ht="15.6" hidden="1" x14ac:dyDescent="0.3">
      <c r="A100" s="20">
        <v>30</v>
      </c>
      <c r="B100" s="25">
        <v>0</v>
      </c>
      <c r="C100" s="25"/>
      <c r="D100" s="56" t="s">
        <v>368</v>
      </c>
      <c r="E100" s="426">
        <v>45271</v>
      </c>
      <c r="F100" s="26" t="s">
        <v>623</v>
      </c>
      <c r="G100" s="426">
        <v>45261</v>
      </c>
      <c r="H100" s="35" t="s">
        <v>2227</v>
      </c>
      <c r="I100" s="21">
        <v>908172</v>
      </c>
      <c r="J100" s="21"/>
      <c r="K100" s="22">
        <v>172552.68</v>
      </c>
      <c r="L100" s="23"/>
      <c r="M100" s="22">
        <v>0</v>
      </c>
      <c r="N100" s="74">
        <v>0.04</v>
      </c>
      <c r="O100" s="22">
        <v>36326.879999999997</v>
      </c>
      <c r="P100" s="21">
        <v>1044397.7999999999</v>
      </c>
      <c r="S100" s="108" t="b">
        <f>OR(COUNTIF(Tabla2[[#This Row],[PROVEEDOR]],"*"&amp;'Palabra no opera'!$A$2&amp;"*"))</f>
        <v>1</v>
      </c>
      <c r="T100" s="139">
        <f>+$W$5-Tabla2[[#This Row],[FECHA DE FACTURACIÓN]]</f>
        <v>30</v>
      </c>
      <c r="U100" t="str">
        <f>+IF(Tabla2[[#This Row],[dias de credito]]&gt;=Tabla2[[#This Row],[PLAZO Días]],"venc", "No venc")</f>
        <v>venc</v>
      </c>
      <c r="V100" t="str">
        <f>+IF(Tabla2[[#This Row],[FECHA DE PAGO]]&gt;0,"pagada","por pagar")</f>
        <v>pagada</v>
      </c>
      <c r="W100" s="141" t="str">
        <f>+IF(AND(Tabla2[[#This Row],[venc]]="venc",Tabla2[[#This Row],[Columna1]]="por pagar"),"vencida","no")</f>
        <v>no</v>
      </c>
    </row>
    <row r="101" spans="1:23" ht="15.6" hidden="1" x14ac:dyDescent="0.3">
      <c r="A101" s="20">
        <v>30</v>
      </c>
      <c r="B101" s="25">
        <v>0</v>
      </c>
      <c r="C101" s="25"/>
      <c r="D101" s="56" t="s">
        <v>368</v>
      </c>
      <c r="E101" s="426">
        <v>45271</v>
      </c>
      <c r="F101" s="26" t="s">
        <v>623</v>
      </c>
      <c r="G101" s="426">
        <v>45261</v>
      </c>
      <c r="H101" s="35" t="s">
        <v>2228</v>
      </c>
      <c r="I101" s="21">
        <v>3792544</v>
      </c>
      <c r="J101" s="21"/>
      <c r="K101" s="22">
        <v>720583.36</v>
      </c>
      <c r="L101" s="23"/>
      <c r="M101" s="22">
        <v>0</v>
      </c>
      <c r="N101" s="74"/>
      <c r="O101" s="22">
        <v>0</v>
      </c>
      <c r="P101" s="21">
        <v>4513127.3600000003</v>
      </c>
      <c r="S101" s="108" t="b">
        <f>OR(COUNTIF(Tabla2[[#This Row],[PROVEEDOR]],"*"&amp;'Palabra no opera'!$A$2&amp;"*"))</f>
        <v>1</v>
      </c>
      <c r="T101" s="139">
        <f>+$W$5-Tabla2[[#This Row],[FECHA DE FACTURACIÓN]]</f>
        <v>30</v>
      </c>
      <c r="U101" t="str">
        <f>+IF(Tabla2[[#This Row],[dias de credito]]&gt;=Tabla2[[#This Row],[PLAZO Días]],"venc", "No venc")</f>
        <v>venc</v>
      </c>
      <c r="V101" t="str">
        <f>+IF(Tabla2[[#This Row],[FECHA DE PAGO]]&gt;0,"pagada","por pagar")</f>
        <v>pagada</v>
      </c>
      <c r="W101" s="141" t="str">
        <f>+IF(AND(Tabla2[[#This Row],[venc]]="venc",Tabla2[[#This Row],[Columna1]]="por pagar"),"vencida","no")</f>
        <v>no</v>
      </c>
    </row>
    <row r="102" spans="1:23" ht="15.6" hidden="1" x14ac:dyDescent="0.3">
      <c r="A102" s="20">
        <v>30</v>
      </c>
      <c r="B102" s="25">
        <v>0</v>
      </c>
      <c r="C102" s="25"/>
      <c r="D102" s="56" t="s">
        <v>185</v>
      </c>
      <c r="E102" s="426">
        <v>45271</v>
      </c>
      <c r="F102" s="26" t="s">
        <v>628</v>
      </c>
      <c r="G102" s="426">
        <v>45261</v>
      </c>
      <c r="H102" s="35" t="s">
        <v>2230</v>
      </c>
      <c r="I102" s="21">
        <v>1840056</v>
      </c>
      <c r="J102" s="21"/>
      <c r="K102" s="22">
        <v>0</v>
      </c>
      <c r="L102" s="23"/>
      <c r="M102" s="22">
        <v>105097</v>
      </c>
      <c r="N102" s="74">
        <v>0</v>
      </c>
      <c r="O102" s="22">
        <v>0</v>
      </c>
      <c r="P102" s="21">
        <v>1734959</v>
      </c>
      <c r="S102" s="108" t="b">
        <f>OR(COUNTIF(Tabla2[[#This Row],[PROVEEDOR]],"*"&amp;'Palabra no opera'!$A$2&amp;"*"))</f>
        <v>1</v>
      </c>
      <c r="T102" s="139">
        <f>+$W$5-Tabla2[[#This Row],[FECHA DE FACTURACIÓN]]</f>
        <v>30</v>
      </c>
      <c r="U102" t="str">
        <f>+IF(Tabla2[[#This Row],[dias de credito]]&gt;=Tabla2[[#This Row],[PLAZO Días]],"venc", "No venc")</f>
        <v>venc</v>
      </c>
      <c r="V102" t="str">
        <f>+IF(Tabla2[[#This Row],[FECHA DE PAGO]]&gt;0,"pagada","por pagar")</f>
        <v>pagada</v>
      </c>
      <c r="W102" s="141" t="str">
        <f>+IF(AND(Tabla2[[#This Row],[venc]]="venc",Tabla2[[#This Row],[Columna1]]="por pagar"),"vencida","no")</f>
        <v>no</v>
      </c>
    </row>
    <row r="103" spans="1:23" ht="15.6" hidden="1" x14ac:dyDescent="0.3">
      <c r="A103" s="20">
        <v>30</v>
      </c>
      <c r="B103" s="25">
        <v>352505.48</v>
      </c>
      <c r="C103" s="25"/>
      <c r="D103" s="56" t="s">
        <v>393</v>
      </c>
      <c r="E103" s="426">
        <v>45271</v>
      </c>
      <c r="F103" s="26" t="s">
        <v>631</v>
      </c>
      <c r="G103" s="426">
        <v>45261</v>
      </c>
      <c r="H103" s="35" t="s">
        <v>2235</v>
      </c>
      <c r="I103" s="21">
        <v>318603</v>
      </c>
      <c r="J103" s="21">
        <v>9545</v>
      </c>
      <c r="K103" s="22">
        <v>0</v>
      </c>
      <c r="L103" s="23"/>
      <c r="M103" s="22">
        <v>0</v>
      </c>
      <c r="N103" s="74">
        <v>0</v>
      </c>
      <c r="O103" s="22">
        <v>0</v>
      </c>
      <c r="P103" s="21">
        <v>309058</v>
      </c>
      <c r="S103" s="108" t="b">
        <f>OR(COUNTIF(Tabla2[[#This Row],[PROVEEDOR]],"*"&amp;'Palabra no opera'!$A$2&amp;"*"))</f>
        <v>1</v>
      </c>
      <c r="T103" s="139">
        <f>+$W$5-Tabla2[[#This Row],[FECHA DE FACTURACIÓN]]</f>
        <v>30</v>
      </c>
      <c r="U103" t="str">
        <f>+IF(Tabla2[[#This Row],[dias de credito]]&gt;=Tabla2[[#This Row],[PLAZO Días]],"venc", "No venc")</f>
        <v>venc</v>
      </c>
      <c r="V103" t="str">
        <f>+IF(Tabla2[[#This Row],[FECHA DE PAGO]]&gt;0,"pagada","por pagar")</f>
        <v>pagada</v>
      </c>
      <c r="W103" s="141" t="str">
        <f>+IF(AND(Tabla2[[#This Row],[venc]]="venc",Tabla2[[#This Row],[Columna1]]="por pagar"),"vencida","no")</f>
        <v>no</v>
      </c>
    </row>
    <row r="104" spans="1:23" ht="15.6" hidden="1" x14ac:dyDescent="0.3">
      <c r="A104" s="20">
        <v>30</v>
      </c>
      <c r="B104" s="25">
        <v>0</v>
      </c>
      <c r="C104" s="25"/>
      <c r="D104" s="56" t="s">
        <v>740</v>
      </c>
      <c r="E104" s="426">
        <v>45271</v>
      </c>
      <c r="F104" s="26" t="s">
        <v>637</v>
      </c>
      <c r="G104" s="426">
        <v>45261</v>
      </c>
      <c r="H104" s="35" t="s">
        <v>2232</v>
      </c>
      <c r="I104" s="21">
        <v>914023</v>
      </c>
      <c r="J104" s="21"/>
      <c r="K104" s="22">
        <v>0</v>
      </c>
      <c r="L104" s="23"/>
      <c r="M104" s="22">
        <v>0</v>
      </c>
      <c r="N104" s="74">
        <v>0</v>
      </c>
      <c r="O104" s="22">
        <v>0</v>
      </c>
      <c r="P104" s="21">
        <v>914023</v>
      </c>
      <c r="S104" s="108" t="b">
        <f>OR(COUNTIF(Tabla2[[#This Row],[PROVEEDOR]],"*"&amp;'Palabra no opera'!$A$2&amp;"*"))</f>
        <v>1</v>
      </c>
      <c r="T104" s="139">
        <f>+$W$5-Tabla2[[#This Row],[FECHA DE FACTURACIÓN]]</f>
        <v>30</v>
      </c>
      <c r="U104" t="str">
        <f>+IF(Tabla2[[#This Row],[dias de credito]]&gt;=Tabla2[[#This Row],[PLAZO Días]],"venc", "No venc")</f>
        <v>venc</v>
      </c>
      <c r="V104" t="str">
        <f>+IF(Tabla2[[#This Row],[FECHA DE PAGO]]&gt;0,"pagada","por pagar")</f>
        <v>pagada</v>
      </c>
      <c r="W104" s="141" t="str">
        <f>+IF(AND(Tabla2[[#This Row],[venc]]="venc",Tabla2[[#This Row],[Columna1]]="por pagar"),"vencida","no")</f>
        <v>no</v>
      </c>
    </row>
    <row r="105" spans="1:23" ht="15.6" hidden="1" x14ac:dyDescent="0.3">
      <c r="A105" s="20">
        <v>30</v>
      </c>
      <c r="B105" s="25">
        <v>0</v>
      </c>
      <c r="C105" s="25"/>
      <c r="D105" s="56" t="s">
        <v>740</v>
      </c>
      <c r="E105" s="426">
        <v>45271</v>
      </c>
      <c r="F105" s="26" t="s">
        <v>637</v>
      </c>
      <c r="G105" s="426">
        <v>45261</v>
      </c>
      <c r="H105" s="35" t="s">
        <v>2233</v>
      </c>
      <c r="I105" s="21">
        <v>934363</v>
      </c>
      <c r="J105" s="21"/>
      <c r="K105" s="22">
        <v>0</v>
      </c>
      <c r="L105" s="23"/>
      <c r="M105" s="22">
        <v>0</v>
      </c>
      <c r="N105" s="74">
        <v>0</v>
      </c>
      <c r="O105" s="22">
        <v>0</v>
      </c>
      <c r="P105" s="21">
        <v>934363</v>
      </c>
      <c r="S105" s="108" t="b">
        <f>OR(COUNTIF(Tabla2[[#This Row],[PROVEEDOR]],"*"&amp;'Palabra no opera'!$A$2&amp;"*"))</f>
        <v>1</v>
      </c>
      <c r="T105" s="139">
        <f>+$W$5-Tabla2[[#This Row],[FECHA DE FACTURACIÓN]]</f>
        <v>30</v>
      </c>
      <c r="U105" t="str">
        <f>+IF(Tabla2[[#This Row],[dias de credito]]&gt;=Tabla2[[#This Row],[PLAZO Días]],"venc", "No venc")</f>
        <v>venc</v>
      </c>
      <c r="V105" t="str">
        <f>+IF(Tabla2[[#This Row],[FECHA DE PAGO]]&gt;0,"pagada","por pagar")</f>
        <v>pagada</v>
      </c>
      <c r="W105" s="141" t="str">
        <f>+IF(AND(Tabla2[[#This Row],[venc]]="venc",Tabla2[[#This Row],[Columna1]]="por pagar"),"vencida","no")</f>
        <v>no</v>
      </c>
    </row>
    <row r="106" spans="1:23" ht="15.6" hidden="1" x14ac:dyDescent="0.3">
      <c r="A106" s="20">
        <v>30</v>
      </c>
      <c r="B106" s="25">
        <v>0</v>
      </c>
      <c r="C106" s="25"/>
      <c r="D106" s="56" t="s">
        <v>1116</v>
      </c>
      <c r="E106" s="426">
        <v>45271</v>
      </c>
      <c r="F106" s="26" t="s">
        <v>638</v>
      </c>
      <c r="G106" s="426">
        <v>45261</v>
      </c>
      <c r="H106" s="35" t="s">
        <v>2229</v>
      </c>
      <c r="I106" s="21">
        <v>4394976</v>
      </c>
      <c r="J106" s="21"/>
      <c r="K106" s="22">
        <v>752248</v>
      </c>
      <c r="L106" s="23"/>
      <c r="M106" s="22">
        <v>0</v>
      </c>
      <c r="N106" s="74">
        <v>3.5000000000000003E-2</v>
      </c>
      <c r="O106" s="22"/>
      <c r="P106" s="21">
        <v>5147224</v>
      </c>
      <c r="S106" s="108" t="b">
        <f>OR(COUNTIF(Tabla2[[#This Row],[PROVEEDOR]],"*"&amp;'Palabra no opera'!$A$2&amp;"*"))</f>
        <v>1</v>
      </c>
      <c r="T106" s="139">
        <f>+$W$5-Tabla2[[#This Row],[FECHA DE FACTURACIÓN]]</f>
        <v>30</v>
      </c>
      <c r="U106" t="str">
        <f>+IF(Tabla2[[#This Row],[dias de credito]]&gt;=Tabla2[[#This Row],[PLAZO Días]],"venc", "No venc")</f>
        <v>venc</v>
      </c>
      <c r="V106" t="str">
        <f>+IF(Tabla2[[#This Row],[FECHA DE PAGO]]&gt;0,"pagada","por pagar")</f>
        <v>pagada</v>
      </c>
      <c r="W106" s="141" t="str">
        <f>+IF(AND(Tabla2[[#This Row],[venc]]="venc",Tabla2[[#This Row],[Columna1]]="por pagar"),"vencida","no")</f>
        <v>no</v>
      </c>
    </row>
    <row r="107" spans="1:23" ht="15.6" hidden="1" x14ac:dyDescent="0.3">
      <c r="A107" s="20">
        <v>30</v>
      </c>
      <c r="B107" s="25">
        <v>0</v>
      </c>
      <c r="C107" s="25"/>
      <c r="D107" s="56" t="s">
        <v>193</v>
      </c>
      <c r="E107" s="426">
        <v>45271</v>
      </c>
      <c r="F107" s="26" t="s">
        <v>651</v>
      </c>
      <c r="G107" s="426">
        <v>45261</v>
      </c>
      <c r="H107" s="35" t="s">
        <v>2231</v>
      </c>
      <c r="I107" s="21">
        <v>243611</v>
      </c>
      <c r="J107" s="21"/>
      <c r="K107" s="22">
        <v>46286.090000000004</v>
      </c>
      <c r="L107" s="23"/>
      <c r="M107" s="22">
        <v>0</v>
      </c>
      <c r="N107" s="74">
        <v>3.5000000000000003E-2</v>
      </c>
      <c r="O107" s="22">
        <v>8526.3850000000002</v>
      </c>
      <c r="P107" s="21">
        <v>281370.70500000002</v>
      </c>
      <c r="S107" s="108" t="b">
        <f>OR(COUNTIF(Tabla2[[#This Row],[PROVEEDOR]],"*"&amp;'Palabra no opera'!$A$2&amp;"*"))</f>
        <v>1</v>
      </c>
      <c r="T107" s="139">
        <f>+$W$5-Tabla2[[#This Row],[FECHA DE FACTURACIÓN]]</f>
        <v>30</v>
      </c>
      <c r="U107" t="str">
        <f>+IF(Tabla2[[#This Row],[dias de credito]]&gt;=Tabla2[[#This Row],[PLAZO Días]],"venc", "No venc")</f>
        <v>venc</v>
      </c>
      <c r="V107" t="str">
        <f>+IF(Tabla2[[#This Row],[FECHA DE PAGO]]&gt;0,"pagada","por pagar")</f>
        <v>pagada</v>
      </c>
      <c r="W107" s="141" t="str">
        <f>+IF(AND(Tabla2[[#This Row],[venc]]="venc",Tabla2[[#This Row],[Columna1]]="por pagar"),"vencida","no")</f>
        <v>no</v>
      </c>
    </row>
    <row r="108" spans="1:23" ht="15.6" hidden="1" x14ac:dyDescent="0.3">
      <c r="A108" s="20">
        <v>10</v>
      </c>
      <c r="B108" s="25">
        <v>0</v>
      </c>
      <c r="C108" s="25"/>
      <c r="D108" s="56" t="s">
        <v>1203</v>
      </c>
      <c r="E108" s="426">
        <v>45271</v>
      </c>
      <c r="F108" s="26" t="s">
        <v>1202</v>
      </c>
      <c r="G108" s="426">
        <v>45261</v>
      </c>
      <c r="H108" s="35" t="s">
        <v>2226</v>
      </c>
      <c r="I108" s="21">
        <v>5350576</v>
      </c>
      <c r="J108" s="21"/>
      <c r="K108" s="22">
        <v>1016609</v>
      </c>
      <c r="L108" s="23"/>
      <c r="M108" s="22">
        <v>0</v>
      </c>
      <c r="N108" s="74">
        <v>0</v>
      </c>
      <c r="O108" s="22">
        <v>0</v>
      </c>
      <c r="P108" s="21">
        <v>6367185</v>
      </c>
      <c r="S108" s="108" t="b">
        <f>OR(COUNTIF(Tabla2[[#This Row],[PROVEEDOR]],"*"&amp;'Palabra no opera'!$A$2&amp;"*"))</f>
        <v>1</v>
      </c>
      <c r="T108" s="139">
        <f>+$W$5-Tabla2[[#This Row],[FECHA DE FACTURACIÓN]]</f>
        <v>30</v>
      </c>
      <c r="U108" t="str">
        <f>+IF(Tabla2[[#This Row],[dias de credito]]&gt;=Tabla2[[#This Row],[PLAZO Días]],"venc", "No venc")</f>
        <v>venc</v>
      </c>
      <c r="V108" t="str">
        <f>+IF(Tabla2[[#This Row],[FECHA DE PAGO]]&gt;0,"pagada","por pagar")</f>
        <v>pagada</v>
      </c>
      <c r="W108" s="141" t="str">
        <f>+IF(AND(Tabla2[[#This Row],[venc]]="venc",Tabla2[[#This Row],[Columna1]]="por pagar"),"vencida","no")</f>
        <v>no</v>
      </c>
    </row>
    <row r="109" spans="1:23" ht="15.6" hidden="1" x14ac:dyDescent="0.3">
      <c r="A109" s="20">
        <v>30</v>
      </c>
      <c r="B109" s="25">
        <v>0</v>
      </c>
      <c r="C109" s="25"/>
      <c r="D109" s="56" t="s">
        <v>107</v>
      </c>
      <c r="E109" s="426">
        <v>45271</v>
      </c>
      <c r="F109" s="26" t="s">
        <v>362</v>
      </c>
      <c r="G109" s="426">
        <v>45259</v>
      </c>
      <c r="H109" s="35" t="s">
        <v>2219</v>
      </c>
      <c r="I109" s="21">
        <v>697800</v>
      </c>
      <c r="J109" s="21"/>
      <c r="K109" s="22">
        <v>0</v>
      </c>
      <c r="L109" s="23"/>
      <c r="M109" s="22">
        <v>0</v>
      </c>
      <c r="N109" s="74">
        <v>0</v>
      </c>
      <c r="O109" s="22">
        <v>0</v>
      </c>
      <c r="P109" s="21">
        <v>697800</v>
      </c>
      <c r="S109" s="108" t="b">
        <f>OR(COUNTIF(Tabla2[[#This Row],[PROVEEDOR]],"*"&amp;'Palabra no opera'!$A$2&amp;"*"))</f>
        <v>0</v>
      </c>
      <c r="T109" s="139">
        <f>+$W$5-Tabla2[[#This Row],[FECHA DE FACTURACIÓN]]</f>
        <v>32</v>
      </c>
      <c r="U109" t="str">
        <f>+IF(Tabla2[[#This Row],[dias de credito]]&gt;=Tabla2[[#This Row],[PLAZO Días]],"venc", "No venc")</f>
        <v>venc</v>
      </c>
      <c r="V109" t="str">
        <f>+IF(Tabla2[[#This Row],[FECHA DE PAGO]]&gt;0,"pagada","por pagar")</f>
        <v>pagada</v>
      </c>
      <c r="W109" s="141" t="str">
        <f>+IF(AND(Tabla2[[#This Row],[venc]]="venc",Tabla2[[#This Row],[Columna1]]="por pagar"),"vencida","no")</f>
        <v>no</v>
      </c>
    </row>
    <row r="110" spans="1:23" ht="15.6" hidden="1" x14ac:dyDescent="0.3">
      <c r="A110" s="20">
        <v>30</v>
      </c>
      <c r="B110" s="25">
        <v>0</v>
      </c>
      <c r="C110" s="25"/>
      <c r="D110" s="56" t="s">
        <v>107</v>
      </c>
      <c r="E110" s="426">
        <v>45271</v>
      </c>
      <c r="F110" s="26" t="s">
        <v>362</v>
      </c>
      <c r="G110" s="426">
        <v>45255</v>
      </c>
      <c r="H110" s="35" t="s">
        <v>2218</v>
      </c>
      <c r="I110" s="21">
        <v>71000</v>
      </c>
      <c r="J110" s="21"/>
      <c r="K110" s="22">
        <v>0</v>
      </c>
      <c r="L110" s="23"/>
      <c r="M110" s="22">
        <v>0</v>
      </c>
      <c r="N110" s="74">
        <v>0</v>
      </c>
      <c r="O110" s="22">
        <v>0</v>
      </c>
      <c r="P110" s="21">
        <v>71000</v>
      </c>
      <c r="S110" s="108" t="b">
        <f>OR(COUNTIF(Tabla2[[#This Row],[PROVEEDOR]],"*"&amp;'Palabra no opera'!$A$2&amp;"*"))</f>
        <v>0</v>
      </c>
      <c r="T110" s="139">
        <f>+$W$5-Tabla2[[#This Row],[FECHA DE FACTURACIÓN]]</f>
        <v>36</v>
      </c>
      <c r="U110" t="str">
        <f>+IF(Tabla2[[#This Row],[dias de credito]]&gt;=Tabla2[[#This Row],[PLAZO Días]],"venc", "No venc")</f>
        <v>venc</v>
      </c>
      <c r="V110" t="str">
        <f>+IF(Tabla2[[#This Row],[FECHA DE PAGO]]&gt;0,"pagada","por pagar")</f>
        <v>pagada</v>
      </c>
      <c r="W110" s="141" t="str">
        <f>+IF(AND(Tabla2[[#This Row],[venc]]="venc",Tabla2[[#This Row],[Columna1]]="por pagar"),"vencida","no")</f>
        <v>no</v>
      </c>
    </row>
    <row r="111" spans="1:23" ht="15.6" hidden="1" x14ac:dyDescent="0.3">
      <c r="A111" s="20">
        <v>30</v>
      </c>
      <c r="B111" s="25">
        <v>0</v>
      </c>
      <c r="C111" s="25"/>
      <c r="D111" s="56" t="s">
        <v>260</v>
      </c>
      <c r="E111" s="426">
        <v>45271</v>
      </c>
      <c r="F111" s="26" t="s">
        <v>635</v>
      </c>
      <c r="G111" s="426">
        <v>45236</v>
      </c>
      <c r="H111" s="35" t="s">
        <v>2234</v>
      </c>
      <c r="I111" s="21">
        <v>3456200</v>
      </c>
      <c r="J111" s="21"/>
      <c r="K111" s="22">
        <v>0</v>
      </c>
      <c r="L111" s="23"/>
      <c r="M111" s="22">
        <v>0</v>
      </c>
      <c r="N111" s="74">
        <v>3.5000000000000003E-2</v>
      </c>
      <c r="O111" s="22">
        <v>120967.00000000001</v>
      </c>
      <c r="P111" s="21">
        <v>3335233</v>
      </c>
      <c r="S111" s="108" t="b">
        <f>OR(COUNTIF(Tabla2[[#This Row],[PROVEEDOR]],"*"&amp;'Palabra no opera'!$A$2&amp;"*"))</f>
        <v>1</v>
      </c>
      <c r="T111" s="139">
        <f>+$W$5-Tabla2[[#This Row],[FECHA DE FACTURACIÓN]]</f>
        <v>55</v>
      </c>
      <c r="U111" t="str">
        <f>+IF(Tabla2[[#This Row],[dias de credito]]&gt;=Tabla2[[#This Row],[PLAZO Días]],"venc", "No venc")</f>
        <v>venc</v>
      </c>
      <c r="V111" t="str">
        <f>+IF(Tabla2[[#This Row],[FECHA DE PAGO]]&gt;0,"pagada","por pagar")</f>
        <v>pagada</v>
      </c>
      <c r="W111" s="141" t="str">
        <f>+IF(AND(Tabla2[[#This Row],[venc]]="venc",Tabla2[[#This Row],[Columna1]]="por pagar"),"vencida","no")</f>
        <v>no</v>
      </c>
    </row>
    <row r="112" spans="1:23" ht="15.6" hidden="1" x14ac:dyDescent="0.3">
      <c r="A112" s="20">
        <v>30</v>
      </c>
      <c r="B112" s="25">
        <v>27189617.395</v>
      </c>
      <c r="C112" s="25"/>
      <c r="D112" s="56" t="s">
        <v>686</v>
      </c>
      <c r="E112" s="426">
        <v>45271</v>
      </c>
      <c r="F112" s="26" t="s">
        <v>77</v>
      </c>
      <c r="G112" s="426">
        <v>45233</v>
      </c>
      <c r="H112" s="35" t="s">
        <v>2107</v>
      </c>
      <c r="I112" s="21">
        <v>-773410</v>
      </c>
      <c r="J112" s="21"/>
      <c r="K112" s="22">
        <v>-146947.9</v>
      </c>
      <c r="L112" s="23"/>
      <c r="M112" s="22">
        <v>0</v>
      </c>
      <c r="N112" s="74">
        <v>0</v>
      </c>
      <c r="O112" s="22">
        <v>-19335</v>
      </c>
      <c r="P112" s="21">
        <v>-901022.9</v>
      </c>
      <c r="S112" s="108" t="b">
        <f>OR(COUNTIF(Tabla2[[#This Row],[PROVEEDOR]],"*"&amp;'Palabra no opera'!$A$2&amp;"*"))</f>
        <v>0</v>
      </c>
      <c r="T112" s="139">
        <f>+$W$5-Tabla2[[#This Row],[FECHA DE FACTURACIÓN]]</f>
        <v>58</v>
      </c>
      <c r="U112" t="str">
        <f>+IF(Tabla2[[#This Row],[dias de credito]]&gt;=Tabla2[[#This Row],[PLAZO Días]],"venc", "No venc")</f>
        <v>venc</v>
      </c>
      <c r="V112" t="str">
        <f>+IF(Tabla2[[#This Row],[FECHA DE PAGO]]&gt;0,"pagada","por pagar")</f>
        <v>pagada</v>
      </c>
      <c r="W112" s="141" t="str">
        <f>+IF(AND(Tabla2[[#This Row],[venc]]="venc",Tabla2[[#This Row],[Columna1]]="por pagar"),"vencida","no")</f>
        <v>no</v>
      </c>
    </row>
    <row r="113" spans="1:23" ht="15.6" hidden="1" x14ac:dyDescent="0.3">
      <c r="A113" s="20">
        <v>30</v>
      </c>
      <c r="B113" s="25">
        <v>27189617.395</v>
      </c>
      <c r="C113" s="25"/>
      <c r="D113" s="56" t="s">
        <v>686</v>
      </c>
      <c r="E113" s="426">
        <v>45271</v>
      </c>
      <c r="F113" s="26" t="s">
        <v>77</v>
      </c>
      <c r="G113" s="426">
        <v>45233</v>
      </c>
      <c r="H113" s="35" t="s">
        <v>2108</v>
      </c>
      <c r="I113" s="21">
        <v>320106</v>
      </c>
      <c r="J113" s="21"/>
      <c r="K113" s="22">
        <v>60820.14</v>
      </c>
      <c r="L113" s="23"/>
      <c r="M113" s="22">
        <v>0</v>
      </c>
      <c r="N113" s="74">
        <v>0</v>
      </c>
      <c r="O113" s="22">
        <v>0</v>
      </c>
      <c r="P113" s="21">
        <v>380926.14</v>
      </c>
      <c r="S113" s="108" t="b">
        <f>OR(COUNTIF(Tabla2[[#This Row],[PROVEEDOR]],"*"&amp;'Palabra no opera'!$A$2&amp;"*"))</f>
        <v>0</v>
      </c>
      <c r="T113" s="139">
        <f>+$W$5-Tabla2[[#This Row],[FECHA DE FACTURACIÓN]]</f>
        <v>58</v>
      </c>
      <c r="U113" t="str">
        <f>+IF(Tabla2[[#This Row],[dias de credito]]&gt;=Tabla2[[#This Row],[PLAZO Días]],"venc", "No venc")</f>
        <v>venc</v>
      </c>
      <c r="V113" t="str">
        <f>+IF(Tabla2[[#This Row],[FECHA DE PAGO]]&gt;0,"pagada","por pagar")</f>
        <v>pagada</v>
      </c>
      <c r="W113" s="141" t="str">
        <f>+IF(AND(Tabla2[[#This Row],[venc]]="venc",Tabla2[[#This Row],[Columna1]]="por pagar"),"vencida","no")</f>
        <v>no</v>
      </c>
    </row>
    <row r="114" spans="1:23" ht="15.6" hidden="1" x14ac:dyDescent="0.3">
      <c r="A114" s="20">
        <v>30</v>
      </c>
      <c r="B114" s="25">
        <v>27189617.395</v>
      </c>
      <c r="C114" s="25"/>
      <c r="D114" s="56" t="s">
        <v>686</v>
      </c>
      <c r="E114" s="426">
        <v>45271</v>
      </c>
      <c r="F114" s="26" t="s">
        <v>77</v>
      </c>
      <c r="G114" s="426">
        <v>45224</v>
      </c>
      <c r="H114" s="35" t="s">
        <v>2178</v>
      </c>
      <c r="I114" s="21">
        <v>24519811</v>
      </c>
      <c r="J114" s="21"/>
      <c r="K114" s="22">
        <v>4658764.09</v>
      </c>
      <c r="L114" s="23"/>
      <c r="M114" s="22"/>
      <c r="N114" s="74">
        <v>2.5000000000000001E-2</v>
      </c>
      <c r="O114" s="22">
        <v>612995.27500000002</v>
      </c>
      <c r="P114" s="21">
        <v>28565579.815000001</v>
      </c>
      <c r="S114" s="108" t="b">
        <f>OR(COUNTIF(Tabla2[[#This Row],[PROVEEDOR]],"*"&amp;'Palabra no opera'!$A$2&amp;"*"))</f>
        <v>0</v>
      </c>
      <c r="T114" s="139">
        <f>+$W$5-Tabla2[[#This Row],[FECHA DE FACTURACIÓN]]</f>
        <v>67</v>
      </c>
      <c r="U114" t="str">
        <f>+IF(Tabla2[[#This Row],[dias de credito]]&gt;=Tabla2[[#This Row],[PLAZO Días]],"venc", "No venc")</f>
        <v>venc</v>
      </c>
      <c r="V114" t="str">
        <f>+IF(Tabla2[[#This Row],[FECHA DE PAGO]]&gt;0,"pagada","por pagar")</f>
        <v>pagada</v>
      </c>
      <c r="W114" s="141" t="str">
        <f>+IF(AND(Tabla2[[#This Row],[venc]]="venc",Tabla2[[#This Row],[Columna1]]="por pagar"),"vencida","no")</f>
        <v>no</v>
      </c>
    </row>
    <row r="115" spans="1:23" ht="15.6" hidden="1" x14ac:dyDescent="0.3">
      <c r="A115" s="20">
        <v>30</v>
      </c>
      <c r="B115" s="25">
        <v>0</v>
      </c>
      <c r="C115" s="25"/>
      <c r="D115" s="56">
        <v>0</v>
      </c>
      <c r="E115" s="426">
        <v>45269</v>
      </c>
      <c r="F115" s="26" t="s">
        <v>642</v>
      </c>
      <c r="G115" s="426">
        <v>45269</v>
      </c>
      <c r="H115" s="35" t="s">
        <v>919</v>
      </c>
      <c r="I115" s="21">
        <v>129083</v>
      </c>
      <c r="J115" s="21"/>
      <c r="K115" s="22">
        <v>0</v>
      </c>
      <c r="L115" s="23"/>
      <c r="M115" s="22">
        <v>0</v>
      </c>
      <c r="N115" s="74">
        <v>0</v>
      </c>
      <c r="O115" s="22">
        <v>0</v>
      </c>
      <c r="P115" s="21">
        <v>129083</v>
      </c>
      <c r="S115" s="108" t="b">
        <f>OR(COUNTIF(Tabla2[[#This Row],[PROVEEDOR]],"*"&amp;'Palabra no opera'!$A$2&amp;"*"))</f>
        <v>1</v>
      </c>
      <c r="T115" s="139">
        <f>+$W$5-Tabla2[[#This Row],[FECHA DE FACTURACIÓN]]</f>
        <v>22</v>
      </c>
      <c r="U115" t="str">
        <f>+IF(Tabla2[[#This Row],[dias de credito]]&gt;=Tabla2[[#This Row],[PLAZO Días]],"venc", "No venc")</f>
        <v>No venc</v>
      </c>
      <c r="V115" t="str">
        <f>+IF(Tabla2[[#This Row],[FECHA DE PAGO]]&gt;0,"pagada","por pagar")</f>
        <v>pagada</v>
      </c>
      <c r="W115" s="141" t="str">
        <f>+IF(AND(Tabla2[[#This Row],[venc]]="venc",Tabla2[[#This Row],[Columna1]]="por pagar"),"vencida","no")</f>
        <v>no</v>
      </c>
    </row>
    <row r="116" spans="1:23" ht="15.6" hidden="1" x14ac:dyDescent="0.3">
      <c r="A116" s="20">
        <v>30</v>
      </c>
      <c r="B116" s="25">
        <v>0</v>
      </c>
      <c r="C116" s="25"/>
      <c r="D116" s="56" t="s">
        <v>107</v>
      </c>
      <c r="E116" s="426">
        <v>45267</v>
      </c>
      <c r="F116" s="26" t="s">
        <v>390</v>
      </c>
      <c r="G116" s="426">
        <v>45267</v>
      </c>
      <c r="H116" s="35"/>
      <c r="I116" s="21">
        <v>1315000</v>
      </c>
      <c r="J116" s="21"/>
      <c r="K116" s="22">
        <v>0</v>
      </c>
      <c r="L116" s="23"/>
      <c r="M116" s="22">
        <v>0</v>
      </c>
      <c r="N116" s="74">
        <v>0</v>
      </c>
      <c r="O116" s="22">
        <v>0</v>
      </c>
      <c r="P116" s="21">
        <v>1315000</v>
      </c>
      <c r="S116" s="108" t="b">
        <f>OR(COUNTIF(Tabla2[[#This Row],[PROVEEDOR]],"*"&amp;'Palabra no opera'!$A$2&amp;"*"))</f>
        <v>0</v>
      </c>
      <c r="T116" s="139">
        <f>+$W$5-Tabla2[[#This Row],[FECHA DE FACTURACIÓN]]</f>
        <v>24</v>
      </c>
      <c r="U116" t="str">
        <f>+IF(Tabla2[[#This Row],[dias de credito]]&gt;=Tabla2[[#This Row],[PLAZO Días]],"venc", "No venc")</f>
        <v>No venc</v>
      </c>
      <c r="V116" t="str">
        <f>+IF(Tabla2[[#This Row],[FECHA DE PAGO]]&gt;0,"pagada","por pagar")</f>
        <v>pagada</v>
      </c>
      <c r="W116" s="141" t="str">
        <f>+IF(AND(Tabla2[[#This Row],[venc]]="venc",Tabla2[[#This Row],[Columna1]]="por pagar"),"vencida","no")</f>
        <v>no</v>
      </c>
    </row>
    <row r="117" spans="1:23" ht="15.6" hidden="1" x14ac:dyDescent="0.3">
      <c r="A117" s="20">
        <v>30</v>
      </c>
      <c r="B117" s="25">
        <v>0</v>
      </c>
      <c r="C117" s="25"/>
      <c r="D117" s="56" t="s">
        <v>107</v>
      </c>
      <c r="E117" s="426">
        <v>45267</v>
      </c>
      <c r="F117" s="26" t="s">
        <v>401</v>
      </c>
      <c r="G117" s="426">
        <v>45232</v>
      </c>
      <c r="H117" s="35" t="s">
        <v>2118</v>
      </c>
      <c r="I117" s="21">
        <v>1256500</v>
      </c>
      <c r="J117" s="21"/>
      <c r="K117" s="22">
        <v>0</v>
      </c>
      <c r="L117" s="23"/>
      <c r="M117" s="22">
        <v>0</v>
      </c>
      <c r="N117" s="74">
        <v>0</v>
      </c>
      <c r="O117" s="22">
        <v>0</v>
      </c>
      <c r="P117" s="21">
        <v>1256500</v>
      </c>
      <c r="S117" s="108" t="b">
        <f>OR(COUNTIF(Tabla2[[#This Row],[PROVEEDOR]],"*"&amp;'Palabra no opera'!$A$2&amp;"*"))</f>
        <v>0</v>
      </c>
      <c r="T117" s="139">
        <f>+$W$5-Tabla2[[#This Row],[FECHA DE FACTURACIÓN]]</f>
        <v>59</v>
      </c>
      <c r="U117" t="str">
        <f>+IF(Tabla2[[#This Row],[dias de credito]]&gt;=Tabla2[[#This Row],[PLAZO Días]],"venc", "No venc")</f>
        <v>venc</v>
      </c>
      <c r="V117" t="str">
        <f>+IF(Tabla2[[#This Row],[FECHA DE PAGO]]&gt;0,"pagada","por pagar")</f>
        <v>pagada</v>
      </c>
      <c r="W117" s="141" t="str">
        <f>+IF(AND(Tabla2[[#This Row],[venc]]="venc",Tabla2[[#This Row],[Columna1]]="por pagar"),"vencida","no")</f>
        <v>no</v>
      </c>
    </row>
    <row r="118" spans="1:23" ht="15.6" hidden="1" x14ac:dyDescent="0.3">
      <c r="A118" s="20">
        <v>30</v>
      </c>
      <c r="B118" s="25">
        <v>0</v>
      </c>
      <c r="C118" s="25"/>
      <c r="D118" s="56" t="s">
        <v>2127</v>
      </c>
      <c r="E118" s="426">
        <v>45267</v>
      </c>
      <c r="F118" s="26" t="s">
        <v>2126</v>
      </c>
      <c r="G118" s="426">
        <v>45232</v>
      </c>
      <c r="H118" s="35" t="s">
        <v>2131</v>
      </c>
      <c r="I118" s="21">
        <v>1089076</v>
      </c>
      <c r="J118" s="21"/>
      <c r="K118" s="22">
        <v>206924.44</v>
      </c>
      <c r="L118" s="23"/>
      <c r="M118" s="22">
        <v>0</v>
      </c>
      <c r="N118" s="74">
        <v>0</v>
      </c>
      <c r="O118" s="22">
        <v>0</v>
      </c>
      <c r="P118" s="21">
        <v>1296000.44</v>
      </c>
      <c r="S118" s="108" t="b">
        <f>OR(COUNTIF(Tabla2[[#This Row],[PROVEEDOR]],"*"&amp;'Palabra no opera'!$A$2&amp;"*"))</f>
        <v>0</v>
      </c>
      <c r="T118" s="139">
        <f>+$W$5-Tabla2[[#This Row],[FECHA DE FACTURACIÓN]]</f>
        <v>59</v>
      </c>
      <c r="U118" t="str">
        <f>+IF(Tabla2[[#This Row],[dias de credito]]&gt;=Tabla2[[#This Row],[PLAZO Días]],"venc", "No venc")</f>
        <v>venc</v>
      </c>
      <c r="V118" t="str">
        <f>+IF(Tabla2[[#This Row],[FECHA DE PAGO]]&gt;0,"pagada","por pagar")</f>
        <v>pagada</v>
      </c>
      <c r="W118" s="141" t="str">
        <f>+IF(AND(Tabla2[[#This Row],[venc]]="venc",Tabla2[[#This Row],[Columna1]]="por pagar"),"vencida","no")</f>
        <v>no</v>
      </c>
    </row>
    <row r="119" spans="1:23" ht="15.6" hidden="1" x14ac:dyDescent="0.3">
      <c r="A119" s="20">
        <v>30</v>
      </c>
      <c r="B119" s="25">
        <v>0</v>
      </c>
      <c r="C119" s="25"/>
      <c r="D119" s="56" t="s">
        <v>258</v>
      </c>
      <c r="E119" s="426">
        <v>45267</v>
      </c>
      <c r="F119" s="26" t="s">
        <v>394</v>
      </c>
      <c r="G119" s="426">
        <v>45231</v>
      </c>
      <c r="H119" s="35" t="s">
        <v>2122</v>
      </c>
      <c r="I119" s="21">
        <v>2990000</v>
      </c>
      <c r="J119" s="21"/>
      <c r="K119" s="22">
        <v>0</v>
      </c>
      <c r="L119" s="23"/>
      <c r="M119" s="22">
        <v>0</v>
      </c>
      <c r="N119" s="74">
        <v>0</v>
      </c>
      <c r="O119" s="22">
        <v>0</v>
      </c>
      <c r="P119" s="21">
        <v>2990000</v>
      </c>
      <c r="S119" s="108" t="b">
        <f>OR(COUNTIF(Tabla2[[#This Row],[PROVEEDOR]],"*"&amp;'Palabra no opera'!$A$2&amp;"*"))</f>
        <v>0</v>
      </c>
      <c r="T119" s="139">
        <f>+$W$5-Tabla2[[#This Row],[FECHA DE FACTURACIÓN]]</f>
        <v>60</v>
      </c>
      <c r="U119" t="str">
        <f>+IF(Tabla2[[#This Row],[dias de credito]]&gt;=Tabla2[[#This Row],[PLAZO Días]],"venc", "No venc")</f>
        <v>venc</v>
      </c>
      <c r="V119" t="str">
        <f>+IF(Tabla2[[#This Row],[FECHA DE PAGO]]&gt;0,"pagada","por pagar")</f>
        <v>pagada</v>
      </c>
      <c r="W119" s="141" t="str">
        <f>+IF(AND(Tabla2[[#This Row],[venc]]="venc",Tabla2[[#This Row],[Columna1]]="por pagar"),"vencida","no")</f>
        <v>no</v>
      </c>
    </row>
    <row r="120" spans="1:23" ht="15.6" hidden="1" x14ac:dyDescent="0.3">
      <c r="A120" s="20">
        <v>30</v>
      </c>
      <c r="B120" s="25">
        <v>0</v>
      </c>
      <c r="C120" s="25"/>
      <c r="D120" s="56" t="s">
        <v>107</v>
      </c>
      <c r="E120" s="426">
        <v>45266</v>
      </c>
      <c r="F120" s="26" t="s">
        <v>362</v>
      </c>
      <c r="G120" s="426">
        <v>45266</v>
      </c>
      <c r="H120" s="35" t="s">
        <v>2240</v>
      </c>
      <c r="I120" s="21">
        <v>412900</v>
      </c>
      <c r="J120" s="21"/>
      <c r="K120" s="22">
        <v>0</v>
      </c>
      <c r="L120" s="23"/>
      <c r="M120" s="22">
        <v>0</v>
      </c>
      <c r="N120" s="74">
        <v>0</v>
      </c>
      <c r="O120" s="22">
        <v>0</v>
      </c>
      <c r="P120" s="21">
        <v>412900</v>
      </c>
      <c r="S120" s="108" t="b">
        <f>OR(COUNTIF(Tabla2[[#This Row],[PROVEEDOR]],"*"&amp;'Palabra no opera'!$A$2&amp;"*"))</f>
        <v>0</v>
      </c>
      <c r="T120" s="139">
        <f>+$W$5-Tabla2[[#This Row],[FECHA DE FACTURACIÓN]]</f>
        <v>25</v>
      </c>
      <c r="U120" t="str">
        <f>+IF(Tabla2[[#This Row],[dias de credito]]&gt;=Tabla2[[#This Row],[PLAZO Días]],"venc", "No venc")</f>
        <v>No venc</v>
      </c>
      <c r="V120" t="str">
        <f>+IF(Tabla2[[#This Row],[FECHA DE PAGO]]&gt;0,"pagada","por pagar")</f>
        <v>pagada</v>
      </c>
      <c r="W120" s="141" t="str">
        <f>+IF(AND(Tabla2[[#This Row],[venc]]="venc",Tabla2[[#This Row],[Columna1]]="por pagar"),"vencida","no")</f>
        <v>no</v>
      </c>
    </row>
    <row r="121" spans="1:23" ht="15.6" hidden="1" x14ac:dyDescent="0.3">
      <c r="A121" s="20">
        <v>30</v>
      </c>
      <c r="B121" s="25">
        <v>0</v>
      </c>
      <c r="C121" s="25"/>
      <c r="D121" s="56" t="s">
        <v>107</v>
      </c>
      <c r="E121" s="426">
        <v>45266</v>
      </c>
      <c r="F121" s="26" t="s">
        <v>378</v>
      </c>
      <c r="G121" s="426">
        <v>45266</v>
      </c>
      <c r="H121" s="35" t="s">
        <v>2300</v>
      </c>
      <c r="I121" s="21">
        <v>1200000</v>
      </c>
      <c r="J121" s="21"/>
      <c r="K121" s="22">
        <v>0</v>
      </c>
      <c r="L121" s="23"/>
      <c r="M121" s="22">
        <v>0</v>
      </c>
      <c r="N121" s="74">
        <v>0</v>
      </c>
      <c r="O121" s="22">
        <v>0</v>
      </c>
      <c r="P121" s="21">
        <v>1200000</v>
      </c>
      <c r="S121" s="108" t="b">
        <f>OR(COUNTIF(Tabla2[[#This Row],[PROVEEDOR]],"*"&amp;'Palabra no opera'!$A$2&amp;"*"))</f>
        <v>0</v>
      </c>
      <c r="T121" s="139">
        <f>+$W$5-Tabla2[[#This Row],[FECHA DE FACTURACIÓN]]</f>
        <v>25</v>
      </c>
      <c r="U121" t="str">
        <f>+IF(Tabla2[[#This Row],[dias de credito]]&gt;=Tabla2[[#This Row],[PLAZO Días]],"venc", "No venc")</f>
        <v>No venc</v>
      </c>
      <c r="V121" t="str">
        <f>+IF(Tabla2[[#This Row],[FECHA DE PAGO]]&gt;0,"pagada","por pagar")</f>
        <v>pagada</v>
      </c>
      <c r="W121" s="141" t="str">
        <f>+IF(AND(Tabla2[[#This Row],[venc]]="venc",Tabla2[[#This Row],[Columna1]]="por pagar"),"vencida","no")</f>
        <v>no</v>
      </c>
    </row>
    <row r="122" spans="1:23" ht="15.6" hidden="1" x14ac:dyDescent="0.3">
      <c r="A122" s="20">
        <v>30</v>
      </c>
      <c r="B122" s="25">
        <v>0</v>
      </c>
      <c r="C122" s="25"/>
      <c r="D122" s="56">
        <v>0</v>
      </c>
      <c r="E122" s="426">
        <v>45264</v>
      </c>
      <c r="F122" s="26" t="s">
        <v>1736</v>
      </c>
      <c r="G122" s="426">
        <v>45261</v>
      </c>
      <c r="H122" s="35" t="s">
        <v>2211</v>
      </c>
      <c r="I122" s="21">
        <v>534000</v>
      </c>
      <c r="J122" s="21"/>
      <c r="K122" s="22">
        <v>0</v>
      </c>
      <c r="L122" s="23"/>
      <c r="M122" s="22">
        <v>0</v>
      </c>
      <c r="N122" s="74">
        <v>0</v>
      </c>
      <c r="O122" s="22">
        <v>0</v>
      </c>
      <c r="P122" s="21">
        <v>534000</v>
      </c>
      <c r="S122" s="108" t="b">
        <f>OR(COUNTIF(Tabla2[[#This Row],[PROVEEDOR]],"*"&amp;'Palabra no opera'!$A$2&amp;"*"))</f>
        <v>0</v>
      </c>
      <c r="T122" s="139">
        <f>+$W$5-Tabla2[[#This Row],[FECHA DE FACTURACIÓN]]</f>
        <v>30</v>
      </c>
      <c r="U122" t="str">
        <f>+IF(Tabla2[[#This Row],[dias de credito]]&gt;=Tabla2[[#This Row],[PLAZO Días]],"venc", "No venc")</f>
        <v>venc</v>
      </c>
      <c r="V122" t="str">
        <f>+IF(Tabla2[[#This Row],[FECHA DE PAGO]]&gt;0,"pagada","por pagar")</f>
        <v>pagada</v>
      </c>
      <c r="W122" s="141" t="str">
        <f>+IF(AND(Tabla2[[#This Row],[venc]]="venc",Tabla2[[#This Row],[Columna1]]="por pagar"),"vencida","no")</f>
        <v>no</v>
      </c>
    </row>
    <row r="123" spans="1:23" ht="15.6" hidden="1" x14ac:dyDescent="0.3">
      <c r="A123" s="20">
        <v>30</v>
      </c>
      <c r="B123" s="25">
        <v>1316890.8900000001</v>
      </c>
      <c r="C123" s="25"/>
      <c r="D123" s="56" t="s">
        <v>188</v>
      </c>
      <c r="E123" s="426">
        <v>45264</v>
      </c>
      <c r="F123" s="26" t="s">
        <v>17</v>
      </c>
      <c r="G123" s="426">
        <v>45233</v>
      </c>
      <c r="H123" s="35" t="s">
        <v>2138</v>
      </c>
      <c r="I123" s="21">
        <v>707408</v>
      </c>
      <c r="J123" s="21"/>
      <c r="K123" s="22">
        <v>134407.51999999999</v>
      </c>
      <c r="L123" s="23"/>
      <c r="M123" s="22">
        <v>0</v>
      </c>
      <c r="N123" s="74">
        <v>0</v>
      </c>
      <c r="O123" s="22">
        <v>0</v>
      </c>
      <c r="P123" s="21">
        <v>841815.52</v>
      </c>
      <c r="S123" s="108" t="b">
        <f>OR(COUNTIF(Tabla2[[#This Row],[PROVEEDOR]],"*"&amp;'Palabra no opera'!$A$2&amp;"*"))</f>
        <v>0</v>
      </c>
      <c r="T123" s="139">
        <f>+$W$5-Tabla2[[#This Row],[FECHA DE FACTURACIÓN]]</f>
        <v>58</v>
      </c>
      <c r="U123" t="str">
        <f>+IF(Tabla2[[#This Row],[dias de credito]]&gt;=Tabla2[[#This Row],[PLAZO Días]],"venc", "No venc")</f>
        <v>venc</v>
      </c>
      <c r="V123" t="str">
        <f>+IF(Tabla2[[#This Row],[FECHA DE PAGO]]&gt;0,"pagada","por pagar")</f>
        <v>pagada</v>
      </c>
      <c r="W123" s="141" t="str">
        <f>+IF(AND(Tabla2[[#This Row],[venc]]="venc",Tabla2[[#This Row],[Columna1]]="por pagar"),"vencida","no")</f>
        <v>no</v>
      </c>
    </row>
    <row r="124" spans="1:23" ht="15.6" hidden="1" x14ac:dyDescent="0.3">
      <c r="A124" s="20">
        <v>30</v>
      </c>
      <c r="B124" s="25">
        <v>17870934.149999999</v>
      </c>
      <c r="C124" s="25"/>
      <c r="D124" s="56" t="s">
        <v>182</v>
      </c>
      <c r="E124" s="426">
        <v>45264</v>
      </c>
      <c r="F124" s="26" t="s">
        <v>18</v>
      </c>
      <c r="G124" s="426">
        <v>45232</v>
      </c>
      <c r="H124" s="35" t="s">
        <v>2134</v>
      </c>
      <c r="I124" s="21">
        <v>2284053</v>
      </c>
      <c r="J124" s="21"/>
      <c r="K124" s="22">
        <v>433970.07</v>
      </c>
      <c r="L124" s="23"/>
      <c r="M124" s="22">
        <v>0</v>
      </c>
      <c r="N124" s="74">
        <v>2.5000000000000001E-2</v>
      </c>
      <c r="O124" s="22">
        <v>57101.325000000004</v>
      </c>
      <c r="P124" s="21">
        <v>2660921.7449999996</v>
      </c>
      <c r="S124" s="108" t="b">
        <f>OR(COUNTIF(Tabla2[[#This Row],[PROVEEDOR]],"*"&amp;'Palabra no opera'!$A$2&amp;"*"))</f>
        <v>0</v>
      </c>
      <c r="T124" s="139">
        <f>+$W$5-Tabla2[[#This Row],[FECHA DE FACTURACIÓN]]</f>
        <v>59</v>
      </c>
      <c r="U124" t="str">
        <f>+IF(Tabla2[[#This Row],[dias de credito]]&gt;=Tabla2[[#This Row],[PLAZO Días]],"venc", "No venc")</f>
        <v>venc</v>
      </c>
      <c r="V124" t="str">
        <f>+IF(Tabla2[[#This Row],[FECHA DE PAGO]]&gt;0,"pagada","por pagar")</f>
        <v>pagada</v>
      </c>
      <c r="W124" s="141" t="str">
        <f>+IF(AND(Tabla2[[#This Row],[venc]]="venc",Tabla2[[#This Row],[Columna1]]="por pagar"),"vencida","no")</f>
        <v>no</v>
      </c>
    </row>
    <row r="125" spans="1:23" ht="15.6" hidden="1" x14ac:dyDescent="0.3">
      <c r="A125" s="20">
        <v>30</v>
      </c>
      <c r="B125" s="25">
        <v>5538410</v>
      </c>
      <c r="C125" s="25"/>
      <c r="D125" s="56" t="s">
        <v>1461</v>
      </c>
      <c r="E125" s="426">
        <v>45264</v>
      </c>
      <c r="F125" s="26" t="s">
        <v>1460</v>
      </c>
      <c r="G125" s="426">
        <v>45225</v>
      </c>
      <c r="H125" s="35" t="s">
        <v>2097</v>
      </c>
      <c r="I125" s="21">
        <v>3110000</v>
      </c>
      <c r="J125" s="21"/>
      <c r="K125" s="22">
        <v>590900</v>
      </c>
      <c r="L125" s="23"/>
      <c r="M125" s="22">
        <v>0</v>
      </c>
      <c r="N125" s="74">
        <v>2.5000000000000001E-2</v>
      </c>
      <c r="O125" s="22">
        <v>77750</v>
      </c>
      <c r="P125" s="21">
        <v>3623150</v>
      </c>
      <c r="S125" s="108" t="b">
        <f>OR(COUNTIF(Tabla2[[#This Row],[PROVEEDOR]],"*"&amp;'Palabra no opera'!$A$2&amp;"*"))</f>
        <v>0</v>
      </c>
      <c r="T125" s="139">
        <f>+$W$5-Tabla2[[#This Row],[FECHA DE FACTURACIÓN]]</f>
        <v>66</v>
      </c>
      <c r="U125" t="str">
        <f>+IF(Tabla2[[#This Row],[dias de credito]]&gt;=Tabla2[[#This Row],[PLAZO Días]],"venc", "No venc")</f>
        <v>venc</v>
      </c>
      <c r="V125" t="str">
        <f>+IF(Tabla2[[#This Row],[FECHA DE PAGO]]&gt;0,"pagada","por pagar")</f>
        <v>pagada</v>
      </c>
      <c r="W125" s="141" t="str">
        <f>+IF(AND(Tabla2[[#This Row],[venc]]="venc",Tabla2[[#This Row],[Columna1]]="por pagar"),"vencida","no")</f>
        <v>no</v>
      </c>
    </row>
    <row r="126" spans="1:23" ht="15.6" hidden="1" x14ac:dyDescent="0.3">
      <c r="A126" s="20">
        <v>30</v>
      </c>
      <c r="B126" s="25">
        <v>0</v>
      </c>
      <c r="C126" s="25"/>
      <c r="D126" s="56" t="s">
        <v>190</v>
      </c>
      <c r="E126" s="426">
        <v>45264</v>
      </c>
      <c r="F126" s="26" t="s">
        <v>964</v>
      </c>
      <c r="G126" s="426">
        <v>45225</v>
      </c>
      <c r="H126" s="35" t="s">
        <v>2096</v>
      </c>
      <c r="I126" s="21">
        <v>2263000</v>
      </c>
      <c r="J126" s="21"/>
      <c r="K126" s="22">
        <v>429970</v>
      </c>
      <c r="L126" s="23"/>
      <c r="M126" s="22">
        <v>0</v>
      </c>
      <c r="N126" s="74">
        <v>0</v>
      </c>
      <c r="O126" s="22">
        <v>0</v>
      </c>
      <c r="P126" s="21">
        <v>2692970</v>
      </c>
      <c r="S126" s="108" t="b">
        <f>OR(COUNTIF(Tabla2[[#This Row],[PROVEEDOR]],"*"&amp;'Palabra no opera'!$A$2&amp;"*"))</f>
        <v>0</v>
      </c>
      <c r="T126" s="139">
        <f>+$W$5-Tabla2[[#This Row],[FECHA DE FACTURACIÓN]]</f>
        <v>66</v>
      </c>
      <c r="U126" t="str">
        <f>+IF(Tabla2[[#This Row],[dias de credito]]&gt;=Tabla2[[#This Row],[PLAZO Días]],"venc", "No venc")</f>
        <v>venc</v>
      </c>
      <c r="V126" t="str">
        <f>+IF(Tabla2[[#This Row],[FECHA DE PAGO]]&gt;0,"pagada","por pagar")</f>
        <v>pagada</v>
      </c>
      <c r="W126" s="141" t="str">
        <f>+IF(AND(Tabla2[[#This Row],[venc]]="venc",Tabla2[[#This Row],[Columna1]]="por pagar"),"vencida","no")</f>
        <v>no</v>
      </c>
    </row>
    <row r="127" spans="1:23" ht="15.6" hidden="1" x14ac:dyDescent="0.3">
      <c r="A127" s="20">
        <v>30</v>
      </c>
      <c r="B127" s="25">
        <v>-139600.09</v>
      </c>
      <c r="C127" s="25"/>
      <c r="D127" s="56" t="s">
        <v>728</v>
      </c>
      <c r="E127" s="426">
        <v>45264</v>
      </c>
      <c r="F127" s="26" t="s">
        <v>32</v>
      </c>
      <c r="G127" s="426">
        <v>45225</v>
      </c>
      <c r="H127" s="35" t="s">
        <v>2082</v>
      </c>
      <c r="I127" s="21">
        <v>2261344</v>
      </c>
      <c r="J127" s="21"/>
      <c r="K127" s="22">
        <v>429655.36</v>
      </c>
      <c r="L127" s="23"/>
      <c r="M127" s="22">
        <v>0</v>
      </c>
      <c r="N127" s="74">
        <v>2.5000000000000001E-2</v>
      </c>
      <c r="O127" s="22">
        <v>56533.600000000006</v>
      </c>
      <c r="P127" s="21">
        <v>2634465.7599999998</v>
      </c>
      <c r="S127" s="108" t="b">
        <f>OR(COUNTIF(Tabla2[[#This Row],[PROVEEDOR]],"*"&amp;'Palabra no opera'!$A$2&amp;"*"))</f>
        <v>0</v>
      </c>
      <c r="T127" s="139">
        <f>+$W$5-Tabla2[[#This Row],[FECHA DE FACTURACIÓN]]</f>
        <v>66</v>
      </c>
      <c r="U127" t="str">
        <f>+IF(Tabla2[[#This Row],[dias de credito]]&gt;=Tabla2[[#This Row],[PLAZO Días]],"venc", "No venc")</f>
        <v>venc</v>
      </c>
      <c r="V127" t="str">
        <f>+IF(Tabla2[[#This Row],[FECHA DE PAGO]]&gt;0,"pagada","por pagar")</f>
        <v>pagada</v>
      </c>
      <c r="W127" s="141" t="str">
        <f>+IF(AND(Tabla2[[#This Row],[venc]]="venc",Tabla2[[#This Row],[Columna1]]="por pagar"),"vencida","no")</f>
        <v>no</v>
      </c>
    </row>
    <row r="128" spans="1:23" ht="15.6" hidden="1" x14ac:dyDescent="0.3">
      <c r="A128" s="20">
        <v>30</v>
      </c>
      <c r="B128" s="25">
        <v>18444236.894999996</v>
      </c>
      <c r="C128" s="25"/>
      <c r="D128" s="56" t="s">
        <v>731</v>
      </c>
      <c r="E128" s="426">
        <v>45264</v>
      </c>
      <c r="F128" s="26" t="s">
        <v>11</v>
      </c>
      <c r="G128" s="426">
        <v>45222</v>
      </c>
      <c r="H128" s="35" t="s">
        <v>2090</v>
      </c>
      <c r="I128" s="21">
        <v>3105888</v>
      </c>
      <c r="J128" s="21"/>
      <c r="K128" s="22">
        <v>590118.72</v>
      </c>
      <c r="L128" s="23"/>
      <c r="M128" s="22">
        <v>0</v>
      </c>
      <c r="N128" s="74">
        <v>2.5000000000000001E-2</v>
      </c>
      <c r="O128" s="22">
        <v>77647.199999999997</v>
      </c>
      <c r="P128" s="21">
        <v>3618359.5199999996</v>
      </c>
      <c r="S128" s="108" t="b">
        <f>OR(COUNTIF(Tabla2[[#This Row],[PROVEEDOR]],"*"&amp;'Palabra no opera'!$A$2&amp;"*"))</f>
        <v>0</v>
      </c>
      <c r="T128" s="139">
        <f>+$W$5-Tabla2[[#This Row],[FECHA DE FACTURACIÓN]]</f>
        <v>69</v>
      </c>
      <c r="U128" t="str">
        <f>+IF(Tabla2[[#This Row],[dias de credito]]&gt;=Tabla2[[#This Row],[PLAZO Días]],"venc", "No venc")</f>
        <v>venc</v>
      </c>
      <c r="V128" t="str">
        <f>+IF(Tabla2[[#This Row],[FECHA DE PAGO]]&gt;0,"pagada","por pagar")</f>
        <v>pagada</v>
      </c>
      <c r="W128" s="141" t="str">
        <f>+IF(AND(Tabla2[[#This Row],[venc]]="venc",Tabla2[[#This Row],[Columna1]]="por pagar"),"vencida","no")</f>
        <v>no</v>
      </c>
    </row>
    <row r="129" spans="1:23" ht="15.6" hidden="1" x14ac:dyDescent="0.3">
      <c r="A129" s="20">
        <v>30</v>
      </c>
      <c r="B129" s="25">
        <v>0</v>
      </c>
      <c r="C129" s="25"/>
      <c r="D129" s="56" t="s">
        <v>296</v>
      </c>
      <c r="E129" s="426">
        <v>45264</v>
      </c>
      <c r="F129" s="26" t="s">
        <v>281</v>
      </c>
      <c r="G129" s="426">
        <v>45219</v>
      </c>
      <c r="H129" s="35" t="s">
        <v>2069</v>
      </c>
      <c r="I129" s="21">
        <v>464214</v>
      </c>
      <c r="J129" s="21">
        <v>236214</v>
      </c>
      <c r="K129" s="22">
        <v>43320</v>
      </c>
      <c r="L129" s="23"/>
      <c r="M129" s="22">
        <v>0</v>
      </c>
      <c r="N129" s="74">
        <v>0</v>
      </c>
      <c r="O129" s="22">
        <v>0</v>
      </c>
      <c r="P129" s="21">
        <v>271320</v>
      </c>
      <c r="S129" s="108" t="b">
        <f>OR(COUNTIF(Tabla2[[#This Row],[PROVEEDOR]],"*"&amp;'Palabra no opera'!$A$2&amp;"*"))</f>
        <v>0</v>
      </c>
      <c r="T129" s="139">
        <f>+$W$5-Tabla2[[#This Row],[FECHA DE FACTURACIÓN]]</f>
        <v>72</v>
      </c>
      <c r="U129" t="str">
        <f>+IF(Tabla2[[#This Row],[dias de credito]]&gt;=Tabla2[[#This Row],[PLAZO Días]],"venc", "No venc")</f>
        <v>venc</v>
      </c>
      <c r="V129" t="str">
        <f>+IF(Tabla2[[#This Row],[FECHA DE PAGO]]&gt;0,"pagada","por pagar")</f>
        <v>pagada</v>
      </c>
      <c r="W129" s="141" t="str">
        <f>+IF(AND(Tabla2[[#This Row],[venc]]="venc",Tabla2[[#This Row],[Columna1]]="por pagar"),"vencida","no")</f>
        <v>no</v>
      </c>
    </row>
    <row r="130" spans="1:23" ht="15.6" hidden="1" x14ac:dyDescent="0.3">
      <c r="A130" s="20">
        <v>30</v>
      </c>
      <c r="B130" s="25">
        <v>17870934.149999999</v>
      </c>
      <c r="C130" s="25"/>
      <c r="D130" s="56" t="s">
        <v>182</v>
      </c>
      <c r="E130" s="426">
        <v>45264</v>
      </c>
      <c r="F130" s="26" t="s">
        <v>18</v>
      </c>
      <c r="G130" s="426">
        <v>45219</v>
      </c>
      <c r="H130" s="35" t="s">
        <v>2077</v>
      </c>
      <c r="I130" s="21">
        <v>1633588</v>
      </c>
      <c r="J130" s="21"/>
      <c r="K130" s="22">
        <v>310381.72000000003</v>
      </c>
      <c r="L130" s="23"/>
      <c r="M130" s="22">
        <v>0</v>
      </c>
      <c r="N130" s="74">
        <v>2.5000000000000001E-2</v>
      </c>
      <c r="O130" s="22">
        <v>40839.700000000004</v>
      </c>
      <c r="P130" s="21">
        <v>1903130.02</v>
      </c>
      <c r="S130" s="108" t="b">
        <f>OR(COUNTIF(Tabla2[[#This Row],[PROVEEDOR]],"*"&amp;'Palabra no opera'!$A$2&amp;"*"))</f>
        <v>0</v>
      </c>
      <c r="T130" s="139">
        <f>+$W$5-Tabla2[[#This Row],[FECHA DE FACTURACIÓN]]</f>
        <v>72</v>
      </c>
      <c r="U130" t="str">
        <f>+IF(Tabla2[[#This Row],[dias de credito]]&gt;=Tabla2[[#This Row],[PLAZO Días]],"venc", "No venc")</f>
        <v>venc</v>
      </c>
      <c r="V130" t="str">
        <f>+IF(Tabla2[[#This Row],[FECHA DE PAGO]]&gt;0,"pagada","por pagar")</f>
        <v>pagada</v>
      </c>
      <c r="W130" s="141" t="str">
        <f>+IF(AND(Tabla2[[#This Row],[venc]]="venc",Tabla2[[#This Row],[Columna1]]="por pagar"),"vencida","no")</f>
        <v>no</v>
      </c>
    </row>
    <row r="131" spans="1:23" ht="15.6" hidden="1" x14ac:dyDescent="0.3">
      <c r="A131" s="20">
        <v>45</v>
      </c>
      <c r="B131" s="25">
        <v>15770594</v>
      </c>
      <c r="C131" s="25"/>
      <c r="D131" s="56" t="s">
        <v>594</v>
      </c>
      <c r="E131" s="426">
        <v>45264</v>
      </c>
      <c r="F131" s="26" t="s">
        <v>19</v>
      </c>
      <c r="G131" s="426">
        <v>45218</v>
      </c>
      <c r="H131" s="35" t="s">
        <v>2084</v>
      </c>
      <c r="I131" s="21">
        <v>1657794</v>
      </c>
      <c r="J131" s="21"/>
      <c r="K131" s="22">
        <v>314980.86</v>
      </c>
      <c r="L131" s="23"/>
      <c r="M131" s="22">
        <v>0</v>
      </c>
      <c r="N131" s="74">
        <v>0</v>
      </c>
      <c r="O131" s="22">
        <v>0</v>
      </c>
      <c r="P131" s="21">
        <v>1972774.8599999999</v>
      </c>
      <c r="S131" s="108" t="b">
        <f>OR(COUNTIF(Tabla2[[#This Row],[PROVEEDOR]],"*"&amp;'Palabra no opera'!$A$2&amp;"*"))</f>
        <v>0</v>
      </c>
      <c r="T131" s="139">
        <f>+$W$5-Tabla2[[#This Row],[FECHA DE FACTURACIÓN]]</f>
        <v>73</v>
      </c>
      <c r="U131" t="str">
        <f>+IF(Tabla2[[#This Row],[dias de credito]]&gt;=Tabla2[[#This Row],[PLAZO Días]],"venc", "No venc")</f>
        <v>venc</v>
      </c>
      <c r="V131" t="str">
        <f>+IF(Tabla2[[#This Row],[FECHA DE PAGO]]&gt;0,"pagada","por pagar")</f>
        <v>pagada</v>
      </c>
      <c r="W131" s="141" t="str">
        <f>+IF(AND(Tabla2[[#This Row],[venc]]="venc",Tabla2[[#This Row],[Columna1]]="por pagar"),"vencida","no")</f>
        <v>no</v>
      </c>
    </row>
    <row r="132" spans="1:23" ht="15.6" hidden="1" x14ac:dyDescent="0.3">
      <c r="A132" s="20">
        <v>30</v>
      </c>
      <c r="B132" s="25">
        <v>0</v>
      </c>
      <c r="C132" s="25"/>
      <c r="D132" s="56" t="s">
        <v>296</v>
      </c>
      <c r="E132" s="426">
        <v>45264</v>
      </c>
      <c r="F132" s="26" t="s">
        <v>281</v>
      </c>
      <c r="G132" s="426">
        <v>45217</v>
      </c>
      <c r="H132" s="35" t="s">
        <v>2068</v>
      </c>
      <c r="I132" s="21">
        <v>1976704</v>
      </c>
      <c r="J132" s="21">
        <v>1164940</v>
      </c>
      <c r="K132" s="22">
        <v>154235.16</v>
      </c>
      <c r="L132" s="23"/>
      <c r="M132" s="22">
        <v>0</v>
      </c>
      <c r="N132" s="74">
        <v>0</v>
      </c>
      <c r="O132" s="22">
        <v>0</v>
      </c>
      <c r="P132" s="21">
        <v>965999.16000000015</v>
      </c>
      <c r="S132" s="108" t="b">
        <f>OR(COUNTIF(Tabla2[[#This Row],[PROVEEDOR]],"*"&amp;'Palabra no opera'!$A$2&amp;"*"))</f>
        <v>0</v>
      </c>
      <c r="T132" s="139">
        <f>+$W$5-Tabla2[[#This Row],[FECHA DE FACTURACIÓN]]</f>
        <v>74</v>
      </c>
      <c r="U132" t="str">
        <f>+IF(Tabla2[[#This Row],[dias de credito]]&gt;=Tabla2[[#This Row],[PLAZO Días]],"venc", "No venc")</f>
        <v>venc</v>
      </c>
      <c r="V132" t="str">
        <f>+IF(Tabla2[[#This Row],[FECHA DE PAGO]]&gt;0,"pagada","por pagar")</f>
        <v>pagada</v>
      </c>
      <c r="W132" s="141" t="str">
        <f>+IF(AND(Tabla2[[#This Row],[venc]]="venc",Tabla2[[#This Row],[Columna1]]="por pagar"),"vencida","no")</f>
        <v>no</v>
      </c>
    </row>
    <row r="133" spans="1:23" ht="15.6" hidden="1" x14ac:dyDescent="0.3">
      <c r="A133" s="20">
        <v>30</v>
      </c>
      <c r="B133" s="25">
        <v>0</v>
      </c>
      <c r="C133" s="25"/>
      <c r="D133" s="56" t="s">
        <v>296</v>
      </c>
      <c r="E133" s="426">
        <v>45264</v>
      </c>
      <c r="F133" s="26" t="s">
        <v>281</v>
      </c>
      <c r="G133" s="426">
        <v>45211</v>
      </c>
      <c r="H133" s="35" t="s">
        <v>2067</v>
      </c>
      <c r="I133" s="21">
        <v>4607250</v>
      </c>
      <c r="J133" s="21">
        <v>2503486</v>
      </c>
      <c r="K133" s="22">
        <v>399715.16000000003</v>
      </c>
      <c r="L133" s="23"/>
      <c r="M133" s="22">
        <v>0</v>
      </c>
      <c r="N133" s="74">
        <v>0</v>
      </c>
      <c r="O133" s="22">
        <v>0</v>
      </c>
      <c r="P133" s="21">
        <v>2503479.16</v>
      </c>
      <c r="S133" s="108" t="b">
        <f>OR(COUNTIF(Tabla2[[#This Row],[PROVEEDOR]],"*"&amp;'Palabra no opera'!$A$2&amp;"*"))</f>
        <v>0</v>
      </c>
      <c r="T133" s="139">
        <f>+$W$5-Tabla2[[#This Row],[FECHA DE FACTURACIÓN]]</f>
        <v>80</v>
      </c>
      <c r="U133" t="str">
        <f>+IF(Tabla2[[#This Row],[dias de credito]]&gt;=Tabla2[[#This Row],[PLAZO Días]],"venc", "No venc")</f>
        <v>venc</v>
      </c>
      <c r="V133" t="str">
        <f>+IF(Tabla2[[#This Row],[FECHA DE PAGO]]&gt;0,"pagada","por pagar")</f>
        <v>pagada</v>
      </c>
      <c r="W133" s="141" t="str">
        <f>+IF(AND(Tabla2[[#This Row],[venc]]="venc",Tabla2[[#This Row],[Columna1]]="por pagar"),"vencida","no")</f>
        <v>no</v>
      </c>
    </row>
    <row r="134" spans="1:23" ht="15.6" hidden="1" x14ac:dyDescent="0.3">
      <c r="A134" s="20">
        <v>30</v>
      </c>
      <c r="B134" s="25">
        <v>5537221.7000000002</v>
      </c>
      <c r="C134" s="25"/>
      <c r="D134" s="56" t="s">
        <v>402</v>
      </c>
      <c r="E134" s="426">
        <v>45264</v>
      </c>
      <c r="F134" s="26" t="s">
        <v>293</v>
      </c>
      <c r="G134" s="426">
        <v>45210</v>
      </c>
      <c r="H134" s="35" t="s">
        <v>2086</v>
      </c>
      <c r="I134" s="21">
        <v>7197270</v>
      </c>
      <c r="J134" s="21"/>
      <c r="K134" s="22">
        <v>1367481.3</v>
      </c>
      <c r="L134" s="23"/>
      <c r="M134" s="22">
        <v>0</v>
      </c>
      <c r="N134" s="74">
        <v>2.5000000000000001E-2</v>
      </c>
      <c r="O134" s="22">
        <v>179931.75</v>
      </c>
      <c r="P134" s="21">
        <v>8384819.5500000007</v>
      </c>
      <c r="S134" s="108" t="b">
        <f>OR(COUNTIF(Tabla2[[#This Row],[PROVEEDOR]],"*"&amp;'Palabra no opera'!$A$2&amp;"*"))</f>
        <v>0</v>
      </c>
      <c r="T134" s="139">
        <f>+$W$5-Tabla2[[#This Row],[FECHA DE FACTURACIÓN]]</f>
        <v>81</v>
      </c>
      <c r="U134" t="str">
        <f>+IF(Tabla2[[#This Row],[dias de credito]]&gt;=Tabla2[[#This Row],[PLAZO Días]],"venc", "No venc")</f>
        <v>venc</v>
      </c>
      <c r="V134" t="str">
        <f>+IF(Tabla2[[#This Row],[FECHA DE PAGO]]&gt;0,"pagada","por pagar")</f>
        <v>pagada</v>
      </c>
      <c r="W134" s="141" t="str">
        <f>+IF(AND(Tabla2[[#This Row],[venc]]="venc",Tabla2[[#This Row],[Columna1]]="por pagar"),"vencida","no")</f>
        <v>no</v>
      </c>
    </row>
    <row r="135" spans="1:23" ht="15.6" hidden="1" x14ac:dyDescent="0.3">
      <c r="A135" s="20">
        <v>45</v>
      </c>
      <c r="B135" s="25">
        <v>8072960</v>
      </c>
      <c r="C135" s="25"/>
      <c r="D135" s="56" t="s">
        <v>198</v>
      </c>
      <c r="E135" s="426">
        <v>45264</v>
      </c>
      <c r="F135" s="26" t="s">
        <v>10</v>
      </c>
      <c r="G135" s="426">
        <v>45210</v>
      </c>
      <c r="H135" s="35" t="s">
        <v>2087</v>
      </c>
      <c r="I135" s="21">
        <v>2000000</v>
      </c>
      <c r="J135" s="21"/>
      <c r="K135" s="22">
        <v>380000</v>
      </c>
      <c r="L135" s="23"/>
      <c r="M135" s="22">
        <v>0</v>
      </c>
      <c r="N135" s="74">
        <v>0</v>
      </c>
      <c r="O135" s="22">
        <v>0</v>
      </c>
      <c r="P135" s="21">
        <v>2380000</v>
      </c>
      <c r="S135" s="108" t="b">
        <f>OR(COUNTIF(Tabla2[[#This Row],[PROVEEDOR]],"*"&amp;'Palabra no opera'!$A$2&amp;"*"))</f>
        <v>0</v>
      </c>
      <c r="T135" s="139">
        <f>+$W$5-Tabla2[[#This Row],[FECHA DE FACTURACIÓN]]</f>
        <v>81</v>
      </c>
      <c r="U135" t="str">
        <f>+IF(Tabla2[[#This Row],[dias de credito]]&gt;=Tabla2[[#This Row],[PLAZO Días]],"venc", "No venc")</f>
        <v>venc</v>
      </c>
      <c r="V135" t="str">
        <f>+IF(Tabla2[[#This Row],[FECHA DE PAGO]]&gt;0,"pagada","por pagar")</f>
        <v>pagada</v>
      </c>
      <c r="W135" s="141" t="str">
        <f>+IF(AND(Tabla2[[#This Row],[venc]]="venc",Tabla2[[#This Row],[Columna1]]="por pagar"),"vencida","no")</f>
        <v>no</v>
      </c>
    </row>
    <row r="136" spans="1:23" ht="15.6" hidden="1" x14ac:dyDescent="0.3">
      <c r="A136" s="20">
        <v>30</v>
      </c>
      <c r="B136" s="25">
        <v>5480000</v>
      </c>
      <c r="C136" s="25"/>
      <c r="D136" s="56" t="s">
        <v>107</v>
      </c>
      <c r="E136" s="426">
        <v>45264</v>
      </c>
      <c r="F136" s="26" t="s">
        <v>2057</v>
      </c>
      <c r="G136" s="426">
        <v>45209</v>
      </c>
      <c r="H136" s="35" t="s">
        <v>2058</v>
      </c>
      <c r="I136" s="21">
        <v>4438500</v>
      </c>
      <c r="J136" s="21"/>
      <c r="K136" s="22">
        <v>0</v>
      </c>
      <c r="L136" s="23"/>
      <c r="M136" s="22">
        <v>0</v>
      </c>
      <c r="N136" s="74">
        <v>0</v>
      </c>
      <c r="O136" s="22">
        <v>0</v>
      </c>
      <c r="P136" s="21">
        <v>4438500</v>
      </c>
      <c r="S136" s="108" t="b">
        <f>OR(COUNTIF(Tabla2[[#This Row],[PROVEEDOR]],"*"&amp;'Palabra no opera'!$A$2&amp;"*"))</f>
        <v>0</v>
      </c>
      <c r="T136" s="139">
        <f>+$W$5-Tabla2[[#This Row],[FECHA DE FACTURACIÓN]]</f>
        <v>82</v>
      </c>
      <c r="U136" t="str">
        <f>+IF(Tabla2[[#This Row],[dias de credito]]&gt;=Tabla2[[#This Row],[PLAZO Días]],"venc", "No venc")</f>
        <v>venc</v>
      </c>
      <c r="V136" t="str">
        <f>+IF(Tabla2[[#This Row],[FECHA DE PAGO]]&gt;0,"pagada","por pagar")</f>
        <v>pagada</v>
      </c>
      <c r="W136" s="141" t="str">
        <f>+IF(AND(Tabla2[[#This Row],[venc]]="venc",Tabla2[[#This Row],[Columna1]]="por pagar"),"vencida","no")</f>
        <v>no</v>
      </c>
    </row>
    <row r="137" spans="1:23" ht="15.6" hidden="1" x14ac:dyDescent="0.3">
      <c r="A137" s="20">
        <v>30</v>
      </c>
      <c r="B137" s="25">
        <v>3209330.35</v>
      </c>
      <c r="C137" s="25"/>
      <c r="D137" s="56" t="s">
        <v>187</v>
      </c>
      <c r="E137" s="426">
        <v>45264</v>
      </c>
      <c r="F137" s="26" t="s">
        <v>282</v>
      </c>
      <c r="G137" s="426">
        <v>45209</v>
      </c>
      <c r="H137" s="35" t="s">
        <v>2070</v>
      </c>
      <c r="I137" s="21">
        <v>1115966</v>
      </c>
      <c r="J137" s="21"/>
      <c r="K137" s="22">
        <v>212033.54</v>
      </c>
      <c r="L137" s="23"/>
      <c r="M137" s="22">
        <v>0</v>
      </c>
      <c r="N137" s="74">
        <v>0</v>
      </c>
      <c r="O137" s="22">
        <v>0</v>
      </c>
      <c r="P137" s="21">
        <v>1327999.54</v>
      </c>
      <c r="S137" s="108" t="b">
        <f>OR(COUNTIF(Tabla2[[#This Row],[PROVEEDOR]],"*"&amp;'Palabra no opera'!$A$2&amp;"*"))</f>
        <v>0</v>
      </c>
      <c r="T137" s="139">
        <f>+$W$5-Tabla2[[#This Row],[FECHA DE FACTURACIÓN]]</f>
        <v>82</v>
      </c>
      <c r="U137" t="str">
        <f>+IF(Tabla2[[#This Row],[dias de credito]]&gt;=Tabla2[[#This Row],[PLAZO Días]],"venc", "No venc")</f>
        <v>venc</v>
      </c>
      <c r="V137" t="str">
        <f>+IF(Tabla2[[#This Row],[FECHA DE PAGO]]&gt;0,"pagada","por pagar")</f>
        <v>pagada</v>
      </c>
      <c r="W137" s="141" t="str">
        <f>+IF(AND(Tabla2[[#This Row],[venc]]="venc",Tabla2[[#This Row],[Columna1]]="por pagar"),"vencida","no")</f>
        <v>no</v>
      </c>
    </row>
    <row r="138" spans="1:23" ht="15.6" hidden="1" x14ac:dyDescent="0.3">
      <c r="A138" s="20">
        <v>30</v>
      </c>
      <c r="B138" s="25">
        <v>17870934.149999999</v>
      </c>
      <c r="C138" s="25"/>
      <c r="D138" s="56" t="s">
        <v>182</v>
      </c>
      <c r="E138" s="426">
        <v>45264</v>
      </c>
      <c r="F138" s="26" t="s">
        <v>18</v>
      </c>
      <c r="G138" s="426">
        <v>45209</v>
      </c>
      <c r="H138" s="35" t="s">
        <v>2076</v>
      </c>
      <c r="I138" s="21">
        <v>631763</v>
      </c>
      <c r="J138" s="21"/>
      <c r="K138" s="22">
        <v>120034.97</v>
      </c>
      <c r="L138" s="23"/>
      <c r="M138" s="22">
        <v>0</v>
      </c>
      <c r="N138" s="74">
        <v>0</v>
      </c>
      <c r="O138" s="22">
        <v>0</v>
      </c>
      <c r="P138" s="21">
        <v>751797.97</v>
      </c>
      <c r="S138" s="108" t="b">
        <f>OR(COUNTIF(Tabla2[[#This Row],[PROVEEDOR]],"*"&amp;'Palabra no opera'!$A$2&amp;"*"))</f>
        <v>0</v>
      </c>
      <c r="T138" s="139">
        <f>+$W$5-Tabla2[[#This Row],[FECHA DE FACTURACIÓN]]</f>
        <v>82</v>
      </c>
      <c r="U138" t="str">
        <f>+IF(Tabla2[[#This Row],[dias de credito]]&gt;=Tabla2[[#This Row],[PLAZO Días]],"venc", "No venc")</f>
        <v>venc</v>
      </c>
      <c r="V138" t="str">
        <f>+IF(Tabla2[[#This Row],[FECHA DE PAGO]]&gt;0,"pagada","por pagar")</f>
        <v>pagada</v>
      </c>
      <c r="W138" s="141" t="str">
        <f>+IF(AND(Tabla2[[#This Row],[venc]]="venc",Tabla2[[#This Row],[Columna1]]="por pagar"),"vencida","no")</f>
        <v>no</v>
      </c>
    </row>
    <row r="139" spans="1:23" ht="15.6" hidden="1" x14ac:dyDescent="0.3">
      <c r="A139" s="20">
        <v>60</v>
      </c>
      <c r="B139" s="25">
        <v>0</v>
      </c>
      <c r="C139" s="25"/>
      <c r="D139" s="56" t="s">
        <v>376</v>
      </c>
      <c r="E139" s="426">
        <v>45262</v>
      </c>
      <c r="F139" s="26" t="s">
        <v>377</v>
      </c>
      <c r="G139" s="426">
        <v>45288</v>
      </c>
      <c r="H139" s="35" t="s">
        <v>29</v>
      </c>
      <c r="I139" s="21">
        <v>500000</v>
      </c>
      <c r="J139" s="21"/>
      <c r="K139" s="22">
        <v>0</v>
      </c>
      <c r="L139" s="23"/>
      <c r="M139" s="22">
        <v>0</v>
      </c>
      <c r="N139" s="74">
        <v>0</v>
      </c>
      <c r="O139" s="22">
        <v>0</v>
      </c>
      <c r="P139" s="21">
        <v>500000</v>
      </c>
      <c r="S139" s="108" t="b">
        <f>OR(COUNTIF(Tabla2[[#This Row],[PROVEEDOR]],"*"&amp;'Palabra no opera'!$A$2&amp;"*"))</f>
        <v>0</v>
      </c>
      <c r="T139" s="139">
        <f>+$W$5-Tabla2[[#This Row],[FECHA DE FACTURACIÓN]]</f>
        <v>3</v>
      </c>
      <c r="U139" t="str">
        <f>+IF(Tabla2[[#This Row],[dias de credito]]&gt;=Tabla2[[#This Row],[PLAZO Días]],"venc", "No venc")</f>
        <v>No venc</v>
      </c>
      <c r="V139" t="str">
        <f>+IF(Tabla2[[#This Row],[FECHA DE PAGO]]&gt;0,"pagada","por pagar")</f>
        <v>pagada</v>
      </c>
      <c r="W139" s="141" t="str">
        <f>+IF(AND(Tabla2[[#This Row],[venc]]="venc",Tabla2[[#This Row],[Columna1]]="por pagar"),"vencida","no")</f>
        <v>no</v>
      </c>
    </row>
    <row r="140" spans="1:23" ht="15.6" hidden="1" x14ac:dyDescent="0.3">
      <c r="A140" s="20">
        <v>30</v>
      </c>
      <c r="B140" s="25">
        <v>0</v>
      </c>
      <c r="C140" s="25"/>
      <c r="D140" s="56" t="s">
        <v>107</v>
      </c>
      <c r="E140" s="426">
        <v>45262</v>
      </c>
      <c r="F140" s="26" t="s">
        <v>362</v>
      </c>
      <c r="G140" s="426">
        <v>45262</v>
      </c>
      <c r="H140" s="35" t="s">
        <v>2028</v>
      </c>
      <c r="I140" s="21">
        <v>200000</v>
      </c>
      <c r="J140" s="21"/>
      <c r="K140" s="22">
        <v>0</v>
      </c>
      <c r="L140" s="23"/>
      <c r="M140" s="22">
        <v>0</v>
      </c>
      <c r="N140" s="74">
        <v>0</v>
      </c>
      <c r="O140" s="22">
        <v>0</v>
      </c>
      <c r="P140" s="21">
        <v>200000</v>
      </c>
      <c r="S140" s="108" t="b">
        <f>OR(COUNTIF(Tabla2[[#This Row],[PROVEEDOR]],"*"&amp;'Palabra no opera'!$A$2&amp;"*"))</f>
        <v>0</v>
      </c>
      <c r="T140" s="139">
        <f>+$W$5-Tabla2[[#This Row],[FECHA DE FACTURACIÓN]]</f>
        <v>29</v>
      </c>
      <c r="U140" t="str">
        <f>+IF(Tabla2[[#This Row],[dias de credito]]&gt;=Tabla2[[#This Row],[PLAZO Días]],"venc", "No venc")</f>
        <v>No venc</v>
      </c>
      <c r="V140" t="str">
        <f>+IF(Tabla2[[#This Row],[FECHA DE PAGO]]&gt;0,"pagada","por pagar")</f>
        <v>pagada</v>
      </c>
      <c r="W140" s="141" t="str">
        <f>+IF(AND(Tabla2[[#This Row],[venc]]="venc",Tabla2[[#This Row],[Columna1]]="por pagar"),"vencida","no")</f>
        <v>no</v>
      </c>
    </row>
    <row r="141" spans="1:23" ht="15.6" hidden="1" x14ac:dyDescent="0.3">
      <c r="A141" s="20">
        <v>30</v>
      </c>
      <c r="B141" s="25">
        <v>0</v>
      </c>
      <c r="C141" s="25"/>
      <c r="D141" s="56" t="s">
        <v>109</v>
      </c>
      <c r="E141" s="426">
        <v>45262</v>
      </c>
      <c r="F141" s="26" t="s">
        <v>645</v>
      </c>
      <c r="G141" s="426">
        <v>45261</v>
      </c>
      <c r="H141" s="35"/>
      <c r="I141" s="21">
        <v>707697</v>
      </c>
      <c r="J141" s="21"/>
      <c r="K141" s="22">
        <v>0</v>
      </c>
      <c r="L141" s="23"/>
      <c r="M141" s="22">
        <v>0</v>
      </c>
      <c r="N141" s="74">
        <v>0</v>
      </c>
      <c r="O141" s="22">
        <v>0</v>
      </c>
      <c r="P141" s="21">
        <v>707697</v>
      </c>
      <c r="S141" s="108" t="b">
        <f>OR(COUNTIF(Tabla2[[#This Row],[PROVEEDOR]],"*"&amp;'Palabra no opera'!$A$2&amp;"*"))</f>
        <v>1</v>
      </c>
      <c r="T141" s="139">
        <f>+$W$5-Tabla2[[#This Row],[FECHA DE FACTURACIÓN]]</f>
        <v>30</v>
      </c>
      <c r="U141" t="str">
        <f>+IF(Tabla2[[#This Row],[dias de credito]]&gt;=Tabla2[[#This Row],[PLAZO Días]],"venc", "No venc")</f>
        <v>venc</v>
      </c>
      <c r="V141" t="str">
        <f>+IF(Tabla2[[#This Row],[FECHA DE PAGO]]&gt;0,"pagada","por pagar")</f>
        <v>pagada</v>
      </c>
      <c r="W141" s="141" t="str">
        <f>+IF(AND(Tabla2[[#This Row],[venc]]="venc",Tabla2[[#This Row],[Columna1]]="por pagar"),"vencida","no")</f>
        <v>no</v>
      </c>
    </row>
    <row r="142" spans="1:23" ht="15.6" hidden="1" x14ac:dyDescent="0.3">
      <c r="A142" s="20">
        <v>30</v>
      </c>
      <c r="B142" s="25">
        <v>0</v>
      </c>
      <c r="C142" s="25"/>
      <c r="D142" s="56">
        <v>0</v>
      </c>
      <c r="E142" s="426">
        <v>45262</v>
      </c>
      <c r="F142" s="26" t="s">
        <v>642</v>
      </c>
      <c r="G142" s="426">
        <v>45261</v>
      </c>
      <c r="H142" s="35" t="s">
        <v>217</v>
      </c>
      <c r="I142" s="21">
        <v>411454</v>
      </c>
      <c r="J142" s="21"/>
      <c r="K142" s="22">
        <v>0</v>
      </c>
      <c r="L142" s="23"/>
      <c r="M142" s="22">
        <v>0</v>
      </c>
      <c r="N142" s="74">
        <v>0</v>
      </c>
      <c r="O142" s="22">
        <v>0</v>
      </c>
      <c r="P142" s="21">
        <v>411454</v>
      </c>
      <c r="S142" s="108" t="b">
        <f>OR(COUNTIF(Tabla2[[#This Row],[PROVEEDOR]],"*"&amp;'Palabra no opera'!$A$2&amp;"*"))</f>
        <v>1</v>
      </c>
      <c r="T142" s="139">
        <f>+$W$5-Tabla2[[#This Row],[FECHA DE FACTURACIÓN]]</f>
        <v>30</v>
      </c>
      <c r="U142" t="str">
        <f>+IF(Tabla2[[#This Row],[dias de credito]]&gt;=Tabla2[[#This Row],[PLAZO Días]],"venc", "No venc")</f>
        <v>venc</v>
      </c>
      <c r="V142" t="str">
        <f>+IF(Tabla2[[#This Row],[FECHA DE PAGO]]&gt;0,"pagada","por pagar")</f>
        <v>pagada</v>
      </c>
      <c r="W142" s="141" t="str">
        <f>+IF(AND(Tabla2[[#This Row],[venc]]="venc",Tabla2[[#This Row],[Columna1]]="por pagar"),"vencida","no")</f>
        <v>no</v>
      </c>
    </row>
    <row r="143" spans="1:23" ht="15.6" hidden="1" x14ac:dyDescent="0.3">
      <c r="A143" s="20">
        <v>30</v>
      </c>
      <c r="B143" s="25">
        <v>0</v>
      </c>
      <c r="C143" s="25"/>
      <c r="D143" s="56" t="s">
        <v>107</v>
      </c>
      <c r="E143" s="426">
        <v>45261</v>
      </c>
      <c r="F143" s="26" t="s">
        <v>1401</v>
      </c>
      <c r="G143" s="426">
        <v>45261</v>
      </c>
      <c r="H143" s="35" t="s">
        <v>2144</v>
      </c>
      <c r="I143" s="21">
        <v>200000</v>
      </c>
      <c r="J143" s="21"/>
      <c r="K143" s="22">
        <v>0</v>
      </c>
      <c r="L143" s="23"/>
      <c r="M143" s="22">
        <v>0</v>
      </c>
      <c r="N143" s="74">
        <v>0</v>
      </c>
      <c r="O143" s="22">
        <v>0</v>
      </c>
      <c r="P143" s="21">
        <v>200000</v>
      </c>
      <c r="S143" s="108" t="b">
        <f>OR(COUNTIF(Tabla2[[#This Row],[PROVEEDOR]],"*"&amp;'Palabra no opera'!$A$2&amp;"*"))</f>
        <v>0</v>
      </c>
      <c r="T143" s="139">
        <f>+$W$5-Tabla2[[#This Row],[FECHA DE FACTURACIÓN]]</f>
        <v>30</v>
      </c>
      <c r="U143" t="str">
        <f>+IF(Tabla2[[#This Row],[dias de credito]]&gt;=Tabla2[[#This Row],[PLAZO Días]],"venc", "No venc")</f>
        <v>venc</v>
      </c>
      <c r="V143" t="str">
        <f>+IF(Tabla2[[#This Row],[FECHA DE PAGO]]&gt;0,"pagada","por pagar")</f>
        <v>pagada</v>
      </c>
      <c r="W143" s="141" t="str">
        <f>+IF(AND(Tabla2[[#This Row],[venc]]="venc",Tabla2[[#This Row],[Columna1]]="por pagar"),"vencida","no")</f>
        <v>no</v>
      </c>
    </row>
    <row r="144" spans="1:23" ht="15.6" hidden="1" x14ac:dyDescent="0.3">
      <c r="A144" s="20">
        <v>30</v>
      </c>
      <c r="B144" s="25">
        <v>0</v>
      </c>
      <c r="C144" s="25"/>
      <c r="D144" s="56" t="s">
        <v>107</v>
      </c>
      <c r="E144" s="426">
        <v>45261</v>
      </c>
      <c r="F144" s="26" t="s">
        <v>390</v>
      </c>
      <c r="G144" s="426">
        <v>45261</v>
      </c>
      <c r="H144" s="35"/>
      <c r="I144" s="21">
        <v>1000000</v>
      </c>
      <c r="J144" s="21"/>
      <c r="K144" s="22">
        <v>0</v>
      </c>
      <c r="L144" s="23"/>
      <c r="M144" s="22">
        <v>0</v>
      </c>
      <c r="N144" s="74">
        <v>0</v>
      </c>
      <c r="O144" s="22">
        <v>0</v>
      </c>
      <c r="P144" s="21">
        <v>1000000</v>
      </c>
      <c r="S144" s="108" t="b">
        <f>OR(COUNTIF(Tabla2[[#This Row],[PROVEEDOR]],"*"&amp;'Palabra no opera'!$A$2&amp;"*"))</f>
        <v>0</v>
      </c>
      <c r="T144" s="139">
        <f>+$W$5-Tabla2[[#This Row],[FECHA DE FACTURACIÓN]]</f>
        <v>30</v>
      </c>
      <c r="U144" t="str">
        <f>+IF(Tabla2[[#This Row],[dias de credito]]&gt;=Tabla2[[#This Row],[PLAZO Días]],"venc", "No venc")</f>
        <v>venc</v>
      </c>
      <c r="V144" t="str">
        <f>+IF(Tabla2[[#This Row],[FECHA DE PAGO]]&gt;0,"pagada","por pagar")</f>
        <v>pagada</v>
      </c>
      <c r="W144" s="141" t="str">
        <f>+IF(AND(Tabla2[[#This Row],[venc]]="venc",Tabla2[[#This Row],[Columna1]]="por pagar"),"vencida","no")</f>
        <v>no</v>
      </c>
    </row>
    <row r="145" spans="1:23" ht="15.6" hidden="1" x14ac:dyDescent="0.3">
      <c r="A145" s="20">
        <v>0</v>
      </c>
      <c r="B145" s="25">
        <v>0</v>
      </c>
      <c r="C145" s="25"/>
      <c r="D145" s="56">
        <v>0</v>
      </c>
      <c r="E145" s="426">
        <v>45261</v>
      </c>
      <c r="F145" s="26" t="s">
        <v>1083</v>
      </c>
      <c r="G145" s="426">
        <v>45261</v>
      </c>
      <c r="H145" s="35" t="s">
        <v>2210</v>
      </c>
      <c r="I145" s="21">
        <v>300000</v>
      </c>
      <c r="J145" s="21"/>
      <c r="K145" s="22">
        <v>0</v>
      </c>
      <c r="L145" s="23"/>
      <c r="M145" s="22">
        <v>0</v>
      </c>
      <c r="N145" s="74">
        <v>0</v>
      </c>
      <c r="O145" s="22">
        <v>0</v>
      </c>
      <c r="P145" s="21">
        <v>300000</v>
      </c>
      <c r="S145" s="108" t="b">
        <f>OR(COUNTIF(Tabla2[[#This Row],[PROVEEDOR]],"*"&amp;'Palabra no opera'!$A$2&amp;"*"))</f>
        <v>1</v>
      </c>
      <c r="T145" s="139">
        <f>+$W$5-Tabla2[[#This Row],[FECHA DE FACTURACIÓN]]</f>
        <v>30</v>
      </c>
      <c r="U145" t="str">
        <f>+IF(Tabla2[[#This Row],[dias de credito]]&gt;=Tabla2[[#This Row],[PLAZO Días]],"venc", "No venc")</f>
        <v>venc</v>
      </c>
      <c r="V145" t="str">
        <f>+IF(Tabla2[[#This Row],[FECHA DE PAGO]]&gt;0,"pagada","por pagar")</f>
        <v>pagada</v>
      </c>
      <c r="W145" s="141" t="str">
        <f>+IF(AND(Tabla2[[#This Row],[venc]]="venc",Tabla2[[#This Row],[Columna1]]="por pagar"),"vencida","no")</f>
        <v>no</v>
      </c>
    </row>
    <row r="146" spans="1:23" ht="15.6" hidden="1" x14ac:dyDescent="0.3">
      <c r="A146" s="20">
        <v>30</v>
      </c>
      <c r="B146" s="25">
        <v>0</v>
      </c>
      <c r="C146" s="25"/>
      <c r="D146" s="56" t="s">
        <v>107</v>
      </c>
      <c r="E146" s="426">
        <v>45261</v>
      </c>
      <c r="F146" s="26" t="s">
        <v>404</v>
      </c>
      <c r="G146" s="426">
        <v>45257</v>
      </c>
      <c r="H146" s="35" t="s">
        <v>2241</v>
      </c>
      <c r="I146" s="21">
        <v>1865344</v>
      </c>
      <c r="J146" s="21"/>
      <c r="K146" s="22">
        <v>0</v>
      </c>
      <c r="L146" s="23"/>
      <c r="M146" s="22">
        <v>0</v>
      </c>
      <c r="N146" s="74">
        <v>0</v>
      </c>
      <c r="O146" s="22">
        <v>0</v>
      </c>
      <c r="P146" s="21">
        <v>1865344</v>
      </c>
      <c r="S146" s="108" t="b">
        <f>OR(COUNTIF(Tabla2[[#This Row],[PROVEEDOR]],"*"&amp;'Palabra no opera'!$A$2&amp;"*"))</f>
        <v>0</v>
      </c>
      <c r="T146" s="139">
        <f>+$W$5-Tabla2[[#This Row],[FECHA DE FACTURACIÓN]]</f>
        <v>34</v>
      </c>
      <c r="U146" t="str">
        <f>+IF(Tabla2[[#This Row],[dias de credito]]&gt;=Tabla2[[#This Row],[PLAZO Días]],"venc", "No venc")</f>
        <v>venc</v>
      </c>
      <c r="V146" t="str">
        <f>+IF(Tabla2[[#This Row],[FECHA DE PAGO]]&gt;0,"pagada","por pagar")</f>
        <v>pagada</v>
      </c>
      <c r="W146" s="141" t="str">
        <f>+IF(AND(Tabla2[[#This Row],[venc]]="venc",Tabla2[[#This Row],[Columna1]]="por pagar"),"vencida","no")</f>
        <v>no</v>
      </c>
    </row>
    <row r="147" spans="1:23" ht="15.6" hidden="1" x14ac:dyDescent="0.3">
      <c r="A147" s="20">
        <v>30</v>
      </c>
      <c r="B147" s="25">
        <v>0</v>
      </c>
      <c r="C147" s="25"/>
      <c r="D147" s="56" t="s">
        <v>107</v>
      </c>
      <c r="E147" s="426">
        <v>45260</v>
      </c>
      <c r="F147" s="26" t="s">
        <v>1401</v>
      </c>
      <c r="G147" s="426">
        <v>45260</v>
      </c>
      <c r="H147" s="35" t="s">
        <v>1176</v>
      </c>
      <c r="I147" s="21">
        <v>556000</v>
      </c>
      <c r="J147" s="21"/>
      <c r="K147" s="22">
        <v>0</v>
      </c>
      <c r="L147" s="23"/>
      <c r="M147" s="22">
        <v>0</v>
      </c>
      <c r="N147" s="74">
        <v>0</v>
      </c>
      <c r="O147" s="22">
        <v>0</v>
      </c>
      <c r="P147" s="21">
        <v>556000</v>
      </c>
      <c r="S147" s="108" t="b">
        <f>OR(COUNTIF(Tabla2[[#This Row],[PROVEEDOR]],"*"&amp;'Palabra no opera'!$A$2&amp;"*"))</f>
        <v>0</v>
      </c>
      <c r="T147" s="139">
        <f>+$W$5-Tabla2[[#This Row],[FECHA DE FACTURACIÓN]]</f>
        <v>31</v>
      </c>
      <c r="U147" t="str">
        <f>+IF(Tabla2[[#This Row],[dias de credito]]&gt;=Tabla2[[#This Row],[PLAZO Días]],"venc", "No venc")</f>
        <v>venc</v>
      </c>
      <c r="V147" t="str">
        <f>+IF(Tabla2[[#This Row],[FECHA DE PAGO]]&gt;0,"pagada","por pagar")</f>
        <v>pagada</v>
      </c>
      <c r="W147" s="141" t="str">
        <f>+IF(AND(Tabla2[[#This Row],[venc]]="venc",Tabla2[[#This Row],[Columna1]]="por pagar"),"vencida","no")</f>
        <v>no</v>
      </c>
    </row>
    <row r="148" spans="1:23" ht="15.6" hidden="1" x14ac:dyDescent="0.3">
      <c r="A148" s="20">
        <v>30</v>
      </c>
      <c r="B148" s="25">
        <v>0</v>
      </c>
      <c r="C148" s="25"/>
      <c r="D148" s="56" t="s">
        <v>107</v>
      </c>
      <c r="E148" s="426">
        <v>45260</v>
      </c>
      <c r="F148" s="26" t="s">
        <v>1401</v>
      </c>
      <c r="G148" s="426">
        <v>45260</v>
      </c>
      <c r="H148" s="35" t="s">
        <v>1379</v>
      </c>
      <c r="I148" s="21">
        <v>32000</v>
      </c>
      <c r="J148" s="21"/>
      <c r="K148" s="22">
        <v>0</v>
      </c>
      <c r="L148" s="23"/>
      <c r="M148" s="22">
        <v>0</v>
      </c>
      <c r="N148" s="74">
        <v>0</v>
      </c>
      <c r="O148" s="22">
        <v>0</v>
      </c>
      <c r="P148" s="21">
        <v>32000</v>
      </c>
      <c r="S148" s="108" t="b">
        <f>OR(COUNTIF(Tabla2[[#This Row],[PROVEEDOR]],"*"&amp;'Palabra no opera'!$A$2&amp;"*"))</f>
        <v>0</v>
      </c>
      <c r="T148" s="139">
        <f>+$W$5-Tabla2[[#This Row],[FECHA DE FACTURACIÓN]]</f>
        <v>31</v>
      </c>
      <c r="U148" t="str">
        <f>+IF(Tabla2[[#This Row],[dias de credito]]&gt;=Tabla2[[#This Row],[PLAZO Días]],"venc", "No venc")</f>
        <v>venc</v>
      </c>
      <c r="V148" t="str">
        <f>+IF(Tabla2[[#This Row],[FECHA DE PAGO]]&gt;0,"pagada","por pagar")</f>
        <v>pagada</v>
      </c>
      <c r="W148" s="141" t="str">
        <f>+IF(AND(Tabla2[[#This Row],[venc]]="venc",Tabla2[[#This Row],[Columna1]]="por pagar"),"vencida","no")</f>
        <v>no</v>
      </c>
    </row>
    <row r="149" spans="1:23" ht="15.6" hidden="1" x14ac:dyDescent="0.3">
      <c r="A149" s="20">
        <v>30</v>
      </c>
      <c r="B149" s="25">
        <v>0</v>
      </c>
      <c r="C149" s="25"/>
      <c r="D149" s="56" t="s">
        <v>107</v>
      </c>
      <c r="E149" s="426">
        <v>45260</v>
      </c>
      <c r="F149" s="26" t="s">
        <v>1401</v>
      </c>
      <c r="G149" s="426">
        <v>45260</v>
      </c>
      <c r="H149" s="35" t="s">
        <v>1177</v>
      </c>
      <c r="I149" s="21">
        <v>1599800</v>
      </c>
      <c r="J149" s="21"/>
      <c r="K149" s="22">
        <v>0</v>
      </c>
      <c r="L149" s="23"/>
      <c r="M149" s="22">
        <v>0</v>
      </c>
      <c r="N149" s="74">
        <v>0</v>
      </c>
      <c r="O149" s="22">
        <v>0</v>
      </c>
      <c r="P149" s="21">
        <v>1599800</v>
      </c>
      <c r="S149" s="108" t="b">
        <f>OR(COUNTIF(Tabla2[[#This Row],[PROVEEDOR]],"*"&amp;'Palabra no opera'!$A$2&amp;"*"))</f>
        <v>0</v>
      </c>
      <c r="T149" s="139">
        <f>+$W$5-Tabla2[[#This Row],[FECHA DE FACTURACIÓN]]</f>
        <v>31</v>
      </c>
      <c r="U149" t="str">
        <f>+IF(Tabla2[[#This Row],[dias de credito]]&gt;=Tabla2[[#This Row],[PLAZO Días]],"venc", "No venc")</f>
        <v>venc</v>
      </c>
      <c r="V149" t="str">
        <f>+IF(Tabla2[[#This Row],[FECHA DE PAGO]]&gt;0,"pagada","por pagar")</f>
        <v>pagada</v>
      </c>
      <c r="W149" s="141" t="str">
        <f>+IF(AND(Tabla2[[#This Row],[venc]]="venc",Tabla2[[#This Row],[Columna1]]="por pagar"),"vencida","no")</f>
        <v>no</v>
      </c>
    </row>
    <row r="150" spans="1:23" ht="15.6" hidden="1" x14ac:dyDescent="0.3">
      <c r="A150" s="20">
        <v>30</v>
      </c>
      <c r="B150" s="25">
        <v>0</v>
      </c>
      <c r="C150" s="25"/>
      <c r="D150" s="56" t="s">
        <v>107</v>
      </c>
      <c r="E150" s="426">
        <v>45260</v>
      </c>
      <c r="F150" s="26" t="s">
        <v>1401</v>
      </c>
      <c r="G150" s="426">
        <v>45260</v>
      </c>
      <c r="H150" s="35" t="s">
        <v>1179</v>
      </c>
      <c r="I150" s="21">
        <v>313000</v>
      </c>
      <c r="J150" s="21"/>
      <c r="K150" s="22">
        <v>0</v>
      </c>
      <c r="L150" s="23"/>
      <c r="M150" s="22">
        <v>0</v>
      </c>
      <c r="N150" s="74">
        <v>0</v>
      </c>
      <c r="O150" s="22">
        <v>0</v>
      </c>
      <c r="P150" s="21">
        <v>313000</v>
      </c>
      <c r="S150" s="108" t="b">
        <f>OR(COUNTIF(Tabla2[[#This Row],[PROVEEDOR]],"*"&amp;'Palabra no opera'!$A$2&amp;"*"))</f>
        <v>0</v>
      </c>
      <c r="T150" s="139">
        <f>+$W$5-Tabla2[[#This Row],[FECHA DE FACTURACIÓN]]</f>
        <v>31</v>
      </c>
      <c r="U150" t="str">
        <f>+IF(Tabla2[[#This Row],[dias de credito]]&gt;=Tabla2[[#This Row],[PLAZO Días]],"venc", "No venc")</f>
        <v>venc</v>
      </c>
      <c r="V150" t="str">
        <f>+IF(Tabla2[[#This Row],[FECHA DE PAGO]]&gt;0,"pagada","por pagar")</f>
        <v>pagada</v>
      </c>
      <c r="W150" s="141" t="str">
        <f>+IF(AND(Tabla2[[#This Row],[venc]]="venc",Tabla2[[#This Row],[Columna1]]="por pagar"),"vencida","no")</f>
        <v>no</v>
      </c>
    </row>
    <row r="151" spans="1:23" ht="15.6" hidden="1" x14ac:dyDescent="0.3">
      <c r="A151" s="20">
        <v>30</v>
      </c>
      <c r="B151" s="25">
        <v>0</v>
      </c>
      <c r="C151" s="25"/>
      <c r="D151" s="56" t="s">
        <v>107</v>
      </c>
      <c r="E151" s="426">
        <v>45260</v>
      </c>
      <c r="F151" s="26" t="s">
        <v>1401</v>
      </c>
      <c r="G151" s="426">
        <v>45260</v>
      </c>
      <c r="H151" s="35" t="s">
        <v>1178</v>
      </c>
      <c r="I151" s="21">
        <v>452200</v>
      </c>
      <c r="J151" s="21"/>
      <c r="K151" s="22">
        <v>0</v>
      </c>
      <c r="L151" s="23"/>
      <c r="M151" s="22">
        <v>0</v>
      </c>
      <c r="N151" s="74">
        <v>0</v>
      </c>
      <c r="O151" s="22">
        <v>0</v>
      </c>
      <c r="P151" s="21">
        <v>452200</v>
      </c>
      <c r="S151" s="108" t="b">
        <f>OR(COUNTIF(Tabla2[[#This Row],[PROVEEDOR]],"*"&amp;'Palabra no opera'!$A$2&amp;"*"))</f>
        <v>0</v>
      </c>
      <c r="T151" s="139">
        <f>+$W$5-Tabla2[[#This Row],[FECHA DE FACTURACIÓN]]</f>
        <v>31</v>
      </c>
      <c r="U151" t="str">
        <f>+IF(Tabla2[[#This Row],[dias de credito]]&gt;=Tabla2[[#This Row],[PLAZO Días]],"venc", "No venc")</f>
        <v>venc</v>
      </c>
      <c r="V151" t="str">
        <f>+IF(Tabla2[[#This Row],[FECHA DE PAGO]]&gt;0,"pagada","por pagar")</f>
        <v>pagada</v>
      </c>
      <c r="W151" s="141" t="str">
        <f>+IF(AND(Tabla2[[#This Row],[venc]]="venc",Tabla2[[#This Row],[Columna1]]="por pagar"),"vencida","no")</f>
        <v>no</v>
      </c>
    </row>
    <row r="152" spans="1:23" ht="15.6" hidden="1" x14ac:dyDescent="0.3">
      <c r="A152" s="20">
        <v>30</v>
      </c>
      <c r="B152" s="25">
        <v>0</v>
      </c>
      <c r="C152" s="25"/>
      <c r="D152" s="56" t="s">
        <v>107</v>
      </c>
      <c r="E152" s="426">
        <v>45260</v>
      </c>
      <c r="F152" s="26" t="s">
        <v>1401</v>
      </c>
      <c r="G152" s="426">
        <v>45260</v>
      </c>
      <c r="H152" s="35" t="s">
        <v>1180</v>
      </c>
      <c r="I152" s="21">
        <v>269600</v>
      </c>
      <c r="J152" s="21"/>
      <c r="K152" s="22">
        <v>0</v>
      </c>
      <c r="L152" s="23"/>
      <c r="M152" s="22">
        <v>0</v>
      </c>
      <c r="N152" s="74">
        <v>0</v>
      </c>
      <c r="O152" s="22">
        <v>0</v>
      </c>
      <c r="P152" s="21">
        <v>269600</v>
      </c>
      <c r="S152" s="108" t="b">
        <f>OR(COUNTIF(Tabla2[[#This Row],[PROVEEDOR]],"*"&amp;'Palabra no opera'!$A$2&amp;"*"))</f>
        <v>0</v>
      </c>
      <c r="T152" s="139">
        <f>+$W$5-Tabla2[[#This Row],[FECHA DE FACTURACIÓN]]</f>
        <v>31</v>
      </c>
      <c r="U152" t="str">
        <f>+IF(Tabla2[[#This Row],[dias de credito]]&gt;=Tabla2[[#This Row],[PLAZO Días]],"venc", "No venc")</f>
        <v>venc</v>
      </c>
      <c r="V152" t="str">
        <f>+IF(Tabla2[[#This Row],[FECHA DE PAGO]]&gt;0,"pagada","por pagar")</f>
        <v>pagada</v>
      </c>
      <c r="W152" s="141" t="str">
        <f>+IF(AND(Tabla2[[#This Row],[venc]]="venc",Tabla2[[#This Row],[Columna1]]="por pagar"),"vencida","no")</f>
        <v>no</v>
      </c>
    </row>
    <row r="153" spans="1:23" ht="15.6" hidden="1" x14ac:dyDescent="0.3">
      <c r="A153" s="20">
        <v>30</v>
      </c>
      <c r="B153" s="25">
        <v>0</v>
      </c>
      <c r="C153" s="25"/>
      <c r="D153" s="56" t="s">
        <v>107</v>
      </c>
      <c r="E153" s="426">
        <v>45259</v>
      </c>
      <c r="F153" s="26" t="s">
        <v>55</v>
      </c>
      <c r="G153" s="426">
        <v>45259</v>
      </c>
      <c r="H153" s="35" t="s">
        <v>2205</v>
      </c>
      <c r="I153" s="21">
        <v>247000</v>
      </c>
      <c r="J153" s="21"/>
      <c r="K153" s="22">
        <v>0</v>
      </c>
      <c r="L153" s="23"/>
      <c r="M153" s="22">
        <v>0</v>
      </c>
      <c r="N153" s="74">
        <v>0</v>
      </c>
      <c r="O153" s="22">
        <v>0</v>
      </c>
      <c r="P153" s="21">
        <v>247000</v>
      </c>
      <c r="S153" s="108" t="b">
        <f>OR(COUNTIF(Tabla2[[#This Row],[PROVEEDOR]],"*"&amp;'Palabra no opera'!$A$2&amp;"*"))</f>
        <v>0</v>
      </c>
      <c r="T153" s="139">
        <f>+$W$5-Tabla2[[#This Row],[FECHA DE FACTURACIÓN]]</f>
        <v>32</v>
      </c>
      <c r="U153" t="str">
        <f>+IF(Tabla2[[#This Row],[dias de credito]]&gt;=Tabla2[[#This Row],[PLAZO Días]],"venc", "No venc")</f>
        <v>venc</v>
      </c>
      <c r="V153" t="str">
        <f>+IF(Tabla2[[#This Row],[FECHA DE PAGO]]&gt;0,"pagada","por pagar")</f>
        <v>pagada</v>
      </c>
      <c r="W153" s="141" t="str">
        <f>+IF(AND(Tabla2[[#This Row],[venc]]="venc",Tabla2[[#This Row],[Columna1]]="por pagar"),"vencida","no")</f>
        <v>no</v>
      </c>
    </row>
    <row r="154" spans="1:23" ht="15.6" hidden="1" x14ac:dyDescent="0.3">
      <c r="A154" s="20">
        <v>30</v>
      </c>
      <c r="B154" s="25">
        <v>0</v>
      </c>
      <c r="C154" s="25"/>
      <c r="D154" s="56" t="s">
        <v>107</v>
      </c>
      <c r="E154" s="426">
        <v>45259</v>
      </c>
      <c r="F154" s="26" t="s">
        <v>55</v>
      </c>
      <c r="G154" s="426">
        <v>45259</v>
      </c>
      <c r="H154" s="35" t="s">
        <v>2205</v>
      </c>
      <c r="I154" s="21">
        <v>25180000</v>
      </c>
      <c r="J154" s="21"/>
      <c r="K154" s="22">
        <v>0</v>
      </c>
      <c r="L154" s="23"/>
      <c r="M154" s="22">
        <v>0</v>
      </c>
      <c r="N154" s="74">
        <v>0</v>
      </c>
      <c r="O154" s="22">
        <v>0</v>
      </c>
      <c r="P154" s="21">
        <v>25180000</v>
      </c>
      <c r="S154" s="108" t="b">
        <f>OR(COUNTIF(Tabla2[[#This Row],[PROVEEDOR]],"*"&amp;'Palabra no opera'!$A$2&amp;"*"))</f>
        <v>0</v>
      </c>
      <c r="T154" s="139">
        <f>+$W$5-Tabla2[[#This Row],[FECHA DE FACTURACIÓN]]</f>
        <v>32</v>
      </c>
      <c r="U154" t="str">
        <f>+IF(Tabla2[[#This Row],[dias de credito]]&gt;=Tabla2[[#This Row],[PLAZO Días]],"venc", "No venc")</f>
        <v>venc</v>
      </c>
      <c r="V154" t="str">
        <f>+IF(Tabla2[[#This Row],[FECHA DE PAGO]]&gt;0,"pagada","por pagar")</f>
        <v>pagada</v>
      </c>
      <c r="W154" s="141" t="str">
        <f>+IF(AND(Tabla2[[#This Row],[venc]]="venc",Tabla2[[#This Row],[Columna1]]="por pagar"),"vencida","no")</f>
        <v>no</v>
      </c>
    </row>
    <row r="155" spans="1:23" ht="15.6" hidden="1" x14ac:dyDescent="0.3">
      <c r="A155" s="20">
        <v>30</v>
      </c>
      <c r="B155" s="25">
        <v>0</v>
      </c>
      <c r="C155" s="25"/>
      <c r="D155" s="56" t="s">
        <v>107</v>
      </c>
      <c r="E155" s="426">
        <v>45259</v>
      </c>
      <c r="F155" s="26" t="s">
        <v>55</v>
      </c>
      <c r="G155" s="426">
        <v>45259</v>
      </c>
      <c r="H155" s="35" t="s">
        <v>2205</v>
      </c>
      <c r="I155" s="21">
        <v>437000</v>
      </c>
      <c r="J155" s="21"/>
      <c r="K155" s="22">
        <v>0</v>
      </c>
      <c r="L155" s="23"/>
      <c r="M155" s="22">
        <v>0</v>
      </c>
      <c r="N155" s="74">
        <v>0</v>
      </c>
      <c r="O155" s="22">
        <v>0</v>
      </c>
      <c r="P155" s="21">
        <v>437000</v>
      </c>
      <c r="S155" s="108" t="b">
        <f>OR(COUNTIF(Tabla2[[#This Row],[PROVEEDOR]],"*"&amp;'Palabra no opera'!$A$2&amp;"*"))</f>
        <v>0</v>
      </c>
      <c r="T155" s="139">
        <f>+$W$5-Tabla2[[#This Row],[FECHA DE FACTURACIÓN]]</f>
        <v>32</v>
      </c>
      <c r="U155" t="str">
        <f>+IF(Tabla2[[#This Row],[dias de credito]]&gt;=Tabla2[[#This Row],[PLAZO Días]],"venc", "No venc")</f>
        <v>venc</v>
      </c>
      <c r="V155" t="str">
        <f>+IF(Tabla2[[#This Row],[FECHA DE PAGO]]&gt;0,"pagada","por pagar")</f>
        <v>pagada</v>
      </c>
      <c r="W155" s="141" t="str">
        <f>+IF(AND(Tabla2[[#This Row],[venc]]="venc",Tabla2[[#This Row],[Columna1]]="por pagar"),"vencida","no")</f>
        <v>no</v>
      </c>
    </row>
    <row r="156" spans="1:23" ht="15.6" hidden="1" x14ac:dyDescent="0.3">
      <c r="A156" s="20">
        <v>30</v>
      </c>
      <c r="B156" s="25">
        <v>0</v>
      </c>
      <c r="C156" s="25"/>
      <c r="D156" s="56" t="s">
        <v>107</v>
      </c>
      <c r="E156" s="426">
        <v>45259</v>
      </c>
      <c r="F156" s="26" t="s">
        <v>55</v>
      </c>
      <c r="G156" s="426">
        <v>45259</v>
      </c>
      <c r="H156" s="35" t="s">
        <v>2205</v>
      </c>
      <c r="I156" s="21">
        <v>2974000</v>
      </c>
      <c r="J156" s="21"/>
      <c r="K156" s="22">
        <v>0</v>
      </c>
      <c r="L156" s="23"/>
      <c r="M156" s="22">
        <v>0</v>
      </c>
      <c r="N156" s="74">
        <v>0</v>
      </c>
      <c r="O156" s="22">
        <v>0</v>
      </c>
      <c r="P156" s="21">
        <v>2974000</v>
      </c>
      <c r="S156" s="108" t="b">
        <f>OR(COUNTIF(Tabla2[[#This Row],[PROVEEDOR]],"*"&amp;'Palabra no opera'!$A$2&amp;"*"))</f>
        <v>0</v>
      </c>
      <c r="T156" s="139">
        <f>+$W$5-Tabla2[[#This Row],[FECHA DE FACTURACIÓN]]</f>
        <v>32</v>
      </c>
      <c r="U156" t="str">
        <f>+IF(Tabla2[[#This Row],[dias de credito]]&gt;=Tabla2[[#This Row],[PLAZO Días]],"venc", "No venc")</f>
        <v>venc</v>
      </c>
      <c r="V156" t="str">
        <f>+IF(Tabla2[[#This Row],[FECHA DE PAGO]]&gt;0,"pagada","por pagar")</f>
        <v>pagada</v>
      </c>
      <c r="W156" s="141" t="str">
        <f>+IF(AND(Tabla2[[#This Row],[venc]]="venc",Tabla2[[#This Row],[Columna1]]="por pagar"),"vencida","no")</f>
        <v>no</v>
      </c>
    </row>
    <row r="157" spans="1:23" ht="15.6" hidden="1" x14ac:dyDescent="0.3">
      <c r="A157" s="20">
        <v>30</v>
      </c>
      <c r="B157" s="25">
        <v>229206</v>
      </c>
      <c r="C157" s="25"/>
      <c r="D157" s="56" t="s">
        <v>659</v>
      </c>
      <c r="E157" s="426">
        <v>45259</v>
      </c>
      <c r="F157" s="26" t="s">
        <v>95</v>
      </c>
      <c r="G157" s="426">
        <v>45259</v>
      </c>
      <c r="H157" s="35" t="s">
        <v>2204</v>
      </c>
      <c r="I157" s="21">
        <v>2992242</v>
      </c>
      <c r="J157" s="21"/>
      <c r="K157" s="22">
        <v>0</v>
      </c>
      <c r="L157" s="23"/>
      <c r="M157" s="22">
        <v>0</v>
      </c>
      <c r="N157" s="74">
        <v>0</v>
      </c>
      <c r="O157" s="22">
        <v>0</v>
      </c>
      <c r="P157" s="21">
        <v>2992242</v>
      </c>
      <c r="S157" s="108" t="b">
        <f>OR(COUNTIF(Tabla2[[#This Row],[PROVEEDOR]],"*"&amp;'Palabra no opera'!$A$2&amp;"*"))</f>
        <v>0</v>
      </c>
      <c r="T157" s="139">
        <f>+$W$5-Tabla2[[#This Row],[FECHA DE FACTURACIÓN]]</f>
        <v>32</v>
      </c>
      <c r="U157" t="str">
        <f>+IF(Tabla2[[#This Row],[dias de credito]]&gt;=Tabla2[[#This Row],[PLAZO Días]],"venc", "No venc")</f>
        <v>venc</v>
      </c>
      <c r="V157" t="str">
        <f>+IF(Tabla2[[#This Row],[FECHA DE PAGO]]&gt;0,"pagada","por pagar")</f>
        <v>pagada</v>
      </c>
      <c r="W157" s="141" t="str">
        <f>+IF(AND(Tabla2[[#This Row],[venc]]="venc",Tabla2[[#This Row],[Columna1]]="por pagar"),"vencida","no")</f>
        <v>no</v>
      </c>
    </row>
    <row r="158" spans="1:23" ht="15.6" hidden="1" x14ac:dyDescent="0.3">
      <c r="A158" s="20">
        <v>30</v>
      </c>
      <c r="B158" s="25">
        <v>0</v>
      </c>
      <c r="C158" s="25"/>
      <c r="D158" s="56" t="s">
        <v>107</v>
      </c>
      <c r="E158" s="426">
        <v>45257</v>
      </c>
      <c r="F158" s="26" t="s">
        <v>396</v>
      </c>
      <c r="G158" s="426">
        <v>45231</v>
      </c>
      <c r="H158" s="35" t="s">
        <v>2119</v>
      </c>
      <c r="I158" s="21">
        <v>440000</v>
      </c>
      <c r="J158" s="21"/>
      <c r="K158" s="22">
        <v>0</v>
      </c>
      <c r="L158" s="23"/>
      <c r="M158" s="22">
        <v>0</v>
      </c>
      <c r="N158" s="74">
        <v>0</v>
      </c>
      <c r="O158" s="22">
        <v>0</v>
      </c>
      <c r="P158" s="21">
        <v>440000</v>
      </c>
      <c r="S158" s="108" t="b">
        <f>OR(COUNTIF(Tabla2[[#This Row],[PROVEEDOR]],"*"&amp;'Palabra no opera'!$A$2&amp;"*"))</f>
        <v>0</v>
      </c>
      <c r="T158" s="139">
        <f>+$W$5-Tabla2[[#This Row],[FECHA DE FACTURACIÓN]]</f>
        <v>60</v>
      </c>
      <c r="U158" t="str">
        <f>+IF(Tabla2[[#This Row],[dias de credito]]&gt;=Tabla2[[#This Row],[PLAZO Días]],"venc", "No venc")</f>
        <v>venc</v>
      </c>
      <c r="V158" t="str">
        <f>+IF(Tabla2[[#This Row],[FECHA DE PAGO]]&gt;0,"pagada","por pagar")</f>
        <v>pagada</v>
      </c>
      <c r="W158" s="141" t="str">
        <f>+IF(AND(Tabla2[[#This Row],[venc]]="venc",Tabla2[[#This Row],[Columna1]]="por pagar"),"vencida","no")</f>
        <v>no</v>
      </c>
    </row>
    <row r="159" spans="1:23" ht="15.6" hidden="1" x14ac:dyDescent="0.3">
      <c r="A159" s="20">
        <v>30</v>
      </c>
      <c r="B159" s="25">
        <v>2773899.95</v>
      </c>
      <c r="C159" s="25"/>
      <c r="D159" s="56" t="s">
        <v>135</v>
      </c>
      <c r="E159" s="426">
        <v>45257</v>
      </c>
      <c r="F159" s="26" t="s">
        <v>20</v>
      </c>
      <c r="G159" s="426">
        <v>45219</v>
      </c>
      <c r="H159" s="35" t="s">
        <v>2081</v>
      </c>
      <c r="I159" s="21">
        <v>1442750</v>
      </c>
      <c r="J159" s="21"/>
      <c r="K159" s="22">
        <v>274122.5</v>
      </c>
      <c r="L159" s="23"/>
      <c r="M159" s="22">
        <v>0</v>
      </c>
      <c r="N159" s="74">
        <v>2.5000000000000001E-2</v>
      </c>
      <c r="O159" s="22">
        <v>36068.75</v>
      </c>
      <c r="P159" s="21">
        <v>1680803.75</v>
      </c>
      <c r="S159" s="108" t="b">
        <f>OR(COUNTIF(Tabla2[[#This Row],[PROVEEDOR]],"*"&amp;'Palabra no opera'!$A$2&amp;"*"))</f>
        <v>0</v>
      </c>
      <c r="T159" s="139">
        <f>+$W$5-Tabla2[[#This Row],[FECHA DE FACTURACIÓN]]</f>
        <v>72</v>
      </c>
      <c r="U159" t="str">
        <f>+IF(Tabla2[[#This Row],[dias de credito]]&gt;=Tabla2[[#This Row],[PLAZO Días]],"venc", "No venc")</f>
        <v>venc</v>
      </c>
      <c r="V159" t="str">
        <f>+IF(Tabla2[[#This Row],[FECHA DE PAGO]]&gt;0,"pagada","por pagar")</f>
        <v>pagada</v>
      </c>
      <c r="W159" s="141" t="str">
        <f>+IF(AND(Tabla2[[#This Row],[venc]]="venc",Tabla2[[#This Row],[Columna1]]="por pagar"),"vencida","no")</f>
        <v>no</v>
      </c>
    </row>
    <row r="160" spans="1:23" ht="15.6" hidden="1" x14ac:dyDescent="0.3">
      <c r="A160" s="20">
        <v>30</v>
      </c>
      <c r="B160" s="25">
        <v>2100000</v>
      </c>
      <c r="C160" s="25"/>
      <c r="D160" s="56" t="s">
        <v>107</v>
      </c>
      <c r="E160" s="426">
        <v>45257</v>
      </c>
      <c r="F160" s="26" t="s">
        <v>349</v>
      </c>
      <c r="G160" s="426">
        <v>45218</v>
      </c>
      <c r="H160" s="35" t="s">
        <v>2055</v>
      </c>
      <c r="I160" s="21">
        <v>425000</v>
      </c>
      <c r="J160" s="21"/>
      <c r="K160" s="22">
        <v>0</v>
      </c>
      <c r="L160" s="23"/>
      <c r="M160" s="22">
        <v>0</v>
      </c>
      <c r="N160" s="74">
        <v>0</v>
      </c>
      <c r="O160" s="22">
        <v>0</v>
      </c>
      <c r="P160" s="21">
        <v>425000</v>
      </c>
      <c r="S160" s="108" t="b">
        <f>OR(COUNTIF(Tabla2[[#This Row],[PROVEEDOR]],"*"&amp;'Palabra no opera'!$A$2&amp;"*"))</f>
        <v>0</v>
      </c>
      <c r="T160" s="139">
        <f>+$W$5-Tabla2[[#This Row],[FECHA DE FACTURACIÓN]]</f>
        <v>73</v>
      </c>
      <c r="U160" t="str">
        <f>+IF(Tabla2[[#This Row],[dias de credito]]&gt;=Tabla2[[#This Row],[PLAZO Días]],"venc", "No venc")</f>
        <v>venc</v>
      </c>
      <c r="V160" t="str">
        <f>+IF(Tabla2[[#This Row],[FECHA DE PAGO]]&gt;0,"pagada","por pagar")</f>
        <v>pagada</v>
      </c>
      <c r="W160" s="141" t="str">
        <f>+IF(AND(Tabla2[[#This Row],[venc]]="venc",Tabla2[[#This Row],[Columna1]]="por pagar"),"vencida","no")</f>
        <v>no</v>
      </c>
    </row>
    <row r="161" spans="1:23" ht="15.6" hidden="1" x14ac:dyDescent="0.3">
      <c r="A161" s="20">
        <v>30</v>
      </c>
      <c r="B161" s="25">
        <v>0</v>
      </c>
      <c r="C161" s="25"/>
      <c r="D161" s="56" t="s">
        <v>107</v>
      </c>
      <c r="E161" s="426">
        <v>45257</v>
      </c>
      <c r="F161" s="26" t="s">
        <v>362</v>
      </c>
      <c r="G161" s="426">
        <v>45210</v>
      </c>
      <c r="H161" s="35" t="s">
        <v>2059</v>
      </c>
      <c r="I161" s="21">
        <v>3841000</v>
      </c>
      <c r="J161" s="21"/>
      <c r="K161" s="22">
        <v>0</v>
      </c>
      <c r="L161" s="23"/>
      <c r="M161" s="22">
        <v>0</v>
      </c>
      <c r="N161" s="74">
        <v>0</v>
      </c>
      <c r="O161" s="22">
        <v>0</v>
      </c>
      <c r="P161" s="21">
        <v>3841000</v>
      </c>
      <c r="S161" s="108" t="b">
        <f>OR(COUNTIF(Tabla2[[#This Row],[PROVEEDOR]],"*"&amp;'Palabra no opera'!$A$2&amp;"*"))</f>
        <v>0</v>
      </c>
      <c r="T161" s="139">
        <f>+$W$5-Tabla2[[#This Row],[FECHA DE FACTURACIÓN]]</f>
        <v>81</v>
      </c>
      <c r="U161" t="str">
        <f>+IF(Tabla2[[#This Row],[dias de credito]]&gt;=Tabla2[[#This Row],[PLAZO Días]],"venc", "No venc")</f>
        <v>venc</v>
      </c>
      <c r="V161" t="str">
        <f>+IF(Tabla2[[#This Row],[FECHA DE PAGO]]&gt;0,"pagada","por pagar")</f>
        <v>pagada</v>
      </c>
      <c r="W161" s="141" t="str">
        <f>+IF(AND(Tabla2[[#This Row],[venc]]="venc",Tabla2[[#This Row],[Columna1]]="por pagar"),"vencida","no")</f>
        <v>no</v>
      </c>
    </row>
    <row r="162" spans="1:23" ht="15.6" hidden="1" x14ac:dyDescent="0.3">
      <c r="A162" s="20">
        <v>30</v>
      </c>
      <c r="B162" s="25">
        <v>1705000</v>
      </c>
      <c r="C162" s="25"/>
      <c r="D162" s="56">
        <v>0</v>
      </c>
      <c r="E162" s="426">
        <v>45257</v>
      </c>
      <c r="F162" s="26" t="s">
        <v>2078</v>
      </c>
      <c r="G162" s="426">
        <v>45209</v>
      </c>
      <c r="H162" s="35" t="s">
        <v>2062</v>
      </c>
      <c r="I162" s="21">
        <v>2224000</v>
      </c>
      <c r="J162" s="21"/>
      <c r="K162" s="22">
        <v>0</v>
      </c>
      <c r="L162" s="23"/>
      <c r="M162" s="22">
        <v>0</v>
      </c>
      <c r="N162" s="74">
        <v>0</v>
      </c>
      <c r="O162" s="22">
        <v>0</v>
      </c>
      <c r="P162" s="21">
        <v>2224000</v>
      </c>
      <c r="S162" s="108" t="b">
        <f>OR(COUNTIF(Tabla2[[#This Row],[PROVEEDOR]],"*"&amp;'Palabra no opera'!$A$2&amp;"*"))</f>
        <v>0</v>
      </c>
      <c r="T162" s="139">
        <f>+$W$5-Tabla2[[#This Row],[FECHA DE FACTURACIÓN]]</f>
        <v>82</v>
      </c>
      <c r="U162" t="str">
        <f>+IF(Tabla2[[#This Row],[dias de credito]]&gt;=Tabla2[[#This Row],[PLAZO Días]],"venc", "No venc")</f>
        <v>venc</v>
      </c>
      <c r="V162" t="str">
        <f>+IF(Tabla2[[#This Row],[FECHA DE PAGO]]&gt;0,"pagada","por pagar")</f>
        <v>pagada</v>
      </c>
      <c r="W162" s="141" t="str">
        <f>+IF(AND(Tabla2[[#This Row],[venc]]="venc",Tabla2[[#This Row],[Columna1]]="por pagar"),"vencida","no")</f>
        <v>no</v>
      </c>
    </row>
    <row r="163" spans="1:23" ht="15.6" hidden="1" x14ac:dyDescent="0.3">
      <c r="A163" s="20">
        <v>30</v>
      </c>
      <c r="B163" s="25">
        <v>2773899.95</v>
      </c>
      <c r="C163" s="25"/>
      <c r="D163" s="56" t="s">
        <v>135</v>
      </c>
      <c r="E163" s="426">
        <v>45257</v>
      </c>
      <c r="F163" s="26" t="s">
        <v>20</v>
      </c>
      <c r="G163" s="426">
        <v>45208</v>
      </c>
      <c r="H163" s="35" t="s">
        <v>2079</v>
      </c>
      <c r="I163" s="21">
        <v>647990</v>
      </c>
      <c r="J163" s="21"/>
      <c r="K163" s="22">
        <v>123118.1</v>
      </c>
      <c r="L163" s="23"/>
      <c r="M163" s="22">
        <v>0</v>
      </c>
      <c r="N163" s="74">
        <v>0</v>
      </c>
      <c r="O163" s="22">
        <v>0</v>
      </c>
      <c r="P163" s="21">
        <v>771108.1</v>
      </c>
      <c r="S163" s="108" t="b">
        <f>OR(COUNTIF(Tabla2[[#This Row],[PROVEEDOR]],"*"&amp;'Palabra no opera'!$A$2&amp;"*"))</f>
        <v>0</v>
      </c>
      <c r="T163" s="139">
        <f>+$W$5-Tabla2[[#This Row],[FECHA DE FACTURACIÓN]]</f>
        <v>83</v>
      </c>
      <c r="U163" t="str">
        <f>+IF(Tabla2[[#This Row],[dias de credito]]&gt;=Tabla2[[#This Row],[PLAZO Días]],"venc", "No venc")</f>
        <v>venc</v>
      </c>
      <c r="V163" t="str">
        <f>+IF(Tabla2[[#This Row],[FECHA DE PAGO]]&gt;0,"pagada","por pagar")</f>
        <v>pagada</v>
      </c>
      <c r="W163" s="141" t="str">
        <f>+IF(AND(Tabla2[[#This Row],[venc]]="venc",Tabla2[[#This Row],[Columna1]]="por pagar"),"vencida","no")</f>
        <v>no</v>
      </c>
    </row>
    <row r="164" spans="1:23" ht="15.6" hidden="1" x14ac:dyDescent="0.3">
      <c r="A164" s="20">
        <v>30</v>
      </c>
      <c r="B164" s="25">
        <v>2773899.95</v>
      </c>
      <c r="C164" s="25"/>
      <c r="D164" s="56" t="s">
        <v>135</v>
      </c>
      <c r="E164" s="426">
        <v>45257</v>
      </c>
      <c r="F164" s="26" t="s">
        <v>20</v>
      </c>
      <c r="G164" s="426">
        <v>45208</v>
      </c>
      <c r="H164" s="35" t="s">
        <v>2080</v>
      </c>
      <c r="I164" s="21">
        <v>944000</v>
      </c>
      <c r="J164" s="21"/>
      <c r="K164" s="22">
        <v>179360</v>
      </c>
      <c r="L164" s="23"/>
      <c r="M164" s="22">
        <v>0</v>
      </c>
      <c r="N164" s="74">
        <v>0</v>
      </c>
      <c r="O164" s="22">
        <v>0</v>
      </c>
      <c r="P164" s="21">
        <v>1123360</v>
      </c>
      <c r="S164" s="108" t="b">
        <f>OR(COUNTIF(Tabla2[[#This Row],[PROVEEDOR]],"*"&amp;'Palabra no opera'!$A$2&amp;"*"))</f>
        <v>0</v>
      </c>
      <c r="T164" s="139">
        <f>+$W$5-Tabla2[[#This Row],[FECHA DE FACTURACIÓN]]</f>
        <v>83</v>
      </c>
      <c r="U164" t="str">
        <f>+IF(Tabla2[[#This Row],[dias de credito]]&gt;=Tabla2[[#This Row],[PLAZO Días]],"venc", "No venc")</f>
        <v>venc</v>
      </c>
      <c r="V164" t="str">
        <f>+IF(Tabla2[[#This Row],[FECHA DE PAGO]]&gt;0,"pagada","por pagar")</f>
        <v>pagada</v>
      </c>
      <c r="W164" s="141" t="str">
        <f>+IF(AND(Tabla2[[#This Row],[venc]]="venc",Tabla2[[#This Row],[Columna1]]="por pagar"),"vencida","no")</f>
        <v>no</v>
      </c>
    </row>
    <row r="165" spans="1:23" ht="15.6" hidden="1" x14ac:dyDescent="0.3">
      <c r="A165" s="20">
        <v>30</v>
      </c>
      <c r="B165" s="25">
        <v>10321993.199999999</v>
      </c>
      <c r="C165" s="25"/>
      <c r="D165" s="56" t="s">
        <v>189</v>
      </c>
      <c r="E165" s="426">
        <v>45257</v>
      </c>
      <c r="F165" s="26" t="s">
        <v>1068</v>
      </c>
      <c r="G165" s="426">
        <v>45203</v>
      </c>
      <c r="H165" s="35" t="s">
        <v>1995</v>
      </c>
      <c r="I165" s="21">
        <v>4116710</v>
      </c>
      <c r="J165" s="21">
        <v>316670</v>
      </c>
      <c r="K165" s="22">
        <v>722007.6</v>
      </c>
      <c r="L165" s="23"/>
      <c r="M165" s="22">
        <v>0</v>
      </c>
      <c r="N165" s="74">
        <v>2.5000000000000001E-2</v>
      </c>
      <c r="O165" s="22">
        <v>95001</v>
      </c>
      <c r="P165" s="21">
        <v>4427046.5999999996</v>
      </c>
      <c r="S165" s="108" t="b">
        <f>OR(COUNTIF(Tabla2[[#This Row],[PROVEEDOR]],"*"&amp;'Palabra no opera'!$A$2&amp;"*"))</f>
        <v>0</v>
      </c>
      <c r="T165" s="139">
        <f>+$W$5-Tabla2[[#This Row],[FECHA DE FACTURACIÓN]]</f>
        <v>88</v>
      </c>
      <c r="U165" t="str">
        <f>+IF(Tabla2[[#This Row],[dias de credito]]&gt;=Tabla2[[#This Row],[PLAZO Días]],"venc", "No venc")</f>
        <v>venc</v>
      </c>
      <c r="V165" t="str">
        <f>+IF(Tabla2[[#This Row],[FECHA DE PAGO]]&gt;0,"pagada","por pagar")</f>
        <v>pagada</v>
      </c>
      <c r="W165" s="141" t="str">
        <f>+IF(AND(Tabla2[[#This Row],[venc]]="venc",Tabla2[[#This Row],[Columna1]]="por pagar"),"vencida","no")</f>
        <v>no</v>
      </c>
    </row>
    <row r="166" spans="1:23" ht="15.6" hidden="1" x14ac:dyDescent="0.3">
      <c r="A166" s="20">
        <v>30</v>
      </c>
      <c r="B166" s="25">
        <v>10321993.199999999</v>
      </c>
      <c r="C166" s="25"/>
      <c r="D166" s="56" t="s">
        <v>189</v>
      </c>
      <c r="E166" s="426">
        <v>45257</v>
      </c>
      <c r="F166" s="26" t="s">
        <v>1068</v>
      </c>
      <c r="G166" s="426">
        <v>45200</v>
      </c>
      <c r="H166" s="35" t="s">
        <v>1282</v>
      </c>
      <c r="I166" s="21">
        <v>-310017</v>
      </c>
      <c r="J166" s="21"/>
      <c r="K166" s="22">
        <v>-58903.23</v>
      </c>
      <c r="L166" s="23"/>
      <c r="M166" s="22">
        <v>0</v>
      </c>
      <c r="N166" s="74">
        <v>0</v>
      </c>
      <c r="O166" s="22">
        <v>0</v>
      </c>
      <c r="P166" s="21">
        <v>-368920.23</v>
      </c>
      <c r="S166" s="108" t="b">
        <f>OR(COUNTIF(Tabla2[[#This Row],[PROVEEDOR]],"*"&amp;'Palabra no opera'!$A$2&amp;"*"))</f>
        <v>0</v>
      </c>
      <c r="T166" s="139">
        <f>+$W$5-Tabla2[[#This Row],[FECHA DE FACTURACIÓN]]</f>
        <v>91</v>
      </c>
      <c r="U166" t="str">
        <f>+IF(Tabla2[[#This Row],[dias de credito]]&gt;=Tabla2[[#This Row],[PLAZO Días]],"venc", "No venc")</f>
        <v>venc</v>
      </c>
      <c r="V166" t="str">
        <f>+IF(Tabla2[[#This Row],[FECHA DE PAGO]]&gt;0,"pagada","por pagar")</f>
        <v>pagada</v>
      </c>
      <c r="W166" s="141" t="str">
        <f>+IF(AND(Tabla2[[#This Row],[venc]]="venc",Tabla2[[#This Row],[Columna1]]="por pagar"),"vencida","no")</f>
        <v>no</v>
      </c>
    </row>
    <row r="167" spans="1:23" ht="15.6" hidden="1" x14ac:dyDescent="0.3">
      <c r="A167" s="20">
        <v>30</v>
      </c>
      <c r="B167" s="25">
        <v>0</v>
      </c>
      <c r="C167" s="25"/>
      <c r="D167" s="56" t="s">
        <v>107</v>
      </c>
      <c r="E167" s="426">
        <v>45253</v>
      </c>
      <c r="F167" s="26" t="s">
        <v>1194</v>
      </c>
      <c r="G167" s="426">
        <v>45253</v>
      </c>
      <c r="H167" s="35" t="s">
        <v>2202</v>
      </c>
      <c r="I167" s="21">
        <v>730000</v>
      </c>
      <c r="J167" s="21"/>
      <c r="K167" s="22">
        <v>0</v>
      </c>
      <c r="L167" s="23"/>
      <c r="M167" s="22">
        <v>0</v>
      </c>
      <c r="N167" s="74">
        <v>0</v>
      </c>
      <c r="O167" s="22">
        <v>0</v>
      </c>
      <c r="P167" s="21">
        <v>730000</v>
      </c>
      <c r="S167" s="108" t="b">
        <f>OR(COUNTIF(Tabla2[[#This Row],[PROVEEDOR]],"*"&amp;'Palabra no opera'!$A$2&amp;"*"))</f>
        <v>0</v>
      </c>
      <c r="T167" s="139">
        <f>+$W$5-Tabla2[[#This Row],[FECHA DE FACTURACIÓN]]</f>
        <v>38</v>
      </c>
      <c r="U167" t="str">
        <f>+IF(Tabla2[[#This Row],[dias de credito]]&gt;=Tabla2[[#This Row],[PLAZO Días]],"venc", "No venc")</f>
        <v>venc</v>
      </c>
      <c r="V167" t="str">
        <f>+IF(Tabla2[[#This Row],[FECHA DE PAGO]]&gt;0,"pagada","por pagar")</f>
        <v>pagada</v>
      </c>
      <c r="W167" s="141" t="str">
        <f>+IF(AND(Tabla2[[#This Row],[venc]]="venc",Tabla2[[#This Row],[Columna1]]="por pagar"),"vencida","no")</f>
        <v>no</v>
      </c>
    </row>
    <row r="168" spans="1:23" ht="15.6" hidden="1" x14ac:dyDescent="0.3">
      <c r="A168" s="20">
        <v>30</v>
      </c>
      <c r="B168" s="25">
        <v>0</v>
      </c>
      <c r="C168" s="25"/>
      <c r="D168" s="56" t="s">
        <v>2037</v>
      </c>
      <c r="E168" s="426">
        <v>45253</v>
      </c>
      <c r="F168" s="26" t="s">
        <v>2038</v>
      </c>
      <c r="G168" s="426">
        <v>45252</v>
      </c>
      <c r="H168" s="35" t="s">
        <v>2149</v>
      </c>
      <c r="I168" s="21">
        <v>897647</v>
      </c>
      <c r="J168" s="21"/>
      <c r="K168" s="22">
        <v>170552.93</v>
      </c>
      <c r="L168" s="23"/>
      <c r="M168" s="22">
        <v>0</v>
      </c>
      <c r="N168" s="74">
        <v>0</v>
      </c>
      <c r="O168" s="22">
        <v>0</v>
      </c>
      <c r="P168" s="21">
        <v>1068199.93</v>
      </c>
      <c r="S168" s="108" t="b">
        <f>OR(COUNTIF(Tabla2[[#This Row],[PROVEEDOR]],"*"&amp;'Palabra no opera'!$A$2&amp;"*"))</f>
        <v>0</v>
      </c>
      <c r="T168" s="139">
        <f>+$W$5-Tabla2[[#This Row],[FECHA DE FACTURACIÓN]]</f>
        <v>39</v>
      </c>
      <c r="U168" t="str">
        <f>+IF(Tabla2[[#This Row],[dias de credito]]&gt;=Tabla2[[#This Row],[PLAZO Días]],"venc", "No venc")</f>
        <v>venc</v>
      </c>
      <c r="V168" t="str">
        <f>+IF(Tabla2[[#This Row],[FECHA DE PAGO]]&gt;0,"pagada","por pagar")</f>
        <v>pagada</v>
      </c>
      <c r="W168" s="141" t="str">
        <f>+IF(AND(Tabla2[[#This Row],[venc]]="venc",Tabla2[[#This Row],[Columna1]]="por pagar"),"vencida","no")</f>
        <v>no</v>
      </c>
    </row>
    <row r="169" spans="1:23" ht="15.6" hidden="1" x14ac:dyDescent="0.3">
      <c r="A169" s="20">
        <v>30</v>
      </c>
      <c r="B169" s="25">
        <v>0</v>
      </c>
      <c r="C169" s="25"/>
      <c r="D169" s="56" t="s">
        <v>2037</v>
      </c>
      <c r="E169" s="426">
        <v>45253</v>
      </c>
      <c r="F169" s="26" t="s">
        <v>2038</v>
      </c>
      <c r="G169" s="426">
        <v>45252</v>
      </c>
      <c r="H169" s="35" t="s">
        <v>2150</v>
      </c>
      <c r="I169" s="21">
        <v>41008</v>
      </c>
      <c r="J169" s="21"/>
      <c r="K169" s="22">
        <v>7791.52</v>
      </c>
      <c r="L169" s="23"/>
      <c r="M169" s="22">
        <v>0</v>
      </c>
      <c r="N169" s="74">
        <v>0</v>
      </c>
      <c r="O169" s="22">
        <v>0</v>
      </c>
      <c r="P169" s="21">
        <v>48799.520000000004</v>
      </c>
      <c r="S169" s="108" t="b">
        <f>OR(COUNTIF(Tabla2[[#This Row],[PROVEEDOR]],"*"&amp;'Palabra no opera'!$A$2&amp;"*"))</f>
        <v>0</v>
      </c>
      <c r="T169" s="139">
        <f>+$W$5-Tabla2[[#This Row],[FECHA DE FACTURACIÓN]]</f>
        <v>39</v>
      </c>
      <c r="U169" t="str">
        <f>+IF(Tabla2[[#This Row],[dias de credito]]&gt;=Tabla2[[#This Row],[PLAZO Días]],"venc", "No venc")</f>
        <v>venc</v>
      </c>
      <c r="V169" t="str">
        <f>+IF(Tabla2[[#This Row],[FECHA DE PAGO]]&gt;0,"pagada","por pagar")</f>
        <v>pagada</v>
      </c>
      <c r="W169" s="141" t="str">
        <f>+IF(AND(Tabla2[[#This Row],[venc]]="venc",Tabla2[[#This Row],[Columna1]]="por pagar"),"vencida","no")</f>
        <v>no</v>
      </c>
    </row>
    <row r="170" spans="1:23" ht="15.6" hidden="1" x14ac:dyDescent="0.3">
      <c r="A170" s="20">
        <v>30</v>
      </c>
      <c r="B170" s="25">
        <v>0</v>
      </c>
      <c r="C170" s="25"/>
      <c r="D170" s="56" t="s">
        <v>277</v>
      </c>
      <c r="E170" s="426">
        <v>45253</v>
      </c>
      <c r="F170" s="26" t="s">
        <v>248</v>
      </c>
      <c r="G170" s="426">
        <v>45213</v>
      </c>
      <c r="H170" s="35" t="s">
        <v>2085</v>
      </c>
      <c r="I170" s="21">
        <v>3001258</v>
      </c>
      <c r="J170" s="21"/>
      <c r="K170" s="22">
        <v>570239.02</v>
      </c>
      <c r="L170" s="23"/>
      <c r="M170" s="22">
        <v>0</v>
      </c>
      <c r="N170" s="74">
        <v>0</v>
      </c>
      <c r="O170" s="22">
        <v>0</v>
      </c>
      <c r="P170" s="21">
        <v>3571497.02</v>
      </c>
      <c r="S170" s="108" t="b">
        <f>OR(COUNTIF(Tabla2[[#This Row],[PROVEEDOR]],"*"&amp;'Palabra no opera'!$A$2&amp;"*"))</f>
        <v>0</v>
      </c>
      <c r="T170" s="139">
        <f>+$W$5-Tabla2[[#This Row],[FECHA DE FACTURACIÓN]]</f>
        <v>78</v>
      </c>
      <c r="U170" t="str">
        <f>+IF(Tabla2[[#This Row],[dias de credito]]&gt;=Tabla2[[#This Row],[PLAZO Días]],"venc", "No venc")</f>
        <v>venc</v>
      </c>
      <c r="V170" t="str">
        <f>+IF(Tabla2[[#This Row],[FECHA DE PAGO]]&gt;0,"pagada","por pagar")</f>
        <v>pagada</v>
      </c>
      <c r="W170" s="141" t="str">
        <f>+IF(AND(Tabla2[[#This Row],[venc]]="venc",Tabla2[[#This Row],[Columna1]]="por pagar"),"vencida","no")</f>
        <v>no</v>
      </c>
    </row>
    <row r="171" spans="1:23" ht="15.6" hidden="1" x14ac:dyDescent="0.3">
      <c r="A171" s="20">
        <v>30</v>
      </c>
      <c r="B171" s="25">
        <v>27189617.395</v>
      </c>
      <c r="C171" s="25"/>
      <c r="D171" s="56" t="s">
        <v>686</v>
      </c>
      <c r="E171" s="426">
        <v>45252</v>
      </c>
      <c r="F171" s="26" t="s">
        <v>77</v>
      </c>
      <c r="G171" s="426">
        <v>45252</v>
      </c>
      <c r="H171" s="35" t="s">
        <v>2146</v>
      </c>
      <c r="I171" s="21">
        <v>-504202</v>
      </c>
      <c r="J171" s="21"/>
      <c r="K171" s="22">
        <v>-95798.38</v>
      </c>
      <c r="L171" s="23"/>
      <c r="M171" s="22">
        <v>0</v>
      </c>
      <c r="N171" s="74">
        <v>0</v>
      </c>
      <c r="O171" s="22">
        <v>0</v>
      </c>
      <c r="P171" s="21">
        <v>-600000.38</v>
      </c>
      <c r="S171" s="108" t="b">
        <f>OR(COUNTIF(Tabla2[[#This Row],[PROVEEDOR]],"*"&amp;'Palabra no opera'!$A$2&amp;"*"))</f>
        <v>0</v>
      </c>
      <c r="T171" s="139">
        <f>+$W$5-Tabla2[[#This Row],[FECHA DE FACTURACIÓN]]</f>
        <v>39</v>
      </c>
      <c r="U171" t="str">
        <f>+IF(Tabla2[[#This Row],[dias de credito]]&gt;=Tabla2[[#This Row],[PLAZO Días]],"venc", "No venc")</f>
        <v>venc</v>
      </c>
      <c r="V171" t="str">
        <f>+IF(Tabla2[[#This Row],[FECHA DE PAGO]]&gt;0,"pagada","por pagar")</f>
        <v>pagada</v>
      </c>
      <c r="W171" s="141" t="str">
        <f>+IF(AND(Tabla2[[#This Row],[venc]]="venc",Tabla2[[#This Row],[Columna1]]="por pagar"),"vencida","no")</f>
        <v>no</v>
      </c>
    </row>
    <row r="172" spans="1:23" ht="15.6" hidden="1" x14ac:dyDescent="0.3">
      <c r="A172" s="20">
        <v>30</v>
      </c>
      <c r="B172" s="25">
        <v>27189617.395</v>
      </c>
      <c r="C172" s="25"/>
      <c r="D172" s="56" t="s">
        <v>686</v>
      </c>
      <c r="E172" s="426">
        <v>45252</v>
      </c>
      <c r="F172" s="26" t="s">
        <v>77</v>
      </c>
      <c r="G172" s="426">
        <v>45252</v>
      </c>
      <c r="H172" s="35" t="s">
        <v>2146</v>
      </c>
      <c r="I172" s="21">
        <v>-2100840</v>
      </c>
      <c r="J172" s="21"/>
      <c r="K172" s="22">
        <v>-399159.6</v>
      </c>
      <c r="L172" s="23"/>
      <c r="M172" s="22">
        <v>0</v>
      </c>
      <c r="N172" s="74">
        <v>0</v>
      </c>
      <c r="O172" s="22">
        <v>0</v>
      </c>
      <c r="P172" s="21">
        <v>-2499999.6</v>
      </c>
      <c r="S172" s="108" t="b">
        <f>OR(COUNTIF(Tabla2[[#This Row],[PROVEEDOR]],"*"&amp;'Palabra no opera'!$A$2&amp;"*"))</f>
        <v>0</v>
      </c>
      <c r="T172" s="139">
        <f>+$W$5-Tabla2[[#This Row],[FECHA DE FACTURACIÓN]]</f>
        <v>39</v>
      </c>
      <c r="U172" t="str">
        <f>+IF(Tabla2[[#This Row],[dias de credito]]&gt;=Tabla2[[#This Row],[PLAZO Días]],"venc", "No venc")</f>
        <v>venc</v>
      </c>
      <c r="V172" t="str">
        <f>+IF(Tabla2[[#This Row],[FECHA DE PAGO]]&gt;0,"pagada","por pagar")</f>
        <v>pagada</v>
      </c>
      <c r="W172" s="141" t="str">
        <f>+IF(AND(Tabla2[[#This Row],[venc]]="venc",Tabla2[[#This Row],[Columna1]]="por pagar"),"vencida","no")</f>
        <v>no</v>
      </c>
    </row>
    <row r="173" spans="1:23" ht="15.6" hidden="1" x14ac:dyDescent="0.3">
      <c r="A173" s="20">
        <v>0</v>
      </c>
      <c r="B173" s="25">
        <v>0</v>
      </c>
      <c r="C173" s="25"/>
      <c r="D173" s="56" t="s">
        <v>136</v>
      </c>
      <c r="E173" s="426">
        <v>45251</v>
      </c>
      <c r="F173" s="26" t="s">
        <v>1438</v>
      </c>
      <c r="G173" s="426">
        <v>45250</v>
      </c>
      <c r="H173" s="35">
        <v>2077</v>
      </c>
      <c r="I173" s="21">
        <v>600000</v>
      </c>
      <c r="J173" s="21"/>
      <c r="K173" s="22">
        <v>0</v>
      </c>
      <c r="L173" s="23"/>
      <c r="M173" s="22">
        <v>0</v>
      </c>
      <c r="N173" s="74">
        <v>0</v>
      </c>
      <c r="O173" s="22">
        <v>0</v>
      </c>
      <c r="P173" s="21">
        <v>600000</v>
      </c>
      <c r="S173" s="108" t="b">
        <f>OR(COUNTIF(Tabla2[[#This Row],[PROVEEDOR]],"*"&amp;'Palabra no opera'!$A$2&amp;"*"))</f>
        <v>1</v>
      </c>
      <c r="T173" s="139">
        <f>+$W$5-Tabla2[[#This Row],[FECHA DE FACTURACIÓN]]</f>
        <v>41</v>
      </c>
      <c r="U173" t="str">
        <f>+IF(Tabla2[[#This Row],[dias de credito]]&gt;=Tabla2[[#This Row],[PLAZO Días]],"venc", "No venc")</f>
        <v>venc</v>
      </c>
      <c r="V173" t="str">
        <f>+IF(Tabla2[[#This Row],[FECHA DE PAGO]]&gt;0,"pagada","por pagar")</f>
        <v>pagada</v>
      </c>
      <c r="W173" s="141" t="str">
        <f>+IF(AND(Tabla2[[#This Row],[venc]]="venc",Tabla2[[#This Row],[Columna1]]="por pagar"),"vencida","no")</f>
        <v>no</v>
      </c>
    </row>
    <row r="174" spans="1:23" ht="15.6" hidden="1" x14ac:dyDescent="0.3">
      <c r="A174" s="20">
        <v>30</v>
      </c>
      <c r="B174" s="25">
        <v>0</v>
      </c>
      <c r="C174" s="25"/>
      <c r="D174" s="56" t="s">
        <v>659</v>
      </c>
      <c r="E174" s="426">
        <v>45251</v>
      </c>
      <c r="F174" s="26" t="s">
        <v>227</v>
      </c>
      <c r="G174" s="426">
        <v>45247</v>
      </c>
      <c r="H174" s="35" t="s">
        <v>2136</v>
      </c>
      <c r="I174" s="21">
        <v>7880</v>
      </c>
      <c r="J174" s="21"/>
      <c r="K174" s="22">
        <v>0</v>
      </c>
      <c r="L174" s="23"/>
      <c r="M174" s="22">
        <v>0</v>
      </c>
      <c r="N174" s="74">
        <v>0</v>
      </c>
      <c r="O174" s="22">
        <v>0</v>
      </c>
      <c r="P174" s="21">
        <v>7880</v>
      </c>
      <c r="S174" s="108" t="b">
        <f>OR(COUNTIF(Tabla2[[#This Row],[PROVEEDOR]],"*"&amp;'Palabra no opera'!$A$2&amp;"*"))</f>
        <v>0</v>
      </c>
      <c r="T174" s="139">
        <f>+$W$5-Tabla2[[#This Row],[FECHA DE FACTURACIÓN]]</f>
        <v>44</v>
      </c>
      <c r="U174" t="str">
        <f>+IF(Tabla2[[#This Row],[dias de credito]]&gt;=Tabla2[[#This Row],[PLAZO Días]],"venc", "No venc")</f>
        <v>venc</v>
      </c>
      <c r="V174" t="str">
        <f>+IF(Tabla2[[#This Row],[FECHA DE PAGO]]&gt;0,"pagada","por pagar")</f>
        <v>pagada</v>
      </c>
      <c r="W174" s="141" t="str">
        <f>+IF(AND(Tabla2[[#This Row],[venc]]="venc",Tabla2[[#This Row],[Columna1]]="por pagar"),"vencida","no")</f>
        <v>no</v>
      </c>
    </row>
    <row r="175" spans="1:23" ht="15.6" hidden="1" x14ac:dyDescent="0.3">
      <c r="A175" s="20">
        <v>30</v>
      </c>
      <c r="B175" s="25">
        <v>0</v>
      </c>
      <c r="C175" s="25"/>
      <c r="D175" s="56" t="s">
        <v>659</v>
      </c>
      <c r="E175" s="426">
        <v>45251</v>
      </c>
      <c r="F175" s="26" t="s">
        <v>227</v>
      </c>
      <c r="G175" s="426">
        <v>45238</v>
      </c>
      <c r="H175" s="35" t="s">
        <v>2101</v>
      </c>
      <c r="I175" s="21">
        <v>129550</v>
      </c>
      <c r="J175" s="21"/>
      <c r="K175" s="22">
        <v>0</v>
      </c>
      <c r="L175" s="23"/>
      <c r="M175" s="22">
        <v>0</v>
      </c>
      <c r="N175" s="74">
        <v>0</v>
      </c>
      <c r="O175" s="22">
        <v>0</v>
      </c>
      <c r="P175" s="21">
        <v>129550</v>
      </c>
      <c r="S175" s="108" t="b">
        <f>OR(COUNTIF(Tabla2[[#This Row],[PROVEEDOR]],"*"&amp;'Palabra no opera'!$A$2&amp;"*"))</f>
        <v>0</v>
      </c>
      <c r="T175" s="139">
        <f>+$W$5-Tabla2[[#This Row],[FECHA DE FACTURACIÓN]]</f>
        <v>53</v>
      </c>
      <c r="U175" t="str">
        <f>+IF(Tabla2[[#This Row],[dias de credito]]&gt;=Tabla2[[#This Row],[PLAZO Días]],"venc", "No venc")</f>
        <v>venc</v>
      </c>
      <c r="V175" t="str">
        <f>+IF(Tabla2[[#This Row],[FECHA DE PAGO]]&gt;0,"pagada","por pagar")</f>
        <v>pagada</v>
      </c>
      <c r="W175" s="141" t="str">
        <f>+IF(AND(Tabla2[[#This Row],[venc]]="venc",Tabla2[[#This Row],[Columna1]]="por pagar"),"vencida","no")</f>
        <v>no</v>
      </c>
    </row>
    <row r="176" spans="1:23" ht="15.6" hidden="1" x14ac:dyDescent="0.3">
      <c r="A176" s="20">
        <v>45</v>
      </c>
      <c r="B176" s="25">
        <v>3074500</v>
      </c>
      <c r="C176" s="25"/>
      <c r="D176" s="56" t="s">
        <v>1482</v>
      </c>
      <c r="E176" s="426">
        <v>45251</v>
      </c>
      <c r="F176" s="26" t="s">
        <v>289</v>
      </c>
      <c r="G176" s="426">
        <v>45237</v>
      </c>
      <c r="H176" s="35">
        <v>1827</v>
      </c>
      <c r="I176" s="21">
        <v>1885550</v>
      </c>
      <c r="J176" s="21"/>
      <c r="K176" s="22">
        <v>0</v>
      </c>
      <c r="L176" s="23"/>
      <c r="M176" s="22">
        <v>0</v>
      </c>
      <c r="N176" s="74">
        <v>0</v>
      </c>
      <c r="O176" s="22">
        <v>0</v>
      </c>
      <c r="P176" s="21">
        <v>1885550</v>
      </c>
      <c r="S176" s="108" t="b">
        <f>OR(COUNTIF(Tabla2[[#This Row],[PROVEEDOR]],"*"&amp;'Palabra no opera'!$A$2&amp;"*"))</f>
        <v>0</v>
      </c>
      <c r="T176" s="139">
        <f>+$W$5-Tabla2[[#This Row],[FECHA DE FACTURACIÓN]]</f>
        <v>54</v>
      </c>
      <c r="U176" t="str">
        <f>+IF(Tabla2[[#This Row],[dias de credito]]&gt;=Tabla2[[#This Row],[PLAZO Días]],"venc", "No venc")</f>
        <v>venc</v>
      </c>
      <c r="V176" t="str">
        <f>+IF(Tabla2[[#This Row],[FECHA DE PAGO]]&gt;0,"pagada","por pagar")</f>
        <v>pagada</v>
      </c>
      <c r="W176" s="141" t="str">
        <f>+IF(AND(Tabla2[[#This Row],[venc]]="venc",Tabla2[[#This Row],[Columna1]]="por pagar"),"vencida","no")</f>
        <v>no</v>
      </c>
    </row>
    <row r="177" spans="1:23" ht="15.6" hidden="1" x14ac:dyDescent="0.3">
      <c r="A177" s="20">
        <v>60</v>
      </c>
      <c r="B177" s="25">
        <v>395600</v>
      </c>
      <c r="C177" s="25"/>
      <c r="D177" s="56" t="s">
        <v>1482</v>
      </c>
      <c r="E177" s="426">
        <v>45251</v>
      </c>
      <c r="F177" s="26" t="s">
        <v>287</v>
      </c>
      <c r="G177" s="426">
        <v>45233</v>
      </c>
      <c r="H177" s="35">
        <v>1822</v>
      </c>
      <c r="I177" s="21">
        <v>344000</v>
      </c>
      <c r="J177" s="21"/>
      <c r="K177" s="22">
        <v>0</v>
      </c>
      <c r="L177" s="23"/>
      <c r="M177" s="22">
        <v>0</v>
      </c>
      <c r="N177" s="74">
        <v>0</v>
      </c>
      <c r="O177" s="22">
        <v>0</v>
      </c>
      <c r="P177" s="21">
        <v>344000</v>
      </c>
      <c r="S177" s="108" t="b">
        <f>OR(COUNTIF(Tabla2[[#This Row],[PROVEEDOR]],"*"&amp;'Palabra no opera'!$A$2&amp;"*"))</f>
        <v>0</v>
      </c>
      <c r="T177" s="139">
        <f>+$W$5-Tabla2[[#This Row],[FECHA DE FACTURACIÓN]]</f>
        <v>58</v>
      </c>
      <c r="U177" t="str">
        <f>+IF(Tabla2[[#This Row],[dias de credito]]&gt;=Tabla2[[#This Row],[PLAZO Días]],"venc", "No venc")</f>
        <v>No venc</v>
      </c>
      <c r="V177" t="str">
        <f>+IF(Tabla2[[#This Row],[FECHA DE PAGO]]&gt;0,"pagada","por pagar")</f>
        <v>pagada</v>
      </c>
      <c r="W177" s="141" t="str">
        <f>+IF(AND(Tabla2[[#This Row],[venc]]="venc",Tabla2[[#This Row],[Columna1]]="por pagar"),"vencida","no")</f>
        <v>no</v>
      </c>
    </row>
    <row r="178" spans="1:23" ht="15.6" hidden="1" x14ac:dyDescent="0.3">
      <c r="A178" s="20">
        <v>60</v>
      </c>
      <c r="B178" s="25">
        <v>395600</v>
      </c>
      <c r="C178" s="25"/>
      <c r="D178" s="56" t="s">
        <v>1482</v>
      </c>
      <c r="E178" s="426">
        <v>45251</v>
      </c>
      <c r="F178" s="26" t="s">
        <v>287</v>
      </c>
      <c r="G178" s="426">
        <v>45233</v>
      </c>
      <c r="H178" s="35">
        <v>1826</v>
      </c>
      <c r="I178" s="21">
        <v>395600</v>
      </c>
      <c r="J178" s="21"/>
      <c r="K178" s="22">
        <v>0</v>
      </c>
      <c r="L178" s="23"/>
      <c r="M178" s="22">
        <v>0</v>
      </c>
      <c r="N178" s="74">
        <v>0</v>
      </c>
      <c r="O178" s="22">
        <v>0</v>
      </c>
      <c r="P178" s="21">
        <v>395600</v>
      </c>
      <c r="S178" s="108" t="b">
        <f>OR(COUNTIF(Tabla2[[#This Row],[PROVEEDOR]],"*"&amp;'Palabra no opera'!$A$2&amp;"*"))</f>
        <v>0</v>
      </c>
      <c r="T178" s="139">
        <f>+$W$5-Tabla2[[#This Row],[FECHA DE FACTURACIÓN]]</f>
        <v>58</v>
      </c>
      <c r="U178" t="str">
        <f>+IF(Tabla2[[#This Row],[dias de credito]]&gt;=Tabla2[[#This Row],[PLAZO Días]],"venc", "No venc")</f>
        <v>No venc</v>
      </c>
      <c r="V178" t="str">
        <f>+IF(Tabla2[[#This Row],[FECHA DE PAGO]]&gt;0,"pagada","por pagar")</f>
        <v>pagada</v>
      </c>
      <c r="W178" s="141" t="str">
        <f>+IF(AND(Tabla2[[#This Row],[venc]]="venc",Tabla2[[#This Row],[Columna1]]="por pagar"),"vencida","no")</f>
        <v>no</v>
      </c>
    </row>
    <row r="179" spans="1:23" ht="15.6" hidden="1" x14ac:dyDescent="0.3">
      <c r="A179" s="20">
        <v>45</v>
      </c>
      <c r="B179" s="25">
        <v>3074500</v>
      </c>
      <c r="C179" s="25"/>
      <c r="D179" s="56" t="s">
        <v>1482</v>
      </c>
      <c r="E179" s="426">
        <v>45251</v>
      </c>
      <c r="F179" s="26" t="s">
        <v>289</v>
      </c>
      <c r="G179" s="426">
        <v>45230</v>
      </c>
      <c r="H179" s="35">
        <v>1819</v>
      </c>
      <c r="I179" s="21">
        <v>3074500</v>
      </c>
      <c r="J179" s="21"/>
      <c r="K179" s="22">
        <v>0</v>
      </c>
      <c r="L179" s="23"/>
      <c r="M179" s="22">
        <v>0</v>
      </c>
      <c r="N179" s="74">
        <v>0</v>
      </c>
      <c r="O179" s="22">
        <v>0</v>
      </c>
      <c r="P179" s="21">
        <v>3074500</v>
      </c>
      <c r="S179" s="108" t="b">
        <f>OR(COUNTIF(Tabla2[[#This Row],[PROVEEDOR]],"*"&amp;'Palabra no opera'!$A$2&amp;"*"))</f>
        <v>0</v>
      </c>
      <c r="T179" s="139">
        <f>+$W$5-Tabla2[[#This Row],[FECHA DE FACTURACIÓN]]</f>
        <v>61</v>
      </c>
      <c r="U179" t="str">
        <f>+IF(Tabla2[[#This Row],[dias de credito]]&gt;=Tabla2[[#This Row],[PLAZO Días]],"venc", "No venc")</f>
        <v>venc</v>
      </c>
      <c r="V179" t="str">
        <f>+IF(Tabla2[[#This Row],[FECHA DE PAGO]]&gt;0,"pagada","por pagar")</f>
        <v>pagada</v>
      </c>
      <c r="W179" s="141" t="str">
        <f>+IF(AND(Tabla2[[#This Row],[venc]]="venc",Tabla2[[#This Row],[Columna1]]="por pagar"),"vencida","no")</f>
        <v>no</v>
      </c>
    </row>
    <row r="180" spans="1:23" ht="15.6" hidden="1" x14ac:dyDescent="0.3">
      <c r="A180" s="20">
        <v>60</v>
      </c>
      <c r="B180" s="25">
        <v>395600</v>
      </c>
      <c r="C180" s="25"/>
      <c r="D180" s="56" t="s">
        <v>1482</v>
      </c>
      <c r="E180" s="426">
        <v>45251</v>
      </c>
      <c r="F180" s="26" t="s">
        <v>287</v>
      </c>
      <c r="G180" s="426">
        <v>45226</v>
      </c>
      <c r="H180" s="35">
        <v>1814</v>
      </c>
      <c r="I180" s="21">
        <v>430000</v>
      </c>
      <c r="J180" s="21"/>
      <c r="K180" s="22">
        <v>0</v>
      </c>
      <c r="L180" s="23"/>
      <c r="M180" s="22">
        <v>0</v>
      </c>
      <c r="N180" s="74">
        <v>0</v>
      </c>
      <c r="O180" s="22">
        <v>0</v>
      </c>
      <c r="P180" s="21">
        <v>430000</v>
      </c>
      <c r="S180" s="108" t="b">
        <f>OR(COUNTIF(Tabla2[[#This Row],[PROVEEDOR]],"*"&amp;'Palabra no opera'!$A$2&amp;"*"))</f>
        <v>0</v>
      </c>
      <c r="T180" s="139">
        <f>+$W$5-Tabla2[[#This Row],[FECHA DE FACTURACIÓN]]</f>
        <v>65</v>
      </c>
      <c r="U180" t="str">
        <f>+IF(Tabla2[[#This Row],[dias de credito]]&gt;=Tabla2[[#This Row],[PLAZO Días]],"venc", "No venc")</f>
        <v>venc</v>
      </c>
      <c r="V180" t="str">
        <f>+IF(Tabla2[[#This Row],[FECHA DE PAGO]]&gt;0,"pagada","por pagar")</f>
        <v>pagada</v>
      </c>
      <c r="W180" s="141" t="str">
        <f>+IF(AND(Tabla2[[#This Row],[venc]]="venc",Tabla2[[#This Row],[Columna1]]="por pagar"),"vencida","no")</f>
        <v>no</v>
      </c>
    </row>
    <row r="181" spans="1:23" ht="15.6" hidden="1" x14ac:dyDescent="0.3">
      <c r="A181" s="20">
        <v>60</v>
      </c>
      <c r="B181" s="25">
        <v>395600</v>
      </c>
      <c r="C181" s="25"/>
      <c r="D181" s="56" t="s">
        <v>1482</v>
      </c>
      <c r="E181" s="426">
        <v>45251</v>
      </c>
      <c r="F181" s="26" t="s">
        <v>287</v>
      </c>
      <c r="G181" s="426">
        <v>45217</v>
      </c>
      <c r="H181" s="35">
        <v>1812</v>
      </c>
      <c r="I181" s="21">
        <v>533200</v>
      </c>
      <c r="J181" s="21"/>
      <c r="K181" s="22">
        <v>0</v>
      </c>
      <c r="L181" s="23"/>
      <c r="M181" s="22">
        <v>0</v>
      </c>
      <c r="N181" s="74">
        <v>0</v>
      </c>
      <c r="O181" s="22">
        <v>0</v>
      </c>
      <c r="P181" s="21">
        <v>533200</v>
      </c>
      <c r="S181" s="108" t="b">
        <f>OR(COUNTIF(Tabla2[[#This Row],[PROVEEDOR]],"*"&amp;'Palabra no opera'!$A$2&amp;"*"))</f>
        <v>0</v>
      </c>
      <c r="T181" s="139">
        <f>+$W$5-Tabla2[[#This Row],[FECHA DE FACTURACIÓN]]</f>
        <v>74</v>
      </c>
      <c r="U181" t="str">
        <f>+IF(Tabla2[[#This Row],[dias de credito]]&gt;=Tabla2[[#This Row],[PLAZO Días]],"venc", "No venc")</f>
        <v>venc</v>
      </c>
      <c r="V181" t="str">
        <f>+IF(Tabla2[[#This Row],[FECHA DE PAGO]]&gt;0,"pagada","por pagar")</f>
        <v>pagada</v>
      </c>
      <c r="W181" s="141" t="str">
        <f>+IF(AND(Tabla2[[#This Row],[venc]]="venc",Tabla2[[#This Row],[Columna1]]="por pagar"),"vencida","no")</f>
        <v>no</v>
      </c>
    </row>
    <row r="182" spans="1:23" ht="15.6" hidden="1" x14ac:dyDescent="0.3">
      <c r="A182" s="20">
        <v>30</v>
      </c>
      <c r="B182" s="25">
        <v>0</v>
      </c>
      <c r="C182" s="25"/>
      <c r="D182" s="56" t="s">
        <v>199</v>
      </c>
      <c r="E182" s="426">
        <v>45251</v>
      </c>
      <c r="F182" s="26" t="s">
        <v>1069</v>
      </c>
      <c r="G182" s="426">
        <v>45216</v>
      </c>
      <c r="H182" s="35" t="s">
        <v>2089</v>
      </c>
      <c r="I182" s="21">
        <v>884121</v>
      </c>
      <c r="J182" s="21"/>
      <c r="K182" s="22">
        <v>167982.99</v>
      </c>
      <c r="L182" s="23"/>
      <c r="M182" s="22">
        <v>0</v>
      </c>
      <c r="N182" s="74">
        <v>0</v>
      </c>
      <c r="O182" s="22">
        <v>0</v>
      </c>
      <c r="P182" s="21">
        <v>1052103.99</v>
      </c>
      <c r="S182" s="108" t="b">
        <f>OR(COUNTIF(Tabla2[[#This Row],[PROVEEDOR]],"*"&amp;'Palabra no opera'!$A$2&amp;"*"))</f>
        <v>0</v>
      </c>
      <c r="T182" s="139">
        <f>+$W$5-Tabla2[[#This Row],[FECHA DE FACTURACIÓN]]</f>
        <v>75</v>
      </c>
      <c r="U182" t="str">
        <f>+IF(Tabla2[[#This Row],[dias de credito]]&gt;=Tabla2[[#This Row],[PLAZO Días]],"venc", "No venc")</f>
        <v>venc</v>
      </c>
      <c r="V182" t="str">
        <f>+IF(Tabla2[[#This Row],[FECHA DE PAGO]]&gt;0,"pagada","por pagar")</f>
        <v>pagada</v>
      </c>
      <c r="W182" s="141" t="str">
        <f>+IF(AND(Tabla2[[#This Row],[venc]]="venc",Tabla2[[#This Row],[Columna1]]="por pagar"),"vencida","no")</f>
        <v>no</v>
      </c>
    </row>
    <row r="183" spans="1:23" ht="15.6" hidden="1" x14ac:dyDescent="0.3">
      <c r="A183" s="20">
        <v>60</v>
      </c>
      <c r="B183" s="25">
        <v>395600</v>
      </c>
      <c r="C183" s="25"/>
      <c r="D183" s="56" t="s">
        <v>1482</v>
      </c>
      <c r="E183" s="426">
        <v>45251</v>
      </c>
      <c r="F183" s="26" t="s">
        <v>287</v>
      </c>
      <c r="G183" s="426">
        <v>45215</v>
      </c>
      <c r="H183" s="35">
        <v>1805</v>
      </c>
      <c r="I183" s="21">
        <v>619200</v>
      </c>
      <c r="J183" s="21"/>
      <c r="K183" s="22">
        <v>0</v>
      </c>
      <c r="L183" s="23"/>
      <c r="M183" s="22">
        <v>0</v>
      </c>
      <c r="N183" s="74">
        <v>0</v>
      </c>
      <c r="O183" s="22">
        <v>0</v>
      </c>
      <c r="P183" s="21">
        <v>619200</v>
      </c>
      <c r="S183" s="108" t="b">
        <f>OR(COUNTIF(Tabla2[[#This Row],[PROVEEDOR]],"*"&amp;'Palabra no opera'!$A$2&amp;"*"))</f>
        <v>0</v>
      </c>
      <c r="T183" s="139">
        <f>+$W$5-Tabla2[[#This Row],[FECHA DE FACTURACIÓN]]</f>
        <v>76</v>
      </c>
      <c r="U183" t="str">
        <f>+IF(Tabla2[[#This Row],[dias de credito]]&gt;=Tabla2[[#This Row],[PLAZO Días]],"venc", "No venc")</f>
        <v>venc</v>
      </c>
      <c r="V183" t="str">
        <f>+IF(Tabla2[[#This Row],[FECHA DE PAGO]]&gt;0,"pagada","por pagar")</f>
        <v>pagada</v>
      </c>
      <c r="W183" s="141" t="str">
        <f>+IF(AND(Tabla2[[#This Row],[venc]]="venc",Tabla2[[#This Row],[Columna1]]="por pagar"),"vencida","no")</f>
        <v>no</v>
      </c>
    </row>
    <row r="184" spans="1:23" ht="15.6" hidden="1" x14ac:dyDescent="0.3">
      <c r="A184" s="20">
        <v>30</v>
      </c>
      <c r="B184" s="25">
        <v>0</v>
      </c>
      <c r="C184" s="25"/>
      <c r="D184" s="56" t="s">
        <v>210</v>
      </c>
      <c r="E184" s="426">
        <v>45251</v>
      </c>
      <c r="F184" s="26" t="s">
        <v>47</v>
      </c>
      <c r="G184" s="426">
        <v>45201</v>
      </c>
      <c r="H184" s="35" t="s">
        <v>1998</v>
      </c>
      <c r="I184" s="21">
        <v>1664650</v>
      </c>
      <c r="J184" s="21"/>
      <c r="K184" s="22">
        <v>316283.5</v>
      </c>
      <c r="L184" s="23"/>
      <c r="M184" s="22">
        <v>0</v>
      </c>
      <c r="N184" s="74">
        <v>2.5000000000000001E-2</v>
      </c>
      <c r="O184" s="22">
        <v>41616.25</v>
      </c>
      <c r="P184" s="21">
        <v>1939317.25</v>
      </c>
      <c r="S184" s="108" t="b">
        <f>OR(COUNTIF(Tabla2[[#This Row],[PROVEEDOR]],"*"&amp;'Palabra no opera'!$A$2&amp;"*"))</f>
        <v>0</v>
      </c>
      <c r="T184" s="139">
        <f>+$W$5-Tabla2[[#This Row],[FECHA DE FACTURACIÓN]]</f>
        <v>90</v>
      </c>
      <c r="U184" t="str">
        <f>+IF(Tabla2[[#This Row],[dias de credito]]&gt;=Tabla2[[#This Row],[PLAZO Días]],"venc", "No venc")</f>
        <v>venc</v>
      </c>
      <c r="V184" t="str">
        <f>+IF(Tabla2[[#This Row],[FECHA DE PAGO]]&gt;0,"pagada","por pagar")</f>
        <v>pagada</v>
      </c>
      <c r="W184" s="141" t="str">
        <f>+IF(AND(Tabla2[[#This Row],[venc]]="venc",Tabla2[[#This Row],[Columna1]]="por pagar"),"vencida","no")</f>
        <v>no</v>
      </c>
    </row>
    <row r="185" spans="1:23" ht="15.6" hidden="1" x14ac:dyDescent="0.3">
      <c r="A185" s="20">
        <v>30</v>
      </c>
      <c r="B185" s="25">
        <v>0</v>
      </c>
      <c r="C185" s="25"/>
      <c r="D185" s="56" t="s">
        <v>659</v>
      </c>
      <c r="E185" s="426">
        <v>45251</v>
      </c>
      <c r="F185" s="26" t="s">
        <v>227</v>
      </c>
      <c r="G185" s="426">
        <v>45198</v>
      </c>
      <c r="H185" s="35" t="s">
        <v>1984</v>
      </c>
      <c r="I185" s="21">
        <v>287350</v>
      </c>
      <c r="J185" s="21"/>
      <c r="K185" s="22">
        <v>0</v>
      </c>
      <c r="L185" s="23"/>
      <c r="M185" s="22">
        <v>0</v>
      </c>
      <c r="N185" s="74">
        <v>0</v>
      </c>
      <c r="O185" s="22">
        <v>0</v>
      </c>
      <c r="P185" s="21">
        <v>287350</v>
      </c>
      <c r="S185" s="108" t="b">
        <f>OR(COUNTIF(Tabla2[[#This Row],[PROVEEDOR]],"*"&amp;'Palabra no opera'!$A$2&amp;"*"))</f>
        <v>0</v>
      </c>
      <c r="T185" s="139">
        <f>+$W$5-Tabla2[[#This Row],[FECHA DE FACTURACIÓN]]</f>
        <v>93</v>
      </c>
      <c r="U185" t="str">
        <f>+IF(Tabla2[[#This Row],[dias de credito]]&gt;=Tabla2[[#This Row],[PLAZO Días]],"venc", "No venc")</f>
        <v>venc</v>
      </c>
      <c r="V185" t="str">
        <f>+IF(Tabla2[[#This Row],[FECHA DE PAGO]]&gt;0,"pagada","por pagar")</f>
        <v>pagada</v>
      </c>
      <c r="W185" s="141" t="str">
        <f>+IF(AND(Tabla2[[#This Row],[venc]]="venc",Tabla2[[#This Row],[Columna1]]="por pagar"),"vencida","no")</f>
        <v>no</v>
      </c>
    </row>
    <row r="186" spans="1:23" ht="15.6" hidden="1" x14ac:dyDescent="0.3">
      <c r="A186" s="20">
        <v>30</v>
      </c>
      <c r="B186" s="25">
        <v>0</v>
      </c>
      <c r="C186" s="25"/>
      <c r="D186" s="56" t="s">
        <v>659</v>
      </c>
      <c r="E186" s="426">
        <v>45251</v>
      </c>
      <c r="F186" s="26" t="s">
        <v>227</v>
      </c>
      <c r="G186" s="426">
        <v>45198</v>
      </c>
      <c r="H186" s="35" t="s">
        <v>1986</v>
      </c>
      <c r="I186" s="21">
        <v>7823</v>
      </c>
      <c r="J186" s="21"/>
      <c r="K186" s="22">
        <v>0</v>
      </c>
      <c r="L186" s="23"/>
      <c r="M186" s="22">
        <v>0</v>
      </c>
      <c r="N186" s="74">
        <v>0</v>
      </c>
      <c r="O186" s="22">
        <v>0</v>
      </c>
      <c r="P186" s="21">
        <v>7823</v>
      </c>
      <c r="S186" s="108" t="b">
        <f>OR(COUNTIF(Tabla2[[#This Row],[PROVEEDOR]],"*"&amp;'Palabra no opera'!$A$2&amp;"*"))</f>
        <v>0</v>
      </c>
      <c r="T186" s="139">
        <f>+$W$5-Tabla2[[#This Row],[FECHA DE FACTURACIÓN]]</f>
        <v>93</v>
      </c>
      <c r="U186" t="str">
        <f>+IF(Tabla2[[#This Row],[dias de credito]]&gt;=Tabla2[[#This Row],[PLAZO Días]],"venc", "No venc")</f>
        <v>venc</v>
      </c>
      <c r="V186" t="str">
        <f>+IF(Tabla2[[#This Row],[FECHA DE PAGO]]&gt;0,"pagada","por pagar")</f>
        <v>pagada</v>
      </c>
      <c r="W186" s="141" t="str">
        <f>+IF(AND(Tabla2[[#This Row],[venc]]="venc",Tabla2[[#This Row],[Columna1]]="por pagar"),"vencida","no")</f>
        <v>no</v>
      </c>
    </row>
    <row r="187" spans="1:23" ht="15.6" hidden="1" x14ac:dyDescent="0.3">
      <c r="A187" s="20">
        <v>45</v>
      </c>
      <c r="B187" s="25">
        <v>15770594</v>
      </c>
      <c r="C187" s="25"/>
      <c r="D187" s="56" t="s">
        <v>594</v>
      </c>
      <c r="E187" s="426">
        <v>45251</v>
      </c>
      <c r="F187" s="26" t="s">
        <v>19</v>
      </c>
      <c r="G187" s="426">
        <v>45198</v>
      </c>
      <c r="H187" s="35" t="s">
        <v>1978</v>
      </c>
      <c r="I187" s="21">
        <v>814720</v>
      </c>
      <c r="J187" s="21"/>
      <c r="K187" s="22">
        <v>154796.79999999999</v>
      </c>
      <c r="L187" s="23"/>
      <c r="M187" s="22">
        <v>0</v>
      </c>
      <c r="N187" s="74">
        <v>0</v>
      </c>
      <c r="O187" s="22">
        <v>0</v>
      </c>
      <c r="P187" s="21">
        <v>969516.8</v>
      </c>
      <c r="S187" s="108" t="b">
        <f>OR(COUNTIF(Tabla2[[#This Row],[PROVEEDOR]],"*"&amp;'Palabra no opera'!$A$2&amp;"*"))</f>
        <v>0</v>
      </c>
      <c r="T187" s="139">
        <f>+$W$5-Tabla2[[#This Row],[FECHA DE FACTURACIÓN]]</f>
        <v>93</v>
      </c>
      <c r="U187" t="str">
        <f>+IF(Tabla2[[#This Row],[dias de credito]]&gt;=Tabla2[[#This Row],[PLAZO Días]],"venc", "No venc")</f>
        <v>venc</v>
      </c>
      <c r="V187" t="str">
        <f>+IF(Tabla2[[#This Row],[FECHA DE PAGO]]&gt;0,"pagada","por pagar")</f>
        <v>pagada</v>
      </c>
      <c r="W187" s="141" t="str">
        <f>+IF(AND(Tabla2[[#This Row],[venc]]="venc",Tabla2[[#This Row],[Columna1]]="por pagar"),"vencida","no")</f>
        <v>no</v>
      </c>
    </row>
    <row r="188" spans="1:23" ht="15.6" hidden="1" x14ac:dyDescent="0.3">
      <c r="A188" s="20">
        <v>30</v>
      </c>
      <c r="B188" s="25">
        <v>0</v>
      </c>
      <c r="C188" s="25"/>
      <c r="D188" s="56" t="s">
        <v>270</v>
      </c>
      <c r="E188" s="426">
        <v>45251</v>
      </c>
      <c r="F188" s="26" t="s">
        <v>247</v>
      </c>
      <c r="G188" s="426">
        <v>45197</v>
      </c>
      <c r="H188" s="35" t="s">
        <v>1996</v>
      </c>
      <c r="I188" s="21">
        <v>2637500</v>
      </c>
      <c r="J188" s="21"/>
      <c r="K188" s="22">
        <v>501125</v>
      </c>
      <c r="L188" s="23"/>
      <c r="M188" s="22">
        <v>0</v>
      </c>
      <c r="N188" s="74">
        <v>2.5000000000000001E-2</v>
      </c>
      <c r="O188" s="22">
        <v>65937.5</v>
      </c>
      <c r="P188" s="21">
        <v>3072687.5</v>
      </c>
      <c r="S188" s="108" t="b">
        <f>OR(COUNTIF(Tabla2[[#This Row],[PROVEEDOR]],"*"&amp;'Palabra no opera'!$A$2&amp;"*"))</f>
        <v>0</v>
      </c>
      <c r="T188" s="139">
        <f>+$W$5-Tabla2[[#This Row],[FECHA DE FACTURACIÓN]]</f>
        <v>94</v>
      </c>
      <c r="U188" t="str">
        <f>+IF(Tabla2[[#This Row],[dias de credito]]&gt;=Tabla2[[#This Row],[PLAZO Días]],"venc", "No venc")</f>
        <v>venc</v>
      </c>
      <c r="V188" t="str">
        <f>+IF(Tabla2[[#This Row],[FECHA DE PAGO]]&gt;0,"pagada","por pagar")</f>
        <v>pagada</v>
      </c>
      <c r="W188" s="141" t="str">
        <f>+IF(AND(Tabla2[[#This Row],[venc]]="venc",Tabla2[[#This Row],[Columna1]]="por pagar"),"vencida","no")</f>
        <v>no</v>
      </c>
    </row>
    <row r="189" spans="1:23" ht="15.6" hidden="1" x14ac:dyDescent="0.3">
      <c r="A189" s="20">
        <v>45</v>
      </c>
      <c r="B189" s="25">
        <v>15770594</v>
      </c>
      <c r="C189" s="25"/>
      <c r="D189" s="56" t="s">
        <v>594</v>
      </c>
      <c r="E189" s="426">
        <v>45251</v>
      </c>
      <c r="F189" s="26" t="s">
        <v>19</v>
      </c>
      <c r="G189" s="426">
        <v>45197</v>
      </c>
      <c r="H189" s="35" t="s">
        <v>1980</v>
      </c>
      <c r="I189" s="21">
        <v>12678160</v>
      </c>
      <c r="J189" s="21"/>
      <c r="K189" s="22">
        <v>2408850.4</v>
      </c>
      <c r="L189" s="23"/>
      <c r="M189" s="22">
        <v>0</v>
      </c>
      <c r="N189" s="74">
        <v>0</v>
      </c>
      <c r="O189" s="22">
        <v>0</v>
      </c>
      <c r="P189" s="21">
        <v>15087010.4</v>
      </c>
      <c r="S189" s="108" t="b">
        <f>OR(COUNTIF(Tabla2[[#This Row],[PROVEEDOR]],"*"&amp;'Palabra no opera'!$A$2&amp;"*"))</f>
        <v>0</v>
      </c>
      <c r="T189" s="139">
        <f>+$W$5-Tabla2[[#This Row],[FECHA DE FACTURACIÓN]]</f>
        <v>94</v>
      </c>
      <c r="U189" t="str">
        <f>+IF(Tabla2[[#This Row],[dias de credito]]&gt;=Tabla2[[#This Row],[PLAZO Días]],"venc", "No venc")</f>
        <v>venc</v>
      </c>
      <c r="V189" t="str">
        <f>+IF(Tabla2[[#This Row],[FECHA DE PAGO]]&gt;0,"pagada","por pagar")</f>
        <v>pagada</v>
      </c>
      <c r="W189" s="141" t="str">
        <f>+IF(AND(Tabla2[[#This Row],[venc]]="venc",Tabla2[[#This Row],[Columna1]]="por pagar"),"vencida","no")</f>
        <v>no</v>
      </c>
    </row>
    <row r="190" spans="1:23" ht="15.6" hidden="1" x14ac:dyDescent="0.3">
      <c r="A190" s="20">
        <v>30</v>
      </c>
      <c r="B190" s="25">
        <v>0</v>
      </c>
      <c r="C190" s="25"/>
      <c r="D190" s="56" t="s">
        <v>210</v>
      </c>
      <c r="E190" s="426">
        <v>45251</v>
      </c>
      <c r="F190" s="26" t="s">
        <v>47</v>
      </c>
      <c r="G190" s="426">
        <v>45196</v>
      </c>
      <c r="H190" s="35" t="s">
        <v>1997</v>
      </c>
      <c r="I190" s="21">
        <v>3669700</v>
      </c>
      <c r="J190" s="21"/>
      <c r="K190" s="22">
        <v>697243</v>
      </c>
      <c r="L190" s="23"/>
      <c r="M190" s="22">
        <v>0</v>
      </c>
      <c r="N190" s="74">
        <v>2.5000000000000001E-2</v>
      </c>
      <c r="O190" s="22">
        <v>91742.5</v>
      </c>
      <c r="P190" s="21">
        <v>4275200.5</v>
      </c>
      <c r="S190" s="108" t="b">
        <f>OR(COUNTIF(Tabla2[[#This Row],[PROVEEDOR]],"*"&amp;'Palabra no opera'!$A$2&amp;"*"))</f>
        <v>0</v>
      </c>
      <c r="T190" s="139">
        <f>+$W$5-Tabla2[[#This Row],[FECHA DE FACTURACIÓN]]</f>
        <v>95</v>
      </c>
      <c r="U190" t="str">
        <f>+IF(Tabla2[[#This Row],[dias de credito]]&gt;=Tabla2[[#This Row],[PLAZO Días]],"venc", "No venc")</f>
        <v>venc</v>
      </c>
      <c r="V190" t="str">
        <f>+IF(Tabla2[[#This Row],[FECHA DE PAGO]]&gt;0,"pagada","por pagar")</f>
        <v>pagada</v>
      </c>
      <c r="W190" s="141" t="str">
        <f>+IF(AND(Tabla2[[#This Row],[venc]]="venc",Tabla2[[#This Row],[Columna1]]="por pagar"),"vencida","no")</f>
        <v>no</v>
      </c>
    </row>
    <row r="191" spans="1:23" ht="15.6" hidden="1" x14ac:dyDescent="0.3">
      <c r="A191" s="20">
        <v>30</v>
      </c>
      <c r="B191" s="25">
        <v>0</v>
      </c>
      <c r="C191" s="25"/>
      <c r="D191" s="56" t="s">
        <v>270</v>
      </c>
      <c r="E191" s="426">
        <v>45251</v>
      </c>
      <c r="F191" s="26" t="s">
        <v>387</v>
      </c>
      <c r="G191" s="426">
        <v>45195</v>
      </c>
      <c r="H191" s="35" t="s">
        <v>2012</v>
      </c>
      <c r="I191" s="21">
        <v>4316750</v>
      </c>
      <c r="J191" s="21">
        <v>319000</v>
      </c>
      <c r="K191" s="22">
        <v>0</v>
      </c>
      <c r="L191" s="23"/>
      <c r="M191" s="22">
        <v>0</v>
      </c>
      <c r="N191" s="74">
        <v>0</v>
      </c>
      <c r="O191" s="22">
        <v>0</v>
      </c>
      <c r="P191" s="21">
        <v>3997750</v>
      </c>
      <c r="S191" s="108" t="b">
        <f>OR(COUNTIF(Tabla2[[#This Row],[PROVEEDOR]],"*"&amp;'Palabra no opera'!$A$2&amp;"*"))</f>
        <v>0</v>
      </c>
      <c r="T191" s="139">
        <f>+$W$5-Tabla2[[#This Row],[FECHA DE FACTURACIÓN]]</f>
        <v>96</v>
      </c>
      <c r="U191" t="str">
        <f>+IF(Tabla2[[#This Row],[dias de credito]]&gt;=Tabla2[[#This Row],[PLAZO Días]],"venc", "No venc")</f>
        <v>venc</v>
      </c>
      <c r="V191" t="str">
        <f>+IF(Tabla2[[#This Row],[FECHA DE PAGO]]&gt;0,"pagada","por pagar")</f>
        <v>pagada</v>
      </c>
      <c r="W191" s="141" t="str">
        <f>+IF(AND(Tabla2[[#This Row],[venc]]="venc",Tabla2[[#This Row],[Columna1]]="por pagar"),"vencida","no")</f>
        <v>no</v>
      </c>
    </row>
    <row r="192" spans="1:23" ht="15.6" hidden="1" x14ac:dyDescent="0.3">
      <c r="A192" s="20">
        <v>30</v>
      </c>
      <c r="B192" s="25">
        <v>0</v>
      </c>
      <c r="C192" s="25"/>
      <c r="D192" s="56" t="s">
        <v>659</v>
      </c>
      <c r="E192" s="426">
        <v>45251</v>
      </c>
      <c r="F192" s="26" t="s">
        <v>227</v>
      </c>
      <c r="G192" s="426">
        <v>45190</v>
      </c>
      <c r="H192" s="35">
        <v>677</v>
      </c>
      <c r="I192" s="21">
        <v>329080</v>
      </c>
      <c r="J192" s="21"/>
      <c r="K192" s="22">
        <v>0</v>
      </c>
      <c r="L192" s="23"/>
      <c r="M192" s="22">
        <v>0</v>
      </c>
      <c r="N192" s="74">
        <v>0</v>
      </c>
      <c r="O192" s="22">
        <v>0</v>
      </c>
      <c r="P192" s="21">
        <v>329080</v>
      </c>
      <c r="S192" s="108" t="b">
        <f>OR(COUNTIF(Tabla2[[#This Row],[PROVEEDOR]],"*"&amp;'Palabra no opera'!$A$2&amp;"*"))</f>
        <v>0</v>
      </c>
      <c r="T192" s="139">
        <f>+$W$5-Tabla2[[#This Row],[FECHA DE FACTURACIÓN]]</f>
        <v>101</v>
      </c>
      <c r="U192" t="str">
        <f>+IF(Tabla2[[#This Row],[dias de credito]]&gt;=Tabla2[[#This Row],[PLAZO Días]],"venc", "No venc")</f>
        <v>venc</v>
      </c>
      <c r="V192" t="str">
        <f>+IF(Tabla2[[#This Row],[FECHA DE PAGO]]&gt;0,"pagada","por pagar")</f>
        <v>pagada</v>
      </c>
      <c r="W192" s="141" t="str">
        <f>+IF(AND(Tabla2[[#This Row],[venc]]="venc",Tabla2[[#This Row],[Columna1]]="por pagar"),"vencida","no")</f>
        <v>no</v>
      </c>
    </row>
    <row r="193" spans="1:23" ht="15.6" hidden="1" x14ac:dyDescent="0.3">
      <c r="A193" s="20">
        <v>30</v>
      </c>
      <c r="B193" s="25">
        <v>0</v>
      </c>
      <c r="C193" s="25"/>
      <c r="D193" s="56" t="s">
        <v>659</v>
      </c>
      <c r="E193" s="426">
        <v>45251</v>
      </c>
      <c r="F193" s="26" t="s">
        <v>227</v>
      </c>
      <c r="G193" s="426">
        <v>45190</v>
      </c>
      <c r="H193" s="35">
        <v>673</v>
      </c>
      <c r="I193" s="21">
        <v>64581</v>
      </c>
      <c r="J193" s="21"/>
      <c r="K193" s="22">
        <v>0</v>
      </c>
      <c r="L193" s="23"/>
      <c r="M193" s="22">
        <v>0</v>
      </c>
      <c r="N193" s="74">
        <v>0</v>
      </c>
      <c r="O193" s="22">
        <v>0</v>
      </c>
      <c r="P193" s="21">
        <v>64581</v>
      </c>
      <c r="S193" s="108" t="b">
        <f>OR(COUNTIF(Tabla2[[#This Row],[PROVEEDOR]],"*"&amp;'Palabra no opera'!$A$2&amp;"*"))</f>
        <v>0</v>
      </c>
      <c r="T193" s="139">
        <f>+$W$5-Tabla2[[#This Row],[FECHA DE FACTURACIÓN]]</f>
        <v>101</v>
      </c>
      <c r="U193" t="str">
        <f>+IF(Tabla2[[#This Row],[dias de credito]]&gt;=Tabla2[[#This Row],[PLAZO Días]],"venc", "No venc")</f>
        <v>venc</v>
      </c>
      <c r="V193" t="str">
        <f>+IF(Tabla2[[#This Row],[FECHA DE PAGO]]&gt;0,"pagada","por pagar")</f>
        <v>pagada</v>
      </c>
      <c r="W193" s="141" t="str">
        <f>+IF(AND(Tabla2[[#This Row],[venc]]="venc",Tabla2[[#This Row],[Columna1]]="por pagar"),"vencida","no")</f>
        <v>no</v>
      </c>
    </row>
    <row r="194" spans="1:23" ht="15.6" hidden="1" x14ac:dyDescent="0.3">
      <c r="A194" s="20">
        <v>30</v>
      </c>
      <c r="B194" s="25">
        <v>0</v>
      </c>
      <c r="C194" s="25"/>
      <c r="D194" s="56" t="s">
        <v>659</v>
      </c>
      <c r="E194" s="426">
        <v>45251</v>
      </c>
      <c r="F194" s="26" t="s">
        <v>227</v>
      </c>
      <c r="G194" s="426">
        <v>45190</v>
      </c>
      <c r="H194" s="35">
        <v>674</v>
      </c>
      <c r="I194" s="21">
        <v>169907</v>
      </c>
      <c r="J194" s="21"/>
      <c r="K194" s="22">
        <v>0</v>
      </c>
      <c r="L194" s="23"/>
      <c r="M194" s="22">
        <v>0</v>
      </c>
      <c r="N194" s="74">
        <v>0</v>
      </c>
      <c r="O194" s="22">
        <v>0</v>
      </c>
      <c r="P194" s="21">
        <v>169907</v>
      </c>
      <c r="S194" s="108" t="b">
        <f>OR(COUNTIF(Tabla2[[#This Row],[PROVEEDOR]],"*"&amp;'Palabra no opera'!$A$2&amp;"*"))</f>
        <v>0</v>
      </c>
      <c r="T194" s="139">
        <f>+$W$5-Tabla2[[#This Row],[FECHA DE FACTURACIÓN]]</f>
        <v>101</v>
      </c>
      <c r="U194" t="str">
        <f>+IF(Tabla2[[#This Row],[dias de credito]]&gt;=Tabla2[[#This Row],[PLAZO Días]],"venc", "No venc")</f>
        <v>venc</v>
      </c>
      <c r="V194" t="str">
        <f>+IF(Tabla2[[#This Row],[FECHA DE PAGO]]&gt;0,"pagada","por pagar")</f>
        <v>pagada</v>
      </c>
      <c r="W194" s="141" t="str">
        <f>+IF(AND(Tabla2[[#This Row],[venc]]="venc",Tabla2[[#This Row],[Columna1]]="por pagar"),"vencida","no")</f>
        <v>no</v>
      </c>
    </row>
    <row r="195" spans="1:23" ht="15.6" hidden="1" x14ac:dyDescent="0.3">
      <c r="A195" s="20">
        <v>60</v>
      </c>
      <c r="B195" s="25">
        <v>0</v>
      </c>
      <c r="C195" s="25"/>
      <c r="D195" s="56">
        <v>0</v>
      </c>
      <c r="E195" s="426">
        <v>45251</v>
      </c>
      <c r="F195" s="26" t="s">
        <v>951</v>
      </c>
      <c r="G195" s="426">
        <v>45169</v>
      </c>
      <c r="H195" s="35" t="s">
        <v>1925</v>
      </c>
      <c r="I195" s="21">
        <v>2318282</v>
      </c>
      <c r="J195" s="21"/>
      <c r="K195" s="22">
        <v>440473.58</v>
      </c>
      <c r="L195" s="23"/>
      <c r="M195" s="22">
        <v>0</v>
      </c>
      <c r="N195" s="74">
        <v>0</v>
      </c>
      <c r="O195" s="22">
        <v>0</v>
      </c>
      <c r="P195" s="21">
        <v>2758755.58</v>
      </c>
      <c r="S195" s="108" t="b">
        <f>OR(COUNTIF(Tabla2[[#This Row],[PROVEEDOR]],"*"&amp;'Palabra no opera'!$A$2&amp;"*"))</f>
        <v>1</v>
      </c>
      <c r="T195" s="139">
        <f>+$W$5-Tabla2[[#This Row],[FECHA DE FACTURACIÓN]]</f>
        <v>122</v>
      </c>
      <c r="U195" t="str">
        <f>+IF(Tabla2[[#This Row],[dias de credito]]&gt;=Tabla2[[#This Row],[PLAZO Días]],"venc", "No venc")</f>
        <v>venc</v>
      </c>
      <c r="V195" t="str">
        <f>+IF(Tabla2[[#This Row],[FECHA DE PAGO]]&gt;0,"pagada","por pagar")</f>
        <v>pagada</v>
      </c>
      <c r="W195" s="141" t="str">
        <f>+IF(AND(Tabla2[[#This Row],[venc]]="venc",Tabla2[[#This Row],[Columna1]]="por pagar"),"vencida","no")</f>
        <v>no</v>
      </c>
    </row>
    <row r="196" spans="1:23" ht="15.6" hidden="1" x14ac:dyDescent="0.3">
      <c r="A196" s="20">
        <v>30</v>
      </c>
      <c r="B196" s="25">
        <v>0</v>
      </c>
      <c r="C196" s="25"/>
      <c r="D196" s="56" t="s">
        <v>107</v>
      </c>
      <c r="E196" s="426">
        <v>45250</v>
      </c>
      <c r="F196" s="26" t="s">
        <v>362</v>
      </c>
      <c r="G196" s="426">
        <v>45250</v>
      </c>
      <c r="H196" s="35" t="s">
        <v>2196</v>
      </c>
      <c r="I196" s="21">
        <v>190000</v>
      </c>
      <c r="J196" s="21"/>
      <c r="K196" s="22">
        <v>0</v>
      </c>
      <c r="L196" s="23"/>
      <c r="M196" s="22">
        <v>0</v>
      </c>
      <c r="N196" s="74">
        <v>0</v>
      </c>
      <c r="O196" s="22">
        <v>0</v>
      </c>
      <c r="P196" s="21">
        <v>190000</v>
      </c>
      <c r="S196" s="108" t="b">
        <f>OR(COUNTIF(Tabla2[[#This Row],[PROVEEDOR]],"*"&amp;'Palabra no opera'!$A$2&amp;"*"))</f>
        <v>0</v>
      </c>
      <c r="T196" s="139">
        <f>+$W$5-Tabla2[[#This Row],[FECHA DE FACTURACIÓN]]</f>
        <v>41</v>
      </c>
      <c r="U196" t="str">
        <f>+IF(Tabla2[[#This Row],[dias de credito]]&gt;=Tabla2[[#This Row],[PLAZO Días]],"venc", "No venc")</f>
        <v>venc</v>
      </c>
      <c r="V196" t="str">
        <f>+IF(Tabla2[[#This Row],[FECHA DE PAGO]]&gt;0,"pagada","por pagar")</f>
        <v>pagada</v>
      </c>
      <c r="W196" s="141" t="str">
        <f>+IF(AND(Tabla2[[#This Row],[venc]]="venc",Tabla2[[#This Row],[Columna1]]="por pagar"),"vencida","no")</f>
        <v>no</v>
      </c>
    </row>
    <row r="197" spans="1:23" ht="15.6" hidden="1" x14ac:dyDescent="0.3">
      <c r="A197" s="20">
        <v>0</v>
      </c>
      <c r="B197" s="25">
        <v>0</v>
      </c>
      <c r="C197" s="25"/>
      <c r="D197" s="56" t="s">
        <v>2033</v>
      </c>
      <c r="E197" s="426">
        <v>45250</v>
      </c>
      <c r="F197" s="26" t="s">
        <v>2032</v>
      </c>
      <c r="G197" s="426">
        <v>45250</v>
      </c>
      <c r="H197" s="35" t="s">
        <v>2114</v>
      </c>
      <c r="I197" s="21">
        <v>1964150</v>
      </c>
      <c r="J197" s="21"/>
      <c r="K197" s="22">
        <v>373188.5</v>
      </c>
      <c r="L197" s="23"/>
      <c r="M197" s="22">
        <v>0</v>
      </c>
      <c r="N197" s="74">
        <v>0.04</v>
      </c>
      <c r="O197" s="22">
        <v>78566</v>
      </c>
      <c r="P197" s="21">
        <v>2258772.5</v>
      </c>
      <c r="S197" s="108" t="b">
        <f>OR(COUNTIF(Tabla2[[#This Row],[PROVEEDOR]],"*"&amp;'Palabra no opera'!$A$2&amp;"*"))</f>
        <v>0</v>
      </c>
      <c r="T197" s="139">
        <f>+$W$5-Tabla2[[#This Row],[FECHA DE FACTURACIÓN]]</f>
        <v>41</v>
      </c>
      <c r="U197" t="str">
        <f>+IF(Tabla2[[#This Row],[dias de credito]]&gt;=Tabla2[[#This Row],[PLAZO Días]],"venc", "No venc")</f>
        <v>venc</v>
      </c>
      <c r="V197" t="str">
        <f>+IF(Tabla2[[#This Row],[FECHA DE PAGO]]&gt;0,"pagada","por pagar")</f>
        <v>pagada</v>
      </c>
      <c r="W197" s="141" t="str">
        <f>+IF(AND(Tabla2[[#This Row],[venc]]="venc",Tabla2[[#This Row],[Columna1]]="por pagar"),"vencida","no")</f>
        <v>no</v>
      </c>
    </row>
    <row r="198" spans="1:23" ht="15.6" hidden="1" x14ac:dyDescent="0.3">
      <c r="A198" s="20">
        <v>0</v>
      </c>
      <c r="B198" s="25">
        <v>0</v>
      </c>
      <c r="C198" s="25"/>
      <c r="D198" s="56" t="s">
        <v>2033</v>
      </c>
      <c r="E198" s="426">
        <v>45250</v>
      </c>
      <c r="F198" s="26" t="s">
        <v>2032</v>
      </c>
      <c r="G198" s="426">
        <v>45250</v>
      </c>
      <c r="H198" s="35" t="s">
        <v>2115</v>
      </c>
      <c r="I198" s="21">
        <v>1276200</v>
      </c>
      <c r="J198" s="21"/>
      <c r="K198" s="22">
        <v>242478</v>
      </c>
      <c r="L198" s="23"/>
      <c r="M198" s="22">
        <v>0</v>
      </c>
      <c r="N198" s="74">
        <v>0.04</v>
      </c>
      <c r="O198" s="22">
        <v>51048</v>
      </c>
      <c r="P198" s="21">
        <v>1467630</v>
      </c>
      <c r="S198" s="108" t="b">
        <f>OR(COUNTIF(Tabla2[[#This Row],[PROVEEDOR]],"*"&amp;'Palabra no opera'!$A$2&amp;"*"))</f>
        <v>0</v>
      </c>
      <c r="T198" s="139">
        <f>+$W$5-Tabla2[[#This Row],[FECHA DE FACTURACIÓN]]</f>
        <v>41</v>
      </c>
      <c r="U198" t="str">
        <f>+IF(Tabla2[[#This Row],[dias de credito]]&gt;=Tabla2[[#This Row],[PLAZO Días]],"venc", "No venc")</f>
        <v>venc</v>
      </c>
      <c r="V198" t="str">
        <f>+IF(Tabla2[[#This Row],[FECHA DE PAGO]]&gt;0,"pagada","por pagar")</f>
        <v>pagada</v>
      </c>
      <c r="W198" s="141" t="str">
        <f>+IF(AND(Tabla2[[#This Row],[venc]]="venc",Tabla2[[#This Row],[Columna1]]="por pagar"),"vencida","no")</f>
        <v>no</v>
      </c>
    </row>
    <row r="199" spans="1:23" ht="15.6" hidden="1" x14ac:dyDescent="0.3">
      <c r="A199" s="20">
        <v>30</v>
      </c>
      <c r="B199" s="25">
        <v>0</v>
      </c>
      <c r="C199" s="25"/>
      <c r="D199" s="56" t="s">
        <v>260</v>
      </c>
      <c r="E199" s="426">
        <v>45250</v>
      </c>
      <c r="F199" s="26" t="s">
        <v>635</v>
      </c>
      <c r="G199" s="426">
        <v>45250</v>
      </c>
      <c r="H199" s="35" t="s">
        <v>2142</v>
      </c>
      <c r="I199" s="21">
        <v>3456200</v>
      </c>
      <c r="J199" s="21"/>
      <c r="K199" s="22">
        <v>0</v>
      </c>
      <c r="L199" s="23"/>
      <c r="M199" s="22">
        <v>0</v>
      </c>
      <c r="N199" s="74">
        <v>3.5000000000000003E-2</v>
      </c>
      <c r="O199" s="22">
        <v>120967.00000000001</v>
      </c>
      <c r="P199" s="21">
        <v>3335233</v>
      </c>
      <c r="S199" s="108" t="b">
        <f>OR(COUNTIF(Tabla2[[#This Row],[PROVEEDOR]],"*"&amp;'Palabra no opera'!$A$2&amp;"*"))</f>
        <v>1</v>
      </c>
      <c r="T199" s="139">
        <f>+$W$5-Tabla2[[#This Row],[FECHA DE FACTURACIÓN]]</f>
        <v>41</v>
      </c>
      <c r="U199" t="str">
        <f>+IF(Tabla2[[#This Row],[dias de credito]]&gt;=Tabla2[[#This Row],[PLAZO Días]],"venc", "No venc")</f>
        <v>venc</v>
      </c>
      <c r="V199" t="str">
        <f>+IF(Tabla2[[#This Row],[FECHA DE PAGO]]&gt;0,"pagada","por pagar")</f>
        <v>pagada</v>
      </c>
      <c r="W199" s="141" t="str">
        <f>+IF(AND(Tabla2[[#This Row],[venc]]="venc",Tabla2[[#This Row],[Columna1]]="por pagar"),"vencida","no")</f>
        <v>no</v>
      </c>
    </row>
    <row r="200" spans="1:23" ht="15.6" hidden="1" x14ac:dyDescent="0.3">
      <c r="A200" s="20">
        <v>180</v>
      </c>
      <c r="B200" s="25">
        <v>0</v>
      </c>
      <c r="C200" s="25"/>
      <c r="D200" s="56" t="s">
        <v>280</v>
      </c>
      <c r="E200" s="426">
        <v>45250</v>
      </c>
      <c r="F200" s="26" t="s">
        <v>625</v>
      </c>
      <c r="G200" s="426">
        <v>45231</v>
      </c>
      <c r="H200" s="35" t="s">
        <v>2148</v>
      </c>
      <c r="I200" s="21">
        <v>442906</v>
      </c>
      <c r="J200" s="21"/>
      <c r="K200" s="22">
        <v>84152.14</v>
      </c>
      <c r="L200" s="23"/>
      <c r="M200" s="22">
        <v>0</v>
      </c>
      <c r="N200" s="74">
        <v>0</v>
      </c>
      <c r="O200" s="22">
        <v>0</v>
      </c>
      <c r="P200" s="21">
        <v>527058.14</v>
      </c>
      <c r="S200" s="108" t="b">
        <f>OR(COUNTIF(Tabla2[[#This Row],[PROVEEDOR]],"*"&amp;'Palabra no opera'!$A$2&amp;"*"))</f>
        <v>1</v>
      </c>
      <c r="T200" s="139">
        <f>+$W$5-Tabla2[[#This Row],[FECHA DE FACTURACIÓN]]</f>
        <v>60</v>
      </c>
      <c r="U200" t="str">
        <f>+IF(Tabla2[[#This Row],[dias de credito]]&gt;=Tabla2[[#This Row],[PLAZO Días]],"venc", "No venc")</f>
        <v>No venc</v>
      </c>
      <c r="V200" t="str">
        <f>+IF(Tabla2[[#This Row],[FECHA DE PAGO]]&gt;0,"pagada","por pagar")</f>
        <v>pagada</v>
      </c>
      <c r="W200" s="141" t="str">
        <f>+IF(AND(Tabla2[[#This Row],[venc]]="venc",Tabla2[[#This Row],[Columna1]]="por pagar"),"vencida","no")</f>
        <v>no</v>
      </c>
    </row>
    <row r="201" spans="1:23" ht="15.6" hidden="1" x14ac:dyDescent="0.3">
      <c r="A201" s="20">
        <v>30</v>
      </c>
      <c r="B201" s="25">
        <v>0</v>
      </c>
      <c r="C201" s="25"/>
      <c r="D201" s="56" t="s">
        <v>740</v>
      </c>
      <c r="E201" s="426">
        <v>45250</v>
      </c>
      <c r="F201" s="26" t="s">
        <v>637</v>
      </c>
      <c r="G201" s="426">
        <v>45231</v>
      </c>
      <c r="H201" s="35" t="s">
        <v>2116</v>
      </c>
      <c r="I201" s="21">
        <v>934363</v>
      </c>
      <c r="J201" s="21"/>
      <c r="K201" s="22">
        <v>0</v>
      </c>
      <c r="L201" s="23"/>
      <c r="M201" s="22">
        <v>0</v>
      </c>
      <c r="N201" s="74">
        <v>0</v>
      </c>
      <c r="O201" s="22">
        <v>0</v>
      </c>
      <c r="P201" s="21">
        <v>934363</v>
      </c>
      <c r="S201" s="108" t="b">
        <f>OR(COUNTIF(Tabla2[[#This Row],[PROVEEDOR]],"*"&amp;'Palabra no opera'!$A$2&amp;"*"))</f>
        <v>1</v>
      </c>
      <c r="T201" s="139">
        <f>+$W$5-Tabla2[[#This Row],[FECHA DE FACTURACIÓN]]</f>
        <v>60</v>
      </c>
      <c r="U201" t="str">
        <f>+IF(Tabla2[[#This Row],[dias de credito]]&gt;=Tabla2[[#This Row],[PLAZO Días]],"venc", "No venc")</f>
        <v>venc</v>
      </c>
      <c r="V201" t="str">
        <f>+IF(Tabla2[[#This Row],[FECHA DE PAGO]]&gt;0,"pagada","por pagar")</f>
        <v>pagada</v>
      </c>
      <c r="W201" s="141" t="str">
        <f>+IF(AND(Tabla2[[#This Row],[venc]]="venc",Tabla2[[#This Row],[Columna1]]="por pagar"),"vencida","no")</f>
        <v>no</v>
      </c>
    </row>
    <row r="202" spans="1:23" ht="15.6" hidden="1" x14ac:dyDescent="0.3">
      <c r="A202" s="20">
        <v>30</v>
      </c>
      <c r="B202" s="25">
        <v>0</v>
      </c>
      <c r="C202" s="25"/>
      <c r="D202" s="56" t="s">
        <v>740</v>
      </c>
      <c r="E202" s="426">
        <v>45250</v>
      </c>
      <c r="F202" s="26" t="s">
        <v>637</v>
      </c>
      <c r="G202" s="426">
        <v>45231</v>
      </c>
      <c r="H202" s="35" t="s">
        <v>2117</v>
      </c>
      <c r="I202" s="21">
        <v>914023</v>
      </c>
      <c r="J202" s="21"/>
      <c r="K202" s="22">
        <v>0</v>
      </c>
      <c r="L202" s="23"/>
      <c r="M202" s="22">
        <v>0</v>
      </c>
      <c r="N202" s="74">
        <v>0</v>
      </c>
      <c r="O202" s="22">
        <v>0</v>
      </c>
      <c r="P202" s="21">
        <v>914023</v>
      </c>
      <c r="S202" s="108" t="b">
        <f>OR(COUNTIF(Tabla2[[#This Row],[PROVEEDOR]],"*"&amp;'Palabra no opera'!$A$2&amp;"*"))</f>
        <v>1</v>
      </c>
      <c r="T202" s="139">
        <f>+$W$5-Tabla2[[#This Row],[FECHA DE FACTURACIÓN]]</f>
        <v>60</v>
      </c>
      <c r="U202" t="str">
        <f>+IF(Tabla2[[#This Row],[dias de credito]]&gt;=Tabla2[[#This Row],[PLAZO Días]],"venc", "No venc")</f>
        <v>venc</v>
      </c>
      <c r="V202" t="str">
        <f>+IF(Tabla2[[#This Row],[FECHA DE PAGO]]&gt;0,"pagada","por pagar")</f>
        <v>pagada</v>
      </c>
      <c r="W202" s="141" t="str">
        <f>+IF(AND(Tabla2[[#This Row],[venc]]="venc",Tabla2[[#This Row],[Columna1]]="por pagar"),"vencida","no")</f>
        <v>no</v>
      </c>
    </row>
    <row r="203" spans="1:23" ht="15.6" hidden="1" x14ac:dyDescent="0.3">
      <c r="A203" s="20">
        <v>30</v>
      </c>
      <c r="B203" s="25">
        <v>0</v>
      </c>
      <c r="C203" s="25"/>
      <c r="D203" s="56" t="s">
        <v>1116</v>
      </c>
      <c r="E203" s="426">
        <v>45250</v>
      </c>
      <c r="F203" s="26" t="s">
        <v>638</v>
      </c>
      <c r="G203" s="426">
        <v>45231</v>
      </c>
      <c r="H203" s="35" t="s">
        <v>2145</v>
      </c>
      <c r="I203" s="21">
        <v>3935776</v>
      </c>
      <c r="J203" s="21"/>
      <c r="K203" s="22">
        <v>665000</v>
      </c>
      <c r="L203" s="23"/>
      <c r="M203" s="22">
        <v>0</v>
      </c>
      <c r="N203" s="74">
        <v>3.5000000000000003E-2</v>
      </c>
      <c r="O203" s="22"/>
      <c r="P203" s="21">
        <v>4600776</v>
      </c>
      <c r="S203" s="108" t="b">
        <f>OR(COUNTIF(Tabla2[[#This Row],[PROVEEDOR]],"*"&amp;'Palabra no opera'!$A$2&amp;"*"))</f>
        <v>1</v>
      </c>
      <c r="T203" s="139">
        <f>+$W$5-Tabla2[[#This Row],[FECHA DE FACTURACIÓN]]</f>
        <v>60</v>
      </c>
      <c r="U203" t="str">
        <f>+IF(Tabla2[[#This Row],[dias de credito]]&gt;=Tabla2[[#This Row],[PLAZO Días]],"venc", "No venc")</f>
        <v>venc</v>
      </c>
      <c r="V203" t="str">
        <f>+IF(Tabla2[[#This Row],[FECHA DE PAGO]]&gt;0,"pagada","por pagar")</f>
        <v>pagada</v>
      </c>
      <c r="W203" s="141" t="str">
        <f>+IF(AND(Tabla2[[#This Row],[venc]]="venc",Tabla2[[#This Row],[Columna1]]="por pagar"),"vencida","no")</f>
        <v>no</v>
      </c>
    </row>
    <row r="204" spans="1:23" ht="15.6" hidden="1" x14ac:dyDescent="0.3">
      <c r="A204" s="20">
        <v>0</v>
      </c>
      <c r="B204" s="25">
        <v>0</v>
      </c>
      <c r="C204" s="25"/>
      <c r="D204" s="56">
        <v>0</v>
      </c>
      <c r="E204" s="426">
        <v>45250</v>
      </c>
      <c r="F204" s="26" t="s">
        <v>346</v>
      </c>
      <c r="G204" s="426">
        <v>45218</v>
      </c>
      <c r="H204" s="35" t="s">
        <v>1791</v>
      </c>
      <c r="I204" s="21">
        <v>445473</v>
      </c>
      <c r="J204" s="21"/>
      <c r="K204" s="22">
        <v>0</v>
      </c>
      <c r="L204" s="23"/>
      <c r="M204" s="22">
        <v>0</v>
      </c>
      <c r="N204" s="74">
        <v>0</v>
      </c>
      <c r="O204" s="22">
        <v>0</v>
      </c>
      <c r="P204" s="21">
        <v>445473</v>
      </c>
      <c r="S204" s="108" t="b">
        <f>OR(COUNTIF(Tabla2[[#This Row],[PROVEEDOR]],"*"&amp;'Palabra no opera'!$A$2&amp;"*"))</f>
        <v>0</v>
      </c>
      <c r="T204" s="139">
        <f>+$W$5-Tabla2[[#This Row],[FECHA DE FACTURACIÓN]]</f>
        <v>73</v>
      </c>
      <c r="U204" t="str">
        <f>+IF(Tabla2[[#This Row],[dias de credito]]&gt;=Tabla2[[#This Row],[PLAZO Días]],"venc", "No venc")</f>
        <v>venc</v>
      </c>
      <c r="V204" t="str">
        <f>+IF(Tabla2[[#This Row],[FECHA DE PAGO]]&gt;0,"pagada","por pagar")</f>
        <v>pagada</v>
      </c>
      <c r="W204" s="141" t="str">
        <f>+IF(AND(Tabla2[[#This Row],[venc]]="venc",Tabla2[[#This Row],[Columna1]]="por pagar"),"vencida","no")</f>
        <v>no</v>
      </c>
    </row>
    <row r="205" spans="1:23" ht="15.6" hidden="1" x14ac:dyDescent="0.3">
      <c r="A205" s="20">
        <v>0</v>
      </c>
      <c r="B205" s="25">
        <v>0</v>
      </c>
      <c r="C205" s="25"/>
      <c r="D205" s="56" t="s">
        <v>2033</v>
      </c>
      <c r="E205" s="426">
        <v>45250</v>
      </c>
      <c r="F205" s="26" t="s">
        <v>2032</v>
      </c>
      <c r="G205" s="426">
        <v>45210</v>
      </c>
      <c r="H205" s="35" t="s">
        <v>2113</v>
      </c>
      <c r="I205" s="21">
        <v>-1168669</v>
      </c>
      <c r="J205" s="21"/>
      <c r="K205" s="22">
        <v>0</v>
      </c>
      <c r="L205" s="23"/>
      <c r="M205" s="22">
        <v>0</v>
      </c>
      <c r="N205" s="74">
        <v>0</v>
      </c>
      <c r="O205" s="22">
        <v>0</v>
      </c>
      <c r="P205" s="21">
        <v>-1168669</v>
      </c>
      <c r="S205" s="108" t="b">
        <f>OR(COUNTIF(Tabla2[[#This Row],[PROVEEDOR]],"*"&amp;'Palabra no opera'!$A$2&amp;"*"))</f>
        <v>0</v>
      </c>
      <c r="T205" s="139">
        <f>+$W$5-Tabla2[[#This Row],[FECHA DE FACTURACIÓN]]</f>
        <v>81</v>
      </c>
      <c r="U205" t="str">
        <f>+IF(Tabla2[[#This Row],[dias de credito]]&gt;=Tabla2[[#This Row],[PLAZO Días]],"venc", "No venc")</f>
        <v>venc</v>
      </c>
      <c r="V205" t="str">
        <f>+IF(Tabla2[[#This Row],[FECHA DE PAGO]]&gt;0,"pagada","por pagar")</f>
        <v>pagada</v>
      </c>
      <c r="W205" s="141" t="str">
        <f>+IF(AND(Tabla2[[#This Row],[venc]]="venc",Tabla2[[#This Row],[Columna1]]="por pagar"),"vencida","no")</f>
        <v>no</v>
      </c>
    </row>
    <row r="206" spans="1:23" ht="15.6" hidden="1" x14ac:dyDescent="0.3">
      <c r="A206" s="20">
        <v>0</v>
      </c>
      <c r="B206" s="25">
        <v>0</v>
      </c>
      <c r="C206" s="25"/>
      <c r="D206" s="56" t="s">
        <v>2033</v>
      </c>
      <c r="E206" s="426">
        <v>45250</v>
      </c>
      <c r="F206" s="26" t="s">
        <v>2032</v>
      </c>
      <c r="G206" s="426">
        <v>45210</v>
      </c>
      <c r="H206" s="35" t="s">
        <v>2112</v>
      </c>
      <c r="I206" s="21">
        <v>-759339</v>
      </c>
      <c r="J206" s="21"/>
      <c r="K206" s="22">
        <v>0</v>
      </c>
      <c r="L206" s="23"/>
      <c r="M206" s="22">
        <v>0</v>
      </c>
      <c r="N206" s="74">
        <v>0</v>
      </c>
      <c r="O206" s="22">
        <v>0</v>
      </c>
      <c r="P206" s="21">
        <v>-759339</v>
      </c>
      <c r="S206" s="108" t="b">
        <f>OR(COUNTIF(Tabla2[[#This Row],[PROVEEDOR]],"*"&amp;'Palabra no opera'!$A$2&amp;"*"))</f>
        <v>0</v>
      </c>
      <c r="T206" s="139">
        <f>+$W$5-Tabla2[[#This Row],[FECHA DE FACTURACIÓN]]</f>
        <v>81</v>
      </c>
      <c r="U206" t="str">
        <f>+IF(Tabla2[[#This Row],[dias de credito]]&gt;=Tabla2[[#This Row],[PLAZO Días]],"venc", "No venc")</f>
        <v>venc</v>
      </c>
      <c r="V206" t="str">
        <f>+IF(Tabla2[[#This Row],[FECHA DE PAGO]]&gt;0,"pagada","por pagar")</f>
        <v>pagada</v>
      </c>
      <c r="W206" s="141" t="str">
        <f>+IF(AND(Tabla2[[#This Row],[venc]]="venc",Tabla2[[#This Row],[Columna1]]="por pagar"),"vencida","no")</f>
        <v>no</v>
      </c>
    </row>
    <row r="207" spans="1:23" ht="15.6" hidden="1" x14ac:dyDescent="0.3">
      <c r="A207" s="20">
        <v>30</v>
      </c>
      <c r="B207" s="25">
        <v>0</v>
      </c>
      <c r="C207" s="25"/>
      <c r="D207" s="56" t="s">
        <v>107</v>
      </c>
      <c r="E207" s="426">
        <v>45247</v>
      </c>
      <c r="F207" s="26" t="s">
        <v>362</v>
      </c>
      <c r="G207" s="426">
        <v>45247</v>
      </c>
      <c r="H207" s="35" t="s">
        <v>2144</v>
      </c>
      <c r="I207" s="21">
        <v>200000</v>
      </c>
      <c r="J207" s="21"/>
      <c r="K207" s="22">
        <v>0</v>
      </c>
      <c r="L207" s="23"/>
      <c r="M207" s="22">
        <v>0</v>
      </c>
      <c r="N207" s="74">
        <v>0</v>
      </c>
      <c r="O207" s="22">
        <v>0</v>
      </c>
      <c r="P207" s="21">
        <v>200000</v>
      </c>
      <c r="S207" s="108" t="b">
        <f>OR(COUNTIF(Tabla2[[#This Row],[PROVEEDOR]],"*"&amp;'Palabra no opera'!$A$2&amp;"*"))</f>
        <v>0</v>
      </c>
      <c r="T207" s="139">
        <f>+$W$5-Tabla2[[#This Row],[FECHA DE FACTURACIÓN]]</f>
        <v>44</v>
      </c>
      <c r="U207" t="str">
        <f>+IF(Tabla2[[#This Row],[dias de credito]]&gt;=Tabla2[[#This Row],[PLAZO Días]],"venc", "No venc")</f>
        <v>venc</v>
      </c>
      <c r="V207" t="str">
        <f>+IF(Tabla2[[#This Row],[FECHA DE PAGO]]&gt;0,"pagada","por pagar")</f>
        <v>pagada</v>
      </c>
      <c r="W207" s="141" t="str">
        <f>+IF(AND(Tabla2[[#This Row],[venc]]="venc",Tabla2[[#This Row],[Columna1]]="por pagar"),"vencida","no")</f>
        <v>no</v>
      </c>
    </row>
    <row r="208" spans="1:23" ht="15.6" hidden="1" x14ac:dyDescent="0.3">
      <c r="A208" s="20">
        <v>30</v>
      </c>
      <c r="B208" s="25">
        <v>0</v>
      </c>
      <c r="C208" s="25"/>
      <c r="D208" s="56">
        <v>0</v>
      </c>
      <c r="E208" s="426">
        <v>45247</v>
      </c>
      <c r="F208" s="26" t="s">
        <v>1762</v>
      </c>
      <c r="G208" s="426">
        <v>45247</v>
      </c>
      <c r="H208" s="35" t="s">
        <v>2195</v>
      </c>
      <c r="I208" s="21">
        <v>438000</v>
      </c>
      <c r="J208" s="21"/>
      <c r="K208" s="22">
        <v>0</v>
      </c>
      <c r="L208" s="23"/>
      <c r="M208" s="22">
        <v>0</v>
      </c>
      <c r="N208" s="74">
        <v>0</v>
      </c>
      <c r="O208" s="22">
        <v>0</v>
      </c>
      <c r="P208" s="21">
        <v>438000</v>
      </c>
      <c r="S208" s="108" t="b">
        <f>OR(COUNTIF(Tabla2[[#This Row],[PROVEEDOR]],"*"&amp;'Palabra no opera'!$A$2&amp;"*"))</f>
        <v>0</v>
      </c>
      <c r="T208" s="139">
        <f>+$W$5-Tabla2[[#This Row],[FECHA DE FACTURACIÓN]]</f>
        <v>44</v>
      </c>
      <c r="U208" t="str">
        <f>+IF(Tabla2[[#This Row],[dias de credito]]&gt;=Tabla2[[#This Row],[PLAZO Días]],"venc", "No venc")</f>
        <v>venc</v>
      </c>
      <c r="V208" t="str">
        <f>+IF(Tabla2[[#This Row],[FECHA DE PAGO]]&gt;0,"pagada","por pagar")</f>
        <v>pagada</v>
      </c>
      <c r="W208" s="141" t="str">
        <f>+IF(AND(Tabla2[[#This Row],[venc]]="venc",Tabla2[[#This Row],[Columna1]]="por pagar"),"vencida","no")</f>
        <v>no</v>
      </c>
    </row>
    <row r="209" spans="1:23" ht="15.6" hidden="1" x14ac:dyDescent="0.3">
      <c r="A209" s="20">
        <v>30</v>
      </c>
      <c r="B209" s="25">
        <v>0</v>
      </c>
      <c r="C209" s="25"/>
      <c r="D209" s="56" t="s">
        <v>107</v>
      </c>
      <c r="E209" s="426">
        <v>45247</v>
      </c>
      <c r="F209" s="26" t="s">
        <v>390</v>
      </c>
      <c r="G209" s="426">
        <v>45247</v>
      </c>
      <c r="H209" s="35"/>
      <c r="I209" s="21">
        <v>1000000</v>
      </c>
      <c r="J209" s="21"/>
      <c r="K209" s="22">
        <v>0</v>
      </c>
      <c r="L209" s="23"/>
      <c r="M209" s="22">
        <v>0</v>
      </c>
      <c r="N209" s="74">
        <v>0</v>
      </c>
      <c r="O209" s="22">
        <v>0</v>
      </c>
      <c r="P209" s="21">
        <v>1000000</v>
      </c>
      <c r="S209" s="108" t="b">
        <f>OR(COUNTIF(Tabla2[[#This Row],[PROVEEDOR]],"*"&amp;'Palabra no opera'!$A$2&amp;"*"))</f>
        <v>0</v>
      </c>
      <c r="T209" s="139">
        <f>+$W$5-Tabla2[[#This Row],[FECHA DE FACTURACIÓN]]</f>
        <v>44</v>
      </c>
      <c r="U209" t="str">
        <f>+IF(Tabla2[[#This Row],[dias de credito]]&gt;=Tabla2[[#This Row],[PLAZO Días]],"venc", "No venc")</f>
        <v>venc</v>
      </c>
      <c r="V209" t="str">
        <f>+IF(Tabla2[[#This Row],[FECHA DE PAGO]]&gt;0,"pagada","por pagar")</f>
        <v>pagada</v>
      </c>
      <c r="W209" s="141" t="str">
        <f>+IF(AND(Tabla2[[#This Row],[venc]]="venc",Tabla2[[#This Row],[Columna1]]="por pagar"),"vencida","no")</f>
        <v>no</v>
      </c>
    </row>
    <row r="210" spans="1:23" ht="15.6" hidden="1" x14ac:dyDescent="0.3">
      <c r="A210" s="20">
        <v>30</v>
      </c>
      <c r="B210" s="25">
        <v>0</v>
      </c>
      <c r="C210" s="25"/>
      <c r="D210" s="56">
        <v>0</v>
      </c>
      <c r="E210" s="426">
        <v>45247</v>
      </c>
      <c r="F210" s="26" t="s">
        <v>1736</v>
      </c>
      <c r="G210" s="426">
        <v>45247</v>
      </c>
      <c r="H210" s="35"/>
      <c r="I210" s="21">
        <v>417000</v>
      </c>
      <c r="J210" s="21"/>
      <c r="K210" s="22">
        <v>0</v>
      </c>
      <c r="L210" s="23"/>
      <c r="M210" s="22">
        <v>0</v>
      </c>
      <c r="N210" s="74">
        <v>0</v>
      </c>
      <c r="O210" s="22">
        <v>0</v>
      </c>
      <c r="P210" s="21">
        <v>417000</v>
      </c>
      <c r="S210" s="108" t="b">
        <f>OR(COUNTIF(Tabla2[[#This Row],[PROVEEDOR]],"*"&amp;'Palabra no opera'!$A$2&amp;"*"))</f>
        <v>0</v>
      </c>
      <c r="T210" s="139">
        <f>+$W$5-Tabla2[[#This Row],[FECHA DE FACTURACIÓN]]</f>
        <v>44</v>
      </c>
      <c r="U210" t="str">
        <f>+IF(Tabla2[[#This Row],[dias de credito]]&gt;=Tabla2[[#This Row],[PLAZO Días]],"venc", "No venc")</f>
        <v>venc</v>
      </c>
      <c r="V210" t="str">
        <f>+IF(Tabla2[[#This Row],[FECHA DE PAGO]]&gt;0,"pagada","por pagar")</f>
        <v>pagada</v>
      </c>
      <c r="W210" s="141" t="str">
        <f>+IF(AND(Tabla2[[#This Row],[venc]]="venc",Tabla2[[#This Row],[Columna1]]="por pagar"),"vencida","no")</f>
        <v>no</v>
      </c>
    </row>
    <row r="211" spans="1:23" ht="15.6" hidden="1" x14ac:dyDescent="0.3">
      <c r="A211" s="20">
        <v>30</v>
      </c>
      <c r="B211" s="25">
        <v>0</v>
      </c>
      <c r="C211" s="25"/>
      <c r="D211" s="56" t="s">
        <v>107</v>
      </c>
      <c r="E211" s="426">
        <v>45247</v>
      </c>
      <c r="F211" s="26" t="s">
        <v>362</v>
      </c>
      <c r="G211" s="426">
        <v>45247</v>
      </c>
      <c r="H211" s="35" t="s">
        <v>2028</v>
      </c>
      <c r="I211" s="21">
        <v>200000</v>
      </c>
      <c r="J211" s="21"/>
      <c r="K211" s="22">
        <v>0</v>
      </c>
      <c r="L211" s="23"/>
      <c r="M211" s="22">
        <v>0</v>
      </c>
      <c r="N211" s="74">
        <v>0</v>
      </c>
      <c r="O211" s="22">
        <v>0</v>
      </c>
      <c r="P211" s="21">
        <v>200000</v>
      </c>
      <c r="S211" s="108" t="b">
        <f>OR(COUNTIF(Tabla2[[#This Row],[PROVEEDOR]],"*"&amp;'Palabra no opera'!$A$2&amp;"*"))</f>
        <v>0</v>
      </c>
      <c r="T211" s="139">
        <f>+$W$5-Tabla2[[#This Row],[FECHA DE FACTURACIÓN]]</f>
        <v>44</v>
      </c>
      <c r="U211" t="str">
        <f>+IF(Tabla2[[#This Row],[dias de credito]]&gt;=Tabla2[[#This Row],[PLAZO Días]],"venc", "No venc")</f>
        <v>venc</v>
      </c>
      <c r="V211" t="str">
        <f>+IF(Tabla2[[#This Row],[FECHA DE PAGO]]&gt;0,"pagada","por pagar")</f>
        <v>pagada</v>
      </c>
      <c r="W211" s="141" t="str">
        <f>+IF(AND(Tabla2[[#This Row],[venc]]="venc",Tabla2[[#This Row],[Columna1]]="por pagar"),"vencida","no")</f>
        <v>no</v>
      </c>
    </row>
    <row r="212" spans="1:23" ht="15.6" hidden="1" x14ac:dyDescent="0.3">
      <c r="A212" s="20">
        <v>30</v>
      </c>
      <c r="B212" s="25">
        <v>1316890.8900000001</v>
      </c>
      <c r="C212" s="25"/>
      <c r="D212" s="56" t="s">
        <v>188</v>
      </c>
      <c r="E212" s="426">
        <v>45247</v>
      </c>
      <c r="F212" s="26" t="s">
        <v>17</v>
      </c>
      <c r="G212" s="426">
        <v>45212</v>
      </c>
      <c r="H212" s="35" t="s">
        <v>2092</v>
      </c>
      <c r="I212" s="21">
        <v>267442</v>
      </c>
      <c r="J212" s="21"/>
      <c r="K212" s="22">
        <v>50813.98</v>
      </c>
      <c r="L212" s="23"/>
      <c r="M212" s="22">
        <v>0</v>
      </c>
      <c r="N212" s="74">
        <v>0</v>
      </c>
      <c r="O212" s="22">
        <v>0</v>
      </c>
      <c r="P212" s="21">
        <v>318255.98</v>
      </c>
      <c r="S212" s="108" t="b">
        <f>OR(COUNTIF(Tabla2[[#This Row],[PROVEEDOR]],"*"&amp;'Palabra no opera'!$A$2&amp;"*"))</f>
        <v>0</v>
      </c>
      <c r="T212" s="139">
        <f>+$W$5-Tabla2[[#This Row],[FECHA DE FACTURACIÓN]]</f>
        <v>79</v>
      </c>
      <c r="U212" t="str">
        <f>+IF(Tabla2[[#This Row],[dias de credito]]&gt;=Tabla2[[#This Row],[PLAZO Días]],"venc", "No venc")</f>
        <v>venc</v>
      </c>
      <c r="V212" t="str">
        <f>+IF(Tabla2[[#This Row],[FECHA DE PAGO]]&gt;0,"pagada","por pagar")</f>
        <v>pagada</v>
      </c>
      <c r="W212" s="141" t="str">
        <f>+IF(AND(Tabla2[[#This Row],[venc]]="venc",Tabla2[[#This Row],[Columna1]]="por pagar"),"vencida","no")</f>
        <v>no</v>
      </c>
    </row>
    <row r="213" spans="1:23" ht="15.6" hidden="1" x14ac:dyDescent="0.3">
      <c r="A213" s="20">
        <v>30</v>
      </c>
      <c r="B213" s="25">
        <v>0</v>
      </c>
      <c r="C213" s="25"/>
      <c r="D213" s="56" t="s">
        <v>107</v>
      </c>
      <c r="E213" s="426">
        <v>45247</v>
      </c>
      <c r="F213" s="26" t="s">
        <v>401</v>
      </c>
      <c r="G213" s="426">
        <v>45211</v>
      </c>
      <c r="H213" s="35" t="s">
        <v>2064</v>
      </c>
      <c r="I213" s="21">
        <v>534000</v>
      </c>
      <c r="J213" s="21"/>
      <c r="K213" s="22">
        <v>0</v>
      </c>
      <c r="L213" s="23"/>
      <c r="M213" s="22">
        <v>0</v>
      </c>
      <c r="N213" s="74">
        <v>0</v>
      </c>
      <c r="O213" s="22">
        <v>0</v>
      </c>
      <c r="P213" s="21">
        <v>534000</v>
      </c>
      <c r="S213" s="108" t="b">
        <f>OR(COUNTIF(Tabla2[[#This Row],[PROVEEDOR]],"*"&amp;'Palabra no opera'!$A$2&amp;"*"))</f>
        <v>0</v>
      </c>
      <c r="T213" s="139">
        <f>+$W$5-Tabla2[[#This Row],[FECHA DE FACTURACIÓN]]</f>
        <v>80</v>
      </c>
      <c r="U213" t="str">
        <f>+IF(Tabla2[[#This Row],[dias de credito]]&gt;=Tabla2[[#This Row],[PLAZO Días]],"venc", "No venc")</f>
        <v>venc</v>
      </c>
      <c r="V213" t="str">
        <f>+IF(Tabla2[[#This Row],[FECHA DE PAGO]]&gt;0,"pagada","por pagar")</f>
        <v>pagada</v>
      </c>
      <c r="W213" s="141" t="str">
        <f>+IF(AND(Tabla2[[#This Row],[venc]]="venc",Tabla2[[#This Row],[Columna1]]="por pagar"),"vencida","no")</f>
        <v>no</v>
      </c>
    </row>
    <row r="214" spans="1:23" ht="15.6" hidden="1" x14ac:dyDescent="0.3">
      <c r="A214" s="20">
        <v>30</v>
      </c>
      <c r="B214" s="25">
        <v>-139600.09</v>
      </c>
      <c r="C214" s="25"/>
      <c r="D214" s="56" t="s">
        <v>728</v>
      </c>
      <c r="E214" s="426">
        <v>45247</v>
      </c>
      <c r="F214" s="26" t="s">
        <v>32</v>
      </c>
      <c r="G214" s="426">
        <v>45210</v>
      </c>
      <c r="H214" s="35" t="s">
        <v>2083</v>
      </c>
      <c r="I214" s="21">
        <v>3224873</v>
      </c>
      <c r="J214" s="21"/>
      <c r="K214" s="22">
        <v>612725.87</v>
      </c>
      <c r="L214" s="23"/>
      <c r="M214" s="22">
        <v>0</v>
      </c>
      <c r="N214" s="74">
        <v>2.5000000000000001E-2</v>
      </c>
      <c r="O214" s="22">
        <v>80621.825000000012</v>
      </c>
      <c r="P214" s="21">
        <v>3756977.0449999999</v>
      </c>
      <c r="S214" s="108" t="b">
        <f>OR(COUNTIF(Tabla2[[#This Row],[PROVEEDOR]],"*"&amp;'Palabra no opera'!$A$2&amp;"*"))</f>
        <v>0</v>
      </c>
      <c r="T214" s="139">
        <f>+$W$5-Tabla2[[#This Row],[FECHA DE FACTURACIÓN]]</f>
        <v>81</v>
      </c>
      <c r="U214" t="str">
        <f>+IF(Tabla2[[#This Row],[dias de credito]]&gt;=Tabla2[[#This Row],[PLAZO Días]],"venc", "No venc")</f>
        <v>venc</v>
      </c>
      <c r="V214" t="str">
        <f>+IF(Tabla2[[#This Row],[FECHA DE PAGO]]&gt;0,"pagada","por pagar")</f>
        <v>pagada</v>
      </c>
      <c r="W214" s="141" t="str">
        <f>+IF(AND(Tabla2[[#This Row],[venc]]="venc",Tabla2[[#This Row],[Columna1]]="por pagar"),"vencida","no")</f>
        <v>no</v>
      </c>
    </row>
    <row r="215" spans="1:23" ht="15.6" hidden="1" x14ac:dyDescent="0.3">
      <c r="A215" s="20">
        <v>30</v>
      </c>
      <c r="B215" s="25">
        <v>2100000</v>
      </c>
      <c r="C215" s="25"/>
      <c r="D215" s="56" t="s">
        <v>107</v>
      </c>
      <c r="E215" s="426">
        <v>45247</v>
      </c>
      <c r="F215" s="26" t="s">
        <v>349</v>
      </c>
      <c r="G215" s="426">
        <v>45180</v>
      </c>
      <c r="H215" s="35" t="s">
        <v>2006</v>
      </c>
      <c r="I215" s="21">
        <v>2720000</v>
      </c>
      <c r="J215" s="21"/>
      <c r="K215" s="22">
        <v>0</v>
      </c>
      <c r="L215" s="23"/>
      <c r="M215" s="22">
        <v>0</v>
      </c>
      <c r="N215" s="74">
        <v>0</v>
      </c>
      <c r="O215" s="22">
        <v>0</v>
      </c>
      <c r="P215" s="21">
        <v>2720000</v>
      </c>
      <c r="S215" s="108" t="b">
        <f>OR(COUNTIF(Tabla2[[#This Row],[PROVEEDOR]],"*"&amp;'Palabra no opera'!$A$2&amp;"*"))</f>
        <v>0</v>
      </c>
      <c r="T215" s="139">
        <f>+$W$5-Tabla2[[#This Row],[FECHA DE FACTURACIÓN]]</f>
        <v>111</v>
      </c>
      <c r="U215" t="str">
        <f>+IF(Tabla2[[#This Row],[dias de credito]]&gt;=Tabla2[[#This Row],[PLAZO Días]],"venc", "No venc")</f>
        <v>venc</v>
      </c>
      <c r="V215" t="str">
        <f>+IF(Tabla2[[#This Row],[FECHA DE PAGO]]&gt;0,"pagada","por pagar")</f>
        <v>pagada</v>
      </c>
      <c r="W215" s="141" t="str">
        <f>+IF(AND(Tabla2[[#This Row],[venc]]="venc",Tabla2[[#This Row],[Columna1]]="por pagar"),"vencida","no")</f>
        <v>no</v>
      </c>
    </row>
    <row r="216" spans="1:23" ht="15.6" hidden="1" x14ac:dyDescent="0.3">
      <c r="A216" s="20">
        <v>60</v>
      </c>
      <c r="B216" s="25">
        <v>0</v>
      </c>
      <c r="C216" s="25"/>
      <c r="D216" s="56">
        <v>0</v>
      </c>
      <c r="E216" s="426">
        <v>45247</v>
      </c>
      <c r="F216" s="26" t="s">
        <v>951</v>
      </c>
      <c r="G216" s="426">
        <v>45169</v>
      </c>
      <c r="H216" s="35" t="s">
        <v>1924</v>
      </c>
      <c r="I216" s="21">
        <v>4550503</v>
      </c>
      <c r="J216" s="21"/>
      <c r="K216" s="22">
        <v>864595.57000000007</v>
      </c>
      <c r="L216" s="23"/>
      <c r="M216" s="22">
        <v>0</v>
      </c>
      <c r="N216" s="74">
        <v>0</v>
      </c>
      <c r="O216" s="22">
        <v>0</v>
      </c>
      <c r="P216" s="21">
        <v>5415098.5700000003</v>
      </c>
      <c r="S216" s="108" t="b">
        <f>OR(COUNTIF(Tabla2[[#This Row],[PROVEEDOR]],"*"&amp;'Palabra no opera'!$A$2&amp;"*"))</f>
        <v>1</v>
      </c>
      <c r="T216" s="139">
        <f>+$W$5-Tabla2[[#This Row],[FECHA DE FACTURACIÓN]]</f>
        <v>122</v>
      </c>
      <c r="U216" t="str">
        <f>+IF(Tabla2[[#This Row],[dias de credito]]&gt;=Tabla2[[#This Row],[PLAZO Días]],"venc", "No venc")</f>
        <v>venc</v>
      </c>
      <c r="V216" t="str">
        <f>+IF(Tabla2[[#This Row],[FECHA DE PAGO]]&gt;0,"pagada","por pagar")</f>
        <v>pagada</v>
      </c>
      <c r="W216" s="141" t="str">
        <f>+IF(AND(Tabla2[[#This Row],[venc]]="venc",Tabla2[[#This Row],[Columna1]]="por pagar"),"vencida","no")</f>
        <v>no</v>
      </c>
    </row>
    <row r="217" spans="1:23" ht="15.6" hidden="1" x14ac:dyDescent="0.3">
      <c r="A217" s="20">
        <v>30</v>
      </c>
      <c r="B217" s="25">
        <v>0</v>
      </c>
      <c r="C217" s="25"/>
      <c r="D217" s="56">
        <v>0</v>
      </c>
      <c r="E217" s="426">
        <v>45246</v>
      </c>
      <c r="F217" s="26" t="s">
        <v>2030</v>
      </c>
      <c r="G217" s="426">
        <v>45246</v>
      </c>
      <c r="H217" s="35" t="s">
        <v>2143</v>
      </c>
      <c r="I217" s="21">
        <v>258800</v>
      </c>
      <c r="J217" s="21"/>
      <c r="K217" s="22">
        <v>0</v>
      </c>
      <c r="L217" s="23"/>
      <c r="M217" s="22">
        <v>0</v>
      </c>
      <c r="N217" s="74">
        <v>0</v>
      </c>
      <c r="O217" s="22">
        <v>0</v>
      </c>
      <c r="P217" s="21">
        <v>258800</v>
      </c>
      <c r="S217" s="108" t="b">
        <f>OR(COUNTIF(Tabla2[[#This Row],[PROVEEDOR]],"*"&amp;'Palabra no opera'!$A$2&amp;"*"))</f>
        <v>0</v>
      </c>
      <c r="T217" s="139">
        <f>+$W$5-Tabla2[[#This Row],[FECHA DE FACTURACIÓN]]</f>
        <v>45</v>
      </c>
      <c r="U217" t="str">
        <f>+IF(Tabla2[[#This Row],[dias de credito]]&gt;=Tabla2[[#This Row],[PLAZO Días]],"venc", "No venc")</f>
        <v>venc</v>
      </c>
      <c r="V217" t="str">
        <f>+IF(Tabla2[[#This Row],[FECHA DE PAGO]]&gt;0,"pagada","por pagar")</f>
        <v>pagada</v>
      </c>
      <c r="W217" s="141" t="str">
        <f>+IF(AND(Tabla2[[#This Row],[venc]]="venc",Tabla2[[#This Row],[Columna1]]="por pagar"),"vencida","no")</f>
        <v>no</v>
      </c>
    </row>
    <row r="218" spans="1:23" ht="15.6" hidden="1" x14ac:dyDescent="0.3">
      <c r="A218" s="20">
        <v>30</v>
      </c>
      <c r="B218" s="25">
        <v>0</v>
      </c>
      <c r="C218" s="25"/>
      <c r="D218" s="56" t="s">
        <v>107</v>
      </c>
      <c r="E218" s="426">
        <v>45246</v>
      </c>
      <c r="F218" s="26" t="s">
        <v>1194</v>
      </c>
      <c r="G218" s="426">
        <v>45245</v>
      </c>
      <c r="H218" s="35" t="s">
        <v>2201</v>
      </c>
      <c r="I218" s="21">
        <v>4811000</v>
      </c>
      <c r="J218" s="21"/>
      <c r="K218" s="22">
        <v>0</v>
      </c>
      <c r="L218" s="23"/>
      <c r="M218" s="22">
        <v>0</v>
      </c>
      <c r="N218" s="74">
        <v>0</v>
      </c>
      <c r="O218" s="22">
        <v>0</v>
      </c>
      <c r="P218" s="21">
        <v>4811000</v>
      </c>
      <c r="S218" s="108" t="b">
        <f>OR(COUNTIF(Tabla2[[#This Row],[PROVEEDOR]],"*"&amp;'Palabra no opera'!$A$2&amp;"*"))</f>
        <v>0</v>
      </c>
      <c r="T218" s="139">
        <f>+$W$5-Tabla2[[#This Row],[FECHA DE FACTURACIÓN]]</f>
        <v>46</v>
      </c>
      <c r="U218" t="str">
        <f>+IF(Tabla2[[#This Row],[dias de credito]]&gt;=Tabla2[[#This Row],[PLAZO Días]],"venc", "No venc")</f>
        <v>venc</v>
      </c>
      <c r="V218" t="str">
        <f>+IF(Tabla2[[#This Row],[FECHA DE PAGO]]&gt;0,"pagada","por pagar")</f>
        <v>pagada</v>
      </c>
      <c r="W218" s="141" t="str">
        <f>+IF(AND(Tabla2[[#This Row],[venc]]="venc",Tabla2[[#This Row],[Columna1]]="por pagar"),"vencida","no")</f>
        <v>no</v>
      </c>
    </row>
    <row r="219" spans="1:23" ht="15.6" hidden="1" x14ac:dyDescent="0.3">
      <c r="A219" s="20">
        <v>30</v>
      </c>
      <c r="B219" s="25">
        <v>0</v>
      </c>
      <c r="C219" s="25"/>
      <c r="D219" s="56" t="s">
        <v>185</v>
      </c>
      <c r="E219" s="426">
        <v>45246</v>
      </c>
      <c r="F219" s="26" t="s">
        <v>628</v>
      </c>
      <c r="G219" s="426">
        <v>45232</v>
      </c>
      <c r="H219" s="35" t="s">
        <v>2111</v>
      </c>
      <c r="I219" s="21">
        <v>1840056</v>
      </c>
      <c r="J219" s="21"/>
      <c r="K219" s="22">
        <v>0</v>
      </c>
      <c r="L219" s="23"/>
      <c r="M219" s="22">
        <v>105097</v>
      </c>
      <c r="N219" s="74">
        <v>0</v>
      </c>
      <c r="O219" s="22">
        <v>0</v>
      </c>
      <c r="P219" s="21">
        <v>1734959</v>
      </c>
      <c r="S219" s="108" t="b">
        <f>OR(COUNTIF(Tabla2[[#This Row],[PROVEEDOR]],"*"&amp;'Palabra no opera'!$A$2&amp;"*"))</f>
        <v>1</v>
      </c>
      <c r="T219" s="139">
        <f>+$W$5-Tabla2[[#This Row],[FECHA DE FACTURACIÓN]]</f>
        <v>59</v>
      </c>
      <c r="U219" t="str">
        <f>+IF(Tabla2[[#This Row],[dias de credito]]&gt;=Tabla2[[#This Row],[PLAZO Días]],"venc", "No venc")</f>
        <v>venc</v>
      </c>
      <c r="V219" t="str">
        <f>+IF(Tabla2[[#This Row],[FECHA DE PAGO]]&gt;0,"pagada","por pagar")</f>
        <v>pagada</v>
      </c>
      <c r="W219" s="141" t="str">
        <f>+IF(AND(Tabla2[[#This Row],[venc]]="venc",Tabla2[[#This Row],[Columna1]]="por pagar"),"vencida","no")</f>
        <v>no</v>
      </c>
    </row>
    <row r="220" spans="1:23" ht="15.6" hidden="1" x14ac:dyDescent="0.3">
      <c r="A220" s="20">
        <v>30</v>
      </c>
      <c r="B220" s="25">
        <v>352505.48</v>
      </c>
      <c r="C220" s="25"/>
      <c r="D220" s="56" t="s">
        <v>393</v>
      </c>
      <c r="E220" s="426">
        <v>45246</v>
      </c>
      <c r="F220" s="26" t="s">
        <v>631</v>
      </c>
      <c r="G220" s="426">
        <v>45231</v>
      </c>
      <c r="H220" s="35" t="s">
        <v>2110</v>
      </c>
      <c r="I220" s="21">
        <v>318603</v>
      </c>
      <c r="J220" s="21">
        <v>9545</v>
      </c>
      <c r="K220" s="22">
        <v>0</v>
      </c>
      <c r="L220" s="23"/>
      <c r="M220" s="22">
        <v>0</v>
      </c>
      <c r="N220" s="74">
        <v>0</v>
      </c>
      <c r="O220" s="22">
        <v>0</v>
      </c>
      <c r="P220" s="21">
        <v>309058</v>
      </c>
      <c r="S220" s="108" t="b">
        <f>OR(COUNTIF(Tabla2[[#This Row],[PROVEEDOR]],"*"&amp;'Palabra no opera'!$A$2&amp;"*"))</f>
        <v>1</v>
      </c>
      <c r="T220" s="139">
        <f>+$W$5-Tabla2[[#This Row],[FECHA DE FACTURACIÓN]]</f>
        <v>60</v>
      </c>
      <c r="U220" t="str">
        <f>+IF(Tabla2[[#This Row],[dias de credito]]&gt;=Tabla2[[#This Row],[PLAZO Días]],"venc", "No venc")</f>
        <v>venc</v>
      </c>
      <c r="V220" t="str">
        <f>+IF(Tabla2[[#This Row],[FECHA DE PAGO]]&gt;0,"pagada","por pagar")</f>
        <v>pagada</v>
      </c>
      <c r="W220" s="141" t="str">
        <f>+IF(AND(Tabla2[[#This Row],[venc]]="venc",Tabla2[[#This Row],[Columna1]]="por pagar"),"vencida","no")</f>
        <v>no</v>
      </c>
    </row>
    <row r="221" spans="1:23" ht="15.6" hidden="1" x14ac:dyDescent="0.3">
      <c r="A221" s="20">
        <v>30</v>
      </c>
      <c r="B221" s="25">
        <v>0</v>
      </c>
      <c r="C221" s="25"/>
      <c r="D221" s="56" t="s">
        <v>193</v>
      </c>
      <c r="E221" s="426">
        <v>45246</v>
      </c>
      <c r="F221" s="26" t="s">
        <v>651</v>
      </c>
      <c r="G221" s="426">
        <v>45231</v>
      </c>
      <c r="H221" s="35" t="s">
        <v>2109</v>
      </c>
      <c r="I221" s="21">
        <v>243611</v>
      </c>
      <c r="J221" s="21"/>
      <c r="K221" s="22">
        <v>46286.090000000004</v>
      </c>
      <c r="L221" s="23"/>
      <c r="M221" s="22">
        <v>0</v>
      </c>
      <c r="N221" s="74">
        <v>3.5000000000000003E-2</v>
      </c>
      <c r="O221" s="22">
        <v>8526.3850000000002</v>
      </c>
      <c r="P221" s="21">
        <v>281370.70500000002</v>
      </c>
      <c r="S221" s="108" t="b">
        <f>OR(COUNTIF(Tabla2[[#This Row],[PROVEEDOR]],"*"&amp;'Palabra no opera'!$A$2&amp;"*"))</f>
        <v>1</v>
      </c>
      <c r="T221" s="139">
        <f>+$W$5-Tabla2[[#This Row],[FECHA DE FACTURACIÓN]]</f>
        <v>60</v>
      </c>
      <c r="U221" t="str">
        <f>+IF(Tabla2[[#This Row],[dias de credito]]&gt;=Tabla2[[#This Row],[PLAZO Días]],"venc", "No venc")</f>
        <v>venc</v>
      </c>
      <c r="V221" t="str">
        <f>+IF(Tabla2[[#This Row],[FECHA DE PAGO]]&gt;0,"pagada","por pagar")</f>
        <v>pagada</v>
      </c>
      <c r="W221" s="141" t="str">
        <f>+IF(AND(Tabla2[[#This Row],[venc]]="venc",Tabla2[[#This Row],[Columna1]]="por pagar"),"vencida","no")</f>
        <v>no</v>
      </c>
    </row>
    <row r="222" spans="1:23" ht="15.6" hidden="1" x14ac:dyDescent="0.3">
      <c r="A222" s="20">
        <v>30</v>
      </c>
      <c r="B222" s="25">
        <v>27189617.395</v>
      </c>
      <c r="C222" s="25"/>
      <c r="D222" s="56" t="s">
        <v>686</v>
      </c>
      <c r="E222" s="426">
        <v>45246</v>
      </c>
      <c r="F222" s="26" t="s">
        <v>77</v>
      </c>
      <c r="G222" s="426">
        <v>45218</v>
      </c>
      <c r="H222" s="35" t="s">
        <v>2074</v>
      </c>
      <c r="I222" s="21">
        <v>5488200</v>
      </c>
      <c r="J222" s="21"/>
      <c r="K222" s="22">
        <v>1042758</v>
      </c>
      <c r="L222" s="23"/>
      <c r="M222" s="22">
        <v>0</v>
      </c>
      <c r="N222" s="74">
        <v>2.5000000000000001E-2</v>
      </c>
      <c r="O222" s="22">
        <v>137205</v>
      </c>
      <c r="P222" s="21">
        <v>6393753</v>
      </c>
      <c r="S222" s="108" t="b">
        <f>OR(COUNTIF(Tabla2[[#This Row],[PROVEEDOR]],"*"&amp;'Palabra no opera'!$A$2&amp;"*"))</f>
        <v>0</v>
      </c>
      <c r="T222" s="139">
        <f>+$W$5-Tabla2[[#This Row],[FECHA DE FACTURACIÓN]]</f>
        <v>73</v>
      </c>
      <c r="U222" t="str">
        <f>+IF(Tabla2[[#This Row],[dias de credito]]&gt;=Tabla2[[#This Row],[PLAZO Días]],"venc", "No venc")</f>
        <v>venc</v>
      </c>
      <c r="V222" t="str">
        <f>+IF(Tabla2[[#This Row],[FECHA DE PAGO]]&gt;0,"pagada","por pagar")</f>
        <v>pagada</v>
      </c>
      <c r="W222" s="141" t="str">
        <f>+IF(AND(Tabla2[[#This Row],[venc]]="venc",Tabla2[[#This Row],[Columna1]]="por pagar"),"vencida","no")</f>
        <v>no</v>
      </c>
    </row>
    <row r="223" spans="1:23" ht="15.6" hidden="1" x14ac:dyDescent="0.3">
      <c r="A223" s="20">
        <v>30</v>
      </c>
      <c r="B223" s="25">
        <v>27189617.395</v>
      </c>
      <c r="C223" s="25"/>
      <c r="D223" s="56" t="s">
        <v>686</v>
      </c>
      <c r="E223" s="426">
        <v>45246</v>
      </c>
      <c r="F223" s="26" t="s">
        <v>77</v>
      </c>
      <c r="G223" s="426">
        <v>45218</v>
      </c>
      <c r="H223" s="35" t="s">
        <v>2075</v>
      </c>
      <c r="I223" s="21">
        <v>1478700</v>
      </c>
      <c r="J223" s="21"/>
      <c r="K223" s="22">
        <v>280953</v>
      </c>
      <c r="L223" s="23"/>
      <c r="M223" s="22">
        <v>0</v>
      </c>
      <c r="N223" s="74">
        <v>2.5000000000000001E-2</v>
      </c>
      <c r="O223" s="22">
        <v>36967.5</v>
      </c>
      <c r="P223" s="21">
        <v>1722685.5</v>
      </c>
      <c r="S223" s="108" t="b">
        <f>OR(COUNTIF(Tabla2[[#This Row],[PROVEEDOR]],"*"&amp;'Palabra no opera'!$A$2&amp;"*"))</f>
        <v>0</v>
      </c>
      <c r="T223" s="139">
        <f>+$W$5-Tabla2[[#This Row],[FECHA DE FACTURACIÓN]]</f>
        <v>73</v>
      </c>
      <c r="U223" t="str">
        <f>+IF(Tabla2[[#This Row],[dias de credito]]&gt;=Tabla2[[#This Row],[PLAZO Días]],"venc", "No venc")</f>
        <v>venc</v>
      </c>
      <c r="V223" t="str">
        <f>+IF(Tabla2[[#This Row],[FECHA DE PAGO]]&gt;0,"pagada","por pagar")</f>
        <v>pagada</v>
      </c>
      <c r="W223" s="141" t="str">
        <f>+IF(AND(Tabla2[[#This Row],[venc]]="venc",Tabla2[[#This Row],[Columna1]]="por pagar"),"vencida","no")</f>
        <v>no</v>
      </c>
    </row>
    <row r="224" spans="1:23" ht="15.6" hidden="1" x14ac:dyDescent="0.3">
      <c r="A224" s="20">
        <v>45</v>
      </c>
      <c r="B224" s="25">
        <v>15770594</v>
      </c>
      <c r="C224" s="25"/>
      <c r="D224" s="56" t="s">
        <v>594</v>
      </c>
      <c r="E224" s="426">
        <v>45246</v>
      </c>
      <c r="F224" s="26" t="s">
        <v>19</v>
      </c>
      <c r="G224" s="426">
        <v>45197</v>
      </c>
      <c r="H224" s="35" t="s">
        <v>1981</v>
      </c>
      <c r="I224" s="21">
        <v>13085520</v>
      </c>
      <c r="J224" s="21"/>
      <c r="K224" s="22">
        <v>2486248.7999999998</v>
      </c>
      <c r="L224" s="23"/>
      <c r="M224" s="22">
        <v>0</v>
      </c>
      <c r="N224" s="74">
        <v>0</v>
      </c>
      <c r="O224" s="22">
        <v>0</v>
      </c>
      <c r="P224" s="21">
        <v>15571768.800000001</v>
      </c>
      <c r="S224" s="108" t="b">
        <f>OR(COUNTIF(Tabla2[[#This Row],[PROVEEDOR]],"*"&amp;'Palabra no opera'!$A$2&amp;"*"))</f>
        <v>0</v>
      </c>
      <c r="T224" s="139">
        <f>+$W$5-Tabla2[[#This Row],[FECHA DE FACTURACIÓN]]</f>
        <v>94</v>
      </c>
      <c r="U224" t="str">
        <f>+IF(Tabla2[[#This Row],[dias de credito]]&gt;=Tabla2[[#This Row],[PLAZO Días]],"venc", "No venc")</f>
        <v>venc</v>
      </c>
      <c r="V224" t="str">
        <f>+IF(Tabla2[[#This Row],[FECHA DE PAGO]]&gt;0,"pagada","por pagar")</f>
        <v>pagada</v>
      </c>
      <c r="W224" s="141" t="str">
        <f>+IF(AND(Tabla2[[#This Row],[venc]]="venc",Tabla2[[#This Row],[Columna1]]="por pagar"),"vencida","no")</f>
        <v>no</v>
      </c>
    </row>
    <row r="225" spans="1:23" ht="15.6" hidden="1" x14ac:dyDescent="0.3">
      <c r="A225" s="20">
        <v>30</v>
      </c>
      <c r="B225" s="25">
        <v>1034000.52</v>
      </c>
      <c r="C225" s="25"/>
      <c r="D225" s="56" t="s">
        <v>177</v>
      </c>
      <c r="E225" s="426">
        <v>45246</v>
      </c>
      <c r="F225" s="26" t="s">
        <v>168</v>
      </c>
      <c r="G225" s="426">
        <v>45184</v>
      </c>
      <c r="H225" s="35" t="s">
        <v>1965</v>
      </c>
      <c r="I225" s="21">
        <v>483193</v>
      </c>
      <c r="J225" s="21"/>
      <c r="K225" s="22">
        <v>91806.67</v>
      </c>
      <c r="L225" s="23"/>
      <c r="M225" s="22">
        <v>0</v>
      </c>
      <c r="N225" s="74">
        <v>0</v>
      </c>
      <c r="O225" s="22">
        <v>0</v>
      </c>
      <c r="P225" s="21">
        <v>574999.67000000004</v>
      </c>
      <c r="S225" s="108" t="b">
        <f>OR(COUNTIF(Tabla2[[#This Row],[PROVEEDOR]],"*"&amp;'Palabra no opera'!$A$2&amp;"*"))</f>
        <v>0</v>
      </c>
      <c r="T225" s="139">
        <f>+$W$5-Tabla2[[#This Row],[FECHA DE FACTURACIÓN]]</f>
        <v>107</v>
      </c>
      <c r="U225" t="str">
        <f>+IF(Tabla2[[#This Row],[dias de credito]]&gt;=Tabla2[[#This Row],[PLAZO Días]],"venc", "No venc")</f>
        <v>venc</v>
      </c>
      <c r="V225" t="str">
        <f>+IF(Tabla2[[#This Row],[FECHA DE PAGO]]&gt;0,"pagada","por pagar")</f>
        <v>pagada</v>
      </c>
      <c r="W225" s="141" t="str">
        <f>+IF(AND(Tabla2[[#This Row],[venc]]="venc",Tabla2[[#This Row],[Columna1]]="por pagar"),"vencida","no")</f>
        <v>no</v>
      </c>
    </row>
    <row r="226" spans="1:23" ht="15.6" hidden="1" x14ac:dyDescent="0.3">
      <c r="A226" s="20">
        <v>30</v>
      </c>
      <c r="B226" s="25">
        <v>1034000.52</v>
      </c>
      <c r="C226" s="25"/>
      <c r="D226" s="56" t="s">
        <v>177</v>
      </c>
      <c r="E226" s="426">
        <v>45246</v>
      </c>
      <c r="F226" s="26" t="s">
        <v>168</v>
      </c>
      <c r="G226" s="426">
        <v>45184</v>
      </c>
      <c r="H226" s="35" t="s">
        <v>1966</v>
      </c>
      <c r="I226" s="21">
        <v>-210084</v>
      </c>
      <c r="J226" s="21"/>
      <c r="K226" s="22">
        <v>-39915.96</v>
      </c>
      <c r="L226" s="23"/>
      <c r="M226" s="22">
        <v>0</v>
      </c>
      <c r="N226" s="74">
        <v>0</v>
      </c>
      <c r="O226" s="22">
        <v>0</v>
      </c>
      <c r="P226" s="21">
        <v>-249999.96</v>
      </c>
      <c r="S226" s="108" t="b">
        <f>OR(COUNTIF(Tabla2[[#This Row],[PROVEEDOR]],"*"&amp;'Palabra no opera'!$A$2&amp;"*"))</f>
        <v>0</v>
      </c>
      <c r="T226" s="139">
        <f>+$W$5-Tabla2[[#This Row],[FECHA DE FACTURACIÓN]]</f>
        <v>107</v>
      </c>
      <c r="U226" t="str">
        <f>+IF(Tabla2[[#This Row],[dias de credito]]&gt;=Tabla2[[#This Row],[PLAZO Días]],"venc", "No venc")</f>
        <v>venc</v>
      </c>
      <c r="V226" t="str">
        <f>+IF(Tabla2[[#This Row],[FECHA DE PAGO]]&gt;0,"pagada","por pagar")</f>
        <v>pagada</v>
      </c>
      <c r="W226" s="141" t="str">
        <f>+IF(AND(Tabla2[[#This Row],[venc]]="venc",Tabla2[[#This Row],[Columna1]]="por pagar"),"vencida","no")</f>
        <v>no</v>
      </c>
    </row>
    <row r="227" spans="1:23" ht="15.6" hidden="1" x14ac:dyDescent="0.3">
      <c r="A227" s="20">
        <v>30</v>
      </c>
      <c r="B227" s="25">
        <v>0</v>
      </c>
      <c r="C227" s="25"/>
      <c r="D227" s="56" t="s">
        <v>177</v>
      </c>
      <c r="E227" s="426">
        <v>45246</v>
      </c>
      <c r="F227" s="26" t="s">
        <v>1850</v>
      </c>
      <c r="G227" s="426">
        <v>45178</v>
      </c>
      <c r="H227" s="35" t="s">
        <v>1973</v>
      </c>
      <c r="I227" s="21">
        <v>1157983</v>
      </c>
      <c r="J227" s="21"/>
      <c r="K227" s="22">
        <v>220016.77</v>
      </c>
      <c r="L227" s="23"/>
      <c r="M227" s="22">
        <v>0</v>
      </c>
      <c r="N227" s="74">
        <v>2.5000000000000001E-2</v>
      </c>
      <c r="O227" s="22">
        <v>28949.575000000001</v>
      </c>
      <c r="P227" s="21">
        <v>1349050.1950000001</v>
      </c>
      <c r="S227" s="108" t="b">
        <f>OR(COUNTIF(Tabla2[[#This Row],[PROVEEDOR]],"*"&amp;'Palabra no opera'!$A$2&amp;"*"))</f>
        <v>0</v>
      </c>
      <c r="T227" s="139">
        <f>+$W$5-Tabla2[[#This Row],[FECHA DE FACTURACIÓN]]</f>
        <v>113</v>
      </c>
      <c r="U227" t="str">
        <f>+IF(Tabla2[[#This Row],[dias de credito]]&gt;=Tabla2[[#This Row],[PLAZO Días]],"venc", "No venc")</f>
        <v>venc</v>
      </c>
      <c r="V227" t="str">
        <f>+IF(Tabla2[[#This Row],[FECHA DE PAGO]]&gt;0,"pagada","por pagar")</f>
        <v>pagada</v>
      </c>
      <c r="W227" s="141" t="str">
        <f>+IF(AND(Tabla2[[#This Row],[venc]]="venc",Tabla2[[#This Row],[Columna1]]="por pagar"),"vencida","no")</f>
        <v>no</v>
      </c>
    </row>
    <row r="228" spans="1:23" ht="15.6" hidden="1" x14ac:dyDescent="0.3">
      <c r="A228" s="20">
        <v>30</v>
      </c>
      <c r="B228" s="25">
        <v>1034000.52</v>
      </c>
      <c r="C228" s="25"/>
      <c r="D228" s="56" t="s">
        <v>177</v>
      </c>
      <c r="E228" s="426">
        <v>45246</v>
      </c>
      <c r="F228" s="26" t="s">
        <v>168</v>
      </c>
      <c r="G228" s="426">
        <v>45177</v>
      </c>
      <c r="H228" s="35" t="s">
        <v>1964</v>
      </c>
      <c r="I228" s="21">
        <v>3048739</v>
      </c>
      <c r="J228" s="21"/>
      <c r="K228" s="22">
        <v>579260.41</v>
      </c>
      <c r="L228" s="23"/>
      <c r="M228" s="22">
        <v>0</v>
      </c>
      <c r="N228" s="74">
        <v>2.5000000000000001E-2</v>
      </c>
      <c r="O228" s="22">
        <v>76218.475000000006</v>
      </c>
      <c r="P228" s="21">
        <v>3551780.9350000001</v>
      </c>
      <c r="S228" s="108" t="b">
        <f>OR(COUNTIF(Tabla2[[#This Row],[PROVEEDOR]],"*"&amp;'Palabra no opera'!$A$2&amp;"*"))</f>
        <v>0</v>
      </c>
      <c r="T228" s="139">
        <f>+$W$5-Tabla2[[#This Row],[FECHA DE FACTURACIÓN]]</f>
        <v>114</v>
      </c>
      <c r="U228" t="str">
        <f>+IF(Tabla2[[#This Row],[dias de credito]]&gt;=Tabla2[[#This Row],[PLAZO Días]],"venc", "No venc")</f>
        <v>venc</v>
      </c>
      <c r="V228" t="str">
        <f>+IF(Tabla2[[#This Row],[FECHA DE PAGO]]&gt;0,"pagada","por pagar")</f>
        <v>pagada</v>
      </c>
      <c r="W228" s="141" t="str">
        <f>+IF(AND(Tabla2[[#This Row],[venc]]="venc",Tabla2[[#This Row],[Columna1]]="por pagar"),"vencida","no")</f>
        <v>no</v>
      </c>
    </row>
    <row r="229" spans="1:23" ht="15.6" hidden="1" x14ac:dyDescent="0.3">
      <c r="A229" s="20">
        <v>30</v>
      </c>
      <c r="B229" s="25">
        <v>1034000.52</v>
      </c>
      <c r="C229" s="25"/>
      <c r="D229" s="56" t="s">
        <v>177</v>
      </c>
      <c r="E229" s="426">
        <v>45246</v>
      </c>
      <c r="F229" s="26" t="s">
        <v>168</v>
      </c>
      <c r="G229" s="426">
        <v>45156</v>
      </c>
      <c r="H229" s="35" t="s">
        <v>1374</v>
      </c>
      <c r="I229" s="21">
        <v>-537815</v>
      </c>
      <c r="J229" s="21"/>
      <c r="K229" s="22">
        <v>-102184.85</v>
      </c>
      <c r="L229" s="23"/>
      <c r="M229" s="22">
        <v>0</v>
      </c>
      <c r="N229" s="74">
        <v>0</v>
      </c>
      <c r="O229" s="22">
        <v>0</v>
      </c>
      <c r="P229" s="21">
        <v>-639999.85</v>
      </c>
      <c r="S229" s="108" t="b">
        <f>OR(COUNTIF(Tabla2[[#This Row],[PROVEEDOR]],"*"&amp;'Palabra no opera'!$A$2&amp;"*"))</f>
        <v>0</v>
      </c>
      <c r="T229" s="139">
        <f>+$W$5-Tabla2[[#This Row],[FECHA DE FACTURACIÓN]]</f>
        <v>135</v>
      </c>
      <c r="U229" t="str">
        <f>+IF(Tabla2[[#This Row],[dias de credito]]&gt;=Tabla2[[#This Row],[PLAZO Días]],"venc", "No venc")</f>
        <v>venc</v>
      </c>
      <c r="V229" t="str">
        <f>+IF(Tabla2[[#This Row],[FECHA DE PAGO]]&gt;0,"pagada","por pagar")</f>
        <v>pagada</v>
      </c>
      <c r="W229" s="141" t="str">
        <f>+IF(AND(Tabla2[[#This Row],[venc]]="venc",Tabla2[[#This Row],[Columna1]]="por pagar"),"vencida","no")</f>
        <v>no</v>
      </c>
    </row>
    <row r="230" spans="1:23" ht="15.6" hidden="1" x14ac:dyDescent="0.3">
      <c r="A230" s="20">
        <v>30</v>
      </c>
      <c r="B230" s="25">
        <v>0</v>
      </c>
      <c r="C230" s="25"/>
      <c r="D230" s="56" t="s">
        <v>107</v>
      </c>
      <c r="E230" s="426">
        <v>45245</v>
      </c>
      <c r="F230" s="26" t="s">
        <v>362</v>
      </c>
      <c r="G230" s="426">
        <v>45245</v>
      </c>
      <c r="H230" s="35" t="s">
        <v>2197</v>
      </c>
      <c r="I230" s="21">
        <v>600000</v>
      </c>
      <c r="J230" s="21"/>
      <c r="K230" s="22">
        <v>0</v>
      </c>
      <c r="L230" s="23"/>
      <c r="M230" s="22">
        <v>0</v>
      </c>
      <c r="N230" s="74">
        <v>0</v>
      </c>
      <c r="O230" s="22">
        <v>0</v>
      </c>
      <c r="P230" s="21">
        <v>600000</v>
      </c>
      <c r="S230" s="108" t="b">
        <f>OR(COUNTIF(Tabla2[[#This Row],[PROVEEDOR]],"*"&amp;'Palabra no opera'!$A$2&amp;"*"))</f>
        <v>0</v>
      </c>
      <c r="T230" s="139">
        <f>+$W$5-Tabla2[[#This Row],[FECHA DE FACTURACIÓN]]</f>
        <v>46</v>
      </c>
      <c r="U230" t="str">
        <f>+IF(Tabla2[[#This Row],[dias de credito]]&gt;=Tabla2[[#This Row],[PLAZO Días]],"venc", "No venc")</f>
        <v>venc</v>
      </c>
      <c r="V230" t="str">
        <f>+IF(Tabla2[[#This Row],[FECHA DE PAGO]]&gt;0,"pagada","por pagar")</f>
        <v>pagada</v>
      </c>
      <c r="W230" s="141" t="str">
        <f>+IF(AND(Tabla2[[#This Row],[venc]]="venc",Tabla2[[#This Row],[Columna1]]="por pagar"),"vencida","no")</f>
        <v>no</v>
      </c>
    </row>
    <row r="231" spans="1:23" ht="15.6" hidden="1" x14ac:dyDescent="0.3">
      <c r="A231" s="20">
        <v>30</v>
      </c>
      <c r="B231" s="25">
        <v>0</v>
      </c>
      <c r="C231" s="25"/>
      <c r="D231" s="56" t="s">
        <v>107</v>
      </c>
      <c r="E231" s="426">
        <v>45245</v>
      </c>
      <c r="F231" s="26" t="s">
        <v>378</v>
      </c>
      <c r="G231" s="426">
        <v>45245</v>
      </c>
      <c r="H231" s="35" t="s">
        <v>2194</v>
      </c>
      <c r="I231" s="21">
        <v>460000</v>
      </c>
      <c r="J231" s="21"/>
      <c r="K231" s="22">
        <v>0</v>
      </c>
      <c r="L231" s="23"/>
      <c r="M231" s="22">
        <v>0</v>
      </c>
      <c r="N231" s="74">
        <v>0</v>
      </c>
      <c r="O231" s="22">
        <v>0</v>
      </c>
      <c r="P231" s="21">
        <v>460000</v>
      </c>
      <c r="S231" s="108" t="b">
        <f>OR(COUNTIF(Tabla2[[#This Row],[PROVEEDOR]],"*"&amp;'Palabra no opera'!$A$2&amp;"*"))</f>
        <v>0</v>
      </c>
      <c r="T231" s="139">
        <f>+$W$5-Tabla2[[#This Row],[FECHA DE FACTURACIÓN]]</f>
        <v>46</v>
      </c>
      <c r="U231" t="str">
        <f>+IF(Tabla2[[#This Row],[dias de credito]]&gt;=Tabla2[[#This Row],[PLAZO Días]],"venc", "No venc")</f>
        <v>venc</v>
      </c>
      <c r="V231" t="str">
        <f>+IF(Tabla2[[#This Row],[FECHA DE PAGO]]&gt;0,"pagada","por pagar")</f>
        <v>pagada</v>
      </c>
      <c r="W231" s="141" t="str">
        <f>+IF(AND(Tabla2[[#This Row],[venc]]="venc",Tabla2[[#This Row],[Columna1]]="por pagar"),"vencida","no")</f>
        <v>no</v>
      </c>
    </row>
    <row r="232" spans="1:23" ht="15.6" hidden="1" x14ac:dyDescent="0.3">
      <c r="A232" s="20">
        <v>13</v>
      </c>
      <c r="B232" s="25">
        <v>0</v>
      </c>
      <c r="C232" s="25"/>
      <c r="D232" s="56">
        <v>0</v>
      </c>
      <c r="E232" s="426">
        <v>45245</v>
      </c>
      <c r="F232" s="26" t="s">
        <v>644</v>
      </c>
      <c r="G232" s="426">
        <v>45231</v>
      </c>
      <c r="H232" s="35"/>
      <c r="I232" s="21">
        <v>959182</v>
      </c>
      <c r="J232" s="21"/>
      <c r="K232" s="22">
        <v>0</v>
      </c>
      <c r="L232" s="23"/>
      <c r="M232" s="22">
        <v>0</v>
      </c>
      <c r="N232" s="74">
        <v>0</v>
      </c>
      <c r="O232" s="22">
        <v>0</v>
      </c>
      <c r="P232" s="21">
        <v>959182</v>
      </c>
      <c r="S232" s="108" t="b">
        <f>OR(COUNTIF(Tabla2[[#This Row],[PROVEEDOR]],"*"&amp;'Palabra no opera'!$A$2&amp;"*"))</f>
        <v>1</v>
      </c>
      <c r="T232" s="139">
        <f>+$W$5-Tabla2[[#This Row],[FECHA DE FACTURACIÓN]]</f>
        <v>60</v>
      </c>
      <c r="U232" t="str">
        <f>+IF(Tabla2[[#This Row],[dias de credito]]&gt;=Tabla2[[#This Row],[PLAZO Días]],"venc", "No venc")</f>
        <v>venc</v>
      </c>
      <c r="V232" t="str">
        <f>+IF(Tabla2[[#This Row],[FECHA DE PAGO]]&gt;0,"pagada","por pagar")</f>
        <v>pagada</v>
      </c>
      <c r="W232" s="141" t="str">
        <f>+IF(AND(Tabla2[[#This Row],[venc]]="venc",Tabla2[[#This Row],[Columna1]]="por pagar"),"vencida","no")</f>
        <v>no</v>
      </c>
    </row>
    <row r="233" spans="1:23" ht="15.6" hidden="1" x14ac:dyDescent="0.3">
      <c r="A233" s="20">
        <v>30</v>
      </c>
      <c r="B233" s="25">
        <v>0</v>
      </c>
      <c r="C233" s="25"/>
      <c r="D233" s="56" t="s">
        <v>107</v>
      </c>
      <c r="E233" s="426">
        <v>45244</v>
      </c>
      <c r="F233" s="26" t="s">
        <v>53</v>
      </c>
      <c r="G233" s="426">
        <v>45244</v>
      </c>
      <c r="H233" s="35">
        <v>310278</v>
      </c>
      <c r="I233" s="21">
        <v>2296000</v>
      </c>
      <c r="J233" s="21"/>
      <c r="K233" s="22">
        <v>0</v>
      </c>
      <c r="L233" s="23"/>
      <c r="M233" s="22">
        <v>0</v>
      </c>
      <c r="N233" s="74">
        <v>0</v>
      </c>
      <c r="O233" s="22">
        <v>0</v>
      </c>
      <c r="P233" s="21">
        <v>2296000</v>
      </c>
      <c r="S233" s="108" t="b">
        <f>OR(COUNTIF(Tabla2[[#This Row],[PROVEEDOR]],"*"&amp;'Palabra no opera'!$A$2&amp;"*"))</f>
        <v>0</v>
      </c>
      <c r="T233" s="139">
        <f>+$W$5-Tabla2[[#This Row],[FECHA DE FACTURACIÓN]]</f>
        <v>47</v>
      </c>
      <c r="U233" t="str">
        <f>+IF(Tabla2[[#This Row],[dias de credito]]&gt;=Tabla2[[#This Row],[PLAZO Días]],"venc", "No venc")</f>
        <v>venc</v>
      </c>
      <c r="V233" t="str">
        <f>+IF(Tabla2[[#This Row],[FECHA DE PAGO]]&gt;0,"pagada","por pagar")</f>
        <v>pagada</v>
      </c>
      <c r="W233" s="141" t="str">
        <f>+IF(AND(Tabla2[[#This Row],[venc]]="venc",Tabla2[[#This Row],[Columna1]]="por pagar"),"vencida","no")</f>
        <v>no</v>
      </c>
    </row>
    <row r="234" spans="1:23" ht="15.6" hidden="1" x14ac:dyDescent="0.3">
      <c r="A234" s="20">
        <v>30</v>
      </c>
      <c r="B234" s="25">
        <v>0</v>
      </c>
      <c r="C234" s="25"/>
      <c r="D234" s="56" t="s">
        <v>107</v>
      </c>
      <c r="E234" s="426">
        <v>45244</v>
      </c>
      <c r="F234" s="26" t="s">
        <v>53</v>
      </c>
      <c r="G234" s="426">
        <v>45244</v>
      </c>
      <c r="H234" s="35">
        <v>310278</v>
      </c>
      <c r="I234" s="21">
        <v>1036000</v>
      </c>
      <c r="J234" s="21"/>
      <c r="K234" s="22">
        <v>0</v>
      </c>
      <c r="L234" s="23"/>
      <c r="M234" s="22">
        <v>0</v>
      </c>
      <c r="N234" s="74">
        <v>0</v>
      </c>
      <c r="O234" s="22">
        <v>0</v>
      </c>
      <c r="P234" s="21">
        <v>1036000</v>
      </c>
      <c r="S234" s="108" t="b">
        <f>OR(COUNTIF(Tabla2[[#This Row],[PROVEEDOR]],"*"&amp;'Palabra no opera'!$A$2&amp;"*"))</f>
        <v>0</v>
      </c>
      <c r="T234" s="139">
        <f>+$W$5-Tabla2[[#This Row],[FECHA DE FACTURACIÓN]]</f>
        <v>47</v>
      </c>
      <c r="U234" t="str">
        <f>+IF(Tabla2[[#This Row],[dias de credito]]&gt;=Tabla2[[#This Row],[PLAZO Días]],"venc", "No venc")</f>
        <v>venc</v>
      </c>
      <c r="V234" t="str">
        <f>+IF(Tabla2[[#This Row],[FECHA DE PAGO]]&gt;0,"pagada","por pagar")</f>
        <v>pagada</v>
      </c>
      <c r="W234" s="141" t="str">
        <f>+IF(AND(Tabla2[[#This Row],[venc]]="venc",Tabla2[[#This Row],[Columna1]]="por pagar"),"vencida","no")</f>
        <v>no</v>
      </c>
    </row>
    <row r="235" spans="1:23" ht="15.6" hidden="1" x14ac:dyDescent="0.3">
      <c r="A235" s="20">
        <v>30</v>
      </c>
      <c r="B235" s="25">
        <v>0</v>
      </c>
      <c r="C235" s="25"/>
      <c r="D235" s="56" t="s">
        <v>659</v>
      </c>
      <c r="E235" s="426">
        <v>45244</v>
      </c>
      <c r="F235" s="26" t="s">
        <v>227</v>
      </c>
      <c r="G235" s="426">
        <v>45244</v>
      </c>
      <c r="H235" s="35" t="s">
        <v>2137</v>
      </c>
      <c r="I235" s="21">
        <v>2313921</v>
      </c>
      <c r="J235" s="21"/>
      <c r="K235" s="22">
        <v>0</v>
      </c>
      <c r="L235" s="23"/>
      <c r="M235" s="22">
        <v>0</v>
      </c>
      <c r="N235" s="74">
        <v>0</v>
      </c>
      <c r="O235" s="22">
        <v>0</v>
      </c>
      <c r="P235" s="21">
        <v>2313921</v>
      </c>
      <c r="S235" s="108" t="b">
        <f>OR(COUNTIF(Tabla2[[#This Row],[PROVEEDOR]],"*"&amp;'Palabra no opera'!$A$2&amp;"*"))</f>
        <v>0</v>
      </c>
      <c r="T235" s="139">
        <f>+$W$5-Tabla2[[#This Row],[FECHA DE FACTURACIÓN]]</f>
        <v>47</v>
      </c>
      <c r="U235" t="str">
        <f>+IF(Tabla2[[#This Row],[dias de credito]]&gt;=Tabla2[[#This Row],[PLAZO Días]],"venc", "No venc")</f>
        <v>venc</v>
      </c>
      <c r="V235" t="str">
        <f>+IF(Tabla2[[#This Row],[FECHA DE PAGO]]&gt;0,"pagada","por pagar")</f>
        <v>pagada</v>
      </c>
      <c r="W235" s="141" t="str">
        <f>+IF(AND(Tabla2[[#This Row],[venc]]="venc",Tabla2[[#This Row],[Columna1]]="por pagar"),"vencida","no")</f>
        <v>no</v>
      </c>
    </row>
    <row r="236" spans="1:23" ht="15.6" hidden="1" x14ac:dyDescent="0.3">
      <c r="A236" s="20">
        <v>30</v>
      </c>
      <c r="B236" s="25">
        <v>0</v>
      </c>
      <c r="C236" s="25"/>
      <c r="D236" s="56" t="s">
        <v>2093</v>
      </c>
      <c r="E236" s="426">
        <v>45244</v>
      </c>
      <c r="F236" s="26" t="s">
        <v>2094</v>
      </c>
      <c r="G236" s="426">
        <v>45244</v>
      </c>
      <c r="H236" s="35" t="s">
        <v>2161</v>
      </c>
      <c r="I236" s="21">
        <v>502938</v>
      </c>
      <c r="J236" s="21"/>
      <c r="K236" s="22">
        <v>95558.22</v>
      </c>
      <c r="L236" s="23"/>
      <c r="M236" s="22">
        <v>0</v>
      </c>
      <c r="N236" s="74">
        <v>0</v>
      </c>
      <c r="O236" s="22">
        <v>0</v>
      </c>
      <c r="P236" s="21">
        <v>598496.22</v>
      </c>
      <c r="S236" s="108" t="b">
        <f>OR(COUNTIF(Tabla2[[#This Row],[PROVEEDOR]],"*"&amp;'Palabra no opera'!$A$2&amp;"*"))</f>
        <v>0</v>
      </c>
      <c r="T236" s="139">
        <f>+$W$5-Tabla2[[#This Row],[FECHA DE FACTURACIÓN]]</f>
        <v>47</v>
      </c>
      <c r="U236" t="str">
        <f>+IF(Tabla2[[#This Row],[dias de credito]]&gt;=Tabla2[[#This Row],[PLAZO Días]],"venc", "No venc")</f>
        <v>venc</v>
      </c>
      <c r="V236" t="str">
        <f>+IF(Tabla2[[#This Row],[FECHA DE PAGO]]&gt;0,"pagada","por pagar")</f>
        <v>pagada</v>
      </c>
      <c r="W236" s="141" t="str">
        <f>+IF(AND(Tabla2[[#This Row],[venc]]="venc",Tabla2[[#This Row],[Columna1]]="por pagar"),"vencida","no")</f>
        <v>no</v>
      </c>
    </row>
    <row r="237" spans="1:23" ht="15.6" hidden="1" x14ac:dyDescent="0.3">
      <c r="A237" s="20">
        <v>30</v>
      </c>
      <c r="B237" s="25">
        <v>0</v>
      </c>
      <c r="C237" s="25"/>
      <c r="D237" s="56" t="s">
        <v>258</v>
      </c>
      <c r="E237" s="426">
        <v>45244</v>
      </c>
      <c r="F237" s="26" t="s">
        <v>394</v>
      </c>
      <c r="G237" s="426">
        <v>45210</v>
      </c>
      <c r="H237" s="35" t="s">
        <v>2063</v>
      </c>
      <c r="I237" s="21">
        <v>986500</v>
      </c>
      <c r="J237" s="21"/>
      <c r="K237" s="22">
        <v>0</v>
      </c>
      <c r="L237" s="23"/>
      <c r="M237" s="22">
        <v>0</v>
      </c>
      <c r="N237" s="74">
        <v>0</v>
      </c>
      <c r="O237" s="22">
        <v>0</v>
      </c>
      <c r="P237" s="21">
        <v>986500</v>
      </c>
      <c r="S237" s="108" t="b">
        <f>OR(COUNTIF(Tabla2[[#This Row],[PROVEEDOR]],"*"&amp;'Palabra no opera'!$A$2&amp;"*"))</f>
        <v>0</v>
      </c>
      <c r="T237" s="139">
        <f>+$W$5-Tabla2[[#This Row],[FECHA DE FACTURACIÓN]]</f>
        <v>81</v>
      </c>
      <c r="U237" t="str">
        <f>+IF(Tabla2[[#This Row],[dias de credito]]&gt;=Tabla2[[#This Row],[PLAZO Días]],"venc", "No venc")</f>
        <v>venc</v>
      </c>
      <c r="V237" t="str">
        <f>+IF(Tabla2[[#This Row],[FECHA DE PAGO]]&gt;0,"pagada","por pagar")</f>
        <v>pagada</v>
      </c>
      <c r="W237" s="141" t="str">
        <f>+IF(AND(Tabla2[[#This Row],[venc]]="venc",Tabla2[[#This Row],[Columna1]]="por pagar"),"vencida","no")</f>
        <v>no</v>
      </c>
    </row>
    <row r="238" spans="1:23" ht="15.6" hidden="1" x14ac:dyDescent="0.3">
      <c r="A238" s="20">
        <v>30</v>
      </c>
      <c r="B238" s="25">
        <v>4248480.9550000001</v>
      </c>
      <c r="C238" s="25"/>
      <c r="D238" s="56" t="s">
        <v>107</v>
      </c>
      <c r="E238" s="426">
        <v>45244</v>
      </c>
      <c r="F238" s="26" t="s">
        <v>78</v>
      </c>
      <c r="G238" s="426">
        <v>45203</v>
      </c>
      <c r="H238" s="35" t="s">
        <v>2066</v>
      </c>
      <c r="I238" s="21">
        <v>168068</v>
      </c>
      <c r="J238" s="21"/>
      <c r="K238" s="22">
        <v>31932.920000000002</v>
      </c>
      <c r="L238" s="23"/>
      <c r="M238" s="22">
        <v>0</v>
      </c>
      <c r="N238" s="74">
        <v>0</v>
      </c>
      <c r="O238" s="22">
        <v>0</v>
      </c>
      <c r="P238" s="21">
        <v>200000.92</v>
      </c>
      <c r="S238" s="108" t="b">
        <f>OR(COUNTIF(Tabla2[[#This Row],[PROVEEDOR]],"*"&amp;'Palabra no opera'!$A$2&amp;"*"))</f>
        <v>0</v>
      </c>
      <c r="T238" s="139">
        <f>+$W$5-Tabla2[[#This Row],[FECHA DE FACTURACIÓN]]</f>
        <v>88</v>
      </c>
      <c r="U238" t="str">
        <f>+IF(Tabla2[[#This Row],[dias de credito]]&gt;=Tabla2[[#This Row],[PLAZO Días]],"venc", "No venc")</f>
        <v>venc</v>
      </c>
      <c r="V238" t="str">
        <f>+IF(Tabla2[[#This Row],[FECHA DE PAGO]]&gt;0,"pagada","por pagar")</f>
        <v>pagada</v>
      </c>
      <c r="W238" s="141" t="str">
        <f>+IF(AND(Tabla2[[#This Row],[venc]]="venc",Tabla2[[#This Row],[Columna1]]="por pagar"),"vencida","no")</f>
        <v>no</v>
      </c>
    </row>
    <row r="239" spans="1:23" ht="15.6" hidden="1" x14ac:dyDescent="0.3">
      <c r="A239" s="20">
        <v>30</v>
      </c>
      <c r="B239" s="25">
        <v>4248480.9550000001</v>
      </c>
      <c r="C239" s="25"/>
      <c r="D239" s="56" t="s">
        <v>107</v>
      </c>
      <c r="E239" s="426">
        <v>45244</v>
      </c>
      <c r="F239" s="26" t="s">
        <v>78</v>
      </c>
      <c r="G239" s="426">
        <v>45196</v>
      </c>
      <c r="H239" s="35" t="s">
        <v>2001</v>
      </c>
      <c r="I239" s="21">
        <v>2740335</v>
      </c>
      <c r="J239" s="21"/>
      <c r="K239" s="22">
        <v>520663.65</v>
      </c>
      <c r="L239" s="23"/>
      <c r="M239" s="22">
        <v>0</v>
      </c>
      <c r="N239" s="74">
        <v>2.5000000000000001E-2</v>
      </c>
      <c r="O239" s="22">
        <v>68508.375</v>
      </c>
      <c r="P239" s="21">
        <v>3192490.2749999999</v>
      </c>
      <c r="S239" s="108" t="b">
        <f>OR(COUNTIF(Tabla2[[#This Row],[PROVEEDOR]],"*"&amp;'Palabra no opera'!$A$2&amp;"*"))</f>
        <v>0</v>
      </c>
      <c r="T239" s="139">
        <f>+$W$5-Tabla2[[#This Row],[FECHA DE FACTURACIÓN]]</f>
        <v>95</v>
      </c>
      <c r="U239" t="str">
        <f>+IF(Tabla2[[#This Row],[dias de credito]]&gt;=Tabla2[[#This Row],[PLAZO Días]],"venc", "No venc")</f>
        <v>venc</v>
      </c>
      <c r="V239" t="str">
        <f>+IF(Tabla2[[#This Row],[FECHA DE PAGO]]&gt;0,"pagada","por pagar")</f>
        <v>pagada</v>
      </c>
      <c r="W239" s="141" t="str">
        <f>+IF(AND(Tabla2[[#This Row],[venc]]="venc",Tabla2[[#This Row],[Columna1]]="por pagar"),"vencida","no")</f>
        <v>no</v>
      </c>
    </row>
    <row r="240" spans="1:23" ht="15.6" hidden="1" x14ac:dyDescent="0.3">
      <c r="A240" s="20">
        <v>30</v>
      </c>
      <c r="B240" s="25">
        <v>0</v>
      </c>
      <c r="C240" s="25"/>
      <c r="D240" s="56">
        <v>0</v>
      </c>
      <c r="E240" s="426">
        <v>45240</v>
      </c>
      <c r="F240" s="26" t="s">
        <v>413</v>
      </c>
      <c r="G240" s="426">
        <v>45231</v>
      </c>
      <c r="H240" s="35" t="s">
        <v>2147</v>
      </c>
      <c r="I240" s="21">
        <v>1128000</v>
      </c>
      <c r="J240" s="21"/>
      <c r="K240" s="22">
        <v>0</v>
      </c>
      <c r="L240" s="23"/>
      <c r="M240" s="22">
        <v>0</v>
      </c>
      <c r="N240" s="74">
        <v>0</v>
      </c>
      <c r="O240" s="22">
        <v>0</v>
      </c>
      <c r="P240" s="21">
        <v>1128000</v>
      </c>
      <c r="S240" s="108" t="b">
        <f>OR(COUNTIF(Tabla2[[#This Row],[PROVEEDOR]],"*"&amp;'Palabra no opera'!$A$2&amp;"*"))</f>
        <v>0</v>
      </c>
      <c r="T240" s="139">
        <f>+$W$5-Tabla2[[#This Row],[FECHA DE FACTURACIÓN]]</f>
        <v>60</v>
      </c>
      <c r="U240" t="str">
        <f>+IF(Tabla2[[#This Row],[dias de credito]]&gt;=Tabla2[[#This Row],[PLAZO Días]],"venc", "No venc")</f>
        <v>venc</v>
      </c>
      <c r="V240" t="str">
        <f>+IF(Tabla2[[#This Row],[FECHA DE PAGO]]&gt;0,"pagada","por pagar")</f>
        <v>pagada</v>
      </c>
      <c r="W240" s="141" t="str">
        <f>+IF(AND(Tabla2[[#This Row],[venc]]="venc",Tabla2[[#This Row],[Columna1]]="por pagar"),"vencida","no")</f>
        <v>no</v>
      </c>
    </row>
    <row r="241" spans="1:23" ht="15.6" hidden="1" x14ac:dyDescent="0.3">
      <c r="A241" s="20">
        <v>30</v>
      </c>
      <c r="B241" s="25">
        <v>0</v>
      </c>
      <c r="C241" s="25"/>
      <c r="D241" s="56" t="s">
        <v>368</v>
      </c>
      <c r="E241" s="426">
        <v>45240</v>
      </c>
      <c r="F241" s="26" t="s">
        <v>623</v>
      </c>
      <c r="G241" s="426">
        <v>45231</v>
      </c>
      <c r="H241" s="35" t="s">
        <v>2104</v>
      </c>
      <c r="I241" s="21">
        <v>908172</v>
      </c>
      <c r="J241" s="21"/>
      <c r="K241" s="22">
        <v>172552.68</v>
      </c>
      <c r="L241" s="23"/>
      <c r="M241" s="22">
        <v>0</v>
      </c>
      <c r="N241" s="74">
        <v>0.04</v>
      </c>
      <c r="O241" s="22">
        <v>36326.879999999997</v>
      </c>
      <c r="P241" s="21">
        <v>1044397.7999999999</v>
      </c>
      <c r="S241" s="108" t="b">
        <f>OR(COUNTIF(Tabla2[[#This Row],[PROVEEDOR]],"*"&amp;'Palabra no opera'!$A$2&amp;"*"))</f>
        <v>1</v>
      </c>
      <c r="T241" s="139">
        <f>+$W$5-Tabla2[[#This Row],[FECHA DE FACTURACIÓN]]</f>
        <v>60</v>
      </c>
      <c r="U241" t="str">
        <f>+IF(Tabla2[[#This Row],[dias de credito]]&gt;=Tabla2[[#This Row],[PLAZO Días]],"venc", "No venc")</f>
        <v>venc</v>
      </c>
      <c r="V241" t="str">
        <f>+IF(Tabla2[[#This Row],[FECHA DE PAGO]]&gt;0,"pagada","por pagar")</f>
        <v>pagada</v>
      </c>
      <c r="W241" s="141" t="str">
        <f>+IF(AND(Tabla2[[#This Row],[venc]]="venc",Tabla2[[#This Row],[Columna1]]="por pagar"),"vencida","no")</f>
        <v>no</v>
      </c>
    </row>
    <row r="242" spans="1:23" ht="15.6" hidden="1" x14ac:dyDescent="0.3">
      <c r="A242" s="20">
        <v>30</v>
      </c>
      <c r="B242" s="25">
        <v>0</v>
      </c>
      <c r="C242" s="25"/>
      <c r="D242" s="56" t="s">
        <v>368</v>
      </c>
      <c r="E242" s="426">
        <v>45240</v>
      </c>
      <c r="F242" s="26" t="s">
        <v>623</v>
      </c>
      <c r="G242" s="426">
        <v>45231</v>
      </c>
      <c r="H242" s="35" t="s">
        <v>2105</v>
      </c>
      <c r="I242" s="21">
        <v>3792544</v>
      </c>
      <c r="J242" s="21"/>
      <c r="K242" s="22">
        <v>720583.36</v>
      </c>
      <c r="L242" s="23"/>
      <c r="M242" s="22">
        <v>0</v>
      </c>
      <c r="N242" s="74"/>
      <c r="O242" s="22">
        <v>0</v>
      </c>
      <c r="P242" s="21">
        <v>4513127.3600000003</v>
      </c>
      <c r="S242" s="108" t="b">
        <f>OR(COUNTIF(Tabla2[[#This Row],[PROVEEDOR]],"*"&amp;'Palabra no opera'!$A$2&amp;"*"))</f>
        <v>1</v>
      </c>
      <c r="T242" s="139">
        <f>+$W$5-Tabla2[[#This Row],[FECHA DE FACTURACIÓN]]</f>
        <v>60</v>
      </c>
      <c r="U242" t="str">
        <f>+IF(Tabla2[[#This Row],[dias de credito]]&gt;=Tabla2[[#This Row],[PLAZO Días]],"venc", "No venc")</f>
        <v>venc</v>
      </c>
      <c r="V242" t="str">
        <f>+IF(Tabla2[[#This Row],[FECHA DE PAGO]]&gt;0,"pagada","por pagar")</f>
        <v>pagada</v>
      </c>
      <c r="W242" s="141" t="str">
        <f>+IF(AND(Tabla2[[#This Row],[venc]]="venc",Tabla2[[#This Row],[Columna1]]="por pagar"),"vencida","no")</f>
        <v>no</v>
      </c>
    </row>
    <row r="243" spans="1:23" ht="15.6" hidden="1" x14ac:dyDescent="0.3">
      <c r="A243" s="20">
        <v>10</v>
      </c>
      <c r="B243" s="25">
        <v>0</v>
      </c>
      <c r="C243" s="25"/>
      <c r="D243" s="56" t="s">
        <v>1203</v>
      </c>
      <c r="E243" s="426">
        <v>45240</v>
      </c>
      <c r="F243" s="26" t="s">
        <v>1202</v>
      </c>
      <c r="G243" s="426">
        <v>45231</v>
      </c>
      <c r="H243" s="35" t="s">
        <v>2103</v>
      </c>
      <c r="I243" s="21">
        <v>5350576</v>
      </c>
      <c r="J243" s="21"/>
      <c r="K243" s="22">
        <v>1016609</v>
      </c>
      <c r="L243" s="23"/>
      <c r="M243" s="22">
        <v>0</v>
      </c>
      <c r="N243" s="74">
        <v>0</v>
      </c>
      <c r="O243" s="22">
        <v>0</v>
      </c>
      <c r="P243" s="21">
        <v>6367185</v>
      </c>
      <c r="S243" s="108" t="b">
        <f>OR(COUNTIF(Tabla2[[#This Row],[PROVEEDOR]],"*"&amp;'Palabra no opera'!$A$2&amp;"*"))</f>
        <v>1</v>
      </c>
      <c r="T243" s="139">
        <f>+$W$5-Tabla2[[#This Row],[FECHA DE FACTURACIÓN]]</f>
        <v>60</v>
      </c>
      <c r="U243" t="str">
        <f>+IF(Tabla2[[#This Row],[dias de credito]]&gt;=Tabla2[[#This Row],[PLAZO Días]],"venc", "No venc")</f>
        <v>venc</v>
      </c>
      <c r="V243" t="str">
        <f>+IF(Tabla2[[#This Row],[FECHA DE PAGO]]&gt;0,"pagada","por pagar")</f>
        <v>pagada</v>
      </c>
      <c r="W243" s="141" t="str">
        <f>+IF(AND(Tabla2[[#This Row],[venc]]="venc",Tabla2[[#This Row],[Columna1]]="por pagar"),"vencida","no")</f>
        <v>no</v>
      </c>
    </row>
    <row r="244" spans="1:23" ht="15.6" hidden="1" x14ac:dyDescent="0.3">
      <c r="A244" s="20">
        <v>30</v>
      </c>
      <c r="B244" s="25">
        <v>0</v>
      </c>
      <c r="C244" s="25"/>
      <c r="D244" s="56">
        <v>0</v>
      </c>
      <c r="E244" s="426">
        <v>45239</v>
      </c>
      <c r="F244" s="26" t="s">
        <v>642</v>
      </c>
      <c r="G244" s="426">
        <v>45239</v>
      </c>
      <c r="H244" s="35" t="s">
        <v>2102</v>
      </c>
      <c r="I244" s="21">
        <v>1482303</v>
      </c>
      <c r="J244" s="21"/>
      <c r="K244" s="22">
        <v>0</v>
      </c>
      <c r="L244" s="23"/>
      <c r="M244" s="22">
        <v>0</v>
      </c>
      <c r="N244" s="74">
        <v>0</v>
      </c>
      <c r="O244" s="22">
        <v>0</v>
      </c>
      <c r="P244" s="21">
        <v>1482303</v>
      </c>
      <c r="S244" s="108" t="b">
        <f>OR(COUNTIF(Tabla2[[#This Row],[PROVEEDOR]],"*"&amp;'Palabra no opera'!$A$2&amp;"*"))</f>
        <v>1</v>
      </c>
      <c r="T244" s="139">
        <f>+$W$5-Tabla2[[#This Row],[FECHA DE FACTURACIÓN]]</f>
        <v>52</v>
      </c>
      <c r="U244" t="str">
        <f>+IF(Tabla2[[#This Row],[dias de credito]]&gt;=Tabla2[[#This Row],[PLAZO Días]],"venc", "No venc")</f>
        <v>venc</v>
      </c>
      <c r="V244" t="str">
        <f>+IF(Tabla2[[#This Row],[FECHA DE PAGO]]&gt;0,"pagada","por pagar")</f>
        <v>pagada</v>
      </c>
      <c r="W244" s="141" t="str">
        <f>+IF(AND(Tabla2[[#This Row],[venc]]="venc",Tabla2[[#This Row],[Columna1]]="por pagar"),"vencida","no")</f>
        <v>no</v>
      </c>
    </row>
    <row r="245" spans="1:23" ht="15.6" hidden="1" x14ac:dyDescent="0.3">
      <c r="A245" s="20">
        <v>30</v>
      </c>
      <c r="B245" s="25">
        <v>0</v>
      </c>
      <c r="C245" s="25"/>
      <c r="D245" s="56" t="s">
        <v>107</v>
      </c>
      <c r="E245" s="426">
        <v>45239</v>
      </c>
      <c r="F245" s="26" t="s">
        <v>1194</v>
      </c>
      <c r="G245" s="426">
        <v>45238</v>
      </c>
      <c r="H245" s="35" t="s">
        <v>2200</v>
      </c>
      <c r="I245" s="21">
        <v>2128000</v>
      </c>
      <c r="J245" s="21"/>
      <c r="K245" s="22">
        <v>0</v>
      </c>
      <c r="L245" s="23"/>
      <c r="M245" s="22">
        <v>0</v>
      </c>
      <c r="N245" s="74">
        <v>0</v>
      </c>
      <c r="O245" s="22">
        <v>0</v>
      </c>
      <c r="P245" s="21">
        <v>2128000</v>
      </c>
      <c r="S245" s="108" t="b">
        <f>OR(COUNTIF(Tabla2[[#This Row],[PROVEEDOR]],"*"&amp;'Palabra no opera'!$A$2&amp;"*"))</f>
        <v>0</v>
      </c>
      <c r="T245" s="139">
        <f>+$W$5-Tabla2[[#This Row],[FECHA DE FACTURACIÓN]]</f>
        <v>53</v>
      </c>
      <c r="U245" t="str">
        <f>+IF(Tabla2[[#This Row],[dias de credito]]&gt;=Tabla2[[#This Row],[PLAZO Días]],"venc", "No venc")</f>
        <v>venc</v>
      </c>
      <c r="V245" t="str">
        <f>+IF(Tabla2[[#This Row],[FECHA DE PAGO]]&gt;0,"pagada","por pagar")</f>
        <v>pagada</v>
      </c>
      <c r="W245" s="141" t="str">
        <f>+IF(AND(Tabla2[[#This Row],[venc]]="venc",Tabla2[[#This Row],[Columna1]]="por pagar"),"vencida","no")</f>
        <v>no</v>
      </c>
    </row>
    <row r="246" spans="1:23" ht="15.6" hidden="1" x14ac:dyDescent="0.3">
      <c r="A246" s="20">
        <v>30</v>
      </c>
      <c r="B246" s="25">
        <v>0</v>
      </c>
      <c r="C246" s="25"/>
      <c r="D246" s="56">
        <v>0</v>
      </c>
      <c r="E246" s="426">
        <v>45239</v>
      </c>
      <c r="F246" s="26" t="s">
        <v>642</v>
      </c>
      <c r="G246" s="426">
        <v>45231</v>
      </c>
      <c r="H246" s="35" t="s">
        <v>919</v>
      </c>
      <c r="I246" s="21">
        <v>129083</v>
      </c>
      <c r="J246" s="21"/>
      <c r="K246" s="22">
        <v>0</v>
      </c>
      <c r="L246" s="23"/>
      <c r="M246" s="22">
        <v>0</v>
      </c>
      <c r="N246" s="74">
        <v>0</v>
      </c>
      <c r="O246" s="22">
        <v>0</v>
      </c>
      <c r="P246" s="21">
        <v>129083</v>
      </c>
      <c r="S246" s="108" t="b">
        <f>OR(COUNTIF(Tabla2[[#This Row],[PROVEEDOR]],"*"&amp;'Palabra no opera'!$A$2&amp;"*"))</f>
        <v>1</v>
      </c>
      <c r="T246" s="139">
        <f>+$W$5-Tabla2[[#This Row],[FECHA DE FACTURACIÓN]]</f>
        <v>60</v>
      </c>
      <c r="U246" t="str">
        <f>+IF(Tabla2[[#This Row],[dias de credito]]&gt;=Tabla2[[#This Row],[PLAZO Días]],"venc", "No venc")</f>
        <v>venc</v>
      </c>
      <c r="V246" t="str">
        <f>+IF(Tabla2[[#This Row],[FECHA DE PAGO]]&gt;0,"pagada","por pagar")</f>
        <v>pagada</v>
      </c>
      <c r="W246" s="141" t="str">
        <f>+IF(AND(Tabla2[[#This Row],[venc]]="venc",Tabla2[[#This Row],[Columna1]]="por pagar"),"vencida","no")</f>
        <v>no</v>
      </c>
    </row>
    <row r="247" spans="1:23" ht="15.6" hidden="1" x14ac:dyDescent="0.3">
      <c r="A247" s="20">
        <v>30</v>
      </c>
      <c r="B247" s="25">
        <v>17870934.149999999</v>
      </c>
      <c r="C247" s="25"/>
      <c r="D247" s="56" t="s">
        <v>182</v>
      </c>
      <c r="E247" s="426">
        <v>45239</v>
      </c>
      <c r="F247" s="26" t="s">
        <v>18</v>
      </c>
      <c r="G247" s="426">
        <v>45203</v>
      </c>
      <c r="H247" s="35" t="s">
        <v>1999</v>
      </c>
      <c r="I247" s="21">
        <v>3099280</v>
      </c>
      <c r="J247" s="21"/>
      <c r="K247" s="22">
        <v>588863.19999999995</v>
      </c>
      <c r="L247" s="23"/>
      <c r="M247" s="22">
        <v>0</v>
      </c>
      <c r="N247" s="74">
        <v>2.5000000000000001E-2</v>
      </c>
      <c r="O247" s="22">
        <v>77482</v>
      </c>
      <c r="P247" s="21">
        <v>3610661.2</v>
      </c>
      <c r="S247" s="108" t="b">
        <f>OR(COUNTIF(Tabla2[[#This Row],[PROVEEDOR]],"*"&amp;'Palabra no opera'!$A$2&amp;"*"))</f>
        <v>0</v>
      </c>
      <c r="T247" s="139">
        <f>+$W$5-Tabla2[[#This Row],[FECHA DE FACTURACIÓN]]</f>
        <v>88</v>
      </c>
      <c r="U247" t="str">
        <f>+IF(Tabla2[[#This Row],[dias de credito]]&gt;=Tabla2[[#This Row],[PLAZO Días]],"venc", "No venc")</f>
        <v>venc</v>
      </c>
      <c r="V247" t="str">
        <f>+IF(Tabla2[[#This Row],[FECHA DE PAGO]]&gt;0,"pagada","por pagar")</f>
        <v>pagada</v>
      </c>
      <c r="W247" s="141" t="str">
        <f>+IF(AND(Tabla2[[#This Row],[venc]]="venc",Tabla2[[#This Row],[Columna1]]="por pagar"),"vencida","no")</f>
        <v>no</v>
      </c>
    </row>
    <row r="248" spans="1:23" ht="15.6" hidden="1" x14ac:dyDescent="0.3">
      <c r="A248" s="20">
        <v>30</v>
      </c>
      <c r="B248" s="25">
        <v>17870934.149999999</v>
      </c>
      <c r="C248" s="25"/>
      <c r="D248" s="56" t="s">
        <v>182</v>
      </c>
      <c r="E248" s="426">
        <v>45239</v>
      </c>
      <c r="F248" s="26" t="s">
        <v>18</v>
      </c>
      <c r="G248" s="426">
        <v>45198</v>
      </c>
      <c r="H248" s="35" t="s">
        <v>2000</v>
      </c>
      <c r="I248" s="21">
        <v>2031499</v>
      </c>
      <c r="J248" s="21"/>
      <c r="K248" s="22">
        <v>385984.81</v>
      </c>
      <c r="L248" s="23"/>
      <c r="M248" s="22">
        <v>0</v>
      </c>
      <c r="N248" s="74">
        <v>2.5000000000000001E-2</v>
      </c>
      <c r="O248" s="22">
        <v>50787.475000000006</v>
      </c>
      <c r="P248" s="21">
        <v>2366696.335</v>
      </c>
      <c r="S248" s="108" t="b">
        <f>OR(COUNTIF(Tabla2[[#This Row],[PROVEEDOR]],"*"&amp;'Palabra no opera'!$A$2&amp;"*"))</f>
        <v>0</v>
      </c>
      <c r="T248" s="139">
        <f>+$W$5-Tabla2[[#This Row],[FECHA DE FACTURACIÓN]]</f>
        <v>93</v>
      </c>
      <c r="U248" t="str">
        <f>+IF(Tabla2[[#This Row],[dias de credito]]&gt;=Tabla2[[#This Row],[PLAZO Días]],"venc", "No venc")</f>
        <v>venc</v>
      </c>
      <c r="V248" t="str">
        <f>+IF(Tabla2[[#This Row],[FECHA DE PAGO]]&gt;0,"pagada","por pagar")</f>
        <v>pagada</v>
      </c>
      <c r="W248" s="141" t="str">
        <f>+IF(AND(Tabla2[[#This Row],[venc]]="venc",Tabla2[[#This Row],[Columna1]]="por pagar"),"vencida","no")</f>
        <v>no</v>
      </c>
    </row>
    <row r="249" spans="1:23" ht="15.6" hidden="1" x14ac:dyDescent="0.3">
      <c r="A249" s="20">
        <v>30</v>
      </c>
      <c r="B249" s="25">
        <v>17870934.149999999</v>
      </c>
      <c r="C249" s="25"/>
      <c r="D249" s="56" t="s">
        <v>182</v>
      </c>
      <c r="E249" s="426">
        <v>45239</v>
      </c>
      <c r="F249" s="26" t="s">
        <v>18</v>
      </c>
      <c r="G249" s="426">
        <v>45190</v>
      </c>
      <c r="H249" s="35" t="s">
        <v>1975</v>
      </c>
      <c r="I249" s="21">
        <v>804018</v>
      </c>
      <c r="J249" s="21"/>
      <c r="K249" s="22">
        <v>152763.42000000001</v>
      </c>
      <c r="L249" s="23"/>
      <c r="M249" s="22">
        <v>0</v>
      </c>
      <c r="N249" s="74">
        <v>0</v>
      </c>
      <c r="O249" s="22">
        <v>0</v>
      </c>
      <c r="P249" s="21">
        <v>956781.42</v>
      </c>
      <c r="S249" s="108" t="b">
        <f>OR(COUNTIF(Tabla2[[#This Row],[PROVEEDOR]],"*"&amp;'Palabra no opera'!$A$2&amp;"*"))</f>
        <v>0</v>
      </c>
      <c r="T249" s="139">
        <f>+$W$5-Tabla2[[#This Row],[FECHA DE FACTURACIÓN]]</f>
        <v>101</v>
      </c>
      <c r="U249" t="str">
        <f>+IF(Tabla2[[#This Row],[dias de credito]]&gt;=Tabla2[[#This Row],[PLAZO Días]],"venc", "No venc")</f>
        <v>venc</v>
      </c>
      <c r="V249" t="str">
        <f>+IF(Tabla2[[#This Row],[FECHA DE PAGO]]&gt;0,"pagada","por pagar")</f>
        <v>pagada</v>
      </c>
      <c r="W249" s="141" t="str">
        <f>+IF(AND(Tabla2[[#This Row],[venc]]="venc",Tabla2[[#This Row],[Columna1]]="por pagar"),"vencida","no")</f>
        <v>no</v>
      </c>
    </row>
    <row r="250" spans="1:23" ht="15.6" hidden="1" x14ac:dyDescent="0.3">
      <c r="A250" s="20">
        <v>45</v>
      </c>
      <c r="B250" s="25">
        <v>8072960</v>
      </c>
      <c r="C250" s="25"/>
      <c r="D250" s="56" t="s">
        <v>198</v>
      </c>
      <c r="E250" s="426">
        <v>45239</v>
      </c>
      <c r="F250" s="26" t="s">
        <v>10</v>
      </c>
      <c r="G250" s="426">
        <v>45184</v>
      </c>
      <c r="H250" s="35" t="s">
        <v>1967</v>
      </c>
      <c r="I250" s="21">
        <v>2520000</v>
      </c>
      <c r="J250" s="21"/>
      <c r="K250" s="22">
        <v>478800</v>
      </c>
      <c r="L250" s="23"/>
      <c r="M250" s="22">
        <v>0</v>
      </c>
      <c r="N250" s="74">
        <v>0</v>
      </c>
      <c r="O250" s="22">
        <v>0</v>
      </c>
      <c r="P250" s="21">
        <v>2998800</v>
      </c>
      <c r="S250" s="108" t="b">
        <f>OR(COUNTIF(Tabla2[[#This Row],[PROVEEDOR]],"*"&amp;'Palabra no opera'!$A$2&amp;"*"))</f>
        <v>0</v>
      </c>
      <c r="T250" s="139">
        <f>+$W$5-Tabla2[[#This Row],[FECHA DE FACTURACIÓN]]</f>
        <v>107</v>
      </c>
      <c r="U250" t="str">
        <f>+IF(Tabla2[[#This Row],[dias de credito]]&gt;=Tabla2[[#This Row],[PLAZO Días]],"venc", "No venc")</f>
        <v>venc</v>
      </c>
      <c r="V250" t="str">
        <f>+IF(Tabla2[[#This Row],[FECHA DE PAGO]]&gt;0,"pagada","por pagar")</f>
        <v>pagada</v>
      </c>
      <c r="W250" s="141" t="str">
        <f>+IF(AND(Tabla2[[#This Row],[venc]]="venc",Tabla2[[#This Row],[Columna1]]="por pagar"),"vencida","no")</f>
        <v>no</v>
      </c>
    </row>
    <row r="251" spans="1:23" ht="15.6" hidden="1" x14ac:dyDescent="0.3">
      <c r="A251" s="20">
        <v>30</v>
      </c>
      <c r="B251" s="25">
        <v>680000</v>
      </c>
      <c r="C251" s="25"/>
      <c r="D251" s="56" t="s">
        <v>177</v>
      </c>
      <c r="E251" s="426">
        <v>45239</v>
      </c>
      <c r="F251" s="26" t="s">
        <v>412</v>
      </c>
      <c r="G251" s="426">
        <v>45177</v>
      </c>
      <c r="H251" s="35">
        <v>550829</v>
      </c>
      <c r="I251" s="21">
        <v>130000</v>
      </c>
      <c r="J251" s="21"/>
      <c r="K251" s="22">
        <v>0</v>
      </c>
      <c r="L251" s="23"/>
      <c r="M251" s="22">
        <v>0</v>
      </c>
      <c r="N251" s="74">
        <v>0</v>
      </c>
      <c r="O251" s="22">
        <v>0</v>
      </c>
      <c r="P251" s="21">
        <v>130000</v>
      </c>
      <c r="S251" s="108" t="b">
        <f>OR(COUNTIF(Tabla2[[#This Row],[PROVEEDOR]],"*"&amp;'Palabra no opera'!$A$2&amp;"*"))</f>
        <v>0</v>
      </c>
      <c r="T251" s="139">
        <f>+$W$5-Tabla2[[#This Row],[FECHA DE FACTURACIÓN]]</f>
        <v>114</v>
      </c>
      <c r="U251" t="str">
        <f>+IF(Tabla2[[#This Row],[dias de credito]]&gt;=Tabla2[[#This Row],[PLAZO Días]],"venc", "No venc")</f>
        <v>venc</v>
      </c>
      <c r="V251" t="str">
        <f>+IF(Tabla2[[#This Row],[FECHA DE PAGO]]&gt;0,"pagada","por pagar")</f>
        <v>pagada</v>
      </c>
      <c r="W251" s="141" t="str">
        <f>+IF(AND(Tabla2[[#This Row],[venc]]="venc",Tabla2[[#This Row],[Columna1]]="por pagar"),"vencida","no")</f>
        <v>no</v>
      </c>
    </row>
    <row r="252" spans="1:23" ht="15.6" hidden="1" x14ac:dyDescent="0.3">
      <c r="A252" s="20">
        <v>30</v>
      </c>
      <c r="B252" s="25">
        <v>680000</v>
      </c>
      <c r="C252" s="25"/>
      <c r="D252" s="56" t="s">
        <v>177</v>
      </c>
      <c r="E252" s="426">
        <v>45239</v>
      </c>
      <c r="F252" s="26" t="s">
        <v>412</v>
      </c>
      <c r="G252" s="426">
        <v>45140</v>
      </c>
      <c r="H252" s="35">
        <v>328151</v>
      </c>
      <c r="I252" s="21">
        <v>780000</v>
      </c>
      <c r="J252" s="21"/>
      <c r="K252" s="22">
        <v>0</v>
      </c>
      <c r="L252" s="23"/>
      <c r="M252" s="22">
        <v>0</v>
      </c>
      <c r="N252" s="74">
        <v>0</v>
      </c>
      <c r="O252" s="22">
        <v>0</v>
      </c>
      <c r="P252" s="21">
        <v>780000</v>
      </c>
      <c r="S252" s="108" t="b">
        <f>OR(COUNTIF(Tabla2[[#This Row],[PROVEEDOR]],"*"&amp;'Palabra no opera'!$A$2&amp;"*"))</f>
        <v>0</v>
      </c>
      <c r="T252" s="139">
        <f>+$W$5-Tabla2[[#This Row],[FECHA DE FACTURACIÓN]]</f>
        <v>151</v>
      </c>
      <c r="U252" t="str">
        <f>+IF(Tabla2[[#This Row],[dias de credito]]&gt;=Tabla2[[#This Row],[PLAZO Días]],"venc", "No venc")</f>
        <v>venc</v>
      </c>
      <c r="V252" t="str">
        <f>+IF(Tabla2[[#This Row],[FECHA DE PAGO]]&gt;0,"pagada","por pagar")</f>
        <v>pagada</v>
      </c>
      <c r="W252" s="141" t="str">
        <f>+IF(AND(Tabla2[[#This Row],[venc]]="venc",Tabla2[[#This Row],[Columna1]]="por pagar"),"vencida","no")</f>
        <v>no</v>
      </c>
    </row>
    <row r="253" spans="1:23" ht="15.6" hidden="1" x14ac:dyDescent="0.3">
      <c r="A253" s="20">
        <v>30</v>
      </c>
      <c r="B253" s="25">
        <v>0</v>
      </c>
      <c r="C253" s="25"/>
      <c r="D253" s="56" t="s">
        <v>107</v>
      </c>
      <c r="E253" s="426">
        <v>45237</v>
      </c>
      <c r="F253" s="26" t="s">
        <v>390</v>
      </c>
      <c r="G253" s="426">
        <v>45237</v>
      </c>
      <c r="H253" s="35"/>
      <c r="I253" s="21">
        <v>1000000</v>
      </c>
      <c r="J253" s="21"/>
      <c r="K253" s="22">
        <v>0</v>
      </c>
      <c r="L253" s="23"/>
      <c r="M253" s="22">
        <v>0</v>
      </c>
      <c r="N253" s="74">
        <v>0</v>
      </c>
      <c r="O253" s="22">
        <v>0</v>
      </c>
      <c r="P253" s="21">
        <v>1000000</v>
      </c>
      <c r="S253" s="108" t="b">
        <f>OR(COUNTIF(Tabla2[[#This Row],[PROVEEDOR]],"*"&amp;'Palabra no opera'!$A$2&amp;"*"))</f>
        <v>0</v>
      </c>
      <c r="T253" s="139">
        <f>+$W$5-Tabla2[[#This Row],[FECHA DE FACTURACIÓN]]</f>
        <v>54</v>
      </c>
      <c r="U253" t="str">
        <f>+IF(Tabla2[[#This Row],[dias de credito]]&gt;=Tabla2[[#This Row],[PLAZO Días]],"venc", "No venc")</f>
        <v>venc</v>
      </c>
      <c r="V253" t="str">
        <f>+IF(Tabla2[[#This Row],[FECHA DE PAGO]]&gt;0,"pagada","por pagar")</f>
        <v>pagada</v>
      </c>
      <c r="W253" s="141" t="str">
        <f>+IF(AND(Tabla2[[#This Row],[venc]]="venc",Tabla2[[#This Row],[Columna1]]="por pagar"),"vencida","no")</f>
        <v>no</v>
      </c>
    </row>
    <row r="254" spans="1:23" ht="15.6" hidden="1" x14ac:dyDescent="0.3">
      <c r="A254" s="20">
        <v>30</v>
      </c>
      <c r="B254" s="25">
        <v>2950000</v>
      </c>
      <c r="C254" s="25"/>
      <c r="D254" s="56">
        <v>0</v>
      </c>
      <c r="E254" s="426">
        <v>45237</v>
      </c>
      <c r="F254" s="26" t="s">
        <v>1152</v>
      </c>
      <c r="G254" s="426">
        <v>45237</v>
      </c>
      <c r="H254" s="35" t="s">
        <v>2154</v>
      </c>
      <c r="I254" s="21">
        <v>400000</v>
      </c>
      <c r="J254" s="21"/>
      <c r="K254" s="22">
        <v>0</v>
      </c>
      <c r="L254" s="23"/>
      <c r="M254" s="22">
        <v>0</v>
      </c>
      <c r="N254" s="74">
        <v>0</v>
      </c>
      <c r="O254" s="22">
        <v>0</v>
      </c>
      <c r="P254" s="21">
        <v>400000</v>
      </c>
      <c r="S254" s="108" t="b">
        <f>OR(COUNTIF(Tabla2[[#This Row],[PROVEEDOR]],"*"&amp;'Palabra no opera'!$A$2&amp;"*"))</f>
        <v>0</v>
      </c>
      <c r="T254" s="139">
        <f>+$W$5-Tabla2[[#This Row],[FECHA DE FACTURACIÓN]]</f>
        <v>54</v>
      </c>
      <c r="U254" t="str">
        <f>+IF(Tabla2[[#This Row],[dias de credito]]&gt;=Tabla2[[#This Row],[PLAZO Días]],"venc", "No venc")</f>
        <v>venc</v>
      </c>
      <c r="V254" t="str">
        <f>+IF(Tabla2[[#This Row],[FECHA DE PAGO]]&gt;0,"pagada","por pagar")</f>
        <v>pagada</v>
      </c>
      <c r="W254" s="141" t="str">
        <f>+IF(AND(Tabla2[[#This Row],[venc]]="venc",Tabla2[[#This Row],[Columna1]]="por pagar"),"vencida","no")</f>
        <v>no</v>
      </c>
    </row>
    <row r="255" spans="1:23" ht="15.6" hidden="1" x14ac:dyDescent="0.3">
      <c r="A255" s="20">
        <v>30</v>
      </c>
      <c r="B255" s="25">
        <v>0</v>
      </c>
      <c r="C255" s="25"/>
      <c r="D255" s="56" t="s">
        <v>2072</v>
      </c>
      <c r="E255" s="426">
        <v>45237</v>
      </c>
      <c r="F255" s="26" t="s">
        <v>2071</v>
      </c>
      <c r="G255" s="426">
        <v>45205</v>
      </c>
      <c r="H255" s="35" t="s">
        <v>2073</v>
      </c>
      <c r="I255" s="21">
        <v>757984</v>
      </c>
      <c r="J255" s="21"/>
      <c r="K255" s="22">
        <v>144016.95999999999</v>
      </c>
      <c r="L255" s="23"/>
      <c r="M255" s="22">
        <v>0</v>
      </c>
      <c r="N255" s="74">
        <v>0</v>
      </c>
      <c r="O255" s="22">
        <v>0</v>
      </c>
      <c r="P255" s="21">
        <v>902000.96</v>
      </c>
      <c r="S255" s="108" t="b">
        <f>OR(COUNTIF(Tabla2[[#This Row],[PROVEEDOR]],"*"&amp;'Palabra no opera'!$A$2&amp;"*"))</f>
        <v>0</v>
      </c>
      <c r="T255" s="139">
        <f>+$W$5-Tabla2[[#This Row],[FECHA DE FACTURACIÓN]]</f>
        <v>86</v>
      </c>
      <c r="U255" t="str">
        <f>+IF(Tabla2[[#This Row],[dias de credito]]&gt;=Tabla2[[#This Row],[PLAZO Días]],"venc", "No venc")</f>
        <v>venc</v>
      </c>
      <c r="V255" t="str">
        <f>+IF(Tabla2[[#This Row],[FECHA DE PAGO]]&gt;0,"pagada","por pagar")</f>
        <v>pagada</v>
      </c>
      <c r="W255" s="141" t="str">
        <f>+IF(AND(Tabla2[[#This Row],[venc]]="venc",Tabla2[[#This Row],[Columna1]]="por pagar"),"vencida","no")</f>
        <v>no</v>
      </c>
    </row>
    <row r="256" spans="1:23" ht="15.6" hidden="1" x14ac:dyDescent="0.3">
      <c r="A256" s="20">
        <v>30</v>
      </c>
      <c r="B256" s="25">
        <v>2950000</v>
      </c>
      <c r="C256" s="25"/>
      <c r="D256" s="56">
        <v>0</v>
      </c>
      <c r="E256" s="426">
        <v>45237</v>
      </c>
      <c r="F256" s="26" t="s">
        <v>1152</v>
      </c>
      <c r="G256" s="426">
        <v>45198</v>
      </c>
      <c r="H256" s="35">
        <v>5729</v>
      </c>
      <c r="I256" s="21">
        <v>1740000</v>
      </c>
      <c r="J256" s="21"/>
      <c r="K256" s="22">
        <v>0</v>
      </c>
      <c r="L256" s="23"/>
      <c r="M256" s="22">
        <v>0</v>
      </c>
      <c r="N256" s="74">
        <v>0</v>
      </c>
      <c r="O256" s="22">
        <v>0</v>
      </c>
      <c r="P256" s="21">
        <v>1740000</v>
      </c>
      <c r="S256" s="108" t="b">
        <f>OR(COUNTIF(Tabla2[[#This Row],[PROVEEDOR]],"*"&amp;'Palabra no opera'!$A$2&amp;"*"))</f>
        <v>0</v>
      </c>
      <c r="T256" s="139">
        <f>+$W$5-Tabla2[[#This Row],[FECHA DE FACTURACIÓN]]</f>
        <v>93</v>
      </c>
      <c r="U256" t="str">
        <f>+IF(Tabla2[[#This Row],[dias de credito]]&gt;=Tabla2[[#This Row],[PLAZO Días]],"venc", "No venc")</f>
        <v>venc</v>
      </c>
      <c r="V256" t="str">
        <f>+IF(Tabla2[[#This Row],[FECHA DE PAGO]]&gt;0,"pagada","por pagar")</f>
        <v>pagada</v>
      </c>
      <c r="W256" s="141" t="str">
        <f>+IF(AND(Tabla2[[#This Row],[venc]]="venc",Tabla2[[#This Row],[Columna1]]="por pagar"),"vencida","no")</f>
        <v>no</v>
      </c>
    </row>
    <row r="257" spans="1:23" ht="15.6" hidden="1" x14ac:dyDescent="0.3">
      <c r="A257" s="20">
        <v>45</v>
      </c>
      <c r="B257" s="25">
        <v>15770594</v>
      </c>
      <c r="C257" s="25"/>
      <c r="D257" s="56" t="s">
        <v>594</v>
      </c>
      <c r="E257" s="426">
        <v>45237</v>
      </c>
      <c r="F257" s="26" t="s">
        <v>19</v>
      </c>
      <c r="G257" s="426">
        <v>45197</v>
      </c>
      <c r="H257" s="35" t="s">
        <v>1979</v>
      </c>
      <c r="I257" s="21">
        <v>6110400</v>
      </c>
      <c r="J257" s="21"/>
      <c r="K257" s="22">
        <v>1160976</v>
      </c>
      <c r="L257" s="23"/>
      <c r="M257" s="22">
        <v>0</v>
      </c>
      <c r="N257" s="74">
        <v>0</v>
      </c>
      <c r="O257" s="22">
        <v>0</v>
      </c>
      <c r="P257" s="21">
        <v>7271376</v>
      </c>
      <c r="S257" s="108" t="b">
        <f>OR(COUNTIF(Tabla2[[#This Row],[PROVEEDOR]],"*"&amp;'Palabra no opera'!$A$2&amp;"*"))</f>
        <v>0</v>
      </c>
      <c r="T257" s="139">
        <f>+$W$5-Tabla2[[#This Row],[FECHA DE FACTURACIÓN]]</f>
        <v>94</v>
      </c>
      <c r="U257" t="str">
        <f>+IF(Tabla2[[#This Row],[dias de credito]]&gt;=Tabla2[[#This Row],[PLAZO Días]],"venc", "No venc")</f>
        <v>venc</v>
      </c>
      <c r="V257" t="str">
        <f>+IF(Tabla2[[#This Row],[FECHA DE PAGO]]&gt;0,"pagada","por pagar")</f>
        <v>pagada</v>
      </c>
      <c r="W257" s="141" t="str">
        <f>+IF(AND(Tabla2[[#This Row],[venc]]="venc",Tabla2[[#This Row],[Columna1]]="por pagar"),"vencida","no")</f>
        <v>no</v>
      </c>
    </row>
    <row r="258" spans="1:23" ht="15.6" hidden="1" x14ac:dyDescent="0.3">
      <c r="A258" s="20">
        <v>30</v>
      </c>
      <c r="B258" s="25">
        <v>18444236.894999996</v>
      </c>
      <c r="C258" s="25"/>
      <c r="D258" s="56" t="s">
        <v>731</v>
      </c>
      <c r="E258" s="426">
        <v>45237</v>
      </c>
      <c r="F258" s="26" t="s">
        <v>11</v>
      </c>
      <c r="G258" s="426">
        <v>45197</v>
      </c>
      <c r="H258" s="35" t="s">
        <v>1993</v>
      </c>
      <c r="I258" s="21">
        <v>2329416</v>
      </c>
      <c r="J258" s="21"/>
      <c r="K258" s="22">
        <v>442589.04</v>
      </c>
      <c r="L258" s="23"/>
      <c r="M258" s="22">
        <v>0</v>
      </c>
      <c r="N258" s="74">
        <v>2.5000000000000001E-2</v>
      </c>
      <c r="O258" s="22">
        <v>58235.4</v>
      </c>
      <c r="P258" s="21">
        <v>2713769.64</v>
      </c>
      <c r="S258" s="108" t="b">
        <f>OR(COUNTIF(Tabla2[[#This Row],[PROVEEDOR]],"*"&amp;'Palabra no opera'!$A$2&amp;"*"))</f>
        <v>0</v>
      </c>
      <c r="T258" s="139">
        <f>+$W$5-Tabla2[[#This Row],[FECHA DE FACTURACIÓN]]</f>
        <v>94</v>
      </c>
      <c r="U258" t="str">
        <f>+IF(Tabla2[[#This Row],[dias de credito]]&gt;=Tabla2[[#This Row],[PLAZO Días]],"venc", "No venc")</f>
        <v>venc</v>
      </c>
      <c r="V258" t="str">
        <f>+IF(Tabla2[[#This Row],[FECHA DE PAGO]]&gt;0,"pagada","por pagar")</f>
        <v>pagada</v>
      </c>
      <c r="W258" s="141" t="str">
        <f>+IF(AND(Tabla2[[#This Row],[venc]]="venc",Tabla2[[#This Row],[Columna1]]="por pagar"),"vencida","no")</f>
        <v>no</v>
      </c>
    </row>
    <row r="259" spans="1:23" ht="15.6" hidden="1" x14ac:dyDescent="0.3">
      <c r="A259" s="20">
        <v>30</v>
      </c>
      <c r="B259" s="25">
        <v>2950000</v>
      </c>
      <c r="C259" s="25"/>
      <c r="D259" s="56">
        <v>0</v>
      </c>
      <c r="E259" s="426">
        <v>45237</v>
      </c>
      <c r="F259" s="26" t="s">
        <v>1152</v>
      </c>
      <c r="G259" s="426">
        <v>45190</v>
      </c>
      <c r="H259" s="35">
        <v>5470</v>
      </c>
      <c r="I259" s="21">
        <v>375000</v>
      </c>
      <c r="J259" s="21"/>
      <c r="K259" s="22">
        <v>0</v>
      </c>
      <c r="L259" s="23"/>
      <c r="M259" s="22">
        <v>0</v>
      </c>
      <c r="N259" s="74">
        <v>0</v>
      </c>
      <c r="O259" s="22">
        <v>0</v>
      </c>
      <c r="P259" s="21">
        <v>375000</v>
      </c>
      <c r="S259" s="108" t="b">
        <f>OR(COUNTIF(Tabla2[[#This Row],[PROVEEDOR]],"*"&amp;'Palabra no opera'!$A$2&amp;"*"))</f>
        <v>0</v>
      </c>
      <c r="T259" s="139">
        <f>+$W$5-Tabla2[[#This Row],[FECHA DE FACTURACIÓN]]</f>
        <v>101</v>
      </c>
      <c r="U259" t="str">
        <f>+IF(Tabla2[[#This Row],[dias de credito]]&gt;=Tabla2[[#This Row],[PLAZO Días]],"venc", "No venc")</f>
        <v>venc</v>
      </c>
      <c r="V259" t="str">
        <f>+IF(Tabla2[[#This Row],[FECHA DE PAGO]]&gt;0,"pagada","por pagar")</f>
        <v>pagada</v>
      </c>
      <c r="W259" s="141" t="str">
        <f>+IF(AND(Tabla2[[#This Row],[venc]]="venc",Tabla2[[#This Row],[Columna1]]="por pagar"),"vencida","no")</f>
        <v>no</v>
      </c>
    </row>
    <row r="260" spans="1:23" ht="15.6" hidden="1" x14ac:dyDescent="0.3">
      <c r="A260" s="20">
        <v>30</v>
      </c>
      <c r="B260" s="25">
        <v>18444236.894999996</v>
      </c>
      <c r="C260" s="25"/>
      <c r="D260" s="56" t="s">
        <v>731</v>
      </c>
      <c r="E260" s="426">
        <v>45237</v>
      </c>
      <c r="F260" s="26" t="s">
        <v>11</v>
      </c>
      <c r="G260" s="426">
        <v>45188</v>
      </c>
      <c r="H260" s="35" t="s">
        <v>1970</v>
      </c>
      <c r="I260" s="21">
        <v>2631937</v>
      </c>
      <c r="J260" s="21"/>
      <c r="K260" s="22">
        <v>500068.03</v>
      </c>
      <c r="L260" s="23"/>
      <c r="M260" s="22">
        <v>0</v>
      </c>
      <c r="N260" s="74">
        <v>2.5000000000000001E-2</v>
      </c>
      <c r="O260" s="22">
        <v>65798.425000000003</v>
      </c>
      <c r="P260" s="21">
        <v>3066206.6050000004</v>
      </c>
      <c r="S260" s="108" t="b">
        <f>OR(COUNTIF(Tabla2[[#This Row],[PROVEEDOR]],"*"&amp;'Palabra no opera'!$A$2&amp;"*"))</f>
        <v>0</v>
      </c>
      <c r="T260" s="139">
        <f>+$W$5-Tabla2[[#This Row],[FECHA DE FACTURACIÓN]]</f>
        <v>103</v>
      </c>
      <c r="U260" t="str">
        <f>+IF(Tabla2[[#This Row],[dias de credito]]&gt;=Tabla2[[#This Row],[PLAZO Días]],"venc", "No venc")</f>
        <v>venc</v>
      </c>
      <c r="V260" t="str">
        <f>+IF(Tabla2[[#This Row],[FECHA DE PAGO]]&gt;0,"pagada","por pagar")</f>
        <v>pagada</v>
      </c>
      <c r="W260" s="141" t="str">
        <f>+IF(AND(Tabla2[[#This Row],[venc]]="venc",Tabla2[[#This Row],[Columna1]]="por pagar"),"vencida","no")</f>
        <v>no</v>
      </c>
    </row>
    <row r="261" spans="1:23" ht="15.6" hidden="1" x14ac:dyDescent="0.3">
      <c r="A261" s="20">
        <v>30</v>
      </c>
      <c r="B261" s="25">
        <v>2100000</v>
      </c>
      <c r="C261" s="25"/>
      <c r="D261" s="56" t="s">
        <v>107</v>
      </c>
      <c r="E261" s="426">
        <v>45237</v>
      </c>
      <c r="F261" s="26" t="s">
        <v>349</v>
      </c>
      <c r="G261" s="426">
        <v>45187</v>
      </c>
      <c r="H261" s="35" t="s">
        <v>2005</v>
      </c>
      <c r="I261" s="21">
        <v>1242500</v>
      </c>
      <c r="J261" s="21"/>
      <c r="K261" s="22">
        <v>0</v>
      </c>
      <c r="L261" s="23"/>
      <c r="M261" s="22">
        <v>0</v>
      </c>
      <c r="N261" s="74">
        <v>0</v>
      </c>
      <c r="O261" s="22">
        <v>0</v>
      </c>
      <c r="P261" s="21">
        <v>1242500</v>
      </c>
      <c r="S261" s="108" t="b">
        <f>OR(COUNTIF(Tabla2[[#This Row],[PROVEEDOR]],"*"&amp;'Palabra no opera'!$A$2&amp;"*"))</f>
        <v>0</v>
      </c>
      <c r="T261" s="139">
        <f>+$W$5-Tabla2[[#This Row],[FECHA DE FACTURACIÓN]]</f>
        <v>104</v>
      </c>
      <c r="U261" t="str">
        <f>+IF(Tabla2[[#This Row],[dias de credito]]&gt;=Tabla2[[#This Row],[PLAZO Días]],"venc", "No venc")</f>
        <v>venc</v>
      </c>
      <c r="V261" t="str">
        <f>+IF(Tabla2[[#This Row],[FECHA DE PAGO]]&gt;0,"pagada","por pagar")</f>
        <v>pagada</v>
      </c>
      <c r="W261" s="141" t="str">
        <f>+IF(AND(Tabla2[[#This Row],[venc]]="venc",Tabla2[[#This Row],[Columna1]]="por pagar"),"vencida","no")</f>
        <v>no</v>
      </c>
    </row>
    <row r="262" spans="1:23" ht="15.6" hidden="1" x14ac:dyDescent="0.3">
      <c r="A262" s="20">
        <v>30</v>
      </c>
      <c r="B262" s="25">
        <v>0</v>
      </c>
      <c r="C262" s="25"/>
      <c r="D262" s="56">
        <v>0</v>
      </c>
      <c r="E262" s="426">
        <v>45237</v>
      </c>
      <c r="F262" s="26" t="s">
        <v>1165</v>
      </c>
      <c r="G262" s="426">
        <v>45184</v>
      </c>
      <c r="H262" s="35" t="s">
        <v>2007</v>
      </c>
      <c r="I262" s="21">
        <v>1958700</v>
      </c>
      <c r="J262" s="21">
        <v>0</v>
      </c>
      <c r="K262" s="22">
        <v>0</v>
      </c>
      <c r="L262" s="23">
        <v>0.1</v>
      </c>
      <c r="M262" s="22">
        <v>195870</v>
      </c>
      <c r="N262" s="74">
        <v>0</v>
      </c>
      <c r="O262" s="22">
        <v>0</v>
      </c>
      <c r="P262" s="21">
        <v>1762830</v>
      </c>
      <c r="S262" s="108" t="b">
        <f>OR(COUNTIF(Tabla2[[#This Row],[PROVEEDOR]],"*"&amp;'Palabra no opera'!$A$2&amp;"*"))</f>
        <v>0</v>
      </c>
      <c r="T262" s="139">
        <f>+$W$5-Tabla2[[#This Row],[FECHA DE FACTURACIÓN]]</f>
        <v>107</v>
      </c>
      <c r="U262" t="str">
        <f>+IF(Tabla2[[#This Row],[dias de credito]]&gt;=Tabla2[[#This Row],[PLAZO Días]],"venc", "No venc")</f>
        <v>venc</v>
      </c>
      <c r="V262" t="str">
        <f>+IF(Tabla2[[#This Row],[FECHA DE PAGO]]&gt;0,"pagada","por pagar")</f>
        <v>pagada</v>
      </c>
      <c r="W262" s="141" t="str">
        <f>+IF(AND(Tabla2[[#This Row],[venc]]="venc",Tabla2[[#This Row],[Columna1]]="por pagar"),"vencida","no")</f>
        <v>no</v>
      </c>
    </row>
    <row r="263" spans="1:23" ht="15.6" hidden="1" x14ac:dyDescent="0.3">
      <c r="A263" s="20">
        <v>45</v>
      </c>
      <c r="B263" s="25">
        <v>15770594</v>
      </c>
      <c r="C263" s="25"/>
      <c r="D263" s="56" t="s">
        <v>594</v>
      </c>
      <c r="E263" s="426">
        <v>45237</v>
      </c>
      <c r="F263" s="26" t="s">
        <v>19</v>
      </c>
      <c r="G263" s="426">
        <v>45177</v>
      </c>
      <c r="H263" s="35" t="s">
        <v>1961</v>
      </c>
      <c r="I263" s="21">
        <v>723695</v>
      </c>
      <c r="J263" s="21"/>
      <c r="K263" s="22">
        <v>137502.04999999999</v>
      </c>
      <c r="L263" s="23"/>
      <c r="M263" s="22">
        <v>0</v>
      </c>
      <c r="N263" s="74">
        <v>0</v>
      </c>
      <c r="O263" s="22">
        <v>0</v>
      </c>
      <c r="P263" s="21">
        <v>861197.05</v>
      </c>
      <c r="S263" s="108" t="b">
        <f>OR(COUNTIF(Tabla2[[#This Row],[PROVEEDOR]],"*"&amp;'Palabra no opera'!$A$2&amp;"*"))</f>
        <v>0</v>
      </c>
      <c r="T263" s="139">
        <f>+$W$5-Tabla2[[#This Row],[FECHA DE FACTURACIÓN]]</f>
        <v>114</v>
      </c>
      <c r="U263" t="str">
        <f>+IF(Tabla2[[#This Row],[dias de credito]]&gt;=Tabla2[[#This Row],[PLAZO Días]],"venc", "No venc")</f>
        <v>venc</v>
      </c>
      <c r="V263" t="str">
        <f>+IF(Tabla2[[#This Row],[FECHA DE PAGO]]&gt;0,"pagada","por pagar")</f>
        <v>pagada</v>
      </c>
      <c r="W263" s="141" t="str">
        <f>+IF(AND(Tabla2[[#This Row],[venc]]="venc",Tabla2[[#This Row],[Columna1]]="por pagar"),"vencida","no")</f>
        <v>no</v>
      </c>
    </row>
    <row r="264" spans="1:23" ht="15.6" hidden="1" x14ac:dyDescent="0.3">
      <c r="A264" s="20">
        <v>30</v>
      </c>
      <c r="B264" s="25">
        <v>2950000</v>
      </c>
      <c r="C264" s="25"/>
      <c r="D264" s="56">
        <v>0</v>
      </c>
      <c r="E264" s="426">
        <v>45237</v>
      </c>
      <c r="F264" s="26" t="s">
        <v>1152</v>
      </c>
      <c r="G264" s="426">
        <v>45170</v>
      </c>
      <c r="H264" s="35">
        <v>4847</v>
      </c>
      <c r="I264" s="21">
        <v>450000</v>
      </c>
      <c r="J264" s="21"/>
      <c r="K264" s="22">
        <v>0</v>
      </c>
      <c r="L264" s="23"/>
      <c r="M264" s="22">
        <v>0</v>
      </c>
      <c r="N264" s="74">
        <v>0</v>
      </c>
      <c r="O264" s="22">
        <v>0</v>
      </c>
      <c r="P264" s="21">
        <v>450000</v>
      </c>
      <c r="S264" s="108" t="b">
        <f>OR(COUNTIF(Tabla2[[#This Row],[PROVEEDOR]],"*"&amp;'Palabra no opera'!$A$2&amp;"*"))</f>
        <v>0</v>
      </c>
      <c r="T264" s="139">
        <f>+$W$5-Tabla2[[#This Row],[FECHA DE FACTURACIÓN]]</f>
        <v>121</v>
      </c>
      <c r="U264" t="str">
        <f>+IF(Tabla2[[#This Row],[dias de credito]]&gt;=Tabla2[[#This Row],[PLAZO Días]],"venc", "No venc")</f>
        <v>venc</v>
      </c>
      <c r="V264" t="str">
        <f>+IF(Tabla2[[#This Row],[FECHA DE PAGO]]&gt;0,"pagada","por pagar")</f>
        <v>pagada</v>
      </c>
      <c r="W264" s="141" t="str">
        <f>+IF(AND(Tabla2[[#This Row],[venc]]="venc",Tabla2[[#This Row],[Columna1]]="por pagar"),"vencida","no")</f>
        <v>no</v>
      </c>
    </row>
    <row r="265" spans="1:23" ht="15.6" hidden="1" x14ac:dyDescent="0.3">
      <c r="A265" s="20">
        <v>30</v>
      </c>
      <c r="B265" s="25">
        <v>0</v>
      </c>
      <c r="C265" s="25"/>
      <c r="D265" s="56" t="s">
        <v>107</v>
      </c>
      <c r="E265" s="426">
        <v>45234</v>
      </c>
      <c r="F265" s="26" t="s">
        <v>378</v>
      </c>
      <c r="G265" s="426">
        <v>45234</v>
      </c>
      <c r="H265" s="35" t="s">
        <v>2123</v>
      </c>
      <c r="I265" s="21">
        <v>520000</v>
      </c>
      <c r="J265" s="21"/>
      <c r="K265" s="22">
        <v>0</v>
      </c>
      <c r="L265" s="23"/>
      <c r="M265" s="22">
        <v>0</v>
      </c>
      <c r="N265" s="74">
        <v>0</v>
      </c>
      <c r="O265" s="22">
        <v>0</v>
      </c>
      <c r="P265" s="21">
        <v>520000</v>
      </c>
      <c r="S265" s="108" t="b">
        <f>OR(COUNTIF(Tabla2[[#This Row],[PROVEEDOR]],"*"&amp;'Palabra no opera'!$A$2&amp;"*"))</f>
        <v>0</v>
      </c>
      <c r="T265" s="139">
        <f>+$W$5-Tabla2[[#This Row],[FECHA DE FACTURACIÓN]]</f>
        <v>57</v>
      </c>
      <c r="U265" t="str">
        <f>+IF(Tabla2[[#This Row],[dias de credito]]&gt;=Tabla2[[#This Row],[PLAZO Días]],"venc", "No venc")</f>
        <v>venc</v>
      </c>
      <c r="V265" t="str">
        <f>+IF(Tabla2[[#This Row],[FECHA DE PAGO]]&gt;0,"pagada","por pagar")</f>
        <v>pagada</v>
      </c>
      <c r="W265" s="141" t="str">
        <f>+IF(AND(Tabla2[[#This Row],[venc]]="venc",Tabla2[[#This Row],[Columna1]]="por pagar"),"vencida","no")</f>
        <v>no</v>
      </c>
    </row>
    <row r="266" spans="1:23" ht="15.6" hidden="1" x14ac:dyDescent="0.3">
      <c r="A266" s="20">
        <v>30</v>
      </c>
      <c r="B266" s="25">
        <v>0</v>
      </c>
      <c r="C266" s="25"/>
      <c r="D266" s="56">
        <v>0</v>
      </c>
      <c r="E266" s="426">
        <v>45234</v>
      </c>
      <c r="F266" s="26" t="s">
        <v>642</v>
      </c>
      <c r="G266" s="426">
        <v>45231</v>
      </c>
      <c r="H266" s="35" t="s">
        <v>217</v>
      </c>
      <c r="I266" s="21">
        <v>411454</v>
      </c>
      <c r="J266" s="21"/>
      <c r="K266" s="22">
        <v>0</v>
      </c>
      <c r="L266" s="23"/>
      <c r="M266" s="22">
        <v>0</v>
      </c>
      <c r="N266" s="74">
        <v>0</v>
      </c>
      <c r="O266" s="22">
        <v>0</v>
      </c>
      <c r="P266" s="21">
        <v>411454</v>
      </c>
      <c r="S266" s="108" t="b">
        <f>OR(COUNTIF(Tabla2[[#This Row],[PROVEEDOR]],"*"&amp;'Palabra no opera'!$A$2&amp;"*"))</f>
        <v>1</v>
      </c>
      <c r="T266" s="139">
        <f>+$W$5-Tabla2[[#This Row],[FECHA DE FACTURACIÓN]]</f>
        <v>60</v>
      </c>
      <c r="U266" t="str">
        <f>+IF(Tabla2[[#This Row],[dias de credito]]&gt;=Tabla2[[#This Row],[PLAZO Días]],"venc", "No venc")</f>
        <v>venc</v>
      </c>
      <c r="V266" t="str">
        <f>+IF(Tabla2[[#This Row],[FECHA DE PAGO]]&gt;0,"pagada","por pagar")</f>
        <v>pagada</v>
      </c>
      <c r="W266" s="141" t="str">
        <f>+IF(AND(Tabla2[[#This Row],[venc]]="venc",Tabla2[[#This Row],[Columna1]]="por pagar"),"vencida","no")</f>
        <v>no</v>
      </c>
    </row>
    <row r="267" spans="1:23" ht="15.6" hidden="1" x14ac:dyDescent="0.3">
      <c r="A267" s="20">
        <v>30</v>
      </c>
      <c r="B267" s="25">
        <v>0</v>
      </c>
      <c r="C267" s="25"/>
      <c r="D267" s="56">
        <v>0</v>
      </c>
      <c r="E267" s="426">
        <v>45233</v>
      </c>
      <c r="F267" s="26" t="s">
        <v>1736</v>
      </c>
      <c r="G267" s="426">
        <v>45233</v>
      </c>
      <c r="H267" s="35"/>
      <c r="I267" s="21">
        <v>389000</v>
      </c>
      <c r="J267" s="21"/>
      <c r="K267" s="22">
        <v>0</v>
      </c>
      <c r="L267" s="23"/>
      <c r="M267" s="22">
        <v>0</v>
      </c>
      <c r="N267" s="74">
        <v>0</v>
      </c>
      <c r="O267" s="22">
        <v>0</v>
      </c>
      <c r="P267" s="21">
        <v>389000</v>
      </c>
      <c r="S267" s="108" t="b">
        <f>OR(COUNTIF(Tabla2[[#This Row],[PROVEEDOR]],"*"&amp;'Palabra no opera'!$A$2&amp;"*"))</f>
        <v>0</v>
      </c>
      <c r="T267" s="139">
        <f>+$W$5-Tabla2[[#This Row],[FECHA DE FACTURACIÓN]]</f>
        <v>58</v>
      </c>
      <c r="U267" t="str">
        <f>+IF(Tabla2[[#This Row],[dias de credito]]&gt;=Tabla2[[#This Row],[PLAZO Días]],"venc", "No venc")</f>
        <v>venc</v>
      </c>
      <c r="V267" t="str">
        <f>+IF(Tabla2[[#This Row],[FECHA DE PAGO]]&gt;0,"pagada","por pagar")</f>
        <v>pagada</v>
      </c>
      <c r="W267" s="141" t="str">
        <f>+IF(AND(Tabla2[[#This Row],[venc]]="venc",Tabla2[[#This Row],[Columna1]]="por pagar"),"vencida","no")</f>
        <v>no</v>
      </c>
    </row>
    <row r="268" spans="1:23" ht="15.6" hidden="1" x14ac:dyDescent="0.3">
      <c r="A268" s="20">
        <v>30</v>
      </c>
      <c r="B268" s="25">
        <v>0</v>
      </c>
      <c r="C268" s="25"/>
      <c r="D268" s="56" t="s">
        <v>107</v>
      </c>
      <c r="E268" s="426">
        <v>45233</v>
      </c>
      <c r="F268" s="26" t="s">
        <v>1194</v>
      </c>
      <c r="G268" s="426">
        <v>45232</v>
      </c>
      <c r="H268" s="35" t="s">
        <v>2199</v>
      </c>
      <c r="I268" s="21">
        <v>2700000</v>
      </c>
      <c r="J268" s="21"/>
      <c r="K268" s="22">
        <v>0</v>
      </c>
      <c r="L268" s="23"/>
      <c r="M268" s="22">
        <v>0</v>
      </c>
      <c r="N268" s="74">
        <v>0</v>
      </c>
      <c r="O268" s="22">
        <v>0</v>
      </c>
      <c r="P268" s="21">
        <v>2700000</v>
      </c>
      <c r="S268" s="108" t="b">
        <f>OR(COUNTIF(Tabla2[[#This Row],[PROVEEDOR]],"*"&amp;'Palabra no opera'!$A$2&amp;"*"))</f>
        <v>0</v>
      </c>
      <c r="T268" s="139">
        <f>+$W$5-Tabla2[[#This Row],[FECHA DE FACTURACIÓN]]</f>
        <v>59</v>
      </c>
      <c r="U268" t="str">
        <f>+IF(Tabla2[[#This Row],[dias de credito]]&gt;=Tabla2[[#This Row],[PLAZO Días]],"venc", "No venc")</f>
        <v>venc</v>
      </c>
      <c r="V268" t="str">
        <f>+IF(Tabla2[[#This Row],[FECHA DE PAGO]]&gt;0,"pagada","por pagar")</f>
        <v>pagada</v>
      </c>
      <c r="W268" s="141" t="str">
        <f>+IF(AND(Tabla2[[#This Row],[venc]]="venc",Tabla2[[#This Row],[Columna1]]="por pagar"),"vencida","no")</f>
        <v>no</v>
      </c>
    </row>
    <row r="269" spans="1:23" ht="15.6" hidden="1" x14ac:dyDescent="0.3">
      <c r="A269" s="20">
        <v>30</v>
      </c>
      <c r="B269" s="25">
        <v>0</v>
      </c>
      <c r="C269" s="25"/>
      <c r="D269" s="56" t="s">
        <v>107</v>
      </c>
      <c r="E269" s="426">
        <v>45232</v>
      </c>
      <c r="F269" s="26" t="s">
        <v>390</v>
      </c>
      <c r="G269" s="426">
        <v>45232</v>
      </c>
      <c r="H269" s="35"/>
      <c r="I269" s="21">
        <v>1000000</v>
      </c>
      <c r="J269" s="21"/>
      <c r="K269" s="22">
        <v>0</v>
      </c>
      <c r="L269" s="23"/>
      <c r="M269" s="22">
        <v>0</v>
      </c>
      <c r="N269" s="74">
        <v>0</v>
      </c>
      <c r="O269" s="22">
        <v>0</v>
      </c>
      <c r="P269" s="21">
        <v>1000000</v>
      </c>
      <c r="S269" s="108" t="b">
        <f>OR(COUNTIF(Tabla2[[#This Row],[PROVEEDOR]],"*"&amp;'Palabra no opera'!$A$2&amp;"*"))</f>
        <v>0</v>
      </c>
      <c r="T269" s="139">
        <f>+$W$5-Tabla2[[#This Row],[FECHA DE FACTURACIÓN]]</f>
        <v>59</v>
      </c>
      <c r="U269" t="str">
        <f>+IF(Tabla2[[#This Row],[dias de credito]]&gt;=Tabla2[[#This Row],[PLAZO Días]],"venc", "No venc")</f>
        <v>venc</v>
      </c>
      <c r="V269" t="str">
        <f>+IF(Tabla2[[#This Row],[FECHA DE PAGO]]&gt;0,"pagada","por pagar")</f>
        <v>pagada</v>
      </c>
      <c r="W269" s="141" t="str">
        <f>+IF(AND(Tabla2[[#This Row],[venc]]="venc",Tabla2[[#This Row],[Columna1]]="por pagar"),"vencida","no")</f>
        <v>no</v>
      </c>
    </row>
    <row r="270" spans="1:23" ht="15.6" hidden="1" x14ac:dyDescent="0.3">
      <c r="A270" s="20">
        <v>30</v>
      </c>
      <c r="B270" s="25">
        <v>0</v>
      </c>
      <c r="C270" s="25"/>
      <c r="D270" s="56" t="s">
        <v>107</v>
      </c>
      <c r="E270" s="426">
        <v>45232</v>
      </c>
      <c r="F270" s="26" t="s">
        <v>1194</v>
      </c>
      <c r="G270" s="426">
        <v>45231</v>
      </c>
      <c r="H270" s="35" t="s">
        <v>2198</v>
      </c>
      <c r="I270" s="21">
        <v>5136000</v>
      </c>
      <c r="J270" s="21"/>
      <c r="K270" s="22">
        <v>0</v>
      </c>
      <c r="L270" s="23"/>
      <c r="M270" s="22">
        <v>0</v>
      </c>
      <c r="N270" s="74">
        <v>0</v>
      </c>
      <c r="O270" s="22">
        <v>0</v>
      </c>
      <c r="P270" s="21">
        <v>5136000</v>
      </c>
      <c r="S270" s="108" t="b">
        <f>OR(COUNTIF(Tabla2[[#This Row],[PROVEEDOR]],"*"&amp;'Palabra no opera'!$A$2&amp;"*"))</f>
        <v>0</v>
      </c>
      <c r="T270" s="139">
        <f>+$W$5-Tabla2[[#This Row],[FECHA DE FACTURACIÓN]]</f>
        <v>60</v>
      </c>
      <c r="U270" t="str">
        <f>+IF(Tabla2[[#This Row],[dias de credito]]&gt;=Tabla2[[#This Row],[PLAZO Días]],"venc", "No venc")</f>
        <v>venc</v>
      </c>
      <c r="V270" t="str">
        <f>+IF(Tabla2[[#This Row],[FECHA DE PAGO]]&gt;0,"pagada","por pagar")</f>
        <v>pagada</v>
      </c>
      <c r="W270" s="141" t="str">
        <f>+IF(AND(Tabla2[[#This Row],[venc]]="venc",Tabla2[[#This Row],[Columna1]]="por pagar"),"vencida","no")</f>
        <v>no</v>
      </c>
    </row>
    <row r="271" spans="1:23" ht="15.6" hidden="1" x14ac:dyDescent="0.3">
      <c r="A271" s="20">
        <v>30</v>
      </c>
      <c r="B271" s="25">
        <v>0</v>
      </c>
      <c r="C271" s="25"/>
      <c r="D271" s="56" t="s">
        <v>109</v>
      </c>
      <c r="E271" s="426">
        <v>45232</v>
      </c>
      <c r="F271" s="26" t="s">
        <v>645</v>
      </c>
      <c r="G271" s="426">
        <v>45231</v>
      </c>
      <c r="H271" s="35"/>
      <c r="I271" s="21">
        <v>620524</v>
      </c>
      <c r="J271" s="21"/>
      <c r="K271" s="22">
        <v>0</v>
      </c>
      <c r="L271" s="23"/>
      <c r="M271" s="22">
        <v>0</v>
      </c>
      <c r="N271" s="74">
        <v>0</v>
      </c>
      <c r="O271" s="22">
        <v>0</v>
      </c>
      <c r="P271" s="21">
        <v>620524</v>
      </c>
      <c r="S271" s="108" t="b">
        <f>OR(COUNTIF(Tabla2[[#This Row],[PROVEEDOR]],"*"&amp;'Palabra no opera'!$A$2&amp;"*"))</f>
        <v>1</v>
      </c>
      <c r="T271" s="139">
        <f>+$W$5-Tabla2[[#This Row],[FECHA DE FACTURACIÓN]]</f>
        <v>60</v>
      </c>
      <c r="U271" t="str">
        <f>+IF(Tabla2[[#This Row],[dias de credito]]&gt;=Tabla2[[#This Row],[PLAZO Días]],"venc", "No venc")</f>
        <v>venc</v>
      </c>
      <c r="V271" t="str">
        <f>+IF(Tabla2[[#This Row],[FECHA DE PAGO]]&gt;0,"pagada","por pagar")</f>
        <v>pagada</v>
      </c>
      <c r="W271" s="141" t="str">
        <f>+IF(AND(Tabla2[[#This Row],[venc]]="venc",Tabla2[[#This Row],[Columna1]]="por pagar"),"vencida","no")</f>
        <v>no</v>
      </c>
    </row>
    <row r="272" spans="1:23" ht="15.6" hidden="1" x14ac:dyDescent="0.3">
      <c r="A272" s="20">
        <v>30</v>
      </c>
      <c r="B272" s="25">
        <v>0</v>
      </c>
      <c r="C272" s="25"/>
      <c r="D272" s="56" t="s">
        <v>277</v>
      </c>
      <c r="E272" s="426">
        <v>45232</v>
      </c>
      <c r="F272" s="26" t="s">
        <v>248</v>
      </c>
      <c r="G272" s="426">
        <v>45196</v>
      </c>
      <c r="H272" s="35" t="s">
        <v>1994</v>
      </c>
      <c r="I272" s="21">
        <v>893952</v>
      </c>
      <c r="J272" s="21"/>
      <c r="K272" s="22">
        <v>169850.88</v>
      </c>
      <c r="L272" s="23"/>
      <c r="M272" s="22">
        <v>0</v>
      </c>
      <c r="N272" s="74">
        <v>0</v>
      </c>
      <c r="O272" s="22">
        <v>0</v>
      </c>
      <c r="P272" s="21">
        <v>1063802.8799999999</v>
      </c>
      <c r="S272" s="108" t="b">
        <f>OR(COUNTIF(Tabla2[[#This Row],[PROVEEDOR]],"*"&amp;'Palabra no opera'!$A$2&amp;"*"))</f>
        <v>0</v>
      </c>
      <c r="T272" s="139">
        <f>+$W$5-Tabla2[[#This Row],[FECHA DE FACTURACIÓN]]</f>
        <v>95</v>
      </c>
      <c r="U272" t="str">
        <f>+IF(Tabla2[[#This Row],[dias de credito]]&gt;=Tabla2[[#This Row],[PLAZO Días]],"venc", "No venc")</f>
        <v>venc</v>
      </c>
      <c r="V272" t="str">
        <f>+IF(Tabla2[[#This Row],[FECHA DE PAGO]]&gt;0,"pagada","por pagar")</f>
        <v>pagada</v>
      </c>
      <c r="W272" s="141" t="str">
        <f>+IF(AND(Tabla2[[#This Row],[venc]]="venc",Tabla2[[#This Row],[Columna1]]="por pagar"),"vencida","no")</f>
        <v>no</v>
      </c>
    </row>
    <row r="273" spans="1:23" ht="15.6" hidden="1" x14ac:dyDescent="0.3">
      <c r="A273" s="20">
        <v>30</v>
      </c>
      <c r="B273" s="25">
        <v>3669750</v>
      </c>
      <c r="C273" s="25"/>
      <c r="D273" s="56" t="s">
        <v>1082</v>
      </c>
      <c r="E273" s="426">
        <v>45232</v>
      </c>
      <c r="F273" s="26" t="s">
        <v>24</v>
      </c>
      <c r="G273" s="426">
        <v>45194</v>
      </c>
      <c r="H273" s="35" t="s">
        <v>1960</v>
      </c>
      <c r="I273" s="21">
        <v>5600000</v>
      </c>
      <c r="J273" s="21"/>
      <c r="K273" s="22">
        <v>1064000</v>
      </c>
      <c r="L273" s="23"/>
      <c r="M273" s="22">
        <v>0</v>
      </c>
      <c r="N273" s="74">
        <v>2.5000000000000001E-2</v>
      </c>
      <c r="O273" s="22">
        <v>140000</v>
      </c>
      <c r="P273" s="21">
        <v>6524000</v>
      </c>
      <c r="S273" s="108" t="b">
        <f>OR(COUNTIF(Tabla2[[#This Row],[PROVEEDOR]],"*"&amp;'Palabra no opera'!$A$2&amp;"*"))</f>
        <v>0</v>
      </c>
      <c r="T273" s="139">
        <f>+$W$5-Tabla2[[#This Row],[FECHA DE FACTURACIÓN]]</f>
        <v>97</v>
      </c>
      <c r="U273" t="str">
        <f>+IF(Tabla2[[#This Row],[dias de credito]]&gt;=Tabla2[[#This Row],[PLAZO Días]],"venc", "No venc")</f>
        <v>venc</v>
      </c>
      <c r="V273" t="str">
        <f>+IF(Tabla2[[#This Row],[FECHA DE PAGO]]&gt;0,"pagada","por pagar")</f>
        <v>pagada</v>
      </c>
      <c r="W273" s="141" t="str">
        <f>+IF(AND(Tabla2[[#This Row],[venc]]="venc",Tabla2[[#This Row],[Columna1]]="por pagar"),"vencida","no")</f>
        <v>no</v>
      </c>
    </row>
    <row r="274" spans="1:23" ht="15.6" hidden="1" x14ac:dyDescent="0.3">
      <c r="A274" s="20">
        <v>30</v>
      </c>
      <c r="B274" s="25">
        <v>3669750</v>
      </c>
      <c r="C274" s="25"/>
      <c r="D274" s="56" t="s">
        <v>1082</v>
      </c>
      <c r="E274" s="426">
        <v>45232</v>
      </c>
      <c r="F274" s="26" t="s">
        <v>24</v>
      </c>
      <c r="G274" s="426">
        <v>45187</v>
      </c>
      <c r="H274" s="35" t="s">
        <v>2002</v>
      </c>
      <c r="I274" s="21">
        <v>-354192</v>
      </c>
      <c r="J274" s="21"/>
      <c r="K274" s="22">
        <v>-67296.479999999996</v>
      </c>
      <c r="L274" s="23"/>
      <c r="M274" s="22">
        <v>0</v>
      </c>
      <c r="N274" s="74">
        <v>0</v>
      </c>
      <c r="O274" s="22">
        <v>0</v>
      </c>
      <c r="P274" s="21">
        <v>-421488.48</v>
      </c>
      <c r="S274" s="108" t="b">
        <f>OR(COUNTIF(Tabla2[[#This Row],[PROVEEDOR]],"*"&amp;'Palabra no opera'!$A$2&amp;"*"))</f>
        <v>0</v>
      </c>
      <c r="T274" s="139">
        <f>+$W$5-Tabla2[[#This Row],[FECHA DE FACTURACIÓN]]</f>
        <v>104</v>
      </c>
      <c r="U274" t="str">
        <f>+IF(Tabla2[[#This Row],[dias de credito]]&gt;=Tabla2[[#This Row],[PLAZO Días]],"venc", "No venc")</f>
        <v>venc</v>
      </c>
      <c r="V274" t="str">
        <f>+IF(Tabla2[[#This Row],[FECHA DE PAGO]]&gt;0,"pagada","por pagar")</f>
        <v>pagada</v>
      </c>
      <c r="W274" s="141" t="str">
        <f>+IF(AND(Tabla2[[#This Row],[venc]]="venc",Tabla2[[#This Row],[Columna1]]="por pagar"),"vencida","no")</f>
        <v>no</v>
      </c>
    </row>
    <row r="275" spans="1:23" ht="15.6" hidden="1" x14ac:dyDescent="0.3">
      <c r="A275" s="20">
        <v>30</v>
      </c>
      <c r="B275" s="25">
        <v>3669750</v>
      </c>
      <c r="C275" s="25"/>
      <c r="D275" s="56" t="s">
        <v>1082</v>
      </c>
      <c r="E275" s="426">
        <v>45232</v>
      </c>
      <c r="F275" s="26" t="s">
        <v>24</v>
      </c>
      <c r="G275" s="426">
        <v>45185</v>
      </c>
      <c r="H275" s="35" t="s">
        <v>1959</v>
      </c>
      <c r="I275" s="21">
        <v>4376000</v>
      </c>
      <c r="J275" s="21"/>
      <c r="K275" s="22">
        <v>831440</v>
      </c>
      <c r="L275" s="23"/>
      <c r="M275" s="22">
        <v>0</v>
      </c>
      <c r="N275" s="74">
        <v>2.5000000000000001E-2</v>
      </c>
      <c r="O275" s="22">
        <v>109400</v>
      </c>
      <c r="P275" s="21">
        <v>5098040</v>
      </c>
      <c r="S275" s="108" t="b">
        <f>OR(COUNTIF(Tabla2[[#This Row],[PROVEEDOR]],"*"&amp;'Palabra no opera'!$A$2&amp;"*"))</f>
        <v>0</v>
      </c>
      <c r="T275" s="139">
        <f>+$W$5-Tabla2[[#This Row],[FECHA DE FACTURACIÓN]]</f>
        <v>106</v>
      </c>
      <c r="U275" t="str">
        <f>+IF(Tabla2[[#This Row],[dias de credito]]&gt;=Tabla2[[#This Row],[PLAZO Días]],"venc", "No venc")</f>
        <v>venc</v>
      </c>
      <c r="V275" t="str">
        <f>+IF(Tabla2[[#This Row],[FECHA DE PAGO]]&gt;0,"pagada","por pagar")</f>
        <v>pagada</v>
      </c>
      <c r="W275" s="141" t="str">
        <f>+IF(AND(Tabla2[[#This Row],[venc]]="venc",Tabla2[[#This Row],[Columna1]]="por pagar"),"vencida","no")</f>
        <v>no</v>
      </c>
    </row>
    <row r="276" spans="1:23" ht="15.6" hidden="1" x14ac:dyDescent="0.3">
      <c r="A276" s="20">
        <v>30</v>
      </c>
      <c r="B276" s="25">
        <v>0</v>
      </c>
      <c r="C276" s="25"/>
      <c r="D276" s="56" t="s">
        <v>277</v>
      </c>
      <c r="E276" s="426">
        <v>45232</v>
      </c>
      <c r="F276" s="26" t="s">
        <v>248</v>
      </c>
      <c r="G276" s="426">
        <v>45184</v>
      </c>
      <c r="H276" s="35" t="s">
        <v>1962</v>
      </c>
      <c r="I276" s="21">
        <v>174783</v>
      </c>
      <c r="J276" s="21"/>
      <c r="K276" s="22">
        <v>33208.769999999997</v>
      </c>
      <c r="L276" s="23"/>
      <c r="M276" s="22">
        <v>0</v>
      </c>
      <c r="N276" s="74">
        <v>0</v>
      </c>
      <c r="O276" s="22">
        <v>0</v>
      </c>
      <c r="P276" s="21">
        <v>207991.77</v>
      </c>
      <c r="S276" s="108" t="b">
        <f>OR(COUNTIF(Tabla2[[#This Row],[PROVEEDOR]],"*"&amp;'Palabra no opera'!$A$2&amp;"*"))</f>
        <v>0</v>
      </c>
      <c r="T276" s="139">
        <f>+$W$5-Tabla2[[#This Row],[FECHA DE FACTURACIÓN]]</f>
        <v>107</v>
      </c>
      <c r="U276" t="str">
        <f>+IF(Tabla2[[#This Row],[dias de credito]]&gt;=Tabla2[[#This Row],[PLAZO Días]],"venc", "No venc")</f>
        <v>venc</v>
      </c>
      <c r="V276" t="str">
        <f>+IF(Tabla2[[#This Row],[FECHA DE PAGO]]&gt;0,"pagada","por pagar")</f>
        <v>pagada</v>
      </c>
      <c r="W276" s="141" t="str">
        <f>+IF(AND(Tabla2[[#This Row],[venc]]="venc",Tabla2[[#This Row],[Columna1]]="por pagar"),"vencida","no")</f>
        <v>no</v>
      </c>
    </row>
    <row r="277" spans="1:23" ht="15.6" hidden="1" x14ac:dyDescent="0.3">
      <c r="A277" s="20">
        <v>30</v>
      </c>
      <c r="B277" s="25">
        <v>3669750</v>
      </c>
      <c r="C277" s="25"/>
      <c r="D277" s="56" t="s">
        <v>1082</v>
      </c>
      <c r="E277" s="426">
        <v>45232</v>
      </c>
      <c r="F277" s="26" t="s">
        <v>24</v>
      </c>
      <c r="G277" s="426">
        <v>45174</v>
      </c>
      <c r="H277" s="35" t="s">
        <v>1960</v>
      </c>
      <c r="I277" s="21">
        <v>444528</v>
      </c>
      <c r="J277" s="21"/>
      <c r="K277" s="22">
        <v>84460.32</v>
      </c>
      <c r="L277" s="23"/>
      <c r="M277" s="22">
        <v>0</v>
      </c>
      <c r="N277" s="74">
        <v>0</v>
      </c>
      <c r="O277" s="22">
        <v>0</v>
      </c>
      <c r="P277" s="21">
        <v>528988.32000000007</v>
      </c>
      <c r="S277" s="108" t="b">
        <f>OR(COUNTIF(Tabla2[[#This Row],[PROVEEDOR]],"*"&amp;'Palabra no opera'!$A$2&amp;"*"))</f>
        <v>0</v>
      </c>
      <c r="T277" s="139">
        <f>+$W$5-Tabla2[[#This Row],[FECHA DE FACTURACIÓN]]</f>
        <v>117</v>
      </c>
      <c r="U277" t="str">
        <f>+IF(Tabla2[[#This Row],[dias de credito]]&gt;=Tabla2[[#This Row],[PLAZO Días]],"venc", "No venc")</f>
        <v>venc</v>
      </c>
      <c r="V277" t="str">
        <f>+IF(Tabla2[[#This Row],[FECHA DE PAGO]]&gt;0,"pagada","por pagar")</f>
        <v>pagada</v>
      </c>
      <c r="W277" s="141" t="str">
        <f>+IF(AND(Tabla2[[#This Row],[venc]]="venc",Tabla2[[#This Row],[Columna1]]="por pagar"),"vencida","no")</f>
        <v>no</v>
      </c>
    </row>
    <row r="278" spans="1:23" ht="15.6" hidden="1" x14ac:dyDescent="0.3">
      <c r="A278" s="20">
        <v>30</v>
      </c>
      <c r="B278" s="25">
        <v>0</v>
      </c>
      <c r="C278" s="25"/>
      <c r="D278" s="56" t="s">
        <v>259</v>
      </c>
      <c r="E278" s="426">
        <v>45232</v>
      </c>
      <c r="F278" s="26" t="s">
        <v>33</v>
      </c>
      <c r="G278" s="426">
        <v>45167</v>
      </c>
      <c r="H278" s="35" t="s">
        <v>1928</v>
      </c>
      <c r="I278" s="21">
        <v>6926500</v>
      </c>
      <c r="J278" s="21"/>
      <c r="K278" s="22">
        <v>1316035</v>
      </c>
      <c r="L278" s="23"/>
      <c r="M278" s="22">
        <v>0</v>
      </c>
      <c r="N278" s="74">
        <v>2.5000000000000001E-2</v>
      </c>
      <c r="O278" s="22">
        <v>173162.5</v>
      </c>
      <c r="P278" s="21">
        <v>8069372.5</v>
      </c>
      <c r="S278" s="108" t="b">
        <f>OR(COUNTIF(Tabla2[[#This Row],[PROVEEDOR]],"*"&amp;'Palabra no opera'!$A$2&amp;"*"))</f>
        <v>0</v>
      </c>
      <c r="T278" s="139">
        <f>+$W$5-Tabla2[[#This Row],[FECHA DE FACTURACIÓN]]</f>
        <v>124</v>
      </c>
      <c r="U278" t="str">
        <f>+IF(Tabla2[[#This Row],[dias de credito]]&gt;=Tabla2[[#This Row],[PLAZO Días]],"venc", "No venc")</f>
        <v>venc</v>
      </c>
      <c r="V278" t="str">
        <f>+IF(Tabla2[[#This Row],[FECHA DE PAGO]]&gt;0,"pagada","por pagar")</f>
        <v>pagada</v>
      </c>
      <c r="W278" s="141" t="str">
        <f>+IF(AND(Tabla2[[#This Row],[venc]]="venc",Tabla2[[#This Row],[Columna1]]="por pagar"),"vencida","no")</f>
        <v>no</v>
      </c>
    </row>
    <row r="279" spans="1:23" ht="15.6" hidden="1" x14ac:dyDescent="0.3">
      <c r="A279" s="20">
        <v>30</v>
      </c>
      <c r="B279" s="25">
        <v>3669750</v>
      </c>
      <c r="C279" s="25"/>
      <c r="D279" s="56" t="s">
        <v>1082</v>
      </c>
      <c r="E279" s="426">
        <v>45232</v>
      </c>
      <c r="F279" s="26" t="s">
        <v>24</v>
      </c>
      <c r="G279" s="426">
        <v>45162</v>
      </c>
      <c r="H279" s="35" t="s">
        <v>1905</v>
      </c>
      <c r="I279" s="21">
        <v>798720</v>
      </c>
      <c r="J279" s="21"/>
      <c r="K279" s="22">
        <v>151756.79999999999</v>
      </c>
      <c r="L279" s="23"/>
      <c r="M279" s="22">
        <v>0</v>
      </c>
      <c r="N279" s="74">
        <v>0</v>
      </c>
      <c r="O279" s="22">
        <v>0</v>
      </c>
      <c r="P279" s="21">
        <v>950476.80000000005</v>
      </c>
      <c r="S279" s="108" t="b">
        <f>OR(COUNTIF(Tabla2[[#This Row],[PROVEEDOR]],"*"&amp;'Palabra no opera'!$A$2&amp;"*"))</f>
        <v>0</v>
      </c>
      <c r="T279" s="139">
        <f>+$W$5-Tabla2[[#This Row],[FECHA DE FACTURACIÓN]]</f>
        <v>129</v>
      </c>
      <c r="U279" t="str">
        <f>+IF(Tabla2[[#This Row],[dias de credito]]&gt;=Tabla2[[#This Row],[PLAZO Días]],"venc", "No venc")</f>
        <v>venc</v>
      </c>
      <c r="V279" t="str">
        <f>+IF(Tabla2[[#This Row],[FECHA DE PAGO]]&gt;0,"pagada","por pagar")</f>
        <v>pagada</v>
      </c>
      <c r="W279" s="141" t="str">
        <f>+IF(AND(Tabla2[[#This Row],[venc]]="venc",Tabla2[[#This Row],[Columna1]]="por pagar"),"vencida","no")</f>
        <v>no</v>
      </c>
    </row>
    <row r="280" spans="1:23" ht="15.6" hidden="1" x14ac:dyDescent="0.3">
      <c r="A280" s="20">
        <v>30</v>
      </c>
      <c r="B280" s="25">
        <v>12030261.305</v>
      </c>
      <c r="C280" s="25"/>
      <c r="D280" s="56" t="s">
        <v>179</v>
      </c>
      <c r="E280" s="426">
        <v>45232</v>
      </c>
      <c r="F280" s="26" t="s">
        <v>12</v>
      </c>
      <c r="G280" s="426">
        <v>45155</v>
      </c>
      <c r="H280" s="35" t="s">
        <v>1906</v>
      </c>
      <c r="I280" s="21">
        <v>5567234</v>
      </c>
      <c r="J280" s="21"/>
      <c r="K280" s="22">
        <v>1057774.46</v>
      </c>
      <c r="L280" s="23"/>
      <c r="M280" s="22">
        <v>0</v>
      </c>
      <c r="N280" s="74">
        <v>2.5000000000000001E-2</v>
      </c>
      <c r="O280" s="22">
        <v>139180.85</v>
      </c>
      <c r="P280" s="21">
        <v>6485827.6100000003</v>
      </c>
      <c r="S280" s="108" t="b">
        <f>OR(COUNTIF(Tabla2[[#This Row],[PROVEEDOR]],"*"&amp;'Palabra no opera'!$A$2&amp;"*"))</f>
        <v>0</v>
      </c>
      <c r="T280" s="139">
        <f>+$W$5-Tabla2[[#This Row],[FECHA DE FACTURACIÓN]]</f>
        <v>136</v>
      </c>
      <c r="U280" t="str">
        <f>+IF(Tabla2[[#This Row],[dias de credito]]&gt;=Tabla2[[#This Row],[PLAZO Días]],"venc", "No venc")</f>
        <v>venc</v>
      </c>
      <c r="V280" t="str">
        <f>+IF(Tabla2[[#This Row],[FECHA DE PAGO]]&gt;0,"pagada","por pagar")</f>
        <v>pagada</v>
      </c>
      <c r="W280" s="141" t="str">
        <f>+IF(AND(Tabla2[[#This Row],[venc]]="venc",Tabla2[[#This Row],[Columna1]]="por pagar"),"vencida","no")</f>
        <v>no</v>
      </c>
    </row>
    <row r="281" spans="1:23" ht="15.6" hidden="1" x14ac:dyDescent="0.3">
      <c r="A281" s="20">
        <v>30</v>
      </c>
      <c r="B281" s="25">
        <v>12030261.305</v>
      </c>
      <c r="C281" s="25"/>
      <c r="D281" s="56" t="s">
        <v>179</v>
      </c>
      <c r="E281" s="426">
        <v>45232</v>
      </c>
      <c r="F281" s="26" t="s">
        <v>12</v>
      </c>
      <c r="G281" s="426">
        <v>45152</v>
      </c>
      <c r="H281" s="35" t="s">
        <v>1878</v>
      </c>
      <c r="I281" s="21">
        <v>-436975</v>
      </c>
      <c r="J281" s="21"/>
      <c r="K281" s="22">
        <v>-83025.25</v>
      </c>
      <c r="L281" s="23"/>
      <c r="M281" s="22">
        <v>0</v>
      </c>
      <c r="N281" s="74">
        <v>0</v>
      </c>
      <c r="O281" s="22">
        <v>0</v>
      </c>
      <c r="P281" s="21">
        <v>-520000.25</v>
      </c>
      <c r="S281" s="108" t="b">
        <f>OR(COUNTIF(Tabla2[[#This Row],[PROVEEDOR]],"*"&amp;'Palabra no opera'!$A$2&amp;"*"))</f>
        <v>0</v>
      </c>
      <c r="T281" s="139">
        <f>+$W$5-Tabla2[[#This Row],[FECHA DE FACTURACIÓN]]</f>
        <v>139</v>
      </c>
      <c r="U281" t="str">
        <f>+IF(Tabla2[[#This Row],[dias de credito]]&gt;=Tabla2[[#This Row],[PLAZO Días]],"venc", "No venc")</f>
        <v>venc</v>
      </c>
      <c r="V281" t="str">
        <f>+IF(Tabla2[[#This Row],[FECHA DE PAGO]]&gt;0,"pagada","por pagar")</f>
        <v>pagada</v>
      </c>
      <c r="W281" s="141" t="str">
        <f>+IF(AND(Tabla2[[#This Row],[venc]]="venc",Tabla2[[#This Row],[Columna1]]="por pagar"),"vencida","no")</f>
        <v>no</v>
      </c>
    </row>
    <row r="282" spans="1:23" ht="15.6" hidden="1" x14ac:dyDescent="0.3">
      <c r="A282" s="20">
        <v>30</v>
      </c>
      <c r="B282" s="25">
        <v>0</v>
      </c>
      <c r="C282" s="25"/>
      <c r="D282" s="56" t="s">
        <v>259</v>
      </c>
      <c r="E282" s="426">
        <v>45232</v>
      </c>
      <c r="F282" s="26" t="s">
        <v>33</v>
      </c>
      <c r="G282" s="426">
        <v>45146</v>
      </c>
      <c r="H282" s="35" t="s">
        <v>1876</v>
      </c>
      <c r="I282" s="21">
        <v>4565000</v>
      </c>
      <c r="J282" s="21"/>
      <c r="K282" s="22">
        <v>867350</v>
      </c>
      <c r="L282" s="23"/>
      <c r="M282" s="22">
        <v>0</v>
      </c>
      <c r="N282" s="74">
        <v>2.5000000000000001E-2</v>
      </c>
      <c r="O282" s="22">
        <v>114125</v>
      </c>
      <c r="P282" s="21">
        <v>5318225</v>
      </c>
      <c r="S282" s="108" t="b">
        <f>OR(COUNTIF(Tabla2[[#This Row],[PROVEEDOR]],"*"&amp;'Palabra no opera'!$A$2&amp;"*"))</f>
        <v>0</v>
      </c>
      <c r="T282" s="139">
        <f>+$W$5-Tabla2[[#This Row],[FECHA DE FACTURACIÓN]]</f>
        <v>145</v>
      </c>
      <c r="U282" t="str">
        <f>+IF(Tabla2[[#This Row],[dias de credito]]&gt;=Tabla2[[#This Row],[PLAZO Días]],"venc", "No venc")</f>
        <v>venc</v>
      </c>
      <c r="V282" t="str">
        <f>+IF(Tabla2[[#This Row],[FECHA DE PAGO]]&gt;0,"pagada","por pagar")</f>
        <v>pagada</v>
      </c>
      <c r="W282" s="141" t="str">
        <f>+IF(AND(Tabla2[[#This Row],[venc]]="venc",Tabla2[[#This Row],[Columna1]]="por pagar"),"vencida","no")</f>
        <v>no</v>
      </c>
    </row>
    <row r="283" spans="1:23" ht="15.6" hidden="1" x14ac:dyDescent="0.3">
      <c r="A283" s="20">
        <v>30</v>
      </c>
      <c r="B283" s="25">
        <v>3669750</v>
      </c>
      <c r="C283" s="25"/>
      <c r="D283" s="56" t="s">
        <v>1082</v>
      </c>
      <c r="E283" s="426">
        <v>45232</v>
      </c>
      <c r="F283" s="26" t="s">
        <v>24</v>
      </c>
      <c r="G283" s="426">
        <v>44998</v>
      </c>
      <c r="H283" s="35" t="s">
        <v>1282</v>
      </c>
      <c r="I283" s="21">
        <v>-1680672</v>
      </c>
      <c r="J283" s="21"/>
      <c r="K283" s="22">
        <v>-319327.68</v>
      </c>
      <c r="L283" s="23"/>
      <c r="M283" s="22">
        <v>0</v>
      </c>
      <c r="N283" s="74">
        <v>0</v>
      </c>
      <c r="O283" s="22">
        <v>0</v>
      </c>
      <c r="P283" s="21">
        <v>-1999999.68</v>
      </c>
      <c r="S283" s="108" t="b">
        <f>OR(COUNTIF(Tabla2[[#This Row],[PROVEEDOR]],"*"&amp;'Palabra no opera'!$A$2&amp;"*"))</f>
        <v>0</v>
      </c>
      <c r="T283" s="139">
        <f>+$W$5-Tabla2[[#This Row],[FECHA DE FACTURACIÓN]]</f>
        <v>293</v>
      </c>
      <c r="U283" t="str">
        <f>+IF(Tabla2[[#This Row],[dias de credito]]&gt;=Tabla2[[#This Row],[PLAZO Días]],"venc", "No venc")</f>
        <v>venc</v>
      </c>
      <c r="V283" t="str">
        <f>+IF(Tabla2[[#This Row],[FECHA DE PAGO]]&gt;0,"pagada","por pagar")</f>
        <v>pagada</v>
      </c>
      <c r="W283" s="141" t="str">
        <f>+IF(AND(Tabla2[[#This Row],[venc]]="venc",Tabla2[[#This Row],[Columna1]]="por pagar"),"vencida","no")</f>
        <v>no</v>
      </c>
    </row>
    <row r="284" spans="1:23" ht="15.6" hidden="1" x14ac:dyDescent="0.3">
      <c r="A284" s="20">
        <v>30</v>
      </c>
      <c r="B284" s="25">
        <v>0</v>
      </c>
      <c r="C284" s="25"/>
      <c r="D284" s="56" t="s">
        <v>107</v>
      </c>
      <c r="E284" s="426">
        <v>45231</v>
      </c>
      <c r="F284" s="26" t="s">
        <v>362</v>
      </c>
      <c r="G284" s="426">
        <v>45231</v>
      </c>
      <c r="H284" s="35" t="s">
        <v>2121</v>
      </c>
      <c r="I284" s="21">
        <v>420000</v>
      </c>
      <c r="J284" s="21"/>
      <c r="K284" s="22">
        <v>0</v>
      </c>
      <c r="L284" s="23"/>
      <c r="M284" s="22">
        <v>0</v>
      </c>
      <c r="N284" s="74">
        <v>0</v>
      </c>
      <c r="O284" s="22">
        <v>0</v>
      </c>
      <c r="P284" s="21">
        <v>420000</v>
      </c>
      <c r="S284" s="108" t="b">
        <f>OR(COUNTIF(Tabla2[[#This Row],[PROVEEDOR]],"*"&amp;'Palabra no opera'!$A$2&amp;"*"))</f>
        <v>0</v>
      </c>
      <c r="T284" s="139">
        <f>+$W$5-Tabla2[[#This Row],[FECHA DE FACTURACIÓN]]</f>
        <v>60</v>
      </c>
      <c r="U284" t="str">
        <f>+IF(Tabla2[[#This Row],[dias de credito]]&gt;=Tabla2[[#This Row],[PLAZO Días]],"venc", "No venc")</f>
        <v>venc</v>
      </c>
      <c r="V284" t="str">
        <f>+IF(Tabla2[[#This Row],[FECHA DE PAGO]]&gt;0,"pagada","por pagar")</f>
        <v>pagada</v>
      </c>
      <c r="W284" s="141" t="str">
        <f>+IF(AND(Tabla2[[#This Row],[venc]]="venc",Tabla2[[#This Row],[Columna1]]="por pagar"),"vencida","no")</f>
        <v>no</v>
      </c>
    </row>
    <row r="285" spans="1:23" ht="15.6" hidden="1" x14ac:dyDescent="0.3">
      <c r="A285" s="20">
        <v>30</v>
      </c>
      <c r="B285" s="25">
        <v>0</v>
      </c>
      <c r="C285" s="25"/>
      <c r="D285" s="56" t="s">
        <v>107</v>
      </c>
      <c r="E285" s="426">
        <v>45231</v>
      </c>
      <c r="F285" s="26" t="s">
        <v>362</v>
      </c>
      <c r="G285" s="426">
        <v>45231</v>
      </c>
      <c r="H285" s="35" t="s">
        <v>2124</v>
      </c>
      <c r="I285" s="21">
        <v>120000</v>
      </c>
      <c r="J285" s="21"/>
      <c r="K285" s="22">
        <v>0</v>
      </c>
      <c r="L285" s="23"/>
      <c r="M285" s="22">
        <v>0</v>
      </c>
      <c r="N285" s="74">
        <v>0</v>
      </c>
      <c r="O285" s="22">
        <v>0</v>
      </c>
      <c r="P285" s="21">
        <v>120000</v>
      </c>
      <c r="S285" s="108" t="b">
        <f>OR(COUNTIF(Tabla2[[#This Row],[PROVEEDOR]],"*"&amp;'Palabra no opera'!$A$2&amp;"*"))</f>
        <v>0</v>
      </c>
      <c r="T285" s="139">
        <f>+$W$5-Tabla2[[#This Row],[FECHA DE FACTURACIÓN]]</f>
        <v>60</v>
      </c>
      <c r="U285" t="str">
        <f>+IF(Tabla2[[#This Row],[dias de credito]]&gt;=Tabla2[[#This Row],[PLAZO Días]],"venc", "No venc")</f>
        <v>venc</v>
      </c>
      <c r="V285" t="str">
        <f>+IF(Tabla2[[#This Row],[FECHA DE PAGO]]&gt;0,"pagada","por pagar")</f>
        <v>pagada</v>
      </c>
      <c r="W285" s="141" t="str">
        <f>+IF(AND(Tabla2[[#This Row],[venc]]="venc",Tabla2[[#This Row],[Columna1]]="por pagar"),"vencida","no")</f>
        <v>no</v>
      </c>
    </row>
    <row r="286" spans="1:23" ht="15.6" hidden="1" x14ac:dyDescent="0.3">
      <c r="A286" s="20">
        <v>30</v>
      </c>
      <c r="B286" s="25">
        <v>0</v>
      </c>
      <c r="C286" s="25"/>
      <c r="D286" s="56" t="s">
        <v>107</v>
      </c>
      <c r="E286" s="426">
        <v>45231</v>
      </c>
      <c r="F286" s="26" t="s">
        <v>378</v>
      </c>
      <c r="G286" s="426">
        <v>45231</v>
      </c>
      <c r="H286" s="35" t="s">
        <v>2125</v>
      </c>
      <c r="I286" s="21">
        <v>810000</v>
      </c>
      <c r="J286" s="21"/>
      <c r="K286" s="22">
        <v>0</v>
      </c>
      <c r="L286" s="23"/>
      <c r="M286" s="22">
        <v>0</v>
      </c>
      <c r="N286" s="74">
        <v>0</v>
      </c>
      <c r="O286" s="22">
        <v>0</v>
      </c>
      <c r="P286" s="21">
        <v>810000</v>
      </c>
      <c r="S286" s="108" t="b">
        <f>OR(COUNTIF(Tabla2[[#This Row],[PROVEEDOR]],"*"&amp;'Palabra no opera'!$A$2&amp;"*"))</f>
        <v>0</v>
      </c>
      <c r="T286" s="139">
        <f>+$W$5-Tabla2[[#This Row],[FECHA DE FACTURACIÓN]]</f>
        <v>60</v>
      </c>
      <c r="U286" t="str">
        <f>+IF(Tabla2[[#This Row],[dias de credito]]&gt;=Tabla2[[#This Row],[PLAZO Días]],"venc", "No venc")</f>
        <v>venc</v>
      </c>
      <c r="V286" t="str">
        <f>+IF(Tabla2[[#This Row],[FECHA DE PAGO]]&gt;0,"pagada","por pagar")</f>
        <v>pagada</v>
      </c>
      <c r="W286" s="141" t="str">
        <f>+IF(AND(Tabla2[[#This Row],[venc]]="venc",Tabla2[[#This Row],[Columna1]]="por pagar"),"vencida","no")</f>
        <v>no</v>
      </c>
    </row>
    <row r="287" spans="1:23" ht="15.6" hidden="1" x14ac:dyDescent="0.3">
      <c r="A287" s="20">
        <v>30</v>
      </c>
      <c r="B287" s="25">
        <v>0</v>
      </c>
      <c r="C287" s="25"/>
      <c r="D287" s="56" t="s">
        <v>107</v>
      </c>
      <c r="E287" s="426">
        <v>45231</v>
      </c>
      <c r="F287" s="26" t="s">
        <v>404</v>
      </c>
      <c r="G287" s="426">
        <v>45231</v>
      </c>
      <c r="H287" s="35" t="s">
        <v>2193</v>
      </c>
      <c r="I287" s="21">
        <v>1234000</v>
      </c>
      <c r="J287" s="21"/>
      <c r="K287" s="22">
        <v>0</v>
      </c>
      <c r="L287" s="23"/>
      <c r="M287" s="22">
        <v>0</v>
      </c>
      <c r="N287" s="74">
        <v>0</v>
      </c>
      <c r="O287" s="22">
        <v>0</v>
      </c>
      <c r="P287" s="21">
        <v>1234000</v>
      </c>
      <c r="S287" s="108" t="b">
        <f>OR(COUNTIF(Tabla2[[#This Row],[PROVEEDOR]],"*"&amp;'Palabra no opera'!$A$2&amp;"*"))</f>
        <v>0</v>
      </c>
      <c r="T287" s="139">
        <f>+$W$5-Tabla2[[#This Row],[FECHA DE FACTURACIÓN]]</f>
        <v>60</v>
      </c>
      <c r="U287" t="str">
        <f>+IF(Tabla2[[#This Row],[dias de credito]]&gt;=Tabla2[[#This Row],[PLAZO Días]],"venc", "No venc")</f>
        <v>venc</v>
      </c>
      <c r="V287" t="str">
        <f>+IF(Tabla2[[#This Row],[FECHA DE PAGO]]&gt;0,"pagada","por pagar")</f>
        <v>pagada</v>
      </c>
      <c r="W287" s="141" t="str">
        <f>+IF(AND(Tabla2[[#This Row],[venc]]="venc",Tabla2[[#This Row],[Columna1]]="por pagar"),"vencida","no")</f>
        <v>no</v>
      </c>
    </row>
    <row r="288" spans="1:23" ht="15.6" hidden="1" x14ac:dyDescent="0.3">
      <c r="A288" s="20">
        <v>30</v>
      </c>
      <c r="B288" s="25">
        <v>4282200</v>
      </c>
      <c r="C288" s="25"/>
      <c r="D288" s="56" t="s">
        <v>244</v>
      </c>
      <c r="E288" s="426">
        <v>45231</v>
      </c>
      <c r="F288" s="26" t="s">
        <v>406</v>
      </c>
      <c r="G288" s="426">
        <v>45231</v>
      </c>
      <c r="H288" s="35" t="s">
        <v>2191</v>
      </c>
      <c r="I288" s="21">
        <v>45000</v>
      </c>
      <c r="J288" s="21"/>
      <c r="K288" s="22">
        <v>0</v>
      </c>
      <c r="L288" s="23"/>
      <c r="M288" s="22">
        <v>0</v>
      </c>
      <c r="N288" s="74">
        <v>0</v>
      </c>
      <c r="O288" s="22">
        <v>0</v>
      </c>
      <c r="P288" s="21">
        <v>45000</v>
      </c>
      <c r="S288" s="108" t="b">
        <f>OR(COUNTIF(Tabla2[[#This Row],[PROVEEDOR]],"*"&amp;'Palabra no opera'!$A$2&amp;"*"))</f>
        <v>0</v>
      </c>
      <c r="T288" s="139">
        <f>+$W$5-Tabla2[[#This Row],[FECHA DE FACTURACIÓN]]</f>
        <v>60</v>
      </c>
      <c r="U288" t="str">
        <f>+IF(Tabla2[[#This Row],[dias de credito]]&gt;=Tabla2[[#This Row],[PLAZO Días]],"venc", "No venc")</f>
        <v>venc</v>
      </c>
      <c r="V288" t="str">
        <f>+IF(Tabla2[[#This Row],[FECHA DE PAGO]]&gt;0,"pagada","por pagar")</f>
        <v>pagada</v>
      </c>
      <c r="W288" s="141" t="str">
        <f>+IF(AND(Tabla2[[#This Row],[venc]]="venc",Tabla2[[#This Row],[Columna1]]="por pagar"),"vencida","no")</f>
        <v>no</v>
      </c>
    </row>
    <row r="289" spans="1:23" ht="15.6" hidden="1" x14ac:dyDescent="0.3">
      <c r="A289" s="20">
        <v>30</v>
      </c>
      <c r="B289" s="25">
        <v>4282200</v>
      </c>
      <c r="C289" s="25"/>
      <c r="D289" s="56" t="s">
        <v>244</v>
      </c>
      <c r="E289" s="426">
        <v>45231</v>
      </c>
      <c r="F289" s="26" t="s">
        <v>406</v>
      </c>
      <c r="G289" s="426">
        <v>45231</v>
      </c>
      <c r="H289" s="35" t="s">
        <v>2192</v>
      </c>
      <c r="I289" s="21">
        <v>39000</v>
      </c>
      <c r="J289" s="21"/>
      <c r="K289" s="22">
        <v>0</v>
      </c>
      <c r="L289" s="23"/>
      <c r="M289" s="22">
        <v>0</v>
      </c>
      <c r="N289" s="74">
        <v>0</v>
      </c>
      <c r="O289" s="22">
        <v>0</v>
      </c>
      <c r="P289" s="21">
        <v>39000</v>
      </c>
      <c r="S289" s="108" t="b">
        <f>OR(COUNTIF(Tabla2[[#This Row],[PROVEEDOR]],"*"&amp;'Palabra no opera'!$A$2&amp;"*"))</f>
        <v>0</v>
      </c>
      <c r="T289" s="139">
        <f>+$W$5-Tabla2[[#This Row],[FECHA DE FACTURACIÓN]]</f>
        <v>60</v>
      </c>
      <c r="U289" t="str">
        <f>+IF(Tabla2[[#This Row],[dias de credito]]&gt;=Tabla2[[#This Row],[PLAZO Días]],"venc", "No venc")</f>
        <v>venc</v>
      </c>
      <c r="V289" t="str">
        <f>+IF(Tabla2[[#This Row],[FECHA DE PAGO]]&gt;0,"pagada","por pagar")</f>
        <v>pagada</v>
      </c>
      <c r="W289" s="141" t="str">
        <f>+IF(AND(Tabla2[[#This Row],[venc]]="venc",Tabla2[[#This Row],[Columna1]]="por pagar"),"vencida","no")</f>
        <v>no</v>
      </c>
    </row>
    <row r="290" spans="1:23" ht="15.6" hidden="1" x14ac:dyDescent="0.3">
      <c r="A290" s="20">
        <v>30</v>
      </c>
      <c r="B290" s="25">
        <v>0</v>
      </c>
      <c r="C290" s="25"/>
      <c r="D290" s="56" t="s">
        <v>107</v>
      </c>
      <c r="E290" s="426">
        <v>45230</v>
      </c>
      <c r="F290" s="26" t="s">
        <v>362</v>
      </c>
      <c r="G290" s="426">
        <v>45230</v>
      </c>
      <c r="H290" s="35" t="s">
        <v>1177</v>
      </c>
      <c r="I290" s="21">
        <v>1574050</v>
      </c>
      <c r="J290" s="21"/>
      <c r="K290" s="22">
        <v>0</v>
      </c>
      <c r="L290" s="23"/>
      <c r="M290" s="22">
        <v>0</v>
      </c>
      <c r="N290" s="74">
        <v>0</v>
      </c>
      <c r="O290" s="22">
        <v>0</v>
      </c>
      <c r="P290" s="21">
        <v>1574050</v>
      </c>
      <c r="S290" s="108" t="b">
        <f>OR(COUNTIF(Tabla2[[#This Row],[PROVEEDOR]],"*"&amp;'Palabra no opera'!$A$2&amp;"*"))</f>
        <v>0</v>
      </c>
      <c r="T290" s="139">
        <f>+$W$5-Tabla2[[#This Row],[FECHA DE FACTURACIÓN]]</f>
        <v>61</v>
      </c>
      <c r="U290" t="str">
        <f>+IF(Tabla2[[#This Row],[dias de credito]]&gt;=Tabla2[[#This Row],[PLAZO Días]],"venc", "No venc")</f>
        <v>venc</v>
      </c>
      <c r="V290" t="str">
        <f>+IF(Tabla2[[#This Row],[FECHA DE PAGO]]&gt;0,"pagada","por pagar")</f>
        <v>pagada</v>
      </c>
      <c r="W290" s="141" t="str">
        <f>+IF(AND(Tabla2[[#This Row],[venc]]="venc",Tabla2[[#This Row],[Columna1]]="por pagar"),"vencida","no")</f>
        <v>no</v>
      </c>
    </row>
    <row r="291" spans="1:23" ht="15.6" hidden="1" x14ac:dyDescent="0.3">
      <c r="A291" s="20">
        <v>30</v>
      </c>
      <c r="B291" s="25">
        <v>0</v>
      </c>
      <c r="C291" s="25"/>
      <c r="D291" s="56" t="s">
        <v>107</v>
      </c>
      <c r="E291" s="426">
        <v>45230</v>
      </c>
      <c r="F291" s="26" t="s">
        <v>362</v>
      </c>
      <c r="G291" s="426">
        <v>45230</v>
      </c>
      <c r="H291" s="35" t="s">
        <v>1176</v>
      </c>
      <c r="I291" s="21">
        <v>267000</v>
      </c>
      <c r="J291" s="21"/>
      <c r="K291" s="22">
        <v>0</v>
      </c>
      <c r="L291" s="23"/>
      <c r="M291" s="22">
        <v>0</v>
      </c>
      <c r="N291" s="74">
        <v>0</v>
      </c>
      <c r="O291" s="22">
        <v>0</v>
      </c>
      <c r="P291" s="21">
        <v>267000</v>
      </c>
      <c r="S291" s="108" t="b">
        <f>OR(COUNTIF(Tabla2[[#This Row],[PROVEEDOR]],"*"&amp;'Palabra no opera'!$A$2&amp;"*"))</f>
        <v>0</v>
      </c>
      <c r="T291" s="139">
        <f>+$W$5-Tabla2[[#This Row],[FECHA DE FACTURACIÓN]]</f>
        <v>61</v>
      </c>
      <c r="U291" t="str">
        <f>+IF(Tabla2[[#This Row],[dias de credito]]&gt;=Tabla2[[#This Row],[PLAZO Días]],"venc", "No venc")</f>
        <v>venc</v>
      </c>
      <c r="V291" t="str">
        <f>+IF(Tabla2[[#This Row],[FECHA DE PAGO]]&gt;0,"pagada","por pagar")</f>
        <v>pagada</v>
      </c>
      <c r="W291" s="141" t="str">
        <f>+IF(AND(Tabla2[[#This Row],[venc]]="venc",Tabla2[[#This Row],[Columna1]]="por pagar"),"vencida","no")</f>
        <v>no</v>
      </c>
    </row>
    <row r="292" spans="1:23" ht="15.6" hidden="1" x14ac:dyDescent="0.3">
      <c r="A292" s="20">
        <v>30</v>
      </c>
      <c r="B292" s="25">
        <v>0</v>
      </c>
      <c r="C292" s="25"/>
      <c r="D292" s="56" t="s">
        <v>107</v>
      </c>
      <c r="E292" s="426">
        <v>45230</v>
      </c>
      <c r="F292" s="26" t="s">
        <v>362</v>
      </c>
      <c r="G292" s="426">
        <v>45230</v>
      </c>
      <c r="H292" s="35" t="s">
        <v>1178</v>
      </c>
      <c r="I292" s="21">
        <v>144000</v>
      </c>
      <c r="J292" s="21"/>
      <c r="K292" s="22">
        <v>0</v>
      </c>
      <c r="L292" s="23"/>
      <c r="M292" s="22">
        <v>0</v>
      </c>
      <c r="N292" s="74">
        <v>0</v>
      </c>
      <c r="O292" s="22">
        <v>0</v>
      </c>
      <c r="P292" s="21">
        <v>144000</v>
      </c>
      <c r="S292" s="108" t="b">
        <f>OR(COUNTIF(Tabla2[[#This Row],[PROVEEDOR]],"*"&amp;'Palabra no opera'!$A$2&amp;"*"))</f>
        <v>0</v>
      </c>
      <c r="T292" s="139">
        <f>+$W$5-Tabla2[[#This Row],[FECHA DE FACTURACIÓN]]</f>
        <v>61</v>
      </c>
      <c r="U292" t="str">
        <f>+IF(Tabla2[[#This Row],[dias de credito]]&gt;=Tabla2[[#This Row],[PLAZO Días]],"venc", "No venc")</f>
        <v>venc</v>
      </c>
      <c r="V292" t="str">
        <f>+IF(Tabla2[[#This Row],[FECHA DE PAGO]]&gt;0,"pagada","por pagar")</f>
        <v>pagada</v>
      </c>
      <c r="W292" s="141" t="str">
        <f>+IF(AND(Tabla2[[#This Row],[venc]]="venc",Tabla2[[#This Row],[Columna1]]="por pagar"),"vencida","no")</f>
        <v>no</v>
      </c>
    </row>
    <row r="293" spans="1:23" ht="15.6" hidden="1" x14ac:dyDescent="0.3">
      <c r="A293" s="20">
        <v>30</v>
      </c>
      <c r="B293" s="25">
        <v>0</v>
      </c>
      <c r="C293" s="25"/>
      <c r="D293" s="56" t="s">
        <v>107</v>
      </c>
      <c r="E293" s="426">
        <v>45230</v>
      </c>
      <c r="F293" s="26" t="s">
        <v>362</v>
      </c>
      <c r="G293" s="426">
        <v>45230</v>
      </c>
      <c r="H293" s="35" t="s">
        <v>1180</v>
      </c>
      <c r="I293" s="21">
        <v>160000</v>
      </c>
      <c r="J293" s="21"/>
      <c r="K293" s="22">
        <v>0</v>
      </c>
      <c r="L293" s="23"/>
      <c r="M293" s="22">
        <v>0</v>
      </c>
      <c r="N293" s="74">
        <v>0</v>
      </c>
      <c r="O293" s="22">
        <v>0</v>
      </c>
      <c r="P293" s="21">
        <v>160000</v>
      </c>
      <c r="S293" s="108" t="b">
        <f>OR(COUNTIF(Tabla2[[#This Row],[PROVEEDOR]],"*"&amp;'Palabra no opera'!$A$2&amp;"*"))</f>
        <v>0</v>
      </c>
      <c r="T293" s="139">
        <f>+$W$5-Tabla2[[#This Row],[FECHA DE FACTURACIÓN]]</f>
        <v>61</v>
      </c>
      <c r="U293" t="str">
        <f>+IF(Tabla2[[#This Row],[dias de credito]]&gt;=Tabla2[[#This Row],[PLAZO Días]],"venc", "No venc")</f>
        <v>venc</v>
      </c>
      <c r="V293" t="str">
        <f>+IF(Tabla2[[#This Row],[FECHA DE PAGO]]&gt;0,"pagada","por pagar")</f>
        <v>pagada</v>
      </c>
      <c r="W293" s="141" t="str">
        <f>+IF(AND(Tabla2[[#This Row],[venc]]="venc",Tabla2[[#This Row],[Columna1]]="por pagar"),"vencida","no")</f>
        <v>no</v>
      </c>
    </row>
    <row r="294" spans="1:23" ht="15.6" hidden="1" x14ac:dyDescent="0.3">
      <c r="A294" s="20">
        <v>30</v>
      </c>
      <c r="B294" s="25">
        <v>0</v>
      </c>
      <c r="C294" s="25"/>
      <c r="D294" s="56" t="s">
        <v>107</v>
      </c>
      <c r="E294" s="426">
        <v>45230</v>
      </c>
      <c r="F294" s="26" t="s">
        <v>362</v>
      </c>
      <c r="G294" s="426">
        <v>45230</v>
      </c>
      <c r="H294" s="35" t="s">
        <v>1179</v>
      </c>
      <c r="I294" s="21">
        <v>157900</v>
      </c>
      <c r="J294" s="21"/>
      <c r="K294" s="22">
        <v>0</v>
      </c>
      <c r="L294" s="23"/>
      <c r="M294" s="22">
        <v>0</v>
      </c>
      <c r="N294" s="74">
        <v>0</v>
      </c>
      <c r="O294" s="22">
        <v>0</v>
      </c>
      <c r="P294" s="21">
        <v>157900</v>
      </c>
      <c r="S294" s="108" t="b">
        <f>OR(COUNTIF(Tabla2[[#This Row],[PROVEEDOR]],"*"&amp;'Palabra no opera'!$A$2&amp;"*"))</f>
        <v>0</v>
      </c>
      <c r="T294" s="139">
        <f>+$W$5-Tabla2[[#This Row],[FECHA DE FACTURACIÓN]]</f>
        <v>61</v>
      </c>
      <c r="U294" t="str">
        <f>+IF(Tabla2[[#This Row],[dias de credito]]&gt;=Tabla2[[#This Row],[PLAZO Días]],"venc", "No venc")</f>
        <v>venc</v>
      </c>
      <c r="V294" t="str">
        <f>+IF(Tabla2[[#This Row],[FECHA DE PAGO]]&gt;0,"pagada","por pagar")</f>
        <v>pagada</v>
      </c>
      <c r="W294" s="141" t="str">
        <f>+IF(AND(Tabla2[[#This Row],[venc]]="venc",Tabla2[[#This Row],[Columna1]]="por pagar"),"vencida","no")</f>
        <v>no</v>
      </c>
    </row>
    <row r="295" spans="1:23" ht="15.6" hidden="1" x14ac:dyDescent="0.3">
      <c r="A295" s="20">
        <v>30</v>
      </c>
      <c r="B295" s="25">
        <v>0</v>
      </c>
      <c r="C295" s="25"/>
      <c r="D295" s="56" t="s">
        <v>107</v>
      </c>
      <c r="E295" s="426">
        <v>45230</v>
      </c>
      <c r="F295" s="26" t="s">
        <v>362</v>
      </c>
      <c r="G295" s="426">
        <v>45230</v>
      </c>
      <c r="H295" s="35" t="s">
        <v>1379</v>
      </c>
      <c r="I295" s="21">
        <v>0</v>
      </c>
      <c r="J295" s="21"/>
      <c r="K295" s="22">
        <v>0</v>
      </c>
      <c r="L295" s="23"/>
      <c r="M295" s="22">
        <v>0</v>
      </c>
      <c r="N295" s="74">
        <v>0</v>
      </c>
      <c r="O295" s="22">
        <v>0</v>
      </c>
      <c r="P295" s="21">
        <v>0</v>
      </c>
      <c r="S295" s="108" t="b">
        <f>OR(COUNTIF(Tabla2[[#This Row],[PROVEEDOR]],"*"&amp;'Palabra no opera'!$A$2&amp;"*"))</f>
        <v>0</v>
      </c>
      <c r="T295" s="139">
        <f>+$W$5-Tabla2[[#This Row],[FECHA DE FACTURACIÓN]]</f>
        <v>61</v>
      </c>
      <c r="U295" t="str">
        <f>+IF(Tabla2[[#This Row],[dias de credito]]&gt;=Tabla2[[#This Row],[PLAZO Días]],"venc", "No venc")</f>
        <v>venc</v>
      </c>
      <c r="V295" t="str">
        <f>+IF(Tabla2[[#This Row],[FECHA DE PAGO]]&gt;0,"pagada","por pagar")</f>
        <v>pagada</v>
      </c>
      <c r="W295" s="141" t="str">
        <f>+IF(AND(Tabla2[[#This Row],[venc]]="venc",Tabla2[[#This Row],[Columna1]]="por pagar"),"vencida","no")</f>
        <v>no</v>
      </c>
    </row>
    <row r="296" spans="1:23" ht="15.6" hidden="1" x14ac:dyDescent="0.3">
      <c r="A296" s="20">
        <v>30</v>
      </c>
      <c r="B296" s="25">
        <v>0</v>
      </c>
      <c r="C296" s="25"/>
      <c r="D296" s="56" t="s">
        <v>107</v>
      </c>
      <c r="E296" s="426">
        <v>45230</v>
      </c>
      <c r="F296" s="26" t="s">
        <v>53</v>
      </c>
      <c r="G296" s="426">
        <v>45230</v>
      </c>
      <c r="H296" s="35">
        <v>313196</v>
      </c>
      <c r="I296" s="21">
        <v>2262000</v>
      </c>
      <c r="J296" s="21"/>
      <c r="K296" s="22">
        <v>0</v>
      </c>
      <c r="L296" s="23"/>
      <c r="M296" s="22">
        <v>0</v>
      </c>
      <c r="N296" s="74">
        <v>0</v>
      </c>
      <c r="O296" s="22">
        <v>0</v>
      </c>
      <c r="P296" s="21">
        <v>2262000</v>
      </c>
      <c r="S296" s="108" t="b">
        <f>OR(COUNTIF(Tabla2[[#This Row],[PROVEEDOR]],"*"&amp;'Palabra no opera'!$A$2&amp;"*"))</f>
        <v>0</v>
      </c>
      <c r="T296" s="139">
        <f>+$W$5-Tabla2[[#This Row],[FECHA DE FACTURACIÓN]]</f>
        <v>61</v>
      </c>
      <c r="U296" t="str">
        <f>+IF(Tabla2[[#This Row],[dias de credito]]&gt;=Tabla2[[#This Row],[PLAZO Días]],"venc", "No venc")</f>
        <v>venc</v>
      </c>
      <c r="V296" t="str">
        <f>+IF(Tabla2[[#This Row],[FECHA DE PAGO]]&gt;0,"pagada","por pagar")</f>
        <v>pagada</v>
      </c>
      <c r="W296" s="141" t="str">
        <f>+IF(AND(Tabla2[[#This Row],[venc]]="venc",Tabla2[[#This Row],[Columna1]]="por pagar"),"vencida","no")</f>
        <v>no</v>
      </c>
    </row>
    <row r="297" spans="1:23" ht="15.6" hidden="1" x14ac:dyDescent="0.3">
      <c r="A297" s="20">
        <v>30</v>
      </c>
      <c r="B297" s="25">
        <v>0</v>
      </c>
      <c r="C297" s="25"/>
      <c r="D297" s="56" t="s">
        <v>659</v>
      </c>
      <c r="E297" s="426">
        <v>45230</v>
      </c>
      <c r="F297" s="26" t="s">
        <v>227</v>
      </c>
      <c r="G297" s="426">
        <v>45230</v>
      </c>
      <c r="H297" s="35" t="s">
        <v>2100</v>
      </c>
      <c r="I297" s="21">
        <v>1790000</v>
      </c>
      <c r="J297" s="21"/>
      <c r="K297" s="22">
        <v>0</v>
      </c>
      <c r="L297" s="23"/>
      <c r="M297" s="22">
        <v>0</v>
      </c>
      <c r="N297" s="74">
        <v>0</v>
      </c>
      <c r="O297" s="22">
        <v>0</v>
      </c>
      <c r="P297" s="21">
        <v>1790000</v>
      </c>
      <c r="S297" s="108" t="b">
        <f>OR(COUNTIF(Tabla2[[#This Row],[PROVEEDOR]],"*"&amp;'Palabra no opera'!$A$2&amp;"*"))</f>
        <v>0</v>
      </c>
      <c r="T297" s="139">
        <f>+$W$5-Tabla2[[#This Row],[FECHA DE FACTURACIÓN]]</f>
        <v>61</v>
      </c>
      <c r="U297" t="str">
        <f>+IF(Tabla2[[#This Row],[dias de credito]]&gt;=Tabla2[[#This Row],[PLAZO Días]],"venc", "No venc")</f>
        <v>venc</v>
      </c>
      <c r="V297" t="str">
        <f>+IF(Tabla2[[#This Row],[FECHA DE PAGO]]&gt;0,"pagada","por pagar")</f>
        <v>pagada</v>
      </c>
      <c r="W297" s="141" t="str">
        <f>+IF(AND(Tabla2[[#This Row],[venc]]="venc",Tabla2[[#This Row],[Columna1]]="por pagar"),"vencida","no")</f>
        <v>no</v>
      </c>
    </row>
    <row r="298" spans="1:23" ht="15.6" hidden="1" x14ac:dyDescent="0.3">
      <c r="A298" s="20">
        <v>30</v>
      </c>
      <c r="B298" s="25">
        <v>27189617.395</v>
      </c>
      <c r="C298" s="25"/>
      <c r="D298" s="56" t="s">
        <v>686</v>
      </c>
      <c r="E298" s="426">
        <v>45229</v>
      </c>
      <c r="F298" s="26" t="s">
        <v>77</v>
      </c>
      <c r="G298" s="426">
        <v>45229</v>
      </c>
      <c r="H298" s="35" t="s">
        <v>2106</v>
      </c>
      <c r="I298" s="21">
        <v>-7563025</v>
      </c>
      <c r="J298" s="21"/>
      <c r="K298" s="22">
        <v>-1436974.75</v>
      </c>
      <c r="L298" s="23"/>
      <c r="M298" s="22">
        <v>0</v>
      </c>
      <c r="N298" s="74">
        <v>0</v>
      </c>
      <c r="O298" s="22">
        <v>0</v>
      </c>
      <c r="P298" s="21">
        <v>-8999999.75</v>
      </c>
      <c r="S298" s="108" t="b">
        <f>OR(COUNTIF(Tabla2[[#This Row],[PROVEEDOR]],"*"&amp;'Palabra no opera'!$A$2&amp;"*"))</f>
        <v>0</v>
      </c>
      <c r="T298" s="139">
        <f>+$W$5-Tabla2[[#This Row],[FECHA DE FACTURACIÓN]]</f>
        <v>62</v>
      </c>
      <c r="U298" t="str">
        <f>+IF(Tabla2[[#This Row],[dias de credito]]&gt;=Tabla2[[#This Row],[PLAZO Días]],"venc", "No venc")</f>
        <v>venc</v>
      </c>
      <c r="V298" t="str">
        <f>+IF(Tabla2[[#This Row],[FECHA DE PAGO]]&gt;0,"pagada","por pagar")</f>
        <v>pagada</v>
      </c>
      <c r="W298" s="141" t="str">
        <f>+IF(AND(Tabla2[[#This Row],[venc]]="venc",Tabla2[[#This Row],[Columna1]]="por pagar"),"vencida","no")</f>
        <v>no</v>
      </c>
    </row>
    <row r="299" spans="1:23" ht="15.6" hidden="1" x14ac:dyDescent="0.3">
      <c r="A299" s="20">
        <v>30</v>
      </c>
      <c r="B299" s="25">
        <v>0</v>
      </c>
      <c r="C299" s="25"/>
      <c r="D299" s="56" t="s">
        <v>107</v>
      </c>
      <c r="E299" s="426">
        <v>45226</v>
      </c>
      <c r="F299" s="26" t="s">
        <v>362</v>
      </c>
      <c r="G299" s="426">
        <v>45226</v>
      </c>
      <c r="H299" s="35" t="s">
        <v>2028</v>
      </c>
      <c r="I299" s="21">
        <v>200000</v>
      </c>
      <c r="J299" s="21"/>
      <c r="K299" s="22">
        <v>0</v>
      </c>
      <c r="L299" s="23"/>
      <c r="M299" s="22">
        <v>0</v>
      </c>
      <c r="N299" s="74">
        <v>0</v>
      </c>
      <c r="O299" s="22">
        <v>0</v>
      </c>
      <c r="P299" s="21">
        <v>200000</v>
      </c>
      <c r="S299" s="108" t="b">
        <f>OR(COUNTIF(Tabla2[[#This Row],[PROVEEDOR]],"*"&amp;'Palabra no opera'!$A$2&amp;"*"))</f>
        <v>0</v>
      </c>
      <c r="T299" s="139">
        <f>+$W$5-Tabla2[[#This Row],[FECHA DE FACTURACIÓN]]</f>
        <v>65</v>
      </c>
      <c r="U299" t="str">
        <f>+IF(Tabla2[[#This Row],[dias de credito]]&gt;=Tabla2[[#This Row],[PLAZO Días]],"venc", "No venc")</f>
        <v>venc</v>
      </c>
      <c r="V299" t="str">
        <f>+IF(Tabla2[[#This Row],[FECHA DE PAGO]]&gt;0,"pagada","por pagar")</f>
        <v>pagada</v>
      </c>
      <c r="W299" s="141" t="str">
        <f>+IF(AND(Tabla2[[#This Row],[venc]]="venc",Tabla2[[#This Row],[Columna1]]="por pagar"),"vencida","no")</f>
        <v>no</v>
      </c>
    </row>
    <row r="300" spans="1:23" ht="15.6" hidden="1" x14ac:dyDescent="0.3">
      <c r="A300" s="20">
        <v>30</v>
      </c>
      <c r="B300" s="25">
        <v>0</v>
      </c>
      <c r="C300" s="25"/>
      <c r="D300" s="56" t="s">
        <v>2093</v>
      </c>
      <c r="E300" s="426">
        <v>45226</v>
      </c>
      <c r="F300" s="26" t="s">
        <v>2094</v>
      </c>
      <c r="G300" s="426">
        <v>45226</v>
      </c>
      <c r="H300" s="35" t="s">
        <v>2095</v>
      </c>
      <c r="I300" s="21">
        <v>702352</v>
      </c>
      <c r="J300" s="21"/>
      <c r="K300" s="22">
        <v>133446.88</v>
      </c>
      <c r="L300" s="23"/>
      <c r="M300" s="22">
        <v>0</v>
      </c>
      <c r="N300" s="74">
        <v>0</v>
      </c>
      <c r="O300" s="22">
        <v>0</v>
      </c>
      <c r="P300" s="21">
        <v>835798.88</v>
      </c>
      <c r="S300" s="108" t="b">
        <f>OR(COUNTIF(Tabla2[[#This Row],[PROVEEDOR]],"*"&amp;'Palabra no opera'!$A$2&amp;"*"))</f>
        <v>0</v>
      </c>
      <c r="T300" s="139">
        <f>+$W$5-Tabla2[[#This Row],[FECHA DE FACTURACIÓN]]</f>
        <v>65</v>
      </c>
      <c r="U300" t="str">
        <f>+IF(Tabla2[[#This Row],[dias de credito]]&gt;=Tabla2[[#This Row],[PLAZO Días]],"venc", "No venc")</f>
        <v>venc</v>
      </c>
      <c r="V300" t="str">
        <f>+IF(Tabla2[[#This Row],[FECHA DE PAGO]]&gt;0,"pagada","por pagar")</f>
        <v>pagada</v>
      </c>
      <c r="W300" s="141" t="str">
        <f>+IF(AND(Tabla2[[#This Row],[venc]]="venc",Tabla2[[#This Row],[Columna1]]="por pagar"),"vencida","no")</f>
        <v>no</v>
      </c>
    </row>
    <row r="301" spans="1:23" ht="15.6" hidden="1" x14ac:dyDescent="0.3">
      <c r="A301" s="20">
        <v>30</v>
      </c>
      <c r="B301" s="25">
        <v>22881826.27</v>
      </c>
      <c r="C301" s="25"/>
      <c r="D301" s="56" t="s">
        <v>197</v>
      </c>
      <c r="E301" s="426">
        <v>45225</v>
      </c>
      <c r="F301" s="26" t="s">
        <v>9</v>
      </c>
      <c r="G301" s="426">
        <v>45203</v>
      </c>
      <c r="H301" s="35" t="s">
        <v>1992</v>
      </c>
      <c r="I301" s="21">
        <v>-159664</v>
      </c>
      <c r="J301" s="21"/>
      <c r="K301" s="22">
        <v>-30336.16</v>
      </c>
      <c r="L301" s="23"/>
      <c r="M301" s="22">
        <v>0</v>
      </c>
      <c r="N301" s="74">
        <v>0</v>
      </c>
      <c r="O301" s="22">
        <v>0</v>
      </c>
      <c r="P301" s="21">
        <v>-190000.16</v>
      </c>
      <c r="S301" s="108" t="b">
        <f>OR(COUNTIF(Tabla2[[#This Row],[PROVEEDOR]],"*"&amp;'Palabra no opera'!$A$2&amp;"*"))</f>
        <v>0</v>
      </c>
      <c r="T301" s="139">
        <f>+$W$5-Tabla2[[#This Row],[FECHA DE FACTURACIÓN]]</f>
        <v>88</v>
      </c>
      <c r="U301" t="str">
        <f>+IF(Tabla2[[#This Row],[dias de credito]]&gt;=Tabla2[[#This Row],[PLAZO Días]],"venc", "No venc")</f>
        <v>venc</v>
      </c>
      <c r="V301" t="str">
        <f>+IF(Tabla2[[#This Row],[FECHA DE PAGO]]&gt;0,"pagada","por pagar")</f>
        <v>pagada</v>
      </c>
      <c r="W301" s="141" t="str">
        <f>+IF(AND(Tabla2[[#This Row],[venc]]="venc",Tabla2[[#This Row],[Columna1]]="por pagar"),"vencida","no")</f>
        <v>no</v>
      </c>
    </row>
    <row r="302" spans="1:23" ht="15.6" hidden="1" x14ac:dyDescent="0.3">
      <c r="A302" s="20">
        <v>30</v>
      </c>
      <c r="B302" s="25">
        <v>22881826.27</v>
      </c>
      <c r="C302" s="25"/>
      <c r="D302" s="56" t="s">
        <v>197</v>
      </c>
      <c r="E302" s="426">
        <v>45225</v>
      </c>
      <c r="F302" s="26" t="s">
        <v>9</v>
      </c>
      <c r="G302" s="426">
        <v>45162</v>
      </c>
      <c r="H302" s="35" t="s">
        <v>1923</v>
      </c>
      <c r="I302" s="21">
        <v>62709092</v>
      </c>
      <c r="J302" s="21"/>
      <c r="K302" s="22">
        <v>11914727.48</v>
      </c>
      <c r="L302" s="23"/>
      <c r="M302" s="22">
        <v>0</v>
      </c>
      <c r="N302" s="74">
        <v>2.5000000000000001E-2</v>
      </c>
      <c r="O302" s="22">
        <v>1567727.3</v>
      </c>
      <c r="P302" s="21">
        <v>73056092.180000007</v>
      </c>
      <c r="S302" s="108" t="b">
        <f>OR(COUNTIF(Tabla2[[#This Row],[PROVEEDOR]],"*"&amp;'Palabra no opera'!$A$2&amp;"*"))</f>
        <v>0</v>
      </c>
      <c r="T302" s="139">
        <f>+$W$5-Tabla2[[#This Row],[FECHA DE FACTURACIÓN]]</f>
        <v>129</v>
      </c>
      <c r="U302" t="str">
        <f>+IF(Tabla2[[#This Row],[dias de credito]]&gt;=Tabla2[[#This Row],[PLAZO Días]],"venc", "No venc")</f>
        <v>venc</v>
      </c>
      <c r="V302" t="str">
        <f>+IF(Tabla2[[#This Row],[FECHA DE PAGO]]&gt;0,"pagada","por pagar")</f>
        <v>pagada</v>
      </c>
      <c r="W302" s="141" t="str">
        <f>+IF(AND(Tabla2[[#This Row],[venc]]="venc",Tabla2[[#This Row],[Columna1]]="por pagar"),"vencida","no")</f>
        <v>no</v>
      </c>
    </row>
    <row r="303" spans="1:23" ht="15.6" hidden="1" x14ac:dyDescent="0.3">
      <c r="A303" s="20">
        <v>30</v>
      </c>
      <c r="B303" s="25">
        <v>22881826.27</v>
      </c>
      <c r="C303" s="25"/>
      <c r="D303" s="56" t="s">
        <v>197</v>
      </c>
      <c r="E303" s="426">
        <v>45225</v>
      </c>
      <c r="F303" s="26" t="s">
        <v>9</v>
      </c>
      <c r="G303" s="426">
        <v>45156</v>
      </c>
      <c r="H303" s="35" t="s">
        <v>1889</v>
      </c>
      <c r="I303" s="21">
        <v>-18933650</v>
      </c>
      <c r="J303" s="21"/>
      <c r="K303" s="22">
        <v>-3597393.5</v>
      </c>
      <c r="L303" s="23"/>
      <c r="M303" s="22">
        <v>0</v>
      </c>
      <c r="N303" s="74">
        <v>0</v>
      </c>
      <c r="O303" s="22"/>
      <c r="P303" s="21">
        <v>-22531043.5</v>
      </c>
      <c r="S303" s="108" t="b">
        <f>OR(COUNTIF(Tabla2[[#This Row],[PROVEEDOR]],"*"&amp;'Palabra no opera'!$A$2&amp;"*"))</f>
        <v>0</v>
      </c>
      <c r="T303" s="139">
        <f>+$W$5-Tabla2[[#This Row],[FECHA DE FACTURACIÓN]]</f>
        <v>135</v>
      </c>
      <c r="U303" t="str">
        <f>+IF(Tabla2[[#This Row],[dias de credito]]&gt;=Tabla2[[#This Row],[PLAZO Días]],"venc", "No venc")</f>
        <v>venc</v>
      </c>
      <c r="V303" t="str">
        <f>+IF(Tabla2[[#This Row],[FECHA DE PAGO]]&gt;0,"pagada","por pagar")</f>
        <v>pagada</v>
      </c>
      <c r="W303" s="141" t="str">
        <f>+IF(AND(Tabla2[[#This Row],[venc]]="venc",Tabla2[[#This Row],[Columna1]]="por pagar"),"vencida","no")</f>
        <v>no</v>
      </c>
    </row>
    <row r="304" spans="1:23" ht="15.6" hidden="1" x14ac:dyDescent="0.3">
      <c r="A304" s="20">
        <v>30</v>
      </c>
      <c r="B304" s="25">
        <v>27189617.395</v>
      </c>
      <c r="C304" s="25"/>
      <c r="D304" s="56" t="s">
        <v>686</v>
      </c>
      <c r="E304" s="426">
        <v>45224</v>
      </c>
      <c r="F304" s="26" t="s">
        <v>77</v>
      </c>
      <c r="G304" s="426">
        <v>45224</v>
      </c>
      <c r="H304" s="35" t="s">
        <v>2048</v>
      </c>
      <c r="I304" s="21">
        <v>166386.6</v>
      </c>
      <c r="J304" s="21"/>
      <c r="K304" s="22">
        <v>31613.454000000002</v>
      </c>
      <c r="L304" s="23"/>
      <c r="M304" s="22">
        <v>0</v>
      </c>
      <c r="N304" s="74">
        <v>0</v>
      </c>
      <c r="O304" s="22">
        <v>0</v>
      </c>
      <c r="P304" s="21">
        <v>198000.054</v>
      </c>
      <c r="S304" s="108" t="b">
        <f>OR(COUNTIF(Tabla2[[#This Row],[PROVEEDOR]],"*"&amp;'Palabra no opera'!$A$2&amp;"*"))</f>
        <v>0</v>
      </c>
      <c r="T304" s="139">
        <f>+$W$5-Tabla2[[#This Row],[FECHA DE FACTURACIÓN]]</f>
        <v>67</v>
      </c>
      <c r="U304" t="str">
        <f>+IF(Tabla2[[#This Row],[dias de credito]]&gt;=Tabla2[[#This Row],[PLAZO Días]],"venc", "No venc")</f>
        <v>venc</v>
      </c>
      <c r="V304" t="str">
        <f>+IF(Tabla2[[#This Row],[FECHA DE PAGO]]&gt;0,"pagada","por pagar")</f>
        <v>pagada</v>
      </c>
      <c r="W304" s="141" t="str">
        <f>+IF(AND(Tabla2[[#This Row],[venc]]="venc",Tabla2[[#This Row],[Columna1]]="por pagar"),"vencida","no")</f>
        <v>no</v>
      </c>
    </row>
    <row r="305" spans="1:23" ht="15.6" hidden="1" x14ac:dyDescent="0.3">
      <c r="A305" s="20">
        <v>30</v>
      </c>
      <c r="B305" s="25">
        <v>0</v>
      </c>
      <c r="C305" s="25"/>
      <c r="D305" s="56" t="s">
        <v>107</v>
      </c>
      <c r="E305" s="426">
        <v>45224</v>
      </c>
      <c r="F305" s="26" t="s">
        <v>390</v>
      </c>
      <c r="G305" s="426">
        <v>45224</v>
      </c>
      <c r="H305" s="35"/>
      <c r="I305" s="21">
        <v>800000</v>
      </c>
      <c r="J305" s="21"/>
      <c r="K305" s="22">
        <v>0</v>
      </c>
      <c r="L305" s="23"/>
      <c r="M305" s="22">
        <v>0</v>
      </c>
      <c r="N305" s="74">
        <v>0</v>
      </c>
      <c r="O305" s="22">
        <v>0</v>
      </c>
      <c r="P305" s="21">
        <v>800000</v>
      </c>
      <c r="S305" s="108" t="b">
        <f>OR(COUNTIF(Tabla2[[#This Row],[PROVEEDOR]],"*"&amp;'Palabra no opera'!$A$2&amp;"*"))</f>
        <v>0</v>
      </c>
      <c r="T305" s="139">
        <f>+$W$5-Tabla2[[#This Row],[FECHA DE FACTURACIÓN]]</f>
        <v>67</v>
      </c>
      <c r="U305" t="str">
        <f>+IF(Tabla2[[#This Row],[dias de credito]]&gt;=Tabla2[[#This Row],[PLAZO Días]],"venc", "No venc")</f>
        <v>venc</v>
      </c>
      <c r="V305" t="str">
        <f>+IF(Tabla2[[#This Row],[FECHA DE PAGO]]&gt;0,"pagada","por pagar")</f>
        <v>pagada</v>
      </c>
      <c r="W305" s="141" t="str">
        <f>+IF(AND(Tabla2[[#This Row],[venc]]="venc",Tabla2[[#This Row],[Columna1]]="por pagar"),"vencida","no")</f>
        <v>no</v>
      </c>
    </row>
    <row r="306" spans="1:23" ht="15.6" hidden="1" x14ac:dyDescent="0.3">
      <c r="A306" s="20">
        <v>30</v>
      </c>
      <c r="B306" s="25">
        <v>2773899.95</v>
      </c>
      <c r="C306" s="25"/>
      <c r="D306" s="56" t="s">
        <v>135</v>
      </c>
      <c r="E306" s="426">
        <v>45224</v>
      </c>
      <c r="F306" s="26" t="s">
        <v>20</v>
      </c>
      <c r="G306" s="426">
        <v>45168</v>
      </c>
      <c r="H306" s="35" t="s">
        <v>1929</v>
      </c>
      <c r="I306" s="21">
        <v>876780</v>
      </c>
      <c r="J306" s="21"/>
      <c r="K306" s="22">
        <v>166588.20000000001</v>
      </c>
      <c r="L306" s="23"/>
      <c r="M306" s="22">
        <v>0</v>
      </c>
      <c r="N306" s="74">
        <v>0</v>
      </c>
      <c r="O306" s="22">
        <v>0</v>
      </c>
      <c r="P306" s="21">
        <v>1043368.2</v>
      </c>
      <c r="S306" s="108" t="b">
        <f>OR(COUNTIF(Tabla2[[#This Row],[PROVEEDOR]],"*"&amp;'Palabra no opera'!$A$2&amp;"*"))</f>
        <v>0</v>
      </c>
      <c r="T306" s="139">
        <f>+$W$5-Tabla2[[#This Row],[FECHA DE FACTURACIÓN]]</f>
        <v>123</v>
      </c>
      <c r="U306" t="str">
        <f>+IF(Tabla2[[#This Row],[dias de credito]]&gt;=Tabla2[[#This Row],[PLAZO Días]],"venc", "No venc")</f>
        <v>venc</v>
      </c>
      <c r="V306" t="str">
        <f>+IF(Tabla2[[#This Row],[FECHA DE PAGO]]&gt;0,"pagada","por pagar")</f>
        <v>pagada</v>
      </c>
      <c r="W306" s="141" t="str">
        <f>+IF(AND(Tabla2[[#This Row],[venc]]="venc",Tabla2[[#This Row],[Columna1]]="por pagar"),"vencida","no")</f>
        <v>no</v>
      </c>
    </row>
    <row r="307" spans="1:23" ht="15.6" hidden="1" x14ac:dyDescent="0.3">
      <c r="A307" s="20">
        <v>30</v>
      </c>
      <c r="B307" s="25">
        <v>5538410</v>
      </c>
      <c r="C307" s="25"/>
      <c r="D307" s="56" t="s">
        <v>1461</v>
      </c>
      <c r="E307" s="426">
        <v>45224</v>
      </c>
      <c r="F307" s="26" t="s">
        <v>1460</v>
      </c>
      <c r="G307" s="426">
        <v>45155</v>
      </c>
      <c r="H307" s="35" t="s">
        <v>1904</v>
      </c>
      <c r="I307" s="21">
        <v>3384000</v>
      </c>
      <c r="J307" s="21"/>
      <c r="K307" s="22">
        <v>642960</v>
      </c>
      <c r="L307" s="23"/>
      <c r="M307" s="22">
        <v>0</v>
      </c>
      <c r="N307" s="74">
        <v>2.5000000000000001E-2</v>
      </c>
      <c r="O307" s="22">
        <v>84600</v>
      </c>
      <c r="P307" s="21">
        <v>3942360</v>
      </c>
      <c r="S307" s="108" t="b">
        <f>OR(COUNTIF(Tabla2[[#This Row],[PROVEEDOR]],"*"&amp;'Palabra no opera'!$A$2&amp;"*"))</f>
        <v>0</v>
      </c>
      <c r="T307" s="139">
        <f>+$W$5-Tabla2[[#This Row],[FECHA DE FACTURACIÓN]]</f>
        <v>136</v>
      </c>
      <c r="U307" t="str">
        <f>+IF(Tabla2[[#This Row],[dias de credito]]&gt;=Tabla2[[#This Row],[PLAZO Días]],"venc", "No venc")</f>
        <v>venc</v>
      </c>
      <c r="V307" t="str">
        <f>+IF(Tabla2[[#This Row],[FECHA DE PAGO]]&gt;0,"pagada","por pagar")</f>
        <v>pagada</v>
      </c>
      <c r="W307" s="141" t="str">
        <f>+IF(AND(Tabla2[[#This Row],[venc]]="venc",Tabla2[[#This Row],[Columna1]]="por pagar"),"vencida","no")</f>
        <v>no</v>
      </c>
    </row>
    <row r="308" spans="1:23" ht="15.6" hidden="1" x14ac:dyDescent="0.3">
      <c r="A308" s="20">
        <v>30</v>
      </c>
      <c r="B308" s="25">
        <v>0</v>
      </c>
      <c r="C308" s="25"/>
      <c r="D308" s="56" t="s">
        <v>740</v>
      </c>
      <c r="E308" s="426">
        <v>45223</v>
      </c>
      <c r="F308" s="26" t="s">
        <v>637</v>
      </c>
      <c r="G308" s="426">
        <v>45200</v>
      </c>
      <c r="H308" s="35" t="s">
        <v>2041</v>
      </c>
      <c r="I308" s="21">
        <v>934363</v>
      </c>
      <c r="J308" s="21"/>
      <c r="K308" s="22">
        <v>0</v>
      </c>
      <c r="L308" s="23"/>
      <c r="M308" s="22">
        <v>0</v>
      </c>
      <c r="N308" s="74">
        <v>0</v>
      </c>
      <c r="O308" s="22">
        <v>0</v>
      </c>
      <c r="P308" s="21">
        <v>934363</v>
      </c>
      <c r="S308" s="108" t="b">
        <f>OR(COUNTIF(Tabla2[[#This Row],[PROVEEDOR]],"*"&amp;'Palabra no opera'!$A$2&amp;"*"))</f>
        <v>1</v>
      </c>
      <c r="T308" s="139">
        <f>+$W$5-Tabla2[[#This Row],[FECHA DE FACTURACIÓN]]</f>
        <v>91</v>
      </c>
      <c r="U308" t="str">
        <f>+IF(Tabla2[[#This Row],[dias de credito]]&gt;=Tabla2[[#This Row],[PLAZO Días]],"venc", "No venc")</f>
        <v>venc</v>
      </c>
      <c r="V308" t="str">
        <f>+IF(Tabla2[[#This Row],[FECHA DE PAGO]]&gt;0,"pagada","por pagar")</f>
        <v>pagada</v>
      </c>
      <c r="W308" s="141" t="str">
        <f>+IF(AND(Tabla2[[#This Row],[venc]]="venc",Tabla2[[#This Row],[Columna1]]="por pagar"),"vencida","no")</f>
        <v>no</v>
      </c>
    </row>
    <row r="309" spans="1:23" ht="15.6" hidden="1" x14ac:dyDescent="0.3">
      <c r="A309" s="20">
        <v>30</v>
      </c>
      <c r="B309" s="25">
        <v>0</v>
      </c>
      <c r="C309" s="25"/>
      <c r="D309" s="56" t="s">
        <v>740</v>
      </c>
      <c r="E309" s="426">
        <v>45223</v>
      </c>
      <c r="F309" s="26" t="s">
        <v>637</v>
      </c>
      <c r="G309" s="426">
        <v>45200</v>
      </c>
      <c r="H309" s="35" t="s">
        <v>2042</v>
      </c>
      <c r="I309" s="21">
        <v>914023</v>
      </c>
      <c r="J309" s="21"/>
      <c r="K309" s="22">
        <v>0</v>
      </c>
      <c r="L309" s="23"/>
      <c r="M309" s="22">
        <v>0</v>
      </c>
      <c r="N309" s="74">
        <v>0</v>
      </c>
      <c r="O309" s="22">
        <v>0</v>
      </c>
      <c r="P309" s="21">
        <v>914023</v>
      </c>
      <c r="S309" s="108" t="b">
        <f>OR(COUNTIF(Tabla2[[#This Row],[PROVEEDOR]],"*"&amp;'Palabra no opera'!$A$2&amp;"*"))</f>
        <v>1</v>
      </c>
      <c r="T309" s="139">
        <f>+$W$5-Tabla2[[#This Row],[FECHA DE FACTURACIÓN]]</f>
        <v>91</v>
      </c>
      <c r="U309" t="str">
        <f>+IF(Tabla2[[#This Row],[dias de credito]]&gt;=Tabla2[[#This Row],[PLAZO Días]],"venc", "No venc")</f>
        <v>venc</v>
      </c>
      <c r="V309" t="str">
        <f>+IF(Tabla2[[#This Row],[FECHA DE PAGO]]&gt;0,"pagada","por pagar")</f>
        <v>pagada</v>
      </c>
      <c r="W309" s="141" t="str">
        <f>+IF(AND(Tabla2[[#This Row],[venc]]="venc",Tabla2[[#This Row],[Columna1]]="por pagar"),"vencida","no")</f>
        <v>no</v>
      </c>
    </row>
    <row r="310" spans="1:23" ht="15.6" hidden="1" x14ac:dyDescent="0.3">
      <c r="A310" s="20">
        <v>30</v>
      </c>
      <c r="B310" s="25">
        <v>0</v>
      </c>
      <c r="C310" s="25"/>
      <c r="D310" s="56" t="s">
        <v>107</v>
      </c>
      <c r="E310" s="426">
        <v>45222</v>
      </c>
      <c r="F310" s="26" t="s">
        <v>362</v>
      </c>
      <c r="G310" s="426">
        <v>45222</v>
      </c>
      <c r="H310" s="35" t="s">
        <v>2044</v>
      </c>
      <c r="I310" s="21">
        <v>628650</v>
      </c>
      <c r="J310" s="21"/>
      <c r="K310" s="22">
        <v>0</v>
      </c>
      <c r="L310" s="23"/>
      <c r="M310" s="22">
        <v>0</v>
      </c>
      <c r="N310" s="74">
        <v>0</v>
      </c>
      <c r="O310" s="22">
        <v>0</v>
      </c>
      <c r="P310" s="21">
        <v>628650</v>
      </c>
      <c r="S310" s="108" t="b">
        <f>OR(COUNTIF(Tabla2[[#This Row],[PROVEEDOR]],"*"&amp;'Palabra no opera'!$A$2&amp;"*"))</f>
        <v>0</v>
      </c>
      <c r="T310" s="139">
        <f>+$W$5-Tabla2[[#This Row],[FECHA DE FACTURACIÓN]]</f>
        <v>69</v>
      </c>
      <c r="U310" t="str">
        <f>+IF(Tabla2[[#This Row],[dias de credito]]&gt;=Tabla2[[#This Row],[PLAZO Días]],"venc", "No venc")</f>
        <v>venc</v>
      </c>
      <c r="V310" t="str">
        <f>+IF(Tabla2[[#This Row],[FECHA DE PAGO]]&gt;0,"pagada","por pagar")</f>
        <v>pagada</v>
      </c>
      <c r="W310" s="141" t="str">
        <f>+IF(AND(Tabla2[[#This Row],[venc]]="venc",Tabla2[[#This Row],[Columna1]]="por pagar"),"vencida","no")</f>
        <v>no</v>
      </c>
    </row>
    <row r="311" spans="1:23" ht="15.6" hidden="1" x14ac:dyDescent="0.3">
      <c r="A311" s="20">
        <v>30</v>
      </c>
      <c r="B311" s="25">
        <v>0</v>
      </c>
      <c r="C311" s="25"/>
      <c r="D311" s="56" t="s">
        <v>107</v>
      </c>
      <c r="E311" s="426">
        <v>45222</v>
      </c>
      <c r="F311" s="26" t="s">
        <v>362</v>
      </c>
      <c r="G311" s="426">
        <v>45222</v>
      </c>
      <c r="H311" s="35" t="s">
        <v>2045</v>
      </c>
      <c r="I311" s="21">
        <v>172600</v>
      </c>
      <c r="J311" s="21"/>
      <c r="K311" s="22">
        <v>0</v>
      </c>
      <c r="L311" s="23"/>
      <c r="M311" s="22">
        <v>0</v>
      </c>
      <c r="N311" s="74">
        <v>0</v>
      </c>
      <c r="O311" s="22">
        <v>0</v>
      </c>
      <c r="P311" s="21">
        <v>172600</v>
      </c>
      <c r="S311" s="108" t="b">
        <f>OR(COUNTIF(Tabla2[[#This Row],[PROVEEDOR]],"*"&amp;'Palabra no opera'!$A$2&amp;"*"))</f>
        <v>0</v>
      </c>
      <c r="T311" s="139">
        <f>+$W$5-Tabla2[[#This Row],[FECHA DE FACTURACIÓN]]</f>
        <v>69</v>
      </c>
      <c r="U311" t="str">
        <f>+IF(Tabla2[[#This Row],[dias de credito]]&gt;=Tabla2[[#This Row],[PLAZO Días]],"venc", "No venc")</f>
        <v>venc</v>
      </c>
      <c r="V311" t="str">
        <f>+IF(Tabla2[[#This Row],[FECHA DE PAGO]]&gt;0,"pagada","por pagar")</f>
        <v>pagada</v>
      </c>
      <c r="W311" s="141" t="str">
        <f>+IF(AND(Tabla2[[#This Row],[venc]]="venc",Tabla2[[#This Row],[Columna1]]="por pagar"),"vencida","no")</f>
        <v>no</v>
      </c>
    </row>
    <row r="312" spans="1:23" ht="15.6" hidden="1" x14ac:dyDescent="0.3">
      <c r="A312" s="20">
        <v>30</v>
      </c>
      <c r="B312" s="25">
        <v>0</v>
      </c>
      <c r="C312" s="25"/>
      <c r="D312" s="56" t="s">
        <v>107</v>
      </c>
      <c r="E312" s="426">
        <v>45222</v>
      </c>
      <c r="F312" s="26" t="s">
        <v>362</v>
      </c>
      <c r="G312" s="426">
        <v>45222</v>
      </c>
      <c r="H312" s="35" t="s">
        <v>2046</v>
      </c>
      <c r="I312" s="21">
        <v>2000000</v>
      </c>
      <c r="J312" s="21"/>
      <c r="K312" s="22">
        <v>0</v>
      </c>
      <c r="L312" s="23"/>
      <c r="M312" s="22">
        <v>0</v>
      </c>
      <c r="N312" s="74">
        <v>0</v>
      </c>
      <c r="O312" s="22">
        <v>0</v>
      </c>
      <c r="P312" s="21">
        <v>2000000</v>
      </c>
      <c r="S312" s="108" t="b">
        <f>OR(COUNTIF(Tabla2[[#This Row],[PROVEEDOR]],"*"&amp;'Palabra no opera'!$A$2&amp;"*"))</f>
        <v>0</v>
      </c>
      <c r="T312" s="139">
        <f>+$W$5-Tabla2[[#This Row],[FECHA DE FACTURACIÓN]]</f>
        <v>69</v>
      </c>
      <c r="U312" t="str">
        <f>+IF(Tabla2[[#This Row],[dias de credito]]&gt;=Tabla2[[#This Row],[PLAZO Días]],"venc", "No venc")</f>
        <v>venc</v>
      </c>
      <c r="V312" t="str">
        <f>+IF(Tabla2[[#This Row],[FECHA DE PAGO]]&gt;0,"pagada","por pagar")</f>
        <v>pagada</v>
      </c>
      <c r="W312" s="141" t="str">
        <f>+IF(AND(Tabla2[[#This Row],[venc]]="venc",Tabla2[[#This Row],[Columna1]]="por pagar"),"vencida","no")</f>
        <v>no</v>
      </c>
    </row>
    <row r="313" spans="1:23" ht="15.6" hidden="1" x14ac:dyDescent="0.3">
      <c r="A313" s="20">
        <v>30</v>
      </c>
      <c r="B313" s="25">
        <v>0</v>
      </c>
      <c r="C313" s="25"/>
      <c r="D313" s="56" t="s">
        <v>107</v>
      </c>
      <c r="E313" s="426">
        <v>45222</v>
      </c>
      <c r="F313" s="26" t="s">
        <v>362</v>
      </c>
      <c r="G313" s="426">
        <v>45222</v>
      </c>
      <c r="H313" s="35" t="s">
        <v>2049</v>
      </c>
      <c r="I313" s="21">
        <v>245000</v>
      </c>
      <c r="J313" s="21"/>
      <c r="K313" s="22">
        <v>0</v>
      </c>
      <c r="L313" s="23"/>
      <c r="M313" s="22">
        <v>0</v>
      </c>
      <c r="N313" s="74">
        <v>0</v>
      </c>
      <c r="O313" s="22">
        <v>0</v>
      </c>
      <c r="P313" s="21">
        <v>245000</v>
      </c>
      <c r="S313" s="108" t="b">
        <f>OR(COUNTIF(Tabla2[[#This Row],[PROVEEDOR]],"*"&amp;'Palabra no opera'!$A$2&amp;"*"))</f>
        <v>0</v>
      </c>
      <c r="T313" s="139">
        <f>+$W$5-Tabla2[[#This Row],[FECHA DE FACTURACIÓN]]</f>
        <v>69</v>
      </c>
      <c r="U313" t="str">
        <f>+IF(Tabla2[[#This Row],[dias de credito]]&gt;=Tabla2[[#This Row],[PLAZO Días]],"venc", "No venc")</f>
        <v>venc</v>
      </c>
      <c r="V313" t="str">
        <f>+IF(Tabla2[[#This Row],[FECHA DE PAGO]]&gt;0,"pagada","por pagar")</f>
        <v>pagada</v>
      </c>
      <c r="W313" s="141" t="str">
        <f>+IF(AND(Tabla2[[#This Row],[venc]]="venc",Tabla2[[#This Row],[Columna1]]="por pagar"),"vencida","no")</f>
        <v>no</v>
      </c>
    </row>
    <row r="314" spans="1:23" ht="15.6" hidden="1" x14ac:dyDescent="0.3">
      <c r="A314" s="20">
        <v>30</v>
      </c>
      <c r="B314" s="25">
        <v>0</v>
      </c>
      <c r="C314" s="25"/>
      <c r="D314" s="56" t="s">
        <v>107</v>
      </c>
      <c r="E314" s="426">
        <v>45222</v>
      </c>
      <c r="F314" s="26" t="s">
        <v>362</v>
      </c>
      <c r="G314" s="426">
        <v>45222</v>
      </c>
      <c r="H314" s="35" t="s">
        <v>2050</v>
      </c>
      <c r="I314" s="21">
        <v>621000</v>
      </c>
      <c r="J314" s="21"/>
      <c r="K314" s="22">
        <v>0</v>
      </c>
      <c r="L314" s="23"/>
      <c r="M314" s="22">
        <v>0</v>
      </c>
      <c r="N314" s="74">
        <v>0</v>
      </c>
      <c r="O314" s="22">
        <v>0</v>
      </c>
      <c r="P314" s="21">
        <v>621000</v>
      </c>
      <c r="S314" s="108" t="b">
        <f>OR(COUNTIF(Tabla2[[#This Row],[PROVEEDOR]],"*"&amp;'Palabra no opera'!$A$2&amp;"*"))</f>
        <v>0</v>
      </c>
      <c r="T314" s="139">
        <f>+$W$5-Tabla2[[#This Row],[FECHA DE FACTURACIÓN]]</f>
        <v>69</v>
      </c>
      <c r="U314" t="str">
        <f>+IF(Tabla2[[#This Row],[dias de credito]]&gt;=Tabla2[[#This Row],[PLAZO Días]],"venc", "No venc")</f>
        <v>venc</v>
      </c>
      <c r="V314" t="str">
        <f>+IF(Tabla2[[#This Row],[FECHA DE PAGO]]&gt;0,"pagada","por pagar")</f>
        <v>pagada</v>
      </c>
      <c r="W314" s="141" t="str">
        <f>+IF(AND(Tabla2[[#This Row],[venc]]="venc",Tabla2[[#This Row],[Columna1]]="por pagar"),"vencida","no")</f>
        <v>no</v>
      </c>
    </row>
    <row r="315" spans="1:23" ht="15.6" hidden="1" x14ac:dyDescent="0.3">
      <c r="A315" s="20">
        <v>30</v>
      </c>
      <c r="B315" s="25">
        <v>0</v>
      </c>
      <c r="C315" s="25"/>
      <c r="D315" s="56" t="s">
        <v>107</v>
      </c>
      <c r="E315" s="426">
        <v>45222</v>
      </c>
      <c r="F315" s="26" t="s">
        <v>362</v>
      </c>
      <c r="G315" s="426">
        <v>45222</v>
      </c>
      <c r="H315" s="35" t="s">
        <v>2051</v>
      </c>
      <c r="I315" s="21">
        <v>1200000</v>
      </c>
      <c r="J315" s="21"/>
      <c r="K315" s="22">
        <v>0</v>
      </c>
      <c r="L315" s="23"/>
      <c r="M315" s="22">
        <v>0</v>
      </c>
      <c r="N315" s="74">
        <v>0</v>
      </c>
      <c r="O315" s="22">
        <v>0</v>
      </c>
      <c r="P315" s="21">
        <v>1200000</v>
      </c>
      <c r="S315" s="108" t="b">
        <f>OR(COUNTIF(Tabla2[[#This Row],[PROVEEDOR]],"*"&amp;'Palabra no opera'!$A$2&amp;"*"))</f>
        <v>0</v>
      </c>
      <c r="T315" s="139">
        <f>+$W$5-Tabla2[[#This Row],[FECHA DE FACTURACIÓN]]</f>
        <v>69</v>
      </c>
      <c r="U315" t="str">
        <f>+IF(Tabla2[[#This Row],[dias de credito]]&gt;=Tabla2[[#This Row],[PLAZO Días]],"venc", "No venc")</f>
        <v>venc</v>
      </c>
      <c r="V315" t="str">
        <f>+IF(Tabla2[[#This Row],[FECHA DE PAGO]]&gt;0,"pagada","por pagar")</f>
        <v>pagada</v>
      </c>
      <c r="W315" s="141" t="str">
        <f>+IF(AND(Tabla2[[#This Row],[venc]]="venc",Tabla2[[#This Row],[Columna1]]="por pagar"),"vencida","no")</f>
        <v>no</v>
      </c>
    </row>
    <row r="316" spans="1:23" ht="15.6" hidden="1" x14ac:dyDescent="0.3">
      <c r="A316" s="20">
        <v>30</v>
      </c>
      <c r="B316" s="25">
        <v>0</v>
      </c>
      <c r="C316" s="25"/>
      <c r="D316" s="56" t="s">
        <v>2037</v>
      </c>
      <c r="E316" s="426">
        <v>45222</v>
      </c>
      <c r="F316" s="26" t="s">
        <v>2038</v>
      </c>
      <c r="G316" s="426">
        <v>45220</v>
      </c>
      <c r="H316" s="35" t="s">
        <v>2039</v>
      </c>
      <c r="I316" s="21">
        <v>973672</v>
      </c>
      <c r="J316" s="21"/>
      <c r="K316" s="22">
        <v>178538</v>
      </c>
      <c r="L316" s="23"/>
      <c r="M316" s="22">
        <v>0</v>
      </c>
      <c r="N316" s="74">
        <v>0</v>
      </c>
      <c r="O316" s="22">
        <v>0</v>
      </c>
      <c r="P316" s="21">
        <v>1152210</v>
      </c>
      <c r="S316" s="108" t="b">
        <f>OR(COUNTIF(Tabla2[[#This Row],[PROVEEDOR]],"*"&amp;'Palabra no opera'!$A$2&amp;"*"))</f>
        <v>0</v>
      </c>
      <c r="T316" s="139">
        <f>+$W$5-Tabla2[[#This Row],[FECHA DE FACTURACIÓN]]</f>
        <v>71</v>
      </c>
      <c r="U316" t="str">
        <f>+IF(Tabla2[[#This Row],[dias de credito]]&gt;=Tabla2[[#This Row],[PLAZO Días]],"venc", "No venc")</f>
        <v>venc</v>
      </c>
      <c r="V316" t="str">
        <f>+IF(Tabla2[[#This Row],[FECHA DE PAGO]]&gt;0,"pagada","por pagar")</f>
        <v>pagada</v>
      </c>
      <c r="W316" s="141" t="str">
        <f>+IF(AND(Tabla2[[#This Row],[venc]]="venc",Tabla2[[#This Row],[Columna1]]="por pagar"),"vencida","no")</f>
        <v>no</v>
      </c>
    </row>
    <row r="317" spans="1:23" ht="15.6" hidden="1" x14ac:dyDescent="0.3">
      <c r="A317" s="20">
        <v>30</v>
      </c>
      <c r="B317" s="25">
        <v>0</v>
      </c>
      <c r="C317" s="25"/>
      <c r="D317" s="56" t="s">
        <v>678</v>
      </c>
      <c r="E317" s="426">
        <v>45222</v>
      </c>
      <c r="F317" s="26" t="s">
        <v>373</v>
      </c>
      <c r="G317" s="426">
        <v>45219</v>
      </c>
      <c r="H317" s="35" t="s">
        <v>2043</v>
      </c>
      <c r="I317" s="21">
        <v>2074832</v>
      </c>
      <c r="J317" s="21"/>
      <c r="K317" s="22">
        <v>0</v>
      </c>
      <c r="L317" s="23"/>
      <c r="M317" s="22">
        <v>0</v>
      </c>
      <c r="N317" s="74">
        <v>0</v>
      </c>
      <c r="O317" s="22">
        <v>0</v>
      </c>
      <c r="P317" s="21">
        <v>2074832</v>
      </c>
      <c r="S317" s="108" t="b">
        <f>OR(COUNTIF(Tabla2[[#This Row],[PROVEEDOR]],"*"&amp;'Palabra no opera'!$A$2&amp;"*"))</f>
        <v>0</v>
      </c>
      <c r="T317" s="139">
        <f>+$W$5-Tabla2[[#This Row],[FECHA DE FACTURACIÓN]]</f>
        <v>72</v>
      </c>
      <c r="U317" t="str">
        <f>+IF(Tabla2[[#This Row],[dias de credito]]&gt;=Tabla2[[#This Row],[PLAZO Días]],"venc", "No venc")</f>
        <v>venc</v>
      </c>
      <c r="V317" t="str">
        <f>+IF(Tabla2[[#This Row],[FECHA DE PAGO]]&gt;0,"pagada","por pagar")</f>
        <v>pagada</v>
      </c>
      <c r="W317" s="141" t="str">
        <f>+IF(AND(Tabla2[[#This Row],[venc]]="venc",Tabla2[[#This Row],[Columna1]]="por pagar"),"vencida","no")</f>
        <v>no</v>
      </c>
    </row>
    <row r="318" spans="1:23" ht="15.6" hidden="1" x14ac:dyDescent="0.3">
      <c r="A318" s="20">
        <v>30</v>
      </c>
      <c r="B318" s="25">
        <v>0</v>
      </c>
      <c r="C318" s="25"/>
      <c r="D318" s="56" t="s">
        <v>260</v>
      </c>
      <c r="E318" s="426">
        <v>45222</v>
      </c>
      <c r="F318" s="26" t="s">
        <v>635</v>
      </c>
      <c r="G318" s="426">
        <v>45219</v>
      </c>
      <c r="H318" s="35" t="s">
        <v>2040</v>
      </c>
      <c r="I318" s="21">
        <v>3456200</v>
      </c>
      <c r="J318" s="21"/>
      <c r="K318" s="22">
        <v>0</v>
      </c>
      <c r="L318" s="23"/>
      <c r="M318" s="22">
        <v>0</v>
      </c>
      <c r="N318" s="74">
        <v>3.5000000000000003E-2</v>
      </c>
      <c r="O318" s="22">
        <v>120967.00000000001</v>
      </c>
      <c r="P318" s="21">
        <v>3335233</v>
      </c>
      <c r="S318" s="108" t="b">
        <f>OR(COUNTIF(Tabla2[[#This Row],[PROVEEDOR]],"*"&amp;'Palabra no opera'!$A$2&amp;"*"))</f>
        <v>1</v>
      </c>
      <c r="T318" s="139">
        <f>+$W$5-Tabla2[[#This Row],[FECHA DE FACTURACIÓN]]</f>
        <v>72</v>
      </c>
      <c r="U318" t="str">
        <f>+IF(Tabla2[[#This Row],[dias de credito]]&gt;=Tabla2[[#This Row],[PLAZO Días]],"venc", "No venc")</f>
        <v>venc</v>
      </c>
      <c r="V318" t="str">
        <f>+IF(Tabla2[[#This Row],[FECHA DE PAGO]]&gt;0,"pagada","por pagar")</f>
        <v>pagada</v>
      </c>
      <c r="W318" s="141" t="str">
        <f>+IF(AND(Tabla2[[#This Row],[venc]]="venc",Tabla2[[#This Row],[Columna1]]="por pagar"),"vencida","no")</f>
        <v>no</v>
      </c>
    </row>
    <row r="319" spans="1:23" ht="15.6" hidden="1" x14ac:dyDescent="0.3">
      <c r="A319" s="20">
        <v>30</v>
      </c>
      <c r="B319" s="25">
        <v>0</v>
      </c>
      <c r="C319" s="25"/>
      <c r="D319" s="56" t="s">
        <v>199</v>
      </c>
      <c r="E319" s="426">
        <v>45222</v>
      </c>
      <c r="F319" s="26" t="s">
        <v>1069</v>
      </c>
      <c r="G319" s="426">
        <v>45187</v>
      </c>
      <c r="H319" s="35" t="s">
        <v>1969</v>
      </c>
      <c r="I319" s="21">
        <v>2762184</v>
      </c>
      <c r="J319" s="21"/>
      <c r="K319" s="22">
        <v>524814.96</v>
      </c>
      <c r="L319" s="23"/>
      <c r="M319" s="22">
        <v>0</v>
      </c>
      <c r="N319" s="74">
        <v>2.5000000000000001E-2</v>
      </c>
      <c r="O319" s="22">
        <v>69054.600000000006</v>
      </c>
      <c r="P319" s="21">
        <v>3217944.36</v>
      </c>
      <c r="S319" s="108" t="b">
        <f>OR(COUNTIF(Tabla2[[#This Row],[PROVEEDOR]],"*"&amp;'Palabra no opera'!$A$2&amp;"*"))</f>
        <v>0</v>
      </c>
      <c r="T319" s="139">
        <f>+$W$5-Tabla2[[#This Row],[FECHA DE FACTURACIÓN]]</f>
        <v>104</v>
      </c>
      <c r="U319" t="str">
        <f>+IF(Tabla2[[#This Row],[dias de credito]]&gt;=Tabla2[[#This Row],[PLAZO Días]],"venc", "No venc")</f>
        <v>venc</v>
      </c>
      <c r="V319" t="str">
        <f>+IF(Tabla2[[#This Row],[FECHA DE PAGO]]&gt;0,"pagada","por pagar")</f>
        <v>pagada</v>
      </c>
      <c r="W319" s="141" t="str">
        <f>+IF(AND(Tabla2[[#This Row],[venc]]="venc",Tabla2[[#This Row],[Columna1]]="por pagar"),"vencida","no")</f>
        <v>no</v>
      </c>
    </row>
    <row r="320" spans="1:23" ht="15.6" hidden="1" x14ac:dyDescent="0.3">
      <c r="A320" s="20">
        <v>30</v>
      </c>
      <c r="B320" s="25">
        <v>0</v>
      </c>
      <c r="C320" s="25"/>
      <c r="D320" s="56" t="s">
        <v>107</v>
      </c>
      <c r="E320" s="426">
        <v>45220</v>
      </c>
      <c r="F320" s="26" t="s">
        <v>362</v>
      </c>
      <c r="G320" s="426">
        <v>45220</v>
      </c>
      <c r="H320" s="35" t="s">
        <v>2028</v>
      </c>
      <c r="I320" s="21">
        <v>200000</v>
      </c>
      <c r="J320" s="21"/>
      <c r="K320" s="22">
        <v>0</v>
      </c>
      <c r="L320" s="23"/>
      <c r="M320" s="22">
        <v>0</v>
      </c>
      <c r="N320" s="74">
        <v>0</v>
      </c>
      <c r="O320" s="22">
        <v>0</v>
      </c>
      <c r="P320" s="21">
        <v>200000</v>
      </c>
      <c r="S320" s="108" t="b">
        <f>OR(COUNTIF(Tabla2[[#This Row],[PROVEEDOR]],"*"&amp;'Palabra no opera'!$A$2&amp;"*"))</f>
        <v>0</v>
      </c>
      <c r="T320" s="139">
        <f>+$W$5-Tabla2[[#This Row],[FECHA DE FACTURACIÓN]]</f>
        <v>71</v>
      </c>
      <c r="U320" t="str">
        <f>+IF(Tabla2[[#This Row],[dias de credito]]&gt;=Tabla2[[#This Row],[PLAZO Días]],"venc", "No venc")</f>
        <v>venc</v>
      </c>
      <c r="V320" t="str">
        <f>+IF(Tabla2[[#This Row],[FECHA DE PAGO]]&gt;0,"pagada","por pagar")</f>
        <v>pagada</v>
      </c>
      <c r="W320" s="141" t="str">
        <f>+IF(AND(Tabla2[[#This Row],[venc]]="venc",Tabla2[[#This Row],[Columna1]]="por pagar"),"vencida","no")</f>
        <v>no</v>
      </c>
    </row>
    <row r="321" spans="1:23" ht="15.6" hidden="1" x14ac:dyDescent="0.3">
      <c r="A321" s="20">
        <v>30</v>
      </c>
      <c r="B321" s="25">
        <v>0</v>
      </c>
      <c r="C321" s="25"/>
      <c r="D321" s="56" t="s">
        <v>107</v>
      </c>
      <c r="E321" s="426">
        <v>45220</v>
      </c>
      <c r="F321" s="26" t="s">
        <v>378</v>
      </c>
      <c r="G321" s="426">
        <v>45220</v>
      </c>
      <c r="H321" s="35" t="s">
        <v>2061</v>
      </c>
      <c r="I321" s="21">
        <v>680000</v>
      </c>
      <c r="J321" s="21"/>
      <c r="K321" s="22">
        <v>0</v>
      </c>
      <c r="L321" s="23"/>
      <c r="M321" s="22">
        <v>0</v>
      </c>
      <c r="N321" s="74">
        <v>0</v>
      </c>
      <c r="O321" s="22">
        <v>0</v>
      </c>
      <c r="P321" s="21">
        <v>680000</v>
      </c>
      <c r="S321" s="108" t="b">
        <f>OR(COUNTIF(Tabla2[[#This Row],[PROVEEDOR]],"*"&amp;'Palabra no opera'!$A$2&amp;"*"))</f>
        <v>0</v>
      </c>
      <c r="T321" s="139">
        <f>+$W$5-Tabla2[[#This Row],[FECHA DE FACTURACIÓN]]</f>
        <v>71</v>
      </c>
      <c r="U321" t="str">
        <f>+IF(Tabla2[[#This Row],[dias de credito]]&gt;=Tabla2[[#This Row],[PLAZO Días]],"venc", "No venc")</f>
        <v>venc</v>
      </c>
      <c r="V321" t="str">
        <f>+IF(Tabla2[[#This Row],[FECHA DE PAGO]]&gt;0,"pagada","por pagar")</f>
        <v>pagada</v>
      </c>
      <c r="W321" s="141" t="str">
        <f>+IF(AND(Tabla2[[#This Row],[venc]]="venc",Tabla2[[#This Row],[Columna1]]="por pagar"),"vencida","no")</f>
        <v>no</v>
      </c>
    </row>
    <row r="322" spans="1:23" ht="15.6" hidden="1" x14ac:dyDescent="0.3">
      <c r="A322" s="20">
        <v>30</v>
      </c>
      <c r="B322" s="25">
        <v>0</v>
      </c>
      <c r="C322" s="25"/>
      <c r="D322" s="56" t="s">
        <v>185</v>
      </c>
      <c r="E322" s="426">
        <v>45219</v>
      </c>
      <c r="F322" s="26" t="s">
        <v>628</v>
      </c>
      <c r="G322" s="426">
        <v>45219</v>
      </c>
      <c r="H322" s="35" t="s">
        <v>2036</v>
      </c>
      <c r="I322" s="21">
        <v>196317</v>
      </c>
      <c r="J322" s="21"/>
      <c r="K322" s="22">
        <v>0</v>
      </c>
      <c r="L322" s="23"/>
      <c r="M322" s="22">
        <v>0</v>
      </c>
      <c r="N322" s="74">
        <v>0</v>
      </c>
      <c r="O322" s="22">
        <v>0</v>
      </c>
      <c r="P322" s="21">
        <v>196317</v>
      </c>
      <c r="S322" s="108" t="b">
        <f>OR(COUNTIF(Tabla2[[#This Row],[PROVEEDOR]],"*"&amp;'Palabra no opera'!$A$2&amp;"*"))</f>
        <v>1</v>
      </c>
      <c r="T322" s="139">
        <f>+$W$5-Tabla2[[#This Row],[FECHA DE FACTURACIÓN]]</f>
        <v>72</v>
      </c>
      <c r="U322" t="str">
        <f>+IF(Tabla2[[#This Row],[dias de credito]]&gt;=Tabla2[[#This Row],[PLAZO Días]],"venc", "No venc")</f>
        <v>venc</v>
      </c>
      <c r="V322" t="str">
        <f>+IF(Tabla2[[#This Row],[FECHA DE PAGO]]&gt;0,"pagada","por pagar")</f>
        <v>pagada</v>
      </c>
      <c r="W322" s="141" t="str">
        <f>+IF(AND(Tabla2[[#This Row],[venc]]="venc",Tabla2[[#This Row],[Columna1]]="por pagar"),"vencida","no")</f>
        <v>no</v>
      </c>
    </row>
    <row r="323" spans="1:23" ht="15.6" hidden="1" x14ac:dyDescent="0.3">
      <c r="A323" s="20">
        <v>30</v>
      </c>
      <c r="B323" s="25">
        <v>0</v>
      </c>
      <c r="C323" s="25"/>
      <c r="D323" s="56">
        <v>0</v>
      </c>
      <c r="E323" s="426">
        <v>45219</v>
      </c>
      <c r="F323" s="26" t="s">
        <v>1736</v>
      </c>
      <c r="G323" s="426">
        <v>45217</v>
      </c>
      <c r="H323" s="35"/>
      <c r="I323" s="21">
        <v>478000</v>
      </c>
      <c r="J323" s="21"/>
      <c r="K323" s="22">
        <v>0</v>
      </c>
      <c r="L323" s="23"/>
      <c r="M323" s="22">
        <v>0</v>
      </c>
      <c r="N323" s="74">
        <v>0</v>
      </c>
      <c r="O323" s="22">
        <v>0</v>
      </c>
      <c r="P323" s="21">
        <v>478000</v>
      </c>
      <c r="S323" s="108" t="b">
        <f>OR(COUNTIF(Tabla2[[#This Row],[PROVEEDOR]],"*"&amp;'Palabra no opera'!$A$2&amp;"*"))</f>
        <v>0</v>
      </c>
      <c r="T323" s="139">
        <f>+$W$5-Tabla2[[#This Row],[FECHA DE FACTURACIÓN]]</f>
        <v>74</v>
      </c>
      <c r="U323" t="str">
        <f>+IF(Tabla2[[#This Row],[dias de credito]]&gt;=Tabla2[[#This Row],[PLAZO Días]],"venc", "No venc")</f>
        <v>venc</v>
      </c>
      <c r="V323" t="str">
        <f>+IF(Tabla2[[#This Row],[FECHA DE PAGO]]&gt;0,"pagada","por pagar")</f>
        <v>pagada</v>
      </c>
      <c r="W323" s="141" t="str">
        <f>+IF(AND(Tabla2[[#This Row],[venc]]="venc",Tabla2[[#This Row],[Columna1]]="por pagar"),"vencida","no")</f>
        <v>no</v>
      </c>
    </row>
    <row r="324" spans="1:23" ht="15.6" hidden="1" x14ac:dyDescent="0.3">
      <c r="A324" s="20">
        <v>45</v>
      </c>
      <c r="B324" s="25">
        <v>15770594</v>
      </c>
      <c r="C324" s="25"/>
      <c r="D324" s="56" t="s">
        <v>594</v>
      </c>
      <c r="E324" s="426">
        <v>45219</v>
      </c>
      <c r="F324" s="26" t="s">
        <v>19</v>
      </c>
      <c r="G324" s="426">
        <v>45197</v>
      </c>
      <c r="H324" s="35" t="s">
        <v>1958</v>
      </c>
      <c r="I324" s="21">
        <v>-5882353</v>
      </c>
      <c r="J324" s="21"/>
      <c r="K324" s="22">
        <v>-1117647.07</v>
      </c>
      <c r="L324" s="23"/>
      <c r="M324" s="22">
        <v>0</v>
      </c>
      <c r="N324" s="74">
        <v>0</v>
      </c>
      <c r="O324" s="22">
        <v>0</v>
      </c>
      <c r="P324" s="21">
        <v>-7000000.0700000003</v>
      </c>
      <c r="S324" s="108" t="b">
        <f>OR(COUNTIF(Tabla2[[#This Row],[PROVEEDOR]],"*"&amp;'Palabra no opera'!$A$2&amp;"*"))</f>
        <v>0</v>
      </c>
      <c r="T324" s="139">
        <f>+$W$5-Tabla2[[#This Row],[FECHA DE FACTURACIÓN]]</f>
        <v>94</v>
      </c>
      <c r="U324" t="str">
        <f>+IF(Tabla2[[#This Row],[dias de credito]]&gt;=Tabla2[[#This Row],[PLAZO Días]],"venc", "No venc")</f>
        <v>venc</v>
      </c>
      <c r="V324" t="str">
        <f>+IF(Tabla2[[#This Row],[FECHA DE PAGO]]&gt;0,"pagada","por pagar")</f>
        <v>pagada</v>
      </c>
      <c r="W324" s="141" t="str">
        <f>+IF(AND(Tabla2[[#This Row],[venc]]="venc",Tabla2[[#This Row],[Columna1]]="por pagar"),"vencida","no")</f>
        <v>no</v>
      </c>
    </row>
    <row r="325" spans="1:23" ht="15.6" hidden="1" x14ac:dyDescent="0.3">
      <c r="A325" s="20">
        <v>45</v>
      </c>
      <c r="B325" s="25">
        <v>15770594</v>
      </c>
      <c r="C325" s="25"/>
      <c r="D325" s="56" t="s">
        <v>594</v>
      </c>
      <c r="E325" s="426">
        <v>45219</v>
      </c>
      <c r="F325" s="26" t="s">
        <v>19</v>
      </c>
      <c r="G325" s="426">
        <v>45167</v>
      </c>
      <c r="H325" s="35" t="s">
        <v>1926</v>
      </c>
      <c r="I325" s="21">
        <v>13296150</v>
      </c>
      <c r="J325" s="21"/>
      <c r="K325" s="22">
        <v>2526268.5</v>
      </c>
      <c r="L325" s="23"/>
      <c r="M325" s="22">
        <v>0</v>
      </c>
      <c r="N325" s="74">
        <v>0</v>
      </c>
      <c r="O325" s="22">
        <v>0</v>
      </c>
      <c r="P325" s="21">
        <v>15822418.5</v>
      </c>
      <c r="S325" s="108" t="b">
        <f>OR(COUNTIF(Tabla2[[#This Row],[PROVEEDOR]],"*"&amp;'Palabra no opera'!$A$2&amp;"*"))</f>
        <v>0</v>
      </c>
      <c r="T325" s="139">
        <f>+$W$5-Tabla2[[#This Row],[FECHA DE FACTURACIÓN]]</f>
        <v>124</v>
      </c>
      <c r="U325" t="str">
        <f>+IF(Tabla2[[#This Row],[dias de credito]]&gt;=Tabla2[[#This Row],[PLAZO Días]],"venc", "No venc")</f>
        <v>venc</v>
      </c>
      <c r="V325" t="str">
        <f>+IF(Tabla2[[#This Row],[FECHA DE PAGO]]&gt;0,"pagada","por pagar")</f>
        <v>pagada</v>
      </c>
      <c r="W325" s="141" t="str">
        <f>+IF(AND(Tabla2[[#This Row],[venc]]="venc",Tabla2[[#This Row],[Columna1]]="por pagar"),"vencida","no")</f>
        <v>no</v>
      </c>
    </row>
    <row r="326" spans="1:23" ht="15.6" hidden="1" x14ac:dyDescent="0.3">
      <c r="A326" s="20">
        <v>30</v>
      </c>
      <c r="B326" s="25">
        <v>0</v>
      </c>
      <c r="C326" s="25"/>
      <c r="D326" s="56" t="s">
        <v>107</v>
      </c>
      <c r="E326" s="426">
        <v>45218</v>
      </c>
      <c r="F326" s="26" t="s">
        <v>390</v>
      </c>
      <c r="G326" s="426">
        <v>45218</v>
      </c>
      <c r="H326" s="35"/>
      <c r="I326" s="21">
        <v>1000000</v>
      </c>
      <c r="J326" s="21"/>
      <c r="K326" s="22">
        <v>0</v>
      </c>
      <c r="L326" s="23"/>
      <c r="M326" s="22">
        <v>0</v>
      </c>
      <c r="N326" s="74">
        <v>0</v>
      </c>
      <c r="O326" s="22">
        <v>0</v>
      </c>
      <c r="P326" s="21">
        <v>1000000</v>
      </c>
      <c r="S326" s="108" t="b">
        <f>OR(COUNTIF(Tabla2[[#This Row],[PROVEEDOR]],"*"&amp;'Palabra no opera'!$A$2&amp;"*"))</f>
        <v>0</v>
      </c>
      <c r="T326" s="139">
        <f>+$W$5-Tabla2[[#This Row],[FECHA DE FACTURACIÓN]]</f>
        <v>73</v>
      </c>
      <c r="U326" t="str">
        <f>+IF(Tabla2[[#This Row],[dias de credito]]&gt;=Tabla2[[#This Row],[PLAZO Días]],"venc", "No venc")</f>
        <v>venc</v>
      </c>
      <c r="V326" t="str">
        <f>+IF(Tabla2[[#This Row],[FECHA DE PAGO]]&gt;0,"pagada","por pagar")</f>
        <v>pagada</v>
      </c>
      <c r="W326" s="141" t="str">
        <f>+IF(AND(Tabla2[[#This Row],[venc]]="venc",Tabla2[[#This Row],[Columna1]]="por pagar"),"vencida","no")</f>
        <v>no</v>
      </c>
    </row>
    <row r="327" spans="1:23" ht="15.6" hidden="1" x14ac:dyDescent="0.3">
      <c r="A327" s="20">
        <v>30</v>
      </c>
      <c r="B327" s="25">
        <v>0</v>
      </c>
      <c r="C327" s="25"/>
      <c r="D327" s="56" t="s">
        <v>107</v>
      </c>
      <c r="E327" s="426">
        <v>45218</v>
      </c>
      <c r="F327" s="26" t="s">
        <v>1194</v>
      </c>
      <c r="G327" s="426">
        <v>45217</v>
      </c>
      <c r="H327" s="35" t="s">
        <v>2052</v>
      </c>
      <c r="I327" s="21">
        <v>6764000</v>
      </c>
      <c r="J327" s="21"/>
      <c r="K327" s="22">
        <v>0</v>
      </c>
      <c r="L327" s="23"/>
      <c r="M327" s="22">
        <v>0</v>
      </c>
      <c r="N327" s="74">
        <v>0</v>
      </c>
      <c r="O327" s="22">
        <v>0</v>
      </c>
      <c r="P327" s="21">
        <v>6764000</v>
      </c>
      <c r="S327" s="108" t="b">
        <f>OR(COUNTIF(Tabla2[[#This Row],[PROVEEDOR]],"*"&amp;'Palabra no opera'!$A$2&amp;"*"))</f>
        <v>0</v>
      </c>
      <c r="T327" s="139">
        <f>+$W$5-Tabla2[[#This Row],[FECHA DE FACTURACIÓN]]</f>
        <v>74</v>
      </c>
      <c r="U327" t="str">
        <f>+IF(Tabla2[[#This Row],[dias de credito]]&gt;=Tabla2[[#This Row],[PLAZO Días]],"venc", "No venc")</f>
        <v>venc</v>
      </c>
      <c r="V327" t="str">
        <f>+IF(Tabla2[[#This Row],[FECHA DE PAGO]]&gt;0,"pagada","por pagar")</f>
        <v>pagada</v>
      </c>
      <c r="W327" s="141" t="str">
        <f>+IF(AND(Tabla2[[#This Row],[venc]]="venc",Tabla2[[#This Row],[Columna1]]="por pagar"),"vencida","no")</f>
        <v>no</v>
      </c>
    </row>
    <row r="328" spans="1:23" ht="15.6" hidden="1" x14ac:dyDescent="0.3">
      <c r="A328" s="20">
        <v>30</v>
      </c>
      <c r="B328" s="25">
        <v>0</v>
      </c>
      <c r="C328" s="25"/>
      <c r="D328" s="56" t="s">
        <v>185</v>
      </c>
      <c r="E328" s="426">
        <v>45218</v>
      </c>
      <c r="F328" s="26" t="s">
        <v>628</v>
      </c>
      <c r="G328" s="426">
        <v>45201</v>
      </c>
      <c r="H328" s="35" t="s">
        <v>2025</v>
      </c>
      <c r="I328" s="21">
        <v>1840056</v>
      </c>
      <c r="J328" s="21"/>
      <c r="K328" s="22">
        <v>0</v>
      </c>
      <c r="L328" s="23"/>
      <c r="M328" s="22">
        <v>105097</v>
      </c>
      <c r="N328" s="74">
        <v>0</v>
      </c>
      <c r="O328" s="22">
        <v>0</v>
      </c>
      <c r="P328" s="21">
        <v>1734959</v>
      </c>
      <c r="S328" s="108" t="b">
        <f>OR(COUNTIF(Tabla2[[#This Row],[PROVEEDOR]],"*"&amp;'Palabra no opera'!$A$2&amp;"*"))</f>
        <v>1</v>
      </c>
      <c r="T328" s="139">
        <f>+$W$5-Tabla2[[#This Row],[FECHA DE FACTURACIÓN]]</f>
        <v>90</v>
      </c>
      <c r="U328" t="str">
        <f>+IF(Tabla2[[#This Row],[dias de credito]]&gt;=Tabla2[[#This Row],[PLAZO Días]],"venc", "No venc")</f>
        <v>venc</v>
      </c>
      <c r="V328" t="str">
        <f>+IF(Tabla2[[#This Row],[FECHA DE PAGO]]&gt;0,"pagada","por pagar")</f>
        <v>pagada</v>
      </c>
      <c r="W328" s="141" t="str">
        <f>+IF(AND(Tabla2[[#This Row],[venc]]="venc",Tabla2[[#This Row],[Columna1]]="por pagar"),"vencida","no")</f>
        <v>no</v>
      </c>
    </row>
    <row r="329" spans="1:23" ht="15.6" hidden="1" x14ac:dyDescent="0.3">
      <c r="A329" s="20">
        <v>30</v>
      </c>
      <c r="B329" s="25">
        <v>352505.48</v>
      </c>
      <c r="C329" s="25"/>
      <c r="D329" s="56" t="s">
        <v>393</v>
      </c>
      <c r="E329" s="426">
        <v>45218</v>
      </c>
      <c r="F329" s="26" t="s">
        <v>631</v>
      </c>
      <c r="G329" s="426">
        <v>45200</v>
      </c>
      <c r="H329" s="35" t="s">
        <v>2024</v>
      </c>
      <c r="I329" s="21">
        <v>318603</v>
      </c>
      <c r="J329" s="21">
        <v>9545</v>
      </c>
      <c r="K329" s="22">
        <v>0</v>
      </c>
      <c r="L329" s="23"/>
      <c r="M329" s="22">
        <v>0</v>
      </c>
      <c r="N329" s="74">
        <v>0</v>
      </c>
      <c r="O329" s="22">
        <v>0</v>
      </c>
      <c r="P329" s="21">
        <v>309058</v>
      </c>
      <c r="S329" s="108" t="b">
        <f>OR(COUNTIF(Tabla2[[#This Row],[PROVEEDOR]],"*"&amp;'Palabra no opera'!$A$2&amp;"*"))</f>
        <v>1</v>
      </c>
      <c r="T329" s="139">
        <f>+$W$5-Tabla2[[#This Row],[FECHA DE FACTURACIÓN]]</f>
        <v>91</v>
      </c>
      <c r="U329" t="str">
        <f>+IF(Tabla2[[#This Row],[dias de credito]]&gt;=Tabla2[[#This Row],[PLAZO Días]],"venc", "No venc")</f>
        <v>venc</v>
      </c>
      <c r="V329" t="str">
        <f>+IF(Tabla2[[#This Row],[FECHA DE PAGO]]&gt;0,"pagada","por pagar")</f>
        <v>pagada</v>
      </c>
      <c r="W329" s="141" t="str">
        <f>+IF(AND(Tabla2[[#This Row],[venc]]="venc",Tabla2[[#This Row],[Columna1]]="por pagar"),"vencida","no")</f>
        <v>no</v>
      </c>
    </row>
    <row r="330" spans="1:23" ht="15.6" hidden="1" x14ac:dyDescent="0.3">
      <c r="A330" s="20">
        <v>30</v>
      </c>
      <c r="B330" s="25">
        <v>0</v>
      </c>
      <c r="C330" s="25"/>
      <c r="D330" s="56" t="s">
        <v>1116</v>
      </c>
      <c r="E330" s="426">
        <v>45218</v>
      </c>
      <c r="F330" s="26" t="s">
        <v>638</v>
      </c>
      <c r="G330" s="426">
        <v>45200</v>
      </c>
      <c r="H330" s="35" t="s">
        <v>2035</v>
      </c>
      <c r="I330" s="21">
        <v>3935776</v>
      </c>
      <c r="J330" s="21"/>
      <c r="K330" s="22">
        <v>665000</v>
      </c>
      <c r="L330" s="23"/>
      <c r="M330" s="22">
        <v>0</v>
      </c>
      <c r="N330" s="74">
        <v>3.5000000000000003E-2</v>
      </c>
      <c r="O330" s="22"/>
      <c r="P330" s="21">
        <v>4600776</v>
      </c>
      <c r="S330" s="108" t="b">
        <f>OR(COUNTIF(Tabla2[[#This Row],[PROVEEDOR]],"*"&amp;'Palabra no opera'!$A$2&amp;"*"))</f>
        <v>1</v>
      </c>
      <c r="T330" s="139">
        <f>+$W$5-Tabla2[[#This Row],[FECHA DE FACTURACIÓN]]</f>
        <v>91</v>
      </c>
      <c r="U330" t="str">
        <f>+IF(Tabla2[[#This Row],[dias de credito]]&gt;=Tabla2[[#This Row],[PLAZO Días]],"venc", "No venc")</f>
        <v>venc</v>
      </c>
      <c r="V330" t="str">
        <f>+IF(Tabla2[[#This Row],[FECHA DE PAGO]]&gt;0,"pagada","por pagar")</f>
        <v>pagada</v>
      </c>
      <c r="W330" s="141" t="str">
        <f>+IF(AND(Tabla2[[#This Row],[venc]]="venc",Tabla2[[#This Row],[Columna1]]="por pagar"),"vencida","no")</f>
        <v>no</v>
      </c>
    </row>
    <row r="331" spans="1:23" ht="15.6" hidden="1" x14ac:dyDescent="0.3">
      <c r="A331" s="20">
        <v>30</v>
      </c>
      <c r="B331" s="25">
        <v>0</v>
      </c>
      <c r="C331" s="25"/>
      <c r="D331" s="56" t="s">
        <v>193</v>
      </c>
      <c r="E331" s="426">
        <v>45218</v>
      </c>
      <c r="F331" s="26" t="s">
        <v>651</v>
      </c>
      <c r="G331" s="426">
        <v>45200</v>
      </c>
      <c r="H331" s="35" t="s">
        <v>2026</v>
      </c>
      <c r="I331" s="21">
        <v>243611</v>
      </c>
      <c r="J331" s="21"/>
      <c r="K331" s="22">
        <v>46286.090000000004</v>
      </c>
      <c r="L331" s="23"/>
      <c r="M331" s="22">
        <v>0</v>
      </c>
      <c r="N331" s="74">
        <v>3.5000000000000003E-2</v>
      </c>
      <c r="O331" s="22">
        <v>8526.3850000000002</v>
      </c>
      <c r="P331" s="21">
        <v>281370.70500000002</v>
      </c>
      <c r="S331" s="108" t="b">
        <f>OR(COUNTIF(Tabla2[[#This Row],[PROVEEDOR]],"*"&amp;'Palabra no opera'!$A$2&amp;"*"))</f>
        <v>1</v>
      </c>
      <c r="T331" s="139">
        <f>+$W$5-Tabla2[[#This Row],[FECHA DE FACTURACIÓN]]</f>
        <v>91</v>
      </c>
      <c r="U331" t="str">
        <f>+IF(Tabla2[[#This Row],[dias de credito]]&gt;=Tabla2[[#This Row],[PLAZO Días]],"venc", "No venc")</f>
        <v>venc</v>
      </c>
      <c r="V331" t="str">
        <f>+IF(Tabla2[[#This Row],[FECHA DE PAGO]]&gt;0,"pagada","por pagar")</f>
        <v>pagada</v>
      </c>
      <c r="W331" s="141" t="str">
        <f>+IF(AND(Tabla2[[#This Row],[venc]]="venc",Tabla2[[#This Row],[Columna1]]="por pagar"),"vencida","no")</f>
        <v>no</v>
      </c>
    </row>
    <row r="332" spans="1:23" ht="15.6" hidden="1" x14ac:dyDescent="0.3">
      <c r="A332" s="20">
        <v>10</v>
      </c>
      <c r="B332" s="25">
        <v>0</v>
      </c>
      <c r="C332" s="25"/>
      <c r="D332" s="56" t="s">
        <v>1203</v>
      </c>
      <c r="E332" s="426">
        <v>45218</v>
      </c>
      <c r="F332" s="26" t="s">
        <v>1202</v>
      </c>
      <c r="G332" s="426">
        <v>45200</v>
      </c>
      <c r="H332" s="35" t="s">
        <v>2023</v>
      </c>
      <c r="I332" s="21">
        <v>5350576</v>
      </c>
      <c r="J332" s="21"/>
      <c r="K332" s="22">
        <v>1016609</v>
      </c>
      <c r="L332" s="23"/>
      <c r="M332" s="22">
        <v>0</v>
      </c>
      <c r="N332" s="74">
        <v>0</v>
      </c>
      <c r="O332" s="22">
        <v>0</v>
      </c>
      <c r="P332" s="21">
        <v>6367185</v>
      </c>
      <c r="S332" s="108" t="b">
        <f>OR(COUNTIF(Tabla2[[#This Row],[PROVEEDOR]],"*"&amp;'Palabra no opera'!$A$2&amp;"*"))</f>
        <v>1</v>
      </c>
      <c r="T332" s="139">
        <f>+$W$5-Tabla2[[#This Row],[FECHA DE FACTURACIÓN]]</f>
        <v>91</v>
      </c>
      <c r="U332" t="str">
        <f>+IF(Tabla2[[#This Row],[dias de credito]]&gt;=Tabla2[[#This Row],[PLAZO Días]],"venc", "No venc")</f>
        <v>venc</v>
      </c>
      <c r="V332" t="str">
        <f>+IF(Tabla2[[#This Row],[FECHA DE PAGO]]&gt;0,"pagada","por pagar")</f>
        <v>pagada</v>
      </c>
      <c r="W332" s="141" t="str">
        <f>+IF(AND(Tabla2[[#This Row],[venc]]="venc",Tabla2[[#This Row],[Columna1]]="por pagar"),"vencida","no")</f>
        <v>no</v>
      </c>
    </row>
    <row r="333" spans="1:23" ht="15.6" hidden="1" x14ac:dyDescent="0.3">
      <c r="A333" s="20">
        <v>30</v>
      </c>
      <c r="B333" s="25">
        <v>1125118.8199999998</v>
      </c>
      <c r="C333" s="25"/>
      <c r="D333" s="56" t="s">
        <v>431</v>
      </c>
      <c r="E333" s="426">
        <v>45218</v>
      </c>
      <c r="F333" s="26" t="s">
        <v>279</v>
      </c>
      <c r="G333" s="426">
        <v>45169</v>
      </c>
      <c r="H333" s="35" t="s">
        <v>1932</v>
      </c>
      <c r="I333" s="21">
        <v>1181915</v>
      </c>
      <c r="J333" s="21"/>
      <c r="K333" s="22">
        <v>224563.85</v>
      </c>
      <c r="L333" s="23"/>
      <c r="M333" s="22">
        <v>0</v>
      </c>
      <c r="N333" s="74">
        <v>2.5000000000000001E-2</v>
      </c>
      <c r="O333" s="22">
        <v>29547.875</v>
      </c>
      <c r="P333" s="21">
        <v>1376930.9750000001</v>
      </c>
      <c r="S333" s="108" t="b">
        <f>OR(COUNTIF(Tabla2[[#This Row],[PROVEEDOR]],"*"&amp;'Palabra no opera'!$A$2&amp;"*"))</f>
        <v>0</v>
      </c>
      <c r="T333" s="139">
        <f>+$W$5-Tabla2[[#This Row],[FECHA DE FACTURACIÓN]]</f>
        <v>122</v>
      </c>
      <c r="U333" t="str">
        <f>+IF(Tabla2[[#This Row],[dias de credito]]&gt;=Tabla2[[#This Row],[PLAZO Días]],"venc", "No venc")</f>
        <v>venc</v>
      </c>
      <c r="V333" t="str">
        <f>+IF(Tabla2[[#This Row],[FECHA DE PAGO]]&gt;0,"pagada","por pagar")</f>
        <v>pagada</v>
      </c>
      <c r="W333" s="141" t="str">
        <f>+IF(AND(Tabla2[[#This Row],[venc]]="venc",Tabla2[[#This Row],[Columna1]]="por pagar"),"vencida","no")</f>
        <v>no</v>
      </c>
    </row>
    <row r="334" spans="1:23" ht="15.6" hidden="1" x14ac:dyDescent="0.3">
      <c r="A334" s="20">
        <v>30</v>
      </c>
      <c r="B334" s="25">
        <v>8306450</v>
      </c>
      <c r="C334" s="25"/>
      <c r="D334" s="56" t="s">
        <v>1607</v>
      </c>
      <c r="E334" s="426">
        <v>45218</v>
      </c>
      <c r="F334" s="26" t="s">
        <v>1606</v>
      </c>
      <c r="G334" s="426">
        <v>45154</v>
      </c>
      <c r="H334" s="35" t="s">
        <v>1911</v>
      </c>
      <c r="I334" s="21">
        <v>6870000</v>
      </c>
      <c r="J334" s="21"/>
      <c r="K334" s="22">
        <v>1305300</v>
      </c>
      <c r="L334" s="23"/>
      <c r="M334" s="22">
        <v>0</v>
      </c>
      <c r="N334" s="74">
        <v>2.5000000000000001E-2</v>
      </c>
      <c r="O334" s="22">
        <v>171750</v>
      </c>
      <c r="P334" s="21">
        <v>8003550</v>
      </c>
      <c r="S334" s="108" t="b">
        <f>OR(COUNTIF(Tabla2[[#This Row],[PROVEEDOR]],"*"&amp;'Palabra no opera'!$A$2&amp;"*"))</f>
        <v>0</v>
      </c>
      <c r="T334" s="139">
        <f>+$W$5-Tabla2[[#This Row],[FECHA DE FACTURACIÓN]]</f>
        <v>137</v>
      </c>
      <c r="U334" t="str">
        <f>+IF(Tabla2[[#This Row],[dias de credito]]&gt;=Tabla2[[#This Row],[PLAZO Días]],"venc", "No venc")</f>
        <v>venc</v>
      </c>
      <c r="V334" t="str">
        <f>+IF(Tabla2[[#This Row],[FECHA DE PAGO]]&gt;0,"pagada","por pagar")</f>
        <v>pagada</v>
      </c>
      <c r="W334" s="141" t="str">
        <f>+IF(AND(Tabla2[[#This Row],[venc]]="venc",Tabla2[[#This Row],[Columna1]]="por pagar"),"vencida","no")</f>
        <v>no</v>
      </c>
    </row>
    <row r="335" spans="1:23" ht="15.6" hidden="1" x14ac:dyDescent="0.3">
      <c r="A335" s="20">
        <v>30</v>
      </c>
      <c r="B335" s="25">
        <v>0</v>
      </c>
      <c r="C335" s="25"/>
      <c r="D335" s="56" t="s">
        <v>1607</v>
      </c>
      <c r="E335" s="426">
        <v>45218</v>
      </c>
      <c r="F335" s="26" t="s">
        <v>1622</v>
      </c>
      <c r="G335" s="426">
        <v>45153</v>
      </c>
      <c r="H335" s="35">
        <v>31505</v>
      </c>
      <c r="I335" s="21">
        <v>116000</v>
      </c>
      <c r="J335" s="21"/>
      <c r="K335" s="22">
        <v>0</v>
      </c>
      <c r="L335" s="23"/>
      <c r="M335" s="22">
        <v>0</v>
      </c>
      <c r="N335" s="74">
        <v>0</v>
      </c>
      <c r="O335" s="22">
        <v>0</v>
      </c>
      <c r="P335" s="21">
        <v>116000</v>
      </c>
      <c r="S335" s="108" t="b">
        <f>OR(COUNTIF(Tabla2[[#This Row],[PROVEEDOR]],"*"&amp;'Palabra no opera'!$A$2&amp;"*"))</f>
        <v>0</v>
      </c>
      <c r="T335" s="139">
        <f>+$W$5-Tabla2[[#This Row],[FECHA DE FACTURACIÓN]]</f>
        <v>138</v>
      </c>
      <c r="U335" t="str">
        <f>+IF(Tabla2[[#This Row],[dias de credito]]&gt;=Tabla2[[#This Row],[PLAZO Días]],"venc", "No venc")</f>
        <v>venc</v>
      </c>
      <c r="V335" t="str">
        <f>+IF(Tabla2[[#This Row],[FECHA DE PAGO]]&gt;0,"pagada","por pagar")</f>
        <v>pagada</v>
      </c>
      <c r="W335" s="141" t="str">
        <f>+IF(AND(Tabla2[[#This Row],[venc]]="venc",Tabla2[[#This Row],[Columna1]]="por pagar"),"vencida","no")</f>
        <v>no</v>
      </c>
    </row>
    <row r="336" spans="1:23" ht="15.6" hidden="1" x14ac:dyDescent="0.3">
      <c r="A336" s="20">
        <v>30</v>
      </c>
      <c r="B336" s="25">
        <v>2100000</v>
      </c>
      <c r="C336" s="25"/>
      <c r="D336" s="56" t="s">
        <v>107</v>
      </c>
      <c r="E336" s="426">
        <v>45217</v>
      </c>
      <c r="F336" s="26" t="s">
        <v>349</v>
      </c>
      <c r="G336" s="426">
        <v>45140</v>
      </c>
      <c r="H336" s="35" t="s">
        <v>1847</v>
      </c>
      <c r="I336" s="21">
        <v>3496000</v>
      </c>
      <c r="J336" s="21"/>
      <c r="K336" s="22">
        <v>0</v>
      </c>
      <c r="L336" s="23"/>
      <c r="M336" s="22">
        <v>0</v>
      </c>
      <c r="N336" s="74">
        <v>0</v>
      </c>
      <c r="O336" s="22">
        <v>0</v>
      </c>
      <c r="P336" s="21">
        <v>3496000</v>
      </c>
      <c r="S336" s="108" t="b">
        <f>OR(COUNTIF(Tabla2[[#This Row],[PROVEEDOR]],"*"&amp;'Palabra no opera'!$A$2&amp;"*"))</f>
        <v>0</v>
      </c>
      <c r="T336" s="139">
        <f>+$W$5-Tabla2[[#This Row],[FECHA DE FACTURACIÓN]]</f>
        <v>151</v>
      </c>
      <c r="U336" t="str">
        <f>+IF(Tabla2[[#This Row],[dias de credito]]&gt;=Tabla2[[#This Row],[PLAZO Días]],"venc", "No venc")</f>
        <v>venc</v>
      </c>
      <c r="V336" t="str">
        <f>+IF(Tabla2[[#This Row],[FECHA DE PAGO]]&gt;0,"pagada","por pagar")</f>
        <v>pagada</v>
      </c>
      <c r="W336" s="141" t="str">
        <f>+IF(AND(Tabla2[[#This Row],[venc]]="venc",Tabla2[[#This Row],[Columna1]]="por pagar"),"vencida","no")</f>
        <v>no</v>
      </c>
    </row>
    <row r="337" spans="1:23" ht="15.6" hidden="1" x14ac:dyDescent="0.3">
      <c r="A337" s="20">
        <v>30</v>
      </c>
      <c r="B337" s="25">
        <v>0</v>
      </c>
      <c r="C337" s="25"/>
      <c r="D337" s="56" t="s">
        <v>107</v>
      </c>
      <c r="E337" s="426">
        <v>45213</v>
      </c>
      <c r="F337" s="26" t="s">
        <v>1194</v>
      </c>
      <c r="G337" s="426">
        <v>45212</v>
      </c>
      <c r="H337" s="35" t="s">
        <v>2053</v>
      </c>
      <c r="I337" s="21">
        <v>2740000</v>
      </c>
      <c r="J337" s="21"/>
      <c r="K337" s="22">
        <v>0</v>
      </c>
      <c r="L337" s="23"/>
      <c r="M337" s="22">
        <v>0</v>
      </c>
      <c r="N337" s="74">
        <v>0</v>
      </c>
      <c r="O337" s="22">
        <v>0</v>
      </c>
      <c r="P337" s="21">
        <v>2740000</v>
      </c>
      <c r="S337" s="108" t="b">
        <f>OR(COUNTIF(Tabla2[[#This Row],[PROVEEDOR]],"*"&amp;'Palabra no opera'!$A$2&amp;"*"))</f>
        <v>0</v>
      </c>
      <c r="T337" s="139">
        <f>+$W$5-Tabla2[[#This Row],[FECHA DE FACTURACIÓN]]</f>
        <v>79</v>
      </c>
      <c r="U337" t="str">
        <f>+IF(Tabla2[[#This Row],[dias de credito]]&gt;=Tabla2[[#This Row],[PLAZO Días]],"venc", "No venc")</f>
        <v>venc</v>
      </c>
      <c r="V337" t="str">
        <f>+IF(Tabla2[[#This Row],[FECHA DE PAGO]]&gt;0,"pagada","por pagar")</f>
        <v>pagada</v>
      </c>
      <c r="W337" s="141" t="str">
        <f>+IF(AND(Tabla2[[#This Row],[venc]]="venc",Tabla2[[#This Row],[Columna1]]="por pagar"),"vencida","no")</f>
        <v>no</v>
      </c>
    </row>
    <row r="338" spans="1:23" ht="15.6" hidden="1" x14ac:dyDescent="0.3">
      <c r="A338" s="20">
        <v>30</v>
      </c>
      <c r="B338" s="25">
        <v>0</v>
      </c>
      <c r="C338" s="25"/>
      <c r="D338" s="56" t="s">
        <v>107</v>
      </c>
      <c r="E338" s="426">
        <v>45211</v>
      </c>
      <c r="F338" s="26" t="s">
        <v>362</v>
      </c>
      <c r="G338" s="426">
        <v>45211</v>
      </c>
      <c r="H338" s="35" t="s">
        <v>2034</v>
      </c>
      <c r="I338" s="21">
        <v>280331</v>
      </c>
      <c r="J338" s="21"/>
      <c r="K338" s="22">
        <v>0</v>
      </c>
      <c r="L338" s="23"/>
      <c r="M338" s="22">
        <v>0</v>
      </c>
      <c r="N338" s="74">
        <v>0</v>
      </c>
      <c r="O338" s="22">
        <v>0</v>
      </c>
      <c r="P338" s="21">
        <v>280331</v>
      </c>
      <c r="S338" s="108" t="b">
        <f>OR(COUNTIF(Tabla2[[#This Row],[PROVEEDOR]],"*"&amp;'Palabra no opera'!$A$2&amp;"*"))</f>
        <v>0</v>
      </c>
      <c r="T338" s="139">
        <f>+$W$5-Tabla2[[#This Row],[FECHA DE FACTURACIÓN]]</f>
        <v>80</v>
      </c>
      <c r="U338" t="str">
        <f>+IF(Tabla2[[#This Row],[dias de credito]]&gt;=Tabla2[[#This Row],[PLAZO Días]],"venc", "No venc")</f>
        <v>venc</v>
      </c>
      <c r="V338" t="str">
        <f>+IF(Tabla2[[#This Row],[FECHA DE PAGO]]&gt;0,"pagada","por pagar")</f>
        <v>pagada</v>
      </c>
      <c r="W338" s="141" t="str">
        <f>+IF(AND(Tabla2[[#This Row],[venc]]="venc",Tabla2[[#This Row],[Columna1]]="por pagar"),"vencida","no")</f>
        <v>no</v>
      </c>
    </row>
    <row r="339" spans="1:23" ht="15.6" hidden="1" x14ac:dyDescent="0.3">
      <c r="A339" s="20">
        <v>30</v>
      </c>
      <c r="B339" s="25">
        <v>0</v>
      </c>
      <c r="C339" s="25"/>
      <c r="D339" s="56" t="s">
        <v>107</v>
      </c>
      <c r="E339" s="426">
        <v>45211</v>
      </c>
      <c r="F339" s="26" t="s">
        <v>396</v>
      </c>
      <c r="G339" s="426">
        <v>45211</v>
      </c>
      <c r="H339" s="35" t="s">
        <v>2047</v>
      </c>
      <c r="I339" s="21">
        <v>550000</v>
      </c>
      <c r="J339" s="21"/>
      <c r="K339" s="22">
        <v>0</v>
      </c>
      <c r="L339" s="23"/>
      <c r="M339" s="22">
        <v>0</v>
      </c>
      <c r="N339" s="74">
        <v>0</v>
      </c>
      <c r="O339" s="22">
        <v>0</v>
      </c>
      <c r="P339" s="21">
        <v>550000</v>
      </c>
      <c r="S339" s="108" t="b">
        <f>OR(COUNTIF(Tabla2[[#This Row],[PROVEEDOR]],"*"&amp;'Palabra no opera'!$A$2&amp;"*"))</f>
        <v>0</v>
      </c>
      <c r="T339" s="139">
        <f>+$W$5-Tabla2[[#This Row],[FECHA DE FACTURACIÓN]]</f>
        <v>80</v>
      </c>
      <c r="U339" t="str">
        <f>+IF(Tabla2[[#This Row],[dias de credito]]&gt;=Tabla2[[#This Row],[PLAZO Días]],"venc", "No venc")</f>
        <v>venc</v>
      </c>
      <c r="V339" t="str">
        <f>+IF(Tabla2[[#This Row],[FECHA DE PAGO]]&gt;0,"pagada","por pagar")</f>
        <v>pagada</v>
      </c>
      <c r="W339" s="141" t="str">
        <f>+IF(AND(Tabla2[[#This Row],[venc]]="venc",Tabla2[[#This Row],[Columna1]]="por pagar"),"vencida","no")</f>
        <v>no</v>
      </c>
    </row>
    <row r="340" spans="1:23" ht="15.6" hidden="1" x14ac:dyDescent="0.3">
      <c r="A340" s="20">
        <v>30</v>
      </c>
      <c r="B340" s="25">
        <v>0</v>
      </c>
      <c r="C340" s="25"/>
      <c r="D340" s="56" t="s">
        <v>107</v>
      </c>
      <c r="E340" s="426">
        <v>45210</v>
      </c>
      <c r="F340" s="26" t="s">
        <v>362</v>
      </c>
      <c r="G340" s="426">
        <v>45210</v>
      </c>
      <c r="H340" s="35" t="s">
        <v>2056</v>
      </c>
      <c r="I340" s="21">
        <v>180000</v>
      </c>
      <c r="J340" s="21"/>
      <c r="K340" s="22">
        <v>0</v>
      </c>
      <c r="L340" s="23"/>
      <c r="M340" s="22">
        <v>0</v>
      </c>
      <c r="N340" s="74">
        <v>0</v>
      </c>
      <c r="O340" s="22">
        <v>0</v>
      </c>
      <c r="P340" s="21">
        <v>180000</v>
      </c>
      <c r="S340" s="108" t="b">
        <f>OR(COUNTIF(Tabla2[[#This Row],[PROVEEDOR]],"*"&amp;'Palabra no opera'!$A$2&amp;"*"))</f>
        <v>0</v>
      </c>
      <c r="T340" s="139">
        <f>+$W$5-Tabla2[[#This Row],[FECHA DE FACTURACIÓN]]</f>
        <v>81</v>
      </c>
      <c r="U340" t="str">
        <f>+IF(Tabla2[[#This Row],[dias de credito]]&gt;=Tabla2[[#This Row],[PLAZO Días]],"venc", "No venc")</f>
        <v>venc</v>
      </c>
      <c r="V340" t="str">
        <f>+IF(Tabla2[[#This Row],[FECHA DE PAGO]]&gt;0,"pagada","por pagar")</f>
        <v>pagada</v>
      </c>
      <c r="W340" s="141" t="str">
        <f>+IF(AND(Tabla2[[#This Row],[venc]]="venc",Tabla2[[#This Row],[Columna1]]="por pagar"),"vencida","no")</f>
        <v>no</v>
      </c>
    </row>
    <row r="341" spans="1:23" ht="15.6" hidden="1" x14ac:dyDescent="0.3">
      <c r="A341" s="20">
        <v>30</v>
      </c>
      <c r="B341" s="25">
        <v>0</v>
      </c>
      <c r="C341" s="25"/>
      <c r="D341" s="56" t="s">
        <v>107</v>
      </c>
      <c r="E341" s="426">
        <v>45209</v>
      </c>
      <c r="F341" s="26" t="s">
        <v>378</v>
      </c>
      <c r="G341" s="426">
        <v>45209</v>
      </c>
      <c r="H341" s="35" t="s">
        <v>2060</v>
      </c>
      <c r="I341" s="21">
        <v>1380000</v>
      </c>
      <c r="J341" s="21"/>
      <c r="K341" s="22">
        <v>0</v>
      </c>
      <c r="L341" s="23"/>
      <c r="M341" s="22">
        <v>0</v>
      </c>
      <c r="N341" s="74">
        <v>0</v>
      </c>
      <c r="O341" s="22">
        <v>0</v>
      </c>
      <c r="P341" s="21">
        <v>1380000</v>
      </c>
      <c r="S341" s="108" t="b">
        <f>OR(COUNTIF(Tabla2[[#This Row],[PROVEEDOR]],"*"&amp;'Palabra no opera'!$A$2&amp;"*"))</f>
        <v>0</v>
      </c>
      <c r="T341" s="139">
        <f>+$W$5-Tabla2[[#This Row],[FECHA DE FACTURACIÓN]]</f>
        <v>82</v>
      </c>
      <c r="U341" t="str">
        <f>+IF(Tabla2[[#This Row],[dias de credito]]&gt;=Tabla2[[#This Row],[PLAZO Días]],"venc", "No venc")</f>
        <v>venc</v>
      </c>
      <c r="V341" t="str">
        <f>+IF(Tabla2[[#This Row],[FECHA DE PAGO]]&gt;0,"pagada","por pagar")</f>
        <v>pagada</v>
      </c>
      <c r="W341" s="141" t="str">
        <f>+IF(AND(Tabla2[[#This Row],[venc]]="venc",Tabla2[[#This Row],[Columna1]]="por pagar"),"vencida","no")</f>
        <v>no</v>
      </c>
    </row>
    <row r="342" spans="1:23" ht="15.6" hidden="1" x14ac:dyDescent="0.3">
      <c r="A342" s="20">
        <v>30</v>
      </c>
      <c r="B342" s="25">
        <v>0</v>
      </c>
      <c r="C342" s="25"/>
      <c r="D342" s="56" t="s">
        <v>368</v>
      </c>
      <c r="E342" s="426">
        <v>45209</v>
      </c>
      <c r="F342" s="26" t="s">
        <v>623</v>
      </c>
      <c r="G342" s="426">
        <v>45200</v>
      </c>
      <c r="H342" s="35" t="s">
        <v>1987</v>
      </c>
      <c r="I342" s="21">
        <v>3792544</v>
      </c>
      <c r="J342" s="21"/>
      <c r="K342" s="22">
        <v>720583.36</v>
      </c>
      <c r="L342" s="23"/>
      <c r="M342" s="22">
        <v>0</v>
      </c>
      <c r="N342" s="74">
        <v>0</v>
      </c>
      <c r="O342" s="22">
        <v>0</v>
      </c>
      <c r="P342" s="21">
        <v>4513127.3600000003</v>
      </c>
      <c r="S342" s="108" t="b">
        <f>OR(COUNTIF(Tabla2[[#This Row],[PROVEEDOR]],"*"&amp;'Palabra no opera'!$A$2&amp;"*"))</f>
        <v>1</v>
      </c>
      <c r="T342" s="139">
        <f>+$W$5-Tabla2[[#This Row],[FECHA DE FACTURACIÓN]]</f>
        <v>91</v>
      </c>
      <c r="U342" t="str">
        <f>+IF(Tabla2[[#This Row],[dias de credito]]&gt;=Tabla2[[#This Row],[PLAZO Días]],"venc", "No venc")</f>
        <v>venc</v>
      </c>
      <c r="V342" t="str">
        <f>+IF(Tabla2[[#This Row],[FECHA DE PAGO]]&gt;0,"pagada","por pagar")</f>
        <v>pagada</v>
      </c>
      <c r="W342" s="141" t="str">
        <f>+IF(AND(Tabla2[[#This Row],[venc]]="venc",Tabla2[[#This Row],[Columna1]]="por pagar"),"vencida","no")</f>
        <v>no</v>
      </c>
    </row>
    <row r="343" spans="1:23" ht="15.6" hidden="1" x14ac:dyDescent="0.3">
      <c r="A343" s="20">
        <v>30</v>
      </c>
      <c r="B343" s="25">
        <v>0</v>
      </c>
      <c r="C343" s="25"/>
      <c r="D343" s="56" t="s">
        <v>368</v>
      </c>
      <c r="E343" s="426">
        <v>45209</v>
      </c>
      <c r="F343" s="26" t="s">
        <v>623</v>
      </c>
      <c r="G343" s="426">
        <v>45200</v>
      </c>
      <c r="H343" s="35" t="s">
        <v>1990</v>
      </c>
      <c r="I343" s="21">
        <v>908172</v>
      </c>
      <c r="J343" s="21"/>
      <c r="K343" s="22">
        <v>172552.68</v>
      </c>
      <c r="L343" s="23"/>
      <c r="M343" s="22">
        <v>0</v>
      </c>
      <c r="N343" s="74">
        <v>0.04</v>
      </c>
      <c r="O343" s="22">
        <v>36326.879999999997</v>
      </c>
      <c r="P343" s="21">
        <v>1044397.7999999999</v>
      </c>
      <c r="S343" s="108" t="b">
        <f>OR(COUNTIF(Tabla2[[#This Row],[PROVEEDOR]],"*"&amp;'Palabra no opera'!$A$2&amp;"*"))</f>
        <v>1</v>
      </c>
      <c r="T343" s="139">
        <f>+$W$5-Tabla2[[#This Row],[FECHA DE FACTURACIÓN]]</f>
        <v>91</v>
      </c>
      <c r="U343" t="str">
        <f>+IF(Tabla2[[#This Row],[dias de credito]]&gt;=Tabla2[[#This Row],[PLAZO Días]],"venc", "No venc")</f>
        <v>venc</v>
      </c>
      <c r="V343" t="str">
        <f>+IF(Tabla2[[#This Row],[FECHA DE PAGO]]&gt;0,"pagada","por pagar")</f>
        <v>pagada</v>
      </c>
      <c r="W343" s="141" t="str">
        <f>+IF(AND(Tabla2[[#This Row],[venc]]="venc",Tabla2[[#This Row],[Columna1]]="por pagar"),"vencida","no")</f>
        <v>no</v>
      </c>
    </row>
    <row r="344" spans="1:23" ht="15.6" hidden="1" x14ac:dyDescent="0.3">
      <c r="A344" s="20">
        <v>30</v>
      </c>
      <c r="B344" s="25">
        <v>0</v>
      </c>
      <c r="C344" s="25"/>
      <c r="D344" s="56" t="s">
        <v>368</v>
      </c>
      <c r="E344" s="426">
        <v>45209</v>
      </c>
      <c r="F344" s="26" t="s">
        <v>623</v>
      </c>
      <c r="G344" s="426">
        <v>45200</v>
      </c>
      <c r="H344" s="35" t="s">
        <v>1991</v>
      </c>
      <c r="I344" s="21">
        <v>20226</v>
      </c>
      <c r="J344" s="21"/>
      <c r="K344" s="22">
        <v>3842.94</v>
      </c>
      <c r="L344" s="23"/>
      <c r="M344" s="22">
        <v>0</v>
      </c>
      <c r="N344" s="74">
        <v>0</v>
      </c>
      <c r="O344" s="22">
        <v>0</v>
      </c>
      <c r="P344" s="21">
        <v>24068.94</v>
      </c>
      <c r="S344" s="108" t="b">
        <f>OR(COUNTIF(Tabla2[[#This Row],[PROVEEDOR]],"*"&amp;'Palabra no opera'!$A$2&amp;"*"))</f>
        <v>1</v>
      </c>
      <c r="T344" s="139">
        <f>+$W$5-Tabla2[[#This Row],[FECHA DE FACTURACIÓN]]</f>
        <v>91</v>
      </c>
      <c r="U344" t="str">
        <f>+IF(Tabla2[[#This Row],[dias de credito]]&gt;=Tabla2[[#This Row],[PLAZO Días]],"venc", "No venc")</f>
        <v>venc</v>
      </c>
      <c r="V344" t="str">
        <f>+IF(Tabla2[[#This Row],[FECHA DE PAGO]]&gt;0,"pagada","por pagar")</f>
        <v>pagada</v>
      </c>
      <c r="W344" s="141" t="str">
        <f>+IF(AND(Tabla2[[#This Row],[venc]]="venc",Tabla2[[#This Row],[Columna1]]="por pagar"),"vencida","no")</f>
        <v>no</v>
      </c>
    </row>
    <row r="345" spans="1:23" ht="15.6" hidden="1" x14ac:dyDescent="0.3">
      <c r="A345" s="20">
        <v>30</v>
      </c>
      <c r="B345" s="25">
        <v>0</v>
      </c>
      <c r="C345" s="25"/>
      <c r="D345" s="56" t="s">
        <v>107</v>
      </c>
      <c r="E345" s="426">
        <v>45209</v>
      </c>
      <c r="F345" s="26" t="s">
        <v>401</v>
      </c>
      <c r="G345" s="426">
        <v>45181</v>
      </c>
      <c r="H345" s="35" t="s">
        <v>2013</v>
      </c>
      <c r="I345" s="21">
        <v>1068000</v>
      </c>
      <c r="J345" s="21"/>
      <c r="K345" s="22">
        <v>0</v>
      </c>
      <c r="L345" s="23"/>
      <c r="M345" s="22">
        <v>0</v>
      </c>
      <c r="N345" s="74">
        <v>0</v>
      </c>
      <c r="O345" s="22">
        <v>0</v>
      </c>
      <c r="P345" s="21">
        <v>1068000</v>
      </c>
      <c r="S345" s="108" t="b">
        <f>OR(COUNTIF(Tabla2[[#This Row],[PROVEEDOR]],"*"&amp;'Palabra no opera'!$A$2&amp;"*"))</f>
        <v>0</v>
      </c>
      <c r="T345" s="139">
        <f>+$W$5-Tabla2[[#This Row],[FECHA DE FACTURACIÓN]]</f>
        <v>110</v>
      </c>
      <c r="U345" t="str">
        <f>+IF(Tabla2[[#This Row],[dias de credito]]&gt;=Tabla2[[#This Row],[PLAZO Días]],"venc", "No venc")</f>
        <v>venc</v>
      </c>
      <c r="V345" t="str">
        <f>+IF(Tabla2[[#This Row],[FECHA DE PAGO]]&gt;0,"pagada","por pagar")</f>
        <v>pagada</v>
      </c>
      <c r="W345" s="141" t="str">
        <f>+IF(AND(Tabla2[[#This Row],[venc]]="venc",Tabla2[[#This Row],[Columna1]]="por pagar"),"vencida","no")</f>
        <v>no</v>
      </c>
    </row>
    <row r="346" spans="1:23" ht="15.6" hidden="1" x14ac:dyDescent="0.3">
      <c r="A346" s="20">
        <v>30</v>
      </c>
      <c r="B346" s="25">
        <v>0</v>
      </c>
      <c r="C346" s="25"/>
      <c r="D346" s="56" t="s">
        <v>107</v>
      </c>
      <c r="E346" s="426">
        <v>45208</v>
      </c>
      <c r="F346" s="26" t="s">
        <v>390</v>
      </c>
      <c r="G346" s="426">
        <v>45208</v>
      </c>
      <c r="H346" s="35"/>
      <c r="I346" s="21">
        <v>1000000</v>
      </c>
      <c r="J346" s="21"/>
      <c r="K346" s="22">
        <v>0</v>
      </c>
      <c r="L346" s="23"/>
      <c r="M346" s="22">
        <v>0</v>
      </c>
      <c r="N346" s="74">
        <v>0</v>
      </c>
      <c r="O346" s="22">
        <v>0</v>
      </c>
      <c r="P346" s="21">
        <v>1000000</v>
      </c>
      <c r="S346" s="108" t="b">
        <f>OR(COUNTIF(Tabla2[[#This Row],[PROVEEDOR]],"*"&amp;'Palabra no opera'!$A$2&amp;"*"))</f>
        <v>0</v>
      </c>
      <c r="T346" s="139">
        <f>+$W$5-Tabla2[[#This Row],[FECHA DE FACTURACIÓN]]</f>
        <v>83</v>
      </c>
      <c r="U346" t="str">
        <f>+IF(Tabla2[[#This Row],[dias de credito]]&gt;=Tabla2[[#This Row],[PLAZO Días]],"venc", "No venc")</f>
        <v>venc</v>
      </c>
      <c r="V346" t="str">
        <f>+IF(Tabla2[[#This Row],[FECHA DE PAGO]]&gt;0,"pagada","por pagar")</f>
        <v>pagada</v>
      </c>
      <c r="W346" s="141" t="str">
        <f>+IF(AND(Tabla2[[#This Row],[venc]]="venc",Tabla2[[#This Row],[Columna1]]="por pagar"),"vencida","no")</f>
        <v>no</v>
      </c>
    </row>
    <row r="347" spans="1:23" ht="15.6" hidden="1" x14ac:dyDescent="0.3">
      <c r="A347" s="20">
        <v>30</v>
      </c>
      <c r="B347" s="25">
        <v>0</v>
      </c>
      <c r="C347" s="25"/>
      <c r="D347" s="56">
        <v>0</v>
      </c>
      <c r="E347" s="426">
        <v>45208</v>
      </c>
      <c r="F347" s="26" t="s">
        <v>1423</v>
      </c>
      <c r="G347" s="426">
        <v>45208</v>
      </c>
      <c r="H347" s="35" t="s">
        <v>2091</v>
      </c>
      <c r="I347" s="21">
        <v>416500</v>
      </c>
      <c r="J347" s="21"/>
      <c r="K347" s="22">
        <v>79135</v>
      </c>
      <c r="L347" s="23"/>
      <c r="M347" s="22">
        <v>0</v>
      </c>
      <c r="N347" s="74">
        <v>0</v>
      </c>
      <c r="O347" s="22">
        <v>0</v>
      </c>
      <c r="P347" s="21">
        <v>495635</v>
      </c>
      <c r="S347" s="108" t="b">
        <f>OR(COUNTIF(Tabla2[[#This Row],[PROVEEDOR]],"*"&amp;'Palabra no opera'!$A$2&amp;"*"))</f>
        <v>0</v>
      </c>
      <c r="T347" s="139">
        <f>+$W$5-Tabla2[[#This Row],[FECHA DE FACTURACIÓN]]</f>
        <v>83</v>
      </c>
      <c r="U347" t="str">
        <f>+IF(Tabla2[[#This Row],[dias de credito]]&gt;=Tabla2[[#This Row],[PLAZO Días]],"venc", "No venc")</f>
        <v>venc</v>
      </c>
      <c r="V347" t="str">
        <f>+IF(Tabla2[[#This Row],[FECHA DE PAGO]]&gt;0,"pagada","por pagar")</f>
        <v>pagada</v>
      </c>
      <c r="W347" s="141" t="str">
        <f>+IF(AND(Tabla2[[#This Row],[venc]]="venc",Tabla2[[#This Row],[Columna1]]="por pagar"),"vencida","no")</f>
        <v>no</v>
      </c>
    </row>
    <row r="348" spans="1:23" ht="15.6" hidden="1" x14ac:dyDescent="0.3">
      <c r="A348" s="20">
        <v>30</v>
      </c>
      <c r="B348" s="25">
        <v>17870934.149999999</v>
      </c>
      <c r="C348" s="25"/>
      <c r="D348" s="56" t="s">
        <v>182</v>
      </c>
      <c r="E348" s="426">
        <v>45208</v>
      </c>
      <c r="F348" s="26" t="s">
        <v>18</v>
      </c>
      <c r="G348" s="426">
        <v>45175</v>
      </c>
      <c r="H348" s="35" t="s">
        <v>1974</v>
      </c>
      <c r="I348" s="21">
        <v>884468</v>
      </c>
      <c r="J348" s="21"/>
      <c r="K348" s="22">
        <v>168048.92</v>
      </c>
      <c r="L348" s="23"/>
      <c r="M348" s="22">
        <v>0</v>
      </c>
      <c r="N348" s="74">
        <v>0</v>
      </c>
      <c r="O348" s="22">
        <v>0</v>
      </c>
      <c r="P348" s="21">
        <v>1052516.92</v>
      </c>
      <c r="S348" s="108" t="b">
        <f>OR(COUNTIF(Tabla2[[#This Row],[PROVEEDOR]],"*"&amp;'Palabra no opera'!$A$2&amp;"*"))</f>
        <v>0</v>
      </c>
      <c r="T348" s="139">
        <f>+$W$5-Tabla2[[#This Row],[FECHA DE FACTURACIÓN]]</f>
        <v>116</v>
      </c>
      <c r="U348" t="str">
        <f>+IF(Tabla2[[#This Row],[dias de credito]]&gt;=Tabla2[[#This Row],[PLAZO Días]],"venc", "No venc")</f>
        <v>venc</v>
      </c>
      <c r="V348" t="str">
        <f>+IF(Tabla2[[#This Row],[FECHA DE PAGO]]&gt;0,"pagada","por pagar")</f>
        <v>pagada</v>
      </c>
      <c r="W348" s="141" t="str">
        <f>+IF(AND(Tabla2[[#This Row],[venc]]="venc",Tabla2[[#This Row],[Columna1]]="por pagar"),"vencida","no")</f>
        <v>no</v>
      </c>
    </row>
    <row r="349" spans="1:23" ht="15.6" hidden="1" x14ac:dyDescent="0.3">
      <c r="A349" s="20">
        <v>30</v>
      </c>
      <c r="B349" s="25">
        <v>1316890.8900000001</v>
      </c>
      <c r="C349" s="25"/>
      <c r="D349" s="56" t="s">
        <v>188</v>
      </c>
      <c r="E349" s="426">
        <v>45208</v>
      </c>
      <c r="F349" s="26" t="s">
        <v>17</v>
      </c>
      <c r="G349" s="426">
        <v>45174</v>
      </c>
      <c r="H349" s="35" t="s">
        <v>2054</v>
      </c>
      <c r="I349" s="21">
        <v>1053062</v>
      </c>
      <c r="J349" s="21"/>
      <c r="K349" s="22">
        <v>200081.78</v>
      </c>
      <c r="L349" s="23"/>
      <c r="M349" s="22">
        <v>0</v>
      </c>
      <c r="N349" s="74">
        <v>0</v>
      </c>
      <c r="O349" s="22">
        <v>0</v>
      </c>
      <c r="P349" s="21">
        <v>1253143.78</v>
      </c>
      <c r="S349" s="108" t="b">
        <f>OR(COUNTIF(Tabla2[[#This Row],[PROVEEDOR]],"*"&amp;'Palabra no opera'!$A$2&amp;"*"))</f>
        <v>0</v>
      </c>
      <c r="T349" s="139">
        <f>+$W$5-Tabla2[[#This Row],[FECHA DE FACTURACIÓN]]</f>
        <v>117</v>
      </c>
      <c r="U349" t="str">
        <f>+IF(Tabla2[[#This Row],[dias de credito]]&gt;=Tabla2[[#This Row],[PLAZO Días]],"venc", "No venc")</f>
        <v>venc</v>
      </c>
      <c r="V349" t="str">
        <f>+IF(Tabla2[[#This Row],[FECHA DE PAGO]]&gt;0,"pagada","por pagar")</f>
        <v>pagada</v>
      </c>
      <c r="W349" s="141" t="str">
        <f>+IF(AND(Tabla2[[#This Row],[venc]]="venc",Tabla2[[#This Row],[Columna1]]="por pagar"),"vencida","no")</f>
        <v>no</v>
      </c>
    </row>
    <row r="350" spans="1:23" ht="15.6" hidden="1" x14ac:dyDescent="0.3">
      <c r="A350" s="20">
        <v>30</v>
      </c>
      <c r="B350" s="25">
        <v>0</v>
      </c>
      <c r="C350" s="25"/>
      <c r="D350" s="56" t="s">
        <v>199</v>
      </c>
      <c r="E350" s="426">
        <v>45208</v>
      </c>
      <c r="F350" s="26" t="s">
        <v>1069</v>
      </c>
      <c r="G350" s="426">
        <v>45174</v>
      </c>
      <c r="H350" s="35" t="s">
        <v>1968</v>
      </c>
      <c r="I350" s="21">
        <v>1928576</v>
      </c>
      <c r="J350" s="21"/>
      <c r="K350" s="22">
        <v>366429.44</v>
      </c>
      <c r="L350" s="23"/>
      <c r="M350" s="22">
        <v>0</v>
      </c>
      <c r="N350" s="74">
        <v>2.5000000000000001E-2</v>
      </c>
      <c r="O350" s="22">
        <v>48214.400000000001</v>
      </c>
      <c r="P350" s="21">
        <v>2246791.04</v>
      </c>
      <c r="S350" s="108" t="b">
        <f>OR(COUNTIF(Tabla2[[#This Row],[PROVEEDOR]],"*"&amp;'Palabra no opera'!$A$2&amp;"*"))</f>
        <v>0</v>
      </c>
      <c r="T350" s="139">
        <f>+$W$5-Tabla2[[#This Row],[FECHA DE FACTURACIÓN]]</f>
        <v>117</v>
      </c>
      <c r="U350" t="str">
        <f>+IF(Tabla2[[#This Row],[dias de credito]]&gt;=Tabla2[[#This Row],[PLAZO Días]],"venc", "No venc")</f>
        <v>venc</v>
      </c>
      <c r="V350" t="str">
        <f>+IF(Tabla2[[#This Row],[FECHA DE PAGO]]&gt;0,"pagada","por pagar")</f>
        <v>pagada</v>
      </c>
      <c r="W350" s="141" t="str">
        <f>+IF(AND(Tabla2[[#This Row],[venc]]="venc",Tabla2[[#This Row],[Columna1]]="por pagar"),"vencida","no")</f>
        <v>no</v>
      </c>
    </row>
    <row r="351" spans="1:23" ht="15.6" hidden="1" x14ac:dyDescent="0.3">
      <c r="A351" s="20">
        <v>30</v>
      </c>
      <c r="B351" s="25">
        <v>1316890.8900000001</v>
      </c>
      <c r="C351" s="25"/>
      <c r="D351" s="56" t="s">
        <v>188</v>
      </c>
      <c r="E351" s="426">
        <v>45208</v>
      </c>
      <c r="F351" s="26" t="s">
        <v>17</v>
      </c>
      <c r="G351" s="426">
        <v>45173</v>
      </c>
      <c r="H351" s="35" t="s">
        <v>1982</v>
      </c>
      <c r="I351" s="21">
        <v>787465</v>
      </c>
      <c r="J351" s="21"/>
      <c r="K351" s="22">
        <v>0</v>
      </c>
      <c r="L351" s="23"/>
      <c r="M351" s="22">
        <v>0</v>
      </c>
      <c r="N351" s="74">
        <v>0</v>
      </c>
      <c r="O351" s="22">
        <v>0</v>
      </c>
      <c r="P351" s="21">
        <v>787465</v>
      </c>
      <c r="S351" s="108" t="b">
        <f>OR(COUNTIF(Tabla2[[#This Row],[PROVEEDOR]],"*"&amp;'Palabra no opera'!$A$2&amp;"*"))</f>
        <v>0</v>
      </c>
      <c r="T351" s="139">
        <f>+$W$5-Tabla2[[#This Row],[FECHA DE FACTURACIÓN]]</f>
        <v>118</v>
      </c>
      <c r="U351" t="str">
        <f>+IF(Tabla2[[#This Row],[dias de credito]]&gt;=Tabla2[[#This Row],[PLAZO Días]],"venc", "No venc")</f>
        <v>venc</v>
      </c>
      <c r="V351" t="str">
        <f>+IF(Tabla2[[#This Row],[FECHA DE PAGO]]&gt;0,"pagada","por pagar")</f>
        <v>pagada</v>
      </c>
      <c r="W351" s="141" t="str">
        <f>+IF(AND(Tabla2[[#This Row],[venc]]="venc",Tabla2[[#This Row],[Columna1]]="por pagar"),"vencida","no")</f>
        <v>no</v>
      </c>
    </row>
    <row r="352" spans="1:23" ht="15.6" hidden="1" x14ac:dyDescent="0.3">
      <c r="A352" s="20">
        <v>30</v>
      </c>
      <c r="B352" s="25">
        <v>17870934.149999999</v>
      </c>
      <c r="C352" s="25"/>
      <c r="D352" s="56" t="s">
        <v>182</v>
      </c>
      <c r="E352" s="426">
        <v>45208</v>
      </c>
      <c r="F352" s="26" t="s">
        <v>18</v>
      </c>
      <c r="G352" s="426">
        <v>45169</v>
      </c>
      <c r="H352" s="35" t="s">
        <v>1930</v>
      </c>
      <c r="I352" s="21">
        <v>825295</v>
      </c>
      <c r="J352" s="21"/>
      <c r="K352" s="22">
        <v>156806.04999999999</v>
      </c>
      <c r="L352" s="23"/>
      <c r="M352" s="22">
        <v>0</v>
      </c>
      <c r="N352" s="74">
        <v>0</v>
      </c>
      <c r="O352" s="22">
        <v>0</v>
      </c>
      <c r="P352" s="21">
        <v>982101.05</v>
      </c>
      <c r="S352" s="108" t="b">
        <f>OR(COUNTIF(Tabla2[[#This Row],[PROVEEDOR]],"*"&amp;'Palabra no opera'!$A$2&amp;"*"))</f>
        <v>0</v>
      </c>
      <c r="T352" s="139">
        <f>+$W$5-Tabla2[[#This Row],[FECHA DE FACTURACIÓN]]</f>
        <v>122</v>
      </c>
      <c r="U352" t="str">
        <f>+IF(Tabla2[[#This Row],[dias de credito]]&gt;=Tabla2[[#This Row],[PLAZO Días]],"venc", "No venc")</f>
        <v>venc</v>
      </c>
      <c r="V352" t="str">
        <f>+IF(Tabla2[[#This Row],[FECHA DE PAGO]]&gt;0,"pagada","por pagar")</f>
        <v>pagada</v>
      </c>
      <c r="W352" s="141" t="str">
        <f>+IF(AND(Tabla2[[#This Row],[venc]]="venc",Tabla2[[#This Row],[Columna1]]="por pagar"),"vencida","no")</f>
        <v>no</v>
      </c>
    </row>
    <row r="353" spans="1:23" ht="15.6" hidden="1" x14ac:dyDescent="0.3">
      <c r="A353" s="20">
        <v>30</v>
      </c>
      <c r="B353" s="25">
        <v>17870934.149999999</v>
      </c>
      <c r="C353" s="25"/>
      <c r="D353" s="56" t="s">
        <v>182</v>
      </c>
      <c r="E353" s="426">
        <v>45208</v>
      </c>
      <c r="F353" s="26" t="s">
        <v>18</v>
      </c>
      <c r="G353" s="426">
        <v>45168</v>
      </c>
      <c r="H353" s="35" t="s">
        <v>1931</v>
      </c>
      <c r="I353" s="21">
        <v>1507927</v>
      </c>
      <c r="J353" s="21"/>
      <c r="K353" s="22">
        <v>286506.13</v>
      </c>
      <c r="L353" s="23"/>
      <c r="M353" s="22">
        <v>0</v>
      </c>
      <c r="N353" s="74">
        <v>2.5000000000000001E-2</v>
      </c>
      <c r="O353" s="22">
        <v>37698.175000000003</v>
      </c>
      <c r="P353" s="21">
        <v>1756734.9549999998</v>
      </c>
      <c r="S353" s="108" t="b">
        <f>OR(COUNTIF(Tabla2[[#This Row],[PROVEEDOR]],"*"&amp;'Palabra no opera'!$A$2&amp;"*"))</f>
        <v>0</v>
      </c>
      <c r="T353" s="139">
        <f>+$W$5-Tabla2[[#This Row],[FECHA DE FACTURACIÓN]]</f>
        <v>123</v>
      </c>
      <c r="U353" t="str">
        <f>+IF(Tabla2[[#This Row],[dias de credito]]&gt;=Tabla2[[#This Row],[PLAZO Días]],"venc", "No venc")</f>
        <v>venc</v>
      </c>
      <c r="V353" t="str">
        <f>+IF(Tabla2[[#This Row],[FECHA DE PAGO]]&gt;0,"pagada","por pagar")</f>
        <v>pagada</v>
      </c>
      <c r="W353" s="141" t="str">
        <f>+IF(AND(Tabla2[[#This Row],[venc]]="venc",Tabla2[[#This Row],[Columna1]]="por pagar"),"vencida","no")</f>
        <v>no</v>
      </c>
    </row>
    <row r="354" spans="1:23" ht="15.6" hidden="1" x14ac:dyDescent="0.3">
      <c r="A354" s="20">
        <v>30</v>
      </c>
      <c r="B354" s="25">
        <v>0</v>
      </c>
      <c r="C354" s="25"/>
      <c r="D354" s="56" t="s">
        <v>211</v>
      </c>
      <c r="E354" s="426">
        <v>45208</v>
      </c>
      <c r="F354" s="26" t="s">
        <v>26</v>
      </c>
      <c r="G354" s="426">
        <v>45166</v>
      </c>
      <c r="H354" s="35" t="s">
        <v>1922</v>
      </c>
      <c r="I354" s="21">
        <v>1230000</v>
      </c>
      <c r="J354" s="21"/>
      <c r="K354" s="22">
        <v>233700</v>
      </c>
      <c r="L354" s="23"/>
      <c r="M354" s="22">
        <v>0</v>
      </c>
      <c r="N354" s="74">
        <v>2.5000000000000001E-2</v>
      </c>
      <c r="O354" s="22">
        <v>30750</v>
      </c>
      <c r="P354" s="21">
        <v>1432950</v>
      </c>
      <c r="S354" s="108" t="b">
        <f>OR(COUNTIF(Tabla2[[#This Row],[PROVEEDOR]],"*"&amp;'Palabra no opera'!$A$2&amp;"*"))</f>
        <v>0</v>
      </c>
      <c r="T354" s="139">
        <f>+$W$5-Tabla2[[#This Row],[FECHA DE FACTURACIÓN]]</f>
        <v>125</v>
      </c>
      <c r="U354" t="str">
        <f>+IF(Tabla2[[#This Row],[dias de credito]]&gt;=Tabla2[[#This Row],[PLAZO Días]],"venc", "No venc")</f>
        <v>venc</v>
      </c>
      <c r="V354" t="str">
        <f>+IF(Tabla2[[#This Row],[FECHA DE PAGO]]&gt;0,"pagada","por pagar")</f>
        <v>pagada</v>
      </c>
      <c r="W354" s="141" t="str">
        <f>+IF(AND(Tabla2[[#This Row],[venc]]="venc",Tabla2[[#This Row],[Columna1]]="por pagar"),"vencida","no")</f>
        <v>no</v>
      </c>
    </row>
    <row r="355" spans="1:23" ht="15.6" hidden="1" x14ac:dyDescent="0.3">
      <c r="A355" s="20">
        <v>30</v>
      </c>
      <c r="B355" s="25">
        <v>17870934.149999999</v>
      </c>
      <c r="C355" s="25"/>
      <c r="D355" s="56" t="s">
        <v>182</v>
      </c>
      <c r="E355" s="426">
        <v>45208</v>
      </c>
      <c r="F355" s="26" t="s">
        <v>18</v>
      </c>
      <c r="G355" s="426">
        <v>45161</v>
      </c>
      <c r="H355" s="35" t="s">
        <v>1909</v>
      </c>
      <c r="I355" s="21">
        <v>1809303</v>
      </c>
      <c r="J355" s="21"/>
      <c r="K355" s="22">
        <v>343767.57</v>
      </c>
      <c r="L355" s="23"/>
      <c r="M355" s="22">
        <v>0</v>
      </c>
      <c r="N355" s="74">
        <v>2.5000000000000001E-2</v>
      </c>
      <c r="O355" s="22">
        <v>45232.575000000004</v>
      </c>
      <c r="P355" s="21">
        <v>2107837.9949999996</v>
      </c>
      <c r="S355" s="108" t="b">
        <f>OR(COUNTIF(Tabla2[[#This Row],[PROVEEDOR]],"*"&amp;'Palabra no opera'!$A$2&amp;"*"))</f>
        <v>0</v>
      </c>
      <c r="T355" s="139">
        <f>+$W$5-Tabla2[[#This Row],[FECHA DE FACTURACIÓN]]</f>
        <v>130</v>
      </c>
      <c r="U355" t="str">
        <f>+IF(Tabla2[[#This Row],[dias de credito]]&gt;=Tabla2[[#This Row],[PLAZO Días]],"venc", "No venc")</f>
        <v>venc</v>
      </c>
      <c r="V355" t="str">
        <f>+IF(Tabla2[[#This Row],[FECHA DE PAGO]]&gt;0,"pagada","por pagar")</f>
        <v>pagada</v>
      </c>
      <c r="W355" s="141" t="str">
        <f>+IF(AND(Tabla2[[#This Row],[venc]]="venc",Tabla2[[#This Row],[Columna1]]="por pagar"),"vencida","no")</f>
        <v>no</v>
      </c>
    </row>
    <row r="356" spans="1:23" ht="15.6" hidden="1" x14ac:dyDescent="0.3">
      <c r="A356" s="20">
        <v>30</v>
      </c>
      <c r="B356" s="25">
        <v>18444236.894999996</v>
      </c>
      <c r="C356" s="25"/>
      <c r="D356" s="56" t="s">
        <v>731</v>
      </c>
      <c r="E356" s="426">
        <v>45208</v>
      </c>
      <c r="F356" s="26" t="s">
        <v>11</v>
      </c>
      <c r="G356" s="426">
        <v>45160</v>
      </c>
      <c r="H356" s="35" t="s">
        <v>1917</v>
      </c>
      <c r="I356" s="21">
        <v>776472</v>
      </c>
      <c r="J356" s="21"/>
      <c r="K356" s="22">
        <v>147529.68</v>
      </c>
      <c r="L356" s="23"/>
      <c r="M356" s="22">
        <v>0</v>
      </c>
      <c r="N356" s="74">
        <v>0</v>
      </c>
      <c r="O356" s="22">
        <v>0</v>
      </c>
      <c r="P356" s="21">
        <v>924001.67999999993</v>
      </c>
      <c r="S356" s="108" t="b">
        <f>OR(COUNTIF(Tabla2[[#This Row],[PROVEEDOR]],"*"&amp;'Palabra no opera'!$A$2&amp;"*"))</f>
        <v>0</v>
      </c>
      <c r="T356" s="139">
        <f>+$W$5-Tabla2[[#This Row],[FECHA DE FACTURACIÓN]]</f>
        <v>131</v>
      </c>
      <c r="U356" t="str">
        <f>+IF(Tabla2[[#This Row],[dias de credito]]&gt;=Tabla2[[#This Row],[PLAZO Días]],"venc", "No venc")</f>
        <v>venc</v>
      </c>
      <c r="V356" t="str">
        <f>+IF(Tabla2[[#This Row],[FECHA DE PAGO]]&gt;0,"pagada","por pagar")</f>
        <v>pagada</v>
      </c>
      <c r="W356" s="141" t="str">
        <f>+IF(AND(Tabla2[[#This Row],[venc]]="venc",Tabla2[[#This Row],[Columna1]]="por pagar"),"vencida","no")</f>
        <v>no</v>
      </c>
    </row>
    <row r="357" spans="1:23" ht="15.6" hidden="1" x14ac:dyDescent="0.3">
      <c r="A357" s="20">
        <v>30</v>
      </c>
      <c r="B357" s="25">
        <v>18444236.894999996</v>
      </c>
      <c r="C357" s="25"/>
      <c r="D357" s="56" t="s">
        <v>731</v>
      </c>
      <c r="E357" s="426">
        <v>45208</v>
      </c>
      <c r="F357" s="26" t="s">
        <v>11</v>
      </c>
      <c r="G357" s="426">
        <v>45155</v>
      </c>
      <c r="H357" s="35" t="s">
        <v>1918</v>
      </c>
      <c r="I357" s="21">
        <v>4658832</v>
      </c>
      <c r="J357" s="21"/>
      <c r="K357" s="22">
        <v>885178.08</v>
      </c>
      <c r="L357" s="23"/>
      <c r="M357" s="22">
        <v>0</v>
      </c>
      <c r="N357" s="74">
        <v>2.5000000000000001E-2</v>
      </c>
      <c r="O357" s="22">
        <v>116470.8</v>
      </c>
      <c r="P357" s="21">
        <v>5427539.2800000003</v>
      </c>
      <c r="S357" s="108" t="b">
        <f>OR(COUNTIF(Tabla2[[#This Row],[PROVEEDOR]],"*"&amp;'Palabra no opera'!$A$2&amp;"*"))</f>
        <v>0</v>
      </c>
      <c r="T357" s="139">
        <f>+$W$5-Tabla2[[#This Row],[FECHA DE FACTURACIÓN]]</f>
        <v>136</v>
      </c>
      <c r="U357" t="str">
        <f>+IF(Tabla2[[#This Row],[dias de credito]]&gt;=Tabla2[[#This Row],[PLAZO Días]],"venc", "No venc")</f>
        <v>venc</v>
      </c>
      <c r="V357" t="str">
        <f>+IF(Tabla2[[#This Row],[FECHA DE PAGO]]&gt;0,"pagada","por pagar")</f>
        <v>pagada</v>
      </c>
      <c r="W357" s="141" t="str">
        <f>+IF(AND(Tabla2[[#This Row],[venc]]="venc",Tabla2[[#This Row],[Columna1]]="por pagar"),"vencida","no")</f>
        <v>no</v>
      </c>
    </row>
    <row r="358" spans="1:23" ht="15.6" hidden="1" x14ac:dyDescent="0.3">
      <c r="A358" s="20">
        <v>45</v>
      </c>
      <c r="B358" s="25">
        <v>8072960</v>
      </c>
      <c r="C358" s="25"/>
      <c r="D358" s="56" t="s">
        <v>198</v>
      </c>
      <c r="E358" s="426">
        <v>45208</v>
      </c>
      <c r="F358" s="26" t="s">
        <v>10</v>
      </c>
      <c r="G358" s="426">
        <v>45154</v>
      </c>
      <c r="H358" s="35" t="s">
        <v>1915</v>
      </c>
      <c r="I358" s="21">
        <v>3900000</v>
      </c>
      <c r="J358" s="21"/>
      <c r="K358" s="22">
        <v>741000</v>
      </c>
      <c r="L358" s="23"/>
      <c r="M358" s="22">
        <v>0</v>
      </c>
      <c r="N358" s="74">
        <v>0</v>
      </c>
      <c r="O358" s="22">
        <v>0</v>
      </c>
      <c r="P358" s="21">
        <v>4641000</v>
      </c>
      <c r="S358" s="108" t="b">
        <f>OR(COUNTIF(Tabla2[[#This Row],[PROVEEDOR]],"*"&amp;'Palabra no opera'!$A$2&amp;"*"))</f>
        <v>0</v>
      </c>
      <c r="T358" s="139">
        <f>+$W$5-Tabla2[[#This Row],[FECHA DE FACTURACIÓN]]</f>
        <v>137</v>
      </c>
      <c r="U358" t="str">
        <f>+IF(Tabla2[[#This Row],[dias de credito]]&gt;=Tabla2[[#This Row],[PLAZO Días]],"venc", "No venc")</f>
        <v>venc</v>
      </c>
      <c r="V358" t="str">
        <f>+IF(Tabla2[[#This Row],[FECHA DE PAGO]]&gt;0,"pagada","por pagar")</f>
        <v>pagada</v>
      </c>
      <c r="W358" s="141" t="str">
        <f>+IF(AND(Tabla2[[#This Row],[venc]]="venc",Tabla2[[#This Row],[Columna1]]="por pagar"),"vencida","no")</f>
        <v>no</v>
      </c>
    </row>
    <row r="359" spans="1:23" ht="15.6" hidden="1" x14ac:dyDescent="0.3">
      <c r="A359" s="20">
        <v>30</v>
      </c>
      <c r="B359" s="25">
        <v>17870934.149999999</v>
      </c>
      <c r="C359" s="25"/>
      <c r="D359" s="56" t="s">
        <v>182</v>
      </c>
      <c r="E359" s="426">
        <v>45208</v>
      </c>
      <c r="F359" s="26" t="s">
        <v>18</v>
      </c>
      <c r="G359" s="426">
        <v>45153</v>
      </c>
      <c r="H359" s="35" t="s">
        <v>1908</v>
      </c>
      <c r="I359" s="21">
        <v>3257262</v>
      </c>
      <c r="J359" s="21"/>
      <c r="K359" s="22">
        <v>618879.78</v>
      </c>
      <c r="L359" s="23"/>
      <c r="M359" s="22">
        <v>0</v>
      </c>
      <c r="N359" s="74">
        <v>2.5000000000000001E-2</v>
      </c>
      <c r="O359" s="22">
        <v>81431.55</v>
      </c>
      <c r="P359" s="21">
        <v>3794710.2300000004</v>
      </c>
      <c r="S359" s="108" t="b">
        <f>OR(COUNTIF(Tabla2[[#This Row],[PROVEEDOR]],"*"&amp;'Palabra no opera'!$A$2&amp;"*"))</f>
        <v>0</v>
      </c>
      <c r="T359" s="139">
        <f>+$W$5-Tabla2[[#This Row],[FECHA DE FACTURACIÓN]]</f>
        <v>138</v>
      </c>
      <c r="U359" t="str">
        <f>+IF(Tabla2[[#This Row],[dias de credito]]&gt;=Tabla2[[#This Row],[PLAZO Días]],"venc", "No venc")</f>
        <v>venc</v>
      </c>
      <c r="V359" t="str">
        <f>+IF(Tabla2[[#This Row],[FECHA DE PAGO]]&gt;0,"pagada","por pagar")</f>
        <v>pagada</v>
      </c>
      <c r="W359" s="141" t="str">
        <f>+IF(AND(Tabla2[[#This Row],[venc]]="venc",Tabla2[[#This Row],[Columna1]]="por pagar"),"vencida","no")</f>
        <v>no</v>
      </c>
    </row>
    <row r="360" spans="1:23" ht="15.6" hidden="1" x14ac:dyDescent="0.3">
      <c r="A360" s="20">
        <v>30</v>
      </c>
      <c r="B360" s="25">
        <v>0</v>
      </c>
      <c r="C360" s="25"/>
      <c r="D360" s="56" t="s">
        <v>177</v>
      </c>
      <c r="E360" s="426">
        <v>45208</v>
      </c>
      <c r="F360" s="26" t="s">
        <v>1850</v>
      </c>
      <c r="G360" s="426">
        <v>45153</v>
      </c>
      <c r="H360" s="35" t="s">
        <v>1907</v>
      </c>
      <c r="I360" s="21">
        <v>327731</v>
      </c>
      <c r="J360" s="21"/>
      <c r="K360" s="22">
        <v>62268.89</v>
      </c>
      <c r="L360" s="23"/>
      <c r="M360" s="22">
        <v>0</v>
      </c>
      <c r="N360" s="74">
        <v>0</v>
      </c>
      <c r="O360" s="22">
        <v>0</v>
      </c>
      <c r="P360" s="21">
        <v>389999.89</v>
      </c>
      <c r="S360" s="108" t="b">
        <f>OR(COUNTIF(Tabla2[[#This Row],[PROVEEDOR]],"*"&amp;'Palabra no opera'!$A$2&amp;"*"))</f>
        <v>0</v>
      </c>
      <c r="T360" s="139">
        <f>+$W$5-Tabla2[[#This Row],[FECHA DE FACTURACIÓN]]</f>
        <v>138</v>
      </c>
      <c r="U360" t="str">
        <f>+IF(Tabla2[[#This Row],[dias de credito]]&gt;=Tabla2[[#This Row],[PLAZO Días]],"venc", "No venc")</f>
        <v>venc</v>
      </c>
      <c r="V360" t="str">
        <f>+IF(Tabla2[[#This Row],[FECHA DE PAGO]]&gt;0,"pagada","por pagar")</f>
        <v>pagada</v>
      </c>
      <c r="W360" s="141" t="str">
        <f>+IF(AND(Tabla2[[#This Row],[venc]]="venc",Tabla2[[#This Row],[Columna1]]="por pagar"),"vencida","no")</f>
        <v>no</v>
      </c>
    </row>
    <row r="361" spans="1:23" ht="15.6" hidden="1" x14ac:dyDescent="0.3">
      <c r="A361" s="20">
        <v>45</v>
      </c>
      <c r="B361" s="25">
        <v>8072960</v>
      </c>
      <c r="C361" s="25"/>
      <c r="D361" s="56" t="s">
        <v>198</v>
      </c>
      <c r="E361" s="426">
        <v>45208</v>
      </c>
      <c r="F361" s="26" t="s">
        <v>10</v>
      </c>
      <c r="G361" s="426">
        <v>45153</v>
      </c>
      <c r="H361" s="35" t="s">
        <v>1916</v>
      </c>
      <c r="I361" s="21">
        <v>768000</v>
      </c>
      <c r="J361" s="21"/>
      <c r="K361" s="22">
        <v>145920</v>
      </c>
      <c r="L361" s="23"/>
      <c r="M361" s="22">
        <v>0</v>
      </c>
      <c r="N361" s="74">
        <v>0</v>
      </c>
      <c r="O361" s="22">
        <v>0</v>
      </c>
      <c r="P361" s="21">
        <v>913920</v>
      </c>
      <c r="S361" s="108" t="b">
        <f>OR(COUNTIF(Tabla2[[#This Row],[PROVEEDOR]],"*"&amp;'Palabra no opera'!$A$2&amp;"*"))</f>
        <v>0</v>
      </c>
      <c r="T361" s="139">
        <f>+$W$5-Tabla2[[#This Row],[FECHA DE FACTURACIÓN]]</f>
        <v>138</v>
      </c>
      <c r="U361" t="str">
        <f>+IF(Tabla2[[#This Row],[dias de credito]]&gt;=Tabla2[[#This Row],[PLAZO Días]],"venc", "No venc")</f>
        <v>venc</v>
      </c>
      <c r="V361" t="str">
        <f>+IF(Tabla2[[#This Row],[FECHA DE PAGO]]&gt;0,"pagada","por pagar")</f>
        <v>pagada</v>
      </c>
      <c r="W361" s="141" t="str">
        <f>+IF(AND(Tabla2[[#This Row],[venc]]="venc",Tabla2[[#This Row],[Columna1]]="por pagar"),"vencida","no")</f>
        <v>no</v>
      </c>
    </row>
    <row r="362" spans="1:23" ht="15.6" hidden="1" x14ac:dyDescent="0.3">
      <c r="A362" s="20">
        <v>30</v>
      </c>
      <c r="B362" s="25">
        <v>17870934.149999999</v>
      </c>
      <c r="C362" s="25"/>
      <c r="D362" s="56" t="s">
        <v>182</v>
      </c>
      <c r="E362" s="426">
        <v>45208</v>
      </c>
      <c r="F362" s="26" t="s">
        <v>18</v>
      </c>
      <c r="G362" s="426">
        <v>45146</v>
      </c>
      <c r="H362" s="35" t="s">
        <v>1872</v>
      </c>
      <c r="I362" s="21">
        <v>2539374</v>
      </c>
      <c r="J362" s="21"/>
      <c r="K362" s="22">
        <v>482481.06</v>
      </c>
      <c r="L362" s="23"/>
      <c r="M362" s="22">
        <v>0</v>
      </c>
      <c r="N362" s="74">
        <v>2.5000000000000001E-2</v>
      </c>
      <c r="O362" s="22">
        <v>63484.350000000006</v>
      </c>
      <c r="P362" s="21">
        <v>2958370.71</v>
      </c>
      <c r="S362" s="108" t="b">
        <f>OR(COUNTIF(Tabla2[[#This Row],[PROVEEDOR]],"*"&amp;'Palabra no opera'!$A$2&amp;"*"))</f>
        <v>0</v>
      </c>
      <c r="T362" s="139">
        <f>+$W$5-Tabla2[[#This Row],[FECHA DE FACTURACIÓN]]</f>
        <v>145</v>
      </c>
      <c r="U362" t="str">
        <f>+IF(Tabla2[[#This Row],[dias de credito]]&gt;=Tabla2[[#This Row],[PLAZO Días]],"venc", "No venc")</f>
        <v>venc</v>
      </c>
      <c r="V362" t="str">
        <f>+IF(Tabla2[[#This Row],[FECHA DE PAGO]]&gt;0,"pagada","por pagar")</f>
        <v>pagada</v>
      </c>
      <c r="W362" s="141" t="str">
        <f>+IF(AND(Tabla2[[#This Row],[venc]]="venc",Tabla2[[#This Row],[Columna1]]="por pagar"),"vencida","no")</f>
        <v>no</v>
      </c>
    </row>
    <row r="363" spans="1:23" ht="15.6" hidden="1" x14ac:dyDescent="0.3">
      <c r="A363" s="20">
        <v>45</v>
      </c>
      <c r="B363" s="25">
        <v>8072960</v>
      </c>
      <c r="C363" s="25"/>
      <c r="D363" s="56" t="s">
        <v>198</v>
      </c>
      <c r="E363" s="426">
        <v>45208</v>
      </c>
      <c r="F363" s="26" t="s">
        <v>10</v>
      </c>
      <c r="G363" s="426">
        <v>45142</v>
      </c>
      <c r="H363" s="35" t="s">
        <v>1859</v>
      </c>
      <c r="I363" s="21">
        <v>1250000</v>
      </c>
      <c r="J363" s="21"/>
      <c r="K363" s="22">
        <v>237500</v>
      </c>
      <c r="L363" s="23"/>
      <c r="M363" s="22">
        <v>0</v>
      </c>
      <c r="N363" s="74">
        <v>0</v>
      </c>
      <c r="O363" s="22">
        <v>0</v>
      </c>
      <c r="P363" s="21">
        <v>1487500</v>
      </c>
      <c r="S363" s="108" t="b">
        <f>OR(COUNTIF(Tabla2[[#This Row],[PROVEEDOR]],"*"&amp;'Palabra no opera'!$A$2&amp;"*"))</f>
        <v>0</v>
      </c>
      <c r="T363" s="139">
        <f>+$W$5-Tabla2[[#This Row],[FECHA DE FACTURACIÓN]]</f>
        <v>149</v>
      </c>
      <c r="U363" t="str">
        <f>+IF(Tabla2[[#This Row],[dias de credito]]&gt;=Tabla2[[#This Row],[PLAZO Días]],"venc", "No venc")</f>
        <v>venc</v>
      </c>
      <c r="V363" t="str">
        <f>+IF(Tabla2[[#This Row],[FECHA DE PAGO]]&gt;0,"pagada","por pagar")</f>
        <v>pagada</v>
      </c>
      <c r="W363" s="141" t="str">
        <f>+IF(AND(Tabla2[[#This Row],[venc]]="venc",Tabla2[[#This Row],[Columna1]]="por pagar"),"vencida","no")</f>
        <v>no</v>
      </c>
    </row>
    <row r="364" spans="1:23" ht="15.6" hidden="1" x14ac:dyDescent="0.3">
      <c r="A364" s="20">
        <v>30</v>
      </c>
      <c r="B364" s="25">
        <v>18444236.894999996</v>
      </c>
      <c r="C364" s="25"/>
      <c r="D364" s="56" t="s">
        <v>731</v>
      </c>
      <c r="E364" s="426">
        <v>45208</v>
      </c>
      <c r="F364" s="26" t="s">
        <v>11</v>
      </c>
      <c r="G364" s="426">
        <v>45141</v>
      </c>
      <c r="H364" s="35" t="s">
        <v>1858</v>
      </c>
      <c r="I364" s="21">
        <v>2420172</v>
      </c>
      <c r="J364" s="21"/>
      <c r="K364" s="22">
        <v>459832.68</v>
      </c>
      <c r="L364" s="23"/>
      <c r="M364" s="22">
        <v>0</v>
      </c>
      <c r="N364" s="74">
        <v>2.5000000000000001E-2</v>
      </c>
      <c r="O364" s="22">
        <v>60504.3</v>
      </c>
      <c r="P364" s="21">
        <v>2819500.3800000004</v>
      </c>
      <c r="S364" s="108" t="b">
        <f>OR(COUNTIF(Tabla2[[#This Row],[PROVEEDOR]],"*"&amp;'Palabra no opera'!$A$2&amp;"*"))</f>
        <v>0</v>
      </c>
      <c r="T364" s="139">
        <f>+$W$5-Tabla2[[#This Row],[FECHA DE FACTURACIÓN]]</f>
        <v>150</v>
      </c>
      <c r="U364" t="str">
        <f>+IF(Tabla2[[#This Row],[dias de credito]]&gt;=Tabla2[[#This Row],[PLAZO Días]],"venc", "No venc")</f>
        <v>venc</v>
      </c>
      <c r="V364" t="str">
        <f>+IF(Tabla2[[#This Row],[FECHA DE PAGO]]&gt;0,"pagada","por pagar")</f>
        <v>pagada</v>
      </c>
      <c r="W364" s="141" t="str">
        <f>+IF(AND(Tabla2[[#This Row],[venc]]="venc",Tabla2[[#This Row],[Columna1]]="por pagar"),"vencida","no")</f>
        <v>no</v>
      </c>
    </row>
    <row r="365" spans="1:23" ht="15.6" hidden="1" x14ac:dyDescent="0.3">
      <c r="A365" s="20">
        <v>30</v>
      </c>
      <c r="B365" s="25">
        <v>0</v>
      </c>
      <c r="C365" s="25"/>
      <c r="D365" s="56" t="s">
        <v>177</v>
      </c>
      <c r="E365" s="426">
        <v>45208</v>
      </c>
      <c r="F365" s="26" t="s">
        <v>1850</v>
      </c>
      <c r="G365" s="426">
        <v>45140</v>
      </c>
      <c r="H365" s="35" t="s">
        <v>1852</v>
      </c>
      <c r="I365" s="21">
        <v>3115967</v>
      </c>
      <c r="J365" s="21"/>
      <c r="K365" s="22">
        <v>592033.73</v>
      </c>
      <c r="L365" s="23"/>
      <c r="M365" s="22">
        <v>0</v>
      </c>
      <c r="N365" s="74">
        <v>2.5000000000000001E-2</v>
      </c>
      <c r="O365" s="22">
        <v>77899.175000000003</v>
      </c>
      <c r="P365" s="21">
        <v>3630101.5550000002</v>
      </c>
      <c r="S365" s="108" t="b">
        <f>OR(COUNTIF(Tabla2[[#This Row],[PROVEEDOR]],"*"&amp;'Palabra no opera'!$A$2&amp;"*"))</f>
        <v>0</v>
      </c>
      <c r="T365" s="139">
        <f>+$W$5-Tabla2[[#This Row],[FECHA DE FACTURACIÓN]]</f>
        <v>151</v>
      </c>
      <c r="U365" t="str">
        <f>+IF(Tabla2[[#This Row],[dias de credito]]&gt;=Tabla2[[#This Row],[PLAZO Días]],"venc", "No venc")</f>
        <v>venc</v>
      </c>
      <c r="V365" t="str">
        <f>+IF(Tabla2[[#This Row],[FECHA DE PAGO]]&gt;0,"pagada","por pagar")</f>
        <v>pagada</v>
      </c>
      <c r="W365" s="141" t="str">
        <f>+IF(AND(Tabla2[[#This Row],[venc]]="venc",Tabla2[[#This Row],[Columna1]]="por pagar"),"vencida","no")</f>
        <v>no</v>
      </c>
    </row>
    <row r="366" spans="1:23" ht="15.6" hidden="1" x14ac:dyDescent="0.3">
      <c r="A366" s="20">
        <v>30</v>
      </c>
      <c r="B366" s="25">
        <v>0</v>
      </c>
      <c r="C366" s="25"/>
      <c r="D366" s="56" t="s">
        <v>342</v>
      </c>
      <c r="E366" s="426">
        <v>45208</v>
      </c>
      <c r="F366" s="26" t="s">
        <v>343</v>
      </c>
      <c r="G366" s="426">
        <v>45139</v>
      </c>
      <c r="H366" s="35" t="s">
        <v>1846</v>
      </c>
      <c r="I366" s="21">
        <v>4057000</v>
      </c>
      <c r="J366" s="21"/>
      <c r="K366" s="22">
        <v>0</v>
      </c>
      <c r="L366" s="23"/>
      <c r="M366" s="22">
        <v>0</v>
      </c>
      <c r="N366" s="74">
        <v>0</v>
      </c>
      <c r="O366" s="22">
        <v>0</v>
      </c>
      <c r="P366" s="21">
        <v>4057000</v>
      </c>
      <c r="S366" s="108" t="b">
        <f>OR(COUNTIF(Tabla2[[#This Row],[PROVEEDOR]],"*"&amp;'Palabra no opera'!$A$2&amp;"*"))</f>
        <v>0</v>
      </c>
      <c r="T366" s="139">
        <f>+$W$5-Tabla2[[#This Row],[FECHA DE FACTURACIÓN]]</f>
        <v>152</v>
      </c>
      <c r="U366" t="str">
        <f>+IF(Tabla2[[#This Row],[dias de credito]]&gt;=Tabla2[[#This Row],[PLAZO Días]],"venc", "No venc")</f>
        <v>venc</v>
      </c>
      <c r="V366" t="str">
        <f>+IF(Tabla2[[#This Row],[FECHA DE PAGO]]&gt;0,"pagada","por pagar")</f>
        <v>pagada</v>
      </c>
      <c r="W366" s="141" t="str">
        <f>+IF(AND(Tabla2[[#This Row],[venc]]="venc",Tabla2[[#This Row],[Columna1]]="por pagar"),"vencida","no")</f>
        <v>no</v>
      </c>
    </row>
    <row r="367" spans="1:23" ht="15.6" hidden="1" x14ac:dyDescent="0.3">
      <c r="A367" s="20">
        <v>30</v>
      </c>
      <c r="B367" s="25">
        <v>0</v>
      </c>
      <c r="C367" s="25"/>
      <c r="D367" s="56" t="s">
        <v>186</v>
      </c>
      <c r="E367" s="426">
        <v>45208</v>
      </c>
      <c r="F367" s="26" t="s">
        <v>76</v>
      </c>
      <c r="G367" s="426">
        <v>45135</v>
      </c>
      <c r="H367" s="35" t="s">
        <v>1853</v>
      </c>
      <c r="I367" s="21">
        <v>5771424</v>
      </c>
      <c r="J367" s="21"/>
      <c r="K367" s="22">
        <v>1096570.56</v>
      </c>
      <c r="L367" s="23"/>
      <c r="M367" s="22">
        <v>0</v>
      </c>
      <c r="N367" s="74">
        <v>2.5000000000000001E-2</v>
      </c>
      <c r="O367" s="22">
        <v>144285.6</v>
      </c>
      <c r="P367" s="21">
        <v>6723708.9600000009</v>
      </c>
      <c r="S367" s="108" t="b">
        <f>OR(COUNTIF(Tabla2[[#This Row],[PROVEEDOR]],"*"&amp;'Palabra no opera'!$A$2&amp;"*"))</f>
        <v>0</v>
      </c>
      <c r="T367" s="139">
        <f>+$W$5-Tabla2[[#This Row],[FECHA DE FACTURACIÓN]]</f>
        <v>156</v>
      </c>
      <c r="U367" t="str">
        <f>+IF(Tabla2[[#This Row],[dias de credito]]&gt;=Tabla2[[#This Row],[PLAZO Días]],"venc", "No venc")</f>
        <v>venc</v>
      </c>
      <c r="V367" t="str">
        <f>+IF(Tabla2[[#This Row],[FECHA DE PAGO]]&gt;0,"pagada","por pagar")</f>
        <v>pagada</v>
      </c>
      <c r="W367" s="141" t="str">
        <f>+IF(AND(Tabla2[[#This Row],[venc]]="venc",Tabla2[[#This Row],[Columna1]]="por pagar"),"vencida","no")</f>
        <v>no</v>
      </c>
    </row>
    <row r="368" spans="1:23" ht="15.6" hidden="1" x14ac:dyDescent="0.3">
      <c r="A368" s="20">
        <v>30</v>
      </c>
      <c r="B368" s="25">
        <v>0</v>
      </c>
      <c r="C368" s="25"/>
      <c r="D368" s="56">
        <v>0</v>
      </c>
      <c r="E368" s="426">
        <v>45207</v>
      </c>
      <c r="F368" s="26" t="s">
        <v>413</v>
      </c>
      <c r="G368" s="426">
        <v>45191</v>
      </c>
      <c r="H368" s="35" t="s">
        <v>2016</v>
      </c>
      <c r="I368" s="21">
        <v>546000</v>
      </c>
      <c r="J368" s="21"/>
      <c r="K368" s="22">
        <v>0</v>
      </c>
      <c r="L368" s="23"/>
      <c r="M368" s="22">
        <v>0</v>
      </c>
      <c r="N368" s="74">
        <v>0</v>
      </c>
      <c r="O368" s="22">
        <v>0</v>
      </c>
      <c r="P368" s="21">
        <v>546000</v>
      </c>
      <c r="S368" s="108" t="b">
        <f>OR(COUNTIF(Tabla2[[#This Row],[PROVEEDOR]],"*"&amp;'Palabra no opera'!$A$2&amp;"*"))</f>
        <v>0</v>
      </c>
      <c r="T368" s="139">
        <f>+$W$5-Tabla2[[#This Row],[FECHA DE FACTURACIÓN]]</f>
        <v>100</v>
      </c>
      <c r="U368" t="str">
        <f>+IF(Tabla2[[#This Row],[dias de credito]]&gt;=Tabla2[[#This Row],[PLAZO Días]],"venc", "No venc")</f>
        <v>venc</v>
      </c>
      <c r="V368" t="str">
        <f>+IF(Tabla2[[#This Row],[FECHA DE PAGO]]&gt;0,"pagada","por pagar")</f>
        <v>pagada</v>
      </c>
      <c r="W368" s="141" t="str">
        <f>+IF(AND(Tabla2[[#This Row],[venc]]="venc",Tabla2[[#This Row],[Columna1]]="por pagar"),"vencida","no")</f>
        <v>no</v>
      </c>
    </row>
    <row r="369" spans="1:23" ht="15.6" hidden="1" x14ac:dyDescent="0.3">
      <c r="A369" s="20">
        <v>30</v>
      </c>
      <c r="B369" s="25">
        <v>0</v>
      </c>
      <c r="C369" s="25"/>
      <c r="D369" s="56" t="s">
        <v>258</v>
      </c>
      <c r="E369" s="426">
        <v>45206</v>
      </c>
      <c r="F369" s="26" t="s">
        <v>394</v>
      </c>
      <c r="G369" s="426">
        <v>45149</v>
      </c>
      <c r="H369" s="35">
        <v>1863</v>
      </c>
      <c r="I369" s="21">
        <v>1515000</v>
      </c>
      <c r="J369" s="21"/>
      <c r="K369" s="22">
        <v>0</v>
      </c>
      <c r="L369" s="23"/>
      <c r="M369" s="22">
        <v>0</v>
      </c>
      <c r="N369" s="74">
        <v>0</v>
      </c>
      <c r="O369" s="22">
        <v>0</v>
      </c>
      <c r="P369" s="21">
        <v>1515000</v>
      </c>
      <c r="S369" s="108" t="b">
        <f>OR(COUNTIF(Tabla2[[#This Row],[PROVEEDOR]],"*"&amp;'Palabra no opera'!$A$2&amp;"*"))</f>
        <v>0</v>
      </c>
      <c r="T369" s="139">
        <f>+$W$5-Tabla2[[#This Row],[FECHA DE FACTURACIÓN]]</f>
        <v>142</v>
      </c>
      <c r="U369" t="str">
        <f>+IF(Tabla2[[#This Row],[dias de credito]]&gt;=Tabla2[[#This Row],[PLAZO Días]],"venc", "No venc")</f>
        <v>venc</v>
      </c>
      <c r="V369" t="str">
        <f>+IF(Tabla2[[#This Row],[FECHA DE PAGO]]&gt;0,"pagada","por pagar")</f>
        <v>pagada</v>
      </c>
      <c r="W369" s="141" t="str">
        <f>+IF(AND(Tabla2[[#This Row],[venc]]="venc",Tabla2[[#This Row],[Columna1]]="por pagar"),"vencida","no")</f>
        <v>no</v>
      </c>
    </row>
    <row r="370" spans="1:23" ht="15.6" hidden="1" x14ac:dyDescent="0.3">
      <c r="A370" s="20">
        <v>30</v>
      </c>
      <c r="B370" s="25">
        <v>0</v>
      </c>
      <c r="C370" s="25"/>
      <c r="D370" s="56">
        <v>0</v>
      </c>
      <c r="E370" s="426">
        <v>45205</v>
      </c>
      <c r="F370" s="26" t="s">
        <v>642</v>
      </c>
      <c r="G370" s="426">
        <v>45200</v>
      </c>
      <c r="H370" s="35" t="s">
        <v>217</v>
      </c>
      <c r="I370" s="21">
        <v>411454</v>
      </c>
      <c r="J370" s="21"/>
      <c r="K370" s="22">
        <v>0</v>
      </c>
      <c r="L370" s="23"/>
      <c r="M370" s="22">
        <v>0</v>
      </c>
      <c r="N370" s="74">
        <v>0</v>
      </c>
      <c r="O370" s="22">
        <v>0</v>
      </c>
      <c r="P370" s="21">
        <v>411454</v>
      </c>
      <c r="S370" s="108" t="b">
        <f>OR(COUNTIF(Tabla2[[#This Row],[PROVEEDOR]],"*"&amp;'Palabra no opera'!$A$2&amp;"*"))</f>
        <v>1</v>
      </c>
      <c r="T370" s="139">
        <f>+$W$5-Tabla2[[#This Row],[FECHA DE FACTURACIÓN]]</f>
        <v>91</v>
      </c>
      <c r="U370" t="str">
        <f>+IF(Tabla2[[#This Row],[dias de credito]]&gt;=Tabla2[[#This Row],[PLAZO Días]],"venc", "No venc")</f>
        <v>venc</v>
      </c>
      <c r="V370" t="str">
        <f>+IF(Tabla2[[#This Row],[FECHA DE PAGO]]&gt;0,"pagada","por pagar")</f>
        <v>pagada</v>
      </c>
      <c r="W370" s="141" t="str">
        <f>+IF(AND(Tabla2[[#This Row],[venc]]="venc",Tabla2[[#This Row],[Columna1]]="por pagar"),"vencida","no")</f>
        <v>no</v>
      </c>
    </row>
    <row r="371" spans="1:23" ht="15.6" hidden="1" x14ac:dyDescent="0.3">
      <c r="A371" s="20">
        <v>60</v>
      </c>
      <c r="B371" s="25">
        <v>395600</v>
      </c>
      <c r="C371" s="25"/>
      <c r="D371" s="56" t="s">
        <v>1482</v>
      </c>
      <c r="E371" s="426">
        <v>45205</v>
      </c>
      <c r="F371" s="26" t="s">
        <v>287</v>
      </c>
      <c r="G371" s="426">
        <v>45190</v>
      </c>
      <c r="H371" s="35">
        <v>1794</v>
      </c>
      <c r="I371" s="21">
        <v>252000</v>
      </c>
      <c r="J371" s="21"/>
      <c r="K371" s="22">
        <v>0</v>
      </c>
      <c r="L371" s="23"/>
      <c r="M371" s="22">
        <v>0</v>
      </c>
      <c r="N371" s="74">
        <v>0</v>
      </c>
      <c r="O371" s="22">
        <v>0</v>
      </c>
      <c r="P371" s="21">
        <v>252000</v>
      </c>
      <c r="S371" s="108" t="b">
        <f>OR(COUNTIF(Tabla2[[#This Row],[PROVEEDOR]],"*"&amp;'Palabra no opera'!$A$2&amp;"*"))</f>
        <v>0</v>
      </c>
      <c r="T371" s="139">
        <f>+$W$5-Tabla2[[#This Row],[FECHA DE FACTURACIÓN]]</f>
        <v>101</v>
      </c>
      <c r="U371" t="str">
        <f>+IF(Tabla2[[#This Row],[dias de credito]]&gt;=Tabla2[[#This Row],[PLAZO Días]],"venc", "No venc")</f>
        <v>venc</v>
      </c>
      <c r="V371" t="str">
        <f>+IF(Tabla2[[#This Row],[FECHA DE PAGO]]&gt;0,"pagada","por pagar")</f>
        <v>pagada</v>
      </c>
      <c r="W371" s="141" t="str">
        <f>+IF(AND(Tabla2[[#This Row],[venc]]="venc",Tabla2[[#This Row],[Columna1]]="por pagar"),"vencida","no")</f>
        <v>no</v>
      </c>
    </row>
    <row r="372" spans="1:23" ht="15.6" hidden="1" x14ac:dyDescent="0.3">
      <c r="A372" s="20">
        <v>45</v>
      </c>
      <c r="B372" s="25">
        <v>3074500</v>
      </c>
      <c r="C372" s="25"/>
      <c r="D372" s="56" t="s">
        <v>1482</v>
      </c>
      <c r="E372" s="426">
        <v>45205</v>
      </c>
      <c r="F372" s="26" t="s">
        <v>289</v>
      </c>
      <c r="G372" s="426">
        <v>45189</v>
      </c>
      <c r="H372" s="35">
        <v>1793</v>
      </c>
      <c r="I372" s="21">
        <v>2793000</v>
      </c>
      <c r="J372" s="21"/>
      <c r="K372" s="22">
        <v>0</v>
      </c>
      <c r="L372" s="23"/>
      <c r="M372" s="22">
        <v>0</v>
      </c>
      <c r="N372" s="74">
        <v>0</v>
      </c>
      <c r="O372" s="22">
        <v>0</v>
      </c>
      <c r="P372" s="21">
        <v>2793000</v>
      </c>
      <c r="S372" s="108" t="b">
        <f>OR(COUNTIF(Tabla2[[#This Row],[PROVEEDOR]],"*"&amp;'Palabra no opera'!$A$2&amp;"*"))</f>
        <v>0</v>
      </c>
      <c r="T372" s="139">
        <f>+$W$5-Tabla2[[#This Row],[FECHA DE FACTURACIÓN]]</f>
        <v>102</v>
      </c>
      <c r="U372" t="str">
        <f>+IF(Tabla2[[#This Row],[dias de credito]]&gt;=Tabla2[[#This Row],[PLAZO Días]],"venc", "No venc")</f>
        <v>venc</v>
      </c>
      <c r="V372" t="str">
        <f>+IF(Tabla2[[#This Row],[FECHA DE PAGO]]&gt;0,"pagada","por pagar")</f>
        <v>pagada</v>
      </c>
      <c r="W372" s="141" t="str">
        <f>+IF(AND(Tabla2[[#This Row],[venc]]="venc",Tabla2[[#This Row],[Columna1]]="por pagar"),"vencida","no")</f>
        <v>no</v>
      </c>
    </row>
    <row r="373" spans="1:23" ht="15.6" hidden="1" x14ac:dyDescent="0.3">
      <c r="A373" s="20">
        <v>45</v>
      </c>
      <c r="B373" s="25">
        <v>3074500</v>
      </c>
      <c r="C373" s="25"/>
      <c r="D373" s="56" t="s">
        <v>1482</v>
      </c>
      <c r="E373" s="426">
        <v>45205</v>
      </c>
      <c r="F373" s="26" t="s">
        <v>289</v>
      </c>
      <c r="G373" s="426">
        <v>45188</v>
      </c>
      <c r="H373" s="35">
        <v>1795</v>
      </c>
      <c r="I373" s="21">
        <v>1407000</v>
      </c>
      <c r="J373" s="21"/>
      <c r="K373" s="22">
        <v>0</v>
      </c>
      <c r="L373" s="23"/>
      <c r="M373" s="22">
        <v>0</v>
      </c>
      <c r="N373" s="74">
        <v>0</v>
      </c>
      <c r="O373" s="22">
        <v>0</v>
      </c>
      <c r="P373" s="21">
        <v>1407000</v>
      </c>
      <c r="S373" s="108" t="b">
        <f>OR(COUNTIF(Tabla2[[#This Row],[PROVEEDOR]],"*"&amp;'Palabra no opera'!$A$2&amp;"*"))</f>
        <v>0</v>
      </c>
      <c r="T373" s="139">
        <f>+$W$5-Tabla2[[#This Row],[FECHA DE FACTURACIÓN]]</f>
        <v>103</v>
      </c>
      <c r="U373" t="str">
        <f>+IF(Tabla2[[#This Row],[dias de credito]]&gt;=Tabla2[[#This Row],[PLAZO Días]],"venc", "No venc")</f>
        <v>venc</v>
      </c>
      <c r="V373" t="str">
        <f>+IF(Tabla2[[#This Row],[FECHA DE PAGO]]&gt;0,"pagada","por pagar")</f>
        <v>pagada</v>
      </c>
      <c r="W373" s="141" t="str">
        <f>+IF(AND(Tabla2[[#This Row],[venc]]="venc",Tabla2[[#This Row],[Columna1]]="por pagar"),"vencida","no")</f>
        <v>no</v>
      </c>
    </row>
    <row r="374" spans="1:23" ht="15.6" hidden="1" x14ac:dyDescent="0.3">
      <c r="A374" s="20">
        <v>45</v>
      </c>
      <c r="B374" s="25">
        <v>3074500</v>
      </c>
      <c r="C374" s="25"/>
      <c r="D374" s="56" t="s">
        <v>1482</v>
      </c>
      <c r="E374" s="426">
        <v>45205</v>
      </c>
      <c r="F374" s="26" t="s">
        <v>289</v>
      </c>
      <c r="G374" s="426">
        <v>45176</v>
      </c>
      <c r="H374" s="35">
        <v>1776</v>
      </c>
      <c r="I374" s="21">
        <v>1501080</v>
      </c>
      <c r="J374" s="21"/>
      <c r="K374" s="22">
        <v>0</v>
      </c>
      <c r="L374" s="23"/>
      <c r="M374" s="22">
        <v>0</v>
      </c>
      <c r="N374" s="74">
        <v>0</v>
      </c>
      <c r="O374" s="22">
        <v>0</v>
      </c>
      <c r="P374" s="21">
        <v>1501080</v>
      </c>
      <c r="S374" s="108" t="b">
        <f>OR(COUNTIF(Tabla2[[#This Row],[PROVEEDOR]],"*"&amp;'Palabra no opera'!$A$2&amp;"*"))</f>
        <v>0</v>
      </c>
      <c r="T374" s="139">
        <f>+$W$5-Tabla2[[#This Row],[FECHA DE FACTURACIÓN]]</f>
        <v>115</v>
      </c>
      <c r="U374" t="str">
        <f>+IF(Tabla2[[#This Row],[dias de credito]]&gt;=Tabla2[[#This Row],[PLAZO Días]],"venc", "No venc")</f>
        <v>venc</v>
      </c>
      <c r="V374" t="str">
        <f>+IF(Tabla2[[#This Row],[FECHA DE PAGO]]&gt;0,"pagada","por pagar")</f>
        <v>pagada</v>
      </c>
      <c r="W374" s="141" t="str">
        <f>+IF(AND(Tabla2[[#This Row],[venc]]="venc",Tabla2[[#This Row],[Columna1]]="por pagar"),"vencida","no")</f>
        <v>no</v>
      </c>
    </row>
    <row r="375" spans="1:23" ht="15.6" hidden="1" x14ac:dyDescent="0.3">
      <c r="A375" s="20">
        <v>30</v>
      </c>
      <c r="B375" s="25">
        <v>0</v>
      </c>
      <c r="C375" s="25"/>
      <c r="D375" s="56" t="s">
        <v>107</v>
      </c>
      <c r="E375" s="426">
        <v>45205</v>
      </c>
      <c r="F375" s="26" t="s">
        <v>401</v>
      </c>
      <c r="G375" s="426">
        <v>45174</v>
      </c>
      <c r="H375" s="35" t="s">
        <v>1934</v>
      </c>
      <c r="I375" s="21">
        <v>452000</v>
      </c>
      <c r="J375" s="21"/>
      <c r="K375" s="22">
        <v>0</v>
      </c>
      <c r="L375" s="23"/>
      <c r="M375" s="22">
        <v>0</v>
      </c>
      <c r="N375" s="74">
        <v>0</v>
      </c>
      <c r="O375" s="22">
        <v>0</v>
      </c>
      <c r="P375" s="21">
        <v>452000</v>
      </c>
      <c r="S375" s="108" t="b">
        <f>OR(COUNTIF(Tabla2[[#This Row],[PROVEEDOR]],"*"&amp;'Palabra no opera'!$A$2&amp;"*"))</f>
        <v>0</v>
      </c>
      <c r="T375" s="139">
        <f>+$W$5-Tabla2[[#This Row],[FECHA DE FACTURACIÓN]]</f>
        <v>117</v>
      </c>
      <c r="U375" t="str">
        <f>+IF(Tabla2[[#This Row],[dias de credito]]&gt;=Tabla2[[#This Row],[PLAZO Días]],"venc", "No venc")</f>
        <v>venc</v>
      </c>
      <c r="V375" t="str">
        <f>+IF(Tabla2[[#This Row],[FECHA DE PAGO]]&gt;0,"pagada","por pagar")</f>
        <v>pagada</v>
      </c>
      <c r="W375" s="141" t="str">
        <f>+IF(AND(Tabla2[[#This Row],[venc]]="venc",Tabla2[[#This Row],[Columna1]]="por pagar"),"vencida","no")</f>
        <v>no</v>
      </c>
    </row>
    <row r="376" spans="1:23" ht="15.6" hidden="1" x14ac:dyDescent="0.3">
      <c r="A376" s="20">
        <v>30</v>
      </c>
      <c r="B376" s="25">
        <v>0</v>
      </c>
      <c r="C376" s="25"/>
      <c r="D376" s="56" t="s">
        <v>107</v>
      </c>
      <c r="E376" s="426">
        <v>45205</v>
      </c>
      <c r="F376" s="26" t="s">
        <v>401</v>
      </c>
      <c r="G376" s="426">
        <v>45169</v>
      </c>
      <c r="H376" s="35" t="s">
        <v>1935</v>
      </c>
      <c r="I376" s="21">
        <v>447500</v>
      </c>
      <c r="J376" s="21"/>
      <c r="K376" s="22">
        <v>0</v>
      </c>
      <c r="L376" s="23"/>
      <c r="M376" s="22">
        <v>0</v>
      </c>
      <c r="N376" s="74">
        <v>0</v>
      </c>
      <c r="O376" s="22">
        <v>0</v>
      </c>
      <c r="P376" s="21">
        <v>447500</v>
      </c>
      <c r="S376" s="108" t="b">
        <f>OR(COUNTIF(Tabla2[[#This Row],[PROVEEDOR]],"*"&amp;'Palabra no opera'!$A$2&amp;"*"))</f>
        <v>0</v>
      </c>
      <c r="T376" s="139">
        <f>+$W$5-Tabla2[[#This Row],[FECHA DE FACTURACIÓN]]</f>
        <v>122</v>
      </c>
      <c r="U376" t="str">
        <f>+IF(Tabla2[[#This Row],[dias de credito]]&gt;=Tabla2[[#This Row],[PLAZO Días]],"venc", "No venc")</f>
        <v>venc</v>
      </c>
      <c r="V376" t="str">
        <f>+IF(Tabla2[[#This Row],[FECHA DE PAGO]]&gt;0,"pagada","por pagar")</f>
        <v>pagada</v>
      </c>
      <c r="W376" s="141" t="str">
        <f>+IF(AND(Tabla2[[#This Row],[venc]]="venc",Tabla2[[#This Row],[Columna1]]="por pagar"),"vencida","no")</f>
        <v>no</v>
      </c>
    </row>
    <row r="377" spans="1:23" ht="15.6" hidden="1" x14ac:dyDescent="0.3">
      <c r="A377" s="20">
        <v>60</v>
      </c>
      <c r="B377" s="25">
        <v>395600</v>
      </c>
      <c r="C377" s="25"/>
      <c r="D377" s="56" t="s">
        <v>1482</v>
      </c>
      <c r="E377" s="426">
        <v>45205</v>
      </c>
      <c r="F377" s="26" t="s">
        <v>287</v>
      </c>
      <c r="G377" s="426">
        <v>45169</v>
      </c>
      <c r="H377" s="35">
        <v>1770</v>
      </c>
      <c r="I377" s="21">
        <v>1024800</v>
      </c>
      <c r="J377" s="21"/>
      <c r="K377" s="22">
        <v>0</v>
      </c>
      <c r="L377" s="23"/>
      <c r="M377" s="22">
        <v>0</v>
      </c>
      <c r="N377" s="74">
        <v>0</v>
      </c>
      <c r="O377" s="22">
        <v>0</v>
      </c>
      <c r="P377" s="21">
        <v>1024800</v>
      </c>
      <c r="S377" s="108" t="b">
        <f>OR(COUNTIF(Tabla2[[#This Row],[PROVEEDOR]],"*"&amp;'Palabra no opera'!$A$2&amp;"*"))</f>
        <v>0</v>
      </c>
      <c r="T377" s="139">
        <f>+$W$5-Tabla2[[#This Row],[FECHA DE FACTURACIÓN]]</f>
        <v>122</v>
      </c>
      <c r="U377" t="str">
        <f>+IF(Tabla2[[#This Row],[dias de credito]]&gt;=Tabla2[[#This Row],[PLAZO Días]],"venc", "No venc")</f>
        <v>venc</v>
      </c>
      <c r="V377" t="str">
        <f>+IF(Tabla2[[#This Row],[FECHA DE PAGO]]&gt;0,"pagada","por pagar")</f>
        <v>pagada</v>
      </c>
      <c r="W377" s="141" t="str">
        <f>+IF(AND(Tabla2[[#This Row],[venc]]="venc",Tabla2[[#This Row],[Columna1]]="por pagar"),"vencida","no")</f>
        <v>no</v>
      </c>
    </row>
    <row r="378" spans="1:23" ht="15.6" hidden="1" x14ac:dyDescent="0.3">
      <c r="A378" s="20">
        <v>45</v>
      </c>
      <c r="B378" s="25">
        <v>0</v>
      </c>
      <c r="C378" s="25"/>
      <c r="D378" s="56" t="s">
        <v>1482</v>
      </c>
      <c r="E378" s="426">
        <v>45205</v>
      </c>
      <c r="F378" s="26" t="s">
        <v>320</v>
      </c>
      <c r="G378" s="426">
        <v>45169</v>
      </c>
      <c r="H378" s="35">
        <v>1772</v>
      </c>
      <c r="I378" s="21">
        <v>5107410</v>
      </c>
      <c r="J378" s="21"/>
      <c r="K378" s="22">
        <v>0</v>
      </c>
      <c r="L378" s="23"/>
      <c r="M378" s="22">
        <v>0</v>
      </c>
      <c r="N378" s="74">
        <v>0</v>
      </c>
      <c r="O378" s="22">
        <v>0</v>
      </c>
      <c r="P378" s="21">
        <v>5107410</v>
      </c>
      <c r="S378" s="108" t="b">
        <f>OR(COUNTIF(Tabla2[[#This Row],[PROVEEDOR]],"*"&amp;'Palabra no opera'!$A$2&amp;"*"))</f>
        <v>0</v>
      </c>
      <c r="T378" s="139">
        <f>+$W$5-Tabla2[[#This Row],[FECHA DE FACTURACIÓN]]</f>
        <v>122</v>
      </c>
      <c r="U378" t="str">
        <f>+IF(Tabla2[[#This Row],[dias de credito]]&gt;=Tabla2[[#This Row],[PLAZO Días]],"venc", "No venc")</f>
        <v>venc</v>
      </c>
      <c r="V378" t="str">
        <f>+IF(Tabla2[[#This Row],[FECHA DE PAGO]]&gt;0,"pagada","por pagar")</f>
        <v>pagada</v>
      </c>
      <c r="W378" s="141" t="str">
        <f>+IF(AND(Tabla2[[#This Row],[venc]]="venc",Tabla2[[#This Row],[Columna1]]="por pagar"),"vencida","no")</f>
        <v>no</v>
      </c>
    </row>
    <row r="379" spans="1:23" ht="15.6" hidden="1" x14ac:dyDescent="0.3">
      <c r="A379" s="20">
        <v>45</v>
      </c>
      <c r="B379" s="25">
        <v>3074500</v>
      </c>
      <c r="C379" s="25"/>
      <c r="D379" s="56" t="s">
        <v>1482</v>
      </c>
      <c r="E379" s="426">
        <v>45205</v>
      </c>
      <c r="F379" s="26" t="s">
        <v>289</v>
      </c>
      <c r="G379" s="426">
        <v>45169</v>
      </c>
      <c r="H379" s="35">
        <v>1771</v>
      </c>
      <c r="I379" s="21">
        <v>2793000</v>
      </c>
      <c r="J379" s="21"/>
      <c r="K379" s="22">
        <v>0</v>
      </c>
      <c r="L379" s="23"/>
      <c r="M379" s="22">
        <v>0</v>
      </c>
      <c r="N379" s="74">
        <v>0</v>
      </c>
      <c r="O379" s="22">
        <v>0</v>
      </c>
      <c r="P379" s="21">
        <v>2793000</v>
      </c>
      <c r="S379" s="108" t="b">
        <f>OR(COUNTIF(Tabla2[[#This Row],[PROVEEDOR]],"*"&amp;'Palabra no opera'!$A$2&amp;"*"))</f>
        <v>0</v>
      </c>
      <c r="T379" s="139">
        <f>+$W$5-Tabla2[[#This Row],[FECHA DE FACTURACIÓN]]</f>
        <v>122</v>
      </c>
      <c r="U379" t="str">
        <f>+IF(Tabla2[[#This Row],[dias de credito]]&gt;=Tabla2[[#This Row],[PLAZO Días]],"venc", "No venc")</f>
        <v>venc</v>
      </c>
      <c r="V379" t="str">
        <f>+IF(Tabla2[[#This Row],[FECHA DE PAGO]]&gt;0,"pagada","por pagar")</f>
        <v>pagada</v>
      </c>
      <c r="W379" s="141" t="str">
        <f>+IF(AND(Tabla2[[#This Row],[venc]]="venc",Tabla2[[#This Row],[Columna1]]="por pagar"),"vencida","no")</f>
        <v>no</v>
      </c>
    </row>
    <row r="380" spans="1:23" ht="15.6" hidden="1" x14ac:dyDescent="0.3">
      <c r="A380" s="20">
        <v>45</v>
      </c>
      <c r="B380" s="25">
        <v>3074500</v>
      </c>
      <c r="C380" s="25"/>
      <c r="D380" s="56" t="s">
        <v>1482</v>
      </c>
      <c r="E380" s="426">
        <v>45205</v>
      </c>
      <c r="F380" s="26" t="s">
        <v>289</v>
      </c>
      <c r="G380" s="426">
        <v>45169</v>
      </c>
      <c r="H380" s="35">
        <v>1773</v>
      </c>
      <c r="I380" s="21">
        <v>1512420</v>
      </c>
      <c r="J380" s="21"/>
      <c r="K380" s="22">
        <v>0</v>
      </c>
      <c r="L380" s="23"/>
      <c r="M380" s="22">
        <v>0</v>
      </c>
      <c r="N380" s="74">
        <v>0</v>
      </c>
      <c r="O380" s="22">
        <v>0</v>
      </c>
      <c r="P380" s="21">
        <v>1512420</v>
      </c>
      <c r="S380" s="108" t="b">
        <f>OR(COUNTIF(Tabla2[[#This Row],[PROVEEDOR]],"*"&amp;'Palabra no opera'!$A$2&amp;"*"))</f>
        <v>0</v>
      </c>
      <c r="T380" s="139">
        <f>+$W$5-Tabla2[[#This Row],[FECHA DE FACTURACIÓN]]</f>
        <v>122</v>
      </c>
      <c r="U380" t="str">
        <f>+IF(Tabla2[[#This Row],[dias de credito]]&gt;=Tabla2[[#This Row],[PLAZO Días]],"venc", "No venc")</f>
        <v>venc</v>
      </c>
      <c r="V380" t="str">
        <f>+IF(Tabla2[[#This Row],[FECHA DE PAGO]]&gt;0,"pagada","por pagar")</f>
        <v>pagada</v>
      </c>
      <c r="W380" s="141" t="str">
        <f>+IF(AND(Tabla2[[#This Row],[venc]]="venc",Tabla2[[#This Row],[Columna1]]="por pagar"),"vencida","no")</f>
        <v>no</v>
      </c>
    </row>
    <row r="381" spans="1:23" ht="15.6" hidden="1" x14ac:dyDescent="0.3">
      <c r="A381" s="20">
        <v>30</v>
      </c>
      <c r="B381" s="25">
        <v>0</v>
      </c>
      <c r="C381" s="25"/>
      <c r="D381" s="56">
        <v>0</v>
      </c>
      <c r="E381" s="426">
        <v>45203</v>
      </c>
      <c r="F381" s="26" t="s">
        <v>2030</v>
      </c>
      <c r="G381" s="426">
        <v>45203</v>
      </c>
      <c r="H381" s="35" t="s">
        <v>2031</v>
      </c>
      <c r="I381" s="21">
        <v>833450</v>
      </c>
      <c r="J381" s="21"/>
      <c r="K381" s="22">
        <v>0</v>
      </c>
      <c r="L381" s="23"/>
      <c r="M381" s="22">
        <v>0</v>
      </c>
      <c r="N381" s="74">
        <v>0</v>
      </c>
      <c r="O381" s="22">
        <v>0</v>
      </c>
      <c r="P381" s="21">
        <v>833450</v>
      </c>
      <c r="S381" s="108" t="b">
        <f>OR(COUNTIF(Tabla2[[#This Row],[PROVEEDOR]],"*"&amp;'Palabra no opera'!$A$2&amp;"*"))</f>
        <v>0</v>
      </c>
      <c r="T381" s="139">
        <f>+$W$5-Tabla2[[#This Row],[FECHA DE FACTURACIÓN]]</f>
        <v>88</v>
      </c>
      <c r="U381" t="str">
        <f>+IF(Tabla2[[#This Row],[dias de credito]]&gt;=Tabla2[[#This Row],[PLAZO Días]],"venc", "No venc")</f>
        <v>venc</v>
      </c>
      <c r="V381" t="str">
        <f>+IF(Tabla2[[#This Row],[FECHA DE PAGO]]&gt;0,"pagada","por pagar")</f>
        <v>pagada</v>
      </c>
      <c r="W381" s="141" t="str">
        <f>+IF(AND(Tabla2[[#This Row],[venc]]="venc",Tabla2[[#This Row],[Columna1]]="por pagar"),"vencida","no")</f>
        <v>no</v>
      </c>
    </row>
    <row r="382" spans="1:23" ht="15.6" hidden="1" x14ac:dyDescent="0.3">
      <c r="A382" s="20">
        <v>30</v>
      </c>
      <c r="B382" s="25">
        <v>0</v>
      </c>
      <c r="C382" s="25"/>
      <c r="D382" s="56">
        <v>0</v>
      </c>
      <c r="E382" s="426">
        <v>45203</v>
      </c>
      <c r="F382" s="26" t="s">
        <v>642</v>
      </c>
      <c r="G382" s="426">
        <v>45200</v>
      </c>
      <c r="H382" s="35" t="s">
        <v>919</v>
      </c>
      <c r="I382" s="21">
        <v>129083</v>
      </c>
      <c r="J382" s="21"/>
      <c r="K382" s="22">
        <v>0</v>
      </c>
      <c r="L382" s="23"/>
      <c r="M382" s="22">
        <v>0</v>
      </c>
      <c r="N382" s="74">
        <v>0</v>
      </c>
      <c r="O382" s="22">
        <v>0</v>
      </c>
      <c r="P382" s="21">
        <v>129083</v>
      </c>
      <c r="S382" s="108" t="b">
        <f>OR(COUNTIF(Tabla2[[#This Row],[PROVEEDOR]],"*"&amp;'Palabra no opera'!$A$2&amp;"*"))</f>
        <v>1</v>
      </c>
      <c r="T382" s="139">
        <f>+$W$5-Tabla2[[#This Row],[FECHA DE FACTURACIÓN]]</f>
        <v>91</v>
      </c>
      <c r="U382" t="str">
        <f>+IF(Tabla2[[#This Row],[dias de credito]]&gt;=Tabla2[[#This Row],[PLAZO Días]],"venc", "No venc")</f>
        <v>venc</v>
      </c>
      <c r="V382" t="str">
        <f>+IF(Tabla2[[#This Row],[FECHA DE PAGO]]&gt;0,"pagada","por pagar")</f>
        <v>pagada</v>
      </c>
      <c r="W382" s="141" t="str">
        <f>+IF(AND(Tabla2[[#This Row],[venc]]="venc",Tabla2[[#This Row],[Columna1]]="por pagar"),"vencida","no")</f>
        <v>no</v>
      </c>
    </row>
    <row r="383" spans="1:23" ht="15.6" hidden="1" x14ac:dyDescent="0.3">
      <c r="A383" s="20">
        <v>30</v>
      </c>
      <c r="B383" s="25">
        <v>0</v>
      </c>
      <c r="C383" s="25"/>
      <c r="D383" s="56" t="s">
        <v>326</v>
      </c>
      <c r="E383" s="426">
        <v>45203</v>
      </c>
      <c r="F383" s="26" t="s">
        <v>38</v>
      </c>
      <c r="G383" s="426">
        <v>45147</v>
      </c>
      <c r="H383" s="35">
        <v>90276</v>
      </c>
      <c r="I383" s="21">
        <v>3715930</v>
      </c>
      <c r="J383" s="21"/>
      <c r="K383" s="22">
        <v>0</v>
      </c>
      <c r="L383" s="23"/>
      <c r="M383" s="22">
        <v>0</v>
      </c>
      <c r="N383" s="74">
        <v>0</v>
      </c>
      <c r="O383" s="22">
        <v>0</v>
      </c>
      <c r="P383" s="21">
        <v>3715930</v>
      </c>
      <c r="S383" s="108" t="b">
        <f>OR(COUNTIF(Tabla2[[#This Row],[PROVEEDOR]],"*"&amp;'Palabra no opera'!$A$2&amp;"*"))</f>
        <v>0</v>
      </c>
      <c r="T383" s="139">
        <f>+$W$5-Tabla2[[#This Row],[FECHA DE FACTURACIÓN]]</f>
        <v>144</v>
      </c>
      <c r="U383" t="str">
        <f>+IF(Tabla2[[#This Row],[dias de credito]]&gt;=Tabla2[[#This Row],[PLAZO Días]],"venc", "No venc")</f>
        <v>venc</v>
      </c>
      <c r="V383" t="str">
        <f>+IF(Tabla2[[#This Row],[FECHA DE PAGO]]&gt;0,"pagada","por pagar")</f>
        <v>pagada</v>
      </c>
      <c r="W383" s="141" t="str">
        <f>+IF(AND(Tabla2[[#This Row],[venc]]="venc",Tabla2[[#This Row],[Columna1]]="por pagar"),"vencida","no")</f>
        <v>no</v>
      </c>
    </row>
    <row r="384" spans="1:23" ht="15.6" hidden="1" x14ac:dyDescent="0.3">
      <c r="A384" s="20">
        <v>30</v>
      </c>
      <c r="B384" s="25">
        <v>0</v>
      </c>
      <c r="C384" s="25"/>
      <c r="D384" s="56" t="s">
        <v>326</v>
      </c>
      <c r="E384" s="426">
        <v>45203</v>
      </c>
      <c r="F384" s="26" t="s">
        <v>38</v>
      </c>
      <c r="G384" s="426">
        <v>45147</v>
      </c>
      <c r="H384" s="35">
        <v>90700</v>
      </c>
      <c r="I384" s="21">
        <v>3433190.84</v>
      </c>
      <c r="J384" s="21"/>
      <c r="K384" s="22">
        <v>0</v>
      </c>
      <c r="L384" s="23"/>
      <c r="M384" s="22">
        <v>0</v>
      </c>
      <c r="N384" s="74">
        <v>0</v>
      </c>
      <c r="O384" s="22">
        <v>0</v>
      </c>
      <c r="P384" s="21">
        <v>3433190.84</v>
      </c>
      <c r="S384" s="108" t="b">
        <f>OR(COUNTIF(Tabla2[[#This Row],[PROVEEDOR]],"*"&amp;'Palabra no opera'!$A$2&amp;"*"))</f>
        <v>0</v>
      </c>
      <c r="T384" s="139">
        <f>+$W$5-Tabla2[[#This Row],[FECHA DE FACTURACIÓN]]</f>
        <v>144</v>
      </c>
      <c r="U384" t="str">
        <f>+IF(Tabla2[[#This Row],[dias de credito]]&gt;=Tabla2[[#This Row],[PLAZO Días]],"venc", "No venc")</f>
        <v>venc</v>
      </c>
      <c r="V384" t="str">
        <f>+IF(Tabla2[[#This Row],[FECHA DE PAGO]]&gt;0,"pagada","por pagar")</f>
        <v>pagada</v>
      </c>
      <c r="W384" s="141" t="str">
        <f>+IF(AND(Tabla2[[#This Row],[venc]]="venc",Tabla2[[#This Row],[Columna1]]="por pagar"),"vencida","no")</f>
        <v>no</v>
      </c>
    </row>
    <row r="385" spans="1:23" ht="15.6" hidden="1" x14ac:dyDescent="0.3">
      <c r="A385" s="20">
        <v>30</v>
      </c>
      <c r="B385" s="25">
        <v>0</v>
      </c>
      <c r="C385" s="25"/>
      <c r="D385" s="56" t="s">
        <v>326</v>
      </c>
      <c r="E385" s="426">
        <v>45203</v>
      </c>
      <c r="F385" s="26" t="s">
        <v>38</v>
      </c>
      <c r="G385" s="426">
        <v>45145</v>
      </c>
      <c r="H385" s="35">
        <v>90105</v>
      </c>
      <c r="I385" s="21">
        <v>2208124.6799999997</v>
      </c>
      <c r="J385" s="21"/>
      <c r="K385" s="22">
        <v>0</v>
      </c>
      <c r="L385" s="23"/>
      <c r="M385" s="22">
        <v>0</v>
      </c>
      <c r="N385" s="74">
        <v>0</v>
      </c>
      <c r="O385" s="22">
        <v>0</v>
      </c>
      <c r="P385" s="21">
        <v>2208124.6799999997</v>
      </c>
      <c r="S385" s="108" t="b">
        <f>OR(COUNTIF(Tabla2[[#This Row],[PROVEEDOR]],"*"&amp;'Palabra no opera'!$A$2&amp;"*"))</f>
        <v>0</v>
      </c>
      <c r="T385" s="139">
        <f>+$W$5-Tabla2[[#This Row],[FECHA DE FACTURACIÓN]]</f>
        <v>146</v>
      </c>
      <c r="U385" t="str">
        <f>+IF(Tabla2[[#This Row],[dias de credito]]&gt;=Tabla2[[#This Row],[PLAZO Días]],"venc", "No venc")</f>
        <v>venc</v>
      </c>
      <c r="V385" t="str">
        <f>+IF(Tabla2[[#This Row],[FECHA DE PAGO]]&gt;0,"pagada","por pagar")</f>
        <v>pagada</v>
      </c>
      <c r="W385" s="141" t="str">
        <f>+IF(AND(Tabla2[[#This Row],[venc]]="venc",Tabla2[[#This Row],[Columna1]]="por pagar"),"vencida","no")</f>
        <v>no</v>
      </c>
    </row>
    <row r="386" spans="1:23" ht="15.6" hidden="1" x14ac:dyDescent="0.3">
      <c r="A386" s="20">
        <v>30</v>
      </c>
      <c r="B386" s="25">
        <v>380979.69</v>
      </c>
      <c r="C386" s="25"/>
      <c r="D386" s="56" t="s">
        <v>296</v>
      </c>
      <c r="E386" s="426">
        <v>45203</v>
      </c>
      <c r="F386" s="26" t="s">
        <v>615</v>
      </c>
      <c r="G386" s="426">
        <v>45134</v>
      </c>
      <c r="H386" s="35" t="s">
        <v>1855</v>
      </c>
      <c r="I386" s="21">
        <v>2187560</v>
      </c>
      <c r="J386" s="21"/>
      <c r="K386" s="22">
        <v>415636.4</v>
      </c>
      <c r="L386" s="23"/>
      <c r="M386" s="22">
        <v>0</v>
      </c>
      <c r="N386" s="74">
        <v>0</v>
      </c>
      <c r="O386" s="22">
        <v>0</v>
      </c>
      <c r="P386" s="21">
        <v>2603196.4</v>
      </c>
      <c r="S386" s="108" t="b">
        <f>OR(COUNTIF(Tabla2[[#This Row],[PROVEEDOR]],"*"&amp;'Palabra no opera'!$A$2&amp;"*"))</f>
        <v>1</v>
      </c>
      <c r="T386" s="139">
        <f>+$W$5-Tabla2[[#This Row],[FECHA DE FACTURACIÓN]]</f>
        <v>157</v>
      </c>
      <c r="U386" t="str">
        <f>+IF(Tabla2[[#This Row],[dias de credito]]&gt;=Tabla2[[#This Row],[PLAZO Días]],"venc", "No venc")</f>
        <v>venc</v>
      </c>
      <c r="V386" t="str">
        <f>+IF(Tabla2[[#This Row],[FECHA DE PAGO]]&gt;0,"pagada","por pagar")</f>
        <v>pagada</v>
      </c>
      <c r="W386" s="141" t="str">
        <f>+IF(AND(Tabla2[[#This Row],[venc]]="venc",Tabla2[[#This Row],[Columna1]]="por pagar"),"vencida","no")</f>
        <v>no</v>
      </c>
    </row>
    <row r="387" spans="1:23" ht="15.6" hidden="1" x14ac:dyDescent="0.3">
      <c r="A387" s="20">
        <v>30</v>
      </c>
      <c r="B387" s="25">
        <v>380979.69</v>
      </c>
      <c r="C387" s="25"/>
      <c r="D387" s="56" t="s">
        <v>296</v>
      </c>
      <c r="E387" s="426">
        <v>45203</v>
      </c>
      <c r="F387" s="26" t="s">
        <v>615</v>
      </c>
      <c r="G387" s="426">
        <v>45126</v>
      </c>
      <c r="H387" s="35" t="s">
        <v>1838</v>
      </c>
      <c r="I387" s="21">
        <v>4343040</v>
      </c>
      <c r="J387" s="21"/>
      <c r="K387" s="22">
        <v>825177.59999999998</v>
      </c>
      <c r="L387" s="23"/>
      <c r="M387" s="22">
        <v>0</v>
      </c>
      <c r="N387" s="74">
        <v>0</v>
      </c>
      <c r="O387" s="22">
        <v>0</v>
      </c>
      <c r="P387" s="21">
        <v>5168217.5999999996</v>
      </c>
      <c r="S387" s="108" t="b">
        <f>OR(COUNTIF(Tabla2[[#This Row],[PROVEEDOR]],"*"&amp;'Palabra no opera'!$A$2&amp;"*"))</f>
        <v>1</v>
      </c>
      <c r="T387" s="139">
        <f>+$W$5-Tabla2[[#This Row],[FECHA DE FACTURACIÓN]]</f>
        <v>165</v>
      </c>
      <c r="U387" t="str">
        <f>+IF(Tabla2[[#This Row],[dias de credito]]&gt;=Tabla2[[#This Row],[PLAZO Días]],"venc", "No venc")</f>
        <v>venc</v>
      </c>
      <c r="V387" t="str">
        <f>+IF(Tabla2[[#This Row],[FECHA DE PAGO]]&gt;0,"pagada","por pagar")</f>
        <v>pagada</v>
      </c>
      <c r="W387" s="141" t="str">
        <f>+IF(AND(Tabla2[[#This Row],[venc]]="venc",Tabla2[[#This Row],[Columna1]]="por pagar"),"vencida","no")</f>
        <v>no</v>
      </c>
    </row>
    <row r="388" spans="1:23" ht="15.6" hidden="1" x14ac:dyDescent="0.3">
      <c r="A388" s="20">
        <v>30</v>
      </c>
      <c r="B388" s="25">
        <v>0</v>
      </c>
      <c r="C388" s="25"/>
      <c r="D388" s="56" t="s">
        <v>107</v>
      </c>
      <c r="E388" s="426">
        <v>45202</v>
      </c>
      <c r="F388" s="26" t="s">
        <v>362</v>
      </c>
      <c r="G388" s="426">
        <v>45202</v>
      </c>
      <c r="H388" s="35" t="s">
        <v>2008</v>
      </c>
      <c r="I388" s="21">
        <v>150000</v>
      </c>
      <c r="J388" s="21"/>
      <c r="K388" s="22">
        <v>0</v>
      </c>
      <c r="L388" s="23"/>
      <c r="M388" s="22">
        <v>0</v>
      </c>
      <c r="N388" s="74">
        <v>0</v>
      </c>
      <c r="O388" s="22">
        <v>0</v>
      </c>
      <c r="P388" s="21">
        <v>150000</v>
      </c>
      <c r="S388" s="108" t="b">
        <f>OR(COUNTIF(Tabla2[[#This Row],[PROVEEDOR]],"*"&amp;'Palabra no opera'!$A$2&amp;"*"))</f>
        <v>0</v>
      </c>
      <c r="T388" s="139">
        <f>+$W$5-Tabla2[[#This Row],[FECHA DE FACTURACIÓN]]</f>
        <v>89</v>
      </c>
      <c r="U388" t="str">
        <f>+IF(Tabla2[[#This Row],[dias de credito]]&gt;=Tabla2[[#This Row],[PLAZO Días]],"venc", "No venc")</f>
        <v>venc</v>
      </c>
      <c r="V388" t="str">
        <f>+IF(Tabla2[[#This Row],[FECHA DE PAGO]]&gt;0,"pagada","por pagar")</f>
        <v>pagada</v>
      </c>
      <c r="W388" s="141" t="str">
        <f>+IF(AND(Tabla2[[#This Row],[venc]]="venc",Tabla2[[#This Row],[Columna1]]="por pagar"),"vencida","no")</f>
        <v>no</v>
      </c>
    </row>
    <row r="389" spans="1:23" ht="15.6" hidden="1" x14ac:dyDescent="0.3">
      <c r="A389" s="20">
        <v>30</v>
      </c>
      <c r="B389" s="25">
        <v>0</v>
      </c>
      <c r="C389" s="25"/>
      <c r="D389" s="56" t="s">
        <v>107</v>
      </c>
      <c r="E389" s="426">
        <v>45202</v>
      </c>
      <c r="F389" s="26" t="s">
        <v>362</v>
      </c>
      <c r="G389" s="426">
        <v>45202</v>
      </c>
      <c r="H389" s="35" t="s">
        <v>2029</v>
      </c>
      <c r="I389" s="21">
        <v>210000</v>
      </c>
      <c r="J389" s="21"/>
      <c r="K389" s="22">
        <v>0</v>
      </c>
      <c r="L389" s="23"/>
      <c r="M389" s="22">
        <v>0</v>
      </c>
      <c r="N389" s="74">
        <v>0</v>
      </c>
      <c r="O389" s="22">
        <v>0</v>
      </c>
      <c r="P389" s="21">
        <v>210000</v>
      </c>
      <c r="S389" s="108" t="b">
        <f>OR(COUNTIF(Tabla2[[#This Row],[PROVEEDOR]],"*"&amp;'Palabra no opera'!$A$2&amp;"*"))</f>
        <v>0</v>
      </c>
      <c r="T389" s="139">
        <f>+$W$5-Tabla2[[#This Row],[FECHA DE FACTURACIÓN]]</f>
        <v>89</v>
      </c>
      <c r="U389" t="str">
        <f>+IF(Tabla2[[#This Row],[dias de credito]]&gt;=Tabla2[[#This Row],[PLAZO Días]],"venc", "No venc")</f>
        <v>venc</v>
      </c>
      <c r="V389" t="str">
        <f>+IF(Tabla2[[#This Row],[FECHA DE PAGO]]&gt;0,"pagada","por pagar")</f>
        <v>pagada</v>
      </c>
      <c r="W389" s="141" t="str">
        <f>+IF(AND(Tabla2[[#This Row],[venc]]="venc",Tabla2[[#This Row],[Columna1]]="por pagar"),"vencida","no")</f>
        <v>no</v>
      </c>
    </row>
    <row r="390" spans="1:23" ht="15.6" hidden="1" x14ac:dyDescent="0.3">
      <c r="A390" s="20">
        <v>30</v>
      </c>
      <c r="B390" s="25">
        <v>0</v>
      </c>
      <c r="C390" s="25"/>
      <c r="D390" s="56">
        <v>0</v>
      </c>
      <c r="E390" s="426">
        <v>45202</v>
      </c>
      <c r="F390" s="26" t="s">
        <v>1736</v>
      </c>
      <c r="G390" s="426">
        <v>45202</v>
      </c>
      <c r="H390" s="35"/>
      <c r="I390" s="21">
        <v>392000</v>
      </c>
      <c r="J390" s="21"/>
      <c r="K390" s="22">
        <v>0</v>
      </c>
      <c r="L390" s="23"/>
      <c r="M390" s="22">
        <v>0</v>
      </c>
      <c r="N390" s="74">
        <v>0</v>
      </c>
      <c r="O390" s="22">
        <v>0</v>
      </c>
      <c r="P390" s="21">
        <v>392000</v>
      </c>
      <c r="S390" s="108" t="b">
        <f>OR(COUNTIF(Tabla2[[#This Row],[PROVEEDOR]],"*"&amp;'Palabra no opera'!$A$2&amp;"*"))</f>
        <v>0</v>
      </c>
      <c r="T390" s="139">
        <f>+$W$5-Tabla2[[#This Row],[FECHA DE FACTURACIÓN]]</f>
        <v>89</v>
      </c>
      <c r="U390" t="str">
        <f>+IF(Tabla2[[#This Row],[dias de credito]]&gt;=Tabla2[[#This Row],[PLAZO Días]],"venc", "No venc")</f>
        <v>venc</v>
      </c>
      <c r="V390" t="str">
        <f>+IF(Tabla2[[#This Row],[FECHA DE PAGO]]&gt;0,"pagada","por pagar")</f>
        <v>pagada</v>
      </c>
      <c r="W390" s="141" t="str">
        <f>+IF(AND(Tabla2[[#This Row],[venc]]="venc",Tabla2[[#This Row],[Columna1]]="por pagar"),"vencida","no")</f>
        <v>no</v>
      </c>
    </row>
    <row r="391" spans="1:23" ht="15.6" hidden="1" x14ac:dyDescent="0.3">
      <c r="A391" s="20">
        <v>30</v>
      </c>
      <c r="B391" s="25">
        <v>0</v>
      </c>
      <c r="C391" s="25"/>
      <c r="D391" s="56" t="s">
        <v>107</v>
      </c>
      <c r="E391" s="426">
        <v>45202</v>
      </c>
      <c r="F391" s="26" t="s">
        <v>404</v>
      </c>
      <c r="G391" s="426">
        <v>45201</v>
      </c>
      <c r="H391" s="35" t="s">
        <v>2065</v>
      </c>
      <c r="I391" s="21">
        <v>1921000</v>
      </c>
      <c r="J391" s="21"/>
      <c r="K391" s="22">
        <v>0</v>
      </c>
      <c r="L391" s="23"/>
      <c r="M391" s="22">
        <v>0</v>
      </c>
      <c r="N391" s="74">
        <v>0</v>
      </c>
      <c r="O391" s="22">
        <v>0</v>
      </c>
      <c r="P391" s="21">
        <v>1921000</v>
      </c>
      <c r="S391" s="108" t="b">
        <f>OR(COUNTIF(Tabla2[[#This Row],[PROVEEDOR]],"*"&amp;'Palabra no opera'!$A$2&amp;"*"))</f>
        <v>0</v>
      </c>
      <c r="T391" s="139">
        <f>+$W$5-Tabla2[[#This Row],[FECHA DE FACTURACIÓN]]</f>
        <v>90</v>
      </c>
      <c r="U391" t="str">
        <f>+IF(Tabla2[[#This Row],[dias de credito]]&gt;=Tabla2[[#This Row],[PLAZO Días]],"venc", "No venc")</f>
        <v>venc</v>
      </c>
      <c r="V391" t="str">
        <f>+IF(Tabla2[[#This Row],[FECHA DE PAGO]]&gt;0,"pagada","por pagar")</f>
        <v>pagada</v>
      </c>
      <c r="W391" s="141" t="str">
        <f>+IF(AND(Tabla2[[#This Row],[venc]]="venc",Tabla2[[#This Row],[Columna1]]="por pagar"),"vencida","no")</f>
        <v>no</v>
      </c>
    </row>
    <row r="392" spans="1:23" ht="15.6" hidden="1" x14ac:dyDescent="0.3">
      <c r="A392" s="20">
        <v>30</v>
      </c>
      <c r="B392" s="25">
        <v>0</v>
      </c>
      <c r="C392" s="25"/>
      <c r="D392" s="56" t="s">
        <v>107</v>
      </c>
      <c r="E392" s="426">
        <v>45201</v>
      </c>
      <c r="F392" s="26" t="s">
        <v>362</v>
      </c>
      <c r="G392" s="426">
        <v>45201</v>
      </c>
      <c r="H392" s="35" t="s">
        <v>2027</v>
      </c>
      <c r="I392" s="21">
        <v>150000</v>
      </c>
      <c r="J392" s="21"/>
      <c r="K392" s="22">
        <v>0</v>
      </c>
      <c r="L392" s="23"/>
      <c r="M392" s="22">
        <v>0</v>
      </c>
      <c r="N392" s="74">
        <v>0</v>
      </c>
      <c r="O392" s="22">
        <v>0</v>
      </c>
      <c r="P392" s="21">
        <v>150000</v>
      </c>
      <c r="S392" s="108" t="b">
        <f>OR(COUNTIF(Tabla2[[#This Row],[PROVEEDOR]],"*"&amp;'Palabra no opera'!$A$2&amp;"*"))</f>
        <v>0</v>
      </c>
      <c r="T392" s="139">
        <f>+$W$5-Tabla2[[#This Row],[FECHA DE FACTURACIÓN]]</f>
        <v>90</v>
      </c>
      <c r="U392" t="str">
        <f>+IF(Tabla2[[#This Row],[dias de credito]]&gt;=Tabla2[[#This Row],[PLAZO Días]],"venc", "No venc")</f>
        <v>venc</v>
      </c>
      <c r="V392" t="str">
        <f>+IF(Tabla2[[#This Row],[FECHA DE PAGO]]&gt;0,"pagada","por pagar")</f>
        <v>pagada</v>
      </c>
      <c r="W392" s="141" t="str">
        <f>+IF(AND(Tabla2[[#This Row],[venc]]="venc",Tabla2[[#This Row],[Columna1]]="por pagar"),"vencida","no")</f>
        <v>no</v>
      </c>
    </row>
    <row r="393" spans="1:23" ht="15.6" hidden="1" x14ac:dyDescent="0.3">
      <c r="A393" s="20">
        <v>30</v>
      </c>
      <c r="B393" s="25">
        <v>0</v>
      </c>
      <c r="C393" s="25"/>
      <c r="D393" s="56" t="s">
        <v>107</v>
      </c>
      <c r="E393" s="426">
        <v>45201</v>
      </c>
      <c r="F393" s="26" t="s">
        <v>362</v>
      </c>
      <c r="G393" s="426">
        <v>45201</v>
      </c>
      <c r="H393" s="35" t="s">
        <v>2028</v>
      </c>
      <c r="I393" s="21">
        <v>588000</v>
      </c>
      <c r="J393" s="21"/>
      <c r="K393" s="22">
        <v>0</v>
      </c>
      <c r="L393" s="23"/>
      <c r="M393" s="22">
        <v>0</v>
      </c>
      <c r="N393" s="74">
        <v>0</v>
      </c>
      <c r="O393" s="22">
        <v>0</v>
      </c>
      <c r="P393" s="21">
        <v>588000</v>
      </c>
      <c r="S393" s="108" t="b">
        <f>OR(COUNTIF(Tabla2[[#This Row],[PROVEEDOR]],"*"&amp;'Palabra no opera'!$A$2&amp;"*"))</f>
        <v>0</v>
      </c>
      <c r="T393" s="139">
        <f>+$W$5-Tabla2[[#This Row],[FECHA DE FACTURACIÓN]]</f>
        <v>90</v>
      </c>
      <c r="U393" t="str">
        <f>+IF(Tabla2[[#This Row],[dias de credito]]&gt;=Tabla2[[#This Row],[PLAZO Días]],"venc", "No venc")</f>
        <v>venc</v>
      </c>
      <c r="V393" t="str">
        <f>+IF(Tabla2[[#This Row],[FECHA DE PAGO]]&gt;0,"pagada","por pagar")</f>
        <v>pagada</v>
      </c>
      <c r="W393" s="141" t="str">
        <f>+IF(AND(Tabla2[[#This Row],[venc]]="venc",Tabla2[[#This Row],[Columna1]]="por pagar"),"vencida","no")</f>
        <v>no</v>
      </c>
    </row>
    <row r="394" spans="1:23" ht="15.6" hidden="1" x14ac:dyDescent="0.3">
      <c r="A394" s="20">
        <v>30</v>
      </c>
      <c r="B394" s="25">
        <v>0</v>
      </c>
      <c r="C394" s="25"/>
      <c r="D394" s="56" t="s">
        <v>107</v>
      </c>
      <c r="E394" s="426">
        <v>45201</v>
      </c>
      <c r="F394" s="26" t="s">
        <v>390</v>
      </c>
      <c r="G394" s="426">
        <v>45201</v>
      </c>
      <c r="H394" s="35"/>
      <c r="I394" s="21">
        <v>1031000</v>
      </c>
      <c r="J394" s="21"/>
      <c r="K394" s="22">
        <v>0</v>
      </c>
      <c r="L394" s="23"/>
      <c r="M394" s="22">
        <v>0</v>
      </c>
      <c r="N394" s="74">
        <v>0</v>
      </c>
      <c r="O394" s="22">
        <v>0</v>
      </c>
      <c r="P394" s="21">
        <v>1031000</v>
      </c>
      <c r="S394" s="108" t="b">
        <f>OR(COUNTIF(Tabla2[[#This Row],[PROVEEDOR]],"*"&amp;'Palabra no opera'!$A$2&amp;"*"))</f>
        <v>0</v>
      </c>
      <c r="T394" s="139">
        <f>+$W$5-Tabla2[[#This Row],[FECHA DE FACTURACIÓN]]</f>
        <v>90</v>
      </c>
      <c r="U394" t="str">
        <f>+IF(Tabla2[[#This Row],[dias de credito]]&gt;=Tabla2[[#This Row],[PLAZO Días]],"venc", "No venc")</f>
        <v>venc</v>
      </c>
      <c r="V394" t="str">
        <f>+IF(Tabla2[[#This Row],[FECHA DE PAGO]]&gt;0,"pagada","por pagar")</f>
        <v>pagada</v>
      </c>
      <c r="W394" s="141" t="str">
        <f>+IF(AND(Tabla2[[#This Row],[venc]]="venc",Tabla2[[#This Row],[Columna1]]="por pagar"),"vencida","no")</f>
        <v>no</v>
      </c>
    </row>
    <row r="395" spans="1:23" ht="15.6" hidden="1" x14ac:dyDescent="0.3">
      <c r="A395" s="20">
        <v>30</v>
      </c>
      <c r="B395" s="25">
        <v>0</v>
      </c>
      <c r="C395" s="25"/>
      <c r="D395" s="56" t="s">
        <v>843</v>
      </c>
      <c r="E395" s="426">
        <v>45201</v>
      </c>
      <c r="F395" s="26" t="s">
        <v>809</v>
      </c>
      <c r="G395" s="426">
        <v>45170</v>
      </c>
      <c r="H395" s="35" t="s">
        <v>1972</v>
      </c>
      <c r="I395" s="21">
        <v>1796000</v>
      </c>
      <c r="J395" s="21"/>
      <c r="K395" s="22">
        <v>341240</v>
      </c>
      <c r="L395" s="23">
        <v>0.1</v>
      </c>
      <c r="M395" s="22">
        <v>179600</v>
      </c>
      <c r="N395" s="74">
        <v>2.5000000000000001E-2</v>
      </c>
      <c r="O395" s="22">
        <v>44900</v>
      </c>
      <c r="P395" s="21">
        <v>1912740</v>
      </c>
      <c r="S395" s="108" t="b">
        <f>OR(COUNTIF(Tabla2[[#This Row],[PROVEEDOR]],"*"&amp;'Palabra no opera'!$A$2&amp;"*"))</f>
        <v>0</v>
      </c>
      <c r="T395" s="139">
        <f>+$W$5-Tabla2[[#This Row],[FECHA DE FACTURACIÓN]]</f>
        <v>121</v>
      </c>
      <c r="U395" t="str">
        <f>+IF(Tabla2[[#This Row],[dias de credito]]&gt;=Tabla2[[#This Row],[PLAZO Días]],"venc", "No venc")</f>
        <v>venc</v>
      </c>
      <c r="V395" t="str">
        <f>+IF(Tabla2[[#This Row],[FECHA DE PAGO]]&gt;0,"pagada","por pagar")</f>
        <v>pagada</v>
      </c>
      <c r="W395" s="141" t="str">
        <f>+IF(AND(Tabla2[[#This Row],[venc]]="venc",Tabla2[[#This Row],[Columna1]]="por pagar"),"vencida","no")</f>
        <v>no</v>
      </c>
    </row>
    <row r="396" spans="1:23" ht="15.6" hidden="1" x14ac:dyDescent="0.3">
      <c r="A396" s="20">
        <v>30</v>
      </c>
      <c r="B396" s="25">
        <v>0</v>
      </c>
      <c r="C396" s="25"/>
      <c r="D396" s="56" t="s">
        <v>277</v>
      </c>
      <c r="E396" s="426">
        <v>45201</v>
      </c>
      <c r="F396" s="26" t="s">
        <v>248</v>
      </c>
      <c r="G396" s="426">
        <v>45169</v>
      </c>
      <c r="H396" s="35" t="s">
        <v>1963</v>
      </c>
      <c r="I396" s="21">
        <v>-1748011</v>
      </c>
      <c r="J396" s="21"/>
      <c r="K396" s="22">
        <v>-332122.09000000003</v>
      </c>
      <c r="L396" s="23"/>
      <c r="M396" s="22">
        <v>0</v>
      </c>
      <c r="N396" s="74">
        <v>0</v>
      </c>
      <c r="O396" s="22">
        <v>0</v>
      </c>
      <c r="P396" s="21">
        <v>-2080133.09</v>
      </c>
      <c r="S396" s="108" t="b">
        <f>OR(COUNTIF(Tabla2[[#This Row],[PROVEEDOR]],"*"&amp;'Palabra no opera'!$A$2&amp;"*"))</f>
        <v>0</v>
      </c>
      <c r="T396" s="139">
        <f>+$W$5-Tabla2[[#This Row],[FECHA DE FACTURACIÓN]]</f>
        <v>122</v>
      </c>
      <c r="U396" t="str">
        <f>+IF(Tabla2[[#This Row],[dias de credito]]&gt;=Tabla2[[#This Row],[PLAZO Días]],"venc", "No venc")</f>
        <v>venc</v>
      </c>
      <c r="V396" t="str">
        <f>+IF(Tabla2[[#This Row],[FECHA DE PAGO]]&gt;0,"pagada","por pagar")</f>
        <v>pagada</v>
      </c>
      <c r="W396" s="141" t="str">
        <f>+IF(AND(Tabla2[[#This Row],[venc]]="venc",Tabla2[[#This Row],[Columna1]]="por pagar"),"vencida","no")</f>
        <v>no</v>
      </c>
    </row>
    <row r="397" spans="1:23" ht="15.6" hidden="1" x14ac:dyDescent="0.3">
      <c r="A397" s="20">
        <v>30</v>
      </c>
      <c r="B397" s="25">
        <v>0</v>
      </c>
      <c r="C397" s="25"/>
      <c r="D397" s="56" t="s">
        <v>277</v>
      </c>
      <c r="E397" s="426">
        <v>45201</v>
      </c>
      <c r="F397" s="26" t="s">
        <v>248</v>
      </c>
      <c r="G397" s="426">
        <v>45164</v>
      </c>
      <c r="H397" s="35" t="s">
        <v>1910</v>
      </c>
      <c r="I397" s="21">
        <v>6502674</v>
      </c>
      <c r="J397" s="21"/>
      <c r="K397" s="22">
        <v>1235508.06</v>
      </c>
      <c r="L397" s="23"/>
      <c r="M397" s="22">
        <v>0</v>
      </c>
      <c r="N397" s="74">
        <v>0</v>
      </c>
      <c r="O397" s="22">
        <v>0</v>
      </c>
      <c r="P397" s="21">
        <v>7738182.0600000005</v>
      </c>
      <c r="S397" s="108" t="b">
        <f>OR(COUNTIF(Tabla2[[#This Row],[PROVEEDOR]],"*"&amp;'Palabra no opera'!$A$2&amp;"*"))</f>
        <v>0</v>
      </c>
      <c r="T397" s="139">
        <f>+$W$5-Tabla2[[#This Row],[FECHA DE FACTURACIÓN]]</f>
        <v>127</v>
      </c>
      <c r="U397" t="str">
        <f>+IF(Tabla2[[#This Row],[dias de credito]]&gt;=Tabla2[[#This Row],[PLAZO Días]],"venc", "No venc")</f>
        <v>venc</v>
      </c>
      <c r="V397" t="str">
        <f>+IF(Tabla2[[#This Row],[FECHA DE PAGO]]&gt;0,"pagada","por pagar")</f>
        <v>pagada</v>
      </c>
      <c r="W397" s="141" t="str">
        <f>+IF(AND(Tabla2[[#This Row],[venc]]="venc",Tabla2[[#This Row],[Columna1]]="por pagar"),"vencida","no")</f>
        <v>no</v>
      </c>
    </row>
    <row r="398" spans="1:23" ht="15.6" hidden="1" x14ac:dyDescent="0.3">
      <c r="A398" s="20">
        <v>30</v>
      </c>
      <c r="B398" s="25">
        <v>429590</v>
      </c>
      <c r="C398" s="25"/>
      <c r="D398" s="56" t="s">
        <v>196</v>
      </c>
      <c r="E398" s="426">
        <v>45201</v>
      </c>
      <c r="F398" s="26" t="s">
        <v>39</v>
      </c>
      <c r="G398" s="426">
        <v>45162</v>
      </c>
      <c r="H398" s="35" t="s">
        <v>1913</v>
      </c>
      <c r="I398" s="21">
        <v>8000000</v>
      </c>
      <c r="J398" s="21"/>
      <c r="K398" s="22">
        <v>1520000</v>
      </c>
      <c r="L398" s="23"/>
      <c r="M398" s="22">
        <v>0</v>
      </c>
      <c r="N398" s="74">
        <v>2.5000000000000001E-2</v>
      </c>
      <c r="O398" s="22">
        <v>200000</v>
      </c>
      <c r="P398" s="21">
        <v>9320000</v>
      </c>
      <c r="S398" s="108" t="b">
        <f>OR(COUNTIF(Tabla2[[#This Row],[PROVEEDOR]],"*"&amp;'Palabra no opera'!$A$2&amp;"*"))</f>
        <v>0</v>
      </c>
      <c r="T398" s="139">
        <f>+$W$5-Tabla2[[#This Row],[FECHA DE FACTURACIÓN]]</f>
        <v>129</v>
      </c>
      <c r="U398" t="str">
        <f>+IF(Tabla2[[#This Row],[dias de credito]]&gt;=Tabla2[[#This Row],[PLAZO Días]],"venc", "No venc")</f>
        <v>venc</v>
      </c>
      <c r="V398" t="str">
        <f>+IF(Tabla2[[#This Row],[FECHA DE PAGO]]&gt;0,"pagada","por pagar")</f>
        <v>pagada</v>
      </c>
      <c r="W398" s="141" t="str">
        <f>+IF(AND(Tabla2[[#This Row],[venc]]="venc",Tabla2[[#This Row],[Columna1]]="por pagar"),"vencida","no")</f>
        <v>no</v>
      </c>
    </row>
    <row r="399" spans="1:23" ht="15.6" hidden="1" x14ac:dyDescent="0.3">
      <c r="A399" s="20">
        <v>30</v>
      </c>
      <c r="B399" s="25">
        <v>429590</v>
      </c>
      <c r="C399" s="25"/>
      <c r="D399" s="56" t="s">
        <v>196</v>
      </c>
      <c r="E399" s="426">
        <v>45201</v>
      </c>
      <c r="F399" s="26" t="s">
        <v>39</v>
      </c>
      <c r="G399" s="426">
        <v>45160</v>
      </c>
      <c r="H399" s="35" t="s">
        <v>1914</v>
      </c>
      <c r="I399" s="21">
        <v>376000</v>
      </c>
      <c r="J399" s="21"/>
      <c r="K399" s="22">
        <v>71440</v>
      </c>
      <c r="L399" s="23"/>
      <c r="M399" s="22">
        <v>0</v>
      </c>
      <c r="N399" s="74">
        <v>0</v>
      </c>
      <c r="O399" s="22">
        <v>0</v>
      </c>
      <c r="P399" s="21">
        <v>447440</v>
      </c>
      <c r="S399" s="108" t="b">
        <f>OR(COUNTIF(Tabla2[[#This Row],[PROVEEDOR]],"*"&amp;'Palabra no opera'!$A$2&amp;"*"))</f>
        <v>0</v>
      </c>
      <c r="T399" s="139">
        <f>+$W$5-Tabla2[[#This Row],[FECHA DE FACTURACIÓN]]</f>
        <v>131</v>
      </c>
      <c r="U399" t="str">
        <f>+IF(Tabla2[[#This Row],[dias de credito]]&gt;=Tabla2[[#This Row],[PLAZO Días]],"venc", "No venc")</f>
        <v>venc</v>
      </c>
      <c r="V399" t="str">
        <f>+IF(Tabla2[[#This Row],[FECHA DE PAGO]]&gt;0,"pagada","por pagar")</f>
        <v>pagada</v>
      </c>
      <c r="W399" s="141" t="str">
        <f>+IF(AND(Tabla2[[#This Row],[venc]]="venc",Tabla2[[#This Row],[Columna1]]="por pagar"),"vencida","no")</f>
        <v>no</v>
      </c>
    </row>
    <row r="400" spans="1:23" ht="15.6" hidden="1" x14ac:dyDescent="0.3">
      <c r="A400" s="20">
        <v>30</v>
      </c>
      <c r="B400" s="25">
        <v>3209330.35</v>
      </c>
      <c r="C400" s="25"/>
      <c r="D400" s="56" t="s">
        <v>187</v>
      </c>
      <c r="E400" s="426">
        <v>45201</v>
      </c>
      <c r="F400" s="26" t="s">
        <v>282</v>
      </c>
      <c r="G400" s="426">
        <v>45139</v>
      </c>
      <c r="H400" s="35" t="s">
        <v>1873</v>
      </c>
      <c r="I400" s="21">
        <v>779495</v>
      </c>
      <c r="J400" s="21"/>
      <c r="K400" s="22">
        <v>148104.04999999999</v>
      </c>
      <c r="L400" s="23"/>
      <c r="M400" s="22">
        <v>0</v>
      </c>
      <c r="N400" s="74">
        <v>0</v>
      </c>
      <c r="O400" s="22">
        <v>0</v>
      </c>
      <c r="P400" s="21">
        <v>927599.05</v>
      </c>
      <c r="S400" s="108" t="b">
        <f>OR(COUNTIF(Tabla2[[#This Row],[PROVEEDOR]],"*"&amp;'Palabra no opera'!$A$2&amp;"*"))</f>
        <v>0</v>
      </c>
      <c r="T400" s="139">
        <f>+$W$5-Tabla2[[#This Row],[FECHA DE FACTURACIÓN]]</f>
        <v>152</v>
      </c>
      <c r="U400" t="str">
        <f>+IF(Tabla2[[#This Row],[dias de credito]]&gt;=Tabla2[[#This Row],[PLAZO Días]],"venc", "No venc")</f>
        <v>venc</v>
      </c>
      <c r="V400" t="str">
        <f>+IF(Tabla2[[#This Row],[FECHA DE PAGO]]&gt;0,"pagada","por pagar")</f>
        <v>pagada</v>
      </c>
      <c r="W400" s="141" t="str">
        <f>+IF(AND(Tabla2[[#This Row],[venc]]="venc",Tabla2[[#This Row],[Columna1]]="por pagar"),"vencida","no")</f>
        <v>no</v>
      </c>
    </row>
    <row r="401" spans="1:23" ht="15.6" hidden="1" x14ac:dyDescent="0.3">
      <c r="A401" s="20">
        <v>45</v>
      </c>
      <c r="B401" s="25">
        <v>8072960</v>
      </c>
      <c r="C401" s="25"/>
      <c r="D401" s="56" t="s">
        <v>198</v>
      </c>
      <c r="E401" s="426">
        <v>45201</v>
      </c>
      <c r="F401" s="26" t="s">
        <v>10</v>
      </c>
      <c r="G401" s="426">
        <v>45135</v>
      </c>
      <c r="H401" s="35" t="s">
        <v>1844</v>
      </c>
      <c r="I401" s="21">
        <v>4200000</v>
      </c>
      <c r="J401" s="21"/>
      <c r="K401" s="22">
        <v>798000</v>
      </c>
      <c r="L401" s="23"/>
      <c r="M401" s="22">
        <v>0</v>
      </c>
      <c r="N401" s="74">
        <v>0</v>
      </c>
      <c r="O401" s="22">
        <v>0</v>
      </c>
      <c r="P401" s="21">
        <v>4998000</v>
      </c>
      <c r="S401" s="108" t="b">
        <f>OR(COUNTIF(Tabla2[[#This Row],[PROVEEDOR]],"*"&amp;'Palabra no opera'!$A$2&amp;"*"))</f>
        <v>0</v>
      </c>
      <c r="T401" s="139">
        <f>+$W$5-Tabla2[[#This Row],[FECHA DE FACTURACIÓN]]</f>
        <v>156</v>
      </c>
      <c r="U401" t="str">
        <f>+IF(Tabla2[[#This Row],[dias de credito]]&gt;=Tabla2[[#This Row],[PLAZO Días]],"venc", "No venc")</f>
        <v>venc</v>
      </c>
      <c r="V401" t="str">
        <f>+IF(Tabla2[[#This Row],[FECHA DE PAGO]]&gt;0,"pagada","por pagar")</f>
        <v>pagada</v>
      </c>
      <c r="W401" s="141" t="str">
        <f>+IF(AND(Tabla2[[#This Row],[venc]]="venc",Tabla2[[#This Row],[Columna1]]="por pagar"),"vencida","no")</f>
        <v>no</v>
      </c>
    </row>
    <row r="402" spans="1:23" ht="15.6" hidden="1" x14ac:dyDescent="0.3">
      <c r="A402" s="20">
        <v>30</v>
      </c>
      <c r="B402" s="25">
        <v>0</v>
      </c>
      <c r="C402" s="25"/>
      <c r="D402" s="56" t="s">
        <v>107</v>
      </c>
      <c r="E402" s="426">
        <v>45201</v>
      </c>
      <c r="F402" s="26" t="s">
        <v>362</v>
      </c>
      <c r="G402" s="426">
        <v>45117</v>
      </c>
      <c r="H402" s="35" t="s">
        <v>1791</v>
      </c>
      <c r="I402" s="21">
        <v>1117000</v>
      </c>
      <c r="J402" s="21"/>
      <c r="K402" s="22">
        <v>0</v>
      </c>
      <c r="L402" s="23"/>
      <c r="M402" s="22">
        <v>0</v>
      </c>
      <c r="N402" s="74">
        <v>0</v>
      </c>
      <c r="O402" s="22">
        <v>0</v>
      </c>
      <c r="P402" s="21">
        <v>1117000</v>
      </c>
      <c r="S402" s="108" t="b">
        <f>OR(COUNTIF(Tabla2[[#This Row],[PROVEEDOR]],"*"&amp;'Palabra no opera'!$A$2&amp;"*"))</f>
        <v>0</v>
      </c>
      <c r="T402" s="139">
        <f>+$W$5-Tabla2[[#This Row],[FECHA DE FACTURACIÓN]]</f>
        <v>174</v>
      </c>
      <c r="U402" t="str">
        <f>+IF(Tabla2[[#This Row],[dias de credito]]&gt;=Tabla2[[#This Row],[PLAZO Días]],"venc", "No venc")</f>
        <v>venc</v>
      </c>
      <c r="V402" t="str">
        <f>+IF(Tabla2[[#This Row],[FECHA DE PAGO]]&gt;0,"pagada","por pagar")</f>
        <v>pagada</v>
      </c>
      <c r="W402" s="141" t="str">
        <f>+IF(AND(Tabla2[[#This Row],[venc]]="venc",Tabla2[[#This Row],[Columna1]]="por pagar"),"vencida","no")</f>
        <v>no</v>
      </c>
    </row>
    <row r="403" spans="1:23" ht="15.6" hidden="1" x14ac:dyDescent="0.3">
      <c r="A403" s="20">
        <v>30</v>
      </c>
      <c r="B403" s="25">
        <v>5480000</v>
      </c>
      <c r="C403" s="25"/>
      <c r="D403" s="56" t="s">
        <v>107</v>
      </c>
      <c r="E403" s="426">
        <v>45201</v>
      </c>
      <c r="F403" s="26" t="s">
        <v>369</v>
      </c>
      <c r="G403" s="426">
        <v>45117</v>
      </c>
      <c r="H403" s="35">
        <v>8943</v>
      </c>
      <c r="I403" s="21">
        <v>3668500</v>
      </c>
      <c r="J403" s="21"/>
      <c r="K403" s="22">
        <v>0</v>
      </c>
      <c r="L403" s="23"/>
      <c r="M403" s="22">
        <v>0</v>
      </c>
      <c r="N403" s="74">
        <v>0</v>
      </c>
      <c r="O403" s="22">
        <v>0</v>
      </c>
      <c r="P403" s="21">
        <v>3668500</v>
      </c>
      <c r="S403" s="108" t="b">
        <f>OR(COUNTIF(Tabla2[[#This Row],[PROVEEDOR]],"*"&amp;'Palabra no opera'!$A$2&amp;"*"))</f>
        <v>0</v>
      </c>
      <c r="T403" s="139">
        <f>+$W$5-Tabla2[[#This Row],[FECHA DE FACTURACIÓN]]</f>
        <v>174</v>
      </c>
      <c r="U403" t="str">
        <f>+IF(Tabla2[[#This Row],[dias de credito]]&gt;=Tabla2[[#This Row],[PLAZO Días]],"venc", "No venc")</f>
        <v>venc</v>
      </c>
      <c r="V403" t="str">
        <f>+IF(Tabla2[[#This Row],[FECHA DE PAGO]]&gt;0,"pagada","por pagar")</f>
        <v>pagada</v>
      </c>
      <c r="W403" s="141" t="str">
        <f>+IF(AND(Tabla2[[#This Row],[venc]]="venc",Tabla2[[#This Row],[Columna1]]="por pagar"),"vencida","no")</f>
        <v>no</v>
      </c>
    </row>
    <row r="404" spans="1:23" ht="15.6" hidden="1" x14ac:dyDescent="0.3">
      <c r="A404" s="20">
        <v>30</v>
      </c>
      <c r="B404" s="25">
        <v>5538410</v>
      </c>
      <c r="C404" s="25"/>
      <c r="D404" s="56" t="s">
        <v>1461</v>
      </c>
      <c r="E404" s="426">
        <v>45201</v>
      </c>
      <c r="F404" s="26" t="s">
        <v>1460</v>
      </c>
      <c r="G404" s="426">
        <v>45114</v>
      </c>
      <c r="H404" s="35" t="s">
        <v>1811</v>
      </c>
      <c r="I404" s="21">
        <v>1519000</v>
      </c>
      <c r="J404" s="21"/>
      <c r="K404" s="22">
        <v>288610</v>
      </c>
      <c r="L404" s="23"/>
      <c r="M404" s="22">
        <v>0</v>
      </c>
      <c r="N404" s="74">
        <v>2.5000000000000001E-2</v>
      </c>
      <c r="O404" s="22">
        <v>37975</v>
      </c>
      <c r="P404" s="21">
        <v>1769635</v>
      </c>
      <c r="S404" s="108" t="b">
        <f>OR(COUNTIF(Tabla2[[#This Row],[PROVEEDOR]],"*"&amp;'Palabra no opera'!$A$2&amp;"*"))</f>
        <v>0</v>
      </c>
      <c r="T404" s="139">
        <f>+$W$5-Tabla2[[#This Row],[FECHA DE FACTURACIÓN]]</f>
        <v>177</v>
      </c>
      <c r="U404" t="str">
        <f>+IF(Tabla2[[#This Row],[dias de credito]]&gt;=Tabla2[[#This Row],[PLAZO Días]],"venc", "No venc")</f>
        <v>venc</v>
      </c>
      <c r="V404" t="str">
        <f>+IF(Tabla2[[#This Row],[FECHA DE PAGO]]&gt;0,"pagada","por pagar")</f>
        <v>pagada</v>
      </c>
      <c r="W404" s="141" t="str">
        <f>+IF(AND(Tabla2[[#This Row],[venc]]="venc",Tabla2[[#This Row],[Columna1]]="por pagar"),"vencida","no")</f>
        <v>no</v>
      </c>
    </row>
    <row r="405" spans="1:23" ht="15.6" hidden="1" x14ac:dyDescent="0.3">
      <c r="A405" s="20">
        <v>30</v>
      </c>
      <c r="B405" s="25">
        <v>0</v>
      </c>
      <c r="C405" s="25"/>
      <c r="D405" s="56" t="s">
        <v>107</v>
      </c>
      <c r="E405" s="426">
        <v>45199</v>
      </c>
      <c r="F405" s="26" t="s">
        <v>362</v>
      </c>
      <c r="G405" s="426">
        <v>45199</v>
      </c>
      <c r="H405" s="35" t="s">
        <v>1176</v>
      </c>
      <c r="I405" s="21">
        <v>512100</v>
      </c>
      <c r="J405" s="21"/>
      <c r="K405" s="22">
        <v>0</v>
      </c>
      <c r="L405" s="23"/>
      <c r="M405" s="22">
        <v>0</v>
      </c>
      <c r="N405" s="74">
        <v>0</v>
      </c>
      <c r="O405" s="22">
        <v>0</v>
      </c>
      <c r="P405" s="21">
        <v>512100</v>
      </c>
      <c r="S405" s="108" t="b">
        <f>OR(COUNTIF(Tabla2[[#This Row],[PROVEEDOR]],"*"&amp;'Palabra no opera'!$A$2&amp;"*"))</f>
        <v>0</v>
      </c>
      <c r="T405" s="139">
        <f>+$W$5-Tabla2[[#This Row],[FECHA DE FACTURACIÓN]]</f>
        <v>92</v>
      </c>
      <c r="U405" t="str">
        <f>+IF(Tabla2[[#This Row],[dias de credito]]&gt;=Tabla2[[#This Row],[PLAZO Días]],"venc", "No venc")</f>
        <v>venc</v>
      </c>
      <c r="V405" t="str">
        <f>+IF(Tabla2[[#This Row],[FECHA DE PAGO]]&gt;0,"pagada","por pagar")</f>
        <v>pagada</v>
      </c>
      <c r="W405" s="141" t="str">
        <f>+IF(AND(Tabla2[[#This Row],[venc]]="venc",Tabla2[[#This Row],[Columna1]]="por pagar"),"vencida","no")</f>
        <v>no</v>
      </c>
    </row>
    <row r="406" spans="1:23" ht="15.6" hidden="1" x14ac:dyDescent="0.3">
      <c r="A406" s="20">
        <v>30</v>
      </c>
      <c r="B406" s="25">
        <v>0</v>
      </c>
      <c r="C406" s="25"/>
      <c r="D406" s="56" t="s">
        <v>107</v>
      </c>
      <c r="E406" s="426">
        <v>45199</v>
      </c>
      <c r="F406" s="26" t="s">
        <v>362</v>
      </c>
      <c r="G406" s="426">
        <v>45199</v>
      </c>
      <c r="H406" s="35" t="s">
        <v>1177</v>
      </c>
      <c r="I406" s="21">
        <v>2566850</v>
      </c>
      <c r="J406" s="21"/>
      <c r="K406" s="22">
        <v>0</v>
      </c>
      <c r="L406" s="23"/>
      <c r="M406" s="22">
        <v>0</v>
      </c>
      <c r="N406" s="74">
        <v>0</v>
      </c>
      <c r="O406" s="22">
        <v>0</v>
      </c>
      <c r="P406" s="21">
        <v>2566850</v>
      </c>
      <c r="S406" s="108" t="b">
        <f>OR(COUNTIF(Tabla2[[#This Row],[PROVEEDOR]],"*"&amp;'Palabra no opera'!$A$2&amp;"*"))</f>
        <v>0</v>
      </c>
      <c r="T406" s="139">
        <f>+$W$5-Tabla2[[#This Row],[FECHA DE FACTURACIÓN]]</f>
        <v>92</v>
      </c>
      <c r="U406" t="str">
        <f>+IF(Tabla2[[#This Row],[dias de credito]]&gt;=Tabla2[[#This Row],[PLAZO Días]],"venc", "No venc")</f>
        <v>venc</v>
      </c>
      <c r="V406" t="str">
        <f>+IF(Tabla2[[#This Row],[FECHA DE PAGO]]&gt;0,"pagada","por pagar")</f>
        <v>pagada</v>
      </c>
      <c r="W406" s="141" t="str">
        <f>+IF(AND(Tabla2[[#This Row],[venc]]="venc",Tabla2[[#This Row],[Columna1]]="por pagar"),"vencida","no")</f>
        <v>no</v>
      </c>
    </row>
    <row r="407" spans="1:23" ht="15.6" hidden="1" x14ac:dyDescent="0.3">
      <c r="A407" s="20">
        <v>30</v>
      </c>
      <c r="B407" s="25">
        <v>0</v>
      </c>
      <c r="C407" s="25"/>
      <c r="D407" s="56" t="s">
        <v>107</v>
      </c>
      <c r="E407" s="426">
        <v>45199</v>
      </c>
      <c r="F407" s="26" t="s">
        <v>362</v>
      </c>
      <c r="G407" s="426">
        <v>45199</v>
      </c>
      <c r="H407" s="35" t="s">
        <v>1180</v>
      </c>
      <c r="I407" s="21">
        <v>284873</v>
      </c>
      <c r="J407" s="21"/>
      <c r="K407" s="22">
        <v>0</v>
      </c>
      <c r="L407" s="23"/>
      <c r="M407" s="22">
        <v>0</v>
      </c>
      <c r="N407" s="74">
        <v>0</v>
      </c>
      <c r="O407" s="22">
        <v>0</v>
      </c>
      <c r="P407" s="21">
        <v>284873</v>
      </c>
      <c r="S407" s="108" t="b">
        <f>OR(COUNTIF(Tabla2[[#This Row],[PROVEEDOR]],"*"&amp;'Palabra no opera'!$A$2&amp;"*"))</f>
        <v>0</v>
      </c>
      <c r="T407" s="139">
        <f>+$W$5-Tabla2[[#This Row],[FECHA DE FACTURACIÓN]]</f>
        <v>92</v>
      </c>
      <c r="U407" t="str">
        <f>+IF(Tabla2[[#This Row],[dias de credito]]&gt;=Tabla2[[#This Row],[PLAZO Días]],"venc", "No venc")</f>
        <v>venc</v>
      </c>
      <c r="V407" t="str">
        <f>+IF(Tabla2[[#This Row],[FECHA DE PAGO]]&gt;0,"pagada","por pagar")</f>
        <v>pagada</v>
      </c>
      <c r="W407" s="141" t="str">
        <f>+IF(AND(Tabla2[[#This Row],[venc]]="venc",Tabla2[[#This Row],[Columna1]]="por pagar"),"vencida","no")</f>
        <v>no</v>
      </c>
    </row>
    <row r="408" spans="1:23" ht="15.6" hidden="1" x14ac:dyDescent="0.3">
      <c r="A408" s="20">
        <v>30</v>
      </c>
      <c r="B408" s="25">
        <v>0</v>
      </c>
      <c r="C408" s="25"/>
      <c r="D408" s="56" t="s">
        <v>107</v>
      </c>
      <c r="E408" s="426">
        <v>45199</v>
      </c>
      <c r="F408" s="26" t="s">
        <v>362</v>
      </c>
      <c r="G408" s="426">
        <v>45199</v>
      </c>
      <c r="H408" s="35" t="s">
        <v>1178</v>
      </c>
      <c r="I408" s="21">
        <v>135500</v>
      </c>
      <c r="J408" s="21"/>
      <c r="K408" s="22">
        <v>0</v>
      </c>
      <c r="L408" s="23"/>
      <c r="M408" s="22">
        <v>0</v>
      </c>
      <c r="N408" s="74">
        <v>0</v>
      </c>
      <c r="O408" s="22">
        <v>0</v>
      </c>
      <c r="P408" s="21">
        <v>135500</v>
      </c>
      <c r="S408" s="108" t="b">
        <f>OR(COUNTIF(Tabla2[[#This Row],[PROVEEDOR]],"*"&amp;'Palabra no opera'!$A$2&amp;"*"))</f>
        <v>0</v>
      </c>
      <c r="T408" s="139">
        <f>+$W$5-Tabla2[[#This Row],[FECHA DE FACTURACIÓN]]</f>
        <v>92</v>
      </c>
      <c r="U408" t="str">
        <f>+IF(Tabla2[[#This Row],[dias de credito]]&gt;=Tabla2[[#This Row],[PLAZO Días]],"venc", "No venc")</f>
        <v>venc</v>
      </c>
      <c r="V408" t="str">
        <f>+IF(Tabla2[[#This Row],[FECHA DE PAGO]]&gt;0,"pagada","por pagar")</f>
        <v>pagada</v>
      </c>
      <c r="W408" s="141" t="str">
        <f>+IF(AND(Tabla2[[#This Row],[venc]]="venc",Tabla2[[#This Row],[Columna1]]="por pagar"),"vencida","no")</f>
        <v>no</v>
      </c>
    </row>
    <row r="409" spans="1:23" ht="15.6" hidden="1" x14ac:dyDescent="0.3">
      <c r="A409" s="20">
        <v>30</v>
      </c>
      <c r="B409" s="25">
        <v>0</v>
      </c>
      <c r="C409" s="25"/>
      <c r="D409" s="56" t="s">
        <v>107</v>
      </c>
      <c r="E409" s="426">
        <v>45199</v>
      </c>
      <c r="F409" s="26" t="s">
        <v>362</v>
      </c>
      <c r="G409" s="426">
        <v>45199</v>
      </c>
      <c r="H409" s="35" t="s">
        <v>1179</v>
      </c>
      <c r="I409" s="21">
        <v>19000</v>
      </c>
      <c r="J409" s="21"/>
      <c r="K409" s="22">
        <v>0</v>
      </c>
      <c r="L409" s="23"/>
      <c r="M409" s="22">
        <v>0</v>
      </c>
      <c r="N409" s="74">
        <v>0</v>
      </c>
      <c r="O409" s="22">
        <v>0</v>
      </c>
      <c r="P409" s="21">
        <v>19000</v>
      </c>
      <c r="S409" s="108" t="b">
        <f>OR(COUNTIF(Tabla2[[#This Row],[PROVEEDOR]],"*"&amp;'Palabra no opera'!$A$2&amp;"*"))</f>
        <v>0</v>
      </c>
      <c r="T409" s="139">
        <f>+$W$5-Tabla2[[#This Row],[FECHA DE FACTURACIÓN]]</f>
        <v>92</v>
      </c>
      <c r="U409" t="str">
        <f>+IF(Tabla2[[#This Row],[dias de credito]]&gt;=Tabla2[[#This Row],[PLAZO Días]],"venc", "No venc")</f>
        <v>venc</v>
      </c>
      <c r="V409" t="str">
        <f>+IF(Tabla2[[#This Row],[FECHA DE PAGO]]&gt;0,"pagada","por pagar")</f>
        <v>pagada</v>
      </c>
      <c r="W409" s="141" t="str">
        <f>+IF(AND(Tabla2[[#This Row],[venc]]="venc",Tabla2[[#This Row],[Columna1]]="por pagar"),"vencida","no")</f>
        <v>no</v>
      </c>
    </row>
    <row r="410" spans="1:23" ht="15.6" hidden="1" x14ac:dyDescent="0.3">
      <c r="A410" s="20">
        <v>30</v>
      </c>
      <c r="B410" s="25">
        <v>0</v>
      </c>
      <c r="C410" s="25"/>
      <c r="D410" s="56" t="s">
        <v>107</v>
      </c>
      <c r="E410" s="426">
        <v>45199</v>
      </c>
      <c r="F410" s="26" t="s">
        <v>362</v>
      </c>
      <c r="G410" s="426">
        <v>45199</v>
      </c>
      <c r="H410" s="35" t="s">
        <v>1379</v>
      </c>
      <c r="I410" s="21">
        <v>0</v>
      </c>
      <c r="J410" s="21"/>
      <c r="K410" s="22">
        <v>0</v>
      </c>
      <c r="L410" s="23"/>
      <c r="M410" s="22">
        <v>0</v>
      </c>
      <c r="N410" s="74">
        <v>0</v>
      </c>
      <c r="O410" s="22">
        <v>0</v>
      </c>
      <c r="P410" s="21">
        <v>0</v>
      </c>
      <c r="S410" s="108" t="b">
        <f>OR(COUNTIF(Tabla2[[#This Row],[PROVEEDOR]],"*"&amp;'Palabra no opera'!$A$2&amp;"*"))</f>
        <v>0</v>
      </c>
      <c r="T410" s="139">
        <f>+$W$5-Tabla2[[#This Row],[FECHA DE FACTURACIÓN]]</f>
        <v>92</v>
      </c>
      <c r="U410" t="str">
        <f>+IF(Tabla2[[#This Row],[dias de credito]]&gt;=Tabla2[[#This Row],[PLAZO Días]],"venc", "No venc")</f>
        <v>venc</v>
      </c>
      <c r="V410" t="str">
        <f>+IF(Tabla2[[#This Row],[FECHA DE PAGO]]&gt;0,"pagada","por pagar")</f>
        <v>pagada</v>
      </c>
      <c r="W410" s="141" t="str">
        <f>+IF(AND(Tabla2[[#This Row],[venc]]="venc",Tabla2[[#This Row],[Columna1]]="por pagar"),"vencida","no")</f>
        <v>no</v>
      </c>
    </row>
    <row r="411" spans="1:23" ht="15.6" hidden="1" x14ac:dyDescent="0.3">
      <c r="A411" s="20">
        <v>30</v>
      </c>
      <c r="B411" s="25">
        <v>2950000</v>
      </c>
      <c r="C411" s="25"/>
      <c r="D411" s="56">
        <v>0</v>
      </c>
      <c r="E411" s="426">
        <v>45198</v>
      </c>
      <c r="F411" s="26" t="s">
        <v>1152</v>
      </c>
      <c r="G411" s="426">
        <v>45147</v>
      </c>
      <c r="H411" s="35">
        <v>3979</v>
      </c>
      <c r="I411" s="21">
        <v>2142000</v>
      </c>
      <c r="J411" s="21"/>
      <c r="K411" s="22">
        <v>0</v>
      </c>
      <c r="L411" s="23"/>
      <c r="M411" s="22">
        <v>0</v>
      </c>
      <c r="N411" s="74">
        <v>0</v>
      </c>
      <c r="O411" s="22">
        <v>0</v>
      </c>
      <c r="P411" s="21">
        <v>2142000</v>
      </c>
      <c r="S411" s="108" t="b">
        <f>OR(COUNTIF(Tabla2[[#This Row],[PROVEEDOR]],"*"&amp;'Palabra no opera'!$A$2&amp;"*"))</f>
        <v>0</v>
      </c>
      <c r="T411" s="139">
        <f>+$W$5-Tabla2[[#This Row],[FECHA DE FACTURACIÓN]]</f>
        <v>144</v>
      </c>
      <c r="U411" t="str">
        <f>+IF(Tabla2[[#This Row],[dias de credito]]&gt;=Tabla2[[#This Row],[PLAZO Días]],"venc", "No venc")</f>
        <v>venc</v>
      </c>
      <c r="V411" t="str">
        <f>+IF(Tabla2[[#This Row],[FECHA DE PAGO]]&gt;0,"pagada","por pagar")</f>
        <v>pagada</v>
      </c>
      <c r="W411" s="141" t="str">
        <f>+IF(AND(Tabla2[[#This Row],[venc]]="venc",Tabla2[[#This Row],[Columna1]]="por pagar"),"vencida","no")</f>
        <v>no</v>
      </c>
    </row>
    <row r="412" spans="1:23" ht="15.6" hidden="1" x14ac:dyDescent="0.3">
      <c r="A412" s="20">
        <v>45</v>
      </c>
      <c r="B412" s="25">
        <v>15770594</v>
      </c>
      <c r="C412" s="25"/>
      <c r="D412" s="56" t="s">
        <v>594</v>
      </c>
      <c r="E412" s="426">
        <v>45197</v>
      </c>
      <c r="F412" s="26" t="s">
        <v>19</v>
      </c>
      <c r="G412" s="426">
        <v>45146</v>
      </c>
      <c r="H412" s="35" t="s">
        <v>1874</v>
      </c>
      <c r="I412" s="21">
        <v>4162770</v>
      </c>
      <c r="J412" s="21"/>
      <c r="K412" s="22">
        <v>790926.3</v>
      </c>
      <c r="L412" s="23"/>
      <c r="M412" s="22">
        <v>0</v>
      </c>
      <c r="N412" s="74">
        <v>0</v>
      </c>
      <c r="O412" s="22">
        <v>0</v>
      </c>
      <c r="P412" s="21">
        <v>4953696.3</v>
      </c>
      <c r="S412" s="108" t="b">
        <f>OR(COUNTIF(Tabla2[[#This Row],[PROVEEDOR]],"*"&amp;'Palabra no opera'!$A$2&amp;"*"))</f>
        <v>0</v>
      </c>
      <c r="T412" s="139">
        <f>+$W$5-Tabla2[[#This Row],[FECHA DE FACTURACIÓN]]</f>
        <v>145</v>
      </c>
      <c r="U412" t="str">
        <f>+IF(Tabla2[[#This Row],[dias de credito]]&gt;=Tabla2[[#This Row],[PLAZO Días]],"venc", "No venc")</f>
        <v>venc</v>
      </c>
      <c r="V412" t="str">
        <f>+IF(Tabla2[[#This Row],[FECHA DE PAGO]]&gt;0,"pagada","por pagar")</f>
        <v>pagada</v>
      </c>
      <c r="W412" s="141" t="str">
        <f>+IF(AND(Tabla2[[#This Row],[venc]]="venc",Tabla2[[#This Row],[Columna1]]="por pagar"),"vencida","no")</f>
        <v>no</v>
      </c>
    </row>
    <row r="413" spans="1:23" ht="15.6" hidden="1" x14ac:dyDescent="0.3">
      <c r="A413" s="20">
        <v>45</v>
      </c>
      <c r="B413" s="25">
        <v>15770594</v>
      </c>
      <c r="C413" s="25"/>
      <c r="D413" s="56" t="s">
        <v>594</v>
      </c>
      <c r="E413" s="426">
        <v>45197</v>
      </c>
      <c r="F413" s="26" t="s">
        <v>19</v>
      </c>
      <c r="G413" s="426">
        <v>45142</v>
      </c>
      <c r="H413" s="35" t="s">
        <v>1875</v>
      </c>
      <c r="I413" s="21">
        <v>7543977</v>
      </c>
      <c r="J413" s="21"/>
      <c r="K413" s="22">
        <v>1433355.6300000001</v>
      </c>
      <c r="L413" s="23"/>
      <c r="M413" s="22">
        <v>0</v>
      </c>
      <c r="N413" s="74">
        <v>0</v>
      </c>
      <c r="O413" s="22">
        <v>0</v>
      </c>
      <c r="P413" s="21">
        <v>8977332.6300000008</v>
      </c>
      <c r="S413" s="108" t="b">
        <f>OR(COUNTIF(Tabla2[[#This Row],[PROVEEDOR]],"*"&amp;'Palabra no opera'!$A$2&amp;"*"))</f>
        <v>0</v>
      </c>
      <c r="T413" s="139">
        <f>+$W$5-Tabla2[[#This Row],[FECHA DE FACTURACIÓN]]</f>
        <v>149</v>
      </c>
      <c r="U413" t="str">
        <f>+IF(Tabla2[[#This Row],[dias de credito]]&gt;=Tabla2[[#This Row],[PLAZO Días]],"venc", "No venc")</f>
        <v>venc</v>
      </c>
      <c r="V413" t="str">
        <f>+IF(Tabla2[[#This Row],[FECHA DE PAGO]]&gt;0,"pagada","por pagar")</f>
        <v>pagada</v>
      </c>
      <c r="W413" s="141" t="str">
        <f>+IF(AND(Tabla2[[#This Row],[venc]]="venc",Tabla2[[#This Row],[Columna1]]="por pagar"),"vencida","no")</f>
        <v>no</v>
      </c>
    </row>
    <row r="414" spans="1:23" ht="15.6" hidden="1" x14ac:dyDescent="0.3">
      <c r="A414" s="20">
        <v>30</v>
      </c>
      <c r="B414" s="25">
        <v>0</v>
      </c>
      <c r="C414" s="25"/>
      <c r="D414" s="56" t="s">
        <v>107</v>
      </c>
      <c r="E414" s="426">
        <v>45195</v>
      </c>
      <c r="F414" s="26" t="s">
        <v>353</v>
      </c>
      <c r="G414" s="426">
        <v>45195</v>
      </c>
      <c r="H414" s="35" t="s">
        <v>2009</v>
      </c>
      <c r="I414" s="21">
        <v>320000</v>
      </c>
      <c r="J414" s="21"/>
      <c r="K414" s="22">
        <v>0</v>
      </c>
      <c r="L414" s="23"/>
      <c r="M414" s="22">
        <v>0</v>
      </c>
      <c r="N414" s="74">
        <v>0</v>
      </c>
      <c r="O414" s="22">
        <v>0</v>
      </c>
      <c r="P414" s="21">
        <v>320000</v>
      </c>
      <c r="S414" s="108" t="b">
        <f>OR(COUNTIF(Tabla2[[#This Row],[PROVEEDOR]],"*"&amp;'Palabra no opera'!$A$2&amp;"*"))</f>
        <v>0</v>
      </c>
      <c r="T414" s="139">
        <f>+$W$5-Tabla2[[#This Row],[FECHA DE FACTURACIÓN]]</f>
        <v>96</v>
      </c>
      <c r="U414" t="str">
        <f>+IF(Tabla2[[#This Row],[dias de credito]]&gt;=Tabla2[[#This Row],[PLAZO Días]],"venc", "No venc")</f>
        <v>venc</v>
      </c>
      <c r="V414" t="str">
        <f>+IF(Tabla2[[#This Row],[FECHA DE PAGO]]&gt;0,"pagada","por pagar")</f>
        <v>pagada</v>
      </c>
      <c r="W414" s="141" t="str">
        <f>+IF(AND(Tabla2[[#This Row],[venc]]="venc",Tabla2[[#This Row],[Columna1]]="por pagar"),"vencida","no")</f>
        <v>no</v>
      </c>
    </row>
    <row r="415" spans="1:23" ht="15.6" hidden="1" x14ac:dyDescent="0.3">
      <c r="A415" s="20">
        <v>30</v>
      </c>
      <c r="B415" s="25">
        <v>0</v>
      </c>
      <c r="C415" s="25"/>
      <c r="D415" s="56" t="s">
        <v>107</v>
      </c>
      <c r="E415" s="426">
        <v>45195</v>
      </c>
      <c r="F415" s="26" t="s">
        <v>362</v>
      </c>
      <c r="G415" s="426">
        <v>45195</v>
      </c>
      <c r="H415" s="35" t="s">
        <v>2010</v>
      </c>
      <c r="I415" s="21">
        <v>708000</v>
      </c>
      <c r="J415" s="21"/>
      <c r="K415" s="22">
        <v>0</v>
      </c>
      <c r="L415" s="23"/>
      <c r="M415" s="22">
        <v>0</v>
      </c>
      <c r="N415" s="74">
        <v>0</v>
      </c>
      <c r="O415" s="22">
        <v>0</v>
      </c>
      <c r="P415" s="21">
        <v>708000</v>
      </c>
      <c r="S415" s="108" t="b">
        <f>OR(COUNTIF(Tabla2[[#This Row],[PROVEEDOR]],"*"&amp;'Palabra no opera'!$A$2&amp;"*"))</f>
        <v>0</v>
      </c>
      <c r="T415" s="139">
        <f>+$W$5-Tabla2[[#This Row],[FECHA DE FACTURACIÓN]]</f>
        <v>96</v>
      </c>
      <c r="U415" t="str">
        <f>+IF(Tabla2[[#This Row],[dias de credito]]&gt;=Tabla2[[#This Row],[PLAZO Días]],"venc", "No venc")</f>
        <v>venc</v>
      </c>
      <c r="V415" t="str">
        <f>+IF(Tabla2[[#This Row],[FECHA DE PAGO]]&gt;0,"pagada","por pagar")</f>
        <v>pagada</v>
      </c>
      <c r="W415" s="141" t="str">
        <f>+IF(AND(Tabla2[[#This Row],[venc]]="venc",Tabla2[[#This Row],[Columna1]]="por pagar"),"vencida","no")</f>
        <v>no</v>
      </c>
    </row>
    <row r="416" spans="1:23" ht="15.6" hidden="1" x14ac:dyDescent="0.3">
      <c r="A416" s="20">
        <v>30</v>
      </c>
      <c r="B416" s="25">
        <v>380979.69</v>
      </c>
      <c r="C416" s="25"/>
      <c r="D416" s="56" t="s">
        <v>296</v>
      </c>
      <c r="E416" s="426">
        <v>45195</v>
      </c>
      <c r="F416" s="26" t="s">
        <v>615</v>
      </c>
      <c r="G416" s="426">
        <v>45134</v>
      </c>
      <c r="H416" s="35" t="s">
        <v>1856</v>
      </c>
      <c r="I416" s="21">
        <v>2187560</v>
      </c>
      <c r="J416" s="21"/>
      <c r="K416" s="22">
        <v>415636.4</v>
      </c>
      <c r="L416" s="23"/>
      <c r="M416" s="22">
        <v>0</v>
      </c>
      <c r="N416" s="74">
        <v>0</v>
      </c>
      <c r="O416" s="22">
        <v>0</v>
      </c>
      <c r="P416" s="21">
        <v>2603196.4</v>
      </c>
      <c r="S416" s="108" t="b">
        <f>OR(COUNTIF(Tabla2[[#This Row],[PROVEEDOR]],"*"&amp;'Palabra no opera'!$A$2&amp;"*"))</f>
        <v>1</v>
      </c>
      <c r="T416" s="139">
        <f>+$W$5-Tabla2[[#This Row],[FECHA DE FACTURACIÓN]]</f>
        <v>157</v>
      </c>
      <c r="U416" t="str">
        <f>+IF(Tabla2[[#This Row],[dias de credito]]&gt;=Tabla2[[#This Row],[PLAZO Días]],"venc", "No venc")</f>
        <v>venc</v>
      </c>
      <c r="V416" t="str">
        <f>+IF(Tabla2[[#This Row],[FECHA DE PAGO]]&gt;0,"pagada","por pagar")</f>
        <v>pagada</v>
      </c>
      <c r="W416" s="141" t="str">
        <f>+IF(AND(Tabla2[[#This Row],[venc]]="venc",Tabla2[[#This Row],[Columna1]]="por pagar"),"vencida","no")</f>
        <v>no</v>
      </c>
    </row>
    <row r="417" spans="1:23" ht="15.6" hidden="1" x14ac:dyDescent="0.3">
      <c r="A417" s="20">
        <v>30</v>
      </c>
      <c r="B417" s="25">
        <v>1125118.8199999998</v>
      </c>
      <c r="C417" s="25"/>
      <c r="D417" s="56" t="s">
        <v>431</v>
      </c>
      <c r="E417" s="426">
        <v>45195</v>
      </c>
      <c r="F417" s="26" t="s">
        <v>279</v>
      </c>
      <c r="G417" s="426">
        <v>45132</v>
      </c>
      <c r="H417" s="35" t="s">
        <v>1839</v>
      </c>
      <c r="I417" s="21">
        <v>887394</v>
      </c>
      <c r="J417" s="21"/>
      <c r="K417" s="22">
        <v>168604.86000000002</v>
      </c>
      <c r="L417" s="23"/>
      <c r="M417" s="22">
        <v>0</v>
      </c>
      <c r="N417" s="74">
        <v>0</v>
      </c>
      <c r="O417" s="22">
        <v>0</v>
      </c>
      <c r="P417" s="21">
        <v>1055998.8600000001</v>
      </c>
      <c r="S417" s="108" t="b">
        <f>OR(COUNTIF(Tabla2[[#This Row],[PROVEEDOR]],"*"&amp;'Palabra no opera'!$A$2&amp;"*"))</f>
        <v>0</v>
      </c>
      <c r="T417" s="139">
        <f>+$W$5-Tabla2[[#This Row],[FECHA DE FACTURACIÓN]]</f>
        <v>159</v>
      </c>
      <c r="U417" t="str">
        <f>+IF(Tabla2[[#This Row],[dias de credito]]&gt;=Tabla2[[#This Row],[PLAZO Días]],"venc", "No venc")</f>
        <v>venc</v>
      </c>
      <c r="V417" t="str">
        <f>+IF(Tabla2[[#This Row],[FECHA DE PAGO]]&gt;0,"pagada","por pagar")</f>
        <v>pagada</v>
      </c>
      <c r="W417" s="141" t="str">
        <f>+IF(AND(Tabla2[[#This Row],[venc]]="venc",Tabla2[[#This Row],[Columna1]]="por pagar"),"vencida","no")</f>
        <v>no</v>
      </c>
    </row>
    <row r="418" spans="1:23" ht="15.6" hidden="1" x14ac:dyDescent="0.3">
      <c r="A418" s="20">
        <v>30</v>
      </c>
      <c r="B418" s="25">
        <v>0</v>
      </c>
      <c r="C418" s="25"/>
      <c r="D418" s="56" t="s">
        <v>659</v>
      </c>
      <c r="E418" s="426">
        <v>45194</v>
      </c>
      <c r="F418" s="26" t="s">
        <v>227</v>
      </c>
      <c r="G418" s="426">
        <v>45194</v>
      </c>
      <c r="H418" s="35" t="s">
        <v>1985</v>
      </c>
      <c r="I418" s="21">
        <v>2299649</v>
      </c>
      <c r="J418" s="21"/>
      <c r="K418" s="22">
        <v>0</v>
      </c>
      <c r="L418" s="23"/>
      <c r="M418" s="22">
        <v>0</v>
      </c>
      <c r="N418" s="74">
        <v>0</v>
      </c>
      <c r="O418" s="22">
        <v>0</v>
      </c>
      <c r="P418" s="21">
        <v>2299649</v>
      </c>
      <c r="S418" s="108" t="b">
        <f>OR(COUNTIF(Tabla2[[#This Row],[PROVEEDOR]],"*"&amp;'Palabra no opera'!$A$2&amp;"*"))</f>
        <v>0</v>
      </c>
      <c r="T418" s="139">
        <f>+$W$5-Tabla2[[#This Row],[FECHA DE FACTURACIÓN]]</f>
        <v>97</v>
      </c>
      <c r="U418" t="str">
        <f>+IF(Tabla2[[#This Row],[dias de credito]]&gt;=Tabla2[[#This Row],[PLAZO Días]],"venc", "No venc")</f>
        <v>venc</v>
      </c>
      <c r="V418" t="str">
        <f>+IF(Tabla2[[#This Row],[FECHA DE PAGO]]&gt;0,"pagada","por pagar")</f>
        <v>pagada</v>
      </c>
      <c r="W418" s="141" t="str">
        <f>+IF(AND(Tabla2[[#This Row],[venc]]="venc",Tabla2[[#This Row],[Columna1]]="por pagar"),"vencida","no")</f>
        <v>no</v>
      </c>
    </row>
    <row r="419" spans="1:23" ht="15.6" hidden="1" x14ac:dyDescent="0.3">
      <c r="A419" s="20">
        <v>30</v>
      </c>
      <c r="B419" s="25">
        <v>0</v>
      </c>
      <c r="C419" s="25"/>
      <c r="D419" s="56" t="s">
        <v>260</v>
      </c>
      <c r="E419" s="426">
        <v>45194</v>
      </c>
      <c r="F419" s="26" t="s">
        <v>635</v>
      </c>
      <c r="G419" s="426">
        <v>45179</v>
      </c>
      <c r="H419" s="35" t="s">
        <v>1954</v>
      </c>
      <c r="I419" s="21">
        <v>3456200</v>
      </c>
      <c r="J419" s="21"/>
      <c r="K419" s="22">
        <v>0</v>
      </c>
      <c r="L419" s="23"/>
      <c r="M419" s="22">
        <v>0</v>
      </c>
      <c r="N419" s="74">
        <v>3.5000000000000003E-2</v>
      </c>
      <c r="O419" s="22">
        <v>120967.00000000001</v>
      </c>
      <c r="P419" s="21">
        <v>3335233</v>
      </c>
      <c r="S419" s="108" t="b">
        <f>OR(COUNTIF(Tabla2[[#This Row],[PROVEEDOR]],"*"&amp;'Palabra no opera'!$A$2&amp;"*"))</f>
        <v>1</v>
      </c>
      <c r="T419" s="139">
        <f>+$W$5-Tabla2[[#This Row],[FECHA DE FACTURACIÓN]]</f>
        <v>112</v>
      </c>
      <c r="U419" t="str">
        <f>+IF(Tabla2[[#This Row],[dias de credito]]&gt;=Tabla2[[#This Row],[PLAZO Días]],"venc", "No venc")</f>
        <v>venc</v>
      </c>
      <c r="V419" t="str">
        <f>+IF(Tabla2[[#This Row],[FECHA DE PAGO]]&gt;0,"pagada","por pagar")</f>
        <v>pagada</v>
      </c>
      <c r="W419" s="141" t="str">
        <f>+IF(AND(Tabla2[[#This Row],[venc]]="venc",Tabla2[[#This Row],[Columna1]]="por pagar"),"vencida","no")</f>
        <v>no</v>
      </c>
    </row>
    <row r="420" spans="1:23" ht="15.6" hidden="1" x14ac:dyDescent="0.3">
      <c r="A420" s="20">
        <v>30</v>
      </c>
      <c r="B420" s="25">
        <v>0</v>
      </c>
      <c r="C420" s="25"/>
      <c r="D420" s="56" t="s">
        <v>740</v>
      </c>
      <c r="E420" s="426">
        <v>45194</v>
      </c>
      <c r="F420" s="26" t="s">
        <v>637</v>
      </c>
      <c r="G420" s="426">
        <v>45170</v>
      </c>
      <c r="H420" s="35" t="s">
        <v>1956</v>
      </c>
      <c r="I420" s="21">
        <v>914023</v>
      </c>
      <c r="J420" s="21"/>
      <c r="K420" s="22">
        <v>0</v>
      </c>
      <c r="L420" s="23"/>
      <c r="M420" s="22">
        <v>0</v>
      </c>
      <c r="N420" s="74">
        <v>0</v>
      </c>
      <c r="O420" s="22">
        <v>0</v>
      </c>
      <c r="P420" s="21">
        <v>914023</v>
      </c>
      <c r="S420" s="108" t="b">
        <f>OR(COUNTIF(Tabla2[[#This Row],[PROVEEDOR]],"*"&amp;'Palabra no opera'!$A$2&amp;"*"))</f>
        <v>1</v>
      </c>
      <c r="T420" s="139">
        <f>+$W$5-Tabla2[[#This Row],[FECHA DE FACTURACIÓN]]</f>
        <v>121</v>
      </c>
      <c r="U420" t="str">
        <f>+IF(Tabla2[[#This Row],[dias de credito]]&gt;=Tabla2[[#This Row],[PLAZO Días]],"venc", "No venc")</f>
        <v>venc</v>
      </c>
      <c r="V420" t="str">
        <f>+IF(Tabla2[[#This Row],[FECHA DE PAGO]]&gt;0,"pagada","por pagar")</f>
        <v>pagada</v>
      </c>
      <c r="W420" s="141" t="str">
        <f>+IF(AND(Tabla2[[#This Row],[venc]]="venc",Tabla2[[#This Row],[Columna1]]="por pagar"),"vencida","no")</f>
        <v>no</v>
      </c>
    </row>
    <row r="421" spans="1:23" ht="15.6" hidden="1" x14ac:dyDescent="0.3">
      <c r="A421" s="20">
        <v>30</v>
      </c>
      <c r="B421" s="25">
        <v>0</v>
      </c>
      <c r="C421" s="25"/>
      <c r="D421" s="56" t="s">
        <v>740</v>
      </c>
      <c r="E421" s="426">
        <v>45194</v>
      </c>
      <c r="F421" s="26" t="s">
        <v>637</v>
      </c>
      <c r="G421" s="426">
        <v>45170</v>
      </c>
      <c r="H421" s="35" t="s">
        <v>1957</v>
      </c>
      <c r="I421" s="21">
        <v>934363</v>
      </c>
      <c r="J421" s="21"/>
      <c r="K421" s="22">
        <v>0</v>
      </c>
      <c r="L421" s="23"/>
      <c r="M421" s="22">
        <v>0</v>
      </c>
      <c r="N421" s="74">
        <v>0</v>
      </c>
      <c r="O421" s="22">
        <v>0</v>
      </c>
      <c r="P421" s="21">
        <v>934363</v>
      </c>
      <c r="S421" s="108" t="b">
        <f>OR(COUNTIF(Tabla2[[#This Row],[PROVEEDOR]],"*"&amp;'Palabra no opera'!$A$2&amp;"*"))</f>
        <v>1</v>
      </c>
      <c r="T421" s="139">
        <f>+$W$5-Tabla2[[#This Row],[FECHA DE FACTURACIÓN]]</f>
        <v>121</v>
      </c>
      <c r="U421" t="str">
        <f>+IF(Tabla2[[#This Row],[dias de credito]]&gt;=Tabla2[[#This Row],[PLAZO Días]],"venc", "No venc")</f>
        <v>venc</v>
      </c>
      <c r="V421" t="str">
        <f>+IF(Tabla2[[#This Row],[FECHA DE PAGO]]&gt;0,"pagada","por pagar")</f>
        <v>pagada</v>
      </c>
      <c r="W421" s="141" t="str">
        <f>+IF(AND(Tabla2[[#This Row],[venc]]="venc",Tabla2[[#This Row],[Columna1]]="por pagar"),"vencida","no")</f>
        <v>no</v>
      </c>
    </row>
    <row r="422" spans="1:23" ht="15.6" hidden="1" x14ac:dyDescent="0.3">
      <c r="A422" s="20">
        <v>10</v>
      </c>
      <c r="B422" s="25">
        <v>0</v>
      </c>
      <c r="C422" s="25"/>
      <c r="D422" s="56" t="s">
        <v>1203</v>
      </c>
      <c r="E422" s="426">
        <v>45194</v>
      </c>
      <c r="F422" s="26" t="s">
        <v>1202</v>
      </c>
      <c r="G422" s="426">
        <v>45170</v>
      </c>
      <c r="H422" s="35" t="s">
        <v>1955</v>
      </c>
      <c r="I422" s="21">
        <v>5350576</v>
      </c>
      <c r="J422" s="21"/>
      <c r="K422" s="22">
        <v>1016609</v>
      </c>
      <c r="L422" s="23"/>
      <c r="M422" s="22">
        <v>0</v>
      </c>
      <c r="N422" s="74">
        <v>0</v>
      </c>
      <c r="O422" s="22">
        <v>0</v>
      </c>
      <c r="P422" s="21">
        <v>6367185</v>
      </c>
      <c r="S422" s="108" t="b">
        <f>OR(COUNTIF(Tabla2[[#This Row],[PROVEEDOR]],"*"&amp;'Palabra no opera'!$A$2&amp;"*"))</f>
        <v>1</v>
      </c>
      <c r="T422" s="139">
        <f>+$W$5-Tabla2[[#This Row],[FECHA DE FACTURACIÓN]]</f>
        <v>121</v>
      </c>
      <c r="U422" t="str">
        <f>+IF(Tabla2[[#This Row],[dias de credito]]&gt;=Tabla2[[#This Row],[PLAZO Días]],"venc", "No venc")</f>
        <v>venc</v>
      </c>
      <c r="V422" t="str">
        <f>+IF(Tabla2[[#This Row],[FECHA DE PAGO]]&gt;0,"pagada","por pagar")</f>
        <v>pagada</v>
      </c>
      <c r="W422" s="141" t="str">
        <f>+IF(AND(Tabla2[[#This Row],[venc]]="venc",Tabla2[[#This Row],[Columna1]]="por pagar"),"vencida","no")</f>
        <v>no</v>
      </c>
    </row>
    <row r="423" spans="1:23" ht="15.6" hidden="1" x14ac:dyDescent="0.3">
      <c r="A423" s="20">
        <v>30</v>
      </c>
      <c r="B423" s="25">
        <v>0</v>
      </c>
      <c r="C423" s="25"/>
      <c r="D423" s="56" t="s">
        <v>107</v>
      </c>
      <c r="E423" s="426">
        <v>45194</v>
      </c>
      <c r="F423" s="26" t="s">
        <v>1403</v>
      </c>
      <c r="G423" s="426">
        <v>45168</v>
      </c>
      <c r="H423" s="35">
        <v>68</v>
      </c>
      <c r="I423" s="21">
        <v>66000</v>
      </c>
      <c r="J423" s="21"/>
      <c r="K423" s="22">
        <v>0</v>
      </c>
      <c r="L423" s="23"/>
      <c r="M423" s="22">
        <v>0</v>
      </c>
      <c r="N423" s="74">
        <v>0</v>
      </c>
      <c r="O423" s="22">
        <v>0</v>
      </c>
      <c r="P423" s="21">
        <v>66000</v>
      </c>
      <c r="S423" s="108" t="b">
        <f>OR(COUNTIF(Tabla2[[#This Row],[PROVEEDOR]],"*"&amp;'Palabra no opera'!$A$2&amp;"*"))</f>
        <v>0</v>
      </c>
      <c r="T423" s="139">
        <f>+$W$5-Tabla2[[#This Row],[FECHA DE FACTURACIÓN]]</f>
        <v>123</v>
      </c>
      <c r="U423" t="str">
        <f>+IF(Tabla2[[#This Row],[dias de credito]]&gt;=Tabla2[[#This Row],[PLAZO Días]],"venc", "No venc")</f>
        <v>venc</v>
      </c>
      <c r="V423" t="str">
        <f>+IF(Tabla2[[#This Row],[FECHA DE PAGO]]&gt;0,"pagada","por pagar")</f>
        <v>pagada</v>
      </c>
      <c r="W423" s="141" t="str">
        <f>+IF(AND(Tabla2[[#This Row],[venc]]="venc",Tabla2[[#This Row],[Columna1]]="por pagar"),"vencida","no")</f>
        <v>no</v>
      </c>
    </row>
    <row r="424" spans="1:23" ht="15.6" hidden="1" x14ac:dyDescent="0.3">
      <c r="A424" s="20">
        <v>30</v>
      </c>
      <c r="B424" s="25">
        <v>0</v>
      </c>
      <c r="C424" s="25"/>
      <c r="D424" s="56" t="s">
        <v>107</v>
      </c>
      <c r="E424" s="426">
        <v>45194</v>
      </c>
      <c r="F424" s="26" t="s">
        <v>1403</v>
      </c>
      <c r="G424" s="426">
        <v>45166</v>
      </c>
      <c r="H424" s="35">
        <v>67</v>
      </c>
      <c r="I424" s="21">
        <v>22000</v>
      </c>
      <c r="J424" s="21"/>
      <c r="K424" s="22">
        <v>0</v>
      </c>
      <c r="L424" s="23"/>
      <c r="M424" s="22">
        <v>0</v>
      </c>
      <c r="N424" s="74">
        <v>0</v>
      </c>
      <c r="O424" s="22">
        <v>0</v>
      </c>
      <c r="P424" s="21">
        <v>22000</v>
      </c>
      <c r="S424" s="108" t="b">
        <f>OR(COUNTIF(Tabla2[[#This Row],[PROVEEDOR]],"*"&amp;'Palabra no opera'!$A$2&amp;"*"))</f>
        <v>0</v>
      </c>
      <c r="T424" s="139">
        <f>+$W$5-Tabla2[[#This Row],[FECHA DE FACTURACIÓN]]</f>
        <v>125</v>
      </c>
      <c r="U424" t="str">
        <f>+IF(Tabla2[[#This Row],[dias de credito]]&gt;=Tabla2[[#This Row],[PLAZO Días]],"venc", "No venc")</f>
        <v>venc</v>
      </c>
      <c r="V424" t="str">
        <f>+IF(Tabla2[[#This Row],[FECHA DE PAGO]]&gt;0,"pagada","por pagar")</f>
        <v>pagada</v>
      </c>
      <c r="W424" s="141" t="str">
        <f>+IF(AND(Tabla2[[#This Row],[venc]]="venc",Tabla2[[#This Row],[Columna1]]="por pagar"),"vencida","no")</f>
        <v>no</v>
      </c>
    </row>
    <row r="425" spans="1:23" ht="15.6" hidden="1" x14ac:dyDescent="0.3">
      <c r="A425" s="20">
        <v>30</v>
      </c>
      <c r="B425" s="25">
        <v>4248480.9550000001</v>
      </c>
      <c r="C425" s="25"/>
      <c r="D425" s="56" t="s">
        <v>107</v>
      </c>
      <c r="E425" s="426">
        <v>45194</v>
      </c>
      <c r="F425" s="26" t="s">
        <v>78</v>
      </c>
      <c r="G425" s="426">
        <v>45162</v>
      </c>
      <c r="H425" s="35" t="s">
        <v>1902</v>
      </c>
      <c r="I425" s="21">
        <v>1877600</v>
      </c>
      <c r="J425" s="21"/>
      <c r="K425" s="22">
        <v>356744</v>
      </c>
      <c r="L425" s="23"/>
      <c r="M425" s="22">
        <v>0</v>
      </c>
      <c r="N425" s="74">
        <v>2.5000000000000001E-2</v>
      </c>
      <c r="O425" s="22">
        <v>46940</v>
      </c>
      <c r="P425" s="21">
        <v>2187404</v>
      </c>
      <c r="S425" s="108" t="b">
        <f>OR(COUNTIF(Tabla2[[#This Row],[PROVEEDOR]],"*"&amp;'Palabra no opera'!$A$2&amp;"*"))</f>
        <v>0</v>
      </c>
      <c r="T425" s="139">
        <f>+$W$5-Tabla2[[#This Row],[FECHA DE FACTURACIÓN]]</f>
        <v>129</v>
      </c>
      <c r="U425" t="str">
        <f>+IF(Tabla2[[#This Row],[dias de credito]]&gt;=Tabla2[[#This Row],[PLAZO Días]],"venc", "No venc")</f>
        <v>venc</v>
      </c>
      <c r="V425" t="str">
        <f>+IF(Tabla2[[#This Row],[FECHA DE PAGO]]&gt;0,"pagada","por pagar")</f>
        <v>pagada</v>
      </c>
      <c r="W425" s="141" t="str">
        <f>+IF(AND(Tabla2[[#This Row],[venc]]="venc",Tabla2[[#This Row],[Columna1]]="por pagar"),"vencida","no")</f>
        <v>no</v>
      </c>
    </row>
    <row r="426" spans="1:23" ht="15.6" hidden="1" x14ac:dyDescent="0.3">
      <c r="A426" s="20">
        <v>30</v>
      </c>
      <c r="B426" s="25">
        <v>0</v>
      </c>
      <c r="C426" s="25"/>
      <c r="D426" s="56" t="s">
        <v>107</v>
      </c>
      <c r="E426" s="426">
        <v>45194</v>
      </c>
      <c r="F426" s="26" t="s">
        <v>1403</v>
      </c>
      <c r="G426" s="426">
        <v>45160</v>
      </c>
      <c r="H426" s="35">
        <v>66</v>
      </c>
      <c r="I426" s="21">
        <v>20000</v>
      </c>
      <c r="J426" s="21"/>
      <c r="K426" s="22">
        <v>0</v>
      </c>
      <c r="L426" s="23"/>
      <c r="M426" s="22">
        <v>0</v>
      </c>
      <c r="N426" s="74">
        <v>0</v>
      </c>
      <c r="O426" s="22">
        <v>0</v>
      </c>
      <c r="P426" s="21">
        <v>20000</v>
      </c>
      <c r="S426" s="108" t="b">
        <f>OR(COUNTIF(Tabla2[[#This Row],[PROVEEDOR]],"*"&amp;'Palabra no opera'!$A$2&amp;"*"))</f>
        <v>0</v>
      </c>
      <c r="T426" s="139">
        <f>+$W$5-Tabla2[[#This Row],[FECHA DE FACTURACIÓN]]</f>
        <v>131</v>
      </c>
      <c r="U426" t="str">
        <f>+IF(Tabla2[[#This Row],[dias de credito]]&gt;=Tabla2[[#This Row],[PLAZO Días]],"venc", "No venc")</f>
        <v>venc</v>
      </c>
      <c r="V426" t="str">
        <f>+IF(Tabla2[[#This Row],[FECHA DE PAGO]]&gt;0,"pagada","por pagar")</f>
        <v>pagada</v>
      </c>
      <c r="W426" s="141" t="str">
        <f>+IF(AND(Tabla2[[#This Row],[venc]]="venc",Tabla2[[#This Row],[Columna1]]="por pagar"),"vencida","no")</f>
        <v>no</v>
      </c>
    </row>
    <row r="427" spans="1:23" ht="15.6" hidden="1" x14ac:dyDescent="0.3">
      <c r="A427" s="20">
        <v>30</v>
      </c>
      <c r="B427" s="25">
        <v>0</v>
      </c>
      <c r="C427" s="25"/>
      <c r="D427" s="56">
        <v>0</v>
      </c>
      <c r="E427" s="426">
        <v>45194</v>
      </c>
      <c r="F427" s="26" t="s">
        <v>1287</v>
      </c>
      <c r="G427" s="426">
        <v>45155</v>
      </c>
      <c r="H427" s="35">
        <v>491</v>
      </c>
      <c r="I427" s="21">
        <v>300000</v>
      </c>
      <c r="J427" s="21"/>
      <c r="K427" s="22">
        <v>0</v>
      </c>
      <c r="L427" s="23"/>
      <c r="M427" s="22">
        <v>0</v>
      </c>
      <c r="N427" s="74">
        <v>0</v>
      </c>
      <c r="O427" s="22">
        <v>0</v>
      </c>
      <c r="P427" s="21">
        <v>300000</v>
      </c>
      <c r="S427" s="108" t="b">
        <f>OR(COUNTIF(Tabla2[[#This Row],[PROVEEDOR]],"*"&amp;'Palabra no opera'!$A$2&amp;"*"))</f>
        <v>0</v>
      </c>
      <c r="T427" s="139">
        <f>+$W$5-Tabla2[[#This Row],[FECHA DE FACTURACIÓN]]</f>
        <v>136</v>
      </c>
      <c r="U427" t="str">
        <f>+IF(Tabla2[[#This Row],[dias de credito]]&gt;=Tabla2[[#This Row],[PLAZO Días]],"venc", "No venc")</f>
        <v>venc</v>
      </c>
      <c r="V427" t="str">
        <f>+IF(Tabla2[[#This Row],[FECHA DE PAGO]]&gt;0,"pagada","por pagar")</f>
        <v>pagada</v>
      </c>
      <c r="W427" s="141" t="str">
        <f>+IF(AND(Tabla2[[#This Row],[venc]]="venc",Tabla2[[#This Row],[Columna1]]="por pagar"),"vencida","no")</f>
        <v>no</v>
      </c>
    </row>
    <row r="428" spans="1:23" ht="15.6" hidden="1" x14ac:dyDescent="0.3">
      <c r="A428" s="20">
        <v>30</v>
      </c>
      <c r="B428" s="25">
        <v>4282200</v>
      </c>
      <c r="C428" s="25"/>
      <c r="D428" s="56" t="s">
        <v>244</v>
      </c>
      <c r="E428" s="426">
        <v>45194</v>
      </c>
      <c r="F428" s="26" t="s">
        <v>406</v>
      </c>
      <c r="G428" s="426">
        <v>45154</v>
      </c>
      <c r="H428" s="35">
        <v>4327</v>
      </c>
      <c r="I428" s="21">
        <v>200000</v>
      </c>
      <c r="J428" s="21">
        <v>30000</v>
      </c>
      <c r="K428" s="22">
        <v>0</v>
      </c>
      <c r="L428" s="23"/>
      <c r="M428" s="22">
        <v>0</v>
      </c>
      <c r="N428" s="74">
        <v>0</v>
      </c>
      <c r="O428" s="22">
        <v>0</v>
      </c>
      <c r="P428" s="21">
        <v>170000</v>
      </c>
      <c r="S428" s="108" t="b">
        <f>OR(COUNTIF(Tabla2[[#This Row],[PROVEEDOR]],"*"&amp;'Palabra no opera'!$A$2&amp;"*"))</f>
        <v>0</v>
      </c>
      <c r="T428" s="139">
        <f>+$W$5-Tabla2[[#This Row],[FECHA DE FACTURACIÓN]]</f>
        <v>137</v>
      </c>
      <c r="U428" t="str">
        <f>+IF(Tabla2[[#This Row],[dias de credito]]&gt;=Tabla2[[#This Row],[PLAZO Días]],"venc", "No venc")</f>
        <v>venc</v>
      </c>
      <c r="V428" t="str">
        <f>+IF(Tabla2[[#This Row],[FECHA DE PAGO]]&gt;0,"pagada","por pagar")</f>
        <v>pagada</v>
      </c>
      <c r="W428" s="141" t="str">
        <f>+IF(AND(Tabla2[[#This Row],[venc]]="venc",Tabla2[[#This Row],[Columna1]]="por pagar"),"vencida","no")</f>
        <v>no</v>
      </c>
    </row>
    <row r="429" spans="1:23" ht="15.6" hidden="1" x14ac:dyDescent="0.3">
      <c r="A429" s="20">
        <v>30</v>
      </c>
      <c r="B429" s="25">
        <v>0</v>
      </c>
      <c r="C429" s="25"/>
      <c r="D429" s="56" t="s">
        <v>107</v>
      </c>
      <c r="E429" s="426">
        <v>45194</v>
      </c>
      <c r="F429" s="26" t="s">
        <v>1403</v>
      </c>
      <c r="G429" s="426">
        <v>45153</v>
      </c>
      <c r="H429" s="35">
        <v>65</v>
      </c>
      <c r="I429" s="21">
        <v>74000</v>
      </c>
      <c r="J429" s="21"/>
      <c r="K429" s="22">
        <v>0</v>
      </c>
      <c r="L429" s="23"/>
      <c r="M429" s="22">
        <v>0</v>
      </c>
      <c r="N429" s="74">
        <v>0</v>
      </c>
      <c r="O429" s="22">
        <v>0</v>
      </c>
      <c r="P429" s="21">
        <v>74000</v>
      </c>
      <c r="S429" s="108" t="b">
        <f>OR(COUNTIF(Tabla2[[#This Row],[PROVEEDOR]],"*"&amp;'Palabra no opera'!$A$2&amp;"*"))</f>
        <v>0</v>
      </c>
      <c r="T429" s="139">
        <f>+$W$5-Tabla2[[#This Row],[FECHA DE FACTURACIÓN]]</f>
        <v>138</v>
      </c>
      <c r="U429" t="str">
        <f>+IF(Tabla2[[#This Row],[dias de credito]]&gt;=Tabla2[[#This Row],[PLAZO Días]],"venc", "No venc")</f>
        <v>venc</v>
      </c>
      <c r="V429" t="str">
        <f>+IF(Tabla2[[#This Row],[FECHA DE PAGO]]&gt;0,"pagada","por pagar")</f>
        <v>pagada</v>
      </c>
      <c r="W429" s="141" t="str">
        <f>+IF(AND(Tabla2[[#This Row],[venc]]="venc",Tabla2[[#This Row],[Columna1]]="por pagar"),"vencida","no")</f>
        <v>no</v>
      </c>
    </row>
    <row r="430" spans="1:23" ht="15.6" hidden="1" x14ac:dyDescent="0.3">
      <c r="A430" s="20">
        <v>30</v>
      </c>
      <c r="B430" s="25">
        <v>0</v>
      </c>
      <c r="C430" s="25"/>
      <c r="D430" s="56" t="s">
        <v>107</v>
      </c>
      <c r="E430" s="426">
        <v>45194</v>
      </c>
      <c r="F430" s="26" t="s">
        <v>1403</v>
      </c>
      <c r="G430" s="426">
        <v>45149</v>
      </c>
      <c r="H430" s="35">
        <v>64</v>
      </c>
      <c r="I430" s="21">
        <v>34000</v>
      </c>
      <c r="J430" s="21"/>
      <c r="K430" s="22">
        <v>0</v>
      </c>
      <c r="L430" s="23"/>
      <c r="M430" s="22">
        <v>0</v>
      </c>
      <c r="N430" s="74">
        <v>0</v>
      </c>
      <c r="O430" s="22">
        <v>0</v>
      </c>
      <c r="P430" s="21">
        <v>34000</v>
      </c>
      <c r="S430" s="108" t="b">
        <f>OR(COUNTIF(Tabla2[[#This Row],[PROVEEDOR]],"*"&amp;'Palabra no opera'!$A$2&amp;"*"))</f>
        <v>0</v>
      </c>
      <c r="T430" s="139">
        <f>+$W$5-Tabla2[[#This Row],[FECHA DE FACTURACIÓN]]</f>
        <v>142</v>
      </c>
      <c r="U430" t="str">
        <f>+IF(Tabla2[[#This Row],[dias de credito]]&gt;=Tabla2[[#This Row],[PLAZO Días]],"venc", "No venc")</f>
        <v>venc</v>
      </c>
      <c r="V430" t="str">
        <f>+IF(Tabla2[[#This Row],[FECHA DE PAGO]]&gt;0,"pagada","por pagar")</f>
        <v>pagada</v>
      </c>
      <c r="W430" s="141" t="str">
        <f>+IF(AND(Tabla2[[#This Row],[venc]]="venc",Tabla2[[#This Row],[Columna1]]="por pagar"),"vencida","no")</f>
        <v>no</v>
      </c>
    </row>
    <row r="431" spans="1:23" ht="15.6" hidden="1" x14ac:dyDescent="0.3">
      <c r="A431" s="20">
        <v>30</v>
      </c>
      <c r="B431" s="25">
        <v>0</v>
      </c>
      <c r="C431" s="25"/>
      <c r="D431" s="56" t="s">
        <v>107</v>
      </c>
      <c r="E431" s="426">
        <v>45194</v>
      </c>
      <c r="F431" s="26" t="s">
        <v>1403</v>
      </c>
      <c r="G431" s="426">
        <v>45144</v>
      </c>
      <c r="H431" s="35">
        <v>63</v>
      </c>
      <c r="I431" s="21">
        <v>49000</v>
      </c>
      <c r="J431" s="21"/>
      <c r="K431" s="22">
        <v>0</v>
      </c>
      <c r="L431" s="23"/>
      <c r="M431" s="22">
        <v>0</v>
      </c>
      <c r="N431" s="74">
        <v>0</v>
      </c>
      <c r="O431" s="22">
        <v>0</v>
      </c>
      <c r="P431" s="21">
        <v>49000</v>
      </c>
      <c r="S431" s="108" t="b">
        <f>OR(COUNTIF(Tabla2[[#This Row],[PROVEEDOR]],"*"&amp;'Palabra no opera'!$A$2&amp;"*"))</f>
        <v>0</v>
      </c>
      <c r="T431" s="139">
        <f>+$W$5-Tabla2[[#This Row],[FECHA DE FACTURACIÓN]]</f>
        <v>147</v>
      </c>
      <c r="U431" t="str">
        <f>+IF(Tabla2[[#This Row],[dias de credito]]&gt;=Tabla2[[#This Row],[PLAZO Días]],"venc", "No venc")</f>
        <v>venc</v>
      </c>
      <c r="V431" t="str">
        <f>+IF(Tabla2[[#This Row],[FECHA DE PAGO]]&gt;0,"pagada","por pagar")</f>
        <v>pagada</v>
      </c>
      <c r="W431" s="141" t="str">
        <f>+IF(AND(Tabla2[[#This Row],[venc]]="venc",Tabla2[[#This Row],[Columna1]]="por pagar"),"vencida","no")</f>
        <v>no</v>
      </c>
    </row>
    <row r="432" spans="1:23" ht="15.6" hidden="1" x14ac:dyDescent="0.3">
      <c r="A432" s="20">
        <v>30</v>
      </c>
      <c r="B432" s="25">
        <v>4282200</v>
      </c>
      <c r="C432" s="25"/>
      <c r="D432" s="56" t="s">
        <v>244</v>
      </c>
      <c r="E432" s="426">
        <v>45194</v>
      </c>
      <c r="F432" s="26" t="s">
        <v>406</v>
      </c>
      <c r="G432" s="426">
        <v>45142</v>
      </c>
      <c r="H432" s="35">
        <v>4307</v>
      </c>
      <c r="I432" s="21">
        <v>413100</v>
      </c>
      <c r="J432" s="21"/>
      <c r="K432" s="22">
        <v>0</v>
      </c>
      <c r="L432" s="23"/>
      <c r="M432" s="22">
        <v>0</v>
      </c>
      <c r="N432" s="74">
        <v>0</v>
      </c>
      <c r="O432" s="22">
        <v>0</v>
      </c>
      <c r="P432" s="21">
        <v>413100</v>
      </c>
      <c r="S432" s="108" t="b">
        <f>OR(COUNTIF(Tabla2[[#This Row],[PROVEEDOR]],"*"&amp;'Palabra no opera'!$A$2&amp;"*"))</f>
        <v>0</v>
      </c>
      <c r="T432" s="139">
        <f>+$W$5-Tabla2[[#This Row],[FECHA DE FACTURACIÓN]]</f>
        <v>149</v>
      </c>
      <c r="U432" t="str">
        <f>+IF(Tabla2[[#This Row],[dias de credito]]&gt;=Tabla2[[#This Row],[PLAZO Días]],"venc", "No venc")</f>
        <v>venc</v>
      </c>
      <c r="V432" t="str">
        <f>+IF(Tabla2[[#This Row],[FECHA DE PAGO]]&gt;0,"pagada","por pagar")</f>
        <v>pagada</v>
      </c>
      <c r="W432" s="141" t="str">
        <f>+IF(AND(Tabla2[[#This Row],[venc]]="venc",Tabla2[[#This Row],[Columna1]]="por pagar"),"vencida","no")</f>
        <v>no</v>
      </c>
    </row>
    <row r="433" spans="1:23" ht="15.6" hidden="1" x14ac:dyDescent="0.3">
      <c r="A433" s="20">
        <v>30</v>
      </c>
      <c r="B433" s="25">
        <v>0</v>
      </c>
      <c r="C433" s="25"/>
      <c r="D433" s="56" t="s">
        <v>107</v>
      </c>
      <c r="E433" s="426">
        <v>45194</v>
      </c>
      <c r="F433" s="26" t="s">
        <v>1403</v>
      </c>
      <c r="G433" s="426">
        <v>45142</v>
      </c>
      <c r="H433" s="35">
        <v>62</v>
      </c>
      <c r="I433" s="21">
        <v>50000</v>
      </c>
      <c r="J433" s="21"/>
      <c r="K433" s="22">
        <v>0</v>
      </c>
      <c r="L433" s="23"/>
      <c r="M433" s="22">
        <v>0</v>
      </c>
      <c r="N433" s="74">
        <v>0</v>
      </c>
      <c r="O433" s="22">
        <v>0</v>
      </c>
      <c r="P433" s="21">
        <v>50000</v>
      </c>
      <c r="S433" s="108" t="b">
        <f>OR(COUNTIF(Tabla2[[#This Row],[PROVEEDOR]],"*"&amp;'Palabra no opera'!$A$2&amp;"*"))</f>
        <v>0</v>
      </c>
      <c r="T433" s="139">
        <f>+$W$5-Tabla2[[#This Row],[FECHA DE FACTURACIÓN]]</f>
        <v>149</v>
      </c>
      <c r="U433" t="str">
        <f>+IF(Tabla2[[#This Row],[dias de credito]]&gt;=Tabla2[[#This Row],[PLAZO Días]],"venc", "No venc")</f>
        <v>venc</v>
      </c>
      <c r="V433" t="str">
        <f>+IF(Tabla2[[#This Row],[FECHA DE PAGO]]&gt;0,"pagada","por pagar")</f>
        <v>pagada</v>
      </c>
      <c r="W433" s="141" t="str">
        <f>+IF(AND(Tabla2[[#This Row],[venc]]="venc",Tabla2[[#This Row],[Columna1]]="por pagar"),"vencida","no")</f>
        <v>no</v>
      </c>
    </row>
    <row r="434" spans="1:23" ht="15.6" hidden="1" x14ac:dyDescent="0.3">
      <c r="A434" s="20">
        <v>30</v>
      </c>
      <c r="B434" s="25">
        <v>10321993.199999999</v>
      </c>
      <c r="C434" s="25"/>
      <c r="D434" s="56" t="s">
        <v>189</v>
      </c>
      <c r="E434" s="426">
        <v>45194</v>
      </c>
      <c r="F434" s="26" t="s">
        <v>1068</v>
      </c>
      <c r="G434" s="426">
        <v>45141</v>
      </c>
      <c r="H434" s="35" t="s">
        <v>1857</v>
      </c>
      <c r="I434" s="21">
        <v>4116710</v>
      </c>
      <c r="J434" s="21"/>
      <c r="K434" s="22">
        <v>782174.9</v>
      </c>
      <c r="L434" s="23"/>
      <c r="M434" s="22">
        <v>0</v>
      </c>
      <c r="N434" s="74">
        <v>2.5000000000000001E-2</v>
      </c>
      <c r="O434" s="22">
        <v>102917.75</v>
      </c>
      <c r="P434" s="21">
        <v>4795967.1500000004</v>
      </c>
      <c r="S434" s="108" t="b">
        <f>OR(COUNTIF(Tabla2[[#This Row],[PROVEEDOR]],"*"&amp;'Palabra no opera'!$A$2&amp;"*"))</f>
        <v>0</v>
      </c>
      <c r="T434" s="139">
        <f>+$W$5-Tabla2[[#This Row],[FECHA DE FACTURACIÓN]]</f>
        <v>150</v>
      </c>
      <c r="U434" t="str">
        <f>+IF(Tabla2[[#This Row],[dias de credito]]&gt;=Tabla2[[#This Row],[PLAZO Días]],"venc", "No venc")</f>
        <v>venc</v>
      </c>
      <c r="V434" t="str">
        <f>+IF(Tabla2[[#This Row],[FECHA DE PAGO]]&gt;0,"pagada","por pagar")</f>
        <v>pagada</v>
      </c>
      <c r="W434" s="141" t="str">
        <f>+IF(AND(Tabla2[[#This Row],[venc]]="venc",Tabla2[[#This Row],[Columna1]]="por pagar"),"vencida","no")</f>
        <v>no</v>
      </c>
    </row>
    <row r="435" spans="1:23" ht="15.6" hidden="1" x14ac:dyDescent="0.3">
      <c r="A435" s="20">
        <v>30</v>
      </c>
      <c r="B435" s="25">
        <v>0</v>
      </c>
      <c r="C435" s="25"/>
      <c r="D435" s="56" t="s">
        <v>107</v>
      </c>
      <c r="E435" s="426">
        <v>45194</v>
      </c>
      <c r="F435" s="26" t="s">
        <v>1403</v>
      </c>
      <c r="G435" s="426">
        <v>45140</v>
      </c>
      <c r="H435" s="35">
        <v>61</v>
      </c>
      <c r="I435" s="21">
        <v>75000</v>
      </c>
      <c r="J435" s="21"/>
      <c r="K435" s="22">
        <v>0</v>
      </c>
      <c r="L435" s="23"/>
      <c r="M435" s="22">
        <v>0</v>
      </c>
      <c r="N435" s="74">
        <v>0</v>
      </c>
      <c r="O435" s="22">
        <v>0</v>
      </c>
      <c r="P435" s="21">
        <v>75000</v>
      </c>
      <c r="S435" s="108" t="b">
        <f>OR(COUNTIF(Tabla2[[#This Row],[PROVEEDOR]],"*"&amp;'Palabra no opera'!$A$2&amp;"*"))</f>
        <v>0</v>
      </c>
      <c r="T435" s="139">
        <f>+$W$5-Tabla2[[#This Row],[FECHA DE FACTURACIÓN]]</f>
        <v>151</v>
      </c>
      <c r="U435" t="str">
        <f>+IF(Tabla2[[#This Row],[dias de credito]]&gt;=Tabla2[[#This Row],[PLAZO Días]],"venc", "No venc")</f>
        <v>venc</v>
      </c>
      <c r="V435" t="str">
        <f>+IF(Tabla2[[#This Row],[FECHA DE PAGO]]&gt;0,"pagada","por pagar")</f>
        <v>pagada</v>
      </c>
      <c r="W435" s="141" t="str">
        <f>+IF(AND(Tabla2[[#This Row],[venc]]="venc",Tabla2[[#This Row],[Columna1]]="por pagar"),"vencida","no")</f>
        <v>no</v>
      </c>
    </row>
    <row r="436" spans="1:23" ht="15.6" hidden="1" x14ac:dyDescent="0.3">
      <c r="A436" s="20">
        <v>30</v>
      </c>
      <c r="B436" s="25">
        <v>10321993.199999999</v>
      </c>
      <c r="C436" s="25"/>
      <c r="D436" s="56" t="s">
        <v>189</v>
      </c>
      <c r="E436" s="426">
        <v>45194</v>
      </c>
      <c r="F436" s="26" t="s">
        <v>1068</v>
      </c>
      <c r="G436" s="426">
        <v>45136</v>
      </c>
      <c r="H436" s="35" t="s">
        <v>1851</v>
      </c>
      <c r="I436" s="21">
        <v>225600</v>
      </c>
      <c r="J436" s="21"/>
      <c r="K436" s="22">
        <v>42864</v>
      </c>
      <c r="L436" s="23"/>
      <c r="M436" s="22">
        <v>0</v>
      </c>
      <c r="N436" s="74">
        <v>0</v>
      </c>
      <c r="O436" s="22">
        <v>0</v>
      </c>
      <c r="P436" s="21">
        <v>268464</v>
      </c>
      <c r="S436" s="108" t="b">
        <f>OR(COUNTIF(Tabla2[[#This Row],[PROVEEDOR]],"*"&amp;'Palabra no opera'!$A$2&amp;"*"))</f>
        <v>0</v>
      </c>
      <c r="T436" s="139">
        <f>+$W$5-Tabla2[[#This Row],[FECHA DE FACTURACIÓN]]</f>
        <v>155</v>
      </c>
      <c r="U436" t="str">
        <f>+IF(Tabla2[[#This Row],[dias de credito]]&gt;=Tabla2[[#This Row],[PLAZO Días]],"venc", "No venc")</f>
        <v>venc</v>
      </c>
      <c r="V436" t="str">
        <f>+IF(Tabla2[[#This Row],[FECHA DE PAGO]]&gt;0,"pagada","por pagar")</f>
        <v>pagada</v>
      </c>
      <c r="W436" s="141" t="str">
        <f>+IF(AND(Tabla2[[#This Row],[venc]]="venc",Tabla2[[#This Row],[Columna1]]="por pagar"),"vencida","no")</f>
        <v>no</v>
      </c>
    </row>
    <row r="437" spans="1:23" ht="15.6" hidden="1" x14ac:dyDescent="0.3">
      <c r="A437" s="20">
        <v>30</v>
      </c>
      <c r="B437" s="25">
        <v>0</v>
      </c>
      <c r="C437" s="25"/>
      <c r="D437" s="56">
        <v>0</v>
      </c>
      <c r="E437" s="426">
        <v>45194</v>
      </c>
      <c r="F437" s="26" t="s">
        <v>1287</v>
      </c>
      <c r="G437" s="426">
        <v>45134</v>
      </c>
      <c r="H437" s="35">
        <v>474</v>
      </c>
      <c r="I437" s="21">
        <v>621600</v>
      </c>
      <c r="J437" s="21">
        <v>118104</v>
      </c>
      <c r="K437" s="22">
        <v>0</v>
      </c>
      <c r="L437" s="23"/>
      <c r="M437" s="22">
        <v>0</v>
      </c>
      <c r="N437" s="74">
        <v>0</v>
      </c>
      <c r="O437" s="22">
        <v>0</v>
      </c>
      <c r="P437" s="21">
        <v>503496</v>
      </c>
      <c r="S437" s="108" t="b">
        <f>OR(COUNTIF(Tabla2[[#This Row],[PROVEEDOR]],"*"&amp;'Palabra no opera'!$A$2&amp;"*"))</f>
        <v>0</v>
      </c>
      <c r="T437" s="139">
        <f>+$W$5-Tabla2[[#This Row],[FECHA DE FACTURACIÓN]]</f>
        <v>157</v>
      </c>
      <c r="U437" t="str">
        <f>+IF(Tabla2[[#This Row],[dias de credito]]&gt;=Tabla2[[#This Row],[PLAZO Días]],"venc", "No venc")</f>
        <v>venc</v>
      </c>
      <c r="V437" t="str">
        <f>+IF(Tabla2[[#This Row],[FECHA DE PAGO]]&gt;0,"pagada","por pagar")</f>
        <v>pagada</v>
      </c>
      <c r="W437" s="141" t="str">
        <f>+IF(AND(Tabla2[[#This Row],[venc]]="venc",Tabla2[[#This Row],[Columna1]]="por pagar"),"vencida","no")</f>
        <v>no</v>
      </c>
    </row>
    <row r="438" spans="1:23" ht="15.6" hidden="1" x14ac:dyDescent="0.3">
      <c r="A438" s="20">
        <v>30</v>
      </c>
      <c r="B438" s="25">
        <v>10321993.199999999</v>
      </c>
      <c r="C438" s="25"/>
      <c r="D438" s="56" t="s">
        <v>189</v>
      </c>
      <c r="E438" s="426">
        <v>45194</v>
      </c>
      <c r="F438" s="26" t="s">
        <v>1068</v>
      </c>
      <c r="G438" s="426">
        <v>45131</v>
      </c>
      <c r="H438" s="35" t="s">
        <v>1818</v>
      </c>
      <c r="I438" s="21">
        <v>3318355</v>
      </c>
      <c r="J438" s="21">
        <v>158335</v>
      </c>
      <c r="K438" s="22">
        <v>600403.80000000005</v>
      </c>
      <c r="L438" s="23"/>
      <c r="M438" s="22">
        <v>0</v>
      </c>
      <c r="N438" s="74">
        <v>2.5000000000000001E-2</v>
      </c>
      <c r="O438" s="22">
        <v>79000.5</v>
      </c>
      <c r="P438" s="21">
        <v>3681423.3</v>
      </c>
      <c r="S438" s="108" t="b">
        <f>OR(COUNTIF(Tabla2[[#This Row],[PROVEEDOR]],"*"&amp;'Palabra no opera'!$A$2&amp;"*"))</f>
        <v>0</v>
      </c>
      <c r="T438" s="139">
        <f>+$W$5-Tabla2[[#This Row],[FECHA DE FACTURACIÓN]]</f>
        <v>160</v>
      </c>
      <c r="U438" t="str">
        <f>+IF(Tabla2[[#This Row],[dias de credito]]&gt;=Tabla2[[#This Row],[PLAZO Días]],"venc", "No venc")</f>
        <v>venc</v>
      </c>
      <c r="V438" t="str">
        <f>+IF(Tabla2[[#This Row],[FECHA DE PAGO]]&gt;0,"pagada","por pagar")</f>
        <v>pagada</v>
      </c>
      <c r="W438" s="141" t="str">
        <f>+IF(AND(Tabla2[[#This Row],[venc]]="venc",Tabla2[[#This Row],[Columna1]]="por pagar"),"vencida","no")</f>
        <v>no</v>
      </c>
    </row>
    <row r="439" spans="1:23" ht="15.6" hidden="1" x14ac:dyDescent="0.3">
      <c r="A439" s="20">
        <v>30</v>
      </c>
      <c r="B439" s="25">
        <v>4282200</v>
      </c>
      <c r="C439" s="25"/>
      <c r="D439" s="56" t="s">
        <v>244</v>
      </c>
      <c r="E439" s="426">
        <v>45194</v>
      </c>
      <c r="F439" s="26" t="s">
        <v>406</v>
      </c>
      <c r="G439" s="426">
        <v>45124</v>
      </c>
      <c r="H439" s="35">
        <v>4272</v>
      </c>
      <c r="I439" s="21">
        <v>703000</v>
      </c>
      <c r="J439" s="21">
        <v>105450</v>
      </c>
      <c r="K439" s="22">
        <v>0</v>
      </c>
      <c r="L439" s="23"/>
      <c r="M439" s="22">
        <v>0</v>
      </c>
      <c r="N439" s="74">
        <v>0</v>
      </c>
      <c r="O439" s="22">
        <v>0</v>
      </c>
      <c r="P439" s="21">
        <v>597550</v>
      </c>
      <c r="S439" s="108" t="b">
        <f>OR(COUNTIF(Tabla2[[#This Row],[PROVEEDOR]],"*"&amp;'Palabra no opera'!$A$2&amp;"*"))</f>
        <v>0</v>
      </c>
      <c r="T439" s="139">
        <f>+$W$5-Tabla2[[#This Row],[FECHA DE FACTURACIÓN]]</f>
        <v>167</v>
      </c>
      <c r="U439" t="str">
        <f>+IF(Tabla2[[#This Row],[dias de credito]]&gt;=Tabla2[[#This Row],[PLAZO Días]],"venc", "No venc")</f>
        <v>venc</v>
      </c>
      <c r="V439" t="str">
        <f>+IF(Tabla2[[#This Row],[FECHA DE PAGO]]&gt;0,"pagada","por pagar")</f>
        <v>pagada</v>
      </c>
      <c r="W439" s="141" t="str">
        <f>+IF(AND(Tabla2[[#This Row],[venc]]="venc",Tabla2[[#This Row],[Columna1]]="por pagar"),"vencida","no")</f>
        <v>no</v>
      </c>
    </row>
    <row r="440" spans="1:23" ht="15.6" hidden="1" x14ac:dyDescent="0.3">
      <c r="A440" s="20">
        <v>30</v>
      </c>
      <c r="B440" s="25">
        <v>10321993.199999999</v>
      </c>
      <c r="C440" s="25"/>
      <c r="D440" s="56" t="s">
        <v>189</v>
      </c>
      <c r="E440" s="426">
        <v>45194</v>
      </c>
      <c r="F440" s="26" t="s">
        <v>1068</v>
      </c>
      <c r="G440" s="426">
        <v>45124</v>
      </c>
      <c r="H440" s="35" t="s">
        <v>1819</v>
      </c>
      <c r="I440" s="21">
        <v>925000</v>
      </c>
      <c r="J440" s="21"/>
      <c r="K440" s="22">
        <v>175750</v>
      </c>
      <c r="L440" s="23"/>
      <c r="M440" s="22">
        <v>0</v>
      </c>
      <c r="N440" s="74">
        <v>0</v>
      </c>
      <c r="O440" s="22">
        <v>0</v>
      </c>
      <c r="P440" s="21">
        <v>1100750</v>
      </c>
      <c r="S440" s="108" t="b">
        <f>OR(COUNTIF(Tabla2[[#This Row],[PROVEEDOR]],"*"&amp;'Palabra no opera'!$A$2&amp;"*"))</f>
        <v>0</v>
      </c>
      <c r="T440" s="139">
        <f>+$W$5-Tabla2[[#This Row],[FECHA DE FACTURACIÓN]]</f>
        <v>167</v>
      </c>
      <c r="U440" t="str">
        <f>+IF(Tabla2[[#This Row],[dias de credito]]&gt;=Tabla2[[#This Row],[PLAZO Días]],"venc", "No venc")</f>
        <v>venc</v>
      </c>
      <c r="V440" t="str">
        <f>+IF(Tabla2[[#This Row],[FECHA DE PAGO]]&gt;0,"pagada","por pagar")</f>
        <v>pagada</v>
      </c>
      <c r="W440" s="141" t="str">
        <f>+IF(AND(Tabla2[[#This Row],[venc]]="venc",Tabla2[[#This Row],[Columna1]]="por pagar"),"vencida","no")</f>
        <v>no</v>
      </c>
    </row>
    <row r="441" spans="1:23" ht="15.6" hidden="1" x14ac:dyDescent="0.3">
      <c r="A441" s="20">
        <v>30</v>
      </c>
      <c r="B441" s="25">
        <v>0</v>
      </c>
      <c r="C441" s="25"/>
      <c r="D441" s="56" t="s">
        <v>107</v>
      </c>
      <c r="E441" s="426">
        <v>45194</v>
      </c>
      <c r="F441" s="26" t="s">
        <v>1403</v>
      </c>
      <c r="G441" s="426">
        <v>45122</v>
      </c>
      <c r="H441" s="35">
        <v>60</v>
      </c>
      <c r="I441" s="21">
        <v>227000</v>
      </c>
      <c r="J441" s="21"/>
      <c r="K441" s="22">
        <v>0</v>
      </c>
      <c r="L441" s="23"/>
      <c r="M441" s="22">
        <v>0</v>
      </c>
      <c r="N441" s="74">
        <v>0</v>
      </c>
      <c r="O441" s="22">
        <v>0</v>
      </c>
      <c r="P441" s="21">
        <v>227000</v>
      </c>
      <c r="S441" s="108" t="b">
        <f>OR(COUNTIF(Tabla2[[#This Row],[PROVEEDOR]],"*"&amp;'Palabra no opera'!$A$2&amp;"*"))</f>
        <v>0</v>
      </c>
      <c r="T441" s="139">
        <f>+$W$5-Tabla2[[#This Row],[FECHA DE FACTURACIÓN]]</f>
        <v>169</v>
      </c>
      <c r="U441" t="str">
        <f>+IF(Tabla2[[#This Row],[dias de credito]]&gt;=Tabla2[[#This Row],[PLAZO Días]],"venc", "No venc")</f>
        <v>venc</v>
      </c>
      <c r="V441" t="str">
        <f>+IF(Tabla2[[#This Row],[FECHA DE PAGO]]&gt;0,"pagada","por pagar")</f>
        <v>pagada</v>
      </c>
      <c r="W441" s="141" t="str">
        <f>+IF(AND(Tabla2[[#This Row],[venc]]="venc",Tabla2[[#This Row],[Columna1]]="por pagar"),"vencida","no")</f>
        <v>no</v>
      </c>
    </row>
    <row r="442" spans="1:23" ht="15.6" hidden="1" x14ac:dyDescent="0.3">
      <c r="A442" s="20">
        <v>30</v>
      </c>
      <c r="B442" s="25">
        <v>0</v>
      </c>
      <c r="C442" s="25"/>
      <c r="D442" s="56" t="s">
        <v>107</v>
      </c>
      <c r="E442" s="426">
        <v>45194</v>
      </c>
      <c r="F442" s="26" t="s">
        <v>1403</v>
      </c>
      <c r="G442" s="426">
        <v>45122</v>
      </c>
      <c r="H442" s="35">
        <v>59</v>
      </c>
      <c r="I442" s="21">
        <v>78000</v>
      </c>
      <c r="J442" s="21"/>
      <c r="K442" s="22">
        <v>0</v>
      </c>
      <c r="L442" s="23"/>
      <c r="M442" s="22">
        <v>0</v>
      </c>
      <c r="N442" s="74">
        <v>0</v>
      </c>
      <c r="O442" s="22">
        <v>0</v>
      </c>
      <c r="P442" s="21">
        <v>78000</v>
      </c>
      <c r="S442" s="108" t="b">
        <f>OR(COUNTIF(Tabla2[[#This Row],[PROVEEDOR]],"*"&amp;'Palabra no opera'!$A$2&amp;"*"))</f>
        <v>0</v>
      </c>
      <c r="T442" s="139">
        <f>+$W$5-Tabla2[[#This Row],[FECHA DE FACTURACIÓN]]</f>
        <v>169</v>
      </c>
      <c r="U442" t="str">
        <f>+IF(Tabla2[[#This Row],[dias de credito]]&gt;=Tabla2[[#This Row],[PLAZO Días]],"venc", "No venc")</f>
        <v>venc</v>
      </c>
      <c r="V442" t="str">
        <f>+IF(Tabla2[[#This Row],[FECHA DE PAGO]]&gt;0,"pagada","por pagar")</f>
        <v>pagada</v>
      </c>
      <c r="W442" s="141" t="str">
        <f>+IF(AND(Tabla2[[#This Row],[venc]]="venc",Tabla2[[#This Row],[Columna1]]="por pagar"),"vencida","no")</f>
        <v>no</v>
      </c>
    </row>
    <row r="443" spans="1:23" ht="15.6" hidden="1" x14ac:dyDescent="0.3">
      <c r="A443" s="20">
        <v>30</v>
      </c>
      <c r="B443" s="25">
        <v>0</v>
      </c>
      <c r="C443" s="25"/>
      <c r="D443" s="56">
        <v>0</v>
      </c>
      <c r="E443" s="426">
        <v>45194</v>
      </c>
      <c r="F443" s="26" t="s">
        <v>1287</v>
      </c>
      <c r="G443" s="426">
        <v>45120</v>
      </c>
      <c r="H443" s="35">
        <v>461</v>
      </c>
      <c r="I443" s="21">
        <v>780000</v>
      </c>
      <c r="J443" s="21">
        <v>148200</v>
      </c>
      <c r="K443" s="22">
        <v>0</v>
      </c>
      <c r="L443" s="23"/>
      <c r="M443" s="22">
        <v>0</v>
      </c>
      <c r="N443" s="74">
        <v>0</v>
      </c>
      <c r="O443" s="22">
        <v>0</v>
      </c>
      <c r="P443" s="21">
        <v>631800</v>
      </c>
      <c r="S443" s="108" t="b">
        <f>OR(COUNTIF(Tabla2[[#This Row],[PROVEEDOR]],"*"&amp;'Palabra no opera'!$A$2&amp;"*"))</f>
        <v>0</v>
      </c>
      <c r="T443" s="139">
        <f>+$W$5-Tabla2[[#This Row],[FECHA DE FACTURACIÓN]]</f>
        <v>171</v>
      </c>
      <c r="U443" t="str">
        <f>+IF(Tabla2[[#This Row],[dias de credito]]&gt;=Tabla2[[#This Row],[PLAZO Días]],"venc", "No venc")</f>
        <v>venc</v>
      </c>
      <c r="V443" t="str">
        <f>+IF(Tabla2[[#This Row],[FECHA DE PAGO]]&gt;0,"pagada","por pagar")</f>
        <v>pagada</v>
      </c>
      <c r="W443" s="141" t="str">
        <f>+IF(AND(Tabla2[[#This Row],[venc]]="venc",Tabla2[[#This Row],[Columna1]]="por pagar"),"vencida","no")</f>
        <v>no</v>
      </c>
    </row>
    <row r="444" spans="1:23" ht="15.6" hidden="1" x14ac:dyDescent="0.3">
      <c r="A444" s="20">
        <v>30</v>
      </c>
      <c r="B444" s="25">
        <v>0</v>
      </c>
      <c r="C444" s="25"/>
      <c r="D444" s="56" t="s">
        <v>107</v>
      </c>
      <c r="E444" s="426">
        <v>45194</v>
      </c>
      <c r="F444" s="26" t="s">
        <v>1403</v>
      </c>
      <c r="G444" s="426">
        <v>45114</v>
      </c>
      <c r="H444" s="35">
        <v>58</v>
      </c>
      <c r="I444" s="21">
        <v>65000</v>
      </c>
      <c r="J444" s="21"/>
      <c r="K444" s="22">
        <v>0</v>
      </c>
      <c r="L444" s="23"/>
      <c r="M444" s="22">
        <v>0</v>
      </c>
      <c r="N444" s="74">
        <v>0</v>
      </c>
      <c r="O444" s="22">
        <v>0</v>
      </c>
      <c r="P444" s="21">
        <v>65000</v>
      </c>
      <c r="S444" s="108" t="b">
        <f>OR(COUNTIF(Tabla2[[#This Row],[PROVEEDOR]],"*"&amp;'Palabra no opera'!$A$2&amp;"*"))</f>
        <v>0</v>
      </c>
      <c r="T444" s="139">
        <f>+$W$5-Tabla2[[#This Row],[FECHA DE FACTURACIÓN]]</f>
        <v>177</v>
      </c>
      <c r="U444" t="str">
        <f>+IF(Tabla2[[#This Row],[dias de credito]]&gt;=Tabla2[[#This Row],[PLAZO Días]],"venc", "No venc")</f>
        <v>venc</v>
      </c>
      <c r="V444" t="str">
        <f>+IF(Tabla2[[#This Row],[FECHA DE PAGO]]&gt;0,"pagada","por pagar")</f>
        <v>pagada</v>
      </c>
      <c r="W444" s="141" t="str">
        <f>+IF(AND(Tabla2[[#This Row],[venc]]="venc",Tabla2[[#This Row],[Columna1]]="por pagar"),"vencida","no")</f>
        <v>no</v>
      </c>
    </row>
    <row r="445" spans="1:23" ht="15.6" hidden="1" x14ac:dyDescent="0.3">
      <c r="A445" s="20">
        <v>30</v>
      </c>
      <c r="B445" s="25">
        <v>4282200</v>
      </c>
      <c r="C445" s="25"/>
      <c r="D445" s="56" t="s">
        <v>244</v>
      </c>
      <c r="E445" s="426">
        <v>45194</v>
      </c>
      <c r="F445" s="26" t="s">
        <v>406</v>
      </c>
      <c r="G445" s="426">
        <v>45111</v>
      </c>
      <c r="H445" s="35">
        <v>4236</v>
      </c>
      <c r="I445" s="21">
        <v>233000</v>
      </c>
      <c r="J445" s="21">
        <v>34950</v>
      </c>
      <c r="K445" s="22">
        <v>0</v>
      </c>
      <c r="L445" s="23"/>
      <c r="M445" s="22">
        <v>0</v>
      </c>
      <c r="N445" s="74">
        <v>0</v>
      </c>
      <c r="O445" s="22">
        <v>0</v>
      </c>
      <c r="P445" s="21">
        <v>198050</v>
      </c>
      <c r="S445" s="108" t="b">
        <f>OR(COUNTIF(Tabla2[[#This Row],[PROVEEDOR]],"*"&amp;'Palabra no opera'!$A$2&amp;"*"))</f>
        <v>0</v>
      </c>
      <c r="T445" s="139">
        <f>+$W$5-Tabla2[[#This Row],[FECHA DE FACTURACIÓN]]</f>
        <v>180</v>
      </c>
      <c r="U445" t="str">
        <f>+IF(Tabla2[[#This Row],[dias de credito]]&gt;=Tabla2[[#This Row],[PLAZO Días]],"venc", "No venc")</f>
        <v>venc</v>
      </c>
      <c r="V445" t="str">
        <f>+IF(Tabla2[[#This Row],[FECHA DE PAGO]]&gt;0,"pagada","por pagar")</f>
        <v>pagada</v>
      </c>
      <c r="W445" s="141" t="str">
        <f>+IF(AND(Tabla2[[#This Row],[venc]]="venc",Tabla2[[#This Row],[Columna1]]="por pagar"),"vencida","no")</f>
        <v>no</v>
      </c>
    </row>
    <row r="446" spans="1:23" ht="15.6" hidden="1" x14ac:dyDescent="0.3">
      <c r="A446" s="20">
        <v>30</v>
      </c>
      <c r="B446" s="25">
        <v>0</v>
      </c>
      <c r="C446" s="25"/>
      <c r="D446" s="56" t="s">
        <v>107</v>
      </c>
      <c r="E446" s="426">
        <v>45194</v>
      </c>
      <c r="F446" s="26" t="s">
        <v>1403</v>
      </c>
      <c r="G446" s="426">
        <v>45111</v>
      </c>
      <c r="H446" s="35">
        <v>57</v>
      </c>
      <c r="I446" s="21">
        <v>171500</v>
      </c>
      <c r="J446" s="21"/>
      <c r="K446" s="22">
        <v>0</v>
      </c>
      <c r="L446" s="23"/>
      <c r="M446" s="22">
        <v>0</v>
      </c>
      <c r="N446" s="74">
        <v>0</v>
      </c>
      <c r="O446" s="22">
        <v>0</v>
      </c>
      <c r="P446" s="21">
        <v>171500</v>
      </c>
      <c r="S446" s="108" t="b">
        <f>OR(COUNTIF(Tabla2[[#This Row],[PROVEEDOR]],"*"&amp;'Palabra no opera'!$A$2&amp;"*"))</f>
        <v>0</v>
      </c>
      <c r="T446" s="139">
        <f>+$W$5-Tabla2[[#This Row],[FECHA DE FACTURACIÓN]]</f>
        <v>180</v>
      </c>
      <c r="U446" t="str">
        <f>+IF(Tabla2[[#This Row],[dias de credito]]&gt;=Tabla2[[#This Row],[PLAZO Días]],"venc", "No venc")</f>
        <v>venc</v>
      </c>
      <c r="V446" t="str">
        <f>+IF(Tabla2[[#This Row],[FECHA DE PAGO]]&gt;0,"pagada","por pagar")</f>
        <v>pagada</v>
      </c>
      <c r="W446" s="141" t="str">
        <f>+IF(AND(Tabla2[[#This Row],[venc]]="venc",Tabla2[[#This Row],[Columna1]]="por pagar"),"vencida","no")</f>
        <v>no</v>
      </c>
    </row>
    <row r="447" spans="1:23" ht="15.6" hidden="1" x14ac:dyDescent="0.3">
      <c r="A447" s="20">
        <v>30</v>
      </c>
      <c r="B447" s="25">
        <v>22881826.27</v>
      </c>
      <c r="C447" s="25"/>
      <c r="D447" s="56" t="s">
        <v>197</v>
      </c>
      <c r="E447" s="426">
        <v>45194</v>
      </c>
      <c r="F447" s="26" t="s">
        <v>9</v>
      </c>
      <c r="G447" s="426">
        <v>45100</v>
      </c>
      <c r="H447" s="35" t="s">
        <v>1783</v>
      </c>
      <c r="I447" s="21">
        <v>2734715</v>
      </c>
      <c r="J447" s="21"/>
      <c r="K447" s="22">
        <v>519595.85000000003</v>
      </c>
      <c r="L447" s="23"/>
      <c r="M447" s="22">
        <v>0</v>
      </c>
      <c r="N447" s="74">
        <v>2.5000000000000001E-2</v>
      </c>
      <c r="O447" s="22">
        <v>68367.875</v>
      </c>
      <c r="P447" s="21">
        <v>3185942.9750000001</v>
      </c>
      <c r="S447" s="108" t="b">
        <f>OR(COUNTIF(Tabla2[[#This Row],[PROVEEDOR]],"*"&amp;'Palabra no opera'!$A$2&amp;"*"))</f>
        <v>0</v>
      </c>
      <c r="T447" s="139">
        <f>+$W$5-Tabla2[[#This Row],[FECHA DE FACTURACIÓN]]</f>
        <v>191</v>
      </c>
      <c r="U447" t="str">
        <f>+IF(Tabla2[[#This Row],[dias de credito]]&gt;=Tabla2[[#This Row],[PLAZO Días]],"venc", "No venc")</f>
        <v>venc</v>
      </c>
      <c r="V447" t="str">
        <f>+IF(Tabla2[[#This Row],[FECHA DE PAGO]]&gt;0,"pagada","por pagar")</f>
        <v>pagada</v>
      </c>
      <c r="W447" s="141" t="str">
        <f>+IF(AND(Tabla2[[#This Row],[venc]]="venc",Tabla2[[#This Row],[Columna1]]="por pagar"),"vencida","no")</f>
        <v>no</v>
      </c>
    </row>
    <row r="448" spans="1:23" ht="15.6" hidden="1" x14ac:dyDescent="0.3">
      <c r="A448" s="20">
        <v>30</v>
      </c>
      <c r="B448" s="25">
        <v>4282200</v>
      </c>
      <c r="C448" s="25"/>
      <c r="D448" s="56" t="s">
        <v>244</v>
      </c>
      <c r="E448" s="426">
        <v>45194</v>
      </c>
      <c r="F448" s="26" t="s">
        <v>406</v>
      </c>
      <c r="G448" s="426">
        <v>45078</v>
      </c>
      <c r="H448" s="35">
        <v>4186</v>
      </c>
      <c r="I448" s="21">
        <v>99000</v>
      </c>
      <c r="J448" s="21"/>
      <c r="K448" s="22">
        <v>0</v>
      </c>
      <c r="L448" s="23"/>
      <c r="M448" s="22">
        <v>0</v>
      </c>
      <c r="N448" s="74">
        <v>0</v>
      </c>
      <c r="O448" s="22">
        <v>0</v>
      </c>
      <c r="P448" s="21">
        <v>99000</v>
      </c>
      <c r="S448" s="108" t="b">
        <f>OR(COUNTIF(Tabla2[[#This Row],[PROVEEDOR]],"*"&amp;'Palabra no opera'!$A$2&amp;"*"))</f>
        <v>0</v>
      </c>
      <c r="T448" s="139">
        <f>+$W$5-Tabla2[[#This Row],[FECHA DE FACTURACIÓN]]</f>
        <v>213</v>
      </c>
      <c r="U448" t="str">
        <f>+IF(Tabla2[[#This Row],[dias de credito]]&gt;=Tabla2[[#This Row],[PLAZO Días]],"venc", "No venc")</f>
        <v>venc</v>
      </c>
      <c r="V448" t="str">
        <f>+IF(Tabla2[[#This Row],[FECHA DE PAGO]]&gt;0,"pagada","por pagar")</f>
        <v>pagada</v>
      </c>
      <c r="W448" s="141" t="str">
        <f>+IF(AND(Tabla2[[#This Row],[venc]]="venc",Tabla2[[#This Row],[Columna1]]="por pagar"),"vencida","no")</f>
        <v>no</v>
      </c>
    </row>
    <row r="449" spans="1:23" ht="15.6" hidden="1" x14ac:dyDescent="0.3">
      <c r="A449" s="20">
        <v>30</v>
      </c>
      <c r="B449" s="25">
        <v>4282200</v>
      </c>
      <c r="C449" s="25"/>
      <c r="D449" s="56" t="s">
        <v>244</v>
      </c>
      <c r="E449" s="426">
        <v>45194</v>
      </c>
      <c r="F449" s="26" t="s">
        <v>406</v>
      </c>
      <c r="G449" s="426">
        <v>45055</v>
      </c>
      <c r="H449" s="35">
        <v>4136</v>
      </c>
      <c r="I449" s="21">
        <v>44000</v>
      </c>
      <c r="J449" s="21"/>
      <c r="K449" s="22">
        <v>0</v>
      </c>
      <c r="L449" s="23"/>
      <c r="M449" s="22">
        <v>0</v>
      </c>
      <c r="N449" s="74">
        <v>0</v>
      </c>
      <c r="O449" s="22">
        <v>0</v>
      </c>
      <c r="P449" s="21">
        <v>44000</v>
      </c>
      <c r="S449" s="108" t="b">
        <f>OR(COUNTIF(Tabla2[[#This Row],[PROVEEDOR]],"*"&amp;'Palabra no opera'!$A$2&amp;"*"))</f>
        <v>0</v>
      </c>
      <c r="T449" s="139">
        <f>+$W$5-Tabla2[[#This Row],[FECHA DE FACTURACIÓN]]</f>
        <v>236</v>
      </c>
      <c r="U449" t="str">
        <f>+IF(Tabla2[[#This Row],[dias de credito]]&gt;=Tabla2[[#This Row],[PLAZO Días]],"venc", "No venc")</f>
        <v>venc</v>
      </c>
      <c r="V449" t="str">
        <f>+IF(Tabla2[[#This Row],[FECHA DE PAGO]]&gt;0,"pagada","por pagar")</f>
        <v>pagada</v>
      </c>
      <c r="W449" s="141" t="str">
        <f>+IF(AND(Tabla2[[#This Row],[venc]]="venc",Tabla2[[#This Row],[Columna1]]="por pagar"),"vencida","no")</f>
        <v>no</v>
      </c>
    </row>
    <row r="450" spans="1:23" ht="15.6" hidden="1" x14ac:dyDescent="0.3">
      <c r="A450" s="20">
        <v>30</v>
      </c>
      <c r="B450" s="25">
        <v>0</v>
      </c>
      <c r="C450" s="25"/>
      <c r="D450" s="56" t="s">
        <v>107</v>
      </c>
      <c r="E450" s="426">
        <v>45192</v>
      </c>
      <c r="F450" s="26" t="s">
        <v>378</v>
      </c>
      <c r="G450" s="426">
        <v>45192</v>
      </c>
      <c r="H450" s="35" t="s">
        <v>2011</v>
      </c>
      <c r="I450" s="21">
        <v>900000</v>
      </c>
      <c r="J450" s="21"/>
      <c r="K450" s="22">
        <v>0</v>
      </c>
      <c r="L450" s="23"/>
      <c r="M450" s="22">
        <v>0</v>
      </c>
      <c r="N450" s="74">
        <v>0</v>
      </c>
      <c r="O450" s="22">
        <v>0</v>
      </c>
      <c r="P450" s="21">
        <v>900000</v>
      </c>
      <c r="S450" s="108" t="b">
        <f>OR(COUNTIF(Tabla2[[#This Row],[PROVEEDOR]],"*"&amp;'Palabra no opera'!$A$2&amp;"*"))</f>
        <v>0</v>
      </c>
      <c r="T450" s="139">
        <f>+$W$5-Tabla2[[#This Row],[FECHA DE FACTURACIÓN]]</f>
        <v>99</v>
      </c>
      <c r="U450" t="str">
        <f>+IF(Tabla2[[#This Row],[dias de credito]]&gt;=Tabla2[[#This Row],[PLAZO Días]],"venc", "No venc")</f>
        <v>venc</v>
      </c>
      <c r="V450" t="str">
        <f>+IF(Tabla2[[#This Row],[FECHA DE PAGO]]&gt;0,"pagada","por pagar")</f>
        <v>pagada</v>
      </c>
      <c r="W450" s="141" t="str">
        <f>+IF(AND(Tabla2[[#This Row],[venc]]="venc",Tabla2[[#This Row],[Columna1]]="por pagar"),"vencida","no")</f>
        <v>no</v>
      </c>
    </row>
    <row r="451" spans="1:23" ht="15.6" hidden="1" x14ac:dyDescent="0.3">
      <c r="A451" s="20">
        <v>0</v>
      </c>
      <c r="B451" s="25">
        <v>0</v>
      </c>
      <c r="C451" s="25"/>
      <c r="D451" s="56">
        <v>0</v>
      </c>
      <c r="E451" s="426">
        <v>45191</v>
      </c>
      <c r="F451" s="26" t="s">
        <v>1883</v>
      </c>
      <c r="G451" s="426">
        <v>45191</v>
      </c>
      <c r="H451" s="35" t="s">
        <v>1952</v>
      </c>
      <c r="I451" s="21">
        <v>105212</v>
      </c>
      <c r="J451" s="21"/>
      <c r="K451" s="22">
        <v>19990.28</v>
      </c>
      <c r="L451" s="23"/>
      <c r="M451" s="22">
        <v>0</v>
      </c>
      <c r="N451" s="74">
        <v>0.11</v>
      </c>
      <c r="O451" s="22">
        <v>11573.32</v>
      </c>
      <c r="P451" s="21">
        <v>113628.95999999999</v>
      </c>
      <c r="S451" s="108" t="b">
        <f>OR(COUNTIF(Tabla2[[#This Row],[PROVEEDOR]],"*"&amp;'Palabra no opera'!$A$2&amp;"*"))</f>
        <v>0</v>
      </c>
      <c r="T451" s="139">
        <f>+$W$5-Tabla2[[#This Row],[FECHA DE FACTURACIÓN]]</f>
        <v>100</v>
      </c>
      <c r="U451" t="str">
        <f>+IF(Tabla2[[#This Row],[dias de credito]]&gt;=Tabla2[[#This Row],[PLAZO Días]],"venc", "No venc")</f>
        <v>venc</v>
      </c>
      <c r="V451" t="str">
        <f>+IF(Tabla2[[#This Row],[FECHA DE PAGO]]&gt;0,"pagada","por pagar")</f>
        <v>pagada</v>
      </c>
      <c r="W451" s="141" t="str">
        <f>+IF(AND(Tabla2[[#This Row],[venc]]="venc",Tabla2[[#This Row],[Columna1]]="por pagar"),"vencida","no")</f>
        <v>no</v>
      </c>
    </row>
    <row r="452" spans="1:23" ht="15.6" hidden="1" x14ac:dyDescent="0.3">
      <c r="A452" s="20">
        <v>30</v>
      </c>
      <c r="B452" s="25">
        <v>0</v>
      </c>
      <c r="C452" s="25"/>
      <c r="D452" s="56">
        <v>0</v>
      </c>
      <c r="E452" s="426">
        <v>45191</v>
      </c>
      <c r="F452" s="26" t="s">
        <v>471</v>
      </c>
      <c r="G452" s="426">
        <v>45190</v>
      </c>
      <c r="H452" s="35" t="s">
        <v>1976</v>
      </c>
      <c r="I452" s="21">
        <v>1669877</v>
      </c>
      <c r="J452" s="21"/>
      <c r="K452" s="22">
        <v>317276.63</v>
      </c>
      <c r="L452" s="23"/>
      <c r="M452" s="22">
        <v>0</v>
      </c>
      <c r="N452" s="74">
        <v>2.5000000000000001E-2</v>
      </c>
      <c r="O452" s="22">
        <v>41746.925000000003</v>
      </c>
      <c r="P452" s="21">
        <v>1945406.7049999998</v>
      </c>
      <c r="S452" s="108" t="b">
        <f>OR(COUNTIF(Tabla2[[#This Row],[PROVEEDOR]],"*"&amp;'Palabra no opera'!$A$2&amp;"*"))</f>
        <v>0</v>
      </c>
      <c r="T452" s="139">
        <f>+$W$5-Tabla2[[#This Row],[FECHA DE FACTURACIÓN]]</f>
        <v>101</v>
      </c>
      <c r="U452" t="str">
        <f>+IF(Tabla2[[#This Row],[dias de credito]]&gt;=Tabla2[[#This Row],[PLAZO Días]],"venc", "No venc")</f>
        <v>venc</v>
      </c>
      <c r="V452" t="str">
        <f>+IF(Tabla2[[#This Row],[FECHA DE PAGO]]&gt;0,"pagada","por pagar")</f>
        <v>pagada</v>
      </c>
      <c r="W452" s="141" t="str">
        <f>+IF(AND(Tabla2[[#This Row],[venc]]="venc",Tabla2[[#This Row],[Columna1]]="por pagar"),"vencida","no")</f>
        <v>no</v>
      </c>
    </row>
    <row r="453" spans="1:23" ht="15.6" hidden="1" x14ac:dyDescent="0.3">
      <c r="A453" s="20">
        <v>30</v>
      </c>
      <c r="B453" s="25">
        <v>5537221.7000000002</v>
      </c>
      <c r="C453" s="25"/>
      <c r="D453" s="56" t="s">
        <v>402</v>
      </c>
      <c r="E453" s="426">
        <v>45191</v>
      </c>
      <c r="F453" s="26" t="s">
        <v>293</v>
      </c>
      <c r="G453" s="426">
        <v>45156</v>
      </c>
      <c r="H453" s="35" t="s">
        <v>1912</v>
      </c>
      <c r="I453" s="21">
        <v>1000204</v>
      </c>
      <c r="J453" s="21"/>
      <c r="K453" s="22">
        <v>190038.76</v>
      </c>
      <c r="L453" s="23"/>
      <c r="M453" s="22">
        <v>0</v>
      </c>
      <c r="N453" s="74">
        <v>0</v>
      </c>
      <c r="O453" s="22">
        <v>0</v>
      </c>
      <c r="P453" s="21">
        <v>1190242.76</v>
      </c>
      <c r="S453" s="108" t="b">
        <f>OR(COUNTIF(Tabla2[[#This Row],[PROVEEDOR]],"*"&amp;'Palabra no opera'!$A$2&amp;"*"))</f>
        <v>0</v>
      </c>
      <c r="T453" s="139">
        <f>+$W$5-Tabla2[[#This Row],[FECHA DE FACTURACIÓN]]</f>
        <v>135</v>
      </c>
      <c r="U453" t="str">
        <f>+IF(Tabla2[[#This Row],[dias de credito]]&gt;=Tabla2[[#This Row],[PLAZO Días]],"venc", "No venc")</f>
        <v>venc</v>
      </c>
      <c r="V453" t="str">
        <f>+IF(Tabla2[[#This Row],[FECHA DE PAGO]]&gt;0,"pagada","por pagar")</f>
        <v>pagada</v>
      </c>
      <c r="W453" s="141" t="str">
        <f>+IF(AND(Tabla2[[#This Row],[venc]]="venc",Tabla2[[#This Row],[Columna1]]="por pagar"),"vencida","no")</f>
        <v>no</v>
      </c>
    </row>
    <row r="454" spans="1:23" ht="15.6" hidden="1" x14ac:dyDescent="0.3">
      <c r="A454" s="20">
        <v>30</v>
      </c>
      <c r="B454" s="25">
        <v>18444236.894999996</v>
      </c>
      <c r="C454" s="25"/>
      <c r="D454" s="56" t="s">
        <v>731</v>
      </c>
      <c r="E454" s="426">
        <v>45191</v>
      </c>
      <c r="F454" s="26" t="s">
        <v>11</v>
      </c>
      <c r="G454" s="426">
        <v>45133</v>
      </c>
      <c r="H454" s="35" t="s">
        <v>1837</v>
      </c>
      <c r="I454" s="21">
        <v>1552944</v>
      </c>
      <c r="J454" s="21"/>
      <c r="K454" s="22">
        <v>295059.36</v>
      </c>
      <c r="L454" s="23"/>
      <c r="M454" s="22">
        <v>0</v>
      </c>
      <c r="N454" s="74">
        <v>2.5000000000000001E-2</v>
      </c>
      <c r="O454" s="22">
        <v>38823.599999999999</v>
      </c>
      <c r="P454" s="21">
        <v>1809179.7599999998</v>
      </c>
      <c r="S454" s="108" t="b">
        <f>OR(COUNTIF(Tabla2[[#This Row],[PROVEEDOR]],"*"&amp;'Palabra no opera'!$A$2&amp;"*"))</f>
        <v>0</v>
      </c>
      <c r="T454" s="139">
        <f>+$W$5-Tabla2[[#This Row],[FECHA DE FACTURACIÓN]]</f>
        <v>158</v>
      </c>
      <c r="U454" t="str">
        <f>+IF(Tabla2[[#This Row],[dias de credito]]&gt;=Tabla2[[#This Row],[PLAZO Días]],"venc", "No venc")</f>
        <v>venc</v>
      </c>
      <c r="V454" t="str">
        <f>+IF(Tabla2[[#This Row],[FECHA DE PAGO]]&gt;0,"pagada","por pagar")</f>
        <v>pagada</v>
      </c>
      <c r="W454" s="141" t="str">
        <f>+IF(AND(Tabla2[[#This Row],[venc]]="venc",Tabla2[[#This Row],[Columna1]]="por pagar"),"vencida","no")</f>
        <v>no</v>
      </c>
    </row>
    <row r="455" spans="1:23" ht="15.6" hidden="1" x14ac:dyDescent="0.3">
      <c r="A455" s="20">
        <v>30</v>
      </c>
      <c r="B455" s="25">
        <v>0</v>
      </c>
      <c r="C455" s="25"/>
      <c r="D455" s="56" t="s">
        <v>211</v>
      </c>
      <c r="E455" s="426">
        <v>45191</v>
      </c>
      <c r="F455" s="26" t="s">
        <v>26</v>
      </c>
      <c r="G455" s="426">
        <v>45124</v>
      </c>
      <c r="H455" s="35" t="s">
        <v>1827</v>
      </c>
      <c r="I455" s="21">
        <v>1952200</v>
      </c>
      <c r="J455" s="21"/>
      <c r="K455" s="22">
        <v>370918</v>
      </c>
      <c r="L455" s="23"/>
      <c r="M455" s="22">
        <v>0</v>
      </c>
      <c r="N455" s="74">
        <v>2.5000000000000001E-2</v>
      </c>
      <c r="O455" s="22">
        <v>48805</v>
      </c>
      <c r="P455" s="21">
        <v>2274313</v>
      </c>
      <c r="S455" s="108" t="b">
        <f>OR(COUNTIF(Tabla2[[#This Row],[PROVEEDOR]],"*"&amp;'Palabra no opera'!$A$2&amp;"*"))</f>
        <v>0</v>
      </c>
      <c r="T455" s="139">
        <f>+$W$5-Tabla2[[#This Row],[FECHA DE FACTURACIÓN]]</f>
        <v>167</v>
      </c>
      <c r="U455" t="str">
        <f>+IF(Tabla2[[#This Row],[dias de credito]]&gt;=Tabla2[[#This Row],[PLAZO Días]],"venc", "No venc")</f>
        <v>venc</v>
      </c>
      <c r="V455" t="str">
        <f>+IF(Tabla2[[#This Row],[FECHA DE PAGO]]&gt;0,"pagada","por pagar")</f>
        <v>pagada</v>
      </c>
      <c r="W455" s="141" t="str">
        <f>+IF(AND(Tabla2[[#This Row],[venc]]="venc",Tabla2[[#This Row],[Columna1]]="por pagar"),"vencida","no")</f>
        <v>no</v>
      </c>
    </row>
    <row r="456" spans="1:23" ht="15.6" hidden="1" x14ac:dyDescent="0.3">
      <c r="A456" s="20">
        <v>30</v>
      </c>
      <c r="B456" s="25">
        <v>5537221.7000000002</v>
      </c>
      <c r="C456" s="25"/>
      <c r="D456" s="56" t="s">
        <v>402</v>
      </c>
      <c r="E456" s="426">
        <v>45191</v>
      </c>
      <c r="F456" s="26" t="s">
        <v>293</v>
      </c>
      <c r="G456" s="426">
        <v>45108</v>
      </c>
      <c r="H456" s="35" t="s">
        <v>1822</v>
      </c>
      <c r="I456" s="21">
        <v>4879238</v>
      </c>
      <c r="J456" s="21"/>
      <c r="K456" s="22">
        <v>927055.22</v>
      </c>
      <c r="L456" s="23"/>
      <c r="M456" s="22">
        <v>0</v>
      </c>
      <c r="N456" s="74">
        <v>2.5000000000000001E-2</v>
      </c>
      <c r="O456" s="22">
        <v>121980.95000000001</v>
      </c>
      <c r="P456" s="21">
        <v>5684312.2699999996</v>
      </c>
      <c r="S456" s="108" t="b">
        <f>OR(COUNTIF(Tabla2[[#This Row],[PROVEEDOR]],"*"&amp;'Palabra no opera'!$A$2&amp;"*"))</f>
        <v>0</v>
      </c>
      <c r="T456" s="139">
        <f>+$W$5-Tabla2[[#This Row],[FECHA DE FACTURACIÓN]]</f>
        <v>183</v>
      </c>
      <c r="U456" t="str">
        <f>+IF(Tabla2[[#This Row],[dias de credito]]&gt;=Tabla2[[#This Row],[PLAZO Días]],"venc", "No venc")</f>
        <v>venc</v>
      </c>
      <c r="V456" t="str">
        <f>+IF(Tabla2[[#This Row],[FECHA DE PAGO]]&gt;0,"pagada","por pagar")</f>
        <v>pagada</v>
      </c>
      <c r="W456" s="141" t="str">
        <f>+IF(AND(Tabla2[[#This Row],[venc]]="venc",Tabla2[[#This Row],[Columna1]]="por pagar"),"vencida","no")</f>
        <v>no</v>
      </c>
    </row>
    <row r="457" spans="1:23" ht="15.6" hidden="1" x14ac:dyDescent="0.3">
      <c r="A457" s="20">
        <v>30</v>
      </c>
      <c r="B457" s="25">
        <v>1316890.8900000001</v>
      </c>
      <c r="C457" s="25"/>
      <c r="D457" s="56" t="s">
        <v>188</v>
      </c>
      <c r="E457" s="426">
        <v>45190</v>
      </c>
      <c r="F457" s="26" t="s">
        <v>17</v>
      </c>
      <c r="G457" s="426">
        <v>45160</v>
      </c>
      <c r="H457" s="35" t="s">
        <v>1892</v>
      </c>
      <c r="I457" s="21">
        <v>614158</v>
      </c>
      <c r="J457" s="21"/>
      <c r="K457" s="22">
        <v>116690.02</v>
      </c>
      <c r="L457" s="23"/>
      <c r="M457" s="22">
        <v>0</v>
      </c>
      <c r="N457" s="74">
        <v>0</v>
      </c>
      <c r="O457" s="22">
        <v>0</v>
      </c>
      <c r="P457" s="21">
        <v>730848.02</v>
      </c>
      <c r="S457" s="108" t="b">
        <f>OR(COUNTIF(Tabla2[[#This Row],[PROVEEDOR]],"*"&amp;'Palabra no opera'!$A$2&amp;"*"))</f>
        <v>0</v>
      </c>
      <c r="T457" s="139">
        <f>+$W$5-Tabla2[[#This Row],[FECHA DE FACTURACIÓN]]</f>
        <v>131</v>
      </c>
      <c r="U457" t="str">
        <f>+IF(Tabla2[[#This Row],[dias de credito]]&gt;=Tabla2[[#This Row],[PLAZO Días]],"venc", "No venc")</f>
        <v>venc</v>
      </c>
      <c r="V457" t="str">
        <f>+IF(Tabla2[[#This Row],[FECHA DE PAGO]]&gt;0,"pagada","por pagar")</f>
        <v>pagada</v>
      </c>
      <c r="W457" s="141" t="str">
        <f>+IF(AND(Tabla2[[#This Row],[venc]]="venc",Tabla2[[#This Row],[Columna1]]="por pagar"),"vencida","no")</f>
        <v>no</v>
      </c>
    </row>
    <row r="458" spans="1:23" ht="15.6" hidden="1" x14ac:dyDescent="0.3">
      <c r="A458" s="20">
        <v>30</v>
      </c>
      <c r="B458" s="25">
        <v>4248480.9550000001</v>
      </c>
      <c r="C458" s="25"/>
      <c r="D458" s="56" t="s">
        <v>107</v>
      </c>
      <c r="E458" s="426">
        <v>45190</v>
      </c>
      <c r="F458" s="26" t="s">
        <v>78</v>
      </c>
      <c r="G458" s="426">
        <v>45139</v>
      </c>
      <c r="H458" s="35" t="s">
        <v>1901</v>
      </c>
      <c r="I458" s="21">
        <v>25562</v>
      </c>
      <c r="J458" s="21"/>
      <c r="K458" s="22">
        <v>4856.78</v>
      </c>
      <c r="L458" s="23"/>
      <c r="M458" s="22">
        <v>0</v>
      </c>
      <c r="N458" s="74">
        <v>0</v>
      </c>
      <c r="O458" s="22">
        <v>0</v>
      </c>
      <c r="P458" s="21">
        <v>30418.78</v>
      </c>
      <c r="S458" s="108" t="b">
        <f>OR(COUNTIF(Tabla2[[#This Row],[PROVEEDOR]],"*"&amp;'Palabra no opera'!$A$2&amp;"*"))</f>
        <v>0</v>
      </c>
      <c r="T458" s="139">
        <f>+$W$5-Tabla2[[#This Row],[FECHA DE FACTURACIÓN]]</f>
        <v>152</v>
      </c>
      <c r="U458" t="str">
        <f>+IF(Tabla2[[#This Row],[dias de credito]]&gt;=Tabla2[[#This Row],[PLAZO Días]],"venc", "No venc")</f>
        <v>venc</v>
      </c>
      <c r="V458" t="str">
        <f>+IF(Tabla2[[#This Row],[FECHA DE PAGO]]&gt;0,"pagada","por pagar")</f>
        <v>pagada</v>
      </c>
      <c r="W458" s="141" t="str">
        <f>+IF(AND(Tabla2[[#This Row],[venc]]="venc",Tabla2[[#This Row],[Columna1]]="por pagar"),"vencida","no")</f>
        <v>no</v>
      </c>
    </row>
    <row r="459" spans="1:23" ht="15.6" hidden="1" x14ac:dyDescent="0.3">
      <c r="A459" s="20">
        <v>30</v>
      </c>
      <c r="B459" s="25">
        <v>17870934.149999999</v>
      </c>
      <c r="C459" s="25"/>
      <c r="D459" s="56" t="s">
        <v>182</v>
      </c>
      <c r="E459" s="426">
        <v>45189</v>
      </c>
      <c r="F459" s="26" t="s">
        <v>18</v>
      </c>
      <c r="G459" s="426">
        <v>45134</v>
      </c>
      <c r="H459" s="35" t="s">
        <v>1940</v>
      </c>
      <c r="I459" s="21">
        <v>8431200</v>
      </c>
      <c r="J459" s="21"/>
      <c r="K459" s="22">
        <v>1601928</v>
      </c>
      <c r="L459" s="23"/>
      <c r="M459" s="22">
        <v>0</v>
      </c>
      <c r="N459" s="74">
        <v>2.5000000000000001E-2</v>
      </c>
      <c r="O459" s="22">
        <v>210780</v>
      </c>
      <c r="P459" s="21">
        <v>9822348</v>
      </c>
      <c r="S459" s="108" t="b">
        <f>OR(COUNTIF(Tabla2[[#This Row],[PROVEEDOR]],"*"&amp;'Palabra no opera'!$A$2&amp;"*"))</f>
        <v>0</v>
      </c>
      <c r="T459" s="139">
        <f>+$W$5-Tabla2[[#This Row],[FECHA DE FACTURACIÓN]]</f>
        <v>157</v>
      </c>
      <c r="U459" t="str">
        <f>+IF(Tabla2[[#This Row],[dias de credito]]&gt;=Tabla2[[#This Row],[PLAZO Días]],"venc", "No venc")</f>
        <v>venc</v>
      </c>
      <c r="V459" t="str">
        <f>+IF(Tabla2[[#This Row],[FECHA DE PAGO]]&gt;0,"pagada","por pagar")</f>
        <v>pagada</v>
      </c>
      <c r="W459" s="141" t="str">
        <f>+IF(AND(Tabla2[[#This Row],[venc]]="venc",Tabla2[[#This Row],[Columna1]]="por pagar"),"vencida","no")</f>
        <v>no</v>
      </c>
    </row>
    <row r="460" spans="1:23" ht="15.6" hidden="1" x14ac:dyDescent="0.3">
      <c r="A460" s="20">
        <v>30</v>
      </c>
      <c r="B460" s="25">
        <v>17870934.149999999</v>
      </c>
      <c r="C460" s="25"/>
      <c r="D460" s="56" t="s">
        <v>182</v>
      </c>
      <c r="E460" s="426">
        <v>45189</v>
      </c>
      <c r="F460" s="26" t="s">
        <v>18</v>
      </c>
      <c r="G460" s="426">
        <v>45128</v>
      </c>
      <c r="H460" s="35" t="s">
        <v>1812</v>
      </c>
      <c r="I460" s="21">
        <v>3393918</v>
      </c>
      <c r="J460" s="21"/>
      <c r="K460" s="22">
        <v>644844.42000000004</v>
      </c>
      <c r="L460" s="23"/>
      <c r="M460" s="22">
        <v>0</v>
      </c>
      <c r="N460" s="74">
        <v>2.5000000000000001E-2</v>
      </c>
      <c r="O460" s="22">
        <v>84847.950000000012</v>
      </c>
      <c r="P460" s="21">
        <v>3953914.4699999997</v>
      </c>
      <c r="S460" s="108" t="b">
        <f>OR(COUNTIF(Tabla2[[#This Row],[PROVEEDOR]],"*"&amp;'Palabra no opera'!$A$2&amp;"*"))</f>
        <v>0</v>
      </c>
      <c r="T460" s="139">
        <f>+$W$5-Tabla2[[#This Row],[FECHA DE FACTURACIÓN]]</f>
        <v>163</v>
      </c>
      <c r="U460" t="str">
        <f>+IF(Tabla2[[#This Row],[dias de credito]]&gt;=Tabla2[[#This Row],[PLAZO Días]],"venc", "No venc")</f>
        <v>venc</v>
      </c>
      <c r="V460" t="str">
        <f>+IF(Tabla2[[#This Row],[FECHA DE PAGO]]&gt;0,"pagada","por pagar")</f>
        <v>pagada</v>
      </c>
      <c r="W460" s="141" t="str">
        <f>+IF(AND(Tabla2[[#This Row],[venc]]="venc",Tabla2[[#This Row],[Columna1]]="por pagar"),"vencida","no")</f>
        <v>no</v>
      </c>
    </row>
    <row r="461" spans="1:23" ht="15.6" hidden="1" x14ac:dyDescent="0.3">
      <c r="A461" s="20">
        <v>30</v>
      </c>
      <c r="B461" s="25">
        <v>2773899.95</v>
      </c>
      <c r="C461" s="25"/>
      <c r="D461" s="56" t="s">
        <v>135</v>
      </c>
      <c r="E461" s="426">
        <v>45189</v>
      </c>
      <c r="F461" s="26" t="s">
        <v>20</v>
      </c>
      <c r="G461" s="426">
        <v>45117</v>
      </c>
      <c r="H461" s="35" t="s">
        <v>1813</v>
      </c>
      <c r="I461" s="21">
        <v>721284</v>
      </c>
      <c r="J461" s="21"/>
      <c r="K461" s="22">
        <v>137043.96</v>
      </c>
      <c r="L461" s="23"/>
      <c r="M461" s="22">
        <v>0</v>
      </c>
      <c r="N461" s="74">
        <v>0</v>
      </c>
      <c r="O461" s="22">
        <v>0</v>
      </c>
      <c r="P461" s="21">
        <v>858327.96</v>
      </c>
      <c r="S461" s="108" t="b">
        <f>OR(COUNTIF(Tabla2[[#This Row],[PROVEEDOR]],"*"&amp;'Palabra no opera'!$A$2&amp;"*"))</f>
        <v>0</v>
      </c>
      <c r="T461" s="139">
        <f>+$W$5-Tabla2[[#This Row],[FECHA DE FACTURACIÓN]]</f>
        <v>174</v>
      </c>
      <c r="U461" t="str">
        <f>+IF(Tabla2[[#This Row],[dias de credito]]&gt;=Tabla2[[#This Row],[PLAZO Días]],"venc", "No venc")</f>
        <v>venc</v>
      </c>
      <c r="V461" t="str">
        <f>+IF(Tabla2[[#This Row],[FECHA DE PAGO]]&gt;0,"pagada","por pagar")</f>
        <v>pagada</v>
      </c>
      <c r="W461" s="141" t="str">
        <f>+IF(AND(Tabla2[[#This Row],[venc]]="venc",Tabla2[[#This Row],[Columna1]]="por pagar"),"vencida","no")</f>
        <v>no</v>
      </c>
    </row>
    <row r="462" spans="1:23" ht="15.6" hidden="1" x14ac:dyDescent="0.3">
      <c r="A462" s="20">
        <v>30</v>
      </c>
      <c r="B462" s="25">
        <v>0</v>
      </c>
      <c r="C462" s="25"/>
      <c r="D462" s="56">
        <v>0</v>
      </c>
      <c r="E462" s="426">
        <v>45188</v>
      </c>
      <c r="F462" s="26" t="s">
        <v>1800</v>
      </c>
      <c r="G462" s="426">
        <v>45188</v>
      </c>
      <c r="H462" s="35" t="s">
        <v>2014</v>
      </c>
      <c r="I462" s="21">
        <v>309000</v>
      </c>
      <c r="J462" s="21"/>
      <c r="K462" s="22">
        <v>0</v>
      </c>
      <c r="L462" s="23"/>
      <c r="M462" s="22">
        <v>0</v>
      </c>
      <c r="N462" s="74">
        <v>0</v>
      </c>
      <c r="O462" s="22">
        <v>0</v>
      </c>
      <c r="P462" s="21">
        <v>309000</v>
      </c>
      <c r="S462" s="108" t="b">
        <f>OR(COUNTIF(Tabla2[[#This Row],[PROVEEDOR]],"*"&amp;'Palabra no opera'!$A$2&amp;"*"))</f>
        <v>0</v>
      </c>
      <c r="T462" s="139">
        <f>+$W$5-Tabla2[[#This Row],[FECHA DE FACTURACIÓN]]</f>
        <v>103</v>
      </c>
      <c r="U462" t="str">
        <f>+IF(Tabla2[[#This Row],[dias de credito]]&gt;=Tabla2[[#This Row],[PLAZO Días]],"venc", "No venc")</f>
        <v>venc</v>
      </c>
      <c r="V462" t="str">
        <f>+IF(Tabla2[[#This Row],[FECHA DE PAGO]]&gt;0,"pagada","por pagar")</f>
        <v>pagada</v>
      </c>
      <c r="W462" s="141" t="str">
        <f>+IF(AND(Tabla2[[#This Row],[venc]]="venc",Tabla2[[#This Row],[Columna1]]="por pagar"),"vencida","no")</f>
        <v>no</v>
      </c>
    </row>
    <row r="463" spans="1:23" ht="15.6" hidden="1" x14ac:dyDescent="0.3">
      <c r="A463" s="20">
        <v>30</v>
      </c>
      <c r="B463" s="25">
        <v>0</v>
      </c>
      <c r="C463" s="25"/>
      <c r="D463" s="56" t="s">
        <v>107</v>
      </c>
      <c r="E463" s="426">
        <v>45188</v>
      </c>
      <c r="F463" s="26" t="s">
        <v>1194</v>
      </c>
      <c r="G463" s="426">
        <v>45187</v>
      </c>
      <c r="H463" s="35" t="s">
        <v>2020</v>
      </c>
      <c r="I463" s="21">
        <v>5788000</v>
      </c>
      <c r="J463" s="21"/>
      <c r="K463" s="22">
        <v>0</v>
      </c>
      <c r="L463" s="23"/>
      <c r="M463" s="22">
        <v>0</v>
      </c>
      <c r="N463" s="74">
        <v>0</v>
      </c>
      <c r="O463" s="22">
        <v>0</v>
      </c>
      <c r="P463" s="21">
        <v>5788000</v>
      </c>
      <c r="S463" s="108" t="b">
        <f>OR(COUNTIF(Tabla2[[#This Row],[PROVEEDOR]],"*"&amp;'Palabra no opera'!$A$2&amp;"*"))</f>
        <v>0</v>
      </c>
      <c r="T463" s="139">
        <f>+$W$5-Tabla2[[#This Row],[FECHA DE FACTURACIÓN]]</f>
        <v>104</v>
      </c>
      <c r="U463" t="str">
        <f>+IF(Tabla2[[#This Row],[dias de credito]]&gt;=Tabla2[[#This Row],[PLAZO Días]],"venc", "No venc")</f>
        <v>venc</v>
      </c>
      <c r="V463" t="str">
        <f>+IF(Tabla2[[#This Row],[FECHA DE PAGO]]&gt;0,"pagada","por pagar")</f>
        <v>pagada</v>
      </c>
      <c r="W463" s="141" t="str">
        <f>+IF(AND(Tabla2[[#This Row],[venc]]="venc",Tabla2[[#This Row],[Columna1]]="por pagar"),"vencida","no")</f>
        <v>no</v>
      </c>
    </row>
    <row r="464" spans="1:23" ht="15.6" hidden="1" x14ac:dyDescent="0.3">
      <c r="A464" s="20">
        <v>30</v>
      </c>
      <c r="B464" s="25">
        <v>0</v>
      </c>
      <c r="C464" s="25"/>
      <c r="D464" s="56" t="s">
        <v>1116</v>
      </c>
      <c r="E464" s="426">
        <v>45188</v>
      </c>
      <c r="F464" s="26" t="s">
        <v>638</v>
      </c>
      <c r="G464" s="426">
        <v>45170</v>
      </c>
      <c r="H464" s="35" t="s">
        <v>1948</v>
      </c>
      <c r="I464" s="21">
        <v>3935776</v>
      </c>
      <c r="J464" s="21"/>
      <c r="K464" s="22">
        <v>665000</v>
      </c>
      <c r="L464" s="23"/>
      <c r="M464" s="22">
        <v>0</v>
      </c>
      <c r="N464" s="74">
        <v>3.5000000000000003E-2</v>
      </c>
      <c r="O464" s="22"/>
      <c r="P464" s="21">
        <v>4600776</v>
      </c>
      <c r="S464" s="108" t="b">
        <f>OR(COUNTIF(Tabla2[[#This Row],[PROVEEDOR]],"*"&amp;'Palabra no opera'!$A$2&amp;"*"))</f>
        <v>1</v>
      </c>
      <c r="T464" s="139">
        <f>+$W$5-Tabla2[[#This Row],[FECHA DE FACTURACIÓN]]</f>
        <v>121</v>
      </c>
      <c r="U464" t="str">
        <f>+IF(Tabla2[[#This Row],[dias de credito]]&gt;=Tabla2[[#This Row],[PLAZO Días]],"venc", "No venc")</f>
        <v>venc</v>
      </c>
      <c r="V464" t="str">
        <f>+IF(Tabla2[[#This Row],[FECHA DE PAGO]]&gt;0,"pagada","por pagar")</f>
        <v>pagada</v>
      </c>
      <c r="W464" s="141" t="str">
        <f>+IF(AND(Tabla2[[#This Row],[venc]]="venc",Tabla2[[#This Row],[Columna1]]="por pagar"),"vencida","no")</f>
        <v>no</v>
      </c>
    </row>
    <row r="465" spans="1:23" ht="15.6" hidden="1" x14ac:dyDescent="0.3">
      <c r="A465" s="20">
        <v>30</v>
      </c>
      <c r="B465" s="25">
        <v>0</v>
      </c>
      <c r="C465" s="25"/>
      <c r="D465" s="56" t="s">
        <v>107</v>
      </c>
      <c r="E465" s="426">
        <v>45187</v>
      </c>
      <c r="F465" s="26" t="s">
        <v>1194</v>
      </c>
      <c r="G465" s="426">
        <v>45187</v>
      </c>
      <c r="H465" s="35" t="s">
        <v>2019</v>
      </c>
      <c r="I465" s="21">
        <v>1348000</v>
      </c>
      <c r="J465" s="21"/>
      <c r="K465" s="22">
        <v>0</v>
      </c>
      <c r="L465" s="23"/>
      <c r="M465" s="22">
        <v>0</v>
      </c>
      <c r="N465" s="74">
        <v>0</v>
      </c>
      <c r="O465" s="22">
        <v>0</v>
      </c>
      <c r="P465" s="21">
        <v>1348000</v>
      </c>
      <c r="S465" s="108" t="b">
        <f>OR(COUNTIF(Tabla2[[#This Row],[PROVEEDOR]],"*"&amp;'Palabra no opera'!$A$2&amp;"*"))</f>
        <v>0</v>
      </c>
      <c r="T465" s="139">
        <f>+$W$5-Tabla2[[#This Row],[FECHA DE FACTURACIÓN]]</f>
        <v>104</v>
      </c>
      <c r="U465" t="str">
        <f>+IF(Tabla2[[#This Row],[dias de credito]]&gt;=Tabla2[[#This Row],[PLAZO Días]],"venc", "No venc")</f>
        <v>venc</v>
      </c>
      <c r="V465" t="str">
        <f>+IF(Tabla2[[#This Row],[FECHA DE PAGO]]&gt;0,"pagada","por pagar")</f>
        <v>pagada</v>
      </c>
      <c r="W465" s="141" t="str">
        <f>+IF(AND(Tabla2[[#This Row],[venc]]="venc",Tabla2[[#This Row],[Columna1]]="por pagar"),"vencida","no")</f>
        <v>no</v>
      </c>
    </row>
    <row r="466" spans="1:23" ht="15.6" hidden="1" x14ac:dyDescent="0.3">
      <c r="A466" s="20">
        <v>30</v>
      </c>
      <c r="B466" s="25">
        <v>0</v>
      </c>
      <c r="C466" s="25"/>
      <c r="D466" s="56">
        <v>0</v>
      </c>
      <c r="E466" s="426">
        <v>45187</v>
      </c>
      <c r="F466" s="26" t="s">
        <v>262</v>
      </c>
      <c r="G466" s="426">
        <v>45183</v>
      </c>
      <c r="H466" s="35" t="s">
        <v>1942</v>
      </c>
      <c r="I466" s="21">
        <v>1260000</v>
      </c>
      <c r="J466" s="21"/>
      <c r="K466" s="22">
        <v>63000</v>
      </c>
      <c r="L466" s="23"/>
      <c r="M466" s="22">
        <v>0</v>
      </c>
      <c r="N466" s="74">
        <v>2.5000000000000001E-2</v>
      </c>
      <c r="O466" s="22">
        <v>31500</v>
      </c>
      <c r="P466" s="21">
        <v>1291500</v>
      </c>
      <c r="S466" s="108" t="b">
        <f>OR(COUNTIF(Tabla2[[#This Row],[PROVEEDOR]],"*"&amp;'Palabra no opera'!$A$2&amp;"*"))</f>
        <v>0</v>
      </c>
      <c r="T466" s="139">
        <f>+$W$5-Tabla2[[#This Row],[FECHA DE FACTURACIÓN]]</f>
        <v>108</v>
      </c>
      <c r="U466" t="str">
        <f>+IF(Tabla2[[#This Row],[dias de credito]]&gt;=Tabla2[[#This Row],[PLAZO Días]],"venc", "No venc")</f>
        <v>venc</v>
      </c>
      <c r="V466" t="str">
        <f>+IF(Tabla2[[#This Row],[FECHA DE PAGO]]&gt;0,"pagada","por pagar")</f>
        <v>pagada</v>
      </c>
      <c r="W466" s="141" t="str">
        <f>+IF(AND(Tabla2[[#This Row],[venc]]="venc",Tabla2[[#This Row],[Columna1]]="por pagar"),"vencida","no")</f>
        <v>no</v>
      </c>
    </row>
    <row r="467" spans="1:23" ht="15.6" hidden="1" x14ac:dyDescent="0.3">
      <c r="A467" s="20">
        <v>30</v>
      </c>
      <c r="B467" s="25">
        <v>0</v>
      </c>
      <c r="C467" s="25"/>
      <c r="D467" s="56" t="s">
        <v>185</v>
      </c>
      <c r="E467" s="426">
        <v>45187</v>
      </c>
      <c r="F467" s="26" t="s">
        <v>628</v>
      </c>
      <c r="G467" s="426">
        <v>45171</v>
      </c>
      <c r="H467" s="35" t="s">
        <v>1945</v>
      </c>
      <c r="I467" s="21">
        <v>1840056</v>
      </c>
      <c r="J467" s="21"/>
      <c r="K467" s="22">
        <v>0</v>
      </c>
      <c r="L467" s="23"/>
      <c r="M467" s="22">
        <v>105097</v>
      </c>
      <c r="N467" s="74">
        <v>0</v>
      </c>
      <c r="O467" s="22">
        <v>0</v>
      </c>
      <c r="P467" s="21">
        <v>1734959</v>
      </c>
      <c r="S467" s="108" t="b">
        <f>OR(COUNTIF(Tabla2[[#This Row],[PROVEEDOR]],"*"&amp;'Palabra no opera'!$A$2&amp;"*"))</f>
        <v>1</v>
      </c>
      <c r="T467" s="139">
        <f>+$W$5-Tabla2[[#This Row],[FECHA DE FACTURACIÓN]]</f>
        <v>120</v>
      </c>
      <c r="U467" t="str">
        <f>+IF(Tabla2[[#This Row],[dias de credito]]&gt;=Tabla2[[#This Row],[PLAZO Días]],"venc", "No venc")</f>
        <v>venc</v>
      </c>
      <c r="V467" t="str">
        <f>+IF(Tabla2[[#This Row],[FECHA DE PAGO]]&gt;0,"pagada","por pagar")</f>
        <v>pagada</v>
      </c>
      <c r="W467" s="141" t="str">
        <f>+IF(AND(Tabla2[[#This Row],[venc]]="venc",Tabla2[[#This Row],[Columna1]]="por pagar"),"vencida","no")</f>
        <v>no</v>
      </c>
    </row>
    <row r="468" spans="1:23" ht="15.6" hidden="1" x14ac:dyDescent="0.3">
      <c r="A468" s="20">
        <v>30</v>
      </c>
      <c r="B468" s="25">
        <v>0</v>
      </c>
      <c r="C468" s="25"/>
      <c r="D468" s="56" t="s">
        <v>368</v>
      </c>
      <c r="E468" s="426">
        <v>45187</v>
      </c>
      <c r="F468" s="26" t="s">
        <v>623</v>
      </c>
      <c r="G468" s="426">
        <v>45170</v>
      </c>
      <c r="H468" s="35" t="s">
        <v>1988</v>
      </c>
      <c r="I468" s="21">
        <v>3792544</v>
      </c>
      <c r="J468" s="21"/>
      <c r="K468" s="22">
        <v>720583.36</v>
      </c>
      <c r="L468" s="23"/>
      <c r="M468" s="22">
        <v>0</v>
      </c>
      <c r="N468" s="74">
        <v>0</v>
      </c>
      <c r="O468" s="22">
        <v>0</v>
      </c>
      <c r="P468" s="21">
        <v>4513127.3600000003</v>
      </c>
      <c r="S468" s="108" t="b">
        <f>OR(COUNTIF(Tabla2[[#This Row],[PROVEEDOR]],"*"&amp;'Palabra no opera'!$A$2&amp;"*"))</f>
        <v>1</v>
      </c>
      <c r="T468" s="139">
        <f>+$W$5-Tabla2[[#This Row],[FECHA DE FACTURACIÓN]]</f>
        <v>121</v>
      </c>
      <c r="U468" t="str">
        <f>+IF(Tabla2[[#This Row],[dias de credito]]&gt;=Tabla2[[#This Row],[PLAZO Días]],"venc", "No venc")</f>
        <v>venc</v>
      </c>
      <c r="V468" t="str">
        <f>+IF(Tabla2[[#This Row],[FECHA DE PAGO]]&gt;0,"pagada","por pagar")</f>
        <v>pagada</v>
      </c>
      <c r="W468" s="141" t="str">
        <f>+IF(AND(Tabla2[[#This Row],[venc]]="venc",Tabla2[[#This Row],[Columna1]]="por pagar"),"vencida","no")</f>
        <v>no</v>
      </c>
    </row>
    <row r="469" spans="1:23" ht="15.6" hidden="1" x14ac:dyDescent="0.3">
      <c r="A469" s="20">
        <v>30</v>
      </c>
      <c r="B469" s="25">
        <v>0</v>
      </c>
      <c r="C469" s="25"/>
      <c r="D469" s="56" t="s">
        <v>368</v>
      </c>
      <c r="E469" s="426">
        <v>45187</v>
      </c>
      <c r="F469" s="26" t="s">
        <v>623</v>
      </c>
      <c r="G469" s="426">
        <v>45170</v>
      </c>
      <c r="H469" s="35" t="s">
        <v>1989</v>
      </c>
      <c r="I469" s="21">
        <v>908172</v>
      </c>
      <c r="J469" s="21"/>
      <c r="K469" s="22">
        <v>172552.68</v>
      </c>
      <c r="L469" s="23"/>
      <c r="M469" s="22">
        <v>0</v>
      </c>
      <c r="N469" s="74">
        <v>0.04</v>
      </c>
      <c r="O469" s="22">
        <v>36326.879999999997</v>
      </c>
      <c r="P469" s="21">
        <v>1044397.7999999999</v>
      </c>
      <c r="S469" s="108" t="b">
        <f>OR(COUNTIF(Tabla2[[#This Row],[PROVEEDOR]],"*"&amp;'Palabra no opera'!$A$2&amp;"*"))</f>
        <v>1</v>
      </c>
      <c r="T469" s="139">
        <f>+$W$5-Tabla2[[#This Row],[FECHA DE FACTURACIÓN]]</f>
        <v>121</v>
      </c>
      <c r="U469" t="str">
        <f>+IF(Tabla2[[#This Row],[dias de credito]]&gt;=Tabla2[[#This Row],[PLAZO Días]],"venc", "No venc")</f>
        <v>venc</v>
      </c>
      <c r="V469" t="str">
        <f>+IF(Tabla2[[#This Row],[FECHA DE PAGO]]&gt;0,"pagada","por pagar")</f>
        <v>pagada</v>
      </c>
      <c r="W469" s="141" t="str">
        <f>+IF(AND(Tabla2[[#This Row],[venc]]="venc",Tabla2[[#This Row],[Columna1]]="por pagar"),"vencida","no")</f>
        <v>no</v>
      </c>
    </row>
    <row r="470" spans="1:23" ht="15.6" hidden="1" x14ac:dyDescent="0.3">
      <c r="A470" s="20">
        <v>30</v>
      </c>
      <c r="B470" s="25">
        <v>352505.48</v>
      </c>
      <c r="C470" s="25"/>
      <c r="D470" s="56" t="s">
        <v>393</v>
      </c>
      <c r="E470" s="426">
        <v>45187</v>
      </c>
      <c r="F470" s="26" t="s">
        <v>631</v>
      </c>
      <c r="G470" s="426">
        <v>45170</v>
      </c>
      <c r="H470" s="35" t="s">
        <v>1946</v>
      </c>
      <c r="I470" s="21">
        <v>318603</v>
      </c>
      <c r="J470" s="21">
        <v>9545</v>
      </c>
      <c r="K470" s="22">
        <v>0</v>
      </c>
      <c r="L470" s="23"/>
      <c r="M470" s="22">
        <v>0</v>
      </c>
      <c r="N470" s="74">
        <v>0</v>
      </c>
      <c r="O470" s="22">
        <v>0</v>
      </c>
      <c r="P470" s="21">
        <v>309058</v>
      </c>
      <c r="S470" s="108" t="b">
        <f>OR(COUNTIF(Tabla2[[#This Row],[PROVEEDOR]],"*"&amp;'Palabra no opera'!$A$2&amp;"*"))</f>
        <v>1</v>
      </c>
      <c r="T470" s="139">
        <f>+$W$5-Tabla2[[#This Row],[FECHA DE FACTURACIÓN]]</f>
        <v>121</v>
      </c>
      <c r="U470" t="str">
        <f>+IF(Tabla2[[#This Row],[dias de credito]]&gt;=Tabla2[[#This Row],[PLAZO Días]],"venc", "No venc")</f>
        <v>venc</v>
      </c>
      <c r="V470" t="str">
        <f>+IF(Tabla2[[#This Row],[FECHA DE PAGO]]&gt;0,"pagada","por pagar")</f>
        <v>pagada</v>
      </c>
      <c r="W470" s="141" t="str">
        <f>+IF(AND(Tabla2[[#This Row],[venc]]="venc",Tabla2[[#This Row],[Columna1]]="por pagar"),"vencida","no")</f>
        <v>no</v>
      </c>
    </row>
    <row r="471" spans="1:23" ht="15.6" hidden="1" x14ac:dyDescent="0.3">
      <c r="A471" s="20">
        <v>30</v>
      </c>
      <c r="B471" s="25">
        <v>0</v>
      </c>
      <c r="C471" s="25"/>
      <c r="D471" s="56" t="s">
        <v>193</v>
      </c>
      <c r="E471" s="426">
        <v>45187</v>
      </c>
      <c r="F471" s="26" t="s">
        <v>651</v>
      </c>
      <c r="G471" s="426">
        <v>45170</v>
      </c>
      <c r="H471" s="35" t="s">
        <v>1943</v>
      </c>
      <c r="I471" s="21">
        <v>243611</v>
      </c>
      <c r="J471" s="21"/>
      <c r="K471" s="22">
        <v>46286.090000000004</v>
      </c>
      <c r="L471" s="23"/>
      <c r="M471" s="22">
        <v>0</v>
      </c>
      <c r="N471" s="74">
        <v>3.5000000000000003E-2</v>
      </c>
      <c r="O471" s="22">
        <v>8526.3850000000002</v>
      </c>
      <c r="P471" s="21">
        <v>281370.70500000002</v>
      </c>
      <c r="S471" s="108" t="b">
        <f>OR(COUNTIF(Tabla2[[#This Row],[PROVEEDOR]],"*"&amp;'Palabra no opera'!$A$2&amp;"*"))</f>
        <v>1</v>
      </c>
      <c r="T471" s="139">
        <f>+$W$5-Tabla2[[#This Row],[FECHA DE FACTURACIÓN]]</f>
        <v>121</v>
      </c>
      <c r="U471" t="str">
        <f>+IF(Tabla2[[#This Row],[dias de credito]]&gt;=Tabla2[[#This Row],[PLAZO Días]],"venc", "No venc")</f>
        <v>venc</v>
      </c>
      <c r="V471" t="str">
        <f>+IF(Tabla2[[#This Row],[FECHA DE PAGO]]&gt;0,"pagada","por pagar")</f>
        <v>pagada</v>
      </c>
      <c r="W471" s="141" t="str">
        <f>+IF(AND(Tabla2[[#This Row],[venc]]="venc",Tabla2[[#This Row],[Columna1]]="por pagar"),"vencida","no")</f>
        <v>no</v>
      </c>
    </row>
    <row r="472" spans="1:23" ht="15.6" hidden="1" x14ac:dyDescent="0.3">
      <c r="A472" s="20">
        <v>45</v>
      </c>
      <c r="B472" s="25">
        <v>15770594</v>
      </c>
      <c r="C472" s="25"/>
      <c r="D472" s="56" t="s">
        <v>594</v>
      </c>
      <c r="E472" s="426">
        <v>45187</v>
      </c>
      <c r="F472" s="26" t="s">
        <v>19</v>
      </c>
      <c r="G472" s="426">
        <v>45135</v>
      </c>
      <c r="H472" s="35" t="s">
        <v>1854</v>
      </c>
      <c r="I472" s="21">
        <v>1220051</v>
      </c>
      <c r="J472" s="21"/>
      <c r="K472" s="22">
        <v>231809.69</v>
      </c>
      <c r="L472" s="23"/>
      <c r="M472" s="22">
        <v>0</v>
      </c>
      <c r="N472" s="74">
        <v>0</v>
      </c>
      <c r="O472" s="22">
        <v>0</v>
      </c>
      <c r="P472" s="21">
        <v>1451860.69</v>
      </c>
      <c r="S472" s="108" t="b">
        <f>OR(COUNTIF(Tabla2[[#This Row],[PROVEEDOR]],"*"&amp;'Palabra no opera'!$A$2&amp;"*"))</f>
        <v>0</v>
      </c>
      <c r="T472" s="139">
        <f>+$W$5-Tabla2[[#This Row],[FECHA DE FACTURACIÓN]]</f>
        <v>156</v>
      </c>
      <c r="U472" t="str">
        <f>+IF(Tabla2[[#This Row],[dias de credito]]&gt;=Tabla2[[#This Row],[PLAZO Días]],"venc", "No venc")</f>
        <v>venc</v>
      </c>
      <c r="V472" t="str">
        <f>+IF(Tabla2[[#This Row],[FECHA DE PAGO]]&gt;0,"pagada","por pagar")</f>
        <v>pagada</v>
      </c>
      <c r="W472" s="141" t="str">
        <f>+IF(AND(Tabla2[[#This Row],[venc]]="venc",Tabla2[[#This Row],[Columna1]]="por pagar"),"vencida","no")</f>
        <v>no</v>
      </c>
    </row>
    <row r="473" spans="1:23" ht="15.6" hidden="1" x14ac:dyDescent="0.3">
      <c r="A473" s="20">
        <v>45</v>
      </c>
      <c r="B473" s="25">
        <v>15770594</v>
      </c>
      <c r="C473" s="25"/>
      <c r="D473" s="56" t="s">
        <v>594</v>
      </c>
      <c r="E473" s="426">
        <v>45187</v>
      </c>
      <c r="F473" s="26" t="s">
        <v>19</v>
      </c>
      <c r="G473" s="426">
        <v>45121</v>
      </c>
      <c r="H473" s="35" t="s">
        <v>1820</v>
      </c>
      <c r="I473" s="21">
        <v>1635783</v>
      </c>
      <c r="J473" s="21"/>
      <c r="K473" s="22">
        <v>310798.77</v>
      </c>
      <c r="L473" s="23"/>
      <c r="M473" s="22">
        <v>0</v>
      </c>
      <c r="N473" s="74">
        <v>0</v>
      </c>
      <c r="O473" s="22">
        <v>0</v>
      </c>
      <c r="P473" s="21">
        <v>1946581.77</v>
      </c>
      <c r="S473" s="108" t="b">
        <f>OR(COUNTIF(Tabla2[[#This Row],[PROVEEDOR]],"*"&amp;'Palabra no opera'!$A$2&amp;"*"))</f>
        <v>0</v>
      </c>
      <c r="T473" s="139">
        <f>+$W$5-Tabla2[[#This Row],[FECHA DE FACTURACIÓN]]</f>
        <v>170</v>
      </c>
      <c r="U473" t="str">
        <f>+IF(Tabla2[[#This Row],[dias de credito]]&gt;=Tabla2[[#This Row],[PLAZO Días]],"venc", "No venc")</f>
        <v>venc</v>
      </c>
      <c r="V473" t="str">
        <f>+IF(Tabla2[[#This Row],[FECHA DE PAGO]]&gt;0,"pagada","por pagar")</f>
        <v>pagada</v>
      </c>
      <c r="W473" s="141" t="str">
        <f>+IF(AND(Tabla2[[#This Row],[venc]]="venc",Tabla2[[#This Row],[Columna1]]="por pagar"),"vencida","no")</f>
        <v>no</v>
      </c>
    </row>
    <row r="474" spans="1:23" ht="15.6" hidden="1" x14ac:dyDescent="0.3">
      <c r="A474" s="20">
        <v>30</v>
      </c>
      <c r="B474" s="25">
        <v>0</v>
      </c>
      <c r="C474" s="25"/>
      <c r="D474" s="56">
        <v>0</v>
      </c>
      <c r="E474" s="426">
        <v>45186</v>
      </c>
      <c r="F474" s="26" t="s">
        <v>1736</v>
      </c>
      <c r="G474" s="426">
        <v>45186</v>
      </c>
      <c r="H474" s="35"/>
      <c r="I474" s="21">
        <v>396000</v>
      </c>
      <c r="J474" s="21"/>
      <c r="K474" s="22">
        <v>0</v>
      </c>
      <c r="L474" s="23"/>
      <c r="M474" s="22">
        <v>0</v>
      </c>
      <c r="N474" s="74">
        <v>0</v>
      </c>
      <c r="O474" s="22">
        <v>0</v>
      </c>
      <c r="P474" s="21">
        <v>396000</v>
      </c>
      <c r="S474" s="108" t="b">
        <f>OR(COUNTIF(Tabla2[[#This Row],[PROVEEDOR]],"*"&amp;'Palabra no opera'!$A$2&amp;"*"))</f>
        <v>0</v>
      </c>
      <c r="T474" s="139">
        <f>+$W$5-Tabla2[[#This Row],[FECHA DE FACTURACIÓN]]</f>
        <v>105</v>
      </c>
      <c r="U474" t="str">
        <f>+IF(Tabla2[[#This Row],[dias de credito]]&gt;=Tabla2[[#This Row],[PLAZO Días]],"venc", "No venc")</f>
        <v>venc</v>
      </c>
      <c r="V474" t="str">
        <f>+IF(Tabla2[[#This Row],[FECHA DE PAGO]]&gt;0,"pagada","por pagar")</f>
        <v>pagada</v>
      </c>
      <c r="W474" s="141" t="str">
        <f>+IF(AND(Tabla2[[#This Row],[venc]]="venc",Tabla2[[#This Row],[Columna1]]="por pagar"),"vencida","no")</f>
        <v>no</v>
      </c>
    </row>
    <row r="475" spans="1:23" ht="15.6" hidden="1" x14ac:dyDescent="0.3">
      <c r="A475" s="20">
        <v>30</v>
      </c>
      <c r="B475" s="25">
        <v>0</v>
      </c>
      <c r="C475" s="25"/>
      <c r="D475" s="56" t="s">
        <v>107</v>
      </c>
      <c r="E475" s="426">
        <v>45183</v>
      </c>
      <c r="F475" s="26" t="s">
        <v>1194</v>
      </c>
      <c r="G475" s="426">
        <v>45183</v>
      </c>
      <c r="H475" s="35" t="s">
        <v>2018</v>
      </c>
      <c r="I475" s="21">
        <v>3672000</v>
      </c>
      <c r="J475" s="21"/>
      <c r="K475" s="22">
        <v>0</v>
      </c>
      <c r="L475" s="23"/>
      <c r="M475" s="22">
        <v>0</v>
      </c>
      <c r="N475" s="74">
        <v>0</v>
      </c>
      <c r="O475" s="22">
        <v>0</v>
      </c>
      <c r="P475" s="21">
        <v>3672000</v>
      </c>
      <c r="S475" s="108" t="b">
        <f>OR(COUNTIF(Tabla2[[#This Row],[PROVEEDOR]],"*"&amp;'Palabra no opera'!$A$2&amp;"*"))</f>
        <v>0</v>
      </c>
      <c r="T475" s="139">
        <f>+$W$5-Tabla2[[#This Row],[FECHA DE FACTURACIÓN]]</f>
        <v>108</v>
      </c>
      <c r="U475" t="str">
        <f>+IF(Tabla2[[#This Row],[dias de credito]]&gt;=Tabla2[[#This Row],[PLAZO Días]],"venc", "No venc")</f>
        <v>venc</v>
      </c>
      <c r="V475" t="str">
        <f>+IF(Tabla2[[#This Row],[FECHA DE PAGO]]&gt;0,"pagada","por pagar")</f>
        <v>pagada</v>
      </c>
      <c r="W475" s="141" t="str">
        <f>+IF(AND(Tabla2[[#This Row],[venc]]="venc",Tabla2[[#This Row],[Columna1]]="por pagar"),"vencida","no")</f>
        <v>no</v>
      </c>
    </row>
    <row r="476" spans="1:23" ht="15.6" hidden="1" x14ac:dyDescent="0.3">
      <c r="A476" s="20">
        <v>30</v>
      </c>
      <c r="B476" s="25">
        <v>0</v>
      </c>
      <c r="C476" s="25"/>
      <c r="D476" s="56" t="s">
        <v>107</v>
      </c>
      <c r="E476" s="426">
        <v>45183</v>
      </c>
      <c r="F476" s="26" t="s">
        <v>362</v>
      </c>
      <c r="G476" s="426">
        <v>45183</v>
      </c>
      <c r="H476" s="35" t="s">
        <v>2004</v>
      </c>
      <c r="I476" s="21">
        <v>171400</v>
      </c>
      <c r="J476" s="21"/>
      <c r="K476" s="22">
        <v>0</v>
      </c>
      <c r="L476" s="23"/>
      <c r="M476" s="22">
        <v>0</v>
      </c>
      <c r="N476" s="74">
        <v>0</v>
      </c>
      <c r="O476" s="22">
        <v>0</v>
      </c>
      <c r="P476" s="21">
        <v>171400</v>
      </c>
      <c r="S476" s="108" t="b">
        <f>OR(COUNTIF(Tabla2[[#This Row],[PROVEEDOR]],"*"&amp;'Palabra no opera'!$A$2&amp;"*"))</f>
        <v>0</v>
      </c>
      <c r="T476" s="139">
        <f>+$W$5-Tabla2[[#This Row],[FECHA DE FACTURACIÓN]]</f>
        <v>108</v>
      </c>
      <c r="U476" t="str">
        <f>+IF(Tabla2[[#This Row],[dias de credito]]&gt;=Tabla2[[#This Row],[PLAZO Días]],"venc", "No venc")</f>
        <v>venc</v>
      </c>
      <c r="V476" t="str">
        <f>+IF(Tabla2[[#This Row],[FECHA DE PAGO]]&gt;0,"pagada","por pagar")</f>
        <v>pagada</v>
      </c>
      <c r="W476" s="141" t="str">
        <f>+IF(AND(Tabla2[[#This Row],[venc]]="venc",Tabla2[[#This Row],[Columna1]]="por pagar"),"vencida","no")</f>
        <v>no</v>
      </c>
    </row>
    <row r="477" spans="1:23" ht="15.6" hidden="1" x14ac:dyDescent="0.3">
      <c r="A477" s="20">
        <v>30</v>
      </c>
      <c r="B477" s="25">
        <v>0</v>
      </c>
      <c r="C477" s="25"/>
      <c r="D477" s="56">
        <v>0</v>
      </c>
      <c r="E477" s="426">
        <v>45182</v>
      </c>
      <c r="F477" s="26" t="s">
        <v>1800</v>
      </c>
      <c r="G477" s="426">
        <v>45182</v>
      </c>
      <c r="H477" s="35" t="s">
        <v>2015</v>
      </c>
      <c r="I477" s="21">
        <v>290750</v>
      </c>
      <c r="J477" s="21"/>
      <c r="K477" s="22">
        <v>0</v>
      </c>
      <c r="L477" s="23"/>
      <c r="M477" s="22">
        <v>0</v>
      </c>
      <c r="N477" s="74">
        <v>0</v>
      </c>
      <c r="O477" s="22">
        <v>0</v>
      </c>
      <c r="P477" s="21">
        <v>290750</v>
      </c>
      <c r="S477" s="108" t="b">
        <f>OR(COUNTIF(Tabla2[[#This Row],[PROVEEDOR]],"*"&amp;'Palabra no opera'!$A$2&amp;"*"))</f>
        <v>0</v>
      </c>
      <c r="T477" s="139">
        <f>+$W$5-Tabla2[[#This Row],[FECHA DE FACTURACIÓN]]</f>
        <v>109</v>
      </c>
      <c r="U477" t="str">
        <f>+IF(Tabla2[[#This Row],[dias de credito]]&gt;=Tabla2[[#This Row],[PLAZO Días]],"venc", "No venc")</f>
        <v>venc</v>
      </c>
      <c r="V477" t="str">
        <f>+IF(Tabla2[[#This Row],[FECHA DE PAGO]]&gt;0,"pagada","por pagar")</f>
        <v>pagada</v>
      </c>
      <c r="W477" s="141" t="str">
        <f>+IF(AND(Tabla2[[#This Row],[venc]]="venc",Tabla2[[#This Row],[Columna1]]="por pagar"),"vencida","no")</f>
        <v>no</v>
      </c>
    </row>
    <row r="478" spans="1:23" ht="15.6" hidden="1" x14ac:dyDescent="0.3">
      <c r="A478" s="20">
        <v>30</v>
      </c>
      <c r="B478" s="25">
        <v>0</v>
      </c>
      <c r="C478" s="25"/>
      <c r="D478" s="56">
        <v>0</v>
      </c>
      <c r="E478" s="426">
        <v>45182</v>
      </c>
      <c r="F478" s="26" t="s">
        <v>1231</v>
      </c>
      <c r="G478" s="426">
        <v>45176</v>
      </c>
      <c r="H478" s="35" t="s">
        <v>1971</v>
      </c>
      <c r="I478" s="21">
        <v>2299500</v>
      </c>
      <c r="J478" s="21"/>
      <c r="K478" s="22">
        <v>0</v>
      </c>
      <c r="L478" s="23"/>
      <c r="M478" s="22">
        <v>0</v>
      </c>
      <c r="N478" s="74">
        <v>0</v>
      </c>
      <c r="O478" s="22">
        <v>0</v>
      </c>
      <c r="P478" s="21">
        <v>2299500</v>
      </c>
      <c r="S478" s="108" t="b">
        <f>OR(COUNTIF(Tabla2[[#This Row],[PROVEEDOR]],"*"&amp;'Palabra no opera'!$A$2&amp;"*"))</f>
        <v>0</v>
      </c>
      <c r="T478" s="139">
        <f>+$W$5-Tabla2[[#This Row],[FECHA DE FACTURACIÓN]]</f>
        <v>115</v>
      </c>
      <c r="U478" t="str">
        <f>+IF(Tabla2[[#This Row],[dias de credito]]&gt;=Tabla2[[#This Row],[PLAZO Días]],"venc", "No venc")</f>
        <v>venc</v>
      </c>
      <c r="V478" t="str">
        <f>+IF(Tabla2[[#This Row],[FECHA DE PAGO]]&gt;0,"pagada","por pagar")</f>
        <v>pagada</v>
      </c>
      <c r="W478" s="141" t="str">
        <f>+IF(AND(Tabla2[[#This Row],[venc]]="venc",Tabla2[[#This Row],[Columna1]]="por pagar"),"vencida","no")</f>
        <v>no</v>
      </c>
    </row>
    <row r="479" spans="1:23" ht="15.6" hidden="1" x14ac:dyDescent="0.3">
      <c r="A479" s="20">
        <v>45</v>
      </c>
      <c r="B479" s="25">
        <v>8072960</v>
      </c>
      <c r="C479" s="25"/>
      <c r="D479" s="56" t="s">
        <v>198</v>
      </c>
      <c r="E479" s="426">
        <v>45182</v>
      </c>
      <c r="F479" s="26" t="s">
        <v>10</v>
      </c>
      <c r="G479" s="426">
        <v>45118</v>
      </c>
      <c r="H479" s="35" t="s">
        <v>1823</v>
      </c>
      <c r="I479" s="21">
        <v>924000</v>
      </c>
      <c r="J479" s="21"/>
      <c r="K479" s="22">
        <v>175560</v>
      </c>
      <c r="L479" s="23"/>
      <c r="M479" s="22">
        <v>0</v>
      </c>
      <c r="N479" s="74">
        <v>0</v>
      </c>
      <c r="O479" s="22">
        <v>0</v>
      </c>
      <c r="P479" s="21">
        <v>1099560</v>
      </c>
      <c r="S479" s="108" t="b">
        <f>OR(COUNTIF(Tabla2[[#This Row],[PROVEEDOR]],"*"&amp;'Palabra no opera'!$A$2&amp;"*"))</f>
        <v>0</v>
      </c>
      <c r="T479" s="139">
        <f>+$W$5-Tabla2[[#This Row],[FECHA DE FACTURACIÓN]]</f>
        <v>173</v>
      </c>
      <c r="U479" t="str">
        <f>+IF(Tabla2[[#This Row],[dias de credito]]&gt;=Tabla2[[#This Row],[PLAZO Días]],"venc", "No venc")</f>
        <v>venc</v>
      </c>
      <c r="V479" t="str">
        <f>+IF(Tabla2[[#This Row],[FECHA DE PAGO]]&gt;0,"pagada","por pagar")</f>
        <v>pagada</v>
      </c>
      <c r="W479" s="141" t="str">
        <f>+IF(AND(Tabla2[[#This Row],[venc]]="venc",Tabla2[[#This Row],[Columna1]]="por pagar"),"vencida","no")</f>
        <v>no</v>
      </c>
    </row>
    <row r="480" spans="1:23" ht="15.6" hidden="1" x14ac:dyDescent="0.3">
      <c r="A480" s="20">
        <v>45</v>
      </c>
      <c r="B480" s="25">
        <v>8072960</v>
      </c>
      <c r="C480" s="25"/>
      <c r="D480" s="56" t="s">
        <v>198</v>
      </c>
      <c r="E480" s="426">
        <v>45182</v>
      </c>
      <c r="F480" s="26" t="s">
        <v>10</v>
      </c>
      <c r="G480" s="426">
        <v>45118</v>
      </c>
      <c r="H480" s="35" t="s">
        <v>1824</v>
      </c>
      <c r="I480" s="21">
        <v>-3240000</v>
      </c>
      <c r="J480" s="21"/>
      <c r="K480" s="22">
        <v>-615600</v>
      </c>
      <c r="L480" s="23"/>
      <c r="M480" s="22">
        <v>0</v>
      </c>
      <c r="N480" s="74">
        <v>0</v>
      </c>
      <c r="O480" s="22">
        <v>0</v>
      </c>
      <c r="P480" s="21">
        <v>-3855600</v>
      </c>
      <c r="S480" s="108" t="b">
        <f>OR(COUNTIF(Tabla2[[#This Row],[PROVEEDOR]],"*"&amp;'Palabra no opera'!$A$2&amp;"*"))</f>
        <v>0</v>
      </c>
      <c r="T480" s="139">
        <f>+$W$5-Tabla2[[#This Row],[FECHA DE FACTURACIÓN]]</f>
        <v>173</v>
      </c>
      <c r="U480" t="str">
        <f>+IF(Tabla2[[#This Row],[dias de credito]]&gt;=Tabla2[[#This Row],[PLAZO Días]],"venc", "No venc")</f>
        <v>venc</v>
      </c>
      <c r="V480" t="str">
        <f>+IF(Tabla2[[#This Row],[FECHA DE PAGO]]&gt;0,"pagada","por pagar")</f>
        <v>pagada</v>
      </c>
      <c r="W480" s="141" t="str">
        <f>+IF(AND(Tabla2[[#This Row],[venc]]="venc",Tabla2[[#This Row],[Columna1]]="por pagar"),"vencida","no")</f>
        <v>no</v>
      </c>
    </row>
    <row r="481" spans="1:23" ht="15.6" hidden="1" x14ac:dyDescent="0.3">
      <c r="A481" s="20">
        <v>45</v>
      </c>
      <c r="B481" s="25">
        <v>8072960</v>
      </c>
      <c r="C481" s="25"/>
      <c r="D481" s="56" t="s">
        <v>198</v>
      </c>
      <c r="E481" s="426">
        <v>45182</v>
      </c>
      <c r="F481" s="26" t="s">
        <v>10</v>
      </c>
      <c r="G481" s="426">
        <v>45107</v>
      </c>
      <c r="H481" s="35" t="s">
        <v>1825</v>
      </c>
      <c r="I481" s="21">
        <v>3240000</v>
      </c>
      <c r="J481" s="21"/>
      <c r="K481" s="22">
        <v>615600</v>
      </c>
      <c r="L481" s="23"/>
      <c r="M481" s="22">
        <v>0</v>
      </c>
      <c r="N481" s="74">
        <v>0</v>
      </c>
      <c r="O481" s="22">
        <v>0</v>
      </c>
      <c r="P481" s="21">
        <v>3855600</v>
      </c>
      <c r="S481" s="108" t="b">
        <f>OR(COUNTIF(Tabla2[[#This Row],[PROVEEDOR]],"*"&amp;'Palabra no opera'!$A$2&amp;"*"))</f>
        <v>0</v>
      </c>
      <c r="T481" s="139">
        <f>+$W$5-Tabla2[[#This Row],[FECHA DE FACTURACIÓN]]</f>
        <v>184</v>
      </c>
      <c r="U481" t="str">
        <f>+IF(Tabla2[[#This Row],[dias de credito]]&gt;=Tabla2[[#This Row],[PLAZO Días]],"venc", "No venc")</f>
        <v>venc</v>
      </c>
      <c r="V481" t="str">
        <f>+IF(Tabla2[[#This Row],[FECHA DE PAGO]]&gt;0,"pagada","por pagar")</f>
        <v>pagada</v>
      </c>
      <c r="W481" s="141" t="str">
        <f>+IF(AND(Tabla2[[#This Row],[venc]]="venc",Tabla2[[#This Row],[Columna1]]="por pagar"),"vencida","no")</f>
        <v>no</v>
      </c>
    </row>
    <row r="482" spans="1:23" ht="15.6" hidden="1" x14ac:dyDescent="0.3">
      <c r="A482" s="20">
        <v>30</v>
      </c>
      <c r="B482" s="25">
        <v>0</v>
      </c>
      <c r="C482" s="25"/>
      <c r="D482" s="56" t="s">
        <v>659</v>
      </c>
      <c r="E482" s="426">
        <v>45181</v>
      </c>
      <c r="F482" s="26" t="s">
        <v>227</v>
      </c>
      <c r="G482" s="426">
        <v>45181</v>
      </c>
      <c r="H482" s="35" t="s">
        <v>1983</v>
      </c>
      <c r="I482" s="21">
        <v>1660000</v>
      </c>
      <c r="J482" s="21"/>
      <c r="K482" s="22">
        <v>0</v>
      </c>
      <c r="L482" s="23"/>
      <c r="M482" s="22">
        <v>0</v>
      </c>
      <c r="N482" s="74">
        <v>0</v>
      </c>
      <c r="O482" s="22">
        <v>0</v>
      </c>
      <c r="P482" s="21">
        <v>1660000</v>
      </c>
      <c r="S482" s="108" t="b">
        <f>OR(COUNTIF(Tabla2[[#This Row],[PROVEEDOR]],"*"&amp;'Palabra no opera'!$A$2&amp;"*"))</f>
        <v>0</v>
      </c>
      <c r="T482" s="139">
        <f>+$W$5-Tabla2[[#This Row],[FECHA DE FACTURACIÓN]]</f>
        <v>110</v>
      </c>
      <c r="U482" t="str">
        <f>+IF(Tabla2[[#This Row],[dias de credito]]&gt;=Tabla2[[#This Row],[PLAZO Días]],"venc", "No venc")</f>
        <v>venc</v>
      </c>
      <c r="V482" t="str">
        <f>+IF(Tabla2[[#This Row],[FECHA DE PAGO]]&gt;0,"pagada","por pagar")</f>
        <v>pagada</v>
      </c>
      <c r="W482" s="141" t="str">
        <f>+IF(AND(Tabla2[[#This Row],[venc]]="venc",Tabla2[[#This Row],[Columna1]]="por pagar"),"vencida","no")</f>
        <v>no</v>
      </c>
    </row>
    <row r="483" spans="1:23" ht="15.6" hidden="1" x14ac:dyDescent="0.3">
      <c r="A483" s="20">
        <v>0</v>
      </c>
      <c r="B483" s="25">
        <v>0</v>
      </c>
      <c r="C483" s="25"/>
      <c r="D483" s="56">
        <v>0</v>
      </c>
      <c r="E483" s="426">
        <v>45178</v>
      </c>
      <c r="F483" s="26" t="s">
        <v>1883</v>
      </c>
      <c r="G483" s="426">
        <v>45178</v>
      </c>
      <c r="H483" s="35" t="s">
        <v>1884</v>
      </c>
      <c r="I483" s="21">
        <v>499612</v>
      </c>
      <c r="J483" s="21"/>
      <c r="K483" s="22">
        <v>94926.28</v>
      </c>
      <c r="L483" s="23"/>
      <c r="M483" s="22">
        <v>0</v>
      </c>
      <c r="N483" s="74">
        <v>0.11</v>
      </c>
      <c r="O483" s="22">
        <v>54957.32</v>
      </c>
      <c r="P483" s="21">
        <v>539580.96000000008</v>
      </c>
      <c r="S483" s="108" t="b">
        <f>OR(COUNTIF(Tabla2[[#This Row],[PROVEEDOR]],"*"&amp;'Palabra no opera'!$A$2&amp;"*"))</f>
        <v>0</v>
      </c>
      <c r="T483" s="139">
        <f>+$W$5-Tabla2[[#This Row],[FECHA DE FACTURACIÓN]]</f>
        <v>113</v>
      </c>
      <c r="U483" t="str">
        <f>+IF(Tabla2[[#This Row],[dias de credito]]&gt;=Tabla2[[#This Row],[PLAZO Días]],"venc", "No venc")</f>
        <v>venc</v>
      </c>
      <c r="V483" t="str">
        <f>+IF(Tabla2[[#This Row],[FECHA DE PAGO]]&gt;0,"pagada","por pagar")</f>
        <v>pagada</v>
      </c>
      <c r="W483" s="141" t="str">
        <f>+IF(AND(Tabla2[[#This Row],[venc]]="venc",Tabla2[[#This Row],[Columna1]]="por pagar"),"vencida","no")</f>
        <v>no</v>
      </c>
    </row>
    <row r="484" spans="1:23" ht="15.6" hidden="1" x14ac:dyDescent="0.3">
      <c r="A484" s="20">
        <v>30</v>
      </c>
      <c r="B484" s="25">
        <v>0</v>
      </c>
      <c r="C484" s="25"/>
      <c r="D484" s="56">
        <v>0</v>
      </c>
      <c r="E484" s="426">
        <v>45177</v>
      </c>
      <c r="F484" s="26" t="s">
        <v>413</v>
      </c>
      <c r="G484" s="426">
        <v>45152</v>
      </c>
      <c r="H484" s="35">
        <v>394</v>
      </c>
      <c r="I484" s="21">
        <v>1176000</v>
      </c>
      <c r="J484" s="21"/>
      <c r="K484" s="22">
        <v>0</v>
      </c>
      <c r="L484" s="23"/>
      <c r="M484" s="22">
        <v>0</v>
      </c>
      <c r="N484" s="74">
        <v>0</v>
      </c>
      <c r="O484" s="22">
        <v>0</v>
      </c>
      <c r="P484" s="21">
        <v>1176000</v>
      </c>
      <c r="S484" s="108" t="b">
        <f>OR(COUNTIF(Tabla2[[#This Row],[PROVEEDOR]],"*"&amp;'Palabra no opera'!$A$2&amp;"*"))</f>
        <v>0</v>
      </c>
      <c r="T484" s="139">
        <f>+$W$5-Tabla2[[#This Row],[FECHA DE FACTURACIÓN]]</f>
        <v>139</v>
      </c>
      <c r="U484" t="str">
        <f>+IF(Tabla2[[#This Row],[dias de credito]]&gt;=Tabla2[[#This Row],[PLAZO Días]],"venc", "No venc")</f>
        <v>venc</v>
      </c>
      <c r="V484" t="str">
        <f>+IF(Tabla2[[#This Row],[FECHA DE PAGO]]&gt;0,"pagada","por pagar")</f>
        <v>pagada</v>
      </c>
      <c r="W484" s="141" t="str">
        <f>+IF(AND(Tabla2[[#This Row],[venc]]="venc",Tabla2[[#This Row],[Columna1]]="por pagar"),"vencida","no")</f>
        <v>no</v>
      </c>
    </row>
    <row r="485" spans="1:23" ht="15.6" hidden="1" x14ac:dyDescent="0.3">
      <c r="A485" s="20">
        <v>30</v>
      </c>
      <c r="B485" s="25">
        <v>0</v>
      </c>
      <c r="C485" s="25"/>
      <c r="D485" s="56" t="s">
        <v>107</v>
      </c>
      <c r="E485" s="426">
        <v>45175</v>
      </c>
      <c r="F485" s="26" t="s">
        <v>404</v>
      </c>
      <c r="G485" s="426">
        <v>45175</v>
      </c>
      <c r="H485" s="35" t="s">
        <v>2017</v>
      </c>
      <c r="I485" s="21">
        <v>1676636</v>
      </c>
      <c r="J485" s="21"/>
      <c r="K485" s="22">
        <v>0</v>
      </c>
      <c r="L485" s="23"/>
      <c r="M485" s="22">
        <v>0</v>
      </c>
      <c r="N485" s="74">
        <v>0</v>
      </c>
      <c r="O485" s="22">
        <v>0</v>
      </c>
      <c r="P485" s="21">
        <v>1676636</v>
      </c>
      <c r="S485" s="108" t="b">
        <f>OR(COUNTIF(Tabla2[[#This Row],[PROVEEDOR]],"*"&amp;'Palabra no opera'!$A$2&amp;"*"))</f>
        <v>0</v>
      </c>
      <c r="T485" s="139">
        <f>+$W$5-Tabla2[[#This Row],[FECHA DE FACTURACIÓN]]</f>
        <v>116</v>
      </c>
      <c r="U485" t="str">
        <f>+IF(Tabla2[[#This Row],[dias de credito]]&gt;=Tabla2[[#This Row],[PLAZO Días]],"venc", "No venc")</f>
        <v>venc</v>
      </c>
      <c r="V485" t="str">
        <f>+IF(Tabla2[[#This Row],[FECHA DE PAGO]]&gt;0,"pagada","por pagar")</f>
        <v>pagada</v>
      </c>
      <c r="W485" s="141" t="str">
        <f>+IF(AND(Tabla2[[#This Row],[venc]]="venc",Tabla2[[#This Row],[Columna1]]="por pagar"),"vencida","no")</f>
        <v>no</v>
      </c>
    </row>
    <row r="486" spans="1:23" ht="15.6" hidden="1" x14ac:dyDescent="0.3">
      <c r="A486" s="20">
        <v>30</v>
      </c>
      <c r="B486" s="25">
        <v>1316890.8900000001</v>
      </c>
      <c r="C486" s="25"/>
      <c r="D486" s="56" t="s">
        <v>188</v>
      </c>
      <c r="E486" s="426">
        <v>45175</v>
      </c>
      <c r="F486" s="26" t="s">
        <v>17</v>
      </c>
      <c r="G486" s="426">
        <v>45175</v>
      </c>
      <c r="H486" s="35" t="s">
        <v>1927</v>
      </c>
      <c r="I486" s="21">
        <v>34665</v>
      </c>
      <c r="J486" s="21"/>
      <c r="K486" s="22">
        <v>6586.35</v>
      </c>
      <c r="L486" s="23"/>
      <c r="M486" s="22">
        <v>0</v>
      </c>
      <c r="N486" s="74">
        <v>0</v>
      </c>
      <c r="O486" s="22">
        <v>0</v>
      </c>
      <c r="P486" s="21">
        <v>41251.35</v>
      </c>
      <c r="S486" s="108" t="b">
        <f>OR(COUNTIF(Tabla2[[#This Row],[PROVEEDOR]],"*"&amp;'Palabra no opera'!$A$2&amp;"*"))</f>
        <v>0</v>
      </c>
      <c r="T486" s="139">
        <f>+$W$5-Tabla2[[#This Row],[FECHA DE FACTURACIÓN]]</f>
        <v>116</v>
      </c>
      <c r="U486" t="str">
        <f>+IF(Tabla2[[#This Row],[dias de credito]]&gt;=Tabla2[[#This Row],[PLAZO Días]],"venc", "No venc")</f>
        <v>venc</v>
      </c>
      <c r="V486" t="str">
        <f>+IF(Tabla2[[#This Row],[FECHA DE PAGO]]&gt;0,"pagada","por pagar")</f>
        <v>pagada</v>
      </c>
      <c r="W486" s="141" t="str">
        <f>+IF(AND(Tabla2[[#This Row],[venc]]="venc",Tabla2[[#This Row],[Columna1]]="por pagar"),"vencida","no")</f>
        <v>no</v>
      </c>
    </row>
    <row r="487" spans="1:23" ht="15.6" hidden="1" x14ac:dyDescent="0.3">
      <c r="A487" s="20">
        <v>30</v>
      </c>
      <c r="B487" s="25">
        <v>0</v>
      </c>
      <c r="C487" s="25"/>
      <c r="D487" s="56">
        <v>0</v>
      </c>
      <c r="E487" s="426">
        <v>45175</v>
      </c>
      <c r="F487" s="26" t="s">
        <v>1800</v>
      </c>
      <c r="G487" s="426">
        <v>45174</v>
      </c>
      <c r="H487" s="35" t="s">
        <v>1939</v>
      </c>
      <c r="I487" s="21">
        <v>239700</v>
      </c>
      <c r="J487" s="21"/>
      <c r="K487" s="22">
        <v>0</v>
      </c>
      <c r="L487" s="23"/>
      <c r="M487" s="22">
        <v>0</v>
      </c>
      <c r="N487" s="74">
        <v>0</v>
      </c>
      <c r="O487" s="22">
        <v>0</v>
      </c>
      <c r="P487" s="21">
        <v>239700</v>
      </c>
      <c r="S487" s="108" t="b">
        <f>OR(COUNTIF(Tabla2[[#This Row],[PROVEEDOR]],"*"&amp;'Palabra no opera'!$A$2&amp;"*"))</f>
        <v>0</v>
      </c>
      <c r="T487" s="139">
        <f>+$W$5-Tabla2[[#This Row],[FECHA DE FACTURACIÓN]]</f>
        <v>117</v>
      </c>
      <c r="U487" t="str">
        <f>+IF(Tabla2[[#This Row],[dias de credito]]&gt;=Tabla2[[#This Row],[PLAZO Días]],"venc", "No venc")</f>
        <v>venc</v>
      </c>
      <c r="V487" t="str">
        <f>+IF(Tabla2[[#This Row],[FECHA DE PAGO]]&gt;0,"pagada","por pagar")</f>
        <v>pagada</v>
      </c>
      <c r="W487" s="141" t="str">
        <f>+IF(AND(Tabla2[[#This Row],[venc]]="venc",Tabla2[[#This Row],[Columna1]]="por pagar"),"vencida","no")</f>
        <v>no</v>
      </c>
    </row>
    <row r="488" spans="1:23" ht="15.6" hidden="1" x14ac:dyDescent="0.3">
      <c r="A488" s="20">
        <v>30</v>
      </c>
      <c r="B488" s="25">
        <v>0</v>
      </c>
      <c r="C488" s="25"/>
      <c r="D488" s="56" t="s">
        <v>184</v>
      </c>
      <c r="E488" s="426">
        <v>45175</v>
      </c>
      <c r="F488" s="26" t="s">
        <v>65</v>
      </c>
      <c r="G488" s="426">
        <v>45148</v>
      </c>
      <c r="H488" s="35" t="s">
        <v>1877</v>
      </c>
      <c r="I488" s="21">
        <v>831933</v>
      </c>
      <c r="J488" s="21"/>
      <c r="K488" s="22">
        <v>158067.26999999999</v>
      </c>
      <c r="L488" s="23"/>
      <c r="M488" s="22">
        <v>87000</v>
      </c>
      <c r="N488" s="74">
        <v>0</v>
      </c>
      <c r="O488" s="22">
        <v>0</v>
      </c>
      <c r="P488" s="21">
        <v>903000.27</v>
      </c>
      <c r="S488" s="108" t="b">
        <f>OR(COUNTIF(Tabla2[[#This Row],[PROVEEDOR]],"*"&amp;'Palabra no opera'!$A$2&amp;"*"))</f>
        <v>0</v>
      </c>
      <c r="T488" s="139">
        <f>+$W$5-Tabla2[[#This Row],[FECHA DE FACTURACIÓN]]</f>
        <v>143</v>
      </c>
      <c r="U488" t="str">
        <f>+IF(Tabla2[[#This Row],[dias de credito]]&gt;=Tabla2[[#This Row],[PLAZO Días]],"venc", "No venc")</f>
        <v>venc</v>
      </c>
      <c r="V488" t="str">
        <f>+IF(Tabla2[[#This Row],[FECHA DE PAGO]]&gt;0,"pagada","por pagar")</f>
        <v>pagada</v>
      </c>
      <c r="W488" s="141" t="str">
        <f>+IF(AND(Tabla2[[#This Row],[venc]]="venc",Tabla2[[#This Row],[Columna1]]="por pagar"),"vencida","no")</f>
        <v>no</v>
      </c>
    </row>
    <row r="489" spans="1:23" ht="15.6" hidden="1" x14ac:dyDescent="0.3">
      <c r="A489" s="20">
        <v>45</v>
      </c>
      <c r="B489" s="25">
        <v>8072960</v>
      </c>
      <c r="C489" s="25"/>
      <c r="D489" s="56" t="s">
        <v>198</v>
      </c>
      <c r="E489" s="426">
        <v>45175</v>
      </c>
      <c r="F489" s="26" t="s">
        <v>10</v>
      </c>
      <c r="G489" s="426">
        <v>45100</v>
      </c>
      <c r="H489" s="35" t="s">
        <v>1784</v>
      </c>
      <c r="I489" s="21">
        <v>560000</v>
      </c>
      <c r="J489" s="21"/>
      <c r="K489" s="22">
        <v>106400</v>
      </c>
      <c r="L489" s="23"/>
      <c r="M489" s="22">
        <v>0</v>
      </c>
      <c r="N489" s="74">
        <v>0</v>
      </c>
      <c r="O489" s="22">
        <v>0</v>
      </c>
      <c r="P489" s="21">
        <v>666400</v>
      </c>
      <c r="S489" s="108" t="b">
        <f>OR(COUNTIF(Tabla2[[#This Row],[PROVEEDOR]],"*"&amp;'Palabra no opera'!$A$2&amp;"*"))</f>
        <v>0</v>
      </c>
      <c r="T489" s="139">
        <f>+$W$5-Tabla2[[#This Row],[FECHA DE FACTURACIÓN]]</f>
        <v>191</v>
      </c>
      <c r="U489" t="str">
        <f>+IF(Tabla2[[#This Row],[dias de credito]]&gt;=Tabla2[[#This Row],[PLAZO Días]],"venc", "No venc")</f>
        <v>venc</v>
      </c>
      <c r="V489" t="str">
        <f>+IF(Tabla2[[#This Row],[FECHA DE PAGO]]&gt;0,"pagada","por pagar")</f>
        <v>pagada</v>
      </c>
      <c r="W489" s="141" t="str">
        <f>+IF(AND(Tabla2[[#This Row],[venc]]="venc",Tabla2[[#This Row],[Columna1]]="por pagar"),"vencida","no")</f>
        <v>no</v>
      </c>
    </row>
    <row r="490" spans="1:23" ht="15.6" hidden="1" x14ac:dyDescent="0.3">
      <c r="A490" s="20">
        <v>60</v>
      </c>
      <c r="B490" s="25">
        <v>0</v>
      </c>
      <c r="C490" s="25"/>
      <c r="D490" s="56">
        <v>0</v>
      </c>
      <c r="E490" s="426">
        <v>45175</v>
      </c>
      <c r="F490" s="26" t="s">
        <v>951</v>
      </c>
      <c r="G490" s="426">
        <v>45097</v>
      </c>
      <c r="H490" s="35" t="s">
        <v>1774</v>
      </c>
      <c r="I490" s="21">
        <v>2755600</v>
      </c>
      <c r="J490" s="21"/>
      <c r="K490" s="22">
        <v>523564</v>
      </c>
      <c r="L490" s="23"/>
      <c r="M490" s="22">
        <v>0</v>
      </c>
      <c r="N490" s="74">
        <v>0</v>
      </c>
      <c r="O490" s="22">
        <v>0</v>
      </c>
      <c r="P490" s="21">
        <v>3279164</v>
      </c>
      <c r="S490" s="108" t="b">
        <f>OR(COUNTIF(Tabla2[[#This Row],[PROVEEDOR]],"*"&amp;'Palabra no opera'!$A$2&amp;"*"))</f>
        <v>1</v>
      </c>
      <c r="T490" s="139">
        <f>+$W$5-Tabla2[[#This Row],[FECHA DE FACTURACIÓN]]</f>
        <v>194</v>
      </c>
      <c r="U490" t="str">
        <f>+IF(Tabla2[[#This Row],[dias de credito]]&gt;=Tabla2[[#This Row],[PLAZO Días]],"venc", "No venc")</f>
        <v>venc</v>
      </c>
      <c r="V490" t="str">
        <f>+IF(Tabla2[[#This Row],[FECHA DE PAGO]]&gt;0,"pagada","por pagar")</f>
        <v>pagada</v>
      </c>
      <c r="W490" s="141" t="str">
        <f>+IF(AND(Tabla2[[#This Row],[venc]]="venc",Tabla2[[#This Row],[Columna1]]="por pagar"),"vencida","no")</f>
        <v>no</v>
      </c>
    </row>
    <row r="491" spans="1:23" ht="15.6" hidden="1" x14ac:dyDescent="0.3">
      <c r="A491" s="20">
        <v>30</v>
      </c>
      <c r="B491" s="25">
        <v>27189617.395</v>
      </c>
      <c r="C491" s="25"/>
      <c r="D491" s="56" t="s">
        <v>686</v>
      </c>
      <c r="E491" s="426">
        <v>45175</v>
      </c>
      <c r="F491" s="26" t="s">
        <v>77</v>
      </c>
      <c r="G491" s="426">
        <v>45090</v>
      </c>
      <c r="H491" s="35" t="s">
        <v>1757</v>
      </c>
      <c r="I491" s="21">
        <v>4576000</v>
      </c>
      <c r="J491" s="21"/>
      <c r="K491" s="22">
        <v>869440</v>
      </c>
      <c r="L491" s="23"/>
      <c r="M491" s="22">
        <v>0</v>
      </c>
      <c r="N491" s="74">
        <v>2.5000000000000001E-2</v>
      </c>
      <c r="O491" s="22">
        <v>114400</v>
      </c>
      <c r="P491" s="21">
        <v>5331040</v>
      </c>
      <c r="S491" s="108" t="b">
        <f>OR(COUNTIF(Tabla2[[#This Row],[PROVEEDOR]],"*"&amp;'Palabra no opera'!$A$2&amp;"*"))</f>
        <v>0</v>
      </c>
      <c r="T491" s="139">
        <f>+$W$5-Tabla2[[#This Row],[FECHA DE FACTURACIÓN]]</f>
        <v>201</v>
      </c>
      <c r="U491" t="str">
        <f>+IF(Tabla2[[#This Row],[dias de credito]]&gt;=Tabla2[[#This Row],[PLAZO Días]],"venc", "No venc")</f>
        <v>venc</v>
      </c>
      <c r="V491" t="str">
        <f>+IF(Tabla2[[#This Row],[FECHA DE PAGO]]&gt;0,"pagada","por pagar")</f>
        <v>pagada</v>
      </c>
      <c r="W491" s="141" t="str">
        <f>+IF(AND(Tabla2[[#This Row],[venc]]="venc",Tabla2[[#This Row],[Columna1]]="por pagar"),"vencida","no")</f>
        <v>no</v>
      </c>
    </row>
    <row r="492" spans="1:23" ht="15.6" hidden="1" x14ac:dyDescent="0.3">
      <c r="A492" s="20">
        <v>30</v>
      </c>
      <c r="B492" s="25">
        <v>22881826.27</v>
      </c>
      <c r="C492" s="25"/>
      <c r="D492" s="56" t="s">
        <v>197</v>
      </c>
      <c r="E492" s="426">
        <v>45175</v>
      </c>
      <c r="F492" s="26" t="s">
        <v>9</v>
      </c>
      <c r="G492" s="426">
        <v>45090</v>
      </c>
      <c r="H492" s="35" t="s">
        <v>1748</v>
      </c>
      <c r="I492" s="21">
        <v>3578973</v>
      </c>
      <c r="J492" s="21"/>
      <c r="K492" s="22">
        <v>680004.87</v>
      </c>
      <c r="L492" s="23"/>
      <c r="M492" s="22">
        <v>0</v>
      </c>
      <c r="N492" s="74">
        <v>2.5000000000000001E-2</v>
      </c>
      <c r="O492" s="22">
        <v>89474.325000000012</v>
      </c>
      <c r="P492" s="21">
        <v>4169503.5449999999</v>
      </c>
      <c r="S492" s="108" t="b">
        <f>OR(COUNTIF(Tabla2[[#This Row],[PROVEEDOR]],"*"&amp;'Palabra no opera'!$A$2&amp;"*"))</f>
        <v>0</v>
      </c>
      <c r="T492" s="139">
        <f>+$W$5-Tabla2[[#This Row],[FECHA DE FACTURACIÓN]]</f>
        <v>201</v>
      </c>
      <c r="U492" t="str">
        <f>+IF(Tabla2[[#This Row],[dias de credito]]&gt;=Tabla2[[#This Row],[PLAZO Días]],"venc", "No venc")</f>
        <v>venc</v>
      </c>
      <c r="V492" t="str">
        <f>+IF(Tabla2[[#This Row],[FECHA DE PAGO]]&gt;0,"pagada","por pagar")</f>
        <v>pagada</v>
      </c>
      <c r="W492" s="141" t="str">
        <f>+IF(AND(Tabla2[[#This Row],[venc]]="venc",Tabla2[[#This Row],[Columna1]]="por pagar"),"vencida","no")</f>
        <v>no</v>
      </c>
    </row>
    <row r="493" spans="1:23" ht="15.6" hidden="1" x14ac:dyDescent="0.3">
      <c r="A493" s="20">
        <v>30</v>
      </c>
      <c r="B493" s="25">
        <v>2950000</v>
      </c>
      <c r="C493" s="25"/>
      <c r="D493" s="56">
        <v>0</v>
      </c>
      <c r="E493" s="426">
        <v>45175</v>
      </c>
      <c r="F493" s="26" t="s">
        <v>1152</v>
      </c>
      <c r="G493" s="426">
        <v>45083</v>
      </c>
      <c r="H493" s="35">
        <v>1795</v>
      </c>
      <c r="I493" s="21">
        <v>337500</v>
      </c>
      <c r="J493" s="21"/>
      <c r="K493" s="22">
        <v>0</v>
      </c>
      <c r="L493" s="23"/>
      <c r="M493" s="22">
        <v>0</v>
      </c>
      <c r="N493" s="74">
        <v>0</v>
      </c>
      <c r="O493" s="22">
        <v>0</v>
      </c>
      <c r="P493" s="21">
        <v>337500</v>
      </c>
      <c r="S493" s="108" t="b">
        <f>OR(COUNTIF(Tabla2[[#This Row],[PROVEEDOR]],"*"&amp;'Palabra no opera'!$A$2&amp;"*"))</f>
        <v>0</v>
      </c>
      <c r="T493" s="139">
        <f>+$W$5-Tabla2[[#This Row],[FECHA DE FACTURACIÓN]]</f>
        <v>208</v>
      </c>
      <c r="U493" t="str">
        <f>+IF(Tabla2[[#This Row],[dias de credito]]&gt;=Tabla2[[#This Row],[PLAZO Días]],"venc", "No venc")</f>
        <v>venc</v>
      </c>
      <c r="V493" t="str">
        <f>+IF(Tabla2[[#This Row],[FECHA DE PAGO]]&gt;0,"pagada","por pagar")</f>
        <v>pagada</v>
      </c>
      <c r="W493" s="141" t="str">
        <f>+IF(AND(Tabla2[[#This Row],[venc]]="venc",Tabla2[[#This Row],[Columna1]]="por pagar"),"vencida","no")</f>
        <v>no</v>
      </c>
    </row>
    <row r="494" spans="1:23" ht="15.6" hidden="1" x14ac:dyDescent="0.3">
      <c r="A494" s="20">
        <v>30</v>
      </c>
      <c r="B494" s="25">
        <v>2950000</v>
      </c>
      <c r="C494" s="25"/>
      <c r="D494" s="56">
        <v>0</v>
      </c>
      <c r="E494" s="426">
        <v>45175</v>
      </c>
      <c r="F494" s="26" t="s">
        <v>1152</v>
      </c>
      <c r="G494" s="426">
        <v>45083</v>
      </c>
      <c r="H494" s="35">
        <v>1794</v>
      </c>
      <c r="I494" s="21">
        <v>3346000</v>
      </c>
      <c r="J494" s="21"/>
      <c r="K494" s="22">
        <v>0</v>
      </c>
      <c r="L494" s="23"/>
      <c r="M494" s="22">
        <v>0</v>
      </c>
      <c r="N494" s="74">
        <v>0</v>
      </c>
      <c r="O494" s="22">
        <v>0</v>
      </c>
      <c r="P494" s="21">
        <v>3346000</v>
      </c>
      <c r="S494" s="108" t="b">
        <f>OR(COUNTIF(Tabla2[[#This Row],[PROVEEDOR]],"*"&amp;'Palabra no opera'!$A$2&amp;"*"))</f>
        <v>0</v>
      </c>
      <c r="T494" s="139">
        <f>+$W$5-Tabla2[[#This Row],[FECHA DE FACTURACIÓN]]</f>
        <v>208</v>
      </c>
      <c r="U494" t="str">
        <f>+IF(Tabla2[[#This Row],[dias de credito]]&gt;=Tabla2[[#This Row],[PLAZO Días]],"venc", "No venc")</f>
        <v>venc</v>
      </c>
      <c r="V494" t="str">
        <f>+IF(Tabla2[[#This Row],[FECHA DE PAGO]]&gt;0,"pagada","por pagar")</f>
        <v>pagada</v>
      </c>
      <c r="W494" s="141" t="str">
        <f>+IF(AND(Tabla2[[#This Row],[venc]]="venc",Tabla2[[#This Row],[Columna1]]="por pagar"),"vencida","no")</f>
        <v>no</v>
      </c>
    </row>
    <row r="495" spans="1:23" ht="15.6" hidden="1" x14ac:dyDescent="0.3">
      <c r="A495" s="20">
        <v>30</v>
      </c>
      <c r="B495" s="25">
        <v>121187115</v>
      </c>
      <c r="C495" s="25"/>
      <c r="D495" s="56" t="s">
        <v>233</v>
      </c>
      <c r="E495" s="426">
        <v>45175</v>
      </c>
      <c r="F495" s="26" t="s">
        <v>31</v>
      </c>
      <c r="G495" s="426">
        <v>45082</v>
      </c>
      <c r="H495" s="35">
        <v>59276</v>
      </c>
      <c r="I495" s="21">
        <v>27072616.5</v>
      </c>
      <c r="J495" s="21"/>
      <c r="K495" s="22">
        <v>0</v>
      </c>
      <c r="L495" s="23"/>
      <c r="M495" s="22">
        <v>0</v>
      </c>
      <c r="N495" s="74">
        <v>0</v>
      </c>
      <c r="O495" s="22">
        <v>0</v>
      </c>
      <c r="P495" s="21">
        <v>27072616.5</v>
      </c>
      <c r="S495" s="108" t="b">
        <f>OR(COUNTIF(Tabla2[[#This Row],[PROVEEDOR]],"*"&amp;'Palabra no opera'!$A$2&amp;"*"))</f>
        <v>0</v>
      </c>
      <c r="T495" s="139">
        <f>+$W$5-Tabla2[[#This Row],[FECHA DE FACTURACIÓN]]</f>
        <v>209</v>
      </c>
      <c r="U495" t="str">
        <f>+IF(Tabla2[[#This Row],[dias de credito]]&gt;=Tabla2[[#This Row],[PLAZO Días]],"venc", "No venc")</f>
        <v>venc</v>
      </c>
      <c r="V495" t="str">
        <f>+IF(Tabla2[[#This Row],[FECHA DE PAGO]]&gt;0,"pagada","por pagar")</f>
        <v>pagada</v>
      </c>
      <c r="W495" s="141" t="str">
        <f>+IF(AND(Tabla2[[#This Row],[venc]]="venc",Tabla2[[#This Row],[Columna1]]="por pagar"),"vencida","no")</f>
        <v>no</v>
      </c>
    </row>
    <row r="496" spans="1:23" ht="15.6" hidden="1" x14ac:dyDescent="0.3">
      <c r="A496" s="20">
        <v>30</v>
      </c>
      <c r="B496" s="25">
        <v>0</v>
      </c>
      <c r="C496" s="25"/>
      <c r="D496" s="56" t="s">
        <v>659</v>
      </c>
      <c r="E496" s="426">
        <v>45174</v>
      </c>
      <c r="F496" s="26" t="s">
        <v>227</v>
      </c>
      <c r="G496" s="426">
        <v>45174</v>
      </c>
      <c r="H496" s="35" t="s">
        <v>1950</v>
      </c>
      <c r="I496" s="21">
        <v>2257000</v>
      </c>
      <c r="J496" s="21"/>
      <c r="K496" s="22">
        <v>0</v>
      </c>
      <c r="L496" s="23"/>
      <c r="M496" s="22">
        <v>0</v>
      </c>
      <c r="N496" s="74">
        <v>0</v>
      </c>
      <c r="O496" s="22">
        <v>0</v>
      </c>
      <c r="P496" s="21">
        <v>2257000</v>
      </c>
      <c r="S496" s="108" t="b">
        <f>OR(COUNTIF(Tabla2[[#This Row],[PROVEEDOR]],"*"&amp;'Palabra no opera'!$A$2&amp;"*"))</f>
        <v>0</v>
      </c>
      <c r="T496" s="139">
        <f>+$W$5-Tabla2[[#This Row],[FECHA DE FACTURACIÓN]]</f>
        <v>117</v>
      </c>
      <c r="U496" t="str">
        <f>+IF(Tabla2[[#This Row],[dias de credito]]&gt;=Tabla2[[#This Row],[PLAZO Días]],"venc", "No venc")</f>
        <v>venc</v>
      </c>
      <c r="V496" t="str">
        <f>+IF(Tabla2[[#This Row],[FECHA DE PAGO]]&gt;0,"pagada","por pagar")</f>
        <v>pagada</v>
      </c>
      <c r="W496" s="141" t="str">
        <f>+IF(AND(Tabla2[[#This Row],[venc]]="venc",Tabla2[[#This Row],[Columna1]]="por pagar"),"vencida","no")</f>
        <v>no</v>
      </c>
    </row>
    <row r="497" spans="1:23" ht="15.6" hidden="1" x14ac:dyDescent="0.3">
      <c r="A497" s="20">
        <v>30</v>
      </c>
      <c r="B497" s="25">
        <v>1316890.8900000001</v>
      </c>
      <c r="C497" s="25"/>
      <c r="D497" s="56" t="s">
        <v>188</v>
      </c>
      <c r="E497" s="426">
        <v>45173</v>
      </c>
      <c r="F497" s="26" t="s">
        <v>17</v>
      </c>
      <c r="G497" s="426">
        <v>45134</v>
      </c>
      <c r="H497" s="35" t="s">
        <v>1893</v>
      </c>
      <c r="I497" s="21">
        <v>719000</v>
      </c>
      <c r="J497" s="21"/>
      <c r="K497" s="22">
        <v>0</v>
      </c>
      <c r="L497" s="23"/>
      <c r="M497" s="22">
        <v>0</v>
      </c>
      <c r="N497" s="74">
        <v>0</v>
      </c>
      <c r="O497" s="22">
        <v>0</v>
      </c>
      <c r="P497" s="21">
        <v>719000</v>
      </c>
      <c r="S497" s="108" t="b">
        <f>OR(COUNTIF(Tabla2[[#This Row],[PROVEEDOR]],"*"&amp;'Palabra no opera'!$A$2&amp;"*"))</f>
        <v>0</v>
      </c>
      <c r="T497" s="139">
        <f>+$W$5-Tabla2[[#This Row],[FECHA DE FACTURACIÓN]]</f>
        <v>157</v>
      </c>
      <c r="U497" t="str">
        <f>+IF(Tabla2[[#This Row],[dias de credito]]&gt;=Tabla2[[#This Row],[PLAZO Días]],"venc", "No venc")</f>
        <v>venc</v>
      </c>
      <c r="V497" t="str">
        <f>+IF(Tabla2[[#This Row],[FECHA DE PAGO]]&gt;0,"pagada","por pagar")</f>
        <v>pagada</v>
      </c>
      <c r="W497" s="141" t="str">
        <f>+IF(AND(Tabla2[[#This Row],[venc]]="venc",Tabla2[[#This Row],[Columna1]]="por pagar"),"vencida","no")</f>
        <v>no</v>
      </c>
    </row>
    <row r="498" spans="1:23" ht="15.6" hidden="1" x14ac:dyDescent="0.3">
      <c r="A498" s="20">
        <v>30</v>
      </c>
      <c r="B498" s="25">
        <v>1316890.8900000001</v>
      </c>
      <c r="C498" s="25"/>
      <c r="D498" s="56" t="s">
        <v>188</v>
      </c>
      <c r="E498" s="426">
        <v>45173</v>
      </c>
      <c r="F498" s="26" t="s">
        <v>17</v>
      </c>
      <c r="G498" s="426">
        <v>45131</v>
      </c>
      <c r="H498" s="35" t="s">
        <v>1815</v>
      </c>
      <c r="I498" s="21">
        <v>1902271</v>
      </c>
      <c r="J498" s="21"/>
      <c r="K498" s="22">
        <v>0</v>
      </c>
      <c r="L498" s="23"/>
      <c r="M498" s="22">
        <v>0</v>
      </c>
      <c r="N498" s="74">
        <v>0</v>
      </c>
      <c r="O498" s="22">
        <v>0</v>
      </c>
      <c r="P498" s="21">
        <v>1902271</v>
      </c>
      <c r="S498" s="108" t="b">
        <f>OR(COUNTIF(Tabla2[[#This Row],[PROVEEDOR]],"*"&amp;'Palabra no opera'!$A$2&amp;"*"))</f>
        <v>0</v>
      </c>
      <c r="T498" s="139">
        <f>+$W$5-Tabla2[[#This Row],[FECHA DE FACTURACIÓN]]</f>
        <v>160</v>
      </c>
      <c r="U498" t="str">
        <f>+IF(Tabla2[[#This Row],[dias de credito]]&gt;=Tabla2[[#This Row],[PLAZO Días]],"venc", "No venc")</f>
        <v>venc</v>
      </c>
      <c r="V498" t="str">
        <f>+IF(Tabla2[[#This Row],[FECHA DE PAGO]]&gt;0,"pagada","por pagar")</f>
        <v>pagada</v>
      </c>
      <c r="W498" s="141" t="str">
        <f>+IF(AND(Tabla2[[#This Row],[venc]]="venc",Tabla2[[#This Row],[Columna1]]="por pagar"),"vencida","no")</f>
        <v>no</v>
      </c>
    </row>
    <row r="499" spans="1:23" ht="15.6" hidden="1" x14ac:dyDescent="0.3">
      <c r="A499" s="20">
        <v>30</v>
      </c>
      <c r="B499" s="25">
        <v>1316890.8900000001</v>
      </c>
      <c r="C499" s="25"/>
      <c r="D499" s="56" t="s">
        <v>188</v>
      </c>
      <c r="E499" s="426">
        <v>45173</v>
      </c>
      <c r="F499" s="26" t="s">
        <v>17</v>
      </c>
      <c r="G499" s="426">
        <v>45128</v>
      </c>
      <c r="H499" s="35" t="s">
        <v>1816</v>
      </c>
      <c r="I499" s="21">
        <v>230906</v>
      </c>
      <c r="J499" s="21"/>
      <c r="K499" s="22">
        <v>43872.14</v>
      </c>
      <c r="L499" s="23"/>
      <c r="M499" s="22">
        <v>0</v>
      </c>
      <c r="N499" s="74">
        <v>0</v>
      </c>
      <c r="O499" s="22">
        <v>0</v>
      </c>
      <c r="P499" s="21">
        <v>274778.14</v>
      </c>
      <c r="S499" s="108" t="b">
        <f>OR(COUNTIF(Tabla2[[#This Row],[PROVEEDOR]],"*"&amp;'Palabra no opera'!$A$2&amp;"*"))</f>
        <v>0</v>
      </c>
      <c r="T499" s="139">
        <f>+$W$5-Tabla2[[#This Row],[FECHA DE FACTURACIÓN]]</f>
        <v>163</v>
      </c>
      <c r="U499" t="str">
        <f>+IF(Tabla2[[#This Row],[dias de credito]]&gt;=Tabla2[[#This Row],[PLAZO Días]],"venc", "No venc")</f>
        <v>venc</v>
      </c>
      <c r="V499" t="str">
        <f>+IF(Tabla2[[#This Row],[FECHA DE PAGO]]&gt;0,"pagada","por pagar")</f>
        <v>pagada</v>
      </c>
      <c r="W499" s="141" t="str">
        <f>+IF(AND(Tabla2[[#This Row],[venc]]="venc",Tabla2[[#This Row],[Columna1]]="por pagar"),"vencida","no")</f>
        <v>no</v>
      </c>
    </row>
    <row r="500" spans="1:23" ht="15.6" hidden="1" x14ac:dyDescent="0.3">
      <c r="A500" s="20">
        <v>30</v>
      </c>
      <c r="B500" s="25">
        <v>1316890.8900000001</v>
      </c>
      <c r="C500" s="25"/>
      <c r="D500" s="56" t="s">
        <v>188</v>
      </c>
      <c r="E500" s="426">
        <v>45173</v>
      </c>
      <c r="F500" s="26" t="s">
        <v>17</v>
      </c>
      <c r="G500" s="426">
        <v>45128</v>
      </c>
      <c r="H500" s="35" t="s">
        <v>1817</v>
      </c>
      <c r="I500" s="21">
        <v>458175</v>
      </c>
      <c r="J500" s="21"/>
      <c r="K500" s="22">
        <v>87053.25</v>
      </c>
      <c r="L500" s="23"/>
      <c r="M500" s="22">
        <v>0</v>
      </c>
      <c r="N500" s="74">
        <v>0</v>
      </c>
      <c r="O500" s="22">
        <v>0</v>
      </c>
      <c r="P500" s="21">
        <v>545228.25</v>
      </c>
      <c r="S500" s="108" t="b">
        <f>OR(COUNTIF(Tabla2[[#This Row],[PROVEEDOR]],"*"&amp;'Palabra no opera'!$A$2&amp;"*"))</f>
        <v>0</v>
      </c>
      <c r="T500" s="139">
        <f>+$W$5-Tabla2[[#This Row],[FECHA DE FACTURACIÓN]]</f>
        <v>163</v>
      </c>
      <c r="U500" t="str">
        <f>+IF(Tabla2[[#This Row],[dias de credito]]&gt;=Tabla2[[#This Row],[PLAZO Días]],"venc", "No venc")</f>
        <v>venc</v>
      </c>
      <c r="V500" t="str">
        <f>+IF(Tabla2[[#This Row],[FECHA DE PAGO]]&gt;0,"pagada","por pagar")</f>
        <v>pagada</v>
      </c>
      <c r="W500" s="141" t="str">
        <f>+IF(AND(Tabla2[[#This Row],[venc]]="venc",Tabla2[[#This Row],[Columna1]]="por pagar"),"vencida","no")</f>
        <v>no</v>
      </c>
    </row>
    <row r="501" spans="1:23" ht="15.6" hidden="1" x14ac:dyDescent="0.3">
      <c r="A501" s="20">
        <v>30</v>
      </c>
      <c r="B501" s="25">
        <v>0</v>
      </c>
      <c r="C501" s="25"/>
      <c r="D501" s="56" t="s">
        <v>296</v>
      </c>
      <c r="E501" s="426">
        <v>45173</v>
      </c>
      <c r="F501" s="26" t="s">
        <v>281</v>
      </c>
      <c r="G501" s="426">
        <v>45111</v>
      </c>
      <c r="H501" s="35" t="s">
        <v>1809</v>
      </c>
      <c r="I501" s="21">
        <v>792936</v>
      </c>
      <c r="J501" s="21"/>
      <c r="K501" s="22">
        <v>150657.84</v>
      </c>
      <c r="L501" s="23"/>
      <c r="M501" s="22">
        <v>0</v>
      </c>
      <c r="N501" s="74">
        <v>0</v>
      </c>
      <c r="O501" s="22">
        <v>0</v>
      </c>
      <c r="P501" s="21">
        <v>943593.84</v>
      </c>
      <c r="S501" s="108" t="b">
        <f>OR(COUNTIF(Tabla2[[#This Row],[PROVEEDOR]],"*"&amp;'Palabra no opera'!$A$2&amp;"*"))</f>
        <v>0</v>
      </c>
      <c r="T501" s="139">
        <f>+$W$5-Tabla2[[#This Row],[FECHA DE FACTURACIÓN]]</f>
        <v>180</v>
      </c>
      <c r="U501" t="str">
        <f>+IF(Tabla2[[#This Row],[dias de credito]]&gt;=Tabla2[[#This Row],[PLAZO Días]],"venc", "No venc")</f>
        <v>venc</v>
      </c>
      <c r="V501" t="str">
        <f>+IF(Tabla2[[#This Row],[FECHA DE PAGO]]&gt;0,"pagada","por pagar")</f>
        <v>pagada</v>
      </c>
      <c r="W501" s="141" t="str">
        <f>+IF(AND(Tabla2[[#This Row],[venc]]="venc",Tabla2[[#This Row],[Columna1]]="por pagar"),"vencida","no")</f>
        <v>no</v>
      </c>
    </row>
    <row r="502" spans="1:23" ht="15.6" hidden="1" x14ac:dyDescent="0.3">
      <c r="A502" s="20">
        <v>30</v>
      </c>
      <c r="B502" s="25">
        <v>0</v>
      </c>
      <c r="C502" s="25"/>
      <c r="D502" s="56" t="s">
        <v>296</v>
      </c>
      <c r="E502" s="426">
        <v>45173</v>
      </c>
      <c r="F502" s="26" t="s">
        <v>281</v>
      </c>
      <c r="G502" s="426">
        <v>45111</v>
      </c>
      <c r="H502" s="35" t="s">
        <v>1810</v>
      </c>
      <c r="I502" s="21">
        <v>528624</v>
      </c>
      <c r="J502" s="21"/>
      <c r="K502" s="22">
        <v>100438.56</v>
      </c>
      <c r="L502" s="23"/>
      <c r="M502" s="22">
        <v>0</v>
      </c>
      <c r="N502" s="74">
        <v>0</v>
      </c>
      <c r="O502" s="22">
        <v>0</v>
      </c>
      <c r="P502" s="21">
        <v>629062.56000000006</v>
      </c>
      <c r="S502" s="108" t="b">
        <f>OR(COUNTIF(Tabla2[[#This Row],[PROVEEDOR]],"*"&amp;'Palabra no opera'!$A$2&amp;"*"))</f>
        <v>0</v>
      </c>
      <c r="T502" s="139">
        <f>+$W$5-Tabla2[[#This Row],[FECHA DE FACTURACIÓN]]</f>
        <v>180</v>
      </c>
      <c r="U502" t="str">
        <f>+IF(Tabla2[[#This Row],[dias de credito]]&gt;=Tabla2[[#This Row],[PLAZO Días]],"venc", "No venc")</f>
        <v>venc</v>
      </c>
      <c r="V502" t="str">
        <f>+IF(Tabla2[[#This Row],[FECHA DE PAGO]]&gt;0,"pagada","por pagar")</f>
        <v>pagada</v>
      </c>
      <c r="W502" s="141" t="str">
        <f>+IF(AND(Tabla2[[#This Row],[venc]]="venc",Tabla2[[#This Row],[Columna1]]="por pagar"),"vencida","no")</f>
        <v>no</v>
      </c>
    </row>
    <row r="503" spans="1:23" ht="15.6" hidden="1" x14ac:dyDescent="0.3">
      <c r="A503" s="20">
        <v>30</v>
      </c>
      <c r="B503" s="25">
        <v>0</v>
      </c>
      <c r="C503" s="25"/>
      <c r="D503" s="56" t="s">
        <v>296</v>
      </c>
      <c r="E503" s="426">
        <v>45173</v>
      </c>
      <c r="F503" s="26" t="s">
        <v>281</v>
      </c>
      <c r="G503" s="426">
        <v>45107</v>
      </c>
      <c r="H503" s="35" t="s">
        <v>1773</v>
      </c>
      <c r="I503" s="21">
        <v>1930400</v>
      </c>
      <c r="J503" s="21"/>
      <c r="K503" s="22">
        <v>366776</v>
      </c>
      <c r="L503" s="23"/>
      <c r="M503" s="22">
        <v>0</v>
      </c>
      <c r="N503" s="74">
        <v>0</v>
      </c>
      <c r="O503" s="22">
        <v>0</v>
      </c>
      <c r="P503" s="21">
        <v>2297176</v>
      </c>
      <c r="S503" s="108" t="b">
        <f>OR(COUNTIF(Tabla2[[#This Row],[PROVEEDOR]],"*"&amp;'Palabra no opera'!$A$2&amp;"*"))</f>
        <v>0</v>
      </c>
      <c r="T503" s="139">
        <f>+$W$5-Tabla2[[#This Row],[FECHA DE FACTURACIÓN]]</f>
        <v>184</v>
      </c>
      <c r="U503" t="str">
        <f>+IF(Tabla2[[#This Row],[dias de credito]]&gt;=Tabla2[[#This Row],[PLAZO Días]],"venc", "No venc")</f>
        <v>venc</v>
      </c>
      <c r="V503" t="str">
        <f>+IF(Tabla2[[#This Row],[FECHA DE PAGO]]&gt;0,"pagada","por pagar")</f>
        <v>pagada</v>
      </c>
      <c r="W503" s="141" t="str">
        <f>+IF(AND(Tabla2[[#This Row],[venc]]="venc",Tabla2[[#This Row],[Columna1]]="por pagar"),"vencida","no")</f>
        <v>no</v>
      </c>
    </row>
    <row r="504" spans="1:23" ht="15.6" hidden="1" x14ac:dyDescent="0.3">
      <c r="A504" s="20">
        <v>30</v>
      </c>
      <c r="B504" s="25">
        <v>0</v>
      </c>
      <c r="C504" s="25"/>
      <c r="D504" s="56" t="s">
        <v>296</v>
      </c>
      <c r="E504" s="426">
        <v>45173</v>
      </c>
      <c r="F504" s="26" t="s">
        <v>281</v>
      </c>
      <c r="G504" s="426">
        <v>45064</v>
      </c>
      <c r="H504" s="35" t="s">
        <v>1870</v>
      </c>
      <c r="I504" s="21">
        <v>-311718</v>
      </c>
      <c r="J504" s="21"/>
      <c r="K504" s="22">
        <v>-59226.42</v>
      </c>
      <c r="L504" s="23"/>
      <c r="M504" s="22">
        <v>0</v>
      </c>
      <c r="N504" s="74">
        <v>0</v>
      </c>
      <c r="O504" s="22">
        <v>0</v>
      </c>
      <c r="P504" s="21">
        <v>-370944.42</v>
      </c>
      <c r="S504" s="108" t="b">
        <f>OR(COUNTIF(Tabla2[[#This Row],[PROVEEDOR]],"*"&amp;'Palabra no opera'!$A$2&amp;"*"))</f>
        <v>0</v>
      </c>
      <c r="T504" s="139">
        <f>+$W$5-Tabla2[[#This Row],[FECHA DE FACTURACIÓN]]</f>
        <v>227</v>
      </c>
      <c r="U504" t="str">
        <f>+IF(Tabla2[[#This Row],[dias de credito]]&gt;=Tabla2[[#This Row],[PLAZO Días]],"venc", "No venc")</f>
        <v>venc</v>
      </c>
      <c r="V504" t="str">
        <f>+IF(Tabla2[[#This Row],[FECHA DE PAGO]]&gt;0,"pagada","por pagar")</f>
        <v>pagada</v>
      </c>
      <c r="W504" s="141" t="str">
        <f>+IF(AND(Tabla2[[#This Row],[venc]]="venc",Tabla2[[#This Row],[Columna1]]="por pagar"),"vencida","no")</f>
        <v>no</v>
      </c>
    </row>
    <row r="505" spans="1:23" ht="15.6" hidden="1" x14ac:dyDescent="0.3">
      <c r="A505" s="20">
        <v>30</v>
      </c>
      <c r="B505" s="25">
        <v>0</v>
      </c>
      <c r="C505" s="25"/>
      <c r="D505" s="56" t="s">
        <v>107</v>
      </c>
      <c r="E505" s="426">
        <v>45171</v>
      </c>
      <c r="F505" s="26" t="s">
        <v>378</v>
      </c>
      <c r="G505" s="426">
        <v>45171</v>
      </c>
      <c r="H505" s="35" t="s">
        <v>1936</v>
      </c>
      <c r="I505" s="21">
        <v>540000</v>
      </c>
      <c r="J505" s="21"/>
      <c r="K505" s="22">
        <v>0</v>
      </c>
      <c r="L505" s="23"/>
      <c r="M505" s="22">
        <v>0</v>
      </c>
      <c r="N505" s="74">
        <v>0</v>
      </c>
      <c r="O505" s="22">
        <v>0</v>
      </c>
      <c r="P505" s="21">
        <v>540000</v>
      </c>
      <c r="S505" s="108" t="b">
        <f>OR(COUNTIF(Tabla2[[#This Row],[PROVEEDOR]],"*"&amp;'Palabra no opera'!$A$2&amp;"*"))</f>
        <v>0</v>
      </c>
      <c r="T505" s="139">
        <f>+$W$5-Tabla2[[#This Row],[FECHA DE FACTURACIÓN]]</f>
        <v>120</v>
      </c>
      <c r="U505" t="str">
        <f>+IF(Tabla2[[#This Row],[dias de credito]]&gt;=Tabla2[[#This Row],[PLAZO Días]],"venc", "No venc")</f>
        <v>venc</v>
      </c>
      <c r="V505" t="str">
        <f>+IF(Tabla2[[#This Row],[FECHA DE PAGO]]&gt;0,"pagada","por pagar")</f>
        <v>pagada</v>
      </c>
      <c r="W505" s="141" t="str">
        <f>+IF(AND(Tabla2[[#This Row],[venc]]="venc",Tabla2[[#This Row],[Columna1]]="por pagar"),"vencida","no")</f>
        <v>no</v>
      </c>
    </row>
    <row r="506" spans="1:23" ht="15.6" hidden="1" x14ac:dyDescent="0.3">
      <c r="A506" s="20">
        <v>30</v>
      </c>
      <c r="B506" s="25">
        <v>0</v>
      </c>
      <c r="C506" s="25"/>
      <c r="D506" s="56">
        <v>0</v>
      </c>
      <c r="E506" s="426">
        <v>45171</v>
      </c>
      <c r="F506" s="26" t="s">
        <v>1736</v>
      </c>
      <c r="G506" s="426">
        <v>45171</v>
      </c>
      <c r="H506" s="35"/>
      <c r="I506" s="21">
        <v>508000</v>
      </c>
      <c r="J506" s="21"/>
      <c r="K506" s="22">
        <v>0</v>
      </c>
      <c r="L506" s="23"/>
      <c r="M506" s="22">
        <v>0</v>
      </c>
      <c r="N506" s="74">
        <v>0</v>
      </c>
      <c r="O506" s="22">
        <v>0</v>
      </c>
      <c r="P506" s="21">
        <v>508000</v>
      </c>
      <c r="S506" s="108" t="b">
        <f>OR(COUNTIF(Tabla2[[#This Row],[PROVEEDOR]],"*"&amp;'Palabra no opera'!$A$2&amp;"*"))</f>
        <v>0</v>
      </c>
      <c r="T506" s="139">
        <f>+$W$5-Tabla2[[#This Row],[FECHA DE FACTURACIÓN]]</f>
        <v>120</v>
      </c>
      <c r="U506" t="str">
        <f>+IF(Tabla2[[#This Row],[dias de credito]]&gt;=Tabla2[[#This Row],[PLAZO Días]],"venc", "No venc")</f>
        <v>venc</v>
      </c>
      <c r="V506" t="str">
        <f>+IF(Tabla2[[#This Row],[FECHA DE PAGO]]&gt;0,"pagada","por pagar")</f>
        <v>pagada</v>
      </c>
      <c r="W506" s="141" t="str">
        <f>+IF(AND(Tabla2[[#This Row],[venc]]="venc",Tabla2[[#This Row],[Columna1]]="por pagar"),"vencida","no")</f>
        <v>no</v>
      </c>
    </row>
    <row r="507" spans="1:23" ht="15.6" hidden="1" x14ac:dyDescent="0.3">
      <c r="A507" s="20">
        <v>30</v>
      </c>
      <c r="B507" s="25">
        <v>0</v>
      </c>
      <c r="C507" s="25"/>
      <c r="D507" s="56">
        <v>0</v>
      </c>
      <c r="E507" s="426">
        <v>45170</v>
      </c>
      <c r="F507" s="26" t="s">
        <v>413</v>
      </c>
      <c r="G507" s="426">
        <v>45161</v>
      </c>
      <c r="H507" s="35">
        <v>396</v>
      </c>
      <c r="I507" s="21">
        <v>756000</v>
      </c>
      <c r="J507" s="21"/>
      <c r="K507" s="22">
        <v>0</v>
      </c>
      <c r="L507" s="23"/>
      <c r="M507" s="22">
        <v>0</v>
      </c>
      <c r="N507" s="74">
        <v>0</v>
      </c>
      <c r="O507" s="22">
        <v>0</v>
      </c>
      <c r="P507" s="21">
        <v>756000</v>
      </c>
      <c r="S507" s="108" t="b">
        <f>OR(COUNTIF(Tabla2[[#This Row],[PROVEEDOR]],"*"&amp;'Palabra no opera'!$A$2&amp;"*"))</f>
        <v>0</v>
      </c>
      <c r="T507" s="139">
        <f>+$W$5-Tabla2[[#This Row],[FECHA DE FACTURACIÓN]]</f>
        <v>130</v>
      </c>
      <c r="U507" t="str">
        <f>+IF(Tabla2[[#This Row],[dias de credito]]&gt;=Tabla2[[#This Row],[PLAZO Días]],"venc", "No venc")</f>
        <v>venc</v>
      </c>
      <c r="V507" t="str">
        <f>+IF(Tabla2[[#This Row],[FECHA DE PAGO]]&gt;0,"pagada","por pagar")</f>
        <v>pagada</v>
      </c>
      <c r="W507" s="141" t="str">
        <f>+IF(AND(Tabla2[[#This Row],[venc]]="venc",Tabla2[[#This Row],[Columna1]]="por pagar"),"vencida","no")</f>
        <v>no</v>
      </c>
    </row>
    <row r="508" spans="1:23" ht="15.6" hidden="1" x14ac:dyDescent="0.3">
      <c r="A508" s="20">
        <v>30</v>
      </c>
      <c r="B508" s="25">
        <v>4282200</v>
      </c>
      <c r="C508" s="25"/>
      <c r="D508" s="56" t="s">
        <v>244</v>
      </c>
      <c r="E508" s="426">
        <v>45170</v>
      </c>
      <c r="F508" s="26" t="s">
        <v>406</v>
      </c>
      <c r="G508" s="426">
        <v>45139</v>
      </c>
      <c r="H508" s="35">
        <v>4297</v>
      </c>
      <c r="I508" s="21">
        <v>138000</v>
      </c>
      <c r="J508" s="21"/>
      <c r="K508" s="22">
        <v>0</v>
      </c>
      <c r="L508" s="23"/>
      <c r="M508" s="22">
        <v>0</v>
      </c>
      <c r="N508" s="74">
        <v>0</v>
      </c>
      <c r="O508" s="22">
        <v>0</v>
      </c>
      <c r="P508" s="21">
        <v>138000</v>
      </c>
      <c r="S508" s="108" t="b">
        <f>OR(COUNTIF(Tabla2[[#This Row],[PROVEEDOR]],"*"&amp;'Palabra no opera'!$A$2&amp;"*"))</f>
        <v>0</v>
      </c>
      <c r="T508" s="139">
        <f>+$W$5-Tabla2[[#This Row],[FECHA DE FACTURACIÓN]]</f>
        <v>152</v>
      </c>
      <c r="U508" t="str">
        <f>+IF(Tabla2[[#This Row],[dias de credito]]&gt;=Tabla2[[#This Row],[PLAZO Días]],"venc", "No venc")</f>
        <v>venc</v>
      </c>
      <c r="V508" t="str">
        <f>+IF(Tabla2[[#This Row],[FECHA DE PAGO]]&gt;0,"pagada","por pagar")</f>
        <v>pagada</v>
      </c>
      <c r="W508" s="141" t="str">
        <f>+IF(AND(Tabla2[[#This Row],[venc]]="venc",Tabla2[[#This Row],[Columna1]]="por pagar"),"vencida","no")</f>
        <v>no</v>
      </c>
    </row>
    <row r="509" spans="1:23" ht="15.6" hidden="1" x14ac:dyDescent="0.3">
      <c r="A509" s="20">
        <v>30</v>
      </c>
      <c r="B509" s="25">
        <v>0</v>
      </c>
      <c r="C509" s="25"/>
      <c r="D509" s="56" t="s">
        <v>107</v>
      </c>
      <c r="E509" s="426">
        <v>45169</v>
      </c>
      <c r="F509" s="26" t="s">
        <v>362</v>
      </c>
      <c r="G509" s="426">
        <v>45169</v>
      </c>
      <c r="H509" s="35" t="s">
        <v>1937</v>
      </c>
      <c r="I509" s="21">
        <v>60000</v>
      </c>
      <c r="J509" s="21"/>
      <c r="K509" s="22">
        <v>0</v>
      </c>
      <c r="L509" s="23"/>
      <c r="M509" s="22">
        <v>0</v>
      </c>
      <c r="N509" s="74">
        <v>0</v>
      </c>
      <c r="O509" s="22">
        <v>0</v>
      </c>
      <c r="P509" s="21">
        <v>60000</v>
      </c>
      <c r="S509" s="108" t="b">
        <f>OR(COUNTIF(Tabla2[[#This Row],[PROVEEDOR]],"*"&amp;'Palabra no opera'!$A$2&amp;"*"))</f>
        <v>0</v>
      </c>
      <c r="T509" s="139">
        <f>+$W$5-Tabla2[[#This Row],[FECHA DE FACTURACIÓN]]</f>
        <v>122</v>
      </c>
      <c r="U509" t="str">
        <f>+IF(Tabla2[[#This Row],[dias de credito]]&gt;=Tabla2[[#This Row],[PLAZO Días]],"venc", "No venc")</f>
        <v>venc</v>
      </c>
      <c r="V509" t="str">
        <f>+IF(Tabla2[[#This Row],[FECHA DE PAGO]]&gt;0,"pagada","por pagar")</f>
        <v>pagada</v>
      </c>
      <c r="W509" s="141" t="str">
        <f>+IF(AND(Tabla2[[#This Row],[venc]]="venc",Tabla2[[#This Row],[Columna1]]="por pagar"),"vencida","no")</f>
        <v>no</v>
      </c>
    </row>
    <row r="510" spans="1:23" ht="15.6" hidden="1" x14ac:dyDescent="0.3">
      <c r="A510" s="20">
        <v>30</v>
      </c>
      <c r="B510" s="25">
        <v>0</v>
      </c>
      <c r="C510" s="25"/>
      <c r="D510" s="56" t="s">
        <v>107</v>
      </c>
      <c r="E510" s="426">
        <v>45169</v>
      </c>
      <c r="F510" s="26" t="s">
        <v>362</v>
      </c>
      <c r="G510" s="426">
        <v>45169</v>
      </c>
      <c r="H510" s="35" t="s">
        <v>1177</v>
      </c>
      <c r="I510" s="21">
        <v>1304150</v>
      </c>
      <c r="J510" s="21"/>
      <c r="K510" s="22">
        <v>0</v>
      </c>
      <c r="L510" s="23"/>
      <c r="M510" s="22">
        <v>0</v>
      </c>
      <c r="N510" s="74">
        <v>0</v>
      </c>
      <c r="O510" s="22">
        <v>0</v>
      </c>
      <c r="P510" s="21">
        <v>1304150</v>
      </c>
      <c r="S510" s="108" t="b">
        <f>OR(COUNTIF(Tabla2[[#This Row],[PROVEEDOR]],"*"&amp;'Palabra no opera'!$A$2&amp;"*"))</f>
        <v>0</v>
      </c>
      <c r="T510" s="139">
        <f>+$W$5-Tabla2[[#This Row],[FECHA DE FACTURACIÓN]]</f>
        <v>122</v>
      </c>
      <c r="U510" t="str">
        <f>+IF(Tabla2[[#This Row],[dias de credito]]&gt;=Tabla2[[#This Row],[PLAZO Días]],"venc", "No venc")</f>
        <v>venc</v>
      </c>
      <c r="V510" t="str">
        <f>+IF(Tabla2[[#This Row],[FECHA DE PAGO]]&gt;0,"pagada","por pagar")</f>
        <v>pagada</v>
      </c>
      <c r="W510" s="141" t="str">
        <f>+IF(AND(Tabla2[[#This Row],[venc]]="venc",Tabla2[[#This Row],[Columna1]]="por pagar"),"vencida","no")</f>
        <v>no</v>
      </c>
    </row>
    <row r="511" spans="1:23" ht="15.6" hidden="1" x14ac:dyDescent="0.3">
      <c r="A511" s="20">
        <v>30</v>
      </c>
      <c r="B511" s="25">
        <v>0</v>
      </c>
      <c r="C511" s="25"/>
      <c r="D511" s="56" t="s">
        <v>107</v>
      </c>
      <c r="E511" s="426">
        <v>45169</v>
      </c>
      <c r="F511" s="26" t="s">
        <v>362</v>
      </c>
      <c r="G511" s="426">
        <v>45169</v>
      </c>
      <c r="H511" s="35" t="s">
        <v>1178</v>
      </c>
      <c r="I511" s="21">
        <v>4238550</v>
      </c>
      <c r="J511" s="21"/>
      <c r="K511" s="22">
        <v>0</v>
      </c>
      <c r="L511" s="23"/>
      <c r="M511" s="22">
        <v>0</v>
      </c>
      <c r="N511" s="74">
        <v>0</v>
      </c>
      <c r="O511" s="22">
        <v>0</v>
      </c>
      <c r="P511" s="21">
        <v>4238550</v>
      </c>
      <c r="S511" s="108" t="b">
        <f>OR(COUNTIF(Tabla2[[#This Row],[PROVEEDOR]],"*"&amp;'Palabra no opera'!$A$2&amp;"*"))</f>
        <v>0</v>
      </c>
      <c r="T511" s="139">
        <f>+$W$5-Tabla2[[#This Row],[FECHA DE FACTURACIÓN]]</f>
        <v>122</v>
      </c>
      <c r="U511" t="str">
        <f>+IF(Tabla2[[#This Row],[dias de credito]]&gt;=Tabla2[[#This Row],[PLAZO Días]],"venc", "No venc")</f>
        <v>venc</v>
      </c>
      <c r="V511" t="str">
        <f>+IF(Tabla2[[#This Row],[FECHA DE PAGO]]&gt;0,"pagada","por pagar")</f>
        <v>pagada</v>
      </c>
      <c r="W511" s="141" t="str">
        <f>+IF(AND(Tabla2[[#This Row],[venc]]="venc",Tabla2[[#This Row],[Columna1]]="por pagar"),"vencida","no")</f>
        <v>no</v>
      </c>
    </row>
    <row r="512" spans="1:23" ht="15.6" hidden="1" x14ac:dyDescent="0.3">
      <c r="A512" s="20">
        <v>30</v>
      </c>
      <c r="B512" s="25">
        <v>0</v>
      </c>
      <c r="C512" s="25"/>
      <c r="D512" s="56" t="s">
        <v>107</v>
      </c>
      <c r="E512" s="426">
        <v>45169</v>
      </c>
      <c r="F512" s="26" t="s">
        <v>362</v>
      </c>
      <c r="G512" s="426">
        <v>45169</v>
      </c>
      <c r="H512" s="35" t="s">
        <v>1176</v>
      </c>
      <c r="I512" s="21">
        <v>427000</v>
      </c>
      <c r="J512" s="21"/>
      <c r="K512" s="22">
        <v>0</v>
      </c>
      <c r="L512" s="23"/>
      <c r="M512" s="22">
        <v>0</v>
      </c>
      <c r="N512" s="74">
        <v>0</v>
      </c>
      <c r="O512" s="22">
        <v>0</v>
      </c>
      <c r="P512" s="21">
        <v>427000</v>
      </c>
      <c r="S512" s="108" t="b">
        <f>OR(COUNTIF(Tabla2[[#This Row],[PROVEEDOR]],"*"&amp;'Palabra no opera'!$A$2&amp;"*"))</f>
        <v>0</v>
      </c>
      <c r="T512" s="139">
        <f>+$W$5-Tabla2[[#This Row],[FECHA DE FACTURACIÓN]]</f>
        <v>122</v>
      </c>
      <c r="U512" t="str">
        <f>+IF(Tabla2[[#This Row],[dias de credito]]&gt;=Tabla2[[#This Row],[PLAZO Días]],"venc", "No venc")</f>
        <v>venc</v>
      </c>
      <c r="V512" t="str">
        <f>+IF(Tabla2[[#This Row],[FECHA DE PAGO]]&gt;0,"pagada","por pagar")</f>
        <v>pagada</v>
      </c>
      <c r="W512" s="141" t="str">
        <f>+IF(AND(Tabla2[[#This Row],[venc]]="venc",Tabla2[[#This Row],[Columna1]]="por pagar"),"vencida","no")</f>
        <v>no</v>
      </c>
    </row>
    <row r="513" spans="1:23" ht="15.6" hidden="1" x14ac:dyDescent="0.3">
      <c r="A513" s="20">
        <v>30</v>
      </c>
      <c r="B513" s="25">
        <v>0</v>
      </c>
      <c r="C513" s="25"/>
      <c r="D513" s="56" t="s">
        <v>107</v>
      </c>
      <c r="E513" s="426">
        <v>45169</v>
      </c>
      <c r="F513" s="26" t="s">
        <v>362</v>
      </c>
      <c r="G513" s="426">
        <v>45169</v>
      </c>
      <c r="H513" s="35" t="s">
        <v>1180</v>
      </c>
      <c r="I513" s="21">
        <v>646000</v>
      </c>
      <c r="J513" s="21"/>
      <c r="K513" s="22">
        <v>0</v>
      </c>
      <c r="L513" s="23"/>
      <c r="M513" s="22">
        <v>0</v>
      </c>
      <c r="N513" s="74">
        <v>0</v>
      </c>
      <c r="O513" s="22">
        <v>0</v>
      </c>
      <c r="P513" s="21">
        <v>646000</v>
      </c>
      <c r="S513" s="108" t="b">
        <f>OR(COUNTIF(Tabla2[[#This Row],[PROVEEDOR]],"*"&amp;'Palabra no opera'!$A$2&amp;"*"))</f>
        <v>0</v>
      </c>
      <c r="T513" s="139">
        <f>+$W$5-Tabla2[[#This Row],[FECHA DE FACTURACIÓN]]</f>
        <v>122</v>
      </c>
      <c r="U513" t="str">
        <f>+IF(Tabla2[[#This Row],[dias de credito]]&gt;=Tabla2[[#This Row],[PLAZO Días]],"venc", "No venc")</f>
        <v>venc</v>
      </c>
      <c r="V513" t="str">
        <f>+IF(Tabla2[[#This Row],[FECHA DE PAGO]]&gt;0,"pagada","por pagar")</f>
        <v>pagada</v>
      </c>
      <c r="W513" s="141" t="str">
        <f>+IF(AND(Tabla2[[#This Row],[venc]]="venc",Tabla2[[#This Row],[Columna1]]="por pagar"),"vencida","no")</f>
        <v>no</v>
      </c>
    </row>
    <row r="514" spans="1:23" ht="15.6" hidden="1" x14ac:dyDescent="0.3">
      <c r="A514" s="20">
        <v>30</v>
      </c>
      <c r="B514" s="25">
        <v>0</v>
      </c>
      <c r="C514" s="25"/>
      <c r="D514" s="56" t="s">
        <v>107</v>
      </c>
      <c r="E514" s="426">
        <v>45169</v>
      </c>
      <c r="F514" s="26" t="s">
        <v>362</v>
      </c>
      <c r="G514" s="426">
        <v>45169</v>
      </c>
      <c r="H514" s="35" t="s">
        <v>1179</v>
      </c>
      <c r="I514" s="21">
        <v>165300</v>
      </c>
      <c r="J514" s="21"/>
      <c r="K514" s="22">
        <v>0</v>
      </c>
      <c r="L514" s="23"/>
      <c r="M514" s="22">
        <v>0</v>
      </c>
      <c r="N514" s="74">
        <v>0</v>
      </c>
      <c r="O514" s="22">
        <v>0</v>
      </c>
      <c r="P514" s="21">
        <v>165300</v>
      </c>
      <c r="S514" s="108" t="b">
        <f>OR(COUNTIF(Tabla2[[#This Row],[PROVEEDOR]],"*"&amp;'Palabra no opera'!$A$2&amp;"*"))</f>
        <v>0</v>
      </c>
      <c r="T514" s="139">
        <f>+$W$5-Tabla2[[#This Row],[FECHA DE FACTURACIÓN]]</f>
        <v>122</v>
      </c>
      <c r="U514" t="str">
        <f>+IF(Tabla2[[#This Row],[dias de credito]]&gt;=Tabla2[[#This Row],[PLAZO Días]],"venc", "No venc")</f>
        <v>venc</v>
      </c>
      <c r="V514" t="str">
        <f>+IF(Tabla2[[#This Row],[FECHA DE PAGO]]&gt;0,"pagada","por pagar")</f>
        <v>pagada</v>
      </c>
      <c r="W514" s="141" t="str">
        <f>+IF(AND(Tabla2[[#This Row],[venc]]="venc",Tabla2[[#This Row],[Columna1]]="por pagar"),"vencida","no")</f>
        <v>no</v>
      </c>
    </row>
    <row r="515" spans="1:23" ht="15.6" hidden="1" x14ac:dyDescent="0.3">
      <c r="A515" s="20">
        <v>30</v>
      </c>
      <c r="B515" s="25">
        <v>0</v>
      </c>
      <c r="C515" s="25"/>
      <c r="D515" s="56" t="s">
        <v>107</v>
      </c>
      <c r="E515" s="426">
        <v>45169</v>
      </c>
      <c r="F515" s="26" t="s">
        <v>362</v>
      </c>
      <c r="G515" s="426">
        <v>45169</v>
      </c>
      <c r="H515" s="35" t="s">
        <v>1379</v>
      </c>
      <c r="I515" s="21">
        <v>214000</v>
      </c>
      <c r="J515" s="21"/>
      <c r="K515" s="22">
        <v>0</v>
      </c>
      <c r="L515" s="23"/>
      <c r="M515" s="22">
        <v>0</v>
      </c>
      <c r="N515" s="74">
        <v>0</v>
      </c>
      <c r="O515" s="22">
        <v>0</v>
      </c>
      <c r="P515" s="21">
        <v>214000</v>
      </c>
      <c r="S515" s="108" t="b">
        <f>OR(COUNTIF(Tabla2[[#This Row],[PROVEEDOR]],"*"&amp;'Palabra no opera'!$A$2&amp;"*"))</f>
        <v>0</v>
      </c>
      <c r="T515" s="139">
        <f>+$W$5-Tabla2[[#This Row],[FECHA DE FACTURACIÓN]]</f>
        <v>122</v>
      </c>
      <c r="U515" t="str">
        <f>+IF(Tabla2[[#This Row],[dias de credito]]&gt;=Tabla2[[#This Row],[PLAZO Días]],"venc", "No venc")</f>
        <v>venc</v>
      </c>
      <c r="V515" t="str">
        <f>+IF(Tabla2[[#This Row],[FECHA DE PAGO]]&gt;0,"pagada","por pagar")</f>
        <v>pagada</v>
      </c>
      <c r="W515" s="141" t="str">
        <f>+IF(AND(Tabla2[[#This Row],[venc]]="venc",Tabla2[[#This Row],[Columna1]]="por pagar"),"vencida","no")</f>
        <v>no</v>
      </c>
    </row>
    <row r="516" spans="1:23" ht="15.6" hidden="1" x14ac:dyDescent="0.3">
      <c r="A516" s="20">
        <v>30</v>
      </c>
      <c r="B516" s="25">
        <v>0</v>
      </c>
      <c r="C516" s="25"/>
      <c r="D516" s="56">
        <v>0</v>
      </c>
      <c r="E516" s="426">
        <v>45169</v>
      </c>
      <c r="F516" s="26" t="s">
        <v>1762</v>
      </c>
      <c r="G516" s="426">
        <v>45169</v>
      </c>
      <c r="H516" s="35">
        <v>5918</v>
      </c>
      <c r="I516" s="21">
        <v>505000</v>
      </c>
      <c r="J516" s="21"/>
      <c r="K516" s="22">
        <v>0</v>
      </c>
      <c r="L516" s="23"/>
      <c r="M516" s="22">
        <v>0</v>
      </c>
      <c r="N516" s="74">
        <v>0</v>
      </c>
      <c r="O516" s="22">
        <v>0</v>
      </c>
      <c r="P516" s="21">
        <v>505000</v>
      </c>
      <c r="S516" s="108" t="b">
        <f>OR(COUNTIF(Tabla2[[#This Row],[PROVEEDOR]],"*"&amp;'Palabra no opera'!$A$2&amp;"*"))</f>
        <v>0</v>
      </c>
      <c r="T516" s="139">
        <f>+$W$5-Tabla2[[#This Row],[FECHA DE FACTURACIÓN]]</f>
        <v>122</v>
      </c>
      <c r="U516" t="str">
        <f>+IF(Tabla2[[#This Row],[dias de credito]]&gt;=Tabla2[[#This Row],[PLAZO Días]],"venc", "No venc")</f>
        <v>venc</v>
      </c>
      <c r="V516" t="str">
        <f>+IF(Tabla2[[#This Row],[FECHA DE PAGO]]&gt;0,"pagada","por pagar")</f>
        <v>pagada</v>
      </c>
      <c r="W516" s="141" t="str">
        <f>+IF(AND(Tabla2[[#This Row],[venc]]="venc",Tabla2[[#This Row],[Columna1]]="por pagar"),"vencida","no")</f>
        <v>no</v>
      </c>
    </row>
    <row r="517" spans="1:23" ht="15.6" hidden="1" x14ac:dyDescent="0.3">
      <c r="A517" s="20">
        <v>30</v>
      </c>
      <c r="B517" s="25">
        <v>0</v>
      </c>
      <c r="C517" s="25"/>
      <c r="D517" s="56" t="s">
        <v>107</v>
      </c>
      <c r="E517" s="426">
        <v>45169</v>
      </c>
      <c r="F517" s="26" t="s">
        <v>1194</v>
      </c>
      <c r="G517" s="426">
        <v>45168</v>
      </c>
      <c r="H517" s="35" t="s">
        <v>1933</v>
      </c>
      <c r="I517" s="21">
        <v>5655000</v>
      </c>
      <c r="J517" s="21"/>
      <c r="K517" s="22">
        <v>0</v>
      </c>
      <c r="L517" s="23"/>
      <c r="M517" s="22">
        <v>0</v>
      </c>
      <c r="N517" s="74">
        <v>0</v>
      </c>
      <c r="O517" s="22">
        <v>0</v>
      </c>
      <c r="P517" s="21">
        <v>5655000</v>
      </c>
      <c r="S517" s="108" t="b">
        <f>OR(COUNTIF(Tabla2[[#This Row],[PROVEEDOR]],"*"&amp;'Palabra no opera'!$A$2&amp;"*"))</f>
        <v>0</v>
      </c>
      <c r="T517" s="139">
        <f>+$W$5-Tabla2[[#This Row],[FECHA DE FACTURACIÓN]]</f>
        <v>123</v>
      </c>
      <c r="U517" t="str">
        <f>+IF(Tabla2[[#This Row],[dias de credito]]&gt;=Tabla2[[#This Row],[PLAZO Días]],"venc", "No venc")</f>
        <v>venc</v>
      </c>
      <c r="V517" t="str">
        <f>+IF(Tabla2[[#This Row],[FECHA DE PAGO]]&gt;0,"pagada","por pagar")</f>
        <v>pagada</v>
      </c>
      <c r="W517" s="141" t="str">
        <f>+IF(AND(Tabla2[[#This Row],[venc]]="venc",Tabla2[[#This Row],[Columna1]]="por pagar"),"vencida","no")</f>
        <v>no</v>
      </c>
    </row>
    <row r="518" spans="1:23" ht="15.6" hidden="1" x14ac:dyDescent="0.3">
      <c r="A518" s="20">
        <v>30</v>
      </c>
      <c r="B518" s="25">
        <v>0</v>
      </c>
      <c r="C518" s="25"/>
      <c r="D518" s="56" t="s">
        <v>659</v>
      </c>
      <c r="E518" s="426">
        <v>45168</v>
      </c>
      <c r="F518" s="26" t="s">
        <v>227</v>
      </c>
      <c r="G518" s="426">
        <v>45168</v>
      </c>
      <c r="H518" s="35" t="s">
        <v>1949</v>
      </c>
      <c r="I518" s="21">
        <v>1640000</v>
      </c>
      <c r="J518" s="21"/>
      <c r="K518" s="22">
        <v>0</v>
      </c>
      <c r="L518" s="23"/>
      <c r="M518" s="22">
        <v>0</v>
      </c>
      <c r="N518" s="74">
        <v>0</v>
      </c>
      <c r="O518" s="22">
        <v>0</v>
      </c>
      <c r="P518" s="21">
        <v>1640000</v>
      </c>
      <c r="S518" s="108" t="b">
        <f>OR(COUNTIF(Tabla2[[#This Row],[PROVEEDOR]],"*"&amp;'Palabra no opera'!$A$2&amp;"*"))</f>
        <v>0</v>
      </c>
      <c r="T518" s="139">
        <f>+$W$5-Tabla2[[#This Row],[FECHA DE FACTURACIÓN]]</f>
        <v>123</v>
      </c>
      <c r="U518" t="str">
        <f>+IF(Tabla2[[#This Row],[dias de credito]]&gt;=Tabla2[[#This Row],[PLAZO Días]],"venc", "No venc")</f>
        <v>venc</v>
      </c>
      <c r="V518" t="str">
        <f>+IF(Tabla2[[#This Row],[FECHA DE PAGO]]&gt;0,"pagada","por pagar")</f>
        <v>pagada</v>
      </c>
      <c r="W518" s="141" t="str">
        <f>+IF(AND(Tabla2[[#This Row],[venc]]="venc",Tabla2[[#This Row],[Columna1]]="por pagar"),"vencida","no")</f>
        <v>no</v>
      </c>
    </row>
    <row r="519" spans="1:23" ht="15.6" hidden="1" x14ac:dyDescent="0.3">
      <c r="A519" s="20">
        <v>30</v>
      </c>
      <c r="B519" s="25">
        <v>0</v>
      </c>
      <c r="C519" s="25"/>
      <c r="D519" s="56" t="s">
        <v>659</v>
      </c>
      <c r="E519" s="426">
        <v>45168</v>
      </c>
      <c r="F519" s="26" t="s">
        <v>227</v>
      </c>
      <c r="G519" s="426">
        <v>45168</v>
      </c>
      <c r="H519" s="35" t="s">
        <v>1951</v>
      </c>
      <c r="I519" s="21">
        <v>2162000</v>
      </c>
      <c r="J519" s="21"/>
      <c r="K519" s="22">
        <v>0</v>
      </c>
      <c r="L519" s="23"/>
      <c r="M519" s="22">
        <v>0</v>
      </c>
      <c r="N519" s="74">
        <v>0</v>
      </c>
      <c r="O519" s="22">
        <v>0</v>
      </c>
      <c r="P519" s="21">
        <v>2162000</v>
      </c>
      <c r="S519" s="108" t="b">
        <f>OR(COUNTIF(Tabla2[[#This Row],[PROVEEDOR]],"*"&amp;'Palabra no opera'!$A$2&amp;"*"))</f>
        <v>0</v>
      </c>
      <c r="T519" s="139">
        <f>+$W$5-Tabla2[[#This Row],[FECHA DE FACTURACIÓN]]</f>
        <v>123</v>
      </c>
      <c r="U519" t="str">
        <f>+IF(Tabla2[[#This Row],[dias de credito]]&gt;=Tabla2[[#This Row],[PLAZO Días]],"venc", "No venc")</f>
        <v>venc</v>
      </c>
      <c r="V519" t="str">
        <f>+IF(Tabla2[[#This Row],[FECHA DE PAGO]]&gt;0,"pagada","por pagar")</f>
        <v>pagada</v>
      </c>
      <c r="W519" s="141" t="str">
        <f>+IF(AND(Tabla2[[#This Row],[venc]]="venc",Tabla2[[#This Row],[Columna1]]="por pagar"),"vencida","no")</f>
        <v>no</v>
      </c>
    </row>
    <row r="520" spans="1:23" ht="15.6" hidden="1" x14ac:dyDescent="0.3">
      <c r="A520" s="20">
        <v>30</v>
      </c>
      <c r="B520" s="25">
        <v>0</v>
      </c>
      <c r="C520" s="25"/>
      <c r="D520" s="56">
        <v>0</v>
      </c>
      <c r="E520" s="426">
        <v>45166</v>
      </c>
      <c r="F520" s="26" t="s">
        <v>262</v>
      </c>
      <c r="G520" s="426">
        <v>45166</v>
      </c>
      <c r="H520" s="35" t="s">
        <v>1900</v>
      </c>
      <c r="I520" s="21">
        <v>2310000</v>
      </c>
      <c r="J520" s="21"/>
      <c r="K520" s="22">
        <v>115500</v>
      </c>
      <c r="L520" s="23"/>
      <c r="M520" s="22">
        <v>0</v>
      </c>
      <c r="N520" s="74">
        <v>2.5000000000000001E-2</v>
      </c>
      <c r="O520" s="22">
        <v>57750</v>
      </c>
      <c r="P520" s="21">
        <v>2367750</v>
      </c>
      <c r="S520" s="108" t="b">
        <f>OR(COUNTIF(Tabla2[[#This Row],[PROVEEDOR]],"*"&amp;'Palabra no opera'!$A$2&amp;"*"))</f>
        <v>0</v>
      </c>
      <c r="T520" s="139">
        <f>+$W$5-Tabla2[[#This Row],[FECHA DE FACTURACIÓN]]</f>
        <v>125</v>
      </c>
      <c r="U520" t="str">
        <f>+IF(Tabla2[[#This Row],[dias de credito]]&gt;=Tabla2[[#This Row],[PLAZO Días]],"venc", "No venc")</f>
        <v>venc</v>
      </c>
      <c r="V520" t="str">
        <f>+IF(Tabla2[[#This Row],[FECHA DE PAGO]]&gt;0,"pagada","por pagar")</f>
        <v>pagada</v>
      </c>
      <c r="W520" s="141" t="str">
        <f>+IF(AND(Tabla2[[#This Row],[venc]]="venc",Tabla2[[#This Row],[Columna1]]="por pagar"),"vencida","no")</f>
        <v>no</v>
      </c>
    </row>
    <row r="521" spans="1:23" ht="15.6" hidden="1" x14ac:dyDescent="0.3">
      <c r="A521" s="20">
        <v>30</v>
      </c>
      <c r="B521" s="25">
        <v>0</v>
      </c>
      <c r="C521" s="25"/>
      <c r="D521" s="56">
        <v>0</v>
      </c>
      <c r="E521" s="426">
        <v>45166</v>
      </c>
      <c r="F521" s="26" t="s">
        <v>1920</v>
      </c>
      <c r="G521" s="426">
        <v>45166</v>
      </c>
      <c r="H521" s="35" t="s">
        <v>1919</v>
      </c>
      <c r="I521" s="21">
        <v>1455126</v>
      </c>
      <c r="J521" s="21">
        <v>173160</v>
      </c>
      <c r="K521" s="22">
        <v>243573.54</v>
      </c>
      <c r="L521" s="23"/>
      <c r="M521" s="22">
        <v>0</v>
      </c>
      <c r="N521" s="74">
        <v>2.5000000000000001E-2</v>
      </c>
      <c r="O521" s="22">
        <v>32049.15</v>
      </c>
      <c r="P521" s="21">
        <v>1493490.3900000001</v>
      </c>
      <c r="S521" s="108" t="b">
        <f>OR(COUNTIF(Tabla2[[#This Row],[PROVEEDOR]],"*"&amp;'Palabra no opera'!$A$2&amp;"*"))</f>
        <v>0</v>
      </c>
      <c r="T521" s="139">
        <f>+$W$5-Tabla2[[#This Row],[FECHA DE FACTURACIÓN]]</f>
        <v>125</v>
      </c>
      <c r="U521" t="str">
        <f>+IF(Tabla2[[#This Row],[dias de credito]]&gt;=Tabla2[[#This Row],[PLAZO Días]],"venc", "No venc")</f>
        <v>venc</v>
      </c>
      <c r="V521" t="str">
        <f>+IF(Tabla2[[#This Row],[FECHA DE PAGO]]&gt;0,"pagada","por pagar")</f>
        <v>pagada</v>
      </c>
      <c r="W521" s="141" t="str">
        <f>+IF(AND(Tabla2[[#This Row],[venc]]="venc",Tabla2[[#This Row],[Columna1]]="por pagar"),"vencida","no")</f>
        <v>no</v>
      </c>
    </row>
    <row r="522" spans="1:23" ht="15.6" hidden="1" x14ac:dyDescent="0.3">
      <c r="A522" s="20">
        <v>30</v>
      </c>
      <c r="B522" s="25">
        <v>4248480.9550000001</v>
      </c>
      <c r="C522" s="25"/>
      <c r="D522" s="56" t="s">
        <v>107</v>
      </c>
      <c r="E522" s="426">
        <v>45166</v>
      </c>
      <c r="F522" s="26" t="s">
        <v>78</v>
      </c>
      <c r="G522" s="426">
        <v>45132</v>
      </c>
      <c r="H522" s="35" t="s">
        <v>1840</v>
      </c>
      <c r="I522" s="21">
        <v>1571429</v>
      </c>
      <c r="J522" s="21"/>
      <c r="K522" s="22">
        <v>298571.51</v>
      </c>
      <c r="L522" s="23"/>
      <c r="M522" s="22">
        <v>0</v>
      </c>
      <c r="N522" s="74">
        <v>2.5000000000000001E-2</v>
      </c>
      <c r="O522" s="22">
        <v>39285.724999999999</v>
      </c>
      <c r="P522" s="21">
        <v>1830714.7849999999</v>
      </c>
      <c r="S522" s="108" t="b">
        <f>OR(COUNTIF(Tabla2[[#This Row],[PROVEEDOR]],"*"&amp;'Palabra no opera'!$A$2&amp;"*"))</f>
        <v>0</v>
      </c>
      <c r="T522" s="139">
        <f>+$W$5-Tabla2[[#This Row],[FECHA DE FACTURACIÓN]]</f>
        <v>159</v>
      </c>
      <c r="U522" t="str">
        <f>+IF(Tabla2[[#This Row],[dias de credito]]&gt;=Tabla2[[#This Row],[PLAZO Días]],"venc", "No venc")</f>
        <v>venc</v>
      </c>
      <c r="V522" t="str">
        <f>+IF(Tabla2[[#This Row],[FECHA DE PAGO]]&gt;0,"pagada","por pagar")</f>
        <v>pagada</v>
      </c>
      <c r="W522" s="141" t="str">
        <f>+IF(AND(Tabla2[[#This Row],[venc]]="venc",Tabla2[[#This Row],[Columna1]]="por pagar"),"vencida","no")</f>
        <v>no</v>
      </c>
    </row>
    <row r="523" spans="1:23" ht="15.6" hidden="1" x14ac:dyDescent="0.3">
      <c r="A523" s="20">
        <v>30</v>
      </c>
      <c r="B523" s="25">
        <v>0</v>
      </c>
      <c r="C523" s="25"/>
      <c r="D523" s="56" t="s">
        <v>190</v>
      </c>
      <c r="E523" s="426">
        <v>45166</v>
      </c>
      <c r="F523" s="26" t="s">
        <v>964</v>
      </c>
      <c r="G523" s="426">
        <v>45124</v>
      </c>
      <c r="H523" s="35" t="s">
        <v>1814</v>
      </c>
      <c r="I523" s="21">
        <v>1710000</v>
      </c>
      <c r="J523" s="21"/>
      <c r="K523" s="22">
        <v>324900</v>
      </c>
      <c r="L523" s="23"/>
      <c r="M523" s="22">
        <v>0</v>
      </c>
      <c r="N523" s="74">
        <v>0</v>
      </c>
      <c r="O523" s="22">
        <v>0</v>
      </c>
      <c r="P523" s="21">
        <v>2034900</v>
      </c>
      <c r="S523" s="108" t="b">
        <f>OR(COUNTIF(Tabla2[[#This Row],[PROVEEDOR]],"*"&amp;'Palabra no opera'!$A$2&amp;"*"))</f>
        <v>0</v>
      </c>
      <c r="T523" s="139">
        <f>+$W$5-Tabla2[[#This Row],[FECHA DE FACTURACIÓN]]</f>
        <v>167</v>
      </c>
      <c r="U523" t="str">
        <f>+IF(Tabla2[[#This Row],[dias de credito]]&gt;=Tabla2[[#This Row],[PLAZO Días]],"venc", "No venc")</f>
        <v>venc</v>
      </c>
      <c r="V523" t="str">
        <f>+IF(Tabla2[[#This Row],[FECHA DE PAGO]]&gt;0,"pagada","por pagar")</f>
        <v>pagada</v>
      </c>
      <c r="W523" s="141" t="str">
        <f>+IF(AND(Tabla2[[#This Row],[venc]]="venc",Tabla2[[#This Row],[Columna1]]="por pagar"),"vencida","no")</f>
        <v>no</v>
      </c>
    </row>
    <row r="524" spans="1:23" ht="15.6" hidden="1" x14ac:dyDescent="0.3">
      <c r="A524" s="20">
        <v>30</v>
      </c>
      <c r="B524" s="25">
        <v>4248480.9550000001</v>
      </c>
      <c r="C524" s="25"/>
      <c r="D524" s="56" t="s">
        <v>107</v>
      </c>
      <c r="E524" s="426">
        <v>45166</v>
      </c>
      <c r="F524" s="26" t="s">
        <v>78</v>
      </c>
      <c r="G524" s="426">
        <v>45121</v>
      </c>
      <c r="H524" s="35" t="s">
        <v>1808</v>
      </c>
      <c r="I524" s="21">
        <v>2828983</v>
      </c>
      <c r="J524" s="21"/>
      <c r="K524" s="22">
        <v>537506.77</v>
      </c>
      <c r="L524" s="23"/>
      <c r="M524" s="22">
        <v>0</v>
      </c>
      <c r="N524" s="74">
        <v>2.5000000000000001E-2</v>
      </c>
      <c r="O524" s="22">
        <v>70724.574999999997</v>
      </c>
      <c r="P524" s="21">
        <v>3295765.1949999998</v>
      </c>
      <c r="S524" s="108" t="b">
        <f>OR(COUNTIF(Tabla2[[#This Row],[PROVEEDOR]],"*"&amp;'Palabra no opera'!$A$2&amp;"*"))</f>
        <v>0</v>
      </c>
      <c r="T524" s="139">
        <f>+$W$5-Tabla2[[#This Row],[FECHA DE FACTURACIÓN]]</f>
        <v>170</v>
      </c>
      <c r="U524" t="str">
        <f>+IF(Tabla2[[#This Row],[dias de credito]]&gt;=Tabla2[[#This Row],[PLAZO Días]],"venc", "No venc")</f>
        <v>venc</v>
      </c>
      <c r="V524" t="str">
        <f>+IF(Tabla2[[#This Row],[FECHA DE PAGO]]&gt;0,"pagada","por pagar")</f>
        <v>pagada</v>
      </c>
      <c r="W524" s="141" t="str">
        <f>+IF(AND(Tabla2[[#This Row],[venc]]="venc",Tabla2[[#This Row],[Columna1]]="por pagar"),"vencida","no")</f>
        <v>no</v>
      </c>
    </row>
    <row r="525" spans="1:23" ht="15.6" hidden="1" x14ac:dyDescent="0.3">
      <c r="A525" s="20">
        <v>45</v>
      </c>
      <c r="B525" s="25">
        <v>15770594</v>
      </c>
      <c r="C525" s="25"/>
      <c r="D525" s="56" t="s">
        <v>594</v>
      </c>
      <c r="E525" s="426">
        <v>45166</v>
      </c>
      <c r="F525" s="26" t="s">
        <v>19</v>
      </c>
      <c r="G525" s="426">
        <v>45118</v>
      </c>
      <c r="H525" s="35" t="s">
        <v>1821</v>
      </c>
      <c r="I525" s="21">
        <v>1635783</v>
      </c>
      <c r="J525" s="21"/>
      <c r="K525" s="22">
        <v>310798.77</v>
      </c>
      <c r="L525" s="23"/>
      <c r="M525" s="22">
        <v>0</v>
      </c>
      <c r="N525" s="74">
        <v>0</v>
      </c>
      <c r="O525" s="22">
        <v>0</v>
      </c>
      <c r="P525" s="21">
        <v>1946581.77</v>
      </c>
      <c r="S525" s="108" t="b">
        <f>OR(COUNTIF(Tabla2[[#This Row],[PROVEEDOR]],"*"&amp;'Palabra no opera'!$A$2&amp;"*"))</f>
        <v>0</v>
      </c>
      <c r="T525" s="139">
        <f>+$W$5-Tabla2[[#This Row],[FECHA DE FACTURACIÓN]]</f>
        <v>173</v>
      </c>
      <c r="U525" t="str">
        <f>+IF(Tabla2[[#This Row],[dias de credito]]&gt;=Tabla2[[#This Row],[PLAZO Días]],"venc", "No venc")</f>
        <v>venc</v>
      </c>
      <c r="V525" t="str">
        <f>+IF(Tabla2[[#This Row],[FECHA DE PAGO]]&gt;0,"pagada","por pagar")</f>
        <v>pagada</v>
      </c>
      <c r="W525" s="141" t="str">
        <f>+IF(AND(Tabla2[[#This Row],[venc]]="venc",Tabla2[[#This Row],[Columna1]]="por pagar"),"vencida","no")</f>
        <v>no</v>
      </c>
    </row>
    <row r="526" spans="1:23" ht="15.6" hidden="1" x14ac:dyDescent="0.3">
      <c r="A526" s="20">
        <v>45</v>
      </c>
      <c r="B526" s="25">
        <v>15770594</v>
      </c>
      <c r="C526" s="25"/>
      <c r="D526" s="56" t="s">
        <v>594</v>
      </c>
      <c r="E526" s="426">
        <v>45166</v>
      </c>
      <c r="F526" s="26" t="s">
        <v>19</v>
      </c>
      <c r="G526" s="426">
        <v>45107</v>
      </c>
      <c r="H526" s="35" t="s">
        <v>1782</v>
      </c>
      <c r="I526" s="21">
        <v>7200600</v>
      </c>
      <c r="J526" s="21"/>
      <c r="K526" s="22">
        <v>1368114</v>
      </c>
      <c r="L526" s="23"/>
      <c r="M526" s="22">
        <v>0</v>
      </c>
      <c r="N526" s="74">
        <v>0</v>
      </c>
      <c r="O526" s="22">
        <v>0</v>
      </c>
      <c r="P526" s="21">
        <v>8568714</v>
      </c>
      <c r="S526" s="108" t="b">
        <f>OR(COUNTIF(Tabla2[[#This Row],[PROVEEDOR]],"*"&amp;'Palabra no opera'!$A$2&amp;"*"))</f>
        <v>0</v>
      </c>
      <c r="T526" s="139">
        <f>+$W$5-Tabla2[[#This Row],[FECHA DE FACTURACIÓN]]</f>
        <v>184</v>
      </c>
      <c r="U526" t="str">
        <f>+IF(Tabla2[[#This Row],[dias de credito]]&gt;=Tabla2[[#This Row],[PLAZO Días]],"venc", "No venc")</f>
        <v>venc</v>
      </c>
      <c r="V526" t="str">
        <f>+IF(Tabla2[[#This Row],[FECHA DE PAGO]]&gt;0,"pagada","por pagar")</f>
        <v>pagada</v>
      </c>
      <c r="W526" s="141" t="str">
        <f>+IF(AND(Tabla2[[#This Row],[venc]]="venc",Tabla2[[#This Row],[Columna1]]="por pagar"),"vencida","no")</f>
        <v>no</v>
      </c>
    </row>
    <row r="527" spans="1:23" ht="15.6" hidden="1" x14ac:dyDescent="0.3">
      <c r="A527" s="20">
        <v>30</v>
      </c>
      <c r="B527" s="25">
        <v>0</v>
      </c>
      <c r="C527" s="25"/>
      <c r="D527" s="56" t="s">
        <v>107</v>
      </c>
      <c r="E527" s="426">
        <v>45163</v>
      </c>
      <c r="F527" s="26" t="s">
        <v>378</v>
      </c>
      <c r="G527" s="426">
        <v>45163</v>
      </c>
      <c r="H527" s="35" t="s">
        <v>1895</v>
      </c>
      <c r="I527" s="21">
        <v>1280000</v>
      </c>
      <c r="J527" s="21"/>
      <c r="K527" s="22">
        <v>0</v>
      </c>
      <c r="L527" s="23"/>
      <c r="M527" s="22">
        <v>0</v>
      </c>
      <c r="N527" s="74">
        <v>0</v>
      </c>
      <c r="O527" s="22">
        <v>0</v>
      </c>
      <c r="P527" s="21">
        <v>1280000</v>
      </c>
      <c r="S527" s="108" t="b">
        <f>OR(COUNTIF(Tabla2[[#This Row],[PROVEEDOR]],"*"&amp;'Palabra no opera'!$A$2&amp;"*"))</f>
        <v>0</v>
      </c>
      <c r="T527" s="139">
        <f>+$W$5-Tabla2[[#This Row],[FECHA DE FACTURACIÓN]]</f>
        <v>128</v>
      </c>
      <c r="U527" t="str">
        <f>+IF(Tabla2[[#This Row],[dias de credito]]&gt;=Tabla2[[#This Row],[PLAZO Días]],"venc", "No venc")</f>
        <v>venc</v>
      </c>
      <c r="V527" t="str">
        <f>+IF(Tabla2[[#This Row],[FECHA DE PAGO]]&gt;0,"pagada","por pagar")</f>
        <v>pagada</v>
      </c>
      <c r="W527" s="141" t="str">
        <f>+IF(AND(Tabla2[[#This Row],[venc]]="venc",Tabla2[[#This Row],[Columna1]]="por pagar"),"vencida","no")</f>
        <v>no</v>
      </c>
    </row>
    <row r="528" spans="1:23" ht="15.6" hidden="1" x14ac:dyDescent="0.3">
      <c r="A528" s="20">
        <v>30</v>
      </c>
      <c r="B528" s="25">
        <v>0</v>
      </c>
      <c r="C528" s="25"/>
      <c r="D528" s="56" t="s">
        <v>199</v>
      </c>
      <c r="E528" s="426">
        <v>45163</v>
      </c>
      <c r="F528" s="26" t="s">
        <v>1069</v>
      </c>
      <c r="G528" s="426">
        <v>45128</v>
      </c>
      <c r="H528" s="35" t="s">
        <v>1826</v>
      </c>
      <c r="I528" s="21">
        <v>1369750</v>
      </c>
      <c r="J528" s="21"/>
      <c r="K528" s="22">
        <v>260252.5</v>
      </c>
      <c r="L528" s="23"/>
      <c r="M528" s="22">
        <v>0</v>
      </c>
      <c r="N528" s="74">
        <v>2.5000000000000001E-2</v>
      </c>
      <c r="O528" s="22">
        <v>34243.75</v>
      </c>
      <c r="P528" s="21">
        <v>1595758.75</v>
      </c>
      <c r="S528" s="108" t="b">
        <f>OR(COUNTIF(Tabla2[[#This Row],[PROVEEDOR]],"*"&amp;'Palabra no opera'!$A$2&amp;"*"))</f>
        <v>0</v>
      </c>
      <c r="T528" s="139">
        <f>+$W$5-Tabla2[[#This Row],[FECHA DE FACTURACIÓN]]</f>
        <v>163</v>
      </c>
      <c r="U528" t="str">
        <f>+IF(Tabla2[[#This Row],[dias de credito]]&gt;=Tabla2[[#This Row],[PLAZO Días]],"venc", "No venc")</f>
        <v>venc</v>
      </c>
      <c r="V528" t="str">
        <f>+IF(Tabla2[[#This Row],[FECHA DE PAGO]]&gt;0,"pagada","por pagar")</f>
        <v>pagada</v>
      </c>
      <c r="W528" s="141" t="str">
        <f>+IF(AND(Tabla2[[#This Row],[venc]]="venc",Tabla2[[#This Row],[Columna1]]="por pagar"),"vencida","no")</f>
        <v>no</v>
      </c>
    </row>
    <row r="529" spans="1:23" ht="15.6" hidden="1" x14ac:dyDescent="0.3">
      <c r="A529" s="20">
        <v>0</v>
      </c>
      <c r="B529" s="25">
        <v>0</v>
      </c>
      <c r="C529" s="25"/>
      <c r="D529" s="56">
        <v>0</v>
      </c>
      <c r="E529" s="426">
        <v>45162</v>
      </c>
      <c r="F529" s="26" t="s">
        <v>1898</v>
      </c>
      <c r="G529" s="426">
        <v>45162</v>
      </c>
      <c r="H529" s="35" t="s">
        <v>1899</v>
      </c>
      <c r="I529" s="21">
        <v>487395</v>
      </c>
      <c r="J529" s="21"/>
      <c r="K529" s="22">
        <v>92605.05</v>
      </c>
      <c r="L529" s="23"/>
      <c r="M529" s="22">
        <v>0</v>
      </c>
      <c r="N529" s="74">
        <v>0</v>
      </c>
      <c r="O529" s="22">
        <v>0</v>
      </c>
      <c r="P529" s="21">
        <v>580000.05000000005</v>
      </c>
      <c r="S529" s="108" t="b">
        <f>OR(COUNTIF(Tabla2[[#This Row],[PROVEEDOR]],"*"&amp;'Palabra no opera'!$A$2&amp;"*"))</f>
        <v>0</v>
      </c>
      <c r="T529" s="139">
        <f>+$W$5-Tabla2[[#This Row],[FECHA DE FACTURACIÓN]]</f>
        <v>129</v>
      </c>
      <c r="U529" t="str">
        <f>+IF(Tabla2[[#This Row],[dias de credito]]&gt;=Tabla2[[#This Row],[PLAZO Días]],"venc", "No venc")</f>
        <v>venc</v>
      </c>
      <c r="V529" t="str">
        <f>+IF(Tabla2[[#This Row],[FECHA DE PAGO]]&gt;0,"pagada","por pagar")</f>
        <v>pagada</v>
      </c>
      <c r="W529" s="141" t="str">
        <f>+IF(AND(Tabla2[[#This Row],[venc]]="venc",Tabla2[[#This Row],[Columna1]]="por pagar"),"vencida","no")</f>
        <v>no</v>
      </c>
    </row>
    <row r="530" spans="1:23" ht="15.6" hidden="1" x14ac:dyDescent="0.3">
      <c r="A530" s="20">
        <v>30</v>
      </c>
      <c r="B530" s="25">
        <v>0</v>
      </c>
      <c r="C530" s="25"/>
      <c r="D530" s="56" t="s">
        <v>740</v>
      </c>
      <c r="E530" s="426">
        <v>45161</v>
      </c>
      <c r="F530" s="26" t="s">
        <v>637</v>
      </c>
      <c r="G530" s="426">
        <v>45139</v>
      </c>
      <c r="H530" s="35" t="s">
        <v>1890</v>
      </c>
      <c r="I530" s="21">
        <v>934363</v>
      </c>
      <c r="J530" s="21"/>
      <c r="K530" s="22">
        <v>0</v>
      </c>
      <c r="L530" s="23"/>
      <c r="M530" s="22">
        <v>0</v>
      </c>
      <c r="N530" s="74">
        <v>0</v>
      </c>
      <c r="O530" s="22">
        <v>0</v>
      </c>
      <c r="P530" s="21">
        <v>934363</v>
      </c>
      <c r="S530" s="108" t="b">
        <f>OR(COUNTIF(Tabla2[[#This Row],[PROVEEDOR]],"*"&amp;'Palabra no opera'!$A$2&amp;"*"))</f>
        <v>1</v>
      </c>
      <c r="T530" s="139">
        <f>+$W$5-Tabla2[[#This Row],[FECHA DE FACTURACIÓN]]</f>
        <v>152</v>
      </c>
      <c r="U530" t="str">
        <f>+IF(Tabla2[[#This Row],[dias de credito]]&gt;=Tabla2[[#This Row],[PLAZO Días]],"venc", "No venc")</f>
        <v>venc</v>
      </c>
      <c r="V530" t="str">
        <f>+IF(Tabla2[[#This Row],[FECHA DE PAGO]]&gt;0,"pagada","por pagar")</f>
        <v>pagada</v>
      </c>
      <c r="W530" s="141" t="str">
        <f>+IF(AND(Tabla2[[#This Row],[venc]]="venc",Tabla2[[#This Row],[Columna1]]="por pagar"),"vencida","no")</f>
        <v>no</v>
      </c>
    </row>
    <row r="531" spans="1:23" ht="15.6" hidden="1" x14ac:dyDescent="0.3">
      <c r="A531" s="20">
        <v>30</v>
      </c>
      <c r="B531" s="25">
        <v>0</v>
      </c>
      <c r="C531" s="25"/>
      <c r="D531" s="56" t="s">
        <v>740</v>
      </c>
      <c r="E531" s="426">
        <v>45161</v>
      </c>
      <c r="F531" s="26" t="s">
        <v>637</v>
      </c>
      <c r="G531" s="426">
        <v>45139</v>
      </c>
      <c r="H531" s="35" t="s">
        <v>1891</v>
      </c>
      <c r="I531" s="21">
        <v>914023</v>
      </c>
      <c r="J531" s="21"/>
      <c r="K531" s="22">
        <v>0</v>
      </c>
      <c r="L531" s="23"/>
      <c r="M531" s="22">
        <v>0</v>
      </c>
      <c r="N531" s="74">
        <v>0</v>
      </c>
      <c r="O531" s="22">
        <v>0</v>
      </c>
      <c r="P531" s="21">
        <v>914023</v>
      </c>
      <c r="S531" s="108" t="b">
        <f>OR(COUNTIF(Tabla2[[#This Row],[PROVEEDOR]],"*"&amp;'Palabra no opera'!$A$2&amp;"*"))</f>
        <v>1</v>
      </c>
      <c r="T531" s="139">
        <f>+$W$5-Tabla2[[#This Row],[FECHA DE FACTURACIÓN]]</f>
        <v>152</v>
      </c>
      <c r="U531" t="str">
        <f>+IF(Tabla2[[#This Row],[dias de credito]]&gt;=Tabla2[[#This Row],[PLAZO Días]],"venc", "No venc")</f>
        <v>venc</v>
      </c>
      <c r="V531" t="str">
        <f>+IF(Tabla2[[#This Row],[FECHA DE PAGO]]&gt;0,"pagada","por pagar")</f>
        <v>pagada</v>
      </c>
      <c r="W531" s="141" t="str">
        <f>+IF(AND(Tabla2[[#This Row],[venc]]="venc",Tabla2[[#This Row],[Columna1]]="por pagar"),"vencida","no")</f>
        <v>no</v>
      </c>
    </row>
    <row r="532" spans="1:23" ht="15.6" hidden="1" x14ac:dyDescent="0.3">
      <c r="A532" s="20">
        <v>30</v>
      </c>
      <c r="B532" s="25">
        <v>0</v>
      </c>
      <c r="C532" s="25"/>
      <c r="D532" s="56" t="s">
        <v>107</v>
      </c>
      <c r="E532" s="426">
        <v>45160</v>
      </c>
      <c r="F532" s="26" t="s">
        <v>362</v>
      </c>
      <c r="G532" s="426">
        <v>45160</v>
      </c>
      <c r="H532" s="35" t="s">
        <v>1896</v>
      </c>
      <c r="I532" s="21">
        <v>70000</v>
      </c>
      <c r="J532" s="21"/>
      <c r="K532" s="22">
        <v>0</v>
      </c>
      <c r="L532" s="23"/>
      <c r="M532" s="22">
        <v>0</v>
      </c>
      <c r="N532" s="74">
        <v>0</v>
      </c>
      <c r="O532" s="22">
        <v>0</v>
      </c>
      <c r="P532" s="21">
        <v>70000</v>
      </c>
      <c r="S532" s="108" t="b">
        <f>OR(COUNTIF(Tabla2[[#This Row],[PROVEEDOR]],"*"&amp;'Palabra no opera'!$A$2&amp;"*"))</f>
        <v>0</v>
      </c>
      <c r="T532" s="139">
        <f>+$W$5-Tabla2[[#This Row],[FECHA DE FACTURACIÓN]]</f>
        <v>131</v>
      </c>
      <c r="U532" t="str">
        <f>+IF(Tabla2[[#This Row],[dias de credito]]&gt;=Tabla2[[#This Row],[PLAZO Días]],"venc", "No venc")</f>
        <v>venc</v>
      </c>
      <c r="V532" t="str">
        <f>+IF(Tabla2[[#This Row],[FECHA DE PAGO]]&gt;0,"pagada","por pagar")</f>
        <v>pagada</v>
      </c>
      <c r="W532" s="141" t="str">
        <f>+IF(AND(Tabla2[[#This Row],[venc]]="venc",Tabla2[[#This Row],[Columna1]]="por pagar"),"vencida","no")</f>
        <v>no</v>
      </c>
    </row>
    <row r="533" spans="1:23" ht="15.6" hidden="1" x14ac:dyDescent="0.3">
      <c r="A533" s="20">
        <v>30</v>
      </c>
      <c r="B533" s="25">
        <v>0</v>
      </c>
      <c r="C533" s="25"/>
      <c r="D533" s="56" t="s">
        <v>260</v>
      </c>
      <c r="E533" s="426">
        <v>45160</v>
      </c>
      <c r="F533" s="26" t="s">
        <v>635</v>
      </c>
      <c r="G533" s="426">
        <v>45148</v>
      </c>
      <c r="H533" s="35" t="s">
        <v>1888</v>
      </c>
      <c r="I533" s="21">
        <v>3456200</v>
      </c>
      <c r="J533" s="21"/>
      <c r="K533" s="22">
        <v>0</v>
      </c>
      <c r="L533" s="23"/>
      <c r="M533" s="22">
        <v>0</v>
      </c>
      <c r="N533" s="74">
        <v>3.5000000000000003E-2</v>
      </c>
      <c r="O533" s="22">
        <v>120967.00000000001</v>
      </c>
      <c r="P533" s="21">
        <v>3335233</v>
      </c>
      <c r="S533" s="108" t="b">
        <f>OR(COUNTIF(Tabla2[[#This Row],[PROVEEDOR]],"*"&amp;'Palabra no opera'!$A$2&amp;"*"))</f>
        <v>1</v>
      </c>
      <c r="T533" s="139">
        <f>+$W$5-Tabla2[[#This Row],[FECHA DE FACTURACIÓN]]</f>
        <v>143</v>
      </c>
      <c r="U533" t="str">
        <f>+IF(Tabla2[[#This Row],[dias de credito]]&gt;=Tabla2[[#This Row],[PLAZO Días]],"venc", "No venc")</f>
        <v>venc</v>
      </c>
      <c r="V533" t="str">
        <f>+IF(Tabla2[[#This Row],[FECHA DE PAGO]]&gt;0,"pagada","por pagar")</f>
        <v>pagada</v>
      </c>
      <c r="W533" s="141" t="str">
        <f>+IF(AND(Tabla2[[#This Row],[venc]]="venc",Tabla2[[#This Row],[Columna1]]="por pagar"),"vencida","no")</f>
        <v>no</v>
      </c>
    </row>
    <row r="534" spans="1:23" ht="15.6" hidden="1" x14ac:dyDescent="0.3">
      <c r="A534" s="20">
        <v>30</v>
      </c>
      <c r="B534" s="25">
        <v>-139600.09</v>
      </c>
      <c r="C534" s="25"/>
      <c r="D534" s="56" t="s">
        <v>728</v>
      </c>
      <c r="E534" s="426">
        <v>45160</v>
      </c>
      <c r="F534" s="26" t="s">
        <v>32</v>
      </c>
      <c r="G534" s="426">
        <v>45100</v>
      </c>
      <c r="H534" s="35" t="s">
        <v>1780</v>
      </c>
      <c r="I534" s="21">
        <v>1119664</v>
      </c>
      <c r="J534" s="21"/>
      <c r="K534" s="22">
        <v>212736.16</v>
      </c>
      <c r="L534" s="23"/>
      <c r="M534" s="22">
        <v>0</v>
      </c>
      <c r="N534" s="74">
        <v>0</v>
      </c>
      <c r="O534" s="22">
        <v>0</v>
      </c>
      <c r="P534" s="21">
        <v>1332400.1599999999</v>
      </c>
      <c r="S534" s="108" t="b">
        <f>OR(COUNTIF(Tabla2[[#This Row],[PROVEEDOR]],"*"&amp;'Palabra no opera'!$A$2&amp;"*"))</f>
        <v>0</v>
      </c>
      <c r="T534" s="139">
        <f>+$W$5-Tabla2[[#This Row],[FECHA DE FACTURACIÓN]]</f>
        <v>191</v>
      </c>
      <c r="U534" t="str">
        <f>+IF(Tabla2[[#This Row],[dias de credito]]&gt;=Tabla2[[#This Row],[PLAZO Días]],"venc", "No venc")</f>
        <v>venc</v>
      </c>
      <c r="V534" t="str">
        <f>+IF(Tabla2[[#This Row],[FECHA DE PAGO]]&gt;0,"pagada","por pagar")</f>
        <v>pagada</v>
      </c>
      <c r="W534" s="141" t="str">
        <f>+IF(AND(Tabla2[[#This Row],[venc]]="venc",Tabla2[[#This Row],[Columna1]]="por pagar"),"vencida","no")</f>
        <v>no</v>
      </c>
    </row>
    <row r="535" spans="1:23" ht="15.6" hidden="1" x14ac:dyDescent="0.3">
      <c r="A535" s="20">
        <v>30</v>
      </c>
      <c r="B535" s="25">
        <v>0</v>
      </c>
      <c r="C535" s="25"/>
      <c r="D535" s="56" t="s">
        <v>107</v>
      </c>
      <c r="E535" s="426">
        <v>45157</v>
      </c>
      <c r="F535" s="26" t="s">
        <v>362</v>
      </c>
      <c r="G535" s="426">
        <v>45157</v>
      </c>
      <c r="H535" s="35" t="s">
        <v>1897</v>
      </c>
      <c r="I535" s="21">
        <v>50000</v>
      </c>
      <c r="J535" s="21"/>
      <c r="K535" s="22">
        <v>0</v>
      </c>
      <c r="L535" s="23"/>
      <c r="M535" s="22">
        <v>0</v>
      </c>
      <c r="N535" s="74">
        <v>0</v>
      </c>
      <c r="O535" s="22">
        <v>0</v>
      </c>
      <c r="P535" s="21">
        <v>50000</v>
      </c>
      <c r="S535" s="108" t="b">
        <f>OR(COUNTIF(Tabla2[[#This Row],[PROVEEDOR]],"*"&amp;'Palabra no opera'!$A$2&amp;"*"))</f>
        <v>0</v>
      </c>
      <c r="T535" s="139">
        <f>+$W$5-Tabla2[[#This Row],[FECHA DE FACTURACIÓN]]</f>
        <v>134</v>
      </c>
      <c r="U535" t="str">
        <f>+IF(Tabla2[[#This Row],[dias de credito]]&gt;=Tabla2[[#This Row],[PLAZO Días]],"venc", "No venc")</f>
        <v>venc</v>
      </c>
      <c r="V535" t="str">
        <f>+IF(Tabla2[[#This Row],[FECHA DE PAGO]]&gt;0,"pagada","por pagar")</f>
        <v>pagada</v>
      </c>
      <c r="W535" s="141" t="str">
        <f>+IF(AND(Tabla2[[#This Row],[venc]]="venc",Tabla2[[#This Row],[Columna1]]="por pagar"),"vencida","no")</f>
        <v>no</v>
      </c>
    </row>
    <row r="536" spans="1:23" ht="15.6" hidden="1" x14ac:dyDescent="0.3">
      <c r="A536" s="20">
        <v>30</v>
      </c>
      <c r="B536" s="25">
        <v>0</v>
      </c>
      <c r="C536" s="25"/>
      <c r="D536" s="56" t="s">
        <v>107</v>
      </c>
      <c r="E536" s="426">
        <v>45156</v>
      </c>
      <c r="F536" s="26" t="s">
        <v>37</v>
      </c>
      <c r="G536" s="426">
        <v>45156</v>
      </c>
      <c r="H536" s="35" t="s">
        <v>1903</v>
      </c>
      <c r="I536" s="21">
        <v>18513</v>
      </c>
      <c r="J536" s="21"/>
      <c r="K536" s="22">
        <v>3517.4700000000003</v>
      </c>
      <c r="L536" s="23"/>
      <c r="M536" s="22">
        <v>0</v>
      </c>
      <c r="N536" s="74">
        <v>0</v>
      </c>
      <c r="O536" s="22">
        <v>0</v>
      </c>
      <c r="P536" s="21">
        <v>22030.47</v>
      </c>
      <c r="S536" s="108" t="b">
        <f>OR(COUNTIF(Tabla2[[#This Row],[PROVEEDOR]],"*"&amp;'Palabra no opera'!$A$2&amp;"*"))</f>
        <v>0</v>
      </c>
      <c r="T536" s="139">
        <f>+$W$5-Tabla2[[#This Row],[FECHA DE FACTURACIÓN]]</f>
        <v>135</v>
      </c>
      <c r="U536" t="str">
        <f>+IF(Tabla2[[#This Row],[dias de credito]]&gt;=Tabla2[[#This Row],[PLAZO Días]],"venc", "No venc")</f>
        <v>venc</v>
      </c>
      <c r="V536" t="str">
        <f>+IF(Tabla2[[#This Row],[FECHA DE PAGO]]&gt;0,"pagada","por pagar")</f>
        <v>pagada</v>
      </c>
      <c r="W536" s="141" t="str">
        <f>+IF(AND(Tabla2[[#This Row],[venc]]="venc",Tabla2[[#This Row],[Columna1]]="por pagar"),"vencida","no")</f>
        <v>no</v>
      </c>
    </row>
    <row r="537" spans="1:23" ht="15.6" hidden="1" x14ac:dyDescent="0.3">
      <c r="A537" s="20">
        <v>30</v>
      </c>
      <c r="B537" s="25">
        <v>352505.48</v>
      </c>
      <c r="C537" s="25"/>
      <c r="D537" s="56" t="s">
        <v>393</v>
      </c>
      <c r="E537" s="426">
        <v>45156</v>
      </c>
      <c r="F537" s="26" t="s">
        <v>631</v>
      </c>
      <c r="G537" s="426">
        <v>45139</v>
      </c>
      <c r="H537" s="35" t="s">
        <v>1882</v>
      </c>
      <c r="I537" s="21">
        <v>318603</v>
      </c>
      <c r="J537" s="21">
        <v>9545</v>
      </c>
      <c r="K537" s="22">
        <v>0</v>
      </c>
      <c r="L537" s="23"/>
      <c r="M537" s="22">
        <v>0</v>
      </c>
      <c r="N537" s="74">
        <v>0</v>
      </c>
      <c r="O537" s="22">
        <v>0</v>
      </c>
      <c r="P537" s="21">
        <v>309058</v>
      </c>
      <c r="S537" s="108" t="b">
        <f>OR(COUNTIF(Tabla2[[#This Row],[PROVEEDOR]],"*"&amp;'Palabra no opera'!$A$2&amp;"*"))</f>
        <v>1</v>
      </c>
      <c r="T537" s="139">
        <f>+$W$5-Tabla2[[#This Row],[FECHA DE FACTURACIÓN]]</f>
        <v>152</v>
      </c>
      <c r="U537" t="str">
        <f>+IF(Tabla2[[#This Row],[dias de credito]]&gt;=Tabla2[[#This Row],[PLAZO Días]],"venc", "No venc")</f>
        <v>venc</v>
      </c>
      <c r="V537" t="str">
        <f>+IF(Tabla2[[#This Row],[FECHA DE PAGO]]&gt;0,"pagada","por pagar")</f>
        <v>pagada</v>
      </c>
      <c r="W537" s="141" t="str">
        <f>+IF(AND(Tabla2[[#This Row],[venc]]="venc",Tabla2[[#This Row],[Columna1]]="por pagar"),"vencida","no")</f>
        <v>no</v>
      </c>
    </row>
    <row r="538" spans="1:23" ht="15.6" hidden="1" x14ac:dyDescent="0.3">
      <c r="A538" s="20">
        <v>30</v>
      </c>
      <c r="B538" s="25">
        <v>0</v>
      </c>
      <c r="C538" s="25"/>
      <c r="D538" s="56" t="s">
        <v>107</v>
      </c>
      <c r="E538" s="426">
        <v>45155</v>
      </c>
      <c r="F538" s="26" t="s">
        <v>23</v>
      </c>
      <c r="G538" s="426">
        <v>45147</v>
      </c>
      <c r="H538" s="35">
        <v>90105</v>
      </c>
      <c r="I538" s="21">
        <v>50292956.899999999</v>
      </c>
      <c r="J538" s="21"/>
      <c r="K538" s="22">
        <v>0</v>
      </c>
      <c r="L538" s="23"/>
      <c r="M538" s="22">
        <v>0</v>
      </c>
      <c r="N538" s="74">
        <v>0</v>
      </c>
      <c r="O538" s="22">
        <v>0</v>
      </c>
      <c r="P538" s="21">
        <v>50292956.899999999</v>
      </c>
      <c r="S538" s="108" t="b">
        <f>OR(COUNTIF(Tabla2[[#This Row],[PROVEEDOR]],"*"&amp;'Palabra no opera'!$A$2&amp;"*"))</f>
        <v>0</v>
      </c>
      <c r="T538" s="139">
        <f>+$W$5-Tabla2[[#This Row],[FECHA DE FACTURACIÓN]]</f>
        <v>144</v>
      </c>
      <c r="U538" t="str">
        <f>+IF(Tabla2[[#This Row],[dias de credito]]&gt;=Tabla2[[#This Row],[PLAZO Días]],"venc", "No venc")</f>
        <v>venc</v>
      </c>
      <c r="V538" t="str">
        <f>+IF(Tabla2[[#This Row],[FECHA DE PAGO]]&gt;0,"pagada","por pagar")</f>
        <v>pagada</v>
      </c>
      <c r="W538" s="141" t="str">
        <f>+IF(AND(Tabla2[[#This Row],[venc]]="venc",Tabla2[[#This Row],[Columna1]]="por pagar"),"vencida","no")</f>
        <v>no</v>
      </c>
    </row>
    <row r="539" spans="1:23" ht="15.6" hidden="1" x14ac:dyDescent="0.3">
      <c r="A539" s="20">
        <v>30</v>
      </c>
      <c r="B539" s="25">
        <v>0</v>
      </c>
      <c r="C539" s="25"/>
      <c r="D539" s="56">
        <v>0</v>
      </c>
      <c r="E539" s="426">
        <v>45154</v>
      </c>
      <c r="F539" s="26" t="s">
        <v>1800</v>
      </c>
      <c r="G539" s="426">
        <v>45154</v>
      </c>
      <c r="H539" s="35" t="s">
        <v>1938</v>
      </c>
      <c r="I539" s="21">
        <v>216800</v>
      </c>
      <c r="J539" s="21"/>
      <c r="K539" s="22">
        <v>0</v>
      </c>
      <c r="L539" s="23"/>
      <c r="M539" s="22">
        <v>0</v>
      </c>
      <c r="N539" s="74">
        <v>0</v>
      </c>
      <c r="O539" s="22">
        <v>0</v>
      </c>
      <c r="P539" s="21">
        <v>216800</v>
      </c>
      <c r="S539" s="108" t="b">
        <f>OR(COUNTIF(Tabla2[[#This Row],[PROVEEDOR]],"*"&amp;'Palabra no opera'!$A$2&amp;"*"))</f>
        <v>0</v>
      </c>
      <c r="T539" s="139">
        <f>+$W$5-Tabla2[[#This Row],[FECHA DE FACTURACIÓN]]</f>
        <v>137</v>
      </c>
      <c r="U539" t="str">
        <f>+IF(Tabla2[[#This Row],[dias de credito]]&gt;=Tabla2[[#This Row],[PLAZO Días]],"venc", "No venc")</f>
        <v>venc</v>
      </c>
      <c r="V539" t="str">
        <f>+IF(Tabla2[[#This Row],[FECHA DE PAGO]]&gt;0,"pagada","por pagar")</f>
        <v>pagada</v>
      </c>
      <c r="W539" s="141" t="str">
        <f>+IF(AND(Tabla2[[#This Row],[venc]]="venc",Tabla2[[#This Row],[Columna1]]="por pagar"),"vencida","no")</f>
        <v>no</v>
      </c>
    </row>
    <row r="540" spans="1:23" ht="15.6" hidden="1" x14ac:dyDescent="0.3">
      <c r="A540" s="20">
        <v>30</v>
      </c>
      <c r="B540" s="25">
        <v>0</v>
      </c>
      <c r="C540" s="25"/>
      <c r="D540" s="56" t="s">
        <v>185</v>
      </c>
      <c r="E540" s="426">
        <v>45154</v>
      </c>
      <c r="F540" s="26" t="s">
        <v>628</v>
      </c>
      <c r="G540" s="426">
        <v>45140</v>
      </c>
      <c r="H540" s="35" t="s">
        <v>1880</v>
      </c>
      <c r="I540" s="21">
        <v>1840056</v>
      </c>
      <c r="J540" s="21"/>
      <c r="K540" s="22">
        <v>0</v>
      </c>
      <c r="L540" s="23"/>
      <c r="M540" s="22">
        <v>105097</v>
      </c>
      <c r="N540" s="74">
        <v>0</v>
      </c>
      <c r="O540" s="22">
        <v>0</v>
      </c>
      <c r="P540" s="21">
        <v>1734959</v>
      </c>
      <c r="S540" s="108" t="b">
        <f>OR(COUNTIF(Tabla2[[#This Row],[PROVEEDOR]],"*"&amp;'Palabra no opera'!$A$2&amp;"*"))</f>
        <v>1</v>
      </c>
      <c r="T540" s="139">
        <f>+$W$5-Tabla2[[#This Row],[FECHA DE FACTURACIÓN]]</f>
        <v>151</v>
      </c>
      <c r="U540" t="str">
        <f>+IF(Tabla2[[#This Row],[dias de credito]]&gt;=Tabla2[[#This Row],[PLAZO Días]],"venc", "No venc")</f>
        <v>venc</v>
      </c>
      <c r="V540" t="str">
        <f>+IF(Tabla2[[#This Row],[FECHA DE PAGO]]&gt;0,"pagada","por pagar")</f>
        <v>pagada</v>
      </c>
      <c r="W540" s="141" t="str">
        <f>+IF(AND(Tabla2[[#This Row],[venc]]="venc",Tabla2[[#This Row],[Columna1]]="por pagar"),"vencida","no")</f>
        <v>no</v>
      </c>
    </row>
    <row r="541" spans="1:23" ht="15.6" hidden="1" x14ac:dyDescent="0.3">
      <c r="A541" s="20">
        <v>30</v>
      </c>
      <c r="B541" s="25">
        <v>0</v>
      </c>
      <c r="C541" s="25"/>
      <c r="D541" s="56" t="s">
        <v>193</v>
      </c>
      <c r="E541" s="426">
        <v>45154</v>
      </c>
      <c r="F541" s="26" t="s">
        <v>651</v>
      </c>
      <c r="G541" s="426">
        <v>45139</v>
      </c>
      <c r="H541" s="35" t="s">
        <v>1944</v>
      </c>
      <c r="I541" s="21">
        <v>243611</v>
      </c>
      <c r="J541" s="21"/>
      <c r="K541" s="22">
        <v>46286.090000000004</v>
      </c>
      <c r="L541" s="23"/>
      <c r="M541" s="22">
        <v>0</v>
      </c>
      <c r="N541" s="74">
        <v>3.5000000000000003E-2</v>
      </c>
      <c r="O541" s="22">
        <v>8526.3850000000002</v>
      </c>
      <c r="P541" s="21">
        <v>281370.70500000002</v>
      </c>
      <c r="S541" s="108" t="b">
        <f>OR(COUNTIF(Tabla2[[#This Row],[PROVEEDOR]],"*"&amp;'Palabra no opera'!$A$2&amp;"*"))</f>
        <v>1</v>
      </c>
      <c r="T541" s="139">
        <f>+$W$5-Tabla2[[#This Row],[FECHA DE FACTURACIÓN]]</f>
        <v>152</v>
      </c>
      <c r="U541" t="str">
        <f>+IF(Tabla2[[#This Row],[dias de credito]]&gt;=Tabla2[[#This Row],[PLAZO Días]],"venc", "No venc")</f>
        <v>venc</v>
      </c>
      <c r="V541" t="str">
        <f>+IF(Tabla2[[#This Row],[FECHA DE PAGO]]&gt;0,"pagada","por pagar")</f>
        <v>pagada</v>
      </c>
      <c r="W541" s="141" t="str">
        <f>+IF(AND(Tabla2[[#This Row],[venc]]="venc",Tabla2[[#This Row],[Columna1]]="por pagar"),"vencida","no")</f>
        <v>no</v>
      </c>
    </row>
    <row r="542" spans="1:23" ht="15.6" hidden="1" x14ac:dyDescent="0.3">
      <c r="A542" s="20">
        <v>0</v>
      </c>
      <c r="B542" s="25">
        <v>0</v>
      </c>
      <c r="C542" s="25"/>
      <c r="D542" s="56">
        <v>0</v>
      </c>
      <c r="E542" s="426">
        <v>45153</v>
      </c>
      <c r="F542" s="26" t="s">
        <v>1879</v>
      </c>
      <c r="G542" s="426">
        <v>45153</v>
      </c>
      <c r="H542" s="35">
        <v>471</v>
      </c>
      <c r="I542" s="21">
        <v>234000</v>
      </c>
      <c r="J542" s="21"/>
      <c r="K542" s="22">
        <v>44460</v>
      </c>
      <c r="L542" s="23"/>
      <c r="M542" s="22">
        <v>0</v>
      </c>
      <c r="N542" s="74">
        <v>0</v>
      </c>
      <c r="O542" s="22">
        <v>0</v>
      </c>
      <c r="P542" s="21">
        <v>278460</v>
      </c>
      <c r="S542" s="108" t="b">
        <f>OR(COUNTIF(Tabla2[[#This Row],[PROVEEDOR]],"*"&amp;'Palabra no opera'!$A$2&amp;"*"))</f>
        <v>0</v>
      </c>
      <c r="T542" s="139">
        <f>+$W$5-Tabla2[[#This Row],[FECHA DE FACTURACIÓN]]</f>
        <v>138</v>
      </c>
      <c r="U542" t="str">
        <f>+IF(Tabla2[[#This Row],[dias de credito]]&gt;=Tabla2[[#This Row],[PLAZO Días]],"venc", "No venc")</f>
        <v>venc</v>
      </c>
      <c r="V542" t="str">
        <f>+IF(Tabla2[[#This Row],[FECHA DE PAGO]]&gt;0,"pagada","por pagar")</f>
        <v>pagada</v>
      </c>
      <c r="W542" s="141" t="str">
        <f>+IF(AND(Tabla2[[#This Row],[venc]]="venc",Tabla2[[#This Row],[Columna1]]="por pagar"),"vencida","no")</f>
        <v>no</v>
      </c>
    </row>
    <row r="543" spans="1:23" ht="15.6" hidden="1" x14ac:dyDescent="0.3">
      <c r="A543" s="20">
        <v>60</v>
      </c>
      <c r="B543" s="25">
        <v>395600</v>
      </c>
      <c r="C543" s="25"/>
      <c r="D543" s="56" t="s">
        <v>1482</v>
      </c>
      <c r="E543" s="426">
        <v>45152</v>
      </c>
      <c r="F543" s="26" t="s">
        <v>287</v>
      </c>
      <c r="G543" s="426">
        <v>45207</v>
      </c>
      <c r="H543" s="35">
        <v>1755</v>
      </c>
      <c r="I543" s="21">
        <v>199200</v>
      </c>
      <c r="J543" s="21"/>
      <c r="K543" s="22">
        <v>0</v>
      </c>
      <c r="L543" s="23"/>
      <c r="M543" s="22">
        <v>0</v>
      </c>
      <c r="N543" s="74">
        <v>0</v>
      </c>
      <c r="O543" s="22">
        <v>0</v>
      </c>
      <c r="P543" s="21">
        <v>199200</v>
      </c>
      <c r="S543" s="108" t="b">
        <f>OR(COUNTIF(Tabla2[[#This Row],[PROVEEDOR]],"*"&amp;'Palabra no opera'!$A$2&amp;"*"))</f>
        <v>0</v>
      </c>
      <c r="T543" s="139">
        <f>+$W$5-Tabla2[[#This Row],[FECHA DE FACTURACIÓN]]</f>
        <v>84</v>
      </c>
      <c r="U543" t="str">
        <f>+IF(Tabla2[[#This Row],[dias de credito]]&gt;=Tabla2[[#This Row],[PLAZO Días]],"venc", "No venc")</f>
        <v>venc</v>
      </c>
      <c r="V543" t="str">
        <f>+IF(Tabla2[[#This Row],[FECHA DE PAGO]]&gt;0,"pagada","por pagar")</f>
        <v>pagada</v>
      </c>
      <c r="W543" s="141" t="str">
        <f>+IF(AND(Tabla2[[#This Row],[venc]]="venc",Tabla2[[#This Row],[Columna1]]="por pagar"),"vencida","no")</f>
        <v>no</v>
      </c>
    </row>
    <row r="544" spans="1:23" ht="15.6" hidden="1" x14ac:dyDescent="0.3">
      <c r="A544" s="20">
        <v>60</v>
      </c>
      <c r="B544" s="25">
        <v>395600</v>
      </c>
      <c r="C544" s="25"/>
      <c r="D544" s="56" t="s">
        <v>1482</v>
      </c>
      <c r="E544" s="426">
        <v>45152</v>
      </c>
      <c r="F544" s="26" t="s">
        <v>287</v>
      </c>
      <c r="G544" s="426">
        <v>45207</v>
      </c>
      <c r="H544" s="35">
        <v>1756</v>
      </c>
      <c r="I544" s="21">
        <v>166000</v>
      </c>
      <c r="J544" s="21"/>
      <c r="K544" s="22">
        <v>0</v>
      </c>
      <c r="L544" s="23"/>
      <c r="M544" s="22">
        <v>0</v>
      </c>
      <c r="N544" s="74">
        <v>0</v>
      </c>
      <c r="O544" s="22">
        <v>0</v>
      </c>
      <c r="P544" s="21">
        <v>166000</v>
      </c>
      <c r="S544" s="108" t="b">
        <f>OR(COUNTIF(Tabla2[[#This Row],[PROVEEDOR]],"*"&amp;'Palabra no opera'!$A$2&amp;"*"))</f>
        <v>0</v>
      </c>
      <c r="T544" s="139">
        <f>+$W$5-Tabla2[[#This Row],[FECHA DE FACTURACIÓN]]</f>
        <v>84</v>
      </c>
      <c r="U544" t="str">
        <f>+IF(Tabla2[[#This Row],[dias de credito]]&gt;=Tabla2[[#This Row],[PLAZO Días]],"venc", "No venc")</f>
        <v>venc</v>
      </c>
      <c r="V544" t="str">
        <f>+IF(Tabla2[[#This Row],[FECHA DE PAGO]]&gt;0,"pagada","por pagar")</f>
        <v>pagada</v>
      </c>
      <c r="W544" s="141" t="str">
        <f>+IF(AND(Tabla2[[#This Row],[venc]]="venc",Tabla2[[#This Row],[Columna1]]="por pagar"),"vencida","no")</f>
        <v>no</v>
      </c>
    </row>
    <row r="545" spans="1:23" ht="15.6" hidden="1" x14ac:dyDescent="0.3">
      <c r="A545" s="20">
        <v>60</v>
      </c>
      <c r="B545" s="25">
        <v>395600</v>
      </c>
      <c r="C545" s="25"/>
      <c r="D545" s="56" t="s">
        <v>1482</v>
      </c>
      <c r="E545" s="426">
        <v>45152</v>
      </c>
      <c r="F545" s="26" t="s">
        <v>287</v>
      </c>
      <c r="G545" s="426">
        <v>45207</v>
      </c>
      <c r="H545" s="35">
        <v>1757</v>
      </c>
      <c r="I545" s="21">
        <v>166000</v>
      </c>
      <c r="J545" s="21"/>
      <c r="K545" s="22">
        <v>0</v>
      </c>
      <c r="L545" s="23"/>
      <c r="M545" s="22">
        <v>0</v>
      </c>
      <c r="N545" s="74">
        <v>0</v>
      </c>
      <c r="O545" s="22">
        <v>0</v>
      </c>
      <c r="P545" s="21">
        <v>166000</v>
      </c>
      <c r="S545" s="108" t="b">
        <f>OR(COUNTIF(Tabla2[[#This Row],[PROVEEDOR]],"*"&amp;'Palabra no opera'!$A$2&amp;"*"))</f>
        <v>0</v>
      </c>
      <c r="T545" s="139">
        <f>+$W$5-Tabla2[[#This Row],[FECHA DE FACTURACIÓN]]</f>
        <v>84</v>
      </c>
      <c r="U545" t="str">
        <f>+IF(Tabla2[[#This Row],[dias de credito]]&gt;=Tabla2[[#This Row],[PLAZO Días]],"venc", "No venc")</f>
        <v>venc</v>
      </c>
      <c r="V545" t="str">
        <f>+IF(Tabla2[[#This Row],[FECHA DE PAGO]]&gt;0,"pagada","por pagar")</f>
        <v>pagada</v>
      </c>
      <c r="W545" s="141" t="str">
        <f>+IF(AND(Tabla2[[#This Row],[venc]]="venc",Tabla2[[#This Row],[Columna1]]="por pagar"),"vencida","no")</f>
        <v>no</v>
      </c>
    </row>
    <row r="546" spans="1:23" ht="15.6" hidden="1" x14ac:dyDescent="0.3">
      <c r="A546" s="20">
        <v>60</v>
      </c>
      <c r="B546" s="25">
        <v>395600</v>
      </c>
      <c r="C546" s="25"/>
      <c r="D546" s="56" t="s">
        <v>1482</v>
      </c>
      <c r="E546" s="426">
        <v>45152</v>
      </c>
      <c r="F546" s="26" t="s">
        <v>287</v>
      </c>
      <c r="G546" s="426">
        <v>45207</v>
      </c>
      <c r="H546" s="35">
        <v>1758</v>
      </c>
      <c r="I546" s="21">
        <v>166000</v>
      </c>
      <c r="J546" s="21"/>
      <c r="K546" s="22">
        <v>0</v>
      </c>
      <c r="L546" s="23"/>
      <c r="M546" s="22">
        <v>0</v>
      </c>
      <c r="N546" s="74">
        <v>0</v>
      </c>
      <c r="O546" s="22">
        <v>0</v>
      </c>
      <c r="P546" s="21">
        <v>166000</v>
      </c>
      <c r="S546" s="108" t="b">
        <f>OR(COUNTIF(Tabla2[[#This Row],[PROVEEDOR]],"*"&amp;'Palabra no opera'!$A$2&amp;"*"))</f>
        <v>0</v>
      </c>
      <c r="T546" s="139">
        <f>+$W$5-Tabla2[[#This Row],[FECHA DE FACTURACIÓN]]</f>
        <v>84</v>
      </c>
      <c r="U546" t="str">
        <f>+IF(Tabla2[[#This Row],[dias de credito]]&gt;=Tabla2[[#This Row],[PLAZO Días]],"venc", "No venc")</f>
        <v>venc</v>
      </c>
      <c r="V546" t="str">
        <f>+IF(Tabla2[[#This Row],[FECHA DE PAGO]]&gt;0,"pagada","por pagar")</f>
        <v>pagada</v>
      </c>
      <c r="W546" s="141" t="str">
        <f>+IF(AND(Tabla2[[#This Row],[venc]]="venc",Tabla2[[#This Row],[Columna1]]="por pagar"),"vencida","no")</f>
        <v>no</v>
      </c>
    </row>
    <row r="547" spans="1:23" ht="15.6" hidden="1" x14ac:dyDescent="0.3">
      <c r="A547" s="20">
        <v>60</v>
      </c>
      <c r="B547" s="25">
        <v>395600</v>
      </c>
      <c r="C547" s="25"/>
      <c r="D547" s="56" t="s">
        <v>1482</v>
      </c>
      <c r="E547" s="426">
        <v>45152</v>
      </c>
      <c r="F547" s="26" t="s">
        <v>287</v>
      </c>
      <c r="G547" s="426">
        <v>45207</v>
      </c>
      <c r="H547" s="35">
        <v>1759</v>
      </c>
      <c r="I547" s="21">
        <v>166000</v>
      </c>
      <c r="J547" s="21"/>
      <c r="K547" s="22">
        <v>0</v>
      </c>
      <c r="L547" s="23"/>
      <c r="M547" s="22">
        <v>0</v>
      </c>
      <c r="N547" s="74">
        <v>0</v>
      </c>
      <c r="O547" s="22">
        <v>0</v>
      </c>
      <c r="P547" s="21">
        <v>166000</v>
      </c>
      <c r="S547" s="108" t="b">
        <f>OR(COUNTIF(Tabla2[[#This Row],[PROVEEDOR]],"*"&amp;'Palabra no opera'!$A$2&amp;"*"))</f>
        <v>0</v>
      </c>
      <c r="T547" s="139">
        <f>+$W$5-Tabla2[[#This Row],[FECHA DE FACTURACIÓN]]</f>
        <v>84</v>
      </c>
      <c r="U547" t="str">
        <f>+IF(Tabla2[[#This Row],[dias de credito]]&gt;=Tabla2[[#This Row],[PLAZO Días]],"venc", "No venc")</f>
        <v>venc</v>
      </c>
      <c r="V547" t="str">
        <f>+IF(Tabla2[[#This Row],[FECHA DE PAGO]]&gt;0,"pagada","por pagar")</f>
        <v>pagada</v>
      </c>
      <c r="W547" s="141" t="str">
        <f>+IF(AND(Tabla2[[#This Row],[venc]]="venc",Tabla2[[#This Row],[Columna1]]="por pagar"),"vencida","no")</f>
        <v>no</v>
      </c>
    </row>
    <row r="548" spans="1:23" ht="15.6" hidden="1" x14ac:dyDescent="0.3">
      <c r="A548" s="20">
        <v>60</v>
      </c>
      <c r="B548" s="25">
        <v>395600</v>
      </c>
      <c r="C548" s="25"/>
      <c r="D548" s="56" t="s">
        <v>1482</v>
      </c>
      <c r="E548" s="426">
        <v>45152</v>
      </c>
      <c r="F548" s="26" t="s">
        <v>287</v>
      </c>
      <c r="G548" s="426">
        <v>45207</v>
      </c>
      <c r="H548" s="35">
        <v>1760</v>
      </c>
      <c r="I548" s="21">
        <v>166000</v>
      </c>
      <c r="J548" s="21"/>
      <c r="K548" s="22">
        <v>0</v>
      </c>
      <c r="L548" s="23"/>
      <c r="M548" s="22">
        <v>0</v>
      </c>
      <c r="N548" s="74">
        <v>0</v>
      </c>
      <c r="O548" s="22">
        <v>0</v>
      </c>
      <c r="P548" s="21">
        <v>166000</v>
      </c>
      <c r="S548" s="108" t="b">
        <f>OR(COUNTIF(Tabla2[[#This Row],[PROVEEDOR]],"*"&amp;'Palabra no opera'!$A$2&amp;"*"))</f>
        <v>0</v>
      </c>
      <c r="T548" s="139">
        <f>+$W$5-Tabla2[[#This Row],[FECHA DE FACTURACIÓN]]</f>
        <v>84</v>
      </c>
      <c r="U548" t="str">
        <f>+IF(Tabla2[[#This Row],[dias de credito]]&gt;=Tabla2[[#This Row],[PLAZO Días]],"venc", "No venc")</f>
        <v>venc</v>
      </c>
      <c r="V548" t="str">
        <f>+IF(Tabla2[[#This Row],[FECHA DE PAGO]]&gt;0,"pagada","por pagar")</f>
        <v>pagada</v>
      </c>
      <c r="W548" s="141" t="str">
        <f>+IF(AND(Tabla2[[#This Row],[venc]]="venc",Tabla2[[#This Row],[Columna1]]="por pagar"),"vencida","no")</f>
        <v>no</v>
      </c>
    </row>
    <row r="549" spans="1:23" ht="15.6" hidden="1" x14ac:dyDescent="0.3">
      <c r="A549" s="20">
        <v>30</v>
      </c>
      <c r="B549" s="25">
        <v>0</v>
      </c>
      <c r="C549" s="25"/>
      <c r="D549" s="56">
        <v>0</v>
      </c>
      <c r="E549" s="426">
        <v>45152</v>
      </c>
      <c r="F549" s="26" t="s">
        <v>1231</v>
      </c>
      <c r="G549" s="426">
        <v>45146</v>
      </c>
      <c r="H549" s="35" t="s">
        <v>1476</v>
      </c>
      <c r="I549" s="21">
        <v>-1149500</v>
      </c>
      <c r="J549" s="21"/>
      <c r="K549" s="22">
        <v>0</v>
      </c>
      <c r="L549" s="23"/>
      <c r="M549" s="22">
        <v>0</v>
      </c>
      <c r="N549" s="74">
        <v>0</v>
      </c>
      <c r="O549" s="22">
        <v>0</v>
      </c>
      <c r="P549" s="21">
        <v>-1149500</v>
      </c>
      <c r="S549" s="108" t="b">
        <f>OR(COUNTIF(Tabla2[[#This Row],[PROVEEDOR]],"*"&amp;'Palabra no opera'!$A$2&amp;"*"))</f>
        <v>0</v>
      </c>
      <c r="T549" s="139">
        <f>+$W$5-Tabla2[[#This Row],[FECHA DE FACTURACIÓN]]</f>
        <v>145</v>
      </c>
      <c r="U549" t="str">
        <f>+IF(Tabla2[[#This Row],[dias de credito]]&gt;=Tabla2[[#This Row],[PLAZO Días]],"venc", "No venc")</f>
        <v>venc</v>
      </c>
      <c r="V549" t="str">
        <f>+IF(Tabla2[[#This Row],[FECHA DE PAGO]]&gt;0,"pagada","por pagar")</f>
        <v>pagada</v>
      </c>
      <c r="W549" s="141" t="str">
        <f>+IF(AND(Tabla2[[#This Row],[venc]]="venc",Tabla2[[#This Row],[Columna1]]="por pagar"),"vencida","no")</f>
        <v>no</v>
      </c>
    </row>
    <row r="550" spans="1:23" ht="15.6" hidden="1" x14ac:dyDescent="0.3">
      <c r="A550" s="20">
        <v>60</v>
      </c>
      <c r="B550" s="25">
        <v>395600</v>
      </c>
      <c r="C550" s="25"/>
      <c r="D550" s="56" t="s">
        <v>1482</v>
      </c>
      <c r="E550" s="426">
        <v>45152</v>
      </c>
      <c r="F550" s="26" t="s">
        <v>287</v>
      </c>
      <c r="G550" s="426">
        <v>45134</v>
      </c>
      <c r="H550" s="35">
        <v>1741</v>
      </c>
      <c r="I550" s="21">
        <v>381800</v>
      </c>
      <c r="J550" s="21"/>
      <c r="K550" s="22">
        <v>0</v>
      </c>
      <c r="L550" s="23"/>
      <c r="M550" s="22">
        <v>0</v>
      </c>
      <c r="N550" s="74">
        <v>0</v>
      </c>
      <c r="O550" s="22">
        <v>0</v>
      </c>
      <c r="P550" s="21">
        <v>381800</v>
      </c>
      <c r="S550" s="108" t="b">
        <f>OR(COUNTIF(Tabla2[[#This Row],[PROVEEDOR]],"*"&amp;'Palabra no opera'!$A$2&amp;"*"))</f>
        <v>0</v>
      </c>
      <c r="T550" s="139">
        <f>+$W$5-Tabla2[[#This Row],[FECHA DE FACTURACIÓN]]</f>
        <v>157</v>
      </c>
      <c r="U550" t="str">
        <f>+IF(Tabla2[[#This Row],[dias de credito]]&gt;=Tabla2[[#This Row],[PLAZO Días]],"venc", "No venc")</f>
        <v>venc</v>
      </c>
      <c r="V550" t="str">
        <f>+IF(Tabla2[[#This Row],[FECHA DE PAGO]]&gt;0,"pagada","por pagar")</f>
        <v>pagada</v>
      </c>
      <c r="W550" s="141" t="str">
        <f>+IF(AND(Tabla2[[#This Row],[venc]]="venc",Tabla2[[#This Row],[Columna1]]="por pagar"),"vencida","no")</f>
        <v>no</v>
      </c>
    </row>
    <row r="551" spans="1:23" ht="15.6" hidden="1" x14ac:dyDescent="0.3">
      <c r="A551" s="20">
        <v>60</v>
      </c>
      <c r="B551" s="25">
        <v>395600</v>
      </c>
      <c r="C551" s="25"/>
      <c r="D551" s="56" t="s">
        <v>1482</v>
      </c>
      <c r="E551" s="426">
        <v>45152</v>
      </c>
      <c r="F551" s="26" t="s">
        <v>287</v>
      </c>
      <c r="G551" s="426">
        <v>45134</v>
      </c>
      <c r="H551" s="35">
        <v>1742</v>
      </c>
      <c r="I551" s="21">
        <v>381800</v>
      </c>
      <c r="J551" s="21"/>
      <c r="K551" s="22">
        <v>0</v>
      </c>
      <c r="L551" s="23"/>
      <c r="M551" s="22">
        <v>0</v>
      </c>
      <c r="N551" s="74">
        <v>0</v>
      </c>
      <c r="O551" s="22">
        <v>0</v>
      </c>
      <c r="P551" s="21">
        <v>381800</v>
      </c>
      <c r="S551" s="108" t="b">
        <f>OR(COUNTIF(Tabla2[[#This Row],[PROVEEDOR]],"*"&amp;'Palabra no opera'!$A$2&amp;"*"))</f>
        <v>0</v>
      </c>
      <c r="T551" s="139">
        <f>+$W$5-Tabla2[[#This Row],[FECHA DE FACTURACIÓN]]</f>
        <v>157</v>
      </c>
      <c r="U551" t="str">
        <f>+IF(Tabla2[[#This Row],[dias de credito]]&gt;=Tabla2[[#This Row],[PLAZO Días]],"venc", "No venc")</f>
        <v>venc</v>
      </c>
      <c r="V551" t="str">
        <f>+IF(Tabla2[[#This Row],[FECHA DE PAGO]]&gt;0,"pagada","por pagar")</f>
        <v>pagada</v>
      </c>
      <c r="W551" s="141" t="str">
        <f>+IF(AND(Tabla2[[#This Row],[venc]]="venc",Tabla2[[#This Row],[Columna1]]="por pagar"),"vencida","no")</f>
        <v>no</v>
      </c>
    </row>
    <row r="552" spans="1:23" ht="15.6" hidden="1" x14ac:dyDescent="0.3">
      <c r="A552" s="20">
        <v>60</v>
      </c>
      <c r="B552" s="25">
        <v>395600</v>
      </c>
      <c r="C552" s="25"/>
      <c r="D552" s="56" t="s">
        <v>1482</v>
      </c>
      <c r="E552" s="426">
        <v>45152</v>
      </c>
      <c r="F552" s="26" t="s">
        <v>287</v>
      </c>
      <c r="G552" s="426">
        <v>45134</v>
      </c>
      <c r="H552" s="35">
        <v>1743</v>
      </c>
      <c r="I552" s="21">
        <v>166000</v>
      </c>
      <c r="J552" s="21"/>
      <c r="K552" s="22">
        <v>0</v>
      </c>
      <c r="L552" s="23"/>
      <c r="M552" s="22">
        <v>0</v>
      </c>
      <c r="N552" s="74">
        <v>0</v>
      </c>
      <c r="O552" s="22">
        <v>0</v>
      </c>
      <c r="P552" s="21">
        <v>166000</v>
      </c>
      <c r="S552" s="108" t="b">
        <f>OR(COUNTIF(Tabla2[[#This Row],[PROVEEDOR]],"*"&amp;'Palabra no opera'!$A$2&amp;"*"))</f>
        <v>0</v>
      </c>
      <c r="T552" s="139">
        <f>+$W$5-Tabla2[[#This Row],[FECHA DE FACTURACIÓN]]</f>
        <v>157</v>
      </c>
      <c r="U552" t="str">
        <f>+IF(Tabla2[[#This Row],[dias de credito]]&gt;=Tabla2[[#This Row],[PLAZO Días]],"venc", "No venc")</f>
        <v>venc</v>
      </c>
      <c r="V552" t="str">
        <f>+IF(Tabla2[[#This Row],[FECHA DE PAGO]]&gt;0,"pagada","por pagar")</f>
        <v>pagada</v>
      </c>
      <c r="W552" s="141" t="str">
        <f>+IF(AND(Tabla2[[#This Row],[venc]]="venc",Tabla2[[#This Row],[Columna1]]="por pagar"),"vencida","no")</f>
        <v>no</v>
      </c>
    </row>
    <row r="553" spans="1:23" ht="15.6" hidden="1" x14ac:dyDescent="0.3">
      <c r="A553" s="20">
        <v>60</v>
      </c>
      <c r="B553" s="25">
        <v>395600</v>
      </c>
      <c r="C553" s="25"/>
      <c r="D553" s="56" t="s">
        <v>1482</v>
      </c>
      <c r="E553" s="426">
        <v>45152</v>
      </c>
      <c r="F553" s="26" t="s">
        <v>287</v>
      </c>
      <c r="G553" s="426">
        <v>45134</v>
      </c>
      <c r="H553" s="35">
        <v>1744</v>
      </c>
      <c r="I553" s="21">
        <v>166000</v>
      </c>
      <c r="J553" s="21"/>
      <c r="K553" s="22">
        <v>0</v>
      </c>
      <c r="L553" s="23"/>
      <c r="M553" s="22">
        <v>0</v>
      </c>
      <c r="N553" s="74">
        <v>0</v>
      </c>
      <c r="O553" s="22">
        <v>0</v>
      </c>
      <c r="P553" s="21">
        <v>166000</v>
      </c>
      <c r="S553" s="108" t="b">
        <f>OR(COUNTIF(Tabla2[[#This Row],[PROVEEDOR]],"*"&amp;'Palabra no opera'!$A$2&amp;"*"))</f>
        <v>0</v>
      </c>
      <c r="T553" s="139">
        <f>+$W$5-Tabla2[[#This Row],[FECHA DE FACTURACIÓN]]</f>
        <v>157</v>
      </c>
      <c r="U553" t="str">
        <f>+IF(Tabla2[[#This Row],[dias de credito]]&gt;=Tabla2[[#This Row],[PLAZO Días]],"venc", "No venc")</f>
        <v>venc</v>
      </c>
      <c r="V553" t="str">
        <f>+IF(Tabla2[[#This Row],[FECHA DE PAGO]]&gt;0,"pagada","por pagar")</f>
        <v>pagada</v>
      </c>
      <c r="W553" s="141" t="str">
        <f>+IF(AND(Tabla2[[#This Row],[venc]]="venc",Tabla2[[#This Row],[Columna1]]="por pagar"),"vencida","no")</f>
        <v>no</v>
      </c>
    </row>
    <row r="554" spans="1:23" ht="15.6" hidden="1" x14ac:dyDescent="0.3">
      <c r="A554" s="20">
        <v>60</v>
      </c>
      <c r="B554" s="25">
        <v>395600</v>
      </c>
      <c r="C554" s="25"/>
      <c r="D554" s="56" t="s">
        <v>1482</v>
      </c>
      <c r="E554" s="426">
        <v>45152</v>
      </c>
      <c r="F554" s="26" t="s">
        <v>287</v>
      </c>
      <c r="G554" s="426">
        <v>45126</v>
      </c>
      <c r="H554" s="35">
        <v>1735</v>
      </c>
      <c r="I554" s="21">
        <v>249000</v>
      </c>
      <c r="J554" s="21"/>
      <c r="K554" s="22">
        <v>0</v>
      </c>
      <c r="L554" s="23"/>
      <c r="M554" s="22">
        <v>0</v>
      </c>
      <c r="N554" s="74">
        <v>0</v>
      </c>
      <c r="O554" s="22">
        <v>0</v>
      </c>
      <c r="P554" s="21">
        <v>249000</v>
      </c>
      <c r="S554" s="108" t="b">
        <f>OR(COUNTIF(Tabla2[[#This Row],[PROVEEDOR]],"*"&amp;'Palabra no opera'!$A$2&amp;"*"))</f>
        <v>0</v>
      </c>
      <c r="T554" s="139">
        <f>+$W$5-Tabla2[[#This Row],[FECHA DE FACTURACIÓN]]</f>
        <v>165</v>
      </c>
      <c r="U554" t="str">
        <f>+IF(Tabla2[[#This Row],[dias de credito]]&gt;=Tabla2[[#This Row],[PLAZO Días]],"venc", "No venc")</f>
        <v>venc</v>
      </c>
      <c r="V554" t="str">
        <f>+IF(Tabla2[[#This Row],[FECHA DE PAGO]]&gt;0,"pagada","por pagar")</f>
        <v>pagada</v>
      </c>
      <c r="W554" s="141" t="str">
        <f>+IF(AND(Tabla2[[#This Row],[venc]]="venc",Tabla2[[#This Row],[Columna1]]="por pagar"),"vencida","no")</f>
        <v>no</v>
      </c>
    </row>
    <row r="555" spans="1:23" ht="15.6" hidden="1" x14ac:dyDescent="0.3">
      <c r="A555" s="20">
        <v>60</v>
      </c>
      <c r="B555" s="25">
        <v>395600</v>
      </c>
      <c r="C555" s="25"/>
      <c r="D555" s="56" t="s">
        <v>1482</v>
      </c>
      <c r="E555" s="426">
        <v>45152</v>
      </c>
      <c r="F555" s="26" t="s">
        <v>287</v>
      </c>
      <c r="G555" s="426">
        <v>45126</v>
      </c>
      <c r="H555" s="35">
        <v>1736</v>
      </c>
      <c r="I555" s="21">
        <v>232400</v>
      </c>
      <c r="J555" s="21"/>
      <c r="K555" s="22">
        <v>0</v>
      </c>
      <c r="L555" s="23"/>
      <c r="M555" s="22">
        <v>0</v>
      </c>
      <c r="N555" s="74">
        <v>0</v>
      </c>
      <c r="O555" s="22">
        <v>0</v>
      </c>
      <c r="P555" s="21">
        <v>232400</v>
      </c>
      <c r="S555" s="108" t="b">
        <f>OR(COUNTIF(Tabla2[[#This Row],[PROVEEDOR]],"*"&amp;'Palabra no opera'!$A$2&amp;"*"))</f>
        <v>0</v>
      </c>
      <c r="T555" s="139">
        <f>+$W$5-Tabla2[[#This Row],[FECHA DE FACTURACIÓN]]</f>
        <v>165</v>
      </c>
      <c r="U555" t="str">
        <f>+IF(Tabla2[[#This Row],[dias de credito]]&gt;=Tabla2[[#This Row],[PLAZO Días]],"venc", "No venc")</f>
        <v>venc</v>
      </c>
      <c r="V555" t="str">
        <f>+IF(Tabla2[[#This Row],[FECHA DE PAGO]]&gt;0,"pagada","por pagar")</f>
        <v>pagada</v>
      </c>
      <c r="W555" s="141" t="str">
        <f>+IF(AND(Tabla2[[#This Row],[venc]]="venc",Tabla2[[#This Row],[Columna1]]="por pagar"),"vencida","no")</f>
        <v>no</v>
      </c>
    </row>
    <row r="556" spans="1:23" ht="15.6" hidden="1" x14ac:dyDescent="0.3">
      <c r="A556" s="20">
        <v>60</v>
      </c>
      <c r="B556" s="25">
        <v>395600</v>
      </c>
      <c r="C556" s="25"/>
      <c r="D556" s="56" t="s">
        <v>1482</v>
      </c>
      <c r="E556" s="426">
        <v>45152</v>
      </c>
      <c r="F556" s="26" t="s">
        <v>287</v>
      </c>
      <c r="G556" s="426">
        <v>45126</v>
      </c>
      <c r="H556" s="35">
        <v>1737</v>
      </c>
      <c r="I556" s="21">
        <v>232400</v>
      </c>
      <c r="J556" s="21"/>
      <c r="K556" s="22">
        <v>0</v>
      </c>
      <c r="L556" s="23"/>
      <c r="M556" s="22">
        <v>0</v>
      </c>
      <c r="N556" s="74">
        <v>0</v>
      </c>
      <c r="O556" s="22">
        <v>0</v>
      </c>
      <c r="P556" s="21">
        <v>232400</v>
      </c>
      <c r="S556" s="108" t="b">
        <f>OR(COUNTIF(Tabla2[[#This Row],[PROVEEDOR]],"*"&amp;'Palabra no opera'!$A$2&amp;"*"))</f>
        <v>0</v>
      </c>
      <c r="T556" s="139">
        <f>+$W$5-Tabla2[[#This Row],[FECHA DE FACTURACIÓN]]</f>
        <v>165</v>
      </c>
      <c r="U556" t="str">
        <f>+IF(Tabla2[[#This Row],[dias de credito]]&gt;=Tabla2[[#This Row],[PLAZO Días]],"venc", "No venc")</f>
        <v>venc</v>
      </c>
      <c r="V556" t="str">
        <f>+IF(Tabla2[[#This Row],[FECHA DE PAGO]]&gt;0,"pagada","por pagar")</f>
        <v>pagada</v>
      </c>
      <c r="W556" s="141" t="str">
        <f>+IF(AND(Tabla2[[#This Row],[venc]]="venc",Tabla2[[#This Row],[Columna1]]="por pagar"),"vencida","no")</f>
        <v>no</v>
      </c>
    </row>
    <row r="557" spans="1:23" ht="15.6" hidden="1" x14ac:dyDescent="0.3">
      <c r="A557" s="20">
        <v>60</v>
      </c>
      <c r="B557" s="25">
        <v>395600</v>
      </c>
      <c r="C557" s="25"/>
      <c r="D557" s="56" t="s">
        <v>1482</v>
      </c>
      <c r="E557" s="426">
        <v>45152</v>
      </c>
      <c r="F557" s="26" t="s">
        <v>287</v>
      </c>
      <c r="G557" s="426">
        <v>45126</v>
      </c>
      <c r="H557" s="35">
        <v>1738</v>
      </c>
      <c r="I557" s="21">
        <v>232400</v>
      </c>
      <c r="J557" s="21"/>
      <c r="K557" s="22">
        <v>0</v>
      </c>
      <c r="L557" s="23"/>
      <c r="M557" s="22">
        <v>0</v>
      </c>
      <c r="N557" s="74">
        <v>0</v>
      </c>
      <c r="O557" s="22">
        <v>0</v>
      </c>
      <c r="P557" s="21">
        <v>232400</v>
      </c>
      <c r="S557" s="108" t="b">
        <f>OR(COUNTIF(Tabla2[[#This Row],[PROVEEDOR]],"*"&amp;'Palabra no opera'!$A$2&amp;"*"))</f>
        <v>0</v>
      </c>
      <c r="T557" s="139">
        <f>+$W$5-Tabla2[[#This Row],[FECHA DE FACTURACIÓN]]</f>
        <v>165</v>
      </c>
      <c r="U557" t="str">
        <f>+IF(Tabla2[[#This Row],[dias de credito]]&gt;=Tabla2[[#This Row],[PLAZO Días]],"venc", "No venc")</f>
        <v>venc</v>
      </c>
      <c r="V557" t="str">
        <f>+IF(Tabla2[[#This Row],[FECHA DE PAGO]]&gt;0,"pagada","por pagar")</f>
        <v>pagada</v>
      </c>
      <c r="W557" s="141" t="str">
        <f>+IF(AND(Tabla2[[#This Row],[venc]]="venc",Tabla2[[#This Row],[Columna1]]="por pagar"),"vencida","no")</f>
        <v>no</v>
      </c>
    </row>
    <row r="558" spans="1:23" ht="15.6" hidden="1" x14ac:dyDescent="0.3">
      <c r="A558" s="20">
        <v>60</v>
      </c>
      <c r="B558" s="25">
        <v>395600</v>
      </c>
      <c r="C558" s="25"/>
      <c r="D558" s="56" t="s">
        <v>1482</v>
      </c>
      <c r="E558" s="426">
        <v>45152</v>
      </c>
      <c r="F558" s="26" t="s">
        <v>287</v>
      </c>
      <c r="G558" s="426">
        <v>45124</v>
      </c>
      <c r="H558" s="35">
        <v>1729</v>
      </c>
      <c r="I558" s="21">
        <v>381800</v>
      </c>
      <c r="J558" s="21"/>
      <c r="K558" s="22">
        <v>0</v>
      </c>
      <c r="L558" s="23"/>
      <c r="M558" s="22">
        <v>0</v>
      </c>
      <c r="N558" s="74">
        <v>0</v>
      </c>
      <c r="O558" s="22">
        <v>0</v>
      </c>
      <c r="P558" s="21">
        <v>381800</v>
      </c>
      <c r="S558" s="108" t="b">
        <f>OR(COUNTIF(Tabla2[[#This Row],[PROVEEDOR]],"*"&amp;'Palabra no opera'!$A$2&amp;"*"))</f>
        <v>0</v>
      </c>
      <c r="T558" s="139">
        <f>+$W$5-Tabla2[[#This Row],[FECHA DE FACTURACIÓN]]</f>
        <v>167</v>
      </c>
      <c r="U558" t="str">
        <f>+IF(Tabla2[[#This Row],[dias de credito]]&gt;=Tabla2[[#This Row],[PLAZO Días]],"venc", "No venc")</f>
        <v>venc</v>
      </c>
      <c r="V558" t="str">
        <f>+IF(Tabla2[[#This Row],[FECHA DE PAGO]]&gt;0,"pagada","por pagar")</f>
        <v>pagada</v>
      </c>
      <c r="W558" s="141" t="str">
        <f>+IF(AND(Tabla2[[#This Row],[venc]]="venc",Tabla2[[#This Row],[Columna1]]="por pagar"),"vencida","no")</f>
        <v>no</v>
      </c>
    </row>
    <row r="559" spans="1:23" ht="15.6" hidden="1" x14ac:dyDescent="0.3">
      <c r="A559" s="20">
        <v>60</v>
      </c>
      <c r="B559" s="25">
        <v>395600</v>
      </c>
      <c r="C559" s="25"/>
      <c r="D559" s="56" t="s">
        <v>1482</v>
      </c>
      <c r="E559" s="426">
        <v>45152</v>
      </c>
      <c r="F559" s="26" t="s">
        <v>287</v>
      </c>
      <c r="G559" s="426">
        <v>45124</v>
      </c>
      <c r="H559" s="35">
        <v>1730</v>
      </c>
      <c r="I559" s="21">
        <v>215800</v>
      </c>
      <c r="J559" s="21"/>
      <c r="K559" s="22">
        <v>0</v>
      </c>
      <c r="L559" s="23"/>
      <c r="M559" s="22">
        <v>0</v>
      </c>
      <c r="N559" s="74">
        <v>0</v>
      </c>
      <c r="O559" s="22">
        <v>0</v>
      </c>
      <c r="P559" s="21">
        <v>215800</v>
      </c>
      <c r="S559" s="108" t="b">
        <f>OR(COUNTIF(Tabla2[[#This Row],[PROVEEDOR]],"*"&amp;'Palabra no opera'!$A$2&amp;"*"))</f>
        <v>0</v>
      </c>
      <c r="T559" s="139">
        <f>+$W$5-Tabla2[[#This Row],[FECHA DE FACTURACIÓN]]</f>
        <v>167</v>
      </c>
      <c r="U559" t="str">
        <f>+IF(Tabla2[[#This Row],[dias de credito]]&gt;=Tabla2[[#This Row],[PLAZO Días]],"venc", "No venc")</f>
        <v>venc</v>
      </c>
      <c r="V559" t="str">
        <f>+IF(Tabla2[[#This Row],[FECHA DE PAGO]]&gt;0,"pagada","por pagar")</f>
        <v>pagada</v>
      </c>
      <c r="W559" s="141" t="str">
        <f>+IF(AND(Tabla2[[#This Row],[venc]]="venc",Tabla2[[#This Row],[Columna1]]="por pagar"),"vencida","no")</f>
        <v>no</v>
      </c>
    </row>
    <row r="560" spans="1:23" ht="15.6" hidden="1" x14ac:dyDescent="0.3">
      <c r="A560" s="20">
        <v>60</v>
      </c>
      <c r="B560" s="25">
        <v>395600</v>
      </c>
      <c r="C560" s="25"/>
      <c r="D560" s="56" t="s">
        <v>1482</v>
      </c>
      <c r="E560" s="426">
        <v>45152</v>
      </c>
      <c r="F560" s="26" t="s">
        <v>287</v>
      </c>
      <c r="G560" s="426">
        <v>45124</v>
      </c>
      <c r="H560" s="35">
        <v>1731</v>
      </c>
      <c r="I560" s="21">
        <v>315400</v>
      </c>
      <c r="J560" s="21"/>
      <c r="K560" s="22">
        <v>0</v>
      </c>
      <c r="L560" s="23"/>
      <c r="M560" s="22">
        <v>0</v>
      </c>
      <c r="N560" s="74">
        <v>0</v>
      </c>
      <c r="O560" s="22">
        <v>0</v>
      </c>
      <c r="P560" s="21">
        <v>315400</v>
      </c>
      <c r="S560" s="108" t="b">
        <f>OR(COUNTIF(Tabla2[[#This Row],[PROVEEDOR]],"*"&amp;'Palabra no opera'!$A$2&amp;"*"))</f>
        <v>0</v>
      </c>
      <c r="T560" s="139">
        <f>+$W$5-Tabla2[[#This Row],[FECHA DE FACTURACIÓN]]</f>
        <v>167</v>
      </c>
      <c r="U560" t="str">
        <f>+IF(Tabla2[[#This Row],[dias de credito]]&gt;=Tabla2[[#This Row],[PLAZO Días]],"venc", "No venc")</f>
        <v>venc</v>
      </c>
      <c r="V560" t="str">
        <f>+IF(Tabla2[[#This Row],[FECHA DE PAGO]]&gt;0,"pagada","por pagar")</f>
        <v>pagada</v>
      </c>
      <c r="W560" s="141" t="str">
        <f>+IF(AND(Tabla2[[#This Row],[venc]]="venc",Tabla2[[#This Row],[Columna1]]="por pagar"),"vencida","no")</f>
        <v>no</v>
      </c>
    </row>
    <row r="561" spans="1:23" ht="15.6" hidden="1" x14ac:dyDescent="0.3">
      <c r="A561" s="20">
        <v>60</v>
      </c>
      <c r="B561" s="25">
        <v>395600</v>
      </c>
      <c r="C561" s="25"/>
      <c r="D561" s="56" t="s">
        <v>1482</v>
      </c>
      <c r="E561" s="426">
        <v>45152</v>
      </c>
      <c r="F561" s="26" t="s">
        <v>287</v>
      </c>
      <c r="G561" s="426">
        <v>45124</v>
      </c>
      <c r="H561" s="35">
        <v>1732</v>
      </c>
      <c r="I561" s="21">
        <v>232400</v>
      </c>
      <c r="J561" s="21"/>
      <c r="K561" s="22">
        <v>0</v>
      </c>
      <c r="L561" s="23"/>
      <c r="M561" s="22">
        <v>0</v>
      </c>
      <c r="N561" s="74">
        <v>0</v>
      </c>
      <c r="O561" s="22">
        <v>0</v>
      </c>
      <c r="P561" s="21">
        <v>232400</v>
      </c>
      <c r="S561" s="108" t="b">
        <f>OR(COUNTIF(Tabla2[[#This Row],[PROVEEDOR]],"*"&amp;'Palabra no opera'!$A$2&amp;"*"))</f>
        <v>0</v>
      </c>
      <c r="T561" s="139">
        <f>+$W$5-Tabla2[[#This Row],[FECHA DE FACTURACIÓN]]</f>
        <v>167</v>
      </c>
      <c r="U561" t="str">
        <f>+IF(Tabla2[[#This Row],[dias de credito]]&gt;=Tabla2[[#This Row],[PLAZO Días]],"venc", "No venc")</f>
        <v>venc</v>
      </c>
      <c r="V561" t="str">
        <f>+IF(Tabla2[[#This Row],[FECHA DE PAGO]]&gt;0,"pagada","por pagar")</f>
        <v>pagada</v>
      </c>
      <c r="W561" s="141" t="str">
        <f>+IF(AND(Tabla2[[#This Row],[venc]]="venc",Tabla2[[#This Row],[Columna1]]="por pagar"),"vencida","no")</f>
        <v>no</v>
      </c>
    </row>
    <row r="562" spans="1:23" ht="15.6" hidden="1" x14ac:dyDescent="0.3">
      <c r="A562" s="20">
        <v>45</v>
      </c>
      <c r="B562" s="25">
        <v>3074500</v>
      </c>
      <c r="C562" s="25"/>
      <c r="D562" s="56" t="s">
        <v>1482</v>
      </c>
      <c r="E562" s="426">
        <v>45152</v>
      </c>
      <c r="F562" s="26" t="s">
        <v>289</v>
      </c>
      <c r="G562" s="426">
        <v>45120</v>
      </c>
      <c r="H562" s="35">
        <v>1718</v>
      </c>
      <c r="I562" s="21">
        <v>2759750</v>
      </c>
      <c r="J562" s="21"/>
      <c r="K562" s="22">
        <v>0</v>
      </c>
      <c r="L562" s="23"/>
      <c r="M562" s="22">
        <v>0</v>
      </c>
      <c r="N562" s="74">
        <v>0</v>
      </c>
      <c r="O562" s="22">
        <v>0</v>
      </c>
      <c r="P562" s="21">
        <v>2759750</v>
      </c>
      <c r="S562" s="108" t="b">
        <f>OR(COUNTIF(Tabla2[[#This Row],[PROVEEDOR]],"*"&amp;'Palabra no opera'!$A$2&amp;"*"))</f>
        <v>0</v>
      </c>
      <c r="T562" s="139">
        <f>+$W$5-Tabla2[[#This Row],[FECHA DE FACTURACIÓN]]</f>
        <v>171</v>
      </c>
      <c r="U562" t="str">
        <f>+IF(Tabla2[[#This Row],[dias de credito]]&gt;=Tabla2[[#This Row],[PLAZO Días]],"venc", "No venc")</f>
        <v>venc</v>
      </c>
      <c r="V562" t="str">
        <f>+IF(Tabla2[[#This Row],[FECHA DE PAGO]]&gt;0,"pagada","por pagar")</f>
        <v>pagada</v>
      </c>
      <c r="W562" s="141" t="str">
        <f>+IF(AND(Tabla2[[#This Row],[venc]]="venc",Tabla2[[#This Row],[Columna1]]="por pagar"),"vencida","no")</f>
        <v>no</v>
      </c>
    </row>
    <row r="563" spans="1:23" ht="15.6" hidden="1" x14ac:dyDescent="0.3">
      <c r="A563" s="20">
        <v>30</v>
      </c>
      <c r="B563" s="25">
        <v>4248480.9550000001</v>
      </c>
      <c r="C563" s="25"/>
      <c r="D563" s="56" t="s">
        <v>107</v>
      </c>
      <c r="E563" s="426">
        <v>45152</v>
      </c>
      <c r="F563" s="26" t="s">
        <v>78</v>
      </c>
      <c r="G563" s="426">
        <v>45106</v>
      </c>
      <c r="H563" s="35" t="s">
        <v>1772</v>
      </c>
      <c r="I563" s="21">
        <v>1848738</v>
      </c>
      <c r="J563" s="21">
        <v>27997</v>
      </c>
      <c r="K563" s="22">
        <v>345940.79</v>
      </c>
      <c r="L563" s="23"/>
      <c r="M563" s="22">
        <v>0</v>
      </c>
      <c r="N563" s="74">
        <v>2.5000000000000001E-2</v>
      </c>
      <c r="O563" s="22">
        <v>45518.525000000001</v>
      </c>
      <c r="P563" s="21">
        <v>2121163.2650000001</v>
      </c>
      <c r="S563" s="108" t="b">
        <f>OR(COUNTIF(Tabla2[[#This Row],[PROVEEDOR]],"*"&amp;'Palabra no opera'!$A$2&amp;"*"))</f>
        <v>0</v>
      </c>
      <c r="T563" s="139">
        <f>+$W$5-Tabla2[[#This Row],[FECHA DE FACTURACIÓN]]</f>
        <v>185</v>
      </c>
      <c r="U563" t="str">
        <f>+IF(Tabla2[[#This Row],[dias de credito]]&gt;=Tabla2[[#This Row],[PLAZO Días]],"venc", "No venc")</f>
        <v>venc</v>
      </c>
      <c r="V563" t="str">
        <f>+IF(Tabla2[[#This Row],[FECHA DE PAGO]]&gt;0,"pagada","por pagar")</f>
        <v>pagada</v>
      </c>
      <c r="W563" s="141" t="str">
        <f>+IF(AND(Tabla2[[#This Row],[venc]]="venc",Tabla2[[#This Row],[Columna1]]="por pagar"),"vencida","no")</f>
        <v>no</v>
      </c>
    </row>
    <row r="564" spans="1:23" ht="15.6" hidden="1" x14ac:dyDescent="0.3">
      <c r="A564" s="20">
        <v>30</v>
      </c>
      <c r="B564" s="25">
        <v>17870934.149999999</v>
      </c>
      <c r="C564" s="25"/>
      <c r="D564" s="56" t="s">
        <v>182</v>
      </c>
      <c r="E564" s="426">
        <v>45152</v>
      </c>
      <c r="F564" s="26" t="s">
        <v>18</v>
      </c>
      <c r="G564" s="426">
        <v>45105</v>
      </c>
      <c r="H564" s="35" t="s">
        <v>1775</v>
      </c>
      <c r="I564" s="21">
        <v>3317231</v>
      </c>
      <c r="J564" s="21"/>
      <c r="K564" s="22">
        <v>630273.89</v>
      </c>
      <c r="L564" s="23"/>
      <c r="M564" s="22">
        <v>0</v>
      </c>
      <c r="N564" s="74">
        <v>2.5000000000000001E-2</v>
      </c>
      <c r="O564" s="22">
        <v>82930.775000000009</v>
      </c>
      <c r="P564" s="21">
        <v>3864574.1150000002</v>
      </c>
      <c r="S564" s="108" t="b">
        <f>OR(COUNTIF(Tabla2[[#This Row],[PROVEEDOR]],"*"&amp;'Palabra no opera'!$A$2&amp;"*"))</f>
        <v>0</v>
      </c>
      <c r="T564" s="139">
        <f>+$W$5-Tabla2[[#This Row],[FECHA DE FACTURACIÓN]]</f>
        <v>186</v>
      </c>
      <c r="U564" t="str">
        <f>+IF(Tabla2[[#This Row],[dias de credito]]&gt;=Tabla2[[#This Row],[PLAZO Días]],"venc", "No venc")</f>
        <v>venc</v>
      </c>
      <c r="V564" t="str">
        <f>+IF(Tabla2[[#This Row],[FECHA DE PAGO]]&gt;0,"pagada","por pagar")</f>
        <v>pagada</v>
      </c>
      <c r="W564" s="141" t="str">
        <f>+IF(AND(Tabla2[[#This Row],[venc]]="venc",Tabla2[[#This Row],[Columna1]]="por pagar"),"vencida","no")</f>
        <v>no</v>
      </c>
    </row>
    <row r="565" spans="1:23" ht="15.6" hidden="1" x14ac:dyDescent="0.3">
      <c r="A565" s="20">
        <v>30</v>
      </c>
      <c r="B565" s="25">
        <v>0</v>
      </c>
      <c r="C565" s="25"/>
      <c r="D565" s="56" t="s">
        <v>107</v>
      </c>
      <c r="E565" s="426">
        <v>45150</v>
      </c>
      <c r="F565" s="26" t="s">
        <v>1194</v>
      </c>
      <c r="G565" s="426">
        <v>45149</v>
      </c>
      <c r="H565" s="35" t="s">
        <v>1871</v>
      </c>
      <c r="I565" s="21">
        <v>3395000</v>
      </c>
      <c r="J565" s="21"/>
      <c r="K565" s="22">
        <v>0</v>
      </c>
      <c r="L565" s="23"/>
      <c r="M565" s="22">
        <v>0</v>
      </c>
      <c r="N565" s="74">
        <v>0</v>
      </c>
      <c r="O565" s="22">
        <v>0</v>
      </c>
      <c r="P565" s="21">
        <v>3395000</v>
      </c>
      <c r="S565" s="108" t="b">
        <f>OR(COUNTIF(Tabla2[[#This Row],[PROVEEDOR]],"*"&amp;'Palabra no opera'!$A$2&amp;"*"))</f>
        <v>0</v>
      </c>
      <c r="T565" s="139">
        <f>+$W$5-Tabla2[[#This Row],[FECHA DE FACTURACIÓN]]</f>
        <v>142</v>
      </c>
      <c r="U565" t="str">
        <f>+IF(Tabla2[[#This Row],[dias de credito]]&gt;=Tabla2[[#This Row],[PLAZO Días]],"venc", "No venc")</f>
        <v>venc</v>
      </c>
      <c r="V565" t="str">
        <f>+IF(Tabla2[[#This Row],[FECHA DE PAGO]]&gt;0,"pagada","por pagar")</f>
        <v>pagada</v>
      </c>
      <c r="W565" s="141" t="str">
        <f>+IF(AND(Tabla2[[#This Row],[venc]]="venc",Tabla2[[#This Row],[Columna1]]="por pagar"),"vencida","no")</f>
        <v>no</v>
      </c>
    </row>
    <row r="566" spans="1:23" ht="15.6" hidden="1" x14ac:dyDescent="0.3">
      <c r="A566" s="20">
        <v>10</v>
      </c>
      <c r="B566" s="25">
        <v>0</v>
      </c>
      <c r="C566" s="25"/>
      <c r="D566" s="56" t="s">
        <v>1203</v>
      </c>
      <c r="E566" s="426">
        <v>45149</v>
      </c>
      <c r="F566" s="26" t="s">
        <v>1202</v>
      </c>
      <c r="G566" s="426">
        <v>45139</v>
      </c>
      <c r="H566" s="35" t="s">
        <v>1887</v>
      </c>
      <c r="I566" s="21">
        <v>5350576</v>
      </c>
      <c r="J566" s="21"/>
      <c r="K566" s="22">
        <v>1016609</v>
      </c>
      <c r="L566" s="23"/>
      <c r="M566" s="22">
        <v>0</v>
      </c>
      <c r="N566" s="74">
        <v>0</v>
      </c>
      <c r="O566" s="22">
        <v>0</v>
      </c>
      <c r="P566" s="21">
        <v>6367185</v>
      </c>
      <c r="S566" s="108" t="b">
        <f>OR(COUNTIF(Tabla2[[#This Row],[PROVEEDOR]],"*"&amp;'Palabra no opera'!$A$2&amp;"*"))</f>
        <v>1</v>
      </c>
      <c r="T566" s="139">
        <f>+$W$5-Tabla2[[#This Row],[FECHA DE FACTURACIÓN]]</f>
        <v>152</v>
      </c>
      <c r="U566" t="str">
        <f>+IF(Tabla2[[#This Row],[dias de credito]]&gt;=Tabla2[[#This Row],[PLAZO Días]],"venc", "No venc")</f>
        <v>venc</v>
      </c>
      <c r="V566" t="str">
        <f>+IF(Tabla2[[#This Row],[FECHA DE PAGO]]&gt;0,"pagada","por pagar")</f>
        <v>pagada</v>
      </c>
      <c r="W566" s="141" t="str">
        <f>+IF(AND(Tabla2[[#This Row],[venc]]="venc",Tabla2[[#This Row],[Columna1]]="por pagar"),"vencida","no")</f>
        <v>no</v>
      </c>
    </row>
    <row r="567" spans="1:23" ht="15.6" hidden="1" x14ac:dyDescent="0.3">
      <c r="A567" s="20">
        <v>30</v>
      </c>
      <c r="B567" s="25">
        <v>0</v>
      </c>
      <c r="C567" s="25"/>
      <c r="D567" s="56" t="s">
        <v>368</v>
      </c>
      <c r="E567" s="426">
        <v>45148</v>
      </c>
      <c r="F567" s="26" t="s">
        <v>623</v>
      </c>
      <c r="G567" s="426">
        <v>45139</v>
      </c>
      <c r="H567" s="35" t="s">
        <v>1862</v>
      </c>
      <c r="I567" s="21">
        <v>3792544</v>
      </c>
      <c r="J567" s="21"/>
      <c r="K567" s="22">
        <v>720583.36</v>
      </c>
      <c r="L567" s="23"/>
      <c r="M567" s="22">
        <v>0</v>
      </c>
      <c r="N567" s="74">
        <v>0</v>
      </c>
      <c r="O567" s="22"/>
      <c r="P567" s="21">
        <v>4513127.3600000003</v>
      </c>
      <c r="S567" s="108" t="b">
        <f>OR(COUNTIF(Tabla2[[#This Row],[PROVEEDOR]],"*"&amp;'Palabra no opera'!$A$2&amp;"*"))</f>
        <v>1</v>
      </c>
      <c r="T567" s="139">
        <f>+$W$5-Tabla2[[#This Row],[FECHA DE FACTURACIÓN]]</f>
        <v>152</v>
      </c>
      <c r="U567" t="str">
        <f>+IF(Tabla2[[#This Row],[dias de credito]]&gt;=Tabla2[[#This Row],[PLAZO Días]],"venc", "No venc")</f>
        <v>venc</v>
      </c>
      <c r="V567" t="str">
        <f>+IF(Tabla2[[#This Row],[FECHA DE PAGO]]&gt;0,"pagada","por pagar")</f>
        <v>pagada</v>
      </c>
      <c r="W567" s="141" t="str">
        <f>+IF(AND(Tabla2[[#This Row],[venc]]="venc",Tabla2[[#This Row],[Columna1]]="por pagar"),"vencida","no")</f>
        <v>no</v>
      </c>
    </row>
    <row r="568" spans="1:23" ht="15.6" hidden="1" x14ac:dyDescent="0.3">
      <c r="A568" s="20">
        <v>30</v>
      </c>
      <c r="B568" s="25">
        <v>0</v>
      </c>
      <c r="C568" s="25"/>
      <c r="D568" s="56" t="s">
        <v>368</v>
      </c>
      <c r="E568" s="426">
        <v>45148</v>
      </c>
      <c r="F568" s="26" t="s">
        <v>623</v>
      </c>
      <c r="G568" s="426">
        <v>45139</v>
      </c>
      <c r="H568" s="35" t="s">
        <v>1863</v>
      </c>
      <c r="I568" s="21">
        <v>908172</v>
      </c>
      <c r="J568" s="21"/>
      <c r="K568" s="22">
        <v>172552.68</v>
      </c>
      <c r="L568" s="23"/>
      <c r="M568" s="22">
        <v>0</v>
      </c>
      <c r="N568" s="74">
        <v>0.04</v>
      </c>
      <c r="O568" s="22">
        <v>36326.879999999997</v>
      </c>
      <c r="P568" s="21">
        <v>1044397.7999999999</v>
      </c>
      <c r="S568" s="108" t="b">
        <f>OR(COUNTIF(Tabla2[[#This Row],[PROVEEDOR]],"*"&amp;'Palabra no opera'!$A$2&amp;"*"))</f>
        <v>1</v>
      </c>
      <c r="T568" s="139">
        <f>+$W$5-Tabla2[[#This Row],[FECHA DE FACTURACIÓN]]</f>
        <v>152</v>
      </c>
      <c r="U568" t="str">
        <f>+IF(Tabla2[[#This Row],[dias de credito]]&gt;=Tabla2[[#This Row],[PLAZO Días]],"venc", "No venc")</f>
        <v>venc</v>
      </c>
      <c r="V568" t="str">
        <f>+IF(Tabla2[[#This Row],[FECHA DE PAGO]]&gt;0,"pagada","por pagar")</f>
        <v>pagada</v>
      </c>
      <c r="W568" s="141" t="str">
        <f>+IF(AND(Tabla2[[#This Row],[venc]]="venc",Tabla2[[#This Row],[Columna1]]="por pagar"),"vencida","no")</f>
        <v>no</v>
      </c>
    </row>
    <row r="569" spans="1:23" ht="15.6" hidden="1" x14ac:dyDescent="0.3">
      <c r="A569" s="20">
        <v>30</v>
      </c>
      <c r="B569" s="25">
        <v>0</v>
      </c>
      <c r="C569" s="25"/>
      <c r="D569" s="56" t="s">
        <v>1116</v>
      </c>
      <c r="E569" s="426">
        <v>45148</v>
      </c>
      <c r="F569" s="26" t="s">
        <v>638</v>
      </c>
      <c r="G569" s="426">
        <v>45139</v>
      </c>
      <c r="H569" s="35" t="s">
        <v>1885</v>
      </c>
      <c r="I569" s="21">
        <v>3935776</v>
      </c>
      <c r="J569" s="21"/>
      <c r="K569" s="22">
        <v>665000</v>
      </c>
      <c r="L569" s="23"/>
      <c r="M569" s="22">
        <v>0</v>
      </c>
      <c r="N569" s="74">
        <v>3.5000000000000003E-2</v>
      </c>
      <c r="O569" s="22"/>
      <c r="P569" s="21">
        <v>4600776</v>
      </c>
      <c r="S569" s="108" t="b">
        <f>OR(COUNTIF(Tabla2[[#This Row],[PROVEEDOR]],"*"&amp;'Palabra no opera'!$A$2&amp;"*"))</f>
        <v>1</v>
      </c>
      <c r="T569" s="139">
        <f>+$W$5-Tabla2[[#This Row],[FECHA DE FACTURACIÓN]]</f>
        <v>152</v>
      </c>
      <c r="U569" t="str">
        <f>+IF(Tabla2[[#This Row],[dias de credito]]&gt;=Tabla2[[#This Row],[PLAZO Días]],"venc", "No venc")</f>
        <v>venc</v>
      </c>
      <c r="V569" t="str">
        <f>+IF(Tabla2[[#This Row],[FECHA DE PAGO]]&gt;0,"pagada","por pagar")</f>
        <v>pagada</v>
      </c>
      <c r="W569" s="141" t="str">
        <f>+IF(AND(Tabla2[[#This Row],[venc]]="venc",Tabla2[[#This Row],[Columna1]]="por pagar"),"vencida","no")</f>
        <v>no</v>
      </c>
    </row>
    <row r="570" spans="1:23" ht="15.6" hidden="1" x14ac:dyDescent="0.3">
      <c r="A570" s="20">
        <v>30</v>
      </c>
      <c r="B570" s="25">
        <v>0</v>
      </c>
      <c r="C570" s="25"/>
      <c r="D570" s="56" t="s">
        <v>211</v>
      </c>
      <c r="E570" s="426">
        <v>45148</v>
      </c>
      <c r="F570" s="26" t="s">
        <v>1371</v>
      </c>
      <c r="G570" s="426">
        <v>45113</v>
      </c>
      <c r="H570" s="35" t="s">
        <v>1831</v>
      </c>
      <c r="I570" s="21">
        <v>275000</v>
      </c>
      <c r="J570" s="21"/>
      <c r="K570" s="22">
        <v>0</v>
      </c>
      <c r="L570" s="23"/>
      <c r="M570" s="22">
        <v>0</v>
      </c>
      <c r="N570" s="74">
        <v>0</v>
      </c>
      <c r="O570" s="22">
        <v>0</v>
      </c>
      <c r="P570" s="21">
        <v>275000</v>
      </c>
      <c r="S570" s="108" t="b">
        <f>OR(COUNTIF(Tabla2[[#This Row],[PROVEEDOR]],"*"&amp;'Palabra no opera'!$A$2&amp;"*"))</f>
        <v>0</v>
      </c>
      <c r="T570" s="139">
        <f>+$W$5-Tabla2[[#This Row],[FECHA DE FACTURACIÓN]]</f>
        <v>178</v>
      </c>
      <c r="U570" t="str">
        <f>+IF(Tabla2[[#This Row],[dias de credito]]&gt;=Tabla2[[#This Row],[PLAZO Días]],"venc", "No venc")</f>
        <v>venc</v>
      </c>
      <c r="V570" t="str">
        <f>+IF(Tabla2[[#This Row],[FECHA DE PAGO]]&gt;0,"pagada","por pagar")</f>
        <v>pagada</v>
      </c>
      <c r="W570" s="141" t="str">
        <f>+IF(AND(Tabla2[[#This Row],[venc]]="venc",Tabla2[[#This Row],[Columna1]]="por pagar"),"vencida","no")</f>
        <v>no</v>
      </c>
    </row>
    <row r="571" spans="1:23" ht="15.6" hidden="1" x14ac:dyDescent="0.3">
      <c r="A571" s="20">
        <v>30</v>
      </c>
      <c r="B571" s="25">
        <v>0</v>
      </c>
      <c r="C571" s="25"/>
      <c r="D571" s="56" t="s">
        <v>107</v>
      </c>
      <c r="E571" s="426">
        <v>45148</v>
      </c>
      <c r="F571" s="26" t="s">
        <v>401</v>
      </c>
      <c r="G571" s="426">
        <v>45113</v>
      </c>
      <c r="H571" s="35" t="s">
        <v>1832</v>
      </c>
      <c r="I571" s="21">
        <v>1708000</v>
      </c>
      <c r="J571" s="21"/>
      <c r="K571" s="22">
        <v>0</v>
      </c>
      <c r="L571" s="23"/>
      <c r="M571" s="22">
        <v>0</v>
      </c>
      <c r="N571" s="74">
        <v>0</v>
      </c>
      <c r="O571" s="22">
        <v>0</v>
      </c>
      <c r="P571" s="21">
        <v>1708000</v>
      </c>
      <c r="S571" s="108" t="b">
        <f>OR(COUNTIF(Tabla2[[#This Row],[PROVEEDOR]],"*"&amp;'Palabra no opera'!$A$2&amp;"*"))</f>
        <v>0</v>
      </c>
      <c r="T571" s="139">
        <f>+$W$5-Tabla2[[#This Row],[FECHA DE FACTURACIÓN]]</f>
        <v>178</v>
      </c>
      <c r="U571" t="str">
        <f>+IF(Tabla2[[#This Row],[dias de credito]]&gt;=Tabla2[[#This Row],[PLAZO Días]],"venc", "No venc")</f>
        <v>venc</v>
      </c>
      <c r="V571" t="str">
        <f>+IF(Tabla2[[#This Row],[FECHA DE PAGO]]&gt;0,"pagada","por pagar")</f>
        <v>pagada</v>
      </c>
      <c r="W571" s="141" t="str">
        <f>+IF(AND(Tabla2[[#This Row],[venc]]="venc",Tabla2[[#This Row],[Columna1]]="por pagar"),"vencida","no")</f>
        <v>no</v>
      </c>
    </row>
    <row r="572" spans="1:23" ht="15.6" hidden="1" x14ac:dyDescent="0.3">
      <c r="A572" s="20">
        <v>30</v>
      </c>
      <c r="B572" s="25">
        <v>5480000</v>
      </c>
      <c r="C572" s="25"/>
      <c r="D572" s="56" t="s">
        <v>107</v>
      </c>
      <c r="E572" s="426">
        <v>45147</v>
      </c>
      <c r="F572" s="26" t="s">
        <v>369</v>
      </c>
      <c r="G572" s="426">
        <v>45083</v>
      </c>
      <c r="H572" s="35">
        <v>8725</v>
      </c>
      <c r="I572" s="21">
        <v>3943000</v>
      </c>
      <c r="J572" s="21"/>
      <c r="K572" s="22">
        <v>0</v>
      </c>
      <c r="L572" s="23"/>
      <c r="M572" s="22">
        <v>0</v>
      </c>
      <c r="N572" s="74">
        <v>0</v>
      </c>
      <c r="O572" s="22">
        <v>0</v>
      </c>
      <c r="P572" s="21">
        <v>3943000</v>
      </c>
      <c r="S572" s="108" t="b">
        <f>OR(COUNTIF(Tabla2[[#This Row],[PROVEEDOR]],"*"&amp;'Palabra no opera'!$A$2&amp;"*"))</f>
        <v>0</v>
      </c>
      <c r="T572" s="139">
        <f>+$W$5-Tabla2[[#This Row],[FECHA DE FACTURACIÓN]]</f>
        <v>208</v>
      </c>
      <c r="U572" t="str">
        <f>+IF(Tabla2[[#This Row],[dias de credito]]&gt;=Tabla2[[#This Row],[PLAZO Días]],"venc", "No venc")</f>
        <v>venc</v>
      </c>
      <c r="V572" t="str">
        <f>+IF(Tabla2[[#This Row],[FECHA DE PAGO]]&gt;0,"pagada","por pagar")</f>
        <v>pagada</v>
      </c>
      <c r="W572" s="141" t="str">
        <f>+IF(AND(Tabla2[[#This Row],[venc]]="venc",Tabla2[[#This Row],[Columna1]]="por pagar"),"vencida","no")</f>
        <v>no</v>
      </c>
    </row>
    <row r="573" spans="1:23" ht="15.6" hidden="1" x14ac:dyDescent="0.3">
      <c r="A573" s="20">
        <v>30</v>
      </c>
      <c r="B573" s="25">
        <v>0</v>
      </c>
      <c r="C573" s="25"/>
      <c r="D573" s="56">
        <v>0</v>
      </c>
      <c r="E573" s="426">
        <v>45146</v>
      </c>
      <c r="F573" s="26" t="s">
        <v>1762</v>
      </c>
      <c r="G573" s="426">
        <v>45098</v>
      </c>
      <c r="H573" s="35">
        <v>5846</v>
      </c>
      <c r="I573" s="21">
        <v>1167100</v>
      </c>
      <c r="J573" s="21"/>
      <c r="K573" s="22">
        <v>0</v>
      </c>
      <c r="L573" s="23"/>
      <c r="M573" s="22">
        <v>0</v>
      </c>
      <c r="N573" s="74">
        <v>0</v>
      </c>
      <c r="O573" s="22">
        <v>0</v>
      </c>
      <c r="P573" s="21">
        <v>1167100</v>
      </c>
      <c r="S573" s="108" t="b">
        <f>OR(COUNTIF(Tabla2[[#This Row],[PROVEEDOR]],"*"&amp;'Palabra no opera'!$A$2&amp;"*"))</f>
        <v>0</v>
      </c>
      <c r="T573" s="139">
        <f>+$W$5-Tabla2[[#This Row],[FECHA DE FACTURACIÓN]]</f>
        <v>193</v>
      </c>
      <c r="U573" t="str">
        <f>+IF(Tabla2[[#This Row],[dias de credito]]&gt;=Tabla2[[#This Row],[PLAZO Días]],"venc", "No venc")</f>
        <v>venc</v>
      </c>
      <c r="V573" t="str">
        <f>+IF(Tabla2[[#This Row],[FECHA DE PAGO]]&gt;0,"pagada","por pagar")</f>
        <v>pagada</v>
      </c>
      <c r="W573" s="141" t="str">
        <f>+IF(AND(Tabla2[[#This Row],[venc]]="venc",Tabla2[[#This Row],[Columna1]]="por pagar"),"vencida","no")</f>
        <v>no</v>
      </c>
    </row>
    <row r="574" spans="1:23" ht="15.6" hidden="1" x14ac:dyDescent="0.3">
      <c r="A574" s="20">
        <v>30</v>
      </c>
      <c r="B574" s="25">
        <v>2100000</v>
      </c>
      <c r="C574" s="25"/>
      <c r="D574" s="56" t="s">
        <v>107</v>
      </c>
      <c r="E574" s="426">
        <v>45146</v>
      </c>
      <c r="F574" s="26" t="s">
        <v>349</v>
      </c>
      <c r="G574" s="426">
        <v>45070</v>
      </c>
      <c r="H574" s="35" t="s">
        <v>1703</v>
      </c>
      <c r="I574" s="21">
        <v>2777500</v>
      </c>
      <c r="J574" s="21"/>
      <c r="K574" s="22">
        <v>0</v>
      </c>
      <c r="L574" s="23"/>
      <c r="M574" s="22">
        <v>0</v>
      </c>
      <c r="N574" s="74">
        <v>0</v>
      </c>
      <c r="O574" s="22">
        <v>0</v>
      </c>
      <c r="P574" s="21">
        <v>2777500</v>
      </c>
      <c r="S574" s="108" t="b">
        <f>OR(COUNTIF(Tabla2[[#This Row],[PROVEEDOR]],"*"&amp;'Palabra no opera'!$A$2&amp;"*"))</f>
        <v>0</v>
      </c>
      <c r="T574" s="139">
        <f>+$W$5-Tabla2[[#This Row],[FECHA DE FACTURACIÓN]]</f>
        <v>221</v>
      </c>
      <c r="U574" t="str">
        <f>+IF(Tabla2[[#This Row],[dias de credito]]&gt;=Tabla2[[#This Row],[PLAZO Días]],"venc", "No venc")</f>
        <v>venc</v>
      </c>
      <c r="V574" t="str">
        <f>+IF(Tabla2[[#This Row],[FECHA DE PAGO]]&gt;0,"pagada","por pagar")</f>
        <v>pagada</v>
      </c>
      <c r="W574" s="141" t="str">
        <f>+IF(AND(Tabla2[[#This Row],[venc]]="venc",Tabla2[[#This Row],[Columna1]]="por pagar"),"vencida","no")</f>
        <v>no</v>
      </c>
    </row>
    <row r="575" spans="1:23" ht="15.6" hidden="1" x14ac:dyDescent="0.3">
      <c r="A575" s="20">
        <v>30</v>
      </c>
      <c r="B575" s="25">
        <v>2100000</v>
      </c>
      <c r="C575" s="25"/>
      <c r="D575" s="56" t="s">
        <v>107</v>
      </c>
      <c r="E575" s="426">
        <v>45146</v>
      </c>
      <c r="F575" s="26" t="s">
        <v>349</v>
      </c>
      <c r="G575" s="426">
        <v>45070</v>
      </c>
      <c r="H575" s="35" t="s">
        <v>1760</v>
      </c>
      <c r="I575" s="21">
        <v>250000</v>
      </c>
      <c r="J575" s="21"/>
      <c r="K575" s="22">
        <v>0</v>
      </c>
      <c r="L575" s="23"/>
      <c r="M575" s="22">
        <v>0</v>
      </c>
      <c r="N575" s="74">
        <v>0</v>
      </c>
      <c r="O575" s="22">
        <v>0</v>
      </c>
      <c r="P575" s="21">
        <v>250000</v>
      </c>
      <c r="S575" s="108" t="b">
        <f>OR(COUNTIF(Tabla2[[#This Row],[PROVEEDOR]],"*"&amp;'Palabra no opera'!$A$2&amp;"*"))</f>
        <v>0</v>
      </c>
      <c r="T575" s="139">
        <f>+$W$5-Tabla2[[#This Row],[FECHA DE FACTURACIÓN]]</f>
        <v>221</v>
      </c>
      <c r="U575" t="str">
        <f>+IF(Tabla2[[#This Row],[dias de credito]]&gt;=Tabla2[[#This Row],[PLAZO Días]],"venc", "No venc")</f>
        <v>venc</v>
      </c>
      <c r="V575" t="str">
        <f>+IF(Tabla2[[#This Row],[FECHA DE PAGO]]&gt;0,"pagada","por pagar")</f>
        <v>pagada</v>
      </c>
      <c r="W575" s="141" t="str">
        <f>+IF(AND(Tabla2[[#This Row],[venc]]="venc",Tabla2[[#This Row],[Columna1]]="por pagar"),"vencida","no")</f>
        <v>no</v>
      </c>
    </row>
    <row r="576" spans="1:23" ht="15.6" hidden="1" x14ac:dyDescent="0.3">
      <c r="A576" s="20">
        <v>30</v>
      </c>
      <c r="B576" s="25">
        <v>0</v>
      </c>
      <c r="C576" s="25"/>
      <c r="D576" s="56" t="s">
        <v>107</v>
      </c>
      <c r="E576" s="426">
        <v>45144</v>
      </c>
      <c r="F576" s="26" t="s">
        <v>353</v>
      </c>
      <c r="G576" s="426">
        <v>45144</v>
      </c>
      <c r="H576" s="35" t="s">
        <v>1868</v>
      </c>
      <c r="I576" s="21">
        <v>680000</v>
      </c>
      <c r="J576" s="21"/>
      <c r="K576" s="22">
        <v>0</v>
      </c>
      <c r="L576" s="23"/>
      <c r="M576" s="22">
        <v>0</v>
      </c>
      <c r="N576" s="74">
        <v>0</v>
      </c>
      <c r="O576" s="22">
        <v>0</v>
      </c>
      <c r="P576" s="21">
        <v>680000</v>
      </c>
      <c r="S576" s="108" t="b">
        <f>OR(COUNTIF(Tabla2[[#This Row],[PROVEEDOR]],"*"&amp;'Palabra no opera'!$A$2&amp;"*"))</f>
        <v>0</v>
      </c>
      <c r="T576" s="139">
        <f>+$W$5-Tabla2[[#This Row],[FECHA DE FACTURACIÓN]]</f>
        <v>147</v>
      </c>
      <c r="U576" t="str">
        <f>+IF(Tabla2[[#This Row],[dias de credito]]&gt;=Tabla2[[#This Row],[PLAZO Días]],"venc", "No venc")</f>
        <v>venc</v>
      </c>
      <c r="V576" t="str">
        <f>+IF(Tabla2[[#This Row],[FECHA DE PAGO]]&gt;0,"pagada","por pagar")</f>
        <v>pagada</v>
      </c>
      <c r="W576" s="141" t="str">
        <f>+IF(AND(Tabla2[[#This Row],[venc]]="venc",Tabla2[[#This Row],[Columna1]]="por pagar"),"vencida","no")</f>
        <v>no</v>
      </c>
    </row>
    <row r="577" spans="1:23" ht="15.6" hidden="1" x14ac:dyDescent="0.3">
      <c r="A577" s="20">
        <v>30</v>
      </c>
      <c r="B577" s="25">
        <v>0</v>
      </c>
      <c r="C577" s="25"/>
      <c r="D577" s="56" t="s">
        <v>107</v>
      </c>
      <c r="E577" s="426">
        <v>45143</v>
      </c>
      <c r="F577" s="26" t="s">
        <v>397</v>
      </c>
      <c r="G577" s="426">
        <v>45143</v>
      </c>
      <c r="H577" s="35">
        <v>50823</v>
      </c>
      <c r="I577" s="21">
        <v>1263500</v>
      </c>
      <c r="J577" s="21"/>
      <c r="K577" s="22">
        <v>0</v>
      </c>
      <c r="L577" s="23"/>
      <c r="M577" s="22">
        <v>0</v>
      </c>
      <c r="N577" s="74">
        <v>0</v>
      </c>
      <c r="O577" s="22">
        <v>0</v>
      </c>
      <c r="P577" s="21">
        <v>1263500</v>
      </c>
      <c r="S577" s="108" t="b">
        <f>OR(COUNTIF(Tabla2[[#This Row],[PROVEEDOR]],"*"&amp;'Palabra no opera'!$A$2&amp;"*"))</f>
        <v>0</v>
      </c>
      <c r="T577" s="139">
        <f>+$W$5-Tabla2[[#This Row],[FECHA DE FACTURACIÓN]]</f>
        <v>148</v>
      </c>
      <c r="U577" t="str">
        <f>+IF(Tabla2[[#This Row],[dias de credito]]&gt;=Tabla2[[#This Row],[PLAZO Días]],"venc", "No venc")</f>
        <v>venc</v>
      </c>
      <c r="V577" t="str">
        <f>+IF(Tabla2[[#This Row],[FECHA DE PAGO]]&gt;0,"pagada","por pagar")</f>
        <v>pagada</v>
      </c>
      <c r="W577" s="141" t="str">
        <f>+IF(AND(Tabla2[[#This Row],[venc]]="venc",Tabla2[[#This Row],[Columna1]]="por pagar"),"vencida","no")</f>
        <v>no</v>
      </c>
    </row>
    <row r="578" spans="1:23" ht="15.6" hidden="1" x14ac:dyDescent="0.3">
      <c r="A578" s="20">
        <v>30</v>
      </c>
      <c r="B578" s="25">
        <v>0</v>
      </c>
      <c r="C578" s="25"/>
      <c r="D578" s="56" t="s">
        <v>107</v>
      </c>
      <c r="E578" s="426">
        <v>45142</v>
      </c>
      <c r="F578" s="26" t="s">
        <v>404</v>
      </c>
      <c r="G578" s="426">
        <v>45141</v>
      </c>
      <c r="H578" s="35" t="s">
        <v>1867</v>
      </c>
      <c r="I578" s="21">
        <v>2713360</v>
      </c>
      <c r="J578" s="21"/>
      <c r="K578" s="22">
        <v>0</v>
      </c>
      <c r="L578" s="23"/>
      <c r="M578" s="22">
        <v>0</v>
      </c>
      <c r="N578" s="74">
        <v>0</v>
      </c>
      <c r="O578" s="22">
        <v>0</v>
      </c>
      <c r="P578" s="21">
        <v>2713360</v>
      </c>
      <c r="S578" s="108" t="b">
        <f>OR(COUNTIF(Tabla2[[#This Row],[PROVEEDOR]],"*"&amp;'Palabra no opera'!$A$2&amp;"*"))</f>
        <v>0</v>
      </c>
      <c r="T578" s="139">
        <f>+$W$5-Tabla2[[#This Row],[FECHA DE FACTURACIÓN]]</f>
        <v>150</v>
      </c>
      <c r="U578" t="str">
        <f>+IF(Tabla2[[#This Row],[dias de credito]]&gt;=Tabla2[[#This Row],[PLAZO Días]],"venc", "No venc")</f>
        <v>venc</v>
      </c>
      <c r="V578" t="str">
        <f>+IF(Tabla2[[#This Row],[FECHA DE PAGO]]&gt;0,"pagada","por pagar")</f>
        <v>pagada</v>
      </c>
      <c r="W578" s="141" t="str">
        <f>+IF(AND(Tabla2[[#This Row],[venc]]="venc",Tabla2[[#This Row],[Columna1]]="por pagar"),"vencida","no")</f>
        <v>no</v>
      </c>
    </row>
    <row r="579" spans="1:23" ht="15.6" hidden="1" x14ac:dyDescent="0.3">
      <c r="A579" s="20">
        <v>30</v>
      </c>
      <c r="B579" s="25">
        <v>0</v>
      </c>
      <c r="C579" s="25"/>
      <c r="D579" s="56" t="s">
        <v>190</v>
      </c>
      <c r="E579" s="426">
        <v>45142</v>
      </c>
      <c r="F579" s="26" t="s">
        <v>964</v>
      </c>
      <c r="G579" s="426">
        <v>45104</v>
      </c>
      <c r="H579" s="35" t="s">
        <v>1778</v>
      </c>
      <c r="I579" s="21">
        <v>3240000</v>
      </c>
      <c r="J579" s="21"/>
      <c r="K579" s="22">
        <v>615600</v>
      </c>
      <c r="L579" s="23"/>
      <c r="M579" s="22">
        <v>0</v>
      </c>
      <c r="N579" s="74">
        <v>0</v>
      </c>
      <c r="O579" s="22">
        <v>0</v>
      </c>
      <c r="P579" s="21">
        <v>3855600</v>
      </c>
      <c r="S579" s="108" t="b">
        <f>OR(COUNTIF(Tabla2[[#This Row],[PROVEEDOR]],"*"&amp;'Palabra no opera'!$A$2&amp;"*"))</f>
        <v>0</v>
      </c>
      <c r="T579" s="139">
        <f>+$W$5-Tabla2[[#This Row],[FECHA DE FACTURACIÓN]]</f>
        <v>187</v>
      </c>
      <c r="U579" t="str">
        <f>+IF(Tabla2[[#This Row],[dias de credito]]&gt;=Tabla2[[#This Row],[PLAZO Días]],"venc", "No venc")</f>
        <v>venc</v>
      </c>
      <c r="V579" t="str">
        <f>+IF(Tabla2[[#This Row],[FECHA DE PAGO]]&gt;0,"pagada","por pagar")</f>
        <v>pagada</v>
      </c>
      <c r="W579" s="141" t="str">
        <f>+IF(AND(Tabla2[[#This Row],[venc]]="venc",Tabla2[[#This Row],[Columna1]]="por pagar"),"vencida","no")</f>
        <v>no</v>
      </c>
    </row>
    <row r="580" spans="1:23" ht="15.6" hidden="1" x14ac:dyDescent="0.3">
      <c r="A580" s="20">
        <v>30</v>
      </c>
      <c r="B580" s="25">
        <v>0</v>
      </c>
      <c r="C580" s="25"/>
      <c r="D580" s="56" t="s">
        <v>190</v>
      </c>
      <c r="E580" s="426">
        <v>45142</v>
      </c>
      <c r="F580" s="26" t="s">
        <v>964</v>
      </c>
      <c r="G580" s="426">
        <v>45101</v>
      </c>
      <c r="H580" s="35" t="s">
        <v>1779</v>
      </c>
      <c r="I580" s="21">
        <v>7560000</v>
      </c>
      <c r="J580" s="21"/>
      <c r="K580" s="22">
        <v>1436400</v>
      </c>
      <c r="L580" s="23"/>
      <c r="M580" s="22">
        <v>0</v>
      </c>
      <c r="N580" s="74">
        <v>0</v>
      </c>
      <c r="O580" s="22">
        <v>0</v>
      </c>
      <c r="P580" s="21">
        <v>8996400</v>
      </c>
      <c r="S580" s="108" t="b">
        <f>OR(COUNTIF(Tabla2[[#This Row],[PROVEEDOR]],"*"&amp;'Palabra no opera'!$A$2&amp;"*"))</f>
        <v>0</v>
      </c>
      <c r="T580" s="139">
        <f>+$W$5-Tabla2[[#This Row],[FECHA DE FACTURACIÓN]]</f>
        <v>190</v>
      </c>
      <c r="U580" t="str">
        <f>+IF(Tabla2[[#This Row],[dias de credito]]&gt;=Tabla2[[#This Row],[PLAZO Días]],"venc", "No venc")</f>
        <v>venc</v>
      </c>
      <c r="V580" t="str">
        <f>+IF(Tabla2[[#This Row],[FECHA DE PAGO]]&gt;0,"pagada","por pagar")</f>
        <v>pagada</v>
      </c>
      <c r="W580" s="141" t="str">
        <f>+IF(AND(Tabla2[[#This Row],[venc]]="venc",Tabla2[[#This Row],[Columna1]]="por pagar"),"vencida","no")</f>
        <v>no</v>
      </c>
    </row>
    <row r="581" spans="1:23" ht="15.6" hidden="1" x14ac:dyDescent="0.3">
      <c r="A581" s="20">
        <v>30</v>
      </c>
      <c r="B581" s="25">
        <v>0</v>
      </c>
      <c r="C581" s="25"/>
      <c r="D581" s="56" t="s">
        <v>107</v>
      </c>
      <c r="E581" s="426">
        <v>45141</v>
      </c>
      <c r="F581" s="26" t="s">
        <v>378</v>
      </c>
      <c r="G581" s="426">
        <v>45141</v>
      </c>
      <c r="H581" s="35" t="s">
        <v>1848</v>
      </c>
      <c r="I581" s="21">
        <v>290000</v>
      </c>
      <c r="J581" s="21"/>
      <c r="K581" s="22">
        <v>0</v>
      </c>
      <c r="L581" s="23"/>
      <c r="M581" s="22">
        <v>0</v>
      </c>
      <c r="N581" s="74">
        <v>0</v>
      </c>
      <c r="O581" s="22">
        <v>0</v>
      </c>
      <c r="P581" s="21">
        <v>290000</v>
      </c>
      <c r="S581" s="108" t="b">
        <f>OR(COUNTIF(Tabla2[[#This Row],[PROVEEDOR]],"*"&amp;'Palabra no opera'!$A$2&amp;"*"))</f>
        <v>0</v>
      </c>
      <c r="T581" s="139">
        <f>+$W$5-Tabla2[[#This Row],[FECHA DE FACTURACIÓN]]</f>
        <v>150</v>
      </c>
      <c r="U581" t="str">
        <f>+IF(Tabla2[[#This Row],[dias de credito]]&gt;=Tabla2[[#This Row],[PLAZO Días]],"venc", "No venc")</f>
        <v>venc</v>
      </c>
      <c r="V581" t="str">
        <f>+IF(Tabla2[[#This Row],[FECHA DE PAGO]]&gt;0,"pagada","por pagar")</f>
        <v>pagada</v>
      </c>
      <c r="W581" s="141" t="str">
        <f>+IF(AND(Tabla2[[#This Row],[venc]]="venc",Tabla2[[#This Row],[Columna1]]="por pagar"),"vencida","no")</f>
        <v>no</v>
      </c>
    </row>
    <row r="582" spans="1:23" ht="15.6" hidden="1" x14ac:dyDescent="0.3">
      <c r="A582" s="20">
        <v>30</v>
      </c>
      <c r="B582" s="25">
        <v>0</v>
      </c>
      <c r="C582" s="25"/>
      <c r="D582" s="56" t="s">
        <v>107</v>
      </c>
      <c r="E582" s="426">
        <v>45141</v>
      </c>
      <c r="F582" s="26" t="s">
        <v>1194</v>
      </c>
      <c r="G582" s="426">
        <v>45140</v>
      </c>
      <c r="H582" s="35" t="s">
        <v>1869</v>
      </c>
      <c r="I582" s="21">
        <v>918000</v>
      </c>
      <c r="J582" s="21"/>
      <c r="K582" s="22">
        <v>0</v>
      </c>
      <c r="L582" s="23"/>
      <c r="M582" s="22">
        <v>0</v>
      </c>
      <c r="N582" s="74">
        <v>0</v>
      </c>
      <c r="O582" s="22">
        <v>0</v>
      </c>
      <c r="P582" s="21">
        <v>918000</v>
      </c>
      <c r="S582" s="108" t="b">
        <f>OR(COUNTIF(Tabla2[[#This Row],[PROVEEDOR]],"*"&amp;'Palabra no opera'!$A$2&amp;"*"))</f>
        <v>0</v>
      </c>
      <c r="T582" s="139">
        <f>+$W$5-Tabla2[[#This Row],[FECHA DE FACTURACIÓN]]</f>
        <v>151</v>
      </c>
      <c r="U582" t="str">
        <f>+IF(Tabla2[[#This Row],[dias de credito]]&gt;=Tabla2[[#This Row],[PLAZO Días]],"venc", "No venc")</f>
        <v>venc</v>
      </c>
      <c r="V582" t="str">
        <f>+IF(Tabla2[[#This Row],[FECHA DE PAGO]]&gt;0,"pagada","por pagar")</f>
        <v>pagada</v>
      </c>
      <c r="W582" s="141" t="str">
        <f>+IF(AND(Tabla2[[#This Row],[venc]]="venc",Tabla2[[#This Row],[Columna1]]="por pagar"),"vencida","no")</f>
        <v>no</v>
      </c>
    </row>
    <row r="583" spans="1:23" ht="15.6" hidden="1" x14ac:dyDescent="0.3">
      <c r="A583" s="20">
        <v>30</v>
      </c>
      <c r="B583" s="25">
        <v>0</v>
      </c>
      <c r="C583" s="25"/>
      <c r="D583" s="56" t="s">
        <v>107</v>
      </c>
      <c r="E583" s="426">
        <v>45140</v>
      </c>
      <c r="F583" s="26" t="s">
        <v>37</v>
      </c>
      <c r="G583" s="426">
        <v>45140</v>
      </c>
      <c r="H583" s="35" t="s">
        <v>1849</v>
      </c>
      <c r="I583" s="21">
        <v>160710</v>
      </c>
      <c r="J583" s="21"/>
      <c r="K583" s="22">
        <v>30534.9</v>
      </c>
      <c r="L583" s="23"/>
      <c r="M583" s="22">
        <v>0</v>
      </c>
      <c r="N583" s="74">
        <v>0</v>
      </c>
      <c r="O583" s="22">
        <v>0</v>
      </c>
      <c r="P583" s="21">
        <v>191244.9</v>
      </c>
      <c r="S583" s="108" t="b">
        <f>OR(COUNTIF(Tabla2[[#This Row],[PROVEEDOR]],"*"&amp;'Palabra no opera'!$A$2&amp;"*"))</f>
        <v>0</v>
      </c>
      <c r="T583" s="139">
        <f>+$W$5-Tabla2[[#This Row],[FECHA DE FACTURACIÓN]]</f>
        <v>151</v>
      </c>
      <c r="U583" t="str">
        <f>+IF(Tabla2[[#This Row],[dias de credito]]&gt;=Tabla2[[#This Row],[PLAZO Días]],"venc", "No venc")</f>
        <v>venc</v>
      </c>
      <c r="V583" t="str">
        <f>+IF(Tabla2[[#This Row],[FECHA DE PAGO]]&gt;0,"pagada","por pagar")</f>
        <v>pagada</v>
      </c>
      <c r="W583" s="141" t="str">
        <f>+IF(AND(Tabla2[[#This Row],[venc]]="venc",Tabla2[[#This Row],[Columna1]]="por pagar"),"vencida","no")</f>
        <v>no</v>
      </c>
    </row>
    <row r="584" spans="1:23" ht="15.6" hidden="1" x14ac:dyDescent="0.3">
      <c r="A584" s="20">
        <v>30</v>
      </c>
      <c r="B584" s="25">
        <v>0</v>
      </c>
      <c r="C584" s="25"/>
      <c r="D584" s="56" t="s">
        <v>107</v>
      </c>
      <c r="E584" s="426">
        <v>45140</v>
      </c>
      <c r="F584" s="26" t="s">
        <v>1194</v>
      </c>
      <c r="G584" s="426">
        <v>45139</v>
      </c>
      <c r="H584" s="35" t="s">
        <v>1866</v>
      </c>
      <c r="I584" s="21">
        <v>10615000</v>
      </c>
      <c r="J584" s="21"/>
      <c r="K584" s="22">
        <v>0</v>
      </c>
      <c r="L584" s="23"/>
      <c r="M584" s="22">
        <v>0</v>
      </c>
      <c r="N584" s="74">
        <v>0</v>
      </c>
      <c r="O584" s="22">
        <v>0</v>
      </c>
      <c r="P584" s="21">
        <v>10615000</v>
      </c>
      <c r="S584" s="108" t="b">
        <f>OR(COUNTIF(Tabla2[[#This Row],[PROVEEDOR]],"*"&amp;'Palabra no opera'!$A$2&amp;"*"))</f>
        <v>0</v>
      </c>
      <c r="T584" s="139">
        <f>+$W$5-Tabla2[[#This Row],[FECHA DE FACTURACIÓN]]</f>
        <v>152</v>
      </c>
      <c r="U584" t="str">
        <f>+IF(Tabla2[[#This Row],[dias de credito]]&gt;=Tabla2[[#This Row],[PLAZO Días]],"venc", "No venc")</f>
        <v>venc</v>
      </c>
      <c r="V584" t="str">
        <f>+IF(Tabla2[[#This Row],[FECHA DE PAGO]]&gt;0,"pagada","por pagar")</f>
        <v>pagada</v>
      </c>
      <c r="W584" s="141" t="str">
        <f>+IF(AND(Tabla2[[#This Row],[venc]]="venc",Tabla2[[#This Row],[Columna1]]="por pagar"),"vencida","no")</f>
        <v>no</v>
      </c>
    </row>
    <row r="585" spans="1:23" ht="15.6" hidden="1" x14ac:dyDescent="0.3">
      <c r="A585" s="20">
        <v>30</v>
      </c>
      <c r="B585" s="25">
        <v>0</v>
      </c>
      <c r="C585" s="25"/>
      <c r="D585" s="56">
        <v>0</v>
      </c>
      <c r="E585" s="426">
        <v>45140</v>
      </c>
      <c r="F585" s="26" t="s">
        <v>1736</v>
      </c>
      <c r="G585" s="426">
        <v>45138</v>
      </c>
      <c r="H585" s="35">
        <v>5</v>
      </c>
      <c r="I585" s="21">
        <v>444000</v>
      </c>
      <c r="J585" s="21"/>
      <c r="K585" s="22">
        <v>0</v>
      </c>
      <c r="L585" s="23"/>
      <c r="M585" s="22">
        <v>0</v>
      </c>
      <c r="N585" s="74">
        <v>0</v>
      </c>
      <c r="O585" s="22">
        <v>0</v>
      </c>
      <c r="P585" s="21">
        <v>444000</v>
      </c>
      <c r="S585" s="108" t="b">
        <f>OR(COUNTIF(Tabla2[[#This Row],[PROVEEDOR]],"*"&amp;'Palabra no opera'!$A$2&amp;"*"))</f>
        <v>0</v>
      </c>
      <c r="T585" s="139">
        <f>+$W$5-Tabla2[[#This Row],[FECHA DE FACTURACIÓN]]</f>
        <v>153</v>
      </c>
      <c r="U585" t="str">
        <f>+IF(Tabla2[[#This Row],[dias de credito]]&gt;=Tabla2[[#This Row],[PLAZO Días]],"venc", "No venc")</f>
        <v>venc</v>
      </c>
      <c r="V585" t="str">
        <f>+IF(Tabla2[[#This Row],[FECHA DE PAGO]]&gt;0,"pagada","por pagar")</f>
        <v>pagada</v>
      </c>
      <c r="W585" s="141" t="str">
        <f>+IF(AND(Tabla2[[#This Row],[venc]]="venc",Tabla2[[#This Row],[Columna1]]="por pagar"),"vencida","no")</f>
        <v>no</v>
      </c>
    </row>
    <row r="586" spans="1:23" ht="15.6" hidden="1" x14ac:dyDescent="0.3">
      <c r="A586" s="20">
        <v>30</v>
      </c>
      <c r="B586" s="25">
        <v>2100000</v>
      </c>
      <c r="C586" s="25"/>
      <c r="D586" s="56" t="s">
        <v>107</v>
      </c>
      <c r="E586" s="426">
        <v>45140</v>
      </c>
      <c r="F586" s="26" t="s">
        <v>349</v>
      </c>
      <c r="G586" s="426">
        <v>45062</v>
      </c>
      <c r="H586" s="35" t="s">
        <v>1678</v>
      </c>
      <c r="I586" s="21">
        <v>2965000</v>
      </c>
      <c r="J586" s="21"/>
      <c r="K586" s="22">
        <v>0</v>
      </c>
      <c r="L586" s="23"/>
      <c r="M586" s="22">
        <v>0</v>
      </c>
      <c r="N586" s="74">
        <v>0</v>
      </c>
      <c r="O586" s="22">
        <v>0</v>
      </c>
      <c r="P586" s="21">
        <v>2965000</v>
      </c>
      <c r="S586" s="108" t="b">
        <f>OR(COUNTIF(Tabla2[[#This Row],[PROVEEDOR]],"*"&amp;'Palabra no opera'!$A$2&amp;"*"))</f>
        <v>0</v>
      </c>
      <c r="T586" s="139">
        <f>+$W$5-Tabla2[[#This Row],[FECHA DE FACTURACIÓN]]</f>
        <v>229</v>
      </c>
      <c r="U586" t="str">
        <f>+IF(Tabla2[[#This Row],[dias de credito]]&gt;=Tabla2[[#This Row],[PLAZO Días]],"venc", "No venc")</f>
        <v>venc</v>
      </c>
      <c r="V586" t="str">
        <f>+IF(Tabla2[[#This Row],[FECHA DE PAGO]]&gt;0,"pagada","por pagar")</f>
        <v>pagada</v>
      </c>
      <c r="W586" s="141" t="str">
        <f>+IF(AND(Tabla2[[#This Row],[venc]]="venc",Tabla2[[#This Row],[Columna1]]="por pagar"),"vencida","no")</f>
        <v>no</v>
      </c>
    </row>
    <row r="587" spans="1:23" ht="15.6" hidden="1" x14ac:dyDescent="0.3">
      <c r="A587" s="20">
        <v>30</v>
      </c>
      <c r="B587" s="25">
        <v>0</v>
      </c>
      <c r="C587" s="25"/>
      <c r="D587" s="56" t="s">
        <v>276</v>
      </c>
      <c r="E587" s="426">
        <v>45140</v>
      </c>
      <c r="F587" s="26" t="s">
        <v>239</v>
      </c>
      <c r="G587" s="426">
        <v>45037</v>
      </c>
      <c r="H587" s="35" t="s">
        <v>1631</v>
      </c>
      <c r="I587" s="21">
        <v>6747647</v>
      </c>
      <c r="J587" s="21"/>
      <c r="K587" s="22">
        <v>1282052.93</v>
      </c>
      <c r="L587" s="23"/>
      <c r="M587" s="22">
        <v>0</v>
      </c>
      <c r="N587" s="74">
        <v>2.5000000000000001E-2</v>
      </c>
      <c r="O587" s="22">
        <v>168691.17500000002</v>
      </c>
      <c r="P587" s="21">
        <v>7861008.7549999999</v>
      </c>
      <c r="S587" s="108" t="b">
        <f>OR(COUNTIF(Tabla2[[#This Row],[PROVEEDOR]],"*"&amp;'Palabra no opera'!$A$2&amp;"*"))</f>
        <v>0</v>
      </c>
      <c r="T587" s="139">
        <f>+$W$5-Tabla2[[#This Row],[FECHA DE FACTURACIÓN]]</f>
        <v>254</v>
      </c>
      <c r="U587" t="str">
        <f>+IF(Tabla2[[#This Row],[dias de credito]]&gt;=Tabla2[[#This Row],[PLAZO Días]],"venc", "No venc")</f>
        <v>venc</v>
      </c>
      <c r="V587" t="str">
        <f>+IF(Tabla2[[#This Row],[FECHA DE PAGO]]&gt;0,"pagada","por pagar")</f>
        <v>pagada</v>
      </c>
      <c r="W587" s="141" t="str">
        <f>+IF(AND(Tabla2[[#This Row],[venc]]="venc",Tabla2[[#This Row],[Columna1]]="por pagar"),"vencida","no")</f>
        <v>no</v>
      </c>
    </row>
    <row r="588" spans="1:23" ht="15.6" hidden="1" x14ac:dyDescent="0.3">
      <c r="A588" s="20">
        <v>30</v>
      </c>
      <c r="B588" s="25">
        <v>12030261.305</v>
      </c>
      <c r="C588" s="25"/>
      <c r="D588" s="56" t="s">
        <v>179</v>
      </c>
      <c r="E588" s="426">
        <v>45140</v>
      </c>
      <c r="F588" s="26" t="s">
        <v>12</v>
      </c>
      <c r="G588" s="426">
        <v>45030</v>
      </c>
      <c r="H588" s="35" t="s">
        <v>1603</v>
      </c>
      <c r="I588" s="21">
        <v>15915968</v>
      </c>
      <c r="J588" s="21"/>
      <c r="K588" s="22">
        <v>3024033.92</v>
      </c>
      <c r="L588" s="23"/>
      <c r="M588" s="22">
        <v>0</v>
      </c>
      <c r="N588" s="74">
        <v>2.5000000000000001E-2</v>
      </c>
      <c r="O588" s="22">
        <v>397899.2</v>
      </c>
      <c r="P588" s="21">
        <v>18542102.720000003</v>
      </c>
      <c r="S588" s="108" t="b">
        <f>OR(COUNTIF(Tabla2[[#This Row],[PROVEEDOR]],"*"&amp;'Palabra no opera'!$A$2&amp;"*"))</f>
        <v>0</v>
      </c>
      <c r="T588" s="139">
        <f>+$W$5-Tabla2[[#This Row],[FECHA DE FACTURACIÓN]]</f>
        <v>261</v>
      </c>
      <c r="U588" t="str">
        <f>+IF(Tabla2[[#This Row],[dias de credito]]&gt;=Tabla2[[#This Row],[PLAZO Días]],"venc", "No venc")</f>
        <v>venc</v>
      </c>
      <c r="V588" t="str">
        <f>+IF(Tabla2[[#This Row],[FECHA DE PAGO]]&gt;0,"pagada","por pagar")</f>
        <v>pagada</v>
      </c>
      <c r="W588" s="141" t="str">
        <f>+IF(AND(Tabla2[[#This Row],[venc]]="venc",Tabla2[[#This Row],[Columna1]]="por pagar"),"vencida","no")</f>
        <v>no</v>
      </c>
    </row>
    <row r="589" spans="1:23" ht="15.6" hidden="1" x14ac:dyDescent="0.3">
      <c r="A589" s="20">
        <v>30</v>
      </c>
      <c r="B589" s="25">
        <v>0</v>
      </c>
      <c r="C589" s="25"/>
      <c r="D589" s="56">
        <v>0</v>
      </c>
      <c r="E589" s="426">
        <v>45139</v>
      </c>
      <c r="F589" s="26" t="s">
        <v>413</v>
      </c>
      <c r="G589" s="426">
        <v>45112</v>
      </c>
      <c r="H589" s="35" t="s">
        <v>1830</v>
      </c>
      <c r="I589" s="21">
        <v>504000</v>
      </c>
      <c r="J589" s="21"/>
      <c r="K589" s="22">
        <v>0</v>
      </c>
      <c r="L589" s="23"/>
      <c r="M589" s="22">
        <v>0</v>
      </c>
      <c r="N589" s="74">
        <v>0</v>
      </c>
      <c r="O589" s="22">
        <v>0</v>
      </c>
      <c r="P589" s="21">
        <v>504000</v>
      </c>
      <c r="S589" s="108" t="b">
        <f>OR(COUNTIF(Tabla2[[#This Row],[PROVEEDOR]],"*"&amp;'Palabra no opera'!$A$2&amp;"*"))</f>
        <v>0</v>
      </c>
      <c r="T589" s="139">
        <f>+$W$5-Tabla2[[#This Row],[FECHA DE FACTURACIÓN]]</f>
        <v>179</v>
      </c>
      <c r="U589" t="str">
        <f>+IF(Tabla2[[#This Row],[dias de credito]]&gt;=Tabla2[[#This Row],[PLAZO Días]],"venc", "No venc")</f>
        <v>venc</v>
      </c>
      <c r="V589" t="str">
        <f>+IF(Tabla2[[#This Row],[FECHA DE PAGO]]&gt;0,"pagada","por pagar")</f>
        <v>pagada</v>
      </c>
      <c r="W589" s="141" t="str">
        <f>+IF(AND(Tabla2[[#This Row],[venc]]="venc",Tabla2[[#This Row],[Columna1]]="por pagar"),"vencida","no")</f>
        <v>no</v>
      </c>
    </row>
    <row r="590" spans="1:23" ht="15.6" hidden="1" x14ac:dyDescent="0.3">
      <c r="A590" s="20">
        <v>30</v>
      </c>
      <c r="B590" s="25">
        <v>18444236.894999996</v>
      </c>
      <c r="C590" s="25"/>
      <c r="D590" s="56" t="s">
        <v>731</v>
      </c>
      <c r="E590" s="426">
        <v>45139</v>
      </c>
      <c r="F590" s="26" t="s">
        <v>11</v>
      </c>
      <c r="G590" s="426">
        <v>45105</v>
      </c>
      <c r="H590" s="35" t="s">
        <v>1785</v>
      </c>
      <c r="I590" s="21">
        <v>3882360</v>
      </c>
      <c r="J590" s="21"/>
      <c r="K590" s="22">
        <v>737648.4</v>
      </c>
      <c r="L590" s="23"/>
      <c r="M590" s="22">
        <v>0</v>
      </c>
      <c r="N590" s="74">
        <v>2.5000000000000001E-2</v>
      </c>
      <c r="O590" s="22">
        <v>97059</v>
      </c>
      <c r="P590" s="21">
        <v>4522949.4000000004</v>
      </c>
      <c r="S590" s="108" t="b">
        <f>OR(COUNTIF(Tabla2[[#This Row],[PROVEEDOR]],"*"&amp;'Palabra no opera'!$A$2&amp;"*"))</f>
        <v>0</v>
      </c>
      <c r="T590" s="139">
        <f>+$W$5-Tabla2[[#This Row],[FECHA DE FACTURACIÓN]]</f>
        <v>186</v>
      </c>
      <c r="U590" t="str">
        <f>+IF(Tabla2[[#This Row],[dias de credito]]&gt;=Tabla2[[#This Row],[PLAZO Días]],"venc", "No venc")</f>
        <v>venc</v>
      </c>
      <c r="V590" t="str">
        <f>+IF(Tabla2[[#This Row],[FECHA DE PAGO]]&gt;0,"pagada","por pagar")</f>
        <v>pagada</v>
      </c>
      <c r="W590" s="141" t="str">
        <f>+IF(AND(Tabla2[[#This Row],[venc]]="venc",Tabla2[[#This Row],[Columna1]]="por pagar"),"vencida","no")</f>
        <v>no</v>
      </c>
    </row>
    <row r="591" spans="1:23" ht="15.6" hidden="1" x14ac:dyDescent="0.3">
      <c r="A591" s="20">
        <v>30</v>
      </c>
      <c r="B591" s="25">
        <v>18444236.894999996</v>
      </c>
      <c r="C591" s="25"/>
      <c r="D591" s="56" t="s">
        <v>731</v>
      </c>
      <c r="E591" s="426">
        <v>45139</v>
      </c>
      <c r="F591" s="26" t="s">
        <v>11</v>
      </c>
      <c r="G591" s="426">
        <v>45098</v>
      </c>
      <c r="H591" s="35" t="s">
        <v>1786</v>
      </c>
      <c r="I591" s="21">
        <v>2480677</v>
      </c>
      <c r="J591" s="21"/>
      <c r="K591" s="22">
        <v>471328.63</v>
      </c>
      <c r="L591" s="23"/>
      <c r="M591" s="22">
        <v>0</v>
      </c>
      <c r="N591" s="74">
        <v>2.5000000000000001E-2</v>
      </c>
      <c r="O591" s="22">
        <v>62016.925000000003</v>
      </c>
      <c r="P591" s="21">
        <v>2889988.7050000001</v>
      </c>
      <c r="S591" s="108" t="b">
        <f>OR(COUNTIF(Tabla2[[#This Row],[PROVEEDOR]],"*"&amp;'Palabra no opera'!$A$2&amp;"*"))</f>
        <v>0</v>
      </c>
      <c r="T591" s="139">
        <f>+$W$5-Tabla2[[#This Row],[FECHA DE FACTURACIÓN]]</f>
        <v>193</v>
      </c>
      <c r="U591" t="str">
        <f>+IF(Tabla2[[#This Row],[dias de credito]]&gt;=Tabla2[[#This Row],[PLAZO Días]],"venc", "No venc")</f>
        <v>venc</v>
      </c>
      <c r="V591" t="str">
        <f>+IF(Tabla2[[#This Row],[FECHA DE PAGO]]&gt;0,"pagada","por pagar")</f>
        <v>pagada</v>
      </c>
      <c r="W591" s="141" t="str">
        <f>+IF(AND(Tabla2[[#This Row],[venc]]="venc",Tabla2[[#This Row],[Columna1]]="por pagar"),"vencida","no")</f>
        <v>no</v>
      </c>
    </row>
    <row r="592" spans="1:23" ht="15.6" hidden="1" x14ac:dyDescent="0.3">
      <c r="A592" s="20">
        <v>30</v>
      </c>
      <c r="B592" s="25">
        <v>1034000.52</v>
      </c>
      <c r="C592" s="25"/>
      <c r="D592" s="56" t="s">
        <v>177</v>
      </c>
      <c r="E592" s="426">
        <v>45139</v>
      </c>
      <c r="F592" s="26" t="s">
        <v>168</v>
      </c>
      <c r="G592" s="426">
        <v>45094</v>
      </c>
      <c r="H592" s="35" t="s">
        <v>1749</v>
      </c>
      <c r="I592" s="21">
        <v>537815</v>
      </c>
      <c r="J592" s="21"/>
      <c r="K592" s="22">
        <v>102184.85</v>
      </c>
      <c r="L592" s="23"/>
      <c r="M592" s="22">
        <v>0</v>
      </c>
      <c r="N592" s="74">
        <v>0</v>
      </c>
      <c r="O592" s="22">
        <v>0</v>
      </c>
      <c r="P592" s="21">
        <v>639999.85</v>
      </c>
      <c r="S592" s="108" t="b">
        <f>OR(COUNTIF(Tabla2[[#This Row],[PROVEEDOR]],"*"&amp;'Palabra no opera'!$A$2&amp;"*"))</f>
        <v>0</v>
      </c>
      <c r="T592" s="139">
        <f>+$W$5-Tabla2[[#This Row],[FECHA DE FACTURACIÓN]]</f>
        <v>197</v>
      </c>
      <c r="U592" t="str">
        <f>+IF(Tabla2[[#This Row],[dias de credito]]&gt;=Tabla2[[#This Row],[PLAZO Días]],"venc", "No venc")</f>
        <v>venc</v>
      </c>
      <c r="V592" t="str">
        <f>+IF(Tabla2[[#This Row],[FECHA DE PAGO]]&gt;0,"pagada","por pagar")</f>
        <v>pagada</v>
      </c>
      <c r="W592" s="141" t="str">
        <f>+IF(AND(Tabla2[[#This Row],[venc]]="venc",Tabla2[[#This Row],[Columna1]]="por pagar"),"vencida","no")</f>
        <v>no</v>
      </c>
    </row>
    <row r="593" spans="1:23" ht="15.6" hidden="1" x14ac:dyDescent="0.3">
      <c r="A593" s="20">
        <v>30</v>
      </c>
      <c r="B593" s="25">
        <v>2950000</v>
      </c>
      <c r="C593" s="25"/>
      <c r="D593" s="56">
        <v>0</v>
      </c>
      <c r="E593" s="426">
        <v>45139</v>
      </c>
      <c r="F593" s="26" t="s">
        <v>1152</v>
      </c>
      <c r="G593" s="426">
        <v>45091</v>
      </c>
      <c r="H593" s="35">
        <v>2011</v>
      </c>
      <c r="I593" s="21">
        <v>205000</v>
      </c>
      <c r="J593" s="21"/>
      <c r="K593" s="22">
        <v>0</v>
      </c>
      <c r="L593" s="23"/>
      <c r="M593" s="22">
        <v>0</v>
      </c>
      <c r="N593" s="74">
        <v>0</v>
      </c>
      <c r="O593" s="22">
        <v>0</v>
      </c>
      <c r="P593" s="21">
        <v>205000</v>
      </c>
      <c r="S593" s="108" t="b">
        <f>OR(COUNTIF(Tabla2[[#This Row],[PROVEEDOR]],"*"&amp;'Palabra no opera'!$A$2&amp;"*"))</f>
        <v>0</v>
      </c>
      <c r="T593" s="139">
        <f>+$W$5-Tabla2[[#This Row],[FECHA DE FACTURACIÓN]]</f>
        <v>200</v>
      </c>
      <c r="U593" t="str">
        <f>+IF(Tabla2[[#This Row],[dias de credito]]&gt;=Tabla2[[#This Row],[PLAZO Días]],"venc", "No venc")</f>
        <v>venc</v>
      </c>
      <c r="V593" t="str">
        <f>+IF(Tabla2[[#This Row],[FECHA DE PAGO]]&gt;0,"pagada","por pagar")</f>
        <v>pagada</v>
      </c>
      <c r="W593" s="141" t="str">
        <f>+IF(AND(Tabla2[[#This Row],[venc]]="venc",Tabla2[[#This Row],[Columna1]]="por pagar"),"vencida","no")</f>
        <v>no</v>
      </c>
    </row>
    <row r="594" spans="1:23" ht="15.6" hidden="1" x14ac:dyDescent="0.3">
      <c r="A594" s="20">
        <v>30</v>
      </c>
      <c r="B594" s="25">
        <v>680000</v>
      </c>
      <c r="C594" s="25"/>
      <c r="D594" s="56" t="s">
        <v>177</v>
      </c>
      <c r="E594" s="426">
        <v>45139</v>
      </c>
      <c r="F594" s="26" t="s">
        <v>412</v>
      </c>
      <c r="G594" s="426">
        <v>45057</v>
      </c>
      <c r="H594" s="35">
        <v>327168</v>
      </c>
      <c r="I594" s="21">
        <v>27000</v>
      </c>
      <c r="J594" s="21"/>
      <c r="K594" s="22">
        <v>0</v>
      </c>
      <c r="L594" s="23"/>
      <c r="M594" s="22">
        <v>0</v>
      </c>
      <c r="N594" s="74">
        <v>0</v>
      </c>
      <c r="O594" s="22">
        <v>0</v>
      </c>
      <c r="P594" s="21">
        <v>27000</v>
      </c>
      <c r="S594" s="108" t="b">
        <f>OR(COUNTIF(Tabla2[[#This Row],[PROVEEDOR]],"*"&amp;'Palabra no opera'!$A$2&amp;"*"))</f>
        <v>0</v>
      </c>
      <c r="T594" s="139">
        <f>+$W$5-Tabla2[[#This Row],[FECHA DE FACTURACIÓN]]</f>
        <v>234</v>
      </c>
      <c r="U594" t="str">
        <f>+IF(Tabla2[[#This Row],[dias de credito]]&gt;=Tabla2[[#This Row],[PLAZO Días]],"venc", "No venc")</f>
        <v>venc</v>
      </c>
      <c r="V594" t="str">
        <f>+IF(Tabla2[[#This Row],[FECHA DE PAGO]]&gt;0,"pagada","por pagar")</f>
        <v>pagada</v>
      </c>
      <c r="W594" s="141" t="str">
        <f>+IF(AND(Tabla2[[#This Row],[venc]]="venc",Tabla2[[#This Row],[Columna1]]="por pagar"),"vencida","no")</f>
        <v>no</v>
      </c>
    </row>
    <row r="595" spans="1:23" ht="15.6" hidden="1" x14ac:dyDescent="0.3">
      <c r="A595" s="20">
        <v>30</v>
      </c>
      <c r="B595" s="25">
        <v>1034000.52</v>
      </c>
      <c r="C595" s="25"/>
      <c r="D595" s="56" t="s">
        <v>177</v>
      </c>
      <c r="E595" s="426">
        <v>45139</v>
      </c>
      <c r="F595" s="26" t="s">
        <v>168</v>
      </c>
      <c r="G595" s="426">
        <v>45057</v>
      </c>
      <c r="H595" s="35" t="s">
        <v>1697</v>
      </c>
      <c r="I595" s="21">
        <v>3564706</v>
      </c>
      <c r="J595" s="21"/>
      <c r="K595" s="22">
        <v>677294.14</v>
      </c>
      <c r="L595" s="23"/>
      <c r="M595" s="22">
        <v>0</v>
      </c>
      <c r="N595" s="74">
        <v>2.5000000000000001E-2</v>
      </c>
      <c r="O595" s="22">
        <v>89117.650000000009</v>
      </c>
      <c r="P595" s="21">
        <v>4152882.4899999998</v>
      </c>
      <c r="S595" s="108" t="b">
        <f>OR(COUNTIF(Tabla2[[#This Row],[PROVEEDOR]],"*"&amp;'Palabra no opera'!$A$2&amp;"*"))</f>
        <v>0</v>
      </c>
      <c r="T595" s="139">
        <f>+$W$5-Tabla2[[#This Row],[FECHA DE FACTURACIÓN]]</f>
        <v>234</v>
      </c>
      <c r="U595" t="str">
        <f>+IF(Tabla2[[#This Row],[dias de credito]]&gt;=Tabla2[[#This Row],[PLAZO Días]],"venc", "No venc")</f>
        <v>venc</v>
      </c>
      <c r="V595" t="str">
        <f>+IF(Tabla2[[#This Row],[FECHA DE PAGO]]&gt;0,"pagada","por pagar")</f>
        <v>pagada</v>
      </c>
      <c r="W595" s="141" t="str">
        <f>+IF(AND(Tabla2[[#This Row],[venc]]="venc",Tabla2[[#This Row],[Columna1]]="por pagar"),"vencida","no")</f>
        <v>no</v>
      </c>
    </row>
    <row r="596" spans="1:23" ht="15.6" hidden="1" x14ac:dyDescent="0.3">
      <c r="A596" s="20">
        <v>30</v>
      </c>
      <c r="B596" s="25">
        <v>0</v>
      </c>
      <c r="C596" s="25"/>
      <c r="D596" s="56">
        <v>0</v>
      </c>
      <c r="E596" s="426">
        <v>45138</v>
      </c>
      <c r="F596" s="26" t="s">
        <v>1762</v>
      </c>
      <c r="G596" s="426">
        <v>45138</v>
      </c>
      <c r="H596" s="35">
        <v>5961</v>
      </c>
      <c r="I596" s="21">
        <v>307000</v>
      </c>
      <c r="J596" s="21"/>
      <c r="K596" s="22">
        <v>0</v>
      </c>
      <c r="L596" s="23"/>
      <c r="M596" s="22">
        <v>0</v>
      </c>
      <c r="N596" s="74">
        <v>0</v>
      </c>
      <c r="O596" s="22">
        <v>0</v>
      </c>
      <c r="P596" s="21">
        <v>307000</v>
      </c>
      <c r="S596" s="108" t="b">
        <f>OR(COUNTIF(Tabla2[[#This Row],[PROVEEDOR]],"*"&amp;'Palabra no opera'!$A$2&amp;"*"))</f>
        <v>0</v>
      </c>
      <c r="T596" s="139">
        <f>+$W$5-Tabla2[[#This Row],[FECHA DE FACTURACIÓN]]</f>
        <v>153</v>
      </c>
      <c r="U596" t="str">
        <f>+IF(Tabla2[[#This Row],[dias de credito]]&gt;=Tabla2[[#This Row],[PLAZO Días]],"venc", "No venc")</f>
        <v>venc</v>
      </c>
      <c r="V596" t="str">
        <f>+IF(Tabla2[[#This Row],[FECHA DE PAGO]]&gt;0,"pagada","por pagar")</f>
        <v>pagada</v>
      </c>
      <c r="W596" s="141" t="str">
        <f>+IF(AND(Tabla2[[#This Row],[venc]]="venc",Tabla2[[#This Row],[Columna1]]="por pagar"),"vencida","no")</f>
        <v>no</v>
      </c>
    </row>
    <row r="597" spans="1:23" ht="15.6" hidden="1" x14ac:dyDescent="0.3">
      <c r="A597" s="20">
        <v>30</v>
      </c>
      <c r="B597" s="25">
        <v>0</v>
      </c>
      <c r="C597" s="25"/>
      <c r="D597" s="56" t="s">
        <v>107</v>
      </c>
      <c r="E597" s="426">
        <v>45136</v>
      </c>
      <c r="F597" s="26" t="s">
        <v>378</v>
      </c>
      <c r="G597" s="426">
        <v>45136</v>
      </c>
      <c r="H597" s="35" t="s">
        <v>1841</v>
      </c>
      <c r="I597" s="21">
        <v>1470000</v>
      </c>
      <c r="J597" s="21"/>
      <c r="K597" s="22">
        <v>0</v>
      </c>
      <c r="L597" s="23"/>
      <c r="M597" s="22">
        <v>0</v>
      </c>
      <c r="N597" s="74">
        <v>0</v>
      </c>
      <c r="O597" s="22">
        <v>0</v>
      </c>
      <c r="P597" s="21">
        <v>1470000</v>
      </c>
      <c r="S597" s="108" t="b">
        <f>OR(COUNTIF(Tabla2[[#This Row],[PROVEEDOR]],"*"&amp;'Palabra no opera'!$A$2&amp;"*"))</f>
        <v>0</v>
      </c>
      <c r="T597" s="139">
        <f>+$W$5-Tabla2[[#This Row],[FECHA DE FACTURACIÓN]]</f>
        <v>155</v>
      </c>
      <c r="U597" t="str">
        <f>+IF(Tabla2[[#This Row],[dias de credito]]&gt;=Tabla2[[#This Row],[PLAZO Días]],"venc", "No venc")</f>
        <v>venc</v>
      </c>
      <c r="V597" t="str">
        <f>+IF(Tabla2[[#This Row],[FECHA DE PAGO]]&gt;0,"pagada","por pagar")</f>
        <v>pagada</v>
      </c>
      <c r="W597" s="141" t="str">
        <f>+IF(AND(Tabla2[[#This Row],[venc]]="venc",Tabla2[[#This Row],[Columna1]]="por pagar"),"vencida","no")</f>
        <v>no</v>
      </c>
    </row>
    <row r="598" spans="1:23" ht="15.6" hidden="1" x14ac:dyDescent="0.3">
      <c r="A598" s="20">
        <v>30</v>
      </c>
      <c r="B598" s="25">
        <v>0</v>
      </c>
      <c r="C598" s="25"/>
      <c r="D598" s="56">
        <v>0</v>
      </c>
      <c r="E598" s="426">
        <v>45134</v>
      </c>
      <c r="F598" s="26" t="s">
        <v>1165</v>
      </c>
      <c r="G598" s="426">
        <v>45079</v>
      </c>
      <c r="H598" s="35" t="s">
        <v>1770</v>
      </c>
      <c r="I598" s="21">
        <v>2046000</v>
      </c>
      <c r="J598" s="21"/>
      <c r="K598" s="22">
        <v>0</v>
      </c>
      <c r="L598" s="23">
        <v>0.1</v>
      </c>
      <c r="M598" s="22">
        <v>204600</v>
      </c>
      <c r="N598" s="74">
        <v>0</v>
      </c>
      <c r="O598" s="22">
        <v>0</v>
      </c>
      <c r="P598" s="21">
        <v>1841400</v>
      </c>
      <c r="S598" s="108" t="b">
        <f>OR(COUNTIF(Tabla2[[#This Row],[PROVEEDOR]],"*"&amp;'Palabra no opera'!$A$2&amp;"*"))</f>
        <v>0</v>
      </c>
      <c r="T598" s="139">
        <f>+$W$5-Tabla2[[#This Row],[FECHA DE FACTURACIÓN]]</f>
        <v>212</v>
      </c>
      <c r="U598" t="str">
        <f>+IF(Tabla2[[#This Row],[dias de credito]]&gt;=Tabla2[[#This Row],[PLAZO Días]],"venc", "No venc")</f>
        <v>venc</v>
      </c>
      <c r="V598" t="str">
        <f>+IF(Tabla2[[#This Row],[FECHA DE PAGO]]&gt;0,"pagada","por pagar")</f>
        <v>pagada</v>
      </c>
      <c r="W598" s="141" t="str">
        <f>+IF(AND(Tabla2[[#This Row],[venc]]="venc",Tabla2[[#This Row],[Columna1]]="por pagar"),"vencida","no")</f>
        <v>no</v>
      </c>
    </row>
    <row r="599" spans="1:23" ht="15.6" hidden="1" x14ac:dyDescent="0.3">
      <c r="A599" s="20">
        <v>30</v>
      </c>
      <c r="B599" s="25">
        <v>380979.69</v>
      </c>
      <c r="C599" s="25"/>
      <c r="D599" s="56" t="s">
        <v>296</v>
      </c>
      <c r="E599" s="426">
        <v>45134</v>
      </c>
      <c r="F599" s="26" t="s">
        <v>615</v>
      </c>
      <c r="G599" s="426">
        <v>45075</v>
      </c>
      <c r="H599" s="35" t="s">
        <v>1842</v>
      </c>
      <c r="I599" s="21">
        <v>1586135</v>
      </c>
      <c r="J599" s="21"/>
      <c r="K599" s="22">
        <v>301365.65000000002</v>
      </c>
      <c r="L599" s="23"/>
      <c r="M599" s="22">
        <v>0</v>
      </c>
      <c r="N599" s="74">
        <v>0</v>
      </c>
      <c r="O599" s="22">
        <v>0</v>
      </c>
      <c r="P599" s="21">
        <v>1887500.65</v>
      </c>
      <c r="S599" s="108" t="b">
        <f>OR(COUNTIF(Tabla2[[#This Row],[PROVEEDOR]],"*"&amp;'Palabra no opera'!$A$2&amp;"*"))</f>
        <v>1</v>
      </c>
      <c r="T599" s="139">
        <f>+$W$5-Tabla2[[#This Row],[FECHA DE FACTURACIÓN]]</f>
        <v>216</v>
      </c>
      <c r="U599" t="str">
        <f>+IF(Tabla2[[#This Row],[dias de credito]]&gt;=Tabla2[[#This Row],[PLAZO Días]],"venc", "No venc")</f>
        <v>venc</v>
      </c>
      <c r="V599" t="str">
        <f>+IF(Tabla2[[#This Row],[FECHA DE PAGO]]&gt;0,"pagada","por pagar")</f>
        <v>pagada</v>
      </c>
      <c r="W599" s="141" t="str">
        <f>+IF(AND(Tabla2[[#This Row],[venc]]="venc",Tabla2[[#This Row],[Columna1]]="por pagar"),"vencida","no")</f>
        <v>no</v>
      </c>
    </row>
    <row r="600" spans="1:23" ht="15.6" hidden="1" x14ac:dyDescent="0.3">
      <c r="A600" s="20">
        <v>30</v>
      </c>
      <c r="B600" s="25">
        <v>380979.69</v>
      </c>
      <c r="C600" s="25"/>
      <c r="D600" s="56" t="s">
        <v>296</v>
      </c>
      <c r="E600" s="426">
        <v>45134</v>
      </c>
      <c r="F600" s="26" t="s">
        <v>615</v>
      </c>
      <c r="G600" s="426">
        <v>45075</v>
      </c>
      <c r="H600" s="35" t="s">
        <v>1843</v>
      </c>
      <c r="I600" s="21">
        <v>2254875</v>
      </c>
      <c r="J600" s="21"/>
      <c r="K600" s="22">
        <v>428426.25</v>
      </c>
      <c r="L600" s="23"/>
      <c r="M600" s="22">
        <v>0</v>
      </c>
      <c r="N600" s="74">
        <v>0</v>
      </c>
      <c r="O600" s="22">
        <v>0</v>
      </c>
      <c r="P600" s="21">
        <v>2683301.25</v>
      </c>
      <c r="S600" s="108" t="b">
        <f>OR(COUNTIF(Tabla2[[#This Row],[PROVEEDOR]],"*"&amp;'Palabra no opera'!$A$2&amp;"*"))</f>
        <v>1</v>
      </c>
      <c r="T600" s="139">
        <f>+$W$5-Tabla2[[#This Row],[FECHA DE FACTURACIÓN]]</f>
        <v>216</v>
      </c>
      <c r="U600" t="str">
        <f>+IF(Tabla2[[#This Row],[dias de credito]]&gt;=Tabla2[[#This Row],[PLAZO Días]],"venc", "No venc")</f>
        <v>venc</v>
      </c>
      <c r="V600" t="str">
        <f>+IF(Tabla2[[#This Row],[FECHA DE PAGO]]&gt;0,"pagada","por pagar")</f>
        <v>pagada</v>
      </c>
      <c r="W600" s="141" t="str">
        <f>+IF(AND(Tabla2[[#This Row],[venc]]="venc",Tabla2[[#This Row],[Columna1]]="por pagar"),"vencida","no")</f>
        <v>no</v>
      </c>
    </row>
    <row r="601" spans="1:23" ht="15.6" hidden="1" x14ac:dyDescent="0.3">
      <c r="A601" s="20">
        <v>30</v>
      </c>
      <c r="B601" s="25">
        <v>0</v>
      </c>
      <c r="C601" s="25"/>
      <c r="D601" s="56" t="s">
        <v>659</v>
      </c>
      <c r="E601" s="426">
        <v>45133</v>
      </c>
      <c r="F601" s="26" t="s">
        <v>227</v>
      </c>
      <c r="G601" s="426">
        <v>45128</v>
      </c>
      <c r="H601" s="35">
        <v>652</v>
      </c>
      <c r="I601" s="21">
        <v>0</v>
      </c>
      <c r="J601" s="21"/>
      <c r="K601" s="22">
        <v>0</v>
      </c>
      <c r="L601" s="23"/>
      <c r="M601" s="22">
        <v>0</v>
      </c>
      <c r="N601" s="74">
        <v>0</v>
      </c>
      <c r="O601" s="22">
        <v>0</v>
      </c>
      <c r="P601" s="21">
        <v>0</v>
      </c>
      <c r="S601" s="108" t="b">
        <f>OR(COUNTIF(Tabla2[[#This Row],[PROVEEDOR]],"*"&amp;'Palabra no opera'!$A$2&amp;"*"))</f>
        <v>0</v>
      </c>
      <c r="T601" s="139">
        <f>+$W$5-Tabla2[[#This Row],[FECHA DE FACTURACIÓN]]</f>
        <v>163</v>
      </c>
      <c r="U601" t="str">
        <f>+IF(Tabla2[[#This Row],[dias de credito]]&gt;=Tabla2[[#This Row],[PLAZO Días]],"venc", "No venc")</f>
        <v>venc</v>
      </c>
      <c r="V601" t="str">
        <f>+IF(Tabla2[[#This Row],[FECHA DE PAGO]]&gt;0,"pagada","por pagar")</f>
        <v>pagada</v>
      </c>
      <c r="W601" s="141" t="str">
        <f>+IF(AND(Tabla2[[#This Row],[venc]]="venc",Tabla2[[#This Row],[Columna1]]="por pagar"),"vencida","no")</f>
        <v>no</v>
      </c>
    </row>
    <row r="602" spans="1:23" ht="15.6" hidden="1" x14ac:dyDescent="0.3">
      <c r="A602" s="20">
        <v>30</v>
      </c>
      <c r="B602" s="25">
        <v>0</v>
      </c>
      <c r="C602" s="25"/>
      <c r="D602" s="56" t="s">
        <v>659</v>
      </c>
      <c r="E602" s="426">
        <v>45133</v>
      </c>
      <c r="F602" s="26" t="s">
        <v>227</v>
      </c>
      <c r="G602" s="426">
        <v>45128</v>
      </c>
      <c r="H602" s="35">
        <v>653</v>
      </c>
      <c r="I602" s="21">
        <v>527</v>
      </c>
      <c r="J602" s="21"/>
      <c r="K602" s="22">
        <v>0</v>
      </c>
      <c r="L602" s="23"/>
      <c r="M602" s="22">
        <v>0</v>
      </c>
      <c r="N602" s="74">
        <v>0</v>
      </c>
      <c r="O602" s="22">
        <v>0</v>
      </c>
      <c r="P602" s="21">
        <v>527</v>
      </c>
      <c r="S602" s="108" t="b">
        <f>OR(COUNTIF(Tabla2[[#This Row],[PROVEEDOR]],"*"&amp;'Palabra no opera'!$A$2&amp;"*"))</f>
        <v>0</v>
      </c>
      <c r="T602" s="139">
        <f>+$W$5-Tabla2[[#This Row],[FECHA DE FACTURACIÓN]]</f>
        <v>163</v>
      </c>
      <c r="U602" t="str">
        <f>+IF(Tabla2[[#This Row],[dias de credito]]&gt;=Tabla2[[#This Row],[PLAZO Días]],"venc", "No venc")</f>
        <v>venc</v>
      </c>
      <c r="V602" t="str">
        <f>+IF(Tabla2[[#This Row],[FECHA DE PAGO]]&gt;0,"pagada","por pagar")</f>
        <v>pagada</v>
      </c>
      <c r="W602" s="141" t="str">
        <f>+IF(AND(Tabla2[[#This Row],[venc]]="venc",Tabla2[[#This Row],[Columna1]]="por pagar"),"vencida","no")</f>
        <v>no</v>
      </c>
    </row>
    <row r="603" spans="1:23" ht="15.6" hidden="1" x14ac:dyDescent="0.3">
      <c r="A603" s="20">
        <v>30</v>
      </c>
      <c r="B603" s="25">
        <v>22881826.27</v>
      </c>
      <c r="C603" s="25"/>
      <c r="D603" s="56" t="s">
        <v>197</v>
      </c>
      <c r="E603" s="426">
        <v>45133</v>
      </c>
      <c r="F603" s="26" t="s">
        <v>9</v>
      </c>
      <c r="G603" s="426">
        <v>45111</v>
      </c>
      <c r="H603" s="35" t="s">
        <v>1476</v>
      </c>
      <c r="I603" s="21">
        <v>-8403361</v>
      </c>
      <c r="J603" s="21"/>
      <c r="K603" s="22">
        <v>-1596638.59</v>
      </c>
      <c r="L603" s="23"/>
      <c r="M603" s="22">
        <v>0</v>
      </c>
      <c r="N603" s="74">
        <v>0</v>
      </c>
      <c r="O603" s="22"/>
      <c r="P603" s="21">
        <v>-9999999.5899999999</v>
      </c>
      <c r="S603" s="108" t="b">
        <f>OR(COUNTIF(Tabla2[[#This Row],[PROVEEDOR]],"*"&amp;'Palabra no opera'!$A$2&amp;"*"))</f>
        <v>0</v>
      </c>
      <c r="T603" s="139">
        <f>+$W$5-Tabla2[[#This Row],[FECHA DE FACTURACIÓN]]</f>
        <v>180</v>
      </c>
      <c r="U603" t="str">
        <f>+IF(Tabla2[[#This Row],[dias de credito]]&gt;=Tabla2[[#This Row],[PLAZO Días]],"venc", "No venc")</f>
        <v>venc</v>
      </c>
      <c r="V603" t="str">
        <f>+IF(Tabla2[[#This Row],[FECHA DE PAGO]]&gt;0,"pagada","por pagar")</f>
        <v>pagada</v>
      </c>
      <c r="W603" s="141" t="str">
        <f>+IF(AND(Tabla2[[#This Row],[venc]]="venc",Tabla2[[#This Row],[Columna1]]="por pagar"),"vencida","no")</f>
        <v>no</v>
      </c>
    </row>
    <row r="604" spans="1:23" ht="15.6" hidden="1" x14ac:dyDescent="0.3">
      <c r="A604" s="20">
        <v>30</v>
      </c>
      <c r="B604" s="25">
        <v>229206</v>
      </c>
      <c r="C604" s="25"/>
      <c r="D604" s="56" t="s">
        <v>659</v>
      </c>
      <c r="E604" s="426">
        <v>45133</v>
      </c>
      <c r="F604" s="26" t="s">
        <v>95</v>
      </c>
      <c r="G604" s="426">
        <v>45099</v>
      </c>
      <c r="H604" s="35" t="s">
        <v>1746</v>
      </c>
      <c r="I604" s="21">
        <v>0</v>
      </c>
      <c r="J604" s="21"/>
      <c r="K604" s="22">
        <v>0</v>
      </c>
      <c r="L604" s="23"/>
      <c r="M604" s="22">
        <v>0</v>
      </c>
      <c r="N604" s="74">
        <v>0</v>
      </c>
      <c r="O604" s="22">
        <v>0</v>
      </c>
      <c r="P604" s="21">
        <v>0</v>
      </c>
      <c r="S604" s="108" t="b">
        <f>OR(COUNTIF(Tabla2[[#This Row],[PROVEEDOR]],"*"&amp;'Palabra no opera'!$A$2&amp;"*"))</f>
        <v>0</v>
      </c>
      <c r="T604" s="139">
        <f>+$W$5-Tabla2[[#This Row],[FECHA DE FACTURACIÓN]]</f>
        <v>192</v>
      </c>
      <c r="U604" t="str">
        <f>+IF(Tabla2[[#This Row],[dias de credito]]&gt;=Tabla2[[#This Row],[PLAZO Días]],"venc", "No venc")</f>
        <v>venc</v>
      </c>
      <c r="V604" t="str">
        <f>+IF(Tabla2[[#This Row],[FECHA DE PAGO]]&gt;0,"pagada","por pagar")</f>
        <v>pagada</v>
      </c>
      <c r="W604" s="141" t="str">
        <f>+IF(AND(Tabla2[[#This Row],[venc]]="venc",Tabla2[[#This Row],[Columna1]]="por pagar"),"vencida","no")</f>
        <v>no</v>
      </c>
    </row>
    <row r="605" spans="1:23" ht="15.6" hidden="1" x14ac:dyDescent="0.3">
      <c r="A605" s="20">
        <v>30</v>
      </c>
      <c r="B605" s="25">
        <v>229206</v>
      </c>
      <c r="C605" s="25"/>
      <c r="D605" s="56" t="s">
        <v>659</v>
      </c>
      <c r="E605" s="426">
        <v>45133</v>
      </c>
      <c r="F605" s="26" t="s">
        <v>95</v>
      </c>
      <c r="G605" s="426">
        <v>45099</v>
      </c>
      <c r="H605" s="35" t="s">
        <v>1747</v>
      </c>
      <c r="I605" s="21">
        <v>116984</v>
      </c>
      <c r="J605" s="21"/>
      <c r="K605" s="22">
        <v>0</v>
      </c>
      <c r="L605" s="23"/>
      <c r="M605" s="22">
        <v>0</v>
      </c>
      <c r="N605" s="74">
        <v>0</v>
      </c>
      <c r="O605" s="22">
        <v>0</v>
      </c>
      <c r="P605" s="21">
        <v>116984</v>
      </c>
      <c r="S605" s="108" t="b">
        <f>OR(COUNTIF(Tabla2[[#This Row],[PROVEEDOR]],"*"&amp;'Palabra no opera'!$A$2&amp;"*"))</f>
        <v>0</v>
      </c>
      <c r="T605" s="139">
        <f>+$W$5-Tabla2[[#This Row],[FECHA DE FACTURACIÓN]]</f>
        <v>192</v>
      </c>
      <c r="U605" t="str">
        <f>+IF(Tabla2[[#This Row],[dias de credito]]&gt;=Tabla2[[#This Row],[PLAZO Días]],"venc", "No venc")</f>
        <v>venc</v>
      </c>
      <c r="V605" t="str">
        <f>+IF(Tabla2[[#This Row],[FECHA DE PAGO]]&gt;0,"pagada","por pagar")</f>
        <v>pagada</v>
      </c>
      <c r="W605" s="141" t="str">
        <f>+IF(AND(Tabla2[[#This Row],[venc]]="venc",Tabla2[[#This Row],[Columna1]]="por pagar"),"vencida","no")</f>
        <v>no</v>
      </c>
    </row>
    <row r="606" spans="1:23" ht="15.6" hidden="1" x14ac:dyDescent="0.3">
      <c r="A606" s="20">
        <v>30</v>
      </c>
      <c r="B606" s="25">
        <v>0</v>
      </c>
      <c r="C606" s="25"/>
      <c r="D606" s="56" t="s">
        <v>659</v>
      </c>
      <c r="E606" s="426">
        <v>45133</v>
      </c>
      <c r="F606" s="26" t="s">
        <v>227</v>
      </c>
      <c r="G606" s="426">
        <v>45099</v>
      </c>
      <c r="H606" s="35" t="s">
        <v>1737</v>
      </c>
      <c r="I606" s="21">
        <v>0</v>
      </c>
      <c r="J606" s="21"/>
      <c r="K606" s="22">
        <v>0</v>
      </c>
      <c r="L606" s="23"/>
      <c r="M606" s="22">
        <v>0</v>
      </c>
      <c r="N606" s="74">
        <v>0</v>
      </c>
      <c r="O606" s="22">
        <v>0</v>
      </c>
      <c r="P606" s="21">
        <v>0</v>
      </c>
      <c r="S606" s="108" t="b">
        <f>OR(COUNTIF(Tabla2[[#This Row],[PROVEEDOR]],"*"&amp;'Palabra no opera'!$A$2&amp;"*"))</f>
        <v>0</v>
      </c>
      <c r="T606" s="139">
        <f>+$W$5-Tabla2[[#This Row],[FECHA DE FACTURACIÓN]]</f>
        <v>192</v>
      </c>
      <c r="U606" t="str">
        <f>+IF(Tabla2[[#This Row],[dias de credito]]&gt;=Tabla2[[#This Row],[PLAZO Días]],"venc", "No venc")</f>
        <v>venc</v>
      </c>
      <c r="V606" t="str">
        <f>+IF(Tabla2[[#This Row],[FECHA DE PAGO]]&gt;0,"pagada","por pagar")</f>
        <v>pagada</v>
      </c>
      <c r="W606" s="141" t="str">
        <f>+IF(AND(Tabla2[[#This Row],[venc]]="venc",Tabla2[[#This Row],[Columna1]]="por pagar"),"vencida","no")</f>
        <v>no</v>
      </c>
    </row>
    <row r="607" spans="1:23" ht="15.6" hidden="1" x14ac:dyDescent="0.3">
      <c r="A607" s="20">
        <v>30</v>
      </c>
      <c r="B607" s="25">
        <v>0</v>
      </c>
      <c r="C607" s="25"/>
      <c r="D607" s="56" t="s">
        <v>659</v>
      </c>
      <c r="E607" s="426">
        <v>45133</v>
      </c>
      <c r="F607" s="26" t="s">
        <v>227</v>
      </c>
      <c r="G607" s="426">
        <v>45099</v>
      </c>
      <c r="H607" s="35" t="s">
        <v>1739</v>
      </c>
      <c r="I607" s="21">
        <v>142484</v>
      </c>
      <c r="J607" s="21"/>
      <c r="K607" s="22">
        <v>0</v>
      </c>
      <c r="L607" s="23"/>
      <c r="M607" s="22">
        <v>0</v>
      </c>
      <c r="N607" s="74">
        <v>0</v>
      </c>
      <c r="O607" s="22">
        <v>0</v>
      </c>
      <c r="P607" s="21">
        <v>142484</v>
      </c>
      <c r="S607" s="108" t="b">
        <f>OR(COUNTIF(Tabla2[[#This Row],[PROVEEDOR]],"*"&amp;'Palabra no opera'!$A$2&amp;"*"))</f>
        <v>0</v>
      </c>
      <c r="T607" s="139">
        <f>+$W$5-Tabla2[[#This Row],[FECHA DE FACTURACIÓN]]</f>
        <v>192</v>
      </c>
      <c r="U607" t="str">
        <f>+IF(Tabla2[[#This Row],[dias de credito]]&gt;=Tabla2[[#This Row],[PLAZO Días]],"venc", "No venc")</f>
        <v>venc</v>
      </c>
      <c r="V607" t="str">
        <f>+IF(Tabla2[[#This Row],[FECHA DE PAGO]]&gt;0,"pagada","por pagar")</f>
        <v>pagada</v>
      </c>
      <c r="W607" s="141" t="str">
        <f>+IF(AND(Tabla2[[#This Row],[venc]]="venc",Tabla2[[#This Row],[Columna1]]="por pagar"),"vencida","no")</f>
        <v>no</v>
      </c>
    </row>
    <row r="608" spans="1:23" ht="15.6" hidden="1" x14ac:dyDescent="0.3">
      <c r="A608" s="20">
        <v>30</v>
      </c>
      <c r="B608" s="25">
        <v>0</v>
      </c>
      <c r="C608" s="25"/>
      <c r="D608" s="56" t="s">
        <v>659</v>
      </c>
      <c r="E608" s="426">
        <v>45133</v>
      </c>
      <c r="F608" s="26" t="s">
        <v>227</v>
      </c>
      <c r="G608" s="426">
        <v>45061</v>
      </c>
      <c r="H608" s="35" t="s">
        <v>1688</v>
      </c>
      <c r="I608" s="21">
        <v>0</v>
      </c>
      <c r="J608" s="21"/>
      <c r="K608" s="22">
        <v>0</v>
      </c>
      <c r="L608" s="23"/>
      <c r="M608" s="22">
        <v>0</v>
      </c>
      <c r="N608" s="74">
        <v>0</v>
      </c>
      <c r="O608" s="22">
        <v>0</v>
      </c>
      <c r="P608" s="21">
        <v>0</v>
      </c>
      <c r="S608" s="108" t="b">
        <f>OR(COUNTIF(Tabla2[[#This Row],[PROVEEDOR]],"*"&amp;'Palabra no opera'!$A$2&amp;"*"))</f>
        <v>0</v>
      </c>
      <c r="T608" s="139">
        <f>+$W$5-Tabla2[[#This Row],[FECHA DE FACTURACIÓN]]</f>
        <v>230</v>
      </c>
      <c r="U608" t="str">
        <f>+IF(Tabla2[[#This Row],[dias de credito]]&gt;=Tabla2[[#This Row],[PLAZO Días]],"venc", "No venc")</f>
        <v>venc</v>
      </c>
      <c r="V608" t="str">
        <f>+IF(Tabla2[[#This Row],[FECHA DE PAGO]]&gt;0,"pagada","por pagar")</f>
        <v>pagada</v>
      </c>
      <c r="W608" s="141" t="str">
        <f>+IF(AND(Tabla2[[#This Row],[venc]]="venc",Tabla2[[#This Row],[Columna1]]="por pagar"),"vencida","no")</f>
        <v>no</v>
      </c>
    </row>
    <row r="609" spans="1:23" ht="15.6" hidden="1" x14ac:dyDescent="0.3">
      <c r="A609" s="20">
        <v>30</v>
      </c>
      <c r="B609" s="25">
        <v>0</v>
      </c>
      <c r="C609" s="25"/>
      <c r="D609" s="56" t="s">
        <v>659</v>
      </c>
      <c r="E609" s="426">
        <v>45133</v>
      </c>
      <c r="F609" s="26" t="s">
        <v>227</v>
      </c>
      <c r="G609" s="426">
        <v>45061</v>
      </c>
      <c r="H609" s="35" t="s">
        <v>1689</v>
      </c>
      <c r="I609" s="21">
        <v>0</v>
      </c>
      <c r="J609" s="21"/>
      <c r="K609" s="22">
        <v>0</v>
      </c>
      <c r="L609" s="23"/>
      <c r="M609" s="22">
        <v>0</v>
      </c>
      <c r="N609" s="74">
        <v>0</v>
      </c>
      <c r="O609" s="22">
        <v>0</v>
      </c>
      <c r="P609" s="21">
        <v>0</v>
      </c>
      <c r="S609" s="108" t="b">
        <f>OR(COUNTIF(Tabla2[[#This Row],[PROVEEDOR]],"*"&amp;'Palabra no opera'!$A$2&amp;"*"))</f>
        <v>0</v>
      </c>
      <c r="T609" s="139">
        <f>+$W$5-Tabla2[[#This Row],[FECHA DE FACTURACIÓN]]</f>
        <v>230</v>
      </c>
      <c r="U609" t="str">
        <f>+IF(Tabla2[[#This Row],[dias de credito]]&gt;=Tabla2[[#This Row],[PLAZO Días]],"venc", "No venc")</f>
        <v>venc</v>
      </c>
      <c r="V609" t="str">
        <f>+IF(Tabla2[[#This Row],[FECHA DE PAGO]]&gt;0,"pagada","por pagar")</f>
        <v>pagada</v>
      </c>
      <c r="W609" s="141" t="str">
        <f>+IF(AND(Tabla2[[#This Row],[venc]]="venc",Tabla2[[#This Row],[Columna1]]="por pagar"),"vencida","no")</f>
        <v>no</v>
      </c>
    </row>
    <row r="610" spans="1:23" ht="15.6" hidden="1" x14ac:dyDescent="0.3">
      <c r="A610" s="20">
        <v>30</v>
      </c>
      <c r="B610" s="25">
        <v>0</v>
      </c>
      <c r="C610" s="25"/>
      <c r="D610" s="56" t="s">
        <v>659</v>
      </c>
      <c r="E610" s="426">
        <v>45133</v>
      </c>
      <c r="F610" s="26" t="s">
        <v>227</v>
      </c>
      <c r="G610" s="426">
        <v>45061</v>
      </c>
      <c r="H610" s="35" t="s">
        <v>1690</v>
      </c>
      <c r="I610" s="21">
        <v>-188821</v>
      </c>
      <c r="J610" s="21"/>
      <c r="K610" s="22">
        <v>0</v>
      </c>
      <c r="L610" s="23"/>
      <c r="M610" s="22">
        <v>0</v>
      </c>
      <c r="N610" s="74">
        <v>0</v>
      </c>
      <c r="O610" s="22">
        <v>0</v>
      </c>
      <c r="P610" s="21">
        <v>-188821</v>
      </c>
      <c r="S610" s="108" t="b">
        <f>OR(COUNTIF(Tabla2[[#This Row],[PROVEEDOR]],"*"&amp;'Palabra no opera'!$A$2&amp;"*"))</f>
        <v>0</v>
      </c>
      <c r="T610" s="139">
        <f>+$W$5-Tabla2[[#This Row],[FECHA DE FACTURACIÓN]]</f>
        <v>230</v>
      </c>
      <c r="U610" t="str">
        <f>+IF(Tabla2[[#This Row],[dias de credito]]&gt;=Tabla2[[#This Row],[PLAZO Días]],"venc", "No venc")</f>
        <v>venc</v>
      </c>
      <c r="V610" t="str">
        <f>+IF(Tabla2[[#This Row],[FECHA DE PAGO]]&gt;0,"pagada","por pagar")</f>
        <v>pagada</v>
      </c>
      <c r="W610" s="141" t="str">
        <f>+IF(AND(Tabla2[[#This Row],[venc]]="venc",Tabla2[[#This Row],[Columna1]]="por pagar"),"vencida","no")</f>
        <v>no</v>
      </c>
    </row>
    <row r="611" spans="1:23" ht="15.6" hidden="1" x14ac:dyDescent="0.3">
      <c r="A611" s="20">
        <v>30</v>
      </c>
      <c r="B611" s="25">
        <v>0</v>
      </c>
      <c r="C611" s="25"/>
      <c r="D611" s="56" t="s">
        <v>659</v>
      </c>
      <c r="E611" s="426">
        <v>45133</v>
      </c>
      <c r="F611" s="26" t="s">
        <v>227</v>
      </c>
      <c r="G611" s="426">
        <v>45056</v>
      </c>
      <c r="H611" s="35" t="s">
        <v>1673</v>
      </c>
      <c r="I611" s="21">
        <v>0</v>
      </c>
      <c r="J611" s="21"/>
      <c r="K611" s="22">
        <v>0</v>
      </c>
      <c r="L611" s="23"/>
      <c r="M611" s="22">
        <v>0</v>
      </c>
      <c r="N611" s="74">
        <v>0</v>
      </c>
      <c r="O611" s="22">
        <v>0</v>
      </c>
      <c r="P611" s="21">
        <v>0</v>
      </c>
      <c r="S611" s="108" t="b">
        <f>OR(COUNTIF(Tabla2[[#This Row],[PROVEEDOR]],"*"&amp;'Palabra no opera'!$A$2&amp;"*"))</f>
        <v>0</v>
      </c>
      <c r="T611" s="139">
        <f>+$W$5-Tabla2[[#This Row],[FECHA DE FACTURACIÓN]]</f>
        <v>235</v>
      </c>
      <c r="U611" t="str">
        <f>+IF(Tabla2[[#This Row],[dias de credito]]&gt;=Tabla2[[#This Row],[PLAZO Días]],"venc", "No venc")</f>
        <v>venc</v>
      </c>
      <c r="V611" t="str">
        <f>+IF(Tabla2[[#This Row],[FECHA DE PAGO]]&gt;0,"pagada","por pagar")</f>
        <v>pagada</v>
      </c>
      <c r="W611" s="141" t="str">
        <f>+IF(AND(Tabla2[[#This Row],[venc]]="venc",Tabla2[[#This Row],[Columna1]]="por pagar"),"vencida","no")</f>
        <v>no</v>
      </c>
    </row>
    <row r="612" spans="1:23" ht="15.6" hidden="1" x14ac:dyDescent="0.3">
      <c r="A612" s="20">
        <v>30</v>
      </c>
      <c r="B612" s="25">
        <v>0</v>
      </c>
      <c r="C612" s="25"/>
      <c r="D612" s="56" t="s">
        <v>659</v>
      </c>
      <c r="E612" s="426">
        <v>45133</v>
      </c>
      <c r="F612" s="26" t="s">
        <v>227</v>
      </c>
      <c r="G612" s="426">
        <v>45056</v>
      </c>
      <c r="H612" s="35" t="s">
        <v>1674</v>
      </c>
      <c r="I612" s="21">
        <v>216983</v>
      </c>
      <c r="J612" s="21"/>
      <c r="K612" s="22">
        <v>0</v>
      </c>
      <c r="L612" s="23"/>
      <c r="M612" s="22">
        <v>0</v>
      </c>
      <c r="N612" s="74">
        <v>0</v>
      </c>
      <c r="O612" s="22">
        <v>0</v>
      </c>
      <c r="P612" s="21">
        <v>216983</v>
      </c>
      <c r="S612" s="108" t="b">
        <f>OR(COUNTIF(Tabla2[[#This Row],[PROVEEDOR]],"*"&amp;'Palabra no opera'!$A$2&amp;"*"))</f>
        <v>0</v>
      </c>
      <c r="T612" s="139">
        <f>+$W$5-Tabla2[[#This Row],[FECHA DE FACTURACIÓN]]</f>
        <v>235</v>
      </c>
      <c r="U612" t="str">
        <f>+IF(Tabla2[[#This Row],[dias de credito]]&gt;=Tabla2[[#This Row],[PLAZO Días]],"venc", "No venc")</f>
        <v>venc</v>
      </c>
      <c r="V612" t="str">
        <f>+IF(Tabla2[[#This Row],[FECHA DE PAGO]]&gt;0,"pagada","por pagar")</f>
        <v>pagada</v>
      </c>
      <c r="W612" s="141" t="str">
        <f>+IF(AND(Tabla2[[#This Row],[venc]]="venc",Tabla2[[#This Row],[Columna1]]="por pagar"),"vencida","no")</f>
        <v>no</v>
      </c>
    </row>
    <row r="613" spans="1:23" ht="15.6" hidden="1" x14ac:dyDescent="0.3">
      <c r="A613" s="20">
        <v>30</v>
      </c>
      <c r="B613" s="25">
        <v>22881826.27</v>
      </c>
      <c r="C613" s="25"/>
      <c r="D613" s="56" t="s">
        <v>197</v>
      </c>
      <c r="E613" s="426">
        <v>45133</v>
      </c>
      <c r="F613" s="26" t="s">
        <v>9</v>
      </c>
      <c r="G613" s="426">
        <v>45054</v>
      </c>
      <c r="H613" s="35" t="s">
        <v>1699</v>
      </c>
      <c r="I613" s="21">
        <v>-446120</v>
      </c>
      <c r="J613" s="21"/>
      <c r="K613" s="22">
        <v>-84762.8</v>
      </c>
      <c r="L613" s="23"/>
      <c r="M613" s="22">
        <v>0</v>
      </c>
      <c r="N613" s="74">
        <v>2.5000000000000001E-2</v>
      </c>
      <c r="O613" s="22">
        <v>-11153</v>
      </c>
      <c r="P613" s="21">
        <v>-519729.80000000005</v>
      </c>
      <c r="S613" s="108" t="b">
        <f>OR(COUNTIF(Tabla2[[#This Row],[PROVEEDOR]],"*"&amp;'Palabra no opera'!$A$2&amp;"*"))</f>
        <v>0</v>
      </c>
      <c r="T613" s="139">
        <f>+$W$5-Tabla2[[#This Row],[FECHA DE FACTURACIÓN]]</f>
        <v>237</v>
      </c>
      <c r="U613" t="str">
        <f>+IF(Tabla2[[#This Row],[dias de credito]]&gt;=Tabla2[[#This Row],[PLAZO Días]],"venc", "No venc")</f>
        <v>venc</v>
      </c>
      <c r="V613" t="str">
        <f>+IF(Tabla2[[#This Row],[FECHA DE PAGO]]&gt;0,"pagada","por pagar")</f>
        <v>pagada</v>
      </c>
      <c r="W613" s="141" t="str">
        <f>+IF(AND(Tabla2[[#This Row],[venc]]="venc",Tabla2[[#This Row],[Columna1]]="por pagar"),"vencida","no")</f>
        <v>no</v>
      </c>
    </row>
    <row r="614" spans="1:23" ht="15.6" hidden="1" x14ac:dyDescent="0.3">
      <c r="A614" s="20">
        <v>30</v>
      </c>
      <c r="B614" s="25">
        <v>22881826.27</v>
      </c>
      <c r="C614" s="25"/>
      <c r="D614" s="56" t="s">
        <v>197</v>
      </c>
      <c r="E614" s="426">
        <v>45133</v>
      </c>
      <c r="F614" s="26" t="s">
        <v>9</v>
      </c>
      <c r="G614" s="426">
        <v>45034</v>
      </c>
      <c r="H614" s="35" t="s">
        <v>1642</v>
      </c>
      <c r="I614" s="21">
        <v>25848261</v>
      </c>
      <c r="J614" s="21"/>
      <c r="K614" s="22">
        <v>4911169.59</v>
      </c>
      <c r="L614" s="23"/>
      <c r="M614" s="22">
        <v>0</v>
      </c>
      <c r="N614" s="74">
        <v>2.5000000000000001E-2</v>
      </c>
      <c r="O614" s="22">
        <v>646206.52500000002</v>
      </c>
      <c r="P614" s="21">
        <v>30113224.065000001</v>
      </c>
      <c r="S614" s="108" t="b">
        <f>OR(COUNTIF(Tabla2[[#This Row],[PROVEEDOR]],"*"&amp;'Palabra no opera'!$A$2&amp;"*"))</f>
        <v>0</v>
      </c>
      <c r="T614" s="139">
        <f>+$W$5-Tabla2[[#This Row],[FECHA DE FACTURACIÓN]]</f>
        <v>257</v>
      </c>
      <c r="U614" t="str">
        <f>+IF(Tabla2[[#This Row],[dias de credito]]&gt;=Tabla2[[#This Row],[PLAZO Días]],"venc", "No venc")</f>
        <v>venc</v>
      </c>
      <c r="V614" t="str">
        <f>+IF(Tabla2[[#This Row],[FECHA DE PAGO]]&gt;0,"pagada","por pagar")</f>
        <v>pagada</v>
      </c>
      <c r="W614" s="141" t="str">
        <f>+IF(AND(Tabla2[[#This Row],[venc]]="venc",Tabla2[[#This Row],[Columna1]]="por pagar"),"vencida","no")</f>
        <v>no</v>
      </c>
    </row>
    <row r="615" spans="1:23" ht="15.6" hidden="1" x14ac:dyDescent="0.3">
      <c r="A615" s="20">
        <v>30</v>
      </c>
      <c r="B615" s="25">
        <v>0</v>
      </c>
      <c r="C615" s="25"/>
      <c r="D615" s="56" t="s">
        <v>107</v>
      </c>
      <c r="E615" s="426">
        <v>45132</v>
      </c>
      <c r="F615" s="26" t="s">
        <v>1401</v>
      </c>
      <c r="G615" s="426">
        <v>45131</v>
      </c>
      <c r="H615" s="35" t="s">
        <v>1829</v>
      </c>
      <c r="I615" s="21">
        <v>330000</v>
      </c>
      <c r="J615" s="21"/>
      <c r="K615" s="22">
        <v>0</v>
      </c>
      <c r="L615" s="23"/>
      <c r="M615" s="22">
        <v>0</v>
      </c>
      <c r="N615" s="74">
        <v>0</v>
      </c>
      <c r="O615" s="22">
        <v>0</v>
      </c>
      <c r="P615" s="21">
        <v>330000</v>
      </c>
      <c r="S615" s="108" t="b">
        <f>OR(COUNTIF(Tabla2[[#This Row],[PROVEEDOR]],"*"&amp;'Palabra no opera'!$A$2&amp;"*"))</f>
        <v>0</v>
      </c>
      <c r="T615" s="139">
        <f>+$W$5-Tabla2[[#This Row],[FECHA DE FACTURACIÓN]]</f>
        <v>160</v>
      </c>
      <c r="U615" t="str">
        <f>+IF(Tabla2[[#This Row],[dias de credito]]&gt;=Tabla2[[#This Row],[PLAZO Días]],"venc", "No venc")</f>
        <v>venc</v>
      </c>
      <c r="V615" t="str">
        <f>+IF(Tabla2[[#This Row],[FECHA DE PAGO]]&gt;0,"pagada","por pagar")</f>
        <v>pagada</v>
      </c>
      <c r="W615" s="141" t="str">
        <f>+IF(AND(Tabla2[[#This Row],[venc]]="venc",Tabla2[[#This Row],[Columna1]]="por pagar"),"vencida","no")</f>
        <v>no</v>
      </c>
    </row>
    <row r="616" spans="1:23" ht="15.6" hidden="1" x14ac:dyDescent="0.3">
      <c r="A616" s="20">
        <v>45</v>
      </c>
      <c r="B616" s="25">
        <v>8072960</v>
      </c>
      <c r="C616" s="25"/>
      <c r="D616" s="56" t="s">
        <v>198</v>
      </c>
      <c r="E616" s="426">
        <v>45132</v>
      </c>
      <c r="F616" s="26" t="s">
        <v>10</v>
      </c>
      <c r="G616" s="426">
        <v>45085</v>
      </c>
      <c r="H616" s="35" t="s">
        <v>1729</v>
      </c>
      <c r="I616" s="21">
        <v>1265000</v>
      </c>
      <c r="J616" s="21"/>
      <c r="K616" s="22">
        <v>240350</v>
      </c>
      <c r="L616" s="23"/>
      <c r="M616" s="22">
        <v>0</v>
      </c>
      <c r="N616" s="74">
        <v>0</v>
      </c>
      <c r="O616" s="22">
        <v>0</v>
      </c>
      <c r="P616" s="21">
        <v>1505350</v>
      </c>
      <c r="S616" s="108" t="b">
        <f>OR(COUNTIF(Tabla2[[#This Row],[PROVEEDOR]],"*"&amp;'Palabra no opera'!$A$2&amp;"*"))</f>
        <v>0</v>
      </c>
      <c r="T616" s="139">
        <f>+$W$5-Tabla2[[#This Row],[FECHA DE FACTURACIÓN]]</f>
        <v>206</v>
      </c>
      <c r="U616" t="str">
        <f>+IF(Tabla2[[#This Row],[dias de credito]]&gt;=Tabla2[[#This Row],[PLAZO Días]],"venc", "No venc")</f>
        <v>venc</v>
      </c>
      <c r="V616" t="str">
        <f>+IF(Tabla2[[#This Row],[FECHA DE PAGO]]&gt;0,"pagada","por pagar")</f>
        <v>pagada</v>
      </c>
      <c r="W616" s="141" t="str">
        <f>+IF(AND(Tabla2[[#This Row],[venc]]="venc",Tabla2[[#This Row],[Columna1]]="por pagar"),"vencida","no")</f>
        <v>no</v>
      </c>
    </row>
    <row r="617" spans="1:23" ht="15.6" hidden="1" x14ac:dyDescent="0.3">
      <c r="A617" s="20">
        <v>30</v>
      </c>
      <c r="B617" s="25">
        <v>0</v>
      </c>
      <c r="C617" s="25"/>
      <c r="D617" s="56" t="s">
        <v>107</v>
      </c>
      <c r="E617" s="426">
        <v>45131</v>
      </c>
      <c r="F617" s="26" t="s">
        <v>1401</v>
      </c>
      <c r="G617" s="426">
        <v>45131</v>
      </c>
      <c r="H617" s="35" t="s">
        <v>1828</v>
      </c>
      <c r="I617" s="21">
        <v>280000</v>
      </c>
      <c r="J617" s="21"/>
      <c r="K617" s="22">
        <v>0</v>
      </c>
      <c r="L617" s="23"/>
      <c r="M617" s="22">
        <v>0</v>
      </c>
      <c r="N617" s="74">
        <v>0</v>
      </c>
      <c r="O617" s="22">
        <v>0</v>
      </c>
      <c r="P617" s="21">
        <v>280000</v>
      </c>
      <c r="S617" s="108" t="b">
        <f>OR(COUNTIF(Tabla2[[#This Row],[PROVEEDOR]],"*"&amp;'Palabra no opera'!$A$2&amp;"*"))</f>
        <v>0</v>
      </c>
      <c r="T617" s="139">
        <f>+$W$5-Tabla2[[#This Row],[FECHA DE FACTURACIÓN]]</f>
        <v>160</v>
      </c>
      <c r="U617" t="str">
        <f>+IF(Tabla2[[#This Row],[dias de credito]]&gt;=Tabla2[[#This Row],[PLAZO Días]],"venc", "No venc")</f>
        <v>venc</v>
      </c>
      <c r="V617" t="str">
        <f>+IF(Tabla2[[#This Row],[FECHA DE PAGO]]&gt;0,"pagada","por pagar")</f>
        <v>pagada</v>
      </c>
      <c r="W617" s="141" t="str">
        <f>+IF(AND(Tabla2[[#This Row],[venc]]="venc",Tabla2[[#This Row],[Columna1]]="por pagar"),"vencida","no")</f>
        <v>no</v>
      </c>
    </row>
    <row r="618" spans="1:23" ht="15.6" hidden="1" x14ac:dyDescent="0.3">
      <c r="A618" s="20">
        <v>30</v>
      </c>
      <c r="B618" s="25">
        <v>0</v>
      </c>
      <c r="C618" s="25"/>
      <c r="D618" s="56" t="s">
        <v>260</v>
      </c>
      <c r="E618" s="426">
        <v>45131</v>
      </c>
      <c r="F618" s="26" t="s">
        <v>635</v>
      </c>
      <c r="G618" s="426">
        <v>45117</v>
      </c>
      <c r="H618" s="35" t="s">
        <v>1807</v>
      </c>
      <c r="I618" s="21">
        <v>3456200</v>
      </c>
      <c r="J618" s="21"/>
      <c r="K618" s="22">
        <v>0</v>
      </c>
      <c r="L618" s="23"/>
      <c r="M618" s="22">
        <v>0</v>
      </c>
      <c r="N618" s="74">
        <v>3.5000000000000003E-2</v>
      </c>
      <c r="O618" s="22">
        <v>120967.00000000001</v>
      </c>
      <c r="P618" s="21">
        <v>3335233</v>
      </c>
      <c r="S618" s="108" t="b">
        <f>OR(COUNTIF(Tabla2[[#This Row],[PROVEEDOR]],"*"&amp;'Palabra no opera'!$A$2&amp;"*"))</f>
        <v>1</v>
      </c>
      <c r="T618" s="139">
        <f>+$W$5-Tabla2[[#This Row],[FECHA DE FACTURACIÓN]]</f>
        <v>174</v>
      </c>
      <c r="U618" t="str">
        <f>+IF(Tabla2[[#This Row],[dias de credito]]&gt;=Tabla2[[#This Row],[PLAZO Días]],"venc", "No venc")</f>
        <v>venc</v>
      </c>
      <c r="V618" t="str">
        <f>+IF(Tabla2[[#This Row],[FECHA DE PAGO]]&gt;0,"pagada","por pagar")</f>
        <v>pagada</v>
      </c>
      <c r="W618" s="141" t="str">
        <f>+IF(AND(Tabla2[[#This Row],[venc]]="venc",Tabla2[[#This Row],[Columna1]]="por pagar"),"vencida","no")</f>
        <v>no</v>
      </c>
    </row>
    <row r="619" spans="1:23" ht="15.6" hidden="1" x14ac:dyDescent="0.3">
      <c r="A619" s="20">
        <v>30</v>
      </c>
      <c r="B619" s="25">
        <v>0</v>
      </c>
      <c r="C619" s="25"/>
      <c r="D619" s="56" t="s">
        <v>740</v>
      </c>
      <c r="E619" s="426">
        <v>45131</v>
      </c>
      <c r="F619" s="26" t="s">
        <v>637</v>
      </c>
      <c r="G619" s="426">
        <v>45108</v>
      </c>
      <c r="H619" s="35" t="s">
        <v>1805</v>
      </c>
      <c r="I619" s="21">
        <v>914023</v>
      </c>
      <c r="J619" s="21"/>
      <c r="K619" s="22">
        <v>0</v>
      </c>
      <c r="L619" s="23"/>
      <c r="M619" s="22">
        <v>0</v>
      </c>
      <c r="N619" s="74">
        <v>0</v>
      </c>
      <c r="O619" s="22">
        <v>0</v>
      </c>
      <c r="P619" s="21">
        <v>914023</v>
      </c>
      <c r="S619" s="108" t="b">
        <f>OR(COUNTIF(Tabla2[[#This Row],[PROVEEDOR]],"*"&amp;'Palabra no opera'!$A$2&amp;"*"))</f>
        <v>1</v>
      </c>
      <c r="T619" s="139">
        <f>+$W$5-Tabla2[[#This Row],[FECHA DE FACTURACIÓN]]</f>
        <v>183</v>
      </c>
      <c r="U619" t="str">
        <f>+IF(Tabla2[[#This Row],[dias de credito]]&gt;=Tabla2[[#This Row],[PLAZO Días]],"venc", "No venc")</f>
        <v>venc</v>
      </c>
      <c r="V619" t="str">
        <f>+IF(Tabla2[[#This Row],[FECHA DE PAGO]]&gt;0,"pagada","por pagar")</f>
        <v>pagada</v>
      </c>
      <c r="W619" s="141" t="str">
        <f>+IF(AND(Tabla2[[#This Row],[venc]]="venc",Tabla2[[#This Row],[Columna1]]="por pagar"),"vencida","no")</f>
        <v>no</v>
      </c>
    </row>
    <row r="620" spans="1:23" ht="15.6" hidden="1" x14ac:dyDescent="0.3">
      <c r="A620" s="20">
        <v>30</v>
      </c>
      <c r="B620" s="25">
        <v>0</v>
      </c>
      <c r="C620" s="25"/>
      <c r="D620" s="56" t="s">
        <v>740</v>
      </c>
      <c r="E620" s="426">
        <v>45131</v>
      </c>
      <c r="F620" s="26" t="s">
        <v>637</v>
      </c>
      <c r="G620" s="426">
        <v>45108</v>
      </c>
      <c r="H620" s="35" t="s">
        <v>1806</v>
      </c>
      <c r="I620" s="21">
        <v>934363</v>
      </c>
      <c r="J620" s="21"/>
      <c r="K620" s="22">
        <v>0</v>
      </c>
      <c r="L620" s="23"/>
      <c r="M620" s="22">
        <v>0</v>
      </c>
      <c r="N620" s="74">
        <v>0</v>
      </c>
      <c r="O620" s="22">
        <v>0</v>
      </c>
      <c r="P620" s="21">
        <v>934363</v>
      </c>
      <c r="S620" s="108" t="b">
        <f>OR(COUNTIF(Tabla2[[#This Row],[PROVEEDOR]],"*"&amp;'Palabra no opera'!$A$2&amp;"*"))</f>
        <v>1</v>
      </c>
      <c r="T620" s="139">
        <f>+$W$5-Tabla2[[#This Row],[FECHA DE FACTURACIÓN]]</f>
        <v>183</v>
      </c>
      <c r="U620" t="str">
        <f>+IF(Tabla2[[#This Row],[dias de credito]]&gt;=Tabla2[[#This Row],[PLAZO Días]],"venc", "No venc")</f>
        <v>venc</v>
      </c>
      <c r="V620" t="str">
        <f>+IF(Tabla2[[#This Row],[FECHA DE PAGO]]&gt;0,"pagada","por pagar")</f>
        <v>pagada</v>
      </c>
      <c r="W620" s="141" t="str">
        <f>+IF(AND(Tabla2[[#This Row],[venc]]="venc",Tabla2[[#This Row],[Columna1]]="por pagar"),"vencida","no")</f>
        <v>no</v>
      </c>
    </row>
    <row r="621" spans="1:23" ht="15.6" hidden="1" x14ac:dyDescent="0.3">
      <c r="A621" s="20">
        <v>30</v>
      </c>
      <c r="B621" s="25">
        <v>0</v>
      </c>
      <c r="C621" s="25"/>
      <c r="D621" s="56" t="s">
        <v>107</v>
      </c>
      <c r="E621" s="426">
        <v>45129</v>
      </c>
      <c r="F621" s="26" t="s">
        <v>1194</v>
      </c>
      <c r="G621" s="426">
        <v>45128</v>
      </c>
      <c r="H621" s="35" t="s">
        <v>1836</v>
      </c>
      <c r="I621" s="21">
        <v>1600000</v>
      </c>
      <c r="J621" s="21"/>
      <c r="K621" s="22">
        <v>0</v>
      </c>
      <c r="L621" s="23"/>
      <c r="M621" s="22">
        <v>0</v>
      </c>
      <c r="N621" s="74">
        <v>0</v>
      </c>
      <c r="O621" s="22">
        <v>0</v>
      </c>
      <c r="P621" s="21">
        <v>1600000</v>
      </c>
      <c r="S621" s="108" t="b">
        <f>OR(COUNTIF(Tabla2[[#This Row],[PROVEEDOR]],"*"&amp;'Palabra no opera'!$A$2&amp;"*"))</f>
        <v>0</v>
      </c>
      <c r="T621" s="139">
        <f>+$W$5-Tabla2[[#This Row],[FECHA DE FACTURACIÓN]]</f>
        <v>163</v>
      </c>
      <c r="U621" t="str">
        <f>+IF(Tabla2[[#This Row],[dias de credito]]&gt;=Tabla2[[#This Row],[PLAZO Días]],"venc", "No venc")</f>
        <v>venc</v>
      </c>
      <c r="V621" t="str">
        <f>+IF(Tabla2[[#This Row],[FECHA DE PAGO]]&gt;0,"pagada","por pagar")</f>
        <v>pagada</v>
      </c>
      <c r="W621" s="141" t="str">
        <f>+IF(AND(Tabla2[[#This Row],[venc]]="venc",Tabla2[[#This Row],[Columna1]]="por pagar"),"vencida","no")</f>
        <v>no</v>
      </c>
    </row>
    <row r="622" spans="1:23" ht="15.6" hidden="1" x14ac:dyDescent="0.3">
      <c r="A622" s="20">
        <v>30</v>
      </c>
      <c r="B622" s="25">
        <v>0</v>
      </c>
      <c r="C622" s="25"/>
      <c r="D622" s="56" t="s">
        <v>107</v>
      </c>
      <c r="E622" s="426">
        <v>45128</v>
      </c>
      <c r="F622" s="26" t="s">
        <v>401</v>
      </c>
      <c r="G622" s="426">
        <v>45128</v>
      </c>
      <c r="H622" s="35" t="s">
        <v>1845</v>
      </c>
      <c r="I622" s="21">
        <v>263800</v>
      </c>
      <c r="J622" s="21"/>
      <c r="K622" s="22">
        <v>0</v>
      </c>
      <c r="L622" s="23"/>
      <c r="M622" s="22">
        <v>0</v>
      </c>
      <c r="N622" s="74">
        <v>0</v>
      </c>
      <c r="O622" s="22">
        <v>0</v>
      </c>
      <c r="P622" s="21">
        <v>263800</v>
      </c>
      <c r="S622" s="108" t="b">
        <f>OR(COUNTIF(Tabla2[[#This Row],[PROVEEDOR]],"*"&amp;'Palabra no opera'!$A$2&amp;"*"))</f>
        <v>0</v>
      </c>
      <c r="T622" s="139">
        <f>+$W$5-Tabla2[[#This Row],[FECHA DE FACTURACIÓN]]</f>
        <v>163</v>
      </c>
      <c r="U622" t="str">
        <f>+IF(Tabla2[[#This Row],[dias de credito]]&gt;=Tabla2[[#This Row],[PLAZO Días]],"venc", "No venc")</f>
        <v>venc</v>
      </c>
      <c r="V622" t="str">
        <f>+IF(Tabla2[[#This Row],[FECHA DE PAGO]]&gt;0,"pagada","por pagar")</f>
        <v>pagada</v>
      </c>
      <c r="W622" s="141" t="str">
        <f>+IF(AND(Tabla2[[#This Row],[venc]]="venc",Tabla2[[#This Row],[Columna1]]="por pagar"),"vencida","no")</f>
        <v>no</v>
      </c>
    </row>
    <row r="623" spans="1:23" ht="15.6" hidden="1" x14ac:dyDescent="0.3">
      <c r="A623" s="20">
        <v>30</v>
      </c>
      <c r="B623" s="25">
        <v>0</v>
      </c>
      <c r="C623" s="25"/>
      <c r="D623" s="56">
        <v>0</v>
      </c>
      <c r="E623" s="426">
        <v>45128</v>
      </c>
      <c r="F623" s="26" t="s">
        <v>262</v>
      </c>
      <c r="G623" s="426">
        <v>45126</v>
      </c>
      <c r="H623" s="35" t="s">
        <v>1797</v>
      </c>
      <c r="I623" s="21">
        <v>2030000</v>
      </c>
      <c r="J623" s="21"/>
      <c r="K623" s="22">
        <v>385700</v>
      </c>
      <c r="L623" s="23"/>
      <c r="M623" s="22">
        <v>0</v>
      </c>
      <c r="N623" s="74">
        <v>2.5000000000000001E-2</v>
      </c>
      <c r="O623" s="22">
        <v>50750</v>
      </c>
      <c r="P623" s="21">
        <v>2364950</v>
      </c>
      <c r="S623" s="108" t="b">
        <f>OR(COUNTIF(Tabla2[[#This Row],[PROVEEDOR]],"*"&amp;'Palabra no opera'!$A$2&amp;"*"))</f>
        <v>0</v>
      </c>
      <c r="T623" s="139">
        <f>+$W$5-Tabla2[[#This Row],[FECHA DE FACTURACIÓN]]</f>
        <v>165</v>
      </c>
      <c r="U623" t="str">
        <f>+IF(Tabla2[[#This Row],[dias de credito]]&gt;=Tabla2[[#This Row],[PLAZO Días]],"venc", "No venc")</f>
        <v>venc</v>
      </c>
      <c r="V623" t="str">
        <f>+IF(Tabla2[[#This Row],[FECHA DE PAGO]]&gt;0,"pagada","por pagar")</f>
        <v>pagada</v>
      </c>
      <c r="W623" s="141" t="str">
        <f>+IF(AND(Tabla2[[#This Row],[venc]]="venc",Tabla2[[#This Row],[Columna1]]="por pagar"),"vencida","no")</f>
        <v>no</v>
      </c>
    </row>
    <row r="624" spans="1:23" ht="15.6" hidden="1" x14ac:dyDescent="0.3">
      <c r="A624" s="20">
        <v>30</v>
      </c>
      <c r="B624" s="25">
        <v>10321993.199999999</v>
      </c>
      <c r="C624" s="25"/>
      <c r="D624" s="56" t="s">
        <v>189</v>
      </c>
      <c r="E624" s="426">
        <v>45128</v>
      </c>
      <c r="F624" s="26" t="s">
        <v>1068</v>
      </c>
      <c r="G624" s="426">
        <v>45100</v>
      </c>
      <c r="H624" s="35" t="s">
        <v>1781</v>
      </c>
      <c r="I624" s="21">
        <v>252000</v>
      </c>
      <c r="J624" s="21"/>
      <c r="K624" s="22">
        <v>47880</v>
      </c>
      <c r="L624" s="23"/>
      <c r="M624" s="22">
        <v>0</v>
      </c>
      <c r="N624" s="74">
        <v>0</v>
      </c>
      <c r="O624" s="22">
        <v>0</v>
      </c>
      <c r="P624" s="21">
        <v>299880</v>
      </c>
      <c r="S624" s="108" t="b">
        <f>OR(COUNTIF(Tabla2[[#This Row],[PROVEEDOR]],"*"&amp;'Palabra no opera'!$A$2&amp;"*"))</f>
        <v>0</v>
      </c>
      <c r="T624" s="139">
        <f>+$W$5-Tabla2[[#This Row],[FECHA DE FACTURACIÓN]]</f>
        <v>191</v>
      </c>
      <c r="U624" t="str">
        <f>+IF(Tabla2[[#This Row],[dias de credito]]&gt;=Tabla2[[#This Row],[PLAZO Días]],"venc", "No venc")</f>
        <v>venc</v>
      </c>
      <c r="V624" t="str">
        <f>+IF(Tabla2[[#This Row],[FECHA DE PAGO]]&gt;0,"pagada","por pagar")</f>
        <v>pagada</v>
      </c>
      <c r="W624" s="141" t="str">
        <f>+IF(AND(Tabla2[[#This Row],[venc]]="venc",Tabla2[[#This Row],[Columna1]]="por pagar"),"vencida","no")</f>
        <v>no</v>
      </c>
    </row>
    <row r="625" spans="1:23" ht="15.6" hidden="1" x14ac:dyDescent="0.3">
      <c r="A625" s="20">
        <v>30</v>
      </c>
      <c r="B625" s="25">
        <v>17870934.149999999</v>
      </c>
      <c r="C625" s="25"/>
      <c r="D625" s="56" t="s">
        <v>182</v>
      </c>
      <c r="E625" s="426">
        <v>45128</v>
      </c>
      <c r="F625" s="26" t="s">
        <v>18</v>
      </c>
      <c r="G625" s="426">
        <v>45093</v>
      </c>
      <c r="H625" s="35" t="s">
        <v>1755</v>
      </c>
      <c r="I625" s="21">
        <v>2002181</v>
      </c>
      <c r="J625" s="21"/>
      <c r="K625" s="22">
        <v>380414.39</v>
      </c>
      <c r="L625" s="23"/>
      <c r="M625" s="22">
        <v>0</v>
      </c>
      <c r="N625" s="74">
        <v>2.5000000000000001E-2</v>
      </c>
      <c r="O625" s="22">
        <v>50054.525000000001</v>
      </c>
      <c r="P625" s="21">
        <v>2332540.8650000002</v>
      </c>
      <c r="S625" s="108" t="b">
        <f>OR(COUNTIF(Tabla2[[#This Row],[PROVEEDOR]],"*"&amp;'Palabra no opera'!$A$2&amp;"*"))</f>
        <v>0</v>
      </c>
      <c r="T625" s="139">
        <f>+$W$5-Tabla2[[#This Row],[FECHA DE FACTURACIÓN]]</f>
        <v>198</v>
      </c>
      <c r="U625" t="str">
        <f>+IF(Tabla2[[#This Row],[dias de credito]]&gt;=Tabla2[[#This Row],[PLAZO Días]],"venc", "No venc")</f>
        <v>venc</v>
      </c>
      <c r="V625" t="str">
        <f>+IF(Tabla2[[#This Row],[FECHA DE PAGO]]&gt;0,"pagada","por pagar")</f>
        <v>pagada</v>
      </c>
      <c r="W625" s="141" t="str">
        <f>+IF(AND(Tabla2[[#This Row],[venc]]="venc",Tabla2[[#This Row],[Columna1]]="por pagar"),"vencida","no")</f>
        <v>no</v>
      </c>
    </row>
    <row r="626" spans="1:23" ht="15.6" hidden="1" x14ac:dyDescent="0.3">
      <c r="A626" s="20">
        <v>30</v>
      </c>
      <c r="B626" s="25">
        <v>10321993.199999999</v>
      </c>
      <c r="C626" s="25"/>
      <c r="D626" s="56" t="s">
        <v>189</v>
      </c>
      <c r="E626" s="426">
        <v>45128</v>
      </c>
      <c r="F626" s="26" t="s">
        <v>1068</v>
      </c>
      <c r="G626" s="426">
        <v>45093</v>
      </c>
      <c r="H626" s="35" t="s">
        <v>1752</v>
      </c>
      <c r="I626" s="21">
        <v>1260000</v>
      </c>
      <c r="J626" s="21"/>
      <c r="K626" s="22">
        <v>239400</v>
      </c>
      <c r="L626" s="23"/>
      <c r="M626" s="22">
        <v>0</v>
      </c>
      <c r="N626" s="74">
        <v>2.5000000000000001E-2</v>
      </c>
      <c r="O626" s="22">
        <v>31500</v>
      </c>
      <c r="P626" s="21">
        <v>1467900</v>
      </c>
      <c r="S626" s="108" t="b">
        <f>OR(COUNTIF(Tabla2[[#This Row],[PROVEEDOR]],"*"&amp;'Palabra no opera'!$A$2&amp;"*"))</f>
        <v>0</v>
      </c>
      <c r="T626" s="139">
        <f>+$W$5-Tabla2[[#This Row],[FECHA DE FACTURACIÓN]]</f>
        <v>198</v>
      </c>
      <c r="U626" t="str">
        <f>+IF(Tabla2[[#This Row],[dias de credito]]&gt;=Tabla2[[#This Row],[PLAZO Días]],"venc", "No venc")</f>
        <v>venc</v>
      </c>
      <c r="V626" t="str">
        <f>+IF(Tabla2[[#This Row],[FECHA DE PAGO]]&gt;0,"pagada","por pagar")</f>
        <v>pagada</v>
      </c>
      <c r="W626" s="141" t="str">
        <f>+IF(AND(Tabla2[[#This Row],[venc]]="venc",Tabla2[[#This Row],[Columna1]]="por pagar"),"vencida","no")</f>
        <v>no</v>
      </c>
    </row>
    <row r="627" spans="1:23" ht="15.6" hidden="1" x14ac:dyDescent="0.3">
      <c r="A627" s="20">
        <v>30</v>
      </c>
      <c r="B627" s="25">
        <v>10321993.199999999</v>
      </c>
      <c r="C627" s="25"/>
      <c r="D627" s="56" t="s">
        <v>189</v>
      </c>
      <c r="E627" s="426">
        <v>45128</v>
      </c>
      <c r="F627" s="26" t="s">
        <v>1068</v>
      </c>
      <c r="G627" s="426">
        <v>45093</v>
      </c>
      <c r="H627" s="35" t="s">
        <v>1753</v>
      </c>
      <c r="I627" s="21">
        <v>776000</v>
      </c>
      <c r="J627" s="21"/>
      <c r="K627" s="22">
        <v>147440</v>
      </c>
      <c r="L627" s="23"/>
      <c r="M627" s="22">
        <v>0</v>
      </c>
      <c r="N627" s="74">
        <v>0</v>
      </c>
      <c r="O627" s="22">
        <v>0</v>
      </c>
      <c r="P627" s="21">
        <v>923440</v>
      </c>
      <c r="S627" s="108" t="b">
        <f>OR(COUNTIF(Tabla2[[#This Row],[PROVEEDOR]],"*"&amp;'Palabra no opera'!$A$2&amp;"*"))</f>
        <v>0</v>
      </c>
      <c r="T627" s="139">
        <f>+$W$5-Tabla2[[#This Row],[FECHA DE FACTURACIÓN]]</f>
        <v>198</v>
      </c>
      <c r="U627" t="str">
        <f>+IF(Tabla2[[#This Row],[dias de credito]]&gt;=Tabla2[[#This Row],[PLAZO Días]],"venc", "No venc")</f>
        <v>venc</v>
      </c>
      <c r="V627" t="str">
        <f>+IF(Tabla2[[#This Row],[FECHA DE PAGO]]&gt;0,"pagada","por pagar")</f>
        <v>pagada</v>
      </c>
      <c r="W627" s="141" t="str">
        <f>+IF(AND(Tabla2[[#This Row],[venc]]="venc",Tabla2[[#This Row],[Columna1]]="por pagar"),"vencida","no")</f>
        <v>no</v>
      </c>
    </row>
    <row r="628" spans="1:23" ht="15.6" hidden="1" x14ac:dyDescent="0.3">
      <c r="A628" s="20">
        <v>30</v>
      </c>
      <c r="B628" s="25">
        <v>3669750</v>
      </c>
      <c r="C628" s="25"/>
      <c r="D628" s="56" t="s">
        <v>1082</v>
      </c>
      <c r="E628" s="426">
        <v>45128</v>
      </c>
      <c r="F628" s="26" t="s">
        <v>24</v>
      </c>
      <c r="G628" s="426">
        <v>45090</v>
      </c>
      <c r="H628" s="35" t="s">
        <v>1756</v>
      </c>
      <c r="I628" s="21">
        <v>4904750</v>
      </c>
      <c r="J628" s="21"/>
      <c r="K628" s="22">
        <v>931902.5</v>
      </c>
      <c r="L628" s="23"/>
      <c r="M628" s="22">
        <v>0</v>
      </c>
      <c r="N628" s="74">
        <v>2.5000000000000001E-2</v>
      </c>
      <c r="O628" s="22">
        <v>122618.75</v>
      </c>
      <c r="P628" s="21">
        <v>5714033.75</v>
      </c>
      <c r="S628" s="108" t="b">
        <f>OR(COUNTIF(Tabla2[[#This Row],[PROVEEDOR]],"*"&amp;'Palabra no opera'!$A$2&amp;"*"))</f>
        <v>0</v>
      </c>
      <c r="T628" s="139">
        <f>+$W$5-Tabla2[[#This Row],[FECHA DE FACTURACIÓN]]</f>
        <v>201</v>
      </c>
      <c r="U628" t="str">
        <f>+IF(Tabla2[[#This Row],[dias de credito]]&gt;=Tabla2[[#This Row],[PLAZO Días]],"venc", "No venc")</f>
        <v>venc</v>
      </c>
      <c r="V628" t="str">
        <f>+IF(Tabla2[[#This Row],[FECHA DE PAGO]]&gt;0,"pagada","por pagar")</f>
        <v>pagada</v>
      </c>
      <c r="W628" s="141" t="str">
        <f>+IF(AND(Tabla2[[#This Row],[venc]]="venc",Tabla2[[#This Row],[Columna1]]="por pagar"),"vencida","no")</f>
        <v>no</v>
      </c>
    </row>
    <row r="629" spans="1:23" ht="15.6" hidden="1" x14ac:dyDescent="0.3">
      <c r="A629" s="20">
        <v>30</v>
      </c>
      <c r="B629" s="25">
        <v>10321993.199999999</v>
      </c>
      <c r="C629" s="25"/>
      <c r="D629" s="56" t="s">
        <v>189</v>
      </c>
      <c r="E629" s="426">
        <v>45128</v>
      </c>
      <c r="F629" s="26" t="s">
        <v>1068</v>
      </c>
      <c r="G629" s="426">
        <v>45090</v>
      </c>
      <c r="H629" s="35" t="s">
        <v>1751</v>
      </c>
      <c r="I629" s="21">
        <v>2058355</v>
      </c>
      <c r="J629" s="21">
        <v>158335</v>
      </c>
      <c r="K629" s="22">
        <v>361003.8</v>
      </c>
      <c r="L629" s="23"/>
      <c r="M629" s="22">
        <v>0</v>
      </c>
      <c r="N629" s="74">
        <v>2.5000000000000001E-2</v>
      </c>
      <c r="O629" s="22">
        <v>47500.5</v>
      </c>
      <c r="P629" s="21">
        <v>2213523.2999999998</v>
      </c>
      <c r="S629" s="108" t="b">
        <f>OR(COUNTIF(Tabla2[[#This Row],[PROVEEDOR]],"*"&amp;'Palabra no opera'!$A$2&amp;"*"))</f>
        <v>0</v>
      </c>
      <c r="T629" s="139">
        <f>+$W$5-Tabla2[[#This Row],[FECHA DE FACTURACIÓN]]</f>
        <v>201</v>
      </c>
      <c r="U629" t="str">
        <f>+IF(Tabla2[[#This Row],[dias de credito]]&gt;=Tabla2[[#This Row],[PLAZO Días]],"venc", "No venc")</f>
        <v>venc</v>
      </c>
      <c r="V629" t="str">
        <f>+IF(Tabla2[[#This Row],[FECHA DE PAGO]]&gt;0,"pagada","por pagar")</f>
        <v>pagada</v>
      </c>
      <c r="W629" s="141" t="str">
        <f>+IF(AND(Tabla2[[#This Row],[venc]]="venc",Tabla2[[#This Row],[Columna1]]="por pagar"),"vencida","no")</f>
        <v>no</v>
      </c>
    </row>
    <row r="630" spans="1:23" ht="15.6" hidden="1" x14ac:dyDescent="0.3">
      <c r="A630" s="20">
        <v>30</v>
      </c>
      <c r="B630" s="25">
        <v>3669750</v>
      </c>
      <c r="C630" s="25"/>
      <c r="D630" s="56" t="s">
        <v>1082</v>
      </c>
      <c r="E630" s="426">
        <v>45128</v>
      </c>
      <c r="F630" s="26" t="s">
        <v>24</v>
      </c>
      <c r="G630" s="426">
        <v>45085</v>
      </c>
      <c r="H630" s="35" t="s">
        <v>1728</v>
      </c>
      <c r="I630" s="21">
        <v>2926800</v>
      </c>
      <c r="J630" s="21"/>
      <c r="K630" s="22">
        <v>556092</v>
      </c>
      <c r="L630" s="23"/>
      <c r="M630" s="22">
        <v>0</v>
      </c>
      <c r="N630" s="74">
        <v>2.5000000000000001E-2</v>
      </c>
      <c r="O630" s="22">
        <v>73170</v>
      </c>
      <c r="P630" s="21">
        <v>3409722</v>
      </c>
      <c r="S630" s="108" t="b">
        <f>OR(COUNTIF(Tabla2[[#This Row],[PROVEEDOR]],"*"&amp;'Palabra no opera'!$A$2&amp;"*"))</f>
        <v>0</v>
      </c>
      <c r="T630" s="139">
        <f>+$W$5-Tabla2[[#This Row],[FECHA DE FACTURACIÓN]]</f>
        <v>206</v>
      </c>
      <c r="U630" t="str">
        <f>+IF(Tabla2[[#This Row],[dias de credito]]&gt;=Tabla2[[#This Row],[PLAZO Días]],"venc", "No venc")</f>
        <v>venc</v>
      </c>
      <c r="V630" t="str">
        <f>+IF(Tabla2[[#This Row],[FECHA DE PAGO]]&gt;0,"pagada","por pagar")</f>
        <v>pagada</v>
      </c>
      <c r="W630" s="141" t="str">
        <f>+IF(AND(Tabla2[[#This Row],[venc]]="venc",Tabla2[[#This Row],[Columna1]]="por pagar"),"vencida","no")</f>
        <v>no</v>
      </c>
    </row>
    <row r="631" spans="1:23" ht="15.6" hidden="1" x14ac:dyDescent="0.3">
      <c r="A631" s="20">
        <v>30</v>
      </c>
      <c r="B631" s="25">
        <v>10321993.199999999</v>
      </c>
      <c r="C631" s="25"/>
      <c r="D631" s="56" t="s">
        <v>189</v>
      </c>
      <c r="E631" s="426">
        <v>45128</v>
      </c>
      <c r="F631" s="26" t="s">
        <v>1068</v>
      </c>
      <c r="G631" s="426">
        <v>45072</v>
      </c>
      <c r="H631" s="35" t="s">
        <v>1712</v>
      </c>
      <c r="I631" s="21">
        <v>470000</v>
      </c>
      <c r="J631" s="21"/>
      <c r="K631" s="22">
        <v>89300</v>
      </c>
      <c r="L631" s="23"/>
      <c r="M631" s="22">
        <v>0</v>
      </c>
      <c r="N631" s="74">
        <v>0</v>
      </c>
      <c r="O631" s="22">
        <v>0</v>
      </c>
      <c r="P631" s="21">
        <v>559300</v>
      </c>
      <c r="S631" s="108" t="b">
        <f>OR(COUNTIF(Tabla2[[#This Row],[PROVEEDOR]],"*"&amp;'Palabra no opera'!$A$2&amp;"*"))</f>
        <v>0</v>
      </c>
      <c r="T631" s="139">
        <f>+$W$5-Tabla2[[#This Row],[FECHA DE FACTURACIÓN]]</f>
        <v>219</v>
      </c>
      <c r="U631" t="str">
        <f>+IF(Tabla2[[#This Row],[dias de credito]]&gt;=Tabla2[[#This Row],[PLAZO Días]],"venc", "No venc")</f>
        <v>venc</v>
      </c>
      <c r="V631" t="str">
        <f>+IF(Tabla2[[#This Row],[FECHA DE PAGO]]&gt;0,"pagada","por pagar")</f>
        <v>pagada</v>
      </c>
      <c r="W631" s="141" t="str">
        <f>+IF(AND(Tabla2[[#This Row],[venc]]="venc",Tabla2[[#This Row],[Columna1]]="por pagar"),"vencida","no")</f>
        <v>no</v>
      </c>
    </row>
    <row r="632" spans="1:23" ht="15.6" hidden="1" x14ac:dyDescent="0.3">
      <c r="A632" s="20">
        <v>30</v>
      </c>
      <c r="B632" s="25">
        <v>352505.48</v>
      </c>
      <c r="C632" s="25"/>
      <c r="D632" s="56" t="s">
        <v>393</v>
      </c>
      <c r="E632" s="426">
        <v>45126</v>
      </c>
      <c r="F632" s="26" t="s">
        <v>631</v>
      </c>
      <c r="G632" s="426">
        <v>45108</v>
      </c>
      <c r="H632" s="35" t="s">
        <v>1796</v>
      </c>
      <c r="I632" s="21">
        <v>318603</v>
      </c>
      <c r="J632" s="21">
        <v>9545</v>
      </c>
      <c r="K632" s="22">
        <v>0</v>
      </c>
      <c r="L632" s="23"/>
      <c r="M632" s="22">
        <v>0</v>
      </c>
      <c r="N632" s="74">
        <v>0</v>
      </c>
      <c r="O632" s="22">
        <v>0</v>
      </c>
      <c r="P632" s="21">
        <v>309058</v>
      </c>
      <c r="S632" s="108" t="b">
        <f>OR(COUNTIF(Tabla2[[#This Row],[PROVEEDOR]],"*"&amp;'Palabra no opera'!$A$2&amp;"*"))</f>
        <v>1</v>
      </c>
      <c r="T632" s="139">
        <f>+$W$5-Tabla2[[#This Row],[FECHA DE FACTURACIÓN]]</f>
        <v>183</v>
      </c>
      <c r="U632" t="str">
        <f>+IF(Tabla2[[#This Row],[dias de credito]]&gt;=Tabla2[[#This Row],[PLAZO Días]],"venc", "No venc")</f>
        <v>venc</v>
      </c>
      <c r="V632" t="str">
        <f>+IF(Tabla2[[#This Row],[FECHA DE PAGO]]&gt;0,"pagada","por pagar")</f>
        <v>pagada</v>
      </c>
      <c r="W632" s="141" t="str">
        <f>+IF(AND(Tabla2[[#This Row],[venc]]="venc",Tabla2[[#This Row],[Columna1]]="por pagar"),"vencida","no")</f>
        <v>no</v>
      </c>
    </row>
    <row r="633" spans="1:23" ht="15.6" hidden="1" x14ac:dyDescent="0.3">
      <c r="A633" s="20">
        <v>30</v>
      </c>
      <c r="B633" s="25">
        <v>3209330.35</v>
      </c>
      <c r="C633" s="25"/>
      <c r="D633" s="56" t="s">
        <v>187</v>
      </c>
      <c r="E633" s="426">
        <v>45126</v>
      </c>
      <c r="F633" s="26" t="s">
        <v>282</v>
      </c>
      <c r="G633" s="426">
        <v>45057</v>
      </c>
      <c r="H633" s="35" t="s">
        <v>1691</v>
      </c>
      <c r="I633" s="21">
        <v>2302268</v>
      </c>
      <c r="J633" s="21"/>
      <c r="K633" s="22">
        <v>437430.92</v>
      </c>
      <c r="L633" s="23"/>
      <c r="M633" s="22">
        <v>0</v>
      </c>
      <c r="N633" s="74">
        <v>2.5000000000000001E-2</v>
      </c>
      <c r="O633" s="22">
        <v>57556.700000000004</v>
      </c>
      <c r="P633" s="21">
        <v>2682142.2199999997</v>
      </c>
      <c r="S633" s="108" t="b">
        <f>OR(COUNTIF(Tabla2[[#This Row],[PROVEEDOR]],"*"&amp;'Palabra no opera'!$A$2&amp;"*"))</f>
        <v>0</v>
      </c>
      <c r="T633" s="139">
        <f>+$W$5-Tabla2[[#This Row],[FECHA DE FACTURACIÓN]]</f>
        <v>234</v>
      </c>
      <c r="U633" t="str">
        <f>+IF(Tabla2[[#This Row],[dias de credito]]&gt;=Tabla2[[#This Row],[PLAZO Días]],"venc", "No venc")</f>
        <v>venc</v>
      </c>
      <c r="V633" t="str">
        <f>+IF(Tabla2[[#This Row],[FECHA DE PAGO]]&gt;0,"pagada","por pagar")</f>
        <v>pagada</v>
      </c>
      <c r="W633" s="141" t="str">
        <f>+IF(AND(Tabla2[[#This Row],[venc]]="venc",Tabla2[[#This Row],[Columna1]]="por pagar"),"vencida","no")</f>
        <v>no</v>
      </c>
    </row>
    <row r="634" spans="1:23" ht="15.6" hidden="1" x14ac:dyDescent="0.3">
      <c r="A634" s="20">
        <v>30</v>
      </c>
      <c r="B634" s="25">
        <v>0</v>
      </c>
      <c r="C634" s="25"/>
      <c r="D634" s="56">
        <v>0</v>
      </c>
      <c r="E634" s="426">
        <v>45125</v>
      </c>
      <c r="F634" s="26" t="s">
        <v>471</v>
      </c>
      <c r="G634" s="426">
        <v>45125</v>
      </c>
      <c r="H634" s="35" t="s">
        <v>1795</v>
      </c>
      <c r="I634" s="21">
        <v>1431255</v>
      </c>
      <c r="J634" s="21"/>
      <c r="K634" s="22">
        <v>271938.45</v>
      </c>
      <c r="L634" s="23"/>
      <c r="M634" s="22">
        <v>0</v>
      </c>
      <c r="N634" s="74">
        <v>2.5000000000000001E-2</v>
      </c>
      <c r="O634" s="22">
        <v>35781.375</v>
      </c>
      <c r="P634" s="21">
        <v>1667412.075</v>
      </c>
      <c r="S634" s="108" t="b">
        <f>OR(COUNTIF(Tabla2[[#This Row],[PROVEEDOR]],"*"&amp;'Palabra no opera'!$A$2&amp;"*"))</f>
        <v>0</v>
      </c>
      <c r="T634" s="139">
        <f>+$W$5-Tabla2[[#This Row],[FECHA DE FACTURACIÓN]]</f>
        <v>166</v>
      </c>
      <c r="U634" t="str">
        <f>+IF(Tabla2[[#This Row],[dias de credito]]&gt;=Tabla2[[#This Row],[PLAZO Días]],"venc", "No venc")</f>
        <v>venc</v>
      </c>
      <c r="V634" t="str">
        <f>+IF(Tabla2[[#This Row],[FECHA DE PAGO]]&gt;0,"pagada","por pagar")</f>
        <v>pagada</v>
      </c>
      <c r="W634" s="141" t="str">
        <f>+IF(AND(Tabla2[[#This Row],[venc]]="venc",Tabla2[[#This Row],[Columna1]]="por pagar"),"vencida","no")</f>
        <v>no</v>
      </c>
    </row>
    <row r="635" spans="1:23" ht="15.6" hidden="1" x14ac:dyDescent="0.3">
      <c r="A635" s="20">
        <v>30</v>
      </c>
      <c r="B635" s="25">
        <v>0</v>
      </c>
      <c r="C635" s="25"/>
      <c r="D635" s="56" t="s">
        <v>226</v>
      </c>
      <c r="E635" s="426">
        <v>45125</v>
      </c>
      <c r="F635" s="26" t="s">
        <v>636</v>
      </c>
      <c r="G635" s="426">
        <v>45124</v>
      </c>
      <c r="H635" s="35" t="s">
        <v>1803</v>
      </c>
      <c r="I635" s="21">
        <v>1650000</v>
      </c>
      <c r="J635" s="21">
        <v>16500</v>
      </c>
      <c r="K635" s="22">
        <v>310365</v>
      </c>
      <c r="L635" s="23"/>
      <c r="M635" s="22">
        <v>0</v>
      </c>
      <c r="N635" s="74">
        <v>0.11</v>
      </c>
      <c r="O635" s="22">
        <v>179685</v>
      </c>
      <c r="P635" s="21">
        <v>1764180</v>
      </c>
      <c r="S635" s="108" t="b">
        <f>OR(COUNTIF(Tabla2[[#This Row],[PROVEEDOR]],"*"&amp;'Palabra no opera'!$A$2&amp;"*"))</f>
        <v>1</v>
      </c>
      <c r="T635" s="139">
        <f>+$W$5-Tabla2[[#This Row],[FECHA DE FACTURACIÓN]]</f>
        <v>167</v>
      </c>
      <c r="U635" t="str">
        <f>+IF(Tabla2[[#This Row],[dias de credito]]&gt;=Tabla2[[#This Row],[PLAZO Días]],"venc", "No venc")</f>
        <v>venc</v>
      </c>
      <c r="V635" t="str">
        <f>+IF(Tabla2[[#This Row],[FECHA DE PAGO]]&gt;0,"pagada","por pagar")</f>
        <v>pagada</v>
      </c>
      <c r="W635" s="141" t="str">
        <f>+IF(AND(Tabla2[[#This Row],[venc]]="venc",Tabla2[[#This Row],[Columna1]]="por pagar"),"vencida","no")</f>
        <v>no</v>
      </c>
    </row>
    <row r="636" spans="1:23" ht="15.6" hidden="1" x14ac:dyDescent="0.3">
      <c r="A636" s="20">
        <v>30</v>
      </c>
      <c r="B636" s="25">
        <v>0</v>
      </c>
      <c r="C636" s="25"/>
      <c r="D636" s="56">
        <v>0</v>
      </c>
      <c r="E636" s="426">
        <v>45124</v>
      </c>
      <c r="F636" s="26" t="s">
        <v>1736</v>
      </c>
      <c r="G636" s="426">
        <v>45122</v>
      </c>
      <c r="H636" s="35">
        <v>4</v>
      </c>
      <c r="I636" s="21">
        <v>369000</v>
      </c>
      <c r="J636" s="21"/>
      <c r="K636" s="22">
        <v>0</v>
      </c>
      <c r="L636" s="23"/>
      <c r="M636" s="22">
        <v>0</v>
      </c>
      <c r="N636" s="74">
        <v>0</v>
      </c>
      <c r="O636" s="22">
        <v>0</v>
      </c>
      <c r="P636" s="21">
        <v>369000</v>
      </c>
      <c r="S636" s="108" t="b">
        <f>OR(COUNTIF(Tabla2[[#This Row],[PROVEEDOR]],"*"&amp;'Palabra no opera'!$A$2&amp;"*"))</f>
        <v>0</v>
      </c>
      <c r="T636" s="139">
        <f>+$W$5-Tabla2[[#This Row],[FECHA DE FACTURACIÓN]]</f>
        <v>169</v>
      </c>
      <c r="U636" t="str">
        <f>+IF(Tabla2[[#This Row],[dias de credito]]&gt;=Tabla2[[#This Row],[PLAZO Días]],"venc", "No venc")</f>
        <v>venc</v>
      </c>
      <c r="V636" t="str">
        <f>+IF(Tabla2[[#This Row],[FECHA DE PAGO]]&gt;0,"pagada","por pagar")</f>
        <v>pagada</v>
      </c>
      <c r="W636" s="141" t="str">
        <f>+IF(AND(Tabla2[[#This Row],[venc]]="venc",Tabla2[[#This Row],[Columna1]]="por pagar"),"vencida","no")</f>
        <v>no</v>
      </c>
    </row>
    <row r="637" spans="1:23" ht="15.6" hidden="1" x14ac:dyDescent="0.3">
      <c r="A637" s="20">
        <v>30</v>
      </c>
      <c r="B637" s="25">
        <v>0</v>
      </c>
      <c r="C637" s="25"/>
      <c r="D637" s="56" t="s">
        <v>185</v>
      </c>
      <c r="E637" s="426">
        <v>45124</v>
      </c>
      <c r="F637" s="26" t="s">
        <v>628</v>
      </c>
      <c r="G637" s="426">
        <v>45109</v>
      </c>
      <c r="H637" s="35" t="s">
        <v>1794</v>
      </c>
      <c r="I637" s="21">
        <v>1840056</v>
      </c>
      <c r="J637" s="21"/>
      <c r="K637" s="22">
        <v>0</v>
      </c>
      <c r="L637" s="23"/>
      <c r="M637" s="22">
        <v>105097</v>
      </c>
      <c r="N637" s="74">
        <v>0</v>
      </c>
      <c r="O637" s="22">
        <v>0</v>
      </c>
      <c r="P637" s="21">
        <v>1734959</v>
      </c>
      <c r="S637" s="108" t="b">
        <f>OR(COUNTIF(Tabla2[[#This Row],[PROVEEDOR]],"*"&amp;'Palabra no opera'!$A$2&amp;"*"))</f>
        <v>1</v>
      </c>
      <c r="T637" s="139">
        <f>+$W$5-Tabla2[[#This Row],[FECHA DE FACTURACIÓN]]</f>
        <v>182</v>
      </c>
      <c r="U637" t="str">
        <f>+IF(Tabla2[[#This Row],[dias de credito]]&gt;=Tabla2[[#This Row],[PLAZO Días]],"venc", "No venc")</f>
        <v>venc</v>
      </c>
      <c r="V637" t="str">
        <f>+IF(Tabla2[[#This Row],[FECHA DE PAGO]]&gt;0,"pagada","por pagar")</f>
        <v>pagada</v>
      </c>
      <c r="W637" s="141" t="str">
        <f>+IF(AND(Tabla2[[#This Row],[venc]]="venc",Tabla2[[#This Row],[Columna1]]="por pagar"),"vencida","no")</f>
        <v>no</v>
      </c>
    </row>
    <row r="638" spans="1:23" ht="15.6" hidden="1" x14ac:dyDescent="0.3">
      <c r="A638" s="20">
        <v>60</v>
      </c>
      <c r="B638" s="25">
        <v>395600</v>
      </c>
      <c r="C638" s="25"/>
      <c r="D638" s="56" t="s">
        <v>1482</v>
      </c>
      <c r="E638" s="426">
        <v>45124</v>
      </c>
      <c r="F638" s="26" t="s">
        <v>287</v>
      </c>
      <c r="G638" s="426">
        <v>45107</v>
      </c>
      <c r="H638" s="35">
        <v>1715</v>
      </c>
      <c r="I638" s="21">
        <v>226200</v>
      </c>
      <c r="J638" s="21"/>
      <c r="K638" s="22">
        <v>0</v>
      </c>
      <c r="L638" s="23"/>
      <c r="M638" s="22">
        <v>0</v>
      </c>
      <c r="N638" s="74">
        <v>0</v>
      </c>
      <c r="O638" s="22">
        <v>0</v>
      </c>
      <c r="P638" s="21">
        <v>226200</v>
      </c>
      <c r="S638" s="108" t="b">
        <f>OR(COUNTIF(Tabla2[[#This Row],[PROVEEDOR]],"*"&amp;'Palabra no opera'!$A$2&amp;"*"))</f>
        <v>0</v>
      </c>
      <c r="T638" s="139">
        <f>+$W$5-Tabla2[[#This Row],[FECHA DE FACTURACIÓN]]</f>
        <v>184</v>
      </c>
      <c r="U638" t="str">
        <f>+IF(Tabla2[[#This Row],[dias de credito]]&gt;=Tabla2[[#This Row],[PLAZO Días]],"venc", "No venc")</f>
        <v>venc</v>
      </c>
      <c r="V638" t="str">
        <f>+IF(Tabla2[[#This Row],[FECHA DE PAGO]]&gt;0,"pagada","por pagar")</f>
        <v>pagada</v>
      </c>
      <c r="W638" s="141" t="str">
        <f>+IF(AND(Tabla2[[#This Row],[venc]]="venc",Tabla2[[#This Row],[Columna1]]="por pagar"),"vencida","no")</f>
        <v>no</v>
      </c>
    </row>
    <row r="639" spans="1:23" ht="15.6" hidden="1" x14ac:dyDescent="0.3">
      <c r="A639" s="20">
        <v>60</v>
      </c>
      <c r="B639" s="25">
        <v>395600</v>
      </c>
      <c r="C639" s="25"/>
      <c r="D639" s="56" t="s">
        <v>1482</v>
      </c>
      <c r="E639" s="426">
        <v>45124</v>
      </c>
      <c r="F639" s="26" t="s">
        <v>287</v>
      </c>
      <c r="G639" s="426">
        <v>45107</v>
      </c>
      <c r="H639" s="35">
        <v>1716</v>
      </c>
      <c r="I639" s="21">
        <v>226200</v>
      </c>
      <c r="J639" s="21"/>
      <c r="K639" s="22">
        <v>0</v>
      </c>
      <c r="L639" s="23"/>
      <c r="M639" s="22">
        <v>0</v>
      </c>
      <c r="N639" s="74">
        <v>0</v>
      </c>
      <c r="O639" s="22">
        <v>0</v>
      </c>
      <c r="P639" s="21">
        <v>226200</v>
      </c>
      <c r="S639" s="108" t="b">
        <f>OR(COUNTIF(Tabla2[[#This Row],[PROVEEDOR]],"*"&amp;'Palabra no opera'!$A$2&amp;"*"))</f>
        <v>0</v>
      </c>
      <c r="T639" s="139">
        <f>+$W$5-Tabla2[[#This Row],[FECHA DE FACTURACIÓN]]</f>
        <v>184</v>
      </c>
      <c r="U639" t="str">
        <f>+IF(Tabla2[[#This Row],[dias de credito]]&gt;=Tabla2[[#This Row],[PLAZO Días]],"venc", "No venc")</f>
        <v>venc</v>
      </c>
      <c r="V639" t="str">
        <f>+IF(Tabla2[[#This Row],[FECHA DE PAGO]]&gt;0,"pagada","por pagar")</f>
        <v>pagada</v>
      </c>
      <c r="W639" s="141" t="str">
        <f>+IF(AND(Tabla2[[#This Row],[venc]]="venc",Tabla2[[#This Row],[Columna1]]="por pagar"),"vencida","no")</f>
        <v>no</v>
      </c>
    </row>
    <row r="640" spans="1:23" ht="15.6" hidden="1" x14ac:dyDescent="0.3">
      <c r="A640" s="20">
        <v>45</v>
      </c>
      <c r="B640" s="25">
        <v>3074500</v>
      </c>
      <c r="C640" s="25"/>
      <c r="D640" s="56" t="s">
        <v>1482</v>
      </c>
      <c r="E640" s="426">
        <v>45124</v>
      </c>
      <c r="F640" s="26" t="s">
        <v>289</v>
      </c>
      <c r="G640" s="426">
        <v>45100</v>
      </c>
      <c r="H640" s="35">
        <v>1706</v>
      </c>
      <c r="I640" s="21">
        <v>2781390</v>
      </c>
      <c r="J640" s="21"/>
      <c r="K640" s="22">
        <v>0</v>
      </c>
      <c r="L640" s="23"/>
      <c r="M640" s="22">
        <v>0</v>
      </c>
      <c r="N640" s="74">
        <v>0</v>
      </c>
      <c r="O640" s="22">
        <v>0</v>
      </c>
      <c r="P640" s="21">
        <v>2781390</v>
      </c>
      <c r="S640" s="108" t="b">
        <f>OR(COUNTIF(Tabla2[[#This Row],[PROVEEDOR]],"*"&amp;'Palabra no opera'!$A$2&amp;"*"))</f>
        <v>0</v>
      </c>
      <c r="T640" s="139">
        <f>+$W$5-Tabla2[[#This Row],[FECHA DE FACTURACIÓN]]</f>
        <v>191</v>
      </c>
      <c r="U640" t="str">
        <f>+IF(Tabla2[[#This Row],[dias de credito]]&gt;=Tabla2[[#This Row],[PLAZO Días]],"venc", "No venc")</f>
        <v>venc</v>
      </c>
      <c r="V640" t="str">
        <f>+IF(Tabla2[[#This Row],[FECHA DE PAGO]]&gt;0,"pagada","por pagar")</f>
        <v>pagada</v>
      </c>
      <c r="W640" s="141" t="str">
        <f>+IF(AND(Tabla2[[#This Row],[venc]]="venc",Tabla2[[#This Row],[Columna1]]="por pagar"),"vencida","no")</f>
        <v>no</v>
      </c>
    </row>
    <row r="641" spans="1:23" ht="15.6" hidden="1" x14ac:dyDescent="0.3">
      <c r="A641" s="20">
        <v>60</v>
      </c>
      <c r="B641" s="25">
        <v>395600</v>
      </c>
      <c r="C641" s="25"/>
      <c r="D641" s="56" t="s">
        <v>1482</v>
      </c>
      <c r="E641" s="426">
        <v>45124</v>
      </c>
      <c r="F641" s="26" t="s">
        <v>287</v>
      </c>
      <c r="G641" s="426">
        <v>45096</v>
      </c>
      <c r="H641" s="35">
        <v>1698</v>
      </c>
      <c r="I641" s="21">
        <v>174000</v>
      </c>
      <c r="J641" s="21"/>
      <c r="K641" s="22">
        <v>0</v>
      </c>
      <c r="L641" s="23"/>
      <c r="M641" s="22">
        <v>0</v>
      </c>
      <c r="N641" s="74">
        <v>0</v>
      </c>
      <c r="O641" s="22">
        <v>0</v>
      </c>
      <c r="P641" s="21">
        <v>174000</v>
      </c>
      <c r="S641" s="108" t="b">
        <f>OR(COUNTIF(Tabla2[[#This Row],[PROVEEDOR]],"*"&amp;'Palabra no opera'!$A$2&amp;"*"))</f>
        <v>0</v>
      </c>
      <c r="T641" s="139">
        <f>+$W$5-Tabla2[[#This Row],[FECHA DE FACTURACIÓN]]</f>
        <v>195</v>
      </c>
      <c r="U641" t="str">
        <f>+IF(Tabla2[[#This Row],[dias de credito]]&gt;=Tabla2[[#This Row],[PLAZO Días]],"venc", "No venc")</f>
        <v>venc</v>
      </c>
      <c r="V641" t="str">
        <f>+IF(Tabla2[[#This Row],[FECHA DE PAGO]]&gt;0,"pagada","por pagar")</f>
        <v>pagada</v>
      </c>
      <c r="W641" s="141" t="str">
        <f>+IF(AND(Tabla2[[#This Row],[venc]]="venc",Tabla2[[#This Row],[Columna1]]="por pagar"),"vencida","no")</f>
        <v>no</v>
      </c>
    </row>
    <row r="642" spans="1:23" ht="15.6" hidden="1" x14ac:dyDescent="0.3">
      <c r="A642" s="20">
        <v>60</v>
      </c>
      <c r="B642" s="25">
        <v>395600</v>
      </c>
      <c r="C642" s="25"/>
      <c r="D642" s="56" t="s">
        <v>1482</v>
      </c>
      <c r="E642" s="426">
        <v>45124</v>
      </c>
      <c r="F642" s="26" t="s">
        <v>287</v>
      </c>
      <c r="G642" s="426">
        <v>45096</v>
      </c>
      <c r="H642" s="35">
        <v>1699</v>
      </c>
      <c r="I642" s="21">
        <v>174000</v>
      </c>
      <c r="J642" s="21"/>
      <c r="K642" s="22">
        <v>0</v>
      </c>
      <c r="L642" s="23"/>
      <c r="M642" s="22">
        <v>0</v>
      </c>
      <c r="N642" s="74">
        <v>0</v>
      </c>
      <c r="O642" s="22">
        <v>0</v>
      </c>
      <c r="P642" s="21">
        <v>174000</v>
      </c>
      <c r="S642" s="108" t="b">
        <f>OR(COUNTIF(Tabla2[[#This Row],[PROVEEDOR]],"*"&amp;'Palabra no opera'!$A$2&amp;"*"))</f>
        <v>0</v>
      </c>
      <c r="T642" s="139">
        <f>+$W$5-Tabla2[[#This Row],[FECHA DE FACTURACIÓN]]</f>
        <v>195</v>
      </c>
      <c r="U642" t="str">
        <f>+IF(Tabla2[[#This Row],[dias de credito]]&gt;=Tabla2[[#This Row],[PLAZO Días]],"venc", "No venc")</f>
        <v>venc</v>
      </c>
      <c r="V642" t="str">
        <f>+IF(Tabla2[[#This Row],[FECHA DE PAGO]]&gt;0,"pagada","por pagar")</f>
        <v>pagada</v>
      </c>
      <c r="W642" s="141" t="str">
        <f>+IF(AND(Tabla2[[#This Row],[venc]]="venc",Tabla2[[#This Row],[Columna1]]="por pagar"),"vencida","no")</f>
        <v>no</v>
      </c>
    </row>
    <row r="643" spans="1:23" ht="15.6" hidden="1" x14ac:dyDescent="0.3">
      <c r="A643" s="20">
        <v>60</v>
      </c>
      <c r="B643" s="25">
        <v>395600</v>
      </c>
      <c r="C643" s="25"/>
      <c r="D643" s="56" t="s">
        <v>1482</v>
      </c>
      <c r="E643" s="426">
        <v>45124</v>
      </c>
      <c r="F643" s="26" t="s">
        <v>287</v>
      </c>
      <c r="G643" s="426">
        <v>45096</v>
      </c>
      <c r="H643" s="35">
        <v>1700</v>
      </c>
      <c r="I643" s="21">
        <v>191400</v>
      </c>
      <c r="J643" s="21"/>
      <c r="K643" s="22">
        <v>0</v>
      </c>
      <c r="L643" s="23"/>
      <c r="M643" s="22">
        <v>0</v>
      </c>
      <c r="N643" s="74">
        <v>0</v>
      </c>
      <c r="O643" s="22">
        <v>0</v>
      </c>
      <c r="P643" s="21">
        <v>191400</v>
      </c>
      <c r="S643" s="108" t="b">
        <f>OR(COUNTIF(Tabla2[[#This Row],[PROVEEDOR]],"*"&amp;'Palabra no opera'!$A$2&amp;"*"))</f>
        <v>0</v>
      </c>
      <c r="T643" s="139">
        <f>+$W$5-Tabla2[[#This Row],[FECHA DE FACTURACIÓN]]</f>
        <v>195</v>
      </c>
      <c r="U643" t="str">
        <f>+IF(Tabla2[[#This Row],[dias de credito]]&gt;=Tabla2[[#This Row],[PLAZO Días]],"venc", "No venc")</f>
        <v>venc</v>
      </c>
      <c r="V643" t="str">
        <f>+IF(Tabla2[[#This Row],[FECHA DE PAGO]]&gt;0,"pagada","por pagar")</f>
        <v>pagada</v>
      </c>
      <c r="W643" s="141" t="str">
        <f>+IF(AND(Tabla2[[#This Row],[venc]]="venc",Tabla2[[#This Row],[Columna1]]="por pagar"),"vencida","no")</f>
        <v>no</v>
      </c>
    </row>
    <row r="644" spans="1:23" ht="15.6" hidden="1" x14ac:dyDescent="0.3">
      <c r="A644" s="20">
        <v>60</v>
      </c>
      <c r="B644" s="25">
        <v>395600</v>
      </c>
      <c r="C644" s="25"/>
      <c r="D644" s="56" t="s">
        <v>1482</v>
      </c>
      <c r="E644" s="426">
        <v>45124</v>
      </c>
      <c r="F644" s="26" t="s">
        <v>287</v>
      </c>
      <c r="G644" s="426">
        <v>45096</v>
      </c>
      <c r="H644" s="35">
        <v>1701</v>
      </c>
      <c r="I644" s="21">
        <v>191400</v>
      </c>
      <c r="J644" s="21"/>
      <c r="K644" s="22">
        <v>0</v>
      </c>
      <c r="L644" s="23"/>
      <c r="M644" s="22">
        <v>0</v>
      </c>
      <c r="N644" s="74">
        <v>0</v>
      </c>
      <c r="O644" s="22">
        <v>0</v>
      </c>
      <c r="P644" s="21">
        <v>191400</v>
      </c>
      <c r="S644" s="108" t="b">
        <f>OR(COUNTIF(Tabla2[[#This Row],[PROVEEDOR]],"*"&amp;'Palabra no opera'!$A$2&amp;"*"))</f>
        <v>0</v>
      </c>
      <c r="T644" s="139">
        <f>+$W$5-Tabla2[[#This Row],[FECHA DE FACTURACIÓN]]</f>
        <v>195</v>
      </c>
      <c r="U644" t="str">
        <f>+IF(Tabla2[[#This Row],[dias de credito]]&gt;=Tabla2[[#This Row],[PLAZO Días]],"venc", "No venc")</f>
        <v>venc</v>
      </c>
      <c r="V644" t="str">
        <f>+IF(Tabla2[[#This Row],[FECHA DE PAGO]]&gt;0,"pagada","por pagar")</f>
        <v>pagada</v>
      </c>
      <c r="W644" s="141" t="str">
        <f>+IF(AND(Tabla2[[#This Row],[venc]]="venc",Tabla2[[#This Row],[Columna1]]="por pagar"),"vencida","no")</f>
        <v>no</v>
      </c>
    </row>
    <row r="645" spans="1:23" ht="15.6" hidden="1" x14ac:dyDescent="0.3">
      <c r="A645" s="20">
        <v>30</v>
      </c>
      <c r="B645" s="25">
        <v>0</v>
      </c>
      <c r="C645" s="25"/>
      <c r="D645" s="56" t="s">
        <v>190</v>
      </c>
      <c r="E645" s="426">
        <v>45124</v>
      </c>
      <c r="F645" s="26" t="s">
        <v>964</v>
      </c>
      <c r="G645" s="426">
        <v>45093</v>
      </c>
      <c r="H645" s="35" t="s">
        <v>1777</v>
      </c>
      <c r="I645" s="21">
        <v>420000</v>
      </c>
      <c r="J645" s="21"/>
      <c r="K645" s="22">
        <v>79800</v>
      </c>
      <c r="L645" s="23"/>
      <c r="M645" s="22">
        <v>0</v>
      </c>
      <c r="N645" s="74">
        <v>0</v>
      </c>
      <c r="O645" s="22">
        <v>0</v>
      </c>
      <c r="P645" s="21">
        <v>499800</v>
      </c>
      <c r="S645" s="108" t="b">
        <f>OR(COUNTIF(Tabla2[[#This Row],[PROVEEDOR]],"*"&amp;'Palabra no opera'!$A$2&amp;"*"))</f>
        <v>0</v>
      </c>
      <c r="T645" s="139">
        <f>+$W$5-Tabla2[[#This Row],[FECHA DE FACTURACIÓN]]</f>
        <v>198</v>
      </c>
      <c r="U645" t="str">
        <f>+IF(Tabla2[[#This Row],[dias de credito]]&gt;=Tabla2[[#This Row],[PLAZO Días]],"venc", "No venc")</f>
        <v>venc</v>
      </c>
      <c r="V645" t="str">
        <f>+IF(Tabla2[[#This Row],[FECHA DE PAGO]]&gt;0,"pagada","por pagar")</f>
        <v>pagada</v>
      </c>
      <c r="W645" s="141" t="str">
        <f>+IF(AND(Tabla2[[#This Row],[venc]]="venc",Tabla2[[#This Row],[Columna1]]="por pagar"),"vencida","no")</f>
        <v>no</v>
      </c>
    </row>
    <row r="646" spans="1:23" ht="15.6" hidden="1" x14ac:dyDescent="0.3">
      <c r="A646" s="20">
        <v>30</v>
      </c>
      <c r="B646" s="25">
        <v>0</v>
      </c>
      <c r="C646" s="25"/>
      <c r="D646" s="56" t="s">
        <v>190</v>
      </c>
      <c r="E646" s="426">
        <v>45124</v>
      </c>
      <c r="F646" s="26" t="s">
        <v>964</v>
      </c>
      <c r="G646" s="426">
        <v>45091</v>
      </c>
      <c r="H646" s="35" t="s">
        <v>1776</v>
      </c>
      <c r="I646" s="21">
        <v>930000</v>
      </c>
      <c r="J646" s="21"/>
      <c r="K646" s="22">
        <v>176700</v>
      </c>
      <c r="L646" s="23"/>
      <c r="M646" s="22">
        <v>0</v>
      </c>
      <c r="N646" s="74">
        <v>0</v>
      </c>
      <c r="O646" s="22">
        <v>0</v>
      </c>
      <c r="P646" s="21">
        <v>1106700</v>
      </c>
      <c r="S646" s="108" t="b">
        <f>OR(COUNTIF(Tabla2[[#This Row],[PROVEEDOR]],"*"&amp;'Palabra no opera'!$A$2&amp;"*"))</f>
        <v>0</v>
      </c>
      <c r="T646" s="139">
        <f>+$W$5-Tabla2[[#This Row],[FECHA DE FACTURACIÓN]]</f>
        <v>200</v>
      </c>
      <c r="U646" t="str">
        <f>+IF(Tabla2[[#This Row],[dias de credito]]&gt;=Tabla2[[#This Row],[PLAZO Días]],"venc", "No venc")</f>
        <v>venc</v>
      </c>
      <c r="V646" t="str">
        <f>+IF(Tabla2[[#This Row],[FECHA DE PAGO]]&gt;0,"pagada","por pagar")</f>
        <v>pagada</v>
      </c>
      <c r="W646" s="141" t="str">
        <f>+IF(AND(Tabla2[[#This Row],[venc]]="venc",Tabla2[[#This Row],[Columna1]]="por pagar"),"vencida","no")</f>
        <v>no</v>
      </c>
    </row>
    <row r="647" spans="1:23" ht="15.6" hidden="1" x14ac:dyDescent="0.3">
      <c r="A647" s="20">
        <v>30</v>
      </c>
      <c r="B647" s="25">
        <v>0</v>
      </c>
      <c r="C647" s="25"/>
      <c r="D647" s="56" t="s">
        <v>277</v>
      </c>
      <c r="E647" s="426">
        <v>45124</v>
      </c>
      <c r="F647" s="26" t="s">
        <v>248</v>
      </c>
      <c r="G647" s="426">
        <v>45090</v>
      </c>
      <c r="H647" s="35" t="s">
        <v>1750</v>
      </c>
      <c r="I647" s="21">
        <v>974525</v>
      </c>
      <c r="J647" s="21"/>
      <c r="K647" s="22">
        <v>185159.75</v>
      </c>
      <c r="L647" s="23"/>
      <c r="M647" s="22">
        <v>0</v>
      </c>
      <c r="N647" s="74">
        <v>0</v>
      </c>
      <c r="O647" s="22">
        <v>0</v>
      </c>
      <c r="P647" s="21">
        <v>1159684.75</v>
      </c>
      <c r="S647" s="108" t="b">
        <f>OR(COUNTIF(Tabla2[[#This Row],[PROVEEDOR]],"*"&amp;'Palabra no opera'!$A$2&amp;"*"))</f>
        <v>0</v>
      </c>
      <c r="T647" s="139">
        <f>+$W$5-Tabla2[[#This Row],[FECHA DE FACTURACIÓN]]</f>
        <v>201</v>
      </c>
      <c r="U647" t="str">
        <f>+IF(Tabla2[[#This Row],[dias de credito]]&gt;=Tabla2[[#This Row],[PLAZO Días]],"venc", "No venc")</f>
        <v>venc</v>
      </c>
      <c r="V647" t="str">
        <f>+IF(Tabla2[[#This Row],[FECHA DE PAGO]]&gt;0,"pagada","por pagar")</f>
        <v>pagada</v>
      </c>
      <c r="W647" s="141" t="str">
        <f>+IF(AND(Tabla2[[#This Row],[venc]]="venc",Tabla2[[#This Row],[Columna1]]="por pagar"),"vencida","no")</f>
        <v>no</v>
      </c>
    </row>
    <row r="648" spans="1:23" ht="15.6" hidden="1" x14ac:dyDescent="0.3">
      <c r="A648" s="20">
        <v>30</v>
      </c>
      <c r="B648" s="25">
        <v>0</v>
      </c>
      <c r="C648" s="25"/>
      <c r="D648" s="56" t="s">
        <v>190</v>
      </c>
      <c r="E648" s="426">
        <v>45124</v>
      </c>
      <c r="F648" s="26" t="s">
        <v>964</v>
      </c>
      <c r="G648" s="426">
        <v>45086</v>
      </c>
      <c r="H648" s="35" t="s">
        <v>1754</v>
      </c>
      <c r="I648" s="21">
        <v>7056000</v>
      </c>
      <c r="J648" s="21"/>
      <c r="K648" s="22">
        <v>1340640</v>
      </c>
      <c r="L648" s="23"/>
      <c r="M648" s="22">
        <v>0</v>
      </c>
      <c r="N648" s="74">
        <v>0</v>
      </c>
      <c r="O648" s="22">
        <v>0</v>
      </c>
      <c r="P648" s="21">
        <v>8396640</v>
      </c>
      <c r="S648" s="108" t="b">
        <f>OR(COUNTIF(Tabla2[[#This Row],[PROVEEDOR]],"*"&amp;'Palabra no opera'!$A$2&amp;"*"))</f>
        <v>0</v>
      </c>
      <c r="T648" s="139">
        <f>+$W$5-Tabla2[[#This Row],[FECHA DE FACTURACIÓN]]</f>
        <v>205</v>
      </c>
      <c r="U648" t="str">
        <f>+IF(Tabla2[[#This Row],[dias de credito]]&gt;=Tabla2[[#This Row],[PLAZO Días]],"venc", "No venc")</f>
        <v>venc</v>
      </c>
      <c r="V648" t="str">
        <f>+IF(Tabla2[[#This Row],[FECHA DE PAGO]]&gt;0,"pagada","por pagar")</f>
        <v>pagada</v>
      </c>
      <c r="W648" s="141" t="str">
        <f>+IF(AND(Tabla2[[#This Row],[venc]]="venc",Tabla2[[#This Row],[Columna1]]="por pagar"),"vencida","no")</f>
        <v>no</v>
      </c>
    </row>
    <row r="649" spans="1:23" ht="15.6" hidden="1" x14ac:dyDescent="0.3">
      <c r="A649" s="20">
        <v>30</v>
      </c>
      <c r="B649" s="25">
        <v>0</v>
      </c>
      <c r="C649" s="25"/>
      <c r="D649" s="56" t="s">
        <v>190</v>
      </c>
      <c r="E649" s="426">
        <v>45124</v>
      </c>
      <c r="F649" s="26" t="s">
        <v>964</v>
      </c>
      <c r="G649" s="426">
        <v>45078</v>
      </c>
      <c r="H649" s="35" t="s">
        <v>1730</v>
      </c>
      <c r="I649" s="21">
        <v>4512000</v>
      </c>
      <c r="J649" s="21"/>
      <c r="K649" s="22">
        <v>857280</v>
      </c>
      <c r="L649" s="23"/>
      <c r="M649" s="22">
        <v>0</v>
      </c>
      <c r="N649" s="74">
        <v>0</v>
      </c>
      <c r="O649" s="22">
        <v>0</v>
      </c>
      <c r="P649" s="21">
        <v>5369280</v>
      </c>
      <c r="S649" s="108" t="b">
        <f>OR(COUNTIF(Tabla2[[#This Row],[PROVEEDOR]],"*"&amp;'Palabra no opera'!$A$2&amp;"*"))</f>
        <v>0</v>
      </c>
      <c r="T649" s="139">
        <f>+$W$5-Tabla2[[#This Row],[FECHA DE FACTURACIÓN]]</f>
        <v>213</v>
      </c>
      <c r="U649" t="str">
        <f>+IF(Tabla2[[#This Row],[dias de credito]]&gt;=Tabla2[[#This Row],[PLAZO Días]],"venc", "No venc")</f>
        <v>venc</v>
      </c>
      <c r="V649" t="str">
        <f>+IF(Tabla2[[#This Row],[FECHA DE PAGO]]&gt;0,"pagada","por pagar")</f>
        <v>pagada</v>
      </c>
      <c r="W649" s="141" t="str">
        <f>+IF(AND(Tabla2[[#This Row],[venc]]="venc",Tabla2[[#This Row],[Columna1]]="por pagar"),"vencida","no")</f>
        <v>no</v>
      </c>
    </row>
    <row r="650" spans="1:23" ht="15.6" hidden="1" x14ac:dyDescent="0.3">
      <c r="A650" s="20">
        <v>60</v>
      </c>
      <c r="B650" s="25">
        <v>395600</v>
      </c>
      <c r="C650" s="25"/>
      <c r="D650" s="56" t="s">
        <v>1482</v>
      </c>
      <c r="E650" s="426">
        <v>45124</v>
      </c>
      <c r="F650" s="26" t="s">
        <v>287</v>
      </c>
      <c r="G650" s="426">
        <v>45076</v>
      </c>
      <c r="H650" s="35">
        <v>1687</v>
      </c>
      <c r="I650" s="21">
        <v>180000</v>
      </c>
      <c r="J650" s="21"/>
      <c r="K650" s="22">
        <v>0</v>
      </c>
      <c r="L650" s="23"/>
      <c r="M650" s="22">
        <v>0</v>
      </c>
      <c r="N650" s="74">
        <v>0</v>
      </c>
      <c r="O650" s="22">
        <v>0</v>
      </c>
      <c r="P650" s="21">
        <v>180000</v>
      </c>
      <c r="S650" s="108" t="b">
        <f>OR(COUNTIF(Tabla2[[#This Row],[PROVEEDOR]],"*"&amp;'Palabra no opera'!$A$2&amp;"*"))</f>
        <v>0</v>
      </c>
      <c r="T650" s="139">
        <f>+$W$5-Tabla2[[#This Row],[FECHA DE FACTURACIÓN]]</f>
        <v>215</v>
      </c>
      <c r="U650" t="str">
        <f>+IF(Tabla2[[#This Row],[dias de credito]]&gt;=Tabla2[[#This Row],[PLAZO Días]],"venc", "No venc")</f>
        <v>venc</v>
      </c>
      <c r="V650" t="str">
        <f>+IF(Tabla2[[#This Row],[FECHA DE PAGO]]&gt;0,"pagada","por pagar")</f>
        <v>pagada</v>
      </c>
      <c r="W650" s="141" t="str">
        <f>+IF(AND(Tabla2[[#This Row],[venc]]="venc",Tabla2[[#This Row],[Columna1]]="por pagar"),"vencida","no")</f>
        <v>no</v>
      </c>
    </row>
    <row r="651" spans="1:23" ht="15.6" hidden="1" x14ac:dyDescent="0.3">
      <c r="A651" s="20">
        <v>60</v>
      </c>
      <c r="B651" s="25">
        <v>395600</v>
      </c>
      <c r="C651" s="25"/>
      <c r="D651" s="56" t="s">
        <v>1482</v>
      </c>
      <c r="E651" s="426">
        <v>45124</v>
      </c>
      <c r="F651" s="26" t="s">
        <v>287</v>
      </c>
      <c r="G651" s="426">
        <v>45076</v>
      </c>
      <c r="H651" s="35">
        <v>1688</v>
      </c>
      <c r="I651" s="21">
        <v>180000</v>
      </c>
      <c r="J651" s="21"/>
      <c r="K651" s="22">
        <v>0</v>
      </c>
      <c r="L651" s="23"/>
      <c r="M651" s="22">
        <v>0</v>
      </c>
      <c r="N651" s="74">
        <v>0</v>
      </c>
      <c r="O651" s="22">
        <v>0</v>
      </c>
      <c r="P651" s="21">
        <v>180000</v>
      </c>
      <c r="S651" s="108" t="b">
        <f>OR(COUNTIF(Tabla2[[#This Row],[PROVEEDOR]],"*"&amp;'Palabra no opera'!$A$2&amp;"*"))</f>
        <v>0</v>
      </c>
      <c r="T651" s="139">
        <f>+$W$5-Tabla2[[#This Row],[FECHA DE FACTURACIÓN]]</f>
        <v>215</v>
      </c>
      <c r="U651" t="str">
        <f>+IF(Tabla2[[#This Row],[dias de credito]]&gt;=Tabla2[[#This Row],[PLAZO Días]],"venc", "No venc")</f>
        <v>venc</v>
      </c>
      <c r="V651" t="str">
        <f>+IF(Tabla2[[#This Row],[FECHA DE PAGO]]&gt;0,"pagada","por pagar")</f>
        <v>pagada</v>
      </c>
      <c r="W651" s="141" t="str">
        <f>+IF(AND(Tabla2[[#This Row],[venc]]="venc",Tabla2[[#This Row],[Columna1]]="por pagar"),"vencida","no")</f>
        <v>no</v>
      </c>
    </row>
    <row r="652" spans="1:23" ht="15.6" hidden="1" x14ac:dyDescent="0.3">
      <c r="A652" s="20">
        <v>30</v>
      </c>
      <c r="B652" s="25">
        <v>380979.69</v>
      </c>
      <c r="C652" s="25"/>
      <c r="D652" s="56" t="s">
        <v>296</v>
      </c>
      <c r="E652" s="426">
        <v>45124</v>
      </c>
      <c r="F652" s="26" t="s">
        <v>615</v>
      </c>
      <c r="G652" s="426">
        <v>45069</v>
      </c>
      <c r="H652" s="35" t="s">
        <v>1710</v>
      </c>
      <c r="I652" s="21">
        <v>3548068</v>
      </c>
      <c r="J652" s="21"/>
      <c r="K652" s="22">
        <v>674132.92</v>
      </c>
      <c r="L652" s="23"/>
      <c r="M652" s="22">
        <v>0</v>
      </c>
      <c r="N652" s="74">
        <v>0</v>
      </c>
      <c r="O652" s="22">
        <v>0</v>
      </c>
      <c r="P652" s="21">
        <v>4222200.92</v>
      </c>
      <c r="S652" s="108" t="b">
        <f>OR(COUNTIF(Tabla2[[#This Row],[PROVEEDOR]],"*"&amp;'Palabra no opera'!$A$2&amp;"*"))</f>
        <v>1</v>
      </c>
      <c r="T652" s="139">
        <f>+$W$5-Tabla2[[#This Row],[FECHA DE FACTURACIÓN]]</f>
        <v>222</v>
      </c>
      <c r="U652" t="str">
        <f>+IF(Tabla2[[#This Row],[dias de credito]]&gt;=Tabla2[[#This Row],[PLAZO Días]],"venc", "No venc")</f>
        <v>venc</v>
      </c>
      <c r="V652" t="str">
        <f>+IF(Tabla2[[#This Row],[FECHA DE PAGO]]&gt;0,"pagada","por pagar")</f>
        <v>pagada</v>
      </c>
      <c r="W652" s="141" t="str">
        <f>+IF(AND(Tabla2[[#This Row],[venc]]="venc",Tabla2[[#This Row],[Columna1]]="por pagar"),"vencida","no")</f>
        <v>no</v>
      </c>
    </row>
    <row r="653" spans="1:23" ht="15.6" hidden="1" x14ac:dyDescent="0.3">
      <c r="A653" s="20">
        <v>30</v>
      </c>
      <c r="B653" s="25">
        <v>380979.69</v>
      </c>
      <c r="C653" s="25"/>
      <c r="D653" s="56" t="s">
        <v>296</v>
      </c>
      <c r="E653" s="426">
        <v>45124</v>
      </c>
      <c r="F653" s="26" t="s">
        <v>615</v>
      </c>
      <c r="G653" s="426">
        <v>45069</v>
      </c>
      <c r="H653" s="35" t="s">
        <v>1711</v>
      </c>
      <c r="I653" s="21">
        <v>3548068</v>
      </c>
      <c r="J653" s="21"/>
      <c r="K653" s="22">
        <v>674132.92</v>
      </c>
      <c r="L653" s="23"/>
      <c r="M653" s="22">
        <v>0</v>
      </c>
      <c r="N653" s="74">
        <v>0</v>
      </c>
      <c r="O653" s="22">
        <v>0</v>
      </c>
      <c r="P653" s="21">
        <v>4222200.92</v>
      </c>
      <c r="S653" s="108" t="b">
        <f>OR(COUNTIF(Tabla2[[#This Row],[PROVEEDOR]],"*"&amp;'Palabra no opera'!$A$2&amp;"*"))</f>
        <v>1</v>
      </c>
      <c r="T653" s="139">
        <f>+$W$5-Tabla2[[#This Row],[FECHA DE FACTURACIÓN]]</f>
        <v>222</v>
      </c>
      <c r="U653" t="str">
        <f>+IF(Tabla2[[#This Row],[dias de credito]]&gt;=Tabla2[[#This Row],[PLAZO Días]],"venc", "No venc")</f>
        <v>venc</v>
      </c>
      <c r="V653" t="str">
        <f>+IF(Tabla2[[#This Row],[FECHA DE PAGO]]&gt;0,"pagada","por pagar")</f>
        <v>pagada</v>
      </c>
      <c r="W653" s="141" t="str">
        <f>+IF(AND(Tabla2[[#This Row],[venc]]="venc",Tabla2[[#This Row],[Columna1]]="por pagar"),"vencida","no")</f>
        <v>no</v>
      </c>
    </row>
    <row r="654" spans="1:23" ht="15.6" hidden="1" x14ac:dyDescent="0.3">
      <c r="A654" s="20">
        <v>60</v>
      </c>
      <c r="B654" s="25">
        <v>395600</v>
      </c>
      <c r="C654" s="25"/>
      <c r="D654" s="56" t="s">
        <v>1482</v>
      </c>
      <c r="E654" s="426">
        <v>45124</v>
      </c>
      <c r="F654" s="26" t="s">
        <v>287</v>
      </c>
      <c r="G654" s="426">
        <v>45051</v>
      </c>
      <c r="H654" s="35">
        <v>1672</v>
      </c>
      <c r="I654" s="21">
        <v>224640</v>
      </c>
      <c r="J654" s="21"/>
      <c r="K654" s="22">
        <v>0</v>
      </c>
      <c r="L654" s="23"/>
      <c r="M654" s="22">
        <v>0</v>
      </c>
      <c r="N654" s="74">
        <v>0</v>
      </c>
      <c r="O654" s="22">
        <v>0</v>
      </c>
      <c r="P654" s="21">
        <v>224640</v>
      </c>
      <c r="S654" s="108" t="b">
        <f>OR(COUNTIF(Tabla2[[#This Row],[PROVEEDOR]],"*"&amp;'Palabra no opera'!$A$2&amp;"*"))</f>
        <v>0</v>
      </c>
      <c r="T654" s="139">
        <f>+$W$5-Tabla2[[#This Row],[FECHA DE FACTURACIÓN]]</f>
        <v>240</v>
      </c>
      <c r="U654" t="str">
        <f>+IF(Tabla2[[#This Row],[dias de credito]]&gt;=Tabla2[[#This Row],[PLAZO Días]],"venc", "No venc")</f>
        <v>venc</v>
      </c>
      <c r="V654" t="str">
        <f>+IF(Tabla2[[#This Row],[FECHA DE PAGO]]&gt;0,"pagada","por pagar")</f>
        <v>pagada</v>
      </c>
      <c r="W654" s="141" t="str">
        <f>+IF(AND(Tabla2[[#This Row],[venc]]="venc",Tabla2[[#This Row],[Columna1]]="por pagar"),"vencida","no")</f>
        <v>no</v>
      </c>
    </row>
    <row r="655" spans="1:23" ht="15.6" hidden="1" x14ac:dyDescent="0.3">
      <c r="A655" s="20">
        <v>60</v>
      </c>
      <c r="B655" s="25">
        <v>395600</v>
      </c>
      <c r="C655" s="25"/>
      <c r="D655" s="56" t="s">
        <v>1482</v>
      </c>
      <c r="E655" s="426">
        <v>45124</v>
      </c>
      <c r="F655" s="26" t="s">
        <v>287</v>
      </c>
      <c r="G655" s="426">
        <v>45051</v>
      </c>
      <c r="H655" s="35">
        <v>1673</v>
      </c>
      <c r="I655" s="21">
        <v>187200</v>
      </c>
      <c r="J655" s="21"/>
      <c r="K655" s="22">
        <v>0</v>
      </c>
      <c r="L655" s="23"/>
      <c r="M655" s="22">
        <v>0</v>
      </c>
      <c r="N655" s="74">
        <v>0</v>
      </c>
      <c r="O655" s="22">
        <v>0</v>
      </c>
      <c r="P655" s="21">
        <v>187200</v>
      </c>
      <c r="S655" s="108" t="b">
        <f>OR(COUNTIF(Tabla2[[#This Row],[PROVEEDOR]],"*"&amp;'Palabra no opera'!$A$2&amp;"*"))</f>
        <v>0</v>
      </c>
      <c r="T655" s="139">
        <f>+$W$5-Tabla2[[#This Row],[FECHA DE FACTURACIÓN]]</f>
        <v>240</v>
      </c>
      <c r="U655" t="str">
        <f>+IF(Tabla2[[#This Row],[dias de credito]]&gt;=Tabla2[[#This Row],[PLAZO Días]],"venc", "No venc")</f>
        <v>venc</v>
      </c>
      <c r="V655" t="str">
        <f>+IF(Tabla2[[#This Row],[FECHA DE PAGO]]&gt;0,"pagada","por pagar")</f>
        <v>pagada</v>
      </c>
      <c r="W655" s="141" t="str">
        <f>+IF(AND(Tabla2[[#This Row],[venc]]="venc",Tabla2[[#This Row],[Columna1]]="por pagar"),"vencida","no")</f>
        <v>no</v>
      </c>
    </row>
    <row r="656" spans="1:23" ht="15.6" hidden="1" x14ac:dyDescent="0.3">
      <c r="A656" s="20">
        <v>60</v>
      </c>
      <c r="B656" s="25">
        <v>395600</v>
      </c>
      <c r="C656" s="25"/>
      <c r="D656" s="56" t="s">
        <v>1482</v>
      </c>
      <c r="E656" s="426">
        <v>45124</v>
      </c>
      <c r="F656" s="26" t="s">
        <v>287</v>
      </c>
      <c r="G656" s="426">
        <v>45051</v>
      </c>
      <c r="H656" s="35">
        <v>1681</v>
      </c>
      <c r="I656" s="21">
        <v>355680</v>
      </c>
      <c r="J656" s="21"/>
      <c r="K656" s="22">
        <v>0</v>
      </c>
      <c r="L656" s="23"/>
      <c r="M656" s="22">
        <v>0</v>
      </c>
      <c r="N656" s="74">
        <v>0</v>
      </c>
      <c r="O656" s="22">
        <v>0</v>
      </c>
      <c r="P656" s="21">
        <v>355680</v>
      </c>
      <c r="S656" s="108" t="b">
        <f>OR(COUNTIF(Tabla2[[#This Row],[PROVEEDOR]],"*"&amp;'Palabra no opera'!$A$2&amp;"*"))</f>
        <v>0</v>
      </c>
      <c r="T656" s="139">
        <f>+$W$5-Tabla2[[#This Row],[FECHA DE FACTURACIÓN]]</f>
        <v>240</v>
      </c>
      <c r="U656" t="str">
        <f>+IF(Tabla2[[#This Row],[dias de credito]]&gt;=Tabla2[[#This Row],[PLAZO Días]],"venc", "No venc")</f>
        <v>venc</v>
      </c>
      <c r="V656" t="str">
        <f>+IF(Tabla2[[#This Row],[FECHA DE PAGO]]&gt;0,"pagada","por pagar")</f>
        <v>pagada</v>
      </c>
      <c r="W656" s="141" t="str">
        <f>+IF(AND(Tabla2[[#This Row],[venc]]="venc",Tabla2[[#This Row],[Columna1]]="por pagar"),"vencida","no")</f>
        <v>no</v>
      </c>
    </row>
    <row r="657" spans="1:23" ht="15.6" hidden="1" x14ac:dyDescent="0.3">
      <c r="A657" s="20">
        <v>60</v>
      </c>
      <c r="B657" s="25">
        <v>395600</v>
      </c>
      <c r="C657" s="25"/>
      <c r="D657" s="56" t="s">
        <v>1482</v>
      </c>
      <c r="E657" s="426">
        <v>45124</v>
      </c>
      <c r="F657" s="26" t="s">
        <v>287</v>
      </c>
      <c r="G657" s="426">
        <v>45051</v>
      </c>
      <c r="H657" s="35">
        <v>1682</v>
      </c>
      <c r="I657" s="21">
        <v>411840</v>
      </c>
      <c r="J657" s="21"/>
      <c r="K657" s="22">
        <v>0</v>
      </c>
      <c r="L657" s="23"/>
      <c r="M657" s="22">
        <v>0</v>
      </c>
      <c r="N657" s="74">
        <v>0</v>
      </c>
      <c r="O657" s="22">
        <v>0</v>
      </c>
      <c r="P657" s="21">
        <v>411840</v>
      </c>
      <c r="S657" s="108" t="b">
        <f>OR(COUNTIF(Tabla2[[#This Row],[PROVEEDOR]],"*"&amp;'Palabra no opera'!$A$2&amp;"*"))</f>
        <v>0</v>
      </c>
      <c r="T657" s="139">
        <f>+$W$5-Tabla2[[#This Row],[FECHA DE FACTURACIÓN]]</f>
        <v>240</v>
      </c>
      <c r="U657" t="str">
        <f>+IF(Tabla2[[#This Row],[dias de credito]]&gt;=Tabla2[[#This Row],[PLAZO Días]],"venc", "No venc")</f>
        <v>venc</v>
      </c>
      <c r="V657" t="str">
        <f>+IF(Tabla2[[#This Row],[FECHA DE PAGO]]&gt;0,"pagada","por pagar")</f>
        <v>pagada</v>
      </c>
      <c r="W657" s="141" t="str">
        <f>+IF(AND(Tabla2[[#This Row],[venc]]="venc",Tabla2[[#This Row],[Columna1]]="por pagar"),"vencida","no")</f>
        <v>no</v>
      </c>
    </row>
    <row r="658" spans="1:23" ht="15.6" hidden="1" x14ac:dyDescent="0.3">
      <c r="A658" s="20">
        <v>60</v>
      </c>
      <c r="B658" s="25">
        <v>395600</v>
      </c>
      <c r="C658" s="25"/>
      <c r="D658" s="56" t="s">
        <v>1482</v>
      </c>
      <c r="E658" s="426">
        <v>45124</v>
      </c>
      <c r="F658" s="26" t="s">
        <v>287</v>
      </c>
      <c r="G658" s="426">
        <v>45051</v>
      </c>
      <c r="H658" s="35">
        <v>1683</v>
      </c>
      <c r="I658" s="21">
        <v>430560</v>
      </c>
      <c r="J658" s="21"/>
      <c r="K658" s="22">
        <v>0</v>
      </c>
      <c r="L658" s="23"/>
      <c r="M658" s="22">
        <v>0</v>
      </c>
      <c r="N658" s="74">
        <v>0</v>
      </c>
      <c r="O658" s="22">
        <v>0</v>
      </c>
      <c r="P658" s="21">
        <v>430560</v>
      </c>
      <c r="S658" s="108" t="b">
        <f>OR(COUNTIF(Tabla2[[#This Row],[PROVEEDOR]],"*"&amp;'Palabra no opera'!$A$2&amp;"*"))</f>
        <v>0</v>
      </c>
      <c r="T658" s="139">
        <f>+$W$5-Tabla2[[#This Row],[FECHA DE FACTURACIÓN]]</f>
        <v>240</v>
      </c>
      <c r="U658" t="str">
        <f>+IF(Tabla2[[#This Row],[dias de credito]]&gt;=Tabla2[[#This Row],[PLAZO Días]],"venc", "No venc")</f>
        <v>venc</v>
      </c>
      <c r="V658" t="str">
        <f>+IF(Tabla2[[#This Row],[FECHA DE PAGO]]&gt;0,"pagada","por pagar")</f>
        <v>pagada</v>
      </c>
      <c r="W658" s="141" t="str">
        <f>+IF(AND(Tabla2[[#This Row],[venc]]="venc",Tabla2[[#This Row],[Columna1]]="por pagar"),"vencida","no")</f>
        <v>no</v>
      </c>
    </row>
    <row r="659" spans="1:23" ht="15.6" hidden="1" x14ac:dyDescent="0.3">
      <c r="A659" s="20">
        <v>30</v>
      </c>
      <c r="B659" s="25">
        <v>0</v>
      </c>
      <c r="C659" s="25"/>
      <c r="D659" s="56" t="s">
        <v>107</v>
      </c>
      <c r="E659" s="426">
        <v>45122</v>
      </c>
      <c r="F659" s="26" t="s">
        <v>1194</v>
      </c>
      <c r="G659" s="426">
        <v>45121</v>
      </c>
      <c r="H659" s="35" t="s">
        <v>1835</v>
      </c>
      <c r="I659" s="21">
        <v>6643000</v>
      </c>
      <c r="J659" s="21"/>
      <c r="K659" s="22">
        <v>0</v>
      </c>
      <c r="L659" s="23"/>
      <c r="M659" s="22">
        <v>0</v>
      </c>
      <c r="N659" s="74">
        <v>0</v>
      </c>
      <c r="O659" s="22">
        <v>0</v>
      </c>
      <c r="P659" s="21">
        <v>6643000</v>
      </c>
      <c r="S659" s="108" t="b">
        <f>OR(COUNTIF(Tabla2[[#This Row],[PROVEEDOR]],"*"&amp;'Palabra no opera'!$A$2&amp;"*"))</f>
        <v>0</v>
      </c>
      <c r="T659" s="139">
        <f>+$W$5-Tabla2[[#This Row],[FECHA DE FACTURACIÓN]]</f>
        <v>170</v>
      </c>
      <c r="U659" t="str">
        <f>+IF(Tabla2[[#This Row],[dias de credito]]&gt;=Tabla2[[#This Row],[PLAZO Días]],"venc", "No venc")</f>
        <v>venc</v>
      </c>
      <c r="V659" t="str">
        <f>+IF(Tabla2[[#This Row],[FECHA DE PAGO]]&gt;0,"pagada","por pagar")</f>
        <v>pagada</v>
      </c>
      <c r="W659" s="141" t="str">
        <f>+IF(AND(Tabla2[[#This Row],[venc]]="venc",Tabla2[[#This Row],[Columna1]]="por pagar"),"vencida","no")</f>
        <v>no</v>
      </c>
    </row>
    <row r="660" spans="1:23" ht="15.6" hidden="1" x14ac:dyDescent="0.3">
      <c r="A660" s="20">
        <v>30</v>
      </c>
      <c r="B660" s="25">
        <v>0</v>
      </c>
      <c r="C660" s="25"/>
      <c r="D660" s="56" t="s">
        <v>659</v>
      </c>
      <c r="E660" s="426">
        <v>45121</v>
      </c>
      <c r="F660" s="26" t="s">
        <v>227</v>
      </c>
      <c r="G660" s="426">
        <v>45121</v>
      </c>
      <c r="H660" s="35" t="s">
        <v>1802</v>
      </c>
      <c r="I660" s="21">
        <v>1550000</v>
      </c>
      <c r="J660" s="21"/>
      <c r="K660" s="22">
        <v>0</v>
      </c>
      <c r="L660" s="23"/>
      <c r="M660" s="22">
        <v>0</v>
      </c>
      <c r="N660" s="74">
        <v>0</v>
      </c>
      <c r="O660" s="22">
        <v>0</v>
      </c>
      <c r="P660" s="21">
        <v>1550000</v>
      </c>
      <c r="S660" s="108" t="b">
        <f>OR(COUNTIF(Tabla2[[#This Row],[PROVEEDOR]],"*"&amp;'Palabra no opera'!$A$2&amp;"*"))</f>
        <v>0</v>
      </c>
      <c r="T660" s="139">
        <f>+$W$5-Tabla2[[#This Row],[FECHA DE FACTURACIÓN]]</f>
        <v>170</v>
      </c>
      <c r="U660" t="str">
        <f>+IF(Tabla2[[#This Row],[dias de credito]]&gt;=Tabla2[[#This Row],[PLAZO Días]],"venc", "No venc")</f>
        <v>venc</v>
      </c>
      <c r="V660" t="str">
        <f>+IF(Tabla2[[#This Row],[FECHA DE PAGO]]&gt;0,"pagada","por pagar")</f>
        <v>pagada</v>
      </c>
      <c r="W660" s="141" t="str">
        <f>+IF(AND(Tabla2[[#This Row],[venc]]="venc",Tabla2[[#This Row],[Columna1]]="por pagar"),"vencida","no")</f>
        <v>no</v>
      </c>
    </row>
    <row r="661" spans="1:23" ht="15.6" hidden="1" x14ac:dyDescent="0.3">
      <c r="A661" s="20">
        <v>10</v>
      </c>
      <c r="B661" s="25">
        <v>0</v>
      </c>
      <c r="C661" s="25"/>
      <c r="D661" s="56" t="s">
        <v>1203</v>
      </c>
      <c r="E661" s="426">
        <v>45121</v>
      </c>
      <c r="F661" s="26" t="s">
        <v>1202</v>
      </c>
      <c r="G661" s="426">
        <v>45108</v>
      </c>
      <c r="H661" s="35" t="s">
        <v>1793</v>
      </c>
      <c r="I661" s="21">
        <v>5350576</v>
      </c>
      <c r="J661" s="21"/>
      <c r="K661" s="22">
        <v>1016609</v>
      </c>
      <c r="L661" s="23"/>
      <c r="M661" s="22">
        <v>0</v>
      </c>
      <c r="N661" s="74">
        <v>0</v>
      </c>
      <c r="O661" s="22">
        <v>0</v>
      </c>
      <c r="P661" s="21">
        <v>6367185</v>
      </c>
      <c r="S661" s="108" t="b">
        <f>OR(COUNTIF(Tabla2[[#This Row],[PROVEEDOR]],"*"&amp;'Palabra no opera'!$A$2&amp;"*"))</f>
        <v>1</v>
      </c>
      <c r="T661" s="139">
        <f>+$W$5-Tabla2[[#This Row],[FECHA DE FACTURACIÓN]]</f>
        <v>183</v>
      </c>
      <c r="U661" t="str">
        <f>+IF(Tabla2[[#This Row],[dias de credito]]&gt;=Tabla2[[#This Row],[PLAZO Días]],"venc", "No venc")</f>
        <v>venc</v>
      </c>
      <c r="V661" t="str">
        <f>+IF(Tabla2[[#This Row],[FECHA DE PAGO]]&gt;0,"pagada","por pagar")</f>
        <v>pagada</v>
      </c>
      <c r="W661" s="141" t="str">
        <f>+IF(AND(Tabla2[[#This Row],[venc]]="venc",Tabla2[[#This Row],[Columna1]]="por pagar"),"vencida","no")</f>
        <v>no</v>
      </c>
    </row>
    <row r="662" spans="1:23" ht="15.6" hidden="1" x14ac:dyDescent="0.3">
      <c r="A662" s="20">
        <v>30</v>
      </c>
      <c r="B662" s="25">
        <v>0</v>
      </c>
      <c r="C662" s="25"/>
      <c r="D662" s="56" t="s">
        <v>107</v>
      </c>
      <c r="E662" s="426">
        <v>45119</v>
      </c>
      <c r="F662" s="26" t="s">
        <v>1194</v>
      </c>
      <c r="G662" s="426">
        <v>45118</v>
      </c>
      <c r="H662" s="35" t="s">
        <v>1834</v>
      </c>
      <c r="I662" s="21">
        <v>4587000</v>
      </c>
      <c r="J662" s="21"/>
      <c r="K662" s="22">
        <v>0</v>
      </c>
      <c r="L662" s="23"/>
      <c r="M662" s="22">
        <v>0</v>
      </c>
      <c r="N662" s="74">
        <v>0</v>
      </c>
      <c r="O662" s="22">
        <v>0</v>
      </c>
      <c r="P662" s="21">
        <v>4587000</v>
      </c>
      <c r="S662" s="108" t="b">
        <f>OR(COUNTIF(Tabla2[[#This Row],[PROVEEDOR]],"*"&amp;'Palabra no opera'!$A$2&amp;"*"))</f>
        <v>0</v>
      </c>
      <c r="T662" s="139">
        <f>+$W$5-Tabla2[[#This Row],[FECHA DE FACTURACIÓN]]</f>
        <v>173</v>
      </c>
      <c r="U662" t="str">
        <f>+IF(Tabla2[[#This Row],[dias de credito]]&gt;=Tabla2[[#This Row],[PLAZO Días]],"venc", "No venc")</f>
        <v>venc</v>
      </c>
      <c r="V662" t="str">
        <f>+IF(Tabla2[[#This Row],[FECHA DE PAGO]]&gt;0,"pagada","por pagar")</f>
        <v>pagada</v>
      </c>
      <c r="W662" s="141" t="str">
        <f>+IF(AND(Tabla2[[#This Row],[venc]]="venc",Tabla2[[#This Row],[Columna1]]="por pagar"),"vencida","no")</f>
        <v>no</v>
      </c>
    </row>
    <row r="663" spans="1:23" ht="15.6" hidden="1" x14ac:dyDescent="0.3">
      <c r="A663" s="20">
        <v>30</v>
      </c>
      <c r="B663" s="25">
        <v>4248480.9550000001</v>
      </c>
      <c r="C663" s="25"/>
      <c r="D663" s="56" t="s">
        <v>107</v>
      </c>
      <c r="E663" s="426">
        <v>45118</v>
      </c>
      <c r="F663" s="26" t="s">
        <v>78</v>
      </c>
      <c r="G663" s="426">
        <v>45084</v>
      </c>
      <c r="H663" s="35" t="s">
        <v>1758</v>
      </c>
      <c r="I663" s="21">
        <v>458352</v>
      </c>
      <c r="J663" s="21"/>
      <c r="K663" s="22">
        <v>87086.88</v>
      </c>
      <c r="L663" s="23"/>
      <c r="M663" s="22">
        <v>0</v>
      </c>
      <c r="N663" s="74">
        <v>0</v>
      </c>
      <c r="O663" s="22">
        <v>0</v>
      </c>
      <c r="P663" s="21">
        <v>545438.88</v>
      </c>
      <c r="S663" s="108" t="b">
        <f>OR(COUNTIF(Tabla2[[#This Row],[PROVEEDOR]],"*"&amp;'Palabra no opera'!$A$2&amp;"*"))</f>
        <v>0</v>
      </c>
      <c r="T663" s="139">
        <f>+$W$5-Tabla2[[#This Row],[FECHA DE FACTURACIÓN]]</f>
        <v>207</v>
      </c>
      <c r="U663" t="str">
        <f>+IF(Tabla2[[#This Row],[dias de credito]]&gt;=Tabla2[[#This Row],[PLAZO Días]],"venc", "No venc")</f>
        <v>venc</v>
      </c>
      <c r="V663" t="str">
        <f>+IF(Tabla2[[#This Row],[FECHA DE PAGO]]&gt;0,"pagada","por pagar")</f>
        <v>pagada</v>
      </c>
      <c r="W663" s="141" t="str">
        <f>+IF(AND(Tabla2[[#This Row],[venc]]="venc",Tabla2[[#This Row],[Columna1]]="por pagar"),"vencida","no")</f>
        <v>no</v>
      </c>
    </row>
    <row r="664" spans="1:23" ht="15.6" hidden="1" x14ac:dyDescent="0.3">
      <c r="A664" s="20">
        <v>30</v>
      </c>
      <c r="B664" s="25">
        <v>4248480.9550000001</v>
      </c>
      <c r="C664" s="25"/>
      <c r="D664" s="56" t="s">
        <v>107</v>
      </c>
      <c r="E664" s="426">
        <v>45118</v>
      </c>
      <c r="F664" s="26" t="s">
        <v>78</v>
      </c>
      <c r="G664" s="426">
        <v>45084</v>
      </c>
      <c r="H664" s="35" t="s">
        <v>1759</v>
      </c>
      <c r="I664" s="21">
        <v>128033</v>
      </c>
      <c r="J664" s="21"/>
      <c r="K664" s="22">
        <v>24326.27</v>
      </c>
      <c r="L664" s="23"/>
      <c r="M664" s="22">
        <v>0</v>
      </c>
      <c r="N664" s="74">
        <v>0</v>
      </c>
      <c r="O664" s="22">
        <v>0</v>
      </c>
      <c r="P664" s="21">
        <v>152359.26999999999</v>
      </c>
      <c r="S664" s="108" t="b">
        <f>OR(COUNTIF(Tabla2[[#This Row],[PROVEEDOR]],"*"&amp;'Palabra no opera'!$A$2&amp;"*"))</f>
        <v>0</v>
      </c>
      <c r="T664" s="139">
        <f>+$W$5-Tabla2[[#This Row],[FECHA DE FACTURACIÓN]]</f>
        <v>207</v>
      </c>
      <c r="U664" t="str">
        <f>+IF(Tabla2[[#This Row],[dias de credito]]&gt;=Tabla2[[#This Row],[PLAZO Días]],"venc", "No venc")</f>
        <v>venc</v>
      </c>
      <c r="V664" t="str">
        <f>+IF(Tabla2[[#This Row],[FECHA DE PAGO]]&gt;0,"pagada","por pagar")</f>
        <v>pagada</v>
      </c>
      <c r="W664" s="141" t="str">
        <f>+IF(AND(Tabla2[[#This Row],[venc]]="venc",Tabla2[[#This Row],[Columna1]]="por pagar"),"vencida","no")</f>
        <v>no</v>
      </c>
    </row>
    <row r="665" spans="1:23" ht="15.6" hidden="1" x14ac:dyDescent="0.3">
      <c r="A665" s="20">
        <v>30</v>
      </c>
      <c r="B665" s="25">
        <v>4248480.9550000001</v>
      </c>
      <c r="C665" s="25"/>
      <c r="D665" s="56" t="s">
        <v>107</v>
      </c>
      <c r="E665" s="426">
        <v>45118</v>
      </c>
      <c r="F665" s="26" t="s">
        <v>78</v>
      </c>
      <c r="G665" s="426">
        <v>45082</v>
      </c>
      <c r="H665" s="35" t="s">
        <v>1731</v>
      </c>
      <c r="I665" s="21">
        <v>1949799</v>
      </c>
      <c r="J665" s="21"/>
      <c r="K665" s="22">
        <v>370461.81</v>
      </c>
      <c r="L665" s="23"/>
      <c r="M665" s="22">
        <v>0</v>
      </c>
      <c r="N665" s="74">
        <v>2.5000000000000001E-2</v>
      </c>
      <c r="O665" s="22">
        <v>48744.975000000006</v>
      </c>
      <c r="P665" s="21">
        <v>2271515.835</v>
      </c>
      <c r="S665" s="108" t="b">
        <f>OR(COUNTIF(Tabla2[[#This Row],[PROVEEDOR]],"*"&amp;'Palabra no opera'!$A$2&amp;"*"))</f>
        <v>0</v>
      </c>
      <c r="T665" s="139">
        <f>+$W$5-Tabla2[[#This Row],[FECHA DE FACTURACIÓN]]</f>
        <v>209</v>
      </c>
      <c r="U665" t="str">
        <f>+IF(Tabla2[[#This Row],[dias de credito]]&gt;=Tabla2[[#This Row],[PLAZO Días]],"venc", "No venc")</f>
        <v>venc</v>
      </c>
      <c r="V665" t="str">
        <f>+IF(Tabla2[[#This Row],[FECHA DE PAGO]]&gt;0,"pagada","por pagar")</f>
        <v>pagada</v>
      </c>
      <c r="W665" s="141" t="str">
        <f>+IF(AND(Tabla2[[#This Row],[venc]]="venc",Tabla2[[#This Row],[Columna1]]="por pagar"),"vencida","no")</f>
        <v>no</v>
      </c>
    </row>
    <row r="666" spans="1:23" ht="15.6" hidden="1" x14ac:dyDescent="0.3">
      <c r="A666" s="20">
        <v>30</v>
      </c>
      <c r="B666" s="25">
        <v>0</v>
      </c>
      <c r="C666" s="25"/>
      <c r="D666" s="56" t="s">
        <v>258</v>
      </c>
      <c r="E666" s="426">
        <v>45118</v>
      </c>
      <c r="F666" s="26" t="s">
        <v>394</v>
      </c>
      <c r="G666" s="426">
        <v>45076</v>
      </c>
      <c r="H666" s="35">
        <v>85</v>
      </c>
      <c r="I666" s="21">
        <v>1980000</v>
      </c>
      <c r="J666" s="21"/>
      <c r="K666" s="22">
        <v>0</v>
      </c>
      <c r="L666" s="23"/>
      <c r="M666" s="22">
        <v>0</v>
      </c>
      <c r="N666" s="74">
        <v>0</v>
      </c>
      <c r="O666" s="22">
        <v>0</v>
      </c>
      <c r="P666" s="21">
        <v>1980000</v>
      </c>
      <c r="S666" s="108" t="b">
        <f>OR(COUNTIF(Tabla2[[#This Row],[PROVEEDOR]],"*"&amp;'Palabra no opera'!$A$2&amp;"*"))</f>
        <v>0</v>
      </c>
      <c r="T666" s="139">
        <f>+$W$5-Tabla2[[#This Row],[FECHA DE FACTURACIÓN]]</f>
        <v>215</v>
      </c>
      <c r="U666" t="str">
        <f>+IF(Tabla2[[#This Row],[dias de credito]]&gt;=Tabla2[[#This Row],[PLAZO Días]],"venc", "No venc")</f>
        <v>venc</v>
      </c>
      <c r="V666" t="str">
        <f>+IF(Tabla2[[#This Row],[FECHA DE PAGO]]&gt;0,"pagada","por pagar")</f>
        <v>pagada</v>
      </c>
      <c r="W666" s="141" t="str">
        <f>+IF(AND(Tabla2[[#This Row],[venc]]="venc",Tabla2[[#This Row],[Columna1]]="por pagar"),"vencida","no")</f>
        <v>no</v>
      </c>
    </row>
    <row r="667" spans="1:23" ht="15.6" hidden="1" x14ac:dyDescent="0.3">
      <c r="A667" s="20">
        <v>30</v>
      </c>
      <c r="B667" s="25">
        <v>0</v>
      </c>
      <c r="C667" s="25"/>
      <c r="D667" s="56" t="s">
        <v>211</v>
      </c>
      <c r="E667" s="426">
        <v>45118</v>
      </c>
      <c r="F667" s="26" t="s">
        <v>1371</v>
      </c>
      <c r="G667" s="426">
        <v>45076</v>
      </c>
      <c r="H667" s="35">
        <v>2127</v>
      </c>
      <c r="I667" s="21">
        <v>84000</v>
      </c>
      <c r="J667" s="21"/>
      <c r="K667" s="22">
        <v>0</v>
      </c>
      <c r="L667" s="23"/>
      <c r="M667" s="22">
        <v>0</v>
      </c>
      <c r="N667" s="74">
        <v>0</v>
      </c>
      <c r="O667" s="22">
        <v>0</v>
      </c>
      <c r="P667" s="21">
        <v>84000</v>
      </c>
      <c r="S667" s="108" t="b">
        <f>OR(COUNTIF(Tabla2[[#This Row],[PROVEEDOR]],"*"&amp;'Palabra no opera'!$A$2&amp;"*"))</f>
        <v>0</v>
      </c>
      <c r="T667" s="139">
        <f>+$W$5-Tabla2[[#This Row],[FECHA DE FACTURACIÓN]]</f>
        <v>215</v>
      </c>
      <c r="U667" t="str">
        <f>+IF(Tabla2[[#This Row],[dias de credito]]&gt;=Tabla2[[#This Row],[PLAZO Días]],"venc", "No venc")</f>
        <v>venc</v>
      </c>
      <c r="V667" t="str">
        <f>+IF(Tabla2[[#This Row],[FECHA DE PAGO]]&gt;0,"pagada","por pagar")</f>
        <v>pagada</v>
      </c>
      <c r="W667" s="141" t="str">
        <f>+IF(AND(Tabla2[[#This Row],[venc]]="venc",Tabla2[[#This Row],[Columna1]]="por pagar"),"vencida","no")</f>
        <v>no</v>
      </c>
    </row>
    <row r="668" spans="1:23" ht="15.6" hidden="1" x14ac:dyDescent="0.3">
      <c r="A668" s="20">
        <v>30</v>
      </c>
      <c r="B668" s="25">
        <v>4248480.9550000001</v>
      </c>
      <c r="C668" s="25"/>
      <c r="D668" s="56" t="s">
        <v>107</v>
      </c>
      <c r="E668" s="426">
        <v>45118</v>
      </c>
      <c r="F668" s="26" t="s">
        <v>78</v>
      </c>
      <c r="G668" s="426">
        <v>45072</v>
      </c>
      <c r="H668" s="35" t="s">
        <v>1708</v>
      </c>
      <c r="I668" s="21">
        <v>151261</v>
      </c>
      <c r="J668" s="21"/>
      <c r="K668" s="22">
        <v>28739.59</v>
      </c>
      <c r="L668" s="23"/>
      <c r="M668" s="22">
        <v>0</v>
      </c>
      <c r="N668" s="74">
        <v>0</v>
      </c>
      <c r="O668" s="22">
        <v>0</v>
      </c>
      <c r="P668" s="21">
        <v>180000.59</v>
      </c>
      <c r="S668" s="108" t="b">
        <f>OR(COUNTIF(Tabla2[[#This Row],[PROVEEDOR]],"*"&amp;'Palabra no opera'!$A$2&amp;"*"))</f>
        <v>0</v>
      </c>
      <c r="T668" s="139">
        <f>+$W$5-Tabla2[[#This Row],[FECHA DE FACTURACIÓN]]</f>
        <v>219</v>
      </c>
      <c r="U668" t="str">
        <f>+IF(Tabla2[[#This Row],[dias de credito]]&gt;=Tabla2[[#This Row],[PLAZO Días]],"venc", "No venc")</f>
        <v>venc</v>
      </c>
      <c r="V668" t="str">
        <f>+IF(Tabla2[[#This Row],[FECHA DE PAGO]]&gt;0,"pagada","por pagar")</f>
        <v>pagada</v>
      </c>
      <c r="W668" s="141" t="str">
        <f>+IF(AND(Tabla2[[#This Row],[venc]]="venc",Tabla2[[#This Row],[Columna1]]="por pagar"),"vencida","no")</f>
        <v>no</v>
      </c>
    </row>
    <row r="669" spans="1:23" ht="15.6" hidden="1" x14ac:dyDescent="0.3">
      <c r="A669" s="20">
        <v>30</v>
      </c>
      <c r="B669" s="25">
        <v>0</v>
      </c>
      <c r="C669" s="25"/>
      <c r="D669" s="56" t="s">
        <v>368</v>
      </c>
      <c r="E669" s="426">
        <v>45117</v>
      </c>
      <c r="F669" s="26" t="s">
        <v>623</v>
      </c>
      <c r="G669" s="426">
        <v>45108</v>
      </c>
      <c r="H669" s="35" t="s">
        <v>1865</v>
      </c>
      <c r="I669" s="21">
        <v>3792544</v>
      </c>
      <c r="J669" s="21"/>
      <c r="K669" s="22">
        <v>720583.36</v>
      </c>
      <c r="L669" s="23"/>
      <c r="M669" s="22">
        <v>0</v>
      </c>
      <c r="N669" s="74">
        <v>0</v>
      </c>
      <c r="O669" s="22">
        <v>0</v>
      </c>
      <c r="P669" s="21">
        <v>4513127.3600000003</v>
      </c>
      <c r="S669" s="108" t="b">
        <f>OR(COUNTIF(Tabla2[[#This Row],[PROVEEDOR]],"*"&amp;'Palabra no opera'!$A$2&amp;"*"))</f>
        <v>1</v>
      </c>
      <c r="T669" s="139">
        <f>+$W$5-Tabla2[[#This Row],[FECHA DE FACTURACIÓN]]</f>
        <v>183</v>
      </c>
      <c r="U669" t="str">
        <f>+IF(Tabla2[[#This Row],[dias de credito]]&gt;=Tabla2[[#This Row],[PLAZO Días]],"venc", "No venc")</f>
        <v>venc</v>
      </c>
      <c r="V669" t="str">
        <f>+IF(Tabla2[[#This Row],[FECHA DE PAGO]]&gt;0,"pagada","por pagar")</f>
        <v>pagada</v>
      </c>
      <c r="W669" s="141" t="str">
        <f>+IF(AND(Tabla2[[#This Row],[venc]]="venc",Tabla2[[#This Row],[Columna1]]="por pagar"),"vencida","no")</f>
        <v>no</v>
      </c>
    </row>
    <row r="670" spans="1:23" ht="15.6" hidden="1" x14ac:dyDescent="0.3">
      <c r="A670" s="20">
        <v>30</v>
      </c>
      <c r="B670" s="25">
        <v>0</v>
      </c>
      <c r="C670" s="25"/>
      <c r="D670" s="56" t="s">
        <v>368</v>
      </c>
      <c r="E670" s="426">
        <v>45117</v>
      </c>
      <c r="F670" s="26" t="s">
        <v>623</v>
      </c>
      <c r="G670" s="426">
        <v>45108</v>
      </c>
      <c r="H670" s="35" t="s">
        <v>1864</v>
      </c>
      <c r="I670" s="21">
        <v>908172</v>
      </c>
      <c r="J670" s="21"/>
      <c r="K670" s="22">
        <v>172552.68</v>
      </c>
      <c r="L670" s="23"/>
      <c r="M670" s="22">
        <v>0</v>
      </c>
      <c r="N670" s="74">
        <v>0.04</v>
      </c>
      <c r="O670" s="22">
        <v>36326.879999999997</v>
      </c>
      <c r="P670" s="21">
        <v>1044397.7999999999</v>
      </c>
      <c r="S670" s="108" t="b">
        <f>OR(COUNTIF(Tabla2[[#This Row],[PROVEEDOR]],"*"&amp;'Palabra no opera'!$A$2&amp;"*"))</f>
        <v>1</v>
      </c>
      <c r="T670" s="139">
        <f>+$W$5-Tabla2[[#This Row],[FECHA DE FACTURACIÓN]]</f>
        <v>183</v>
      </c>
      <c r="U670" t="str">
        <f>+IF(Tabla2[[#This Row],[dias de credito]]&gt;=Tabla2[[#This Row],[PLAZO Días]],"venc", "No venc")</f>
        <v>venc</v>
      </c>
      <c r="V670" t="str">
        <f>+IF(Tabla2[[#This Row],[FECHA DE PAGO]]&gt;0,"pagada","por pagar")</f>
        <v>pagada</v>
      </c>
      <c r="W670" s="141" t="str">
        <f>+IF(AND(Tabla2[[#This Row],[venc]]="venc",Tabla2[[#This Row],[Columna1]]="por pagar"),"vencida","no")</f>
        <v>no</v>
      </c>
    </row>
    <row r="671" spans="1:23" ht="15.6" hidden="1" x14ac:dyDescent="0.3">
      <c r="A671" s="20">
        <v>30</v>
      </c>
      <c r="B671" s="25">
        <v>0</v>
      </c>
      <c r="C671" s="25"/>
      <c r="D671" s="56" t="s">
        <v>193</v>
      </c>
      <c r="E671" s="426">
        <v>45117</v>
      </c>
      <c r="F671" s="26" t="s">
        <v>651</v>
      </c>
      <c r="G671" s="426">
        <v>45108</v>
      </c>
      <c r="H671" s="35" t="s">
        <v>1788</v>
      </c>
      <c r="I671" s="21">
        <v>243611</v>
      </c>
      <c r="J671" s="21"/>
      <c r="K671" s="22">
        <v>46286.090000000004</v>
      </c>
      <c r="L671" s="23"/>
      <c r="M671" s="22">
        <v>0</v>
      </c>
      <c r="N671" s="74">
        <v>3.5000000000000003E-2</v>
      </c>
      <c r="O671" s="22">
        <v>8526.3850000000002</v>
      </c>
      <c r="P671" s="21">
        <v>281370.70500000002</v>
      </c>
      <c r="S671" s="108" t="b">
        <f>OR(COUNTIF(Tabla2[[#This Row],[PROVEEDOR]],"*"&amp;'Palabra no opera'!$A$2&amp;"*"))</f>
        <v>1</v>
      </c>
      <c r="T671" s="139">
        <f>+$W$5-Tabla2[[#This Row],[FECHA DE FACTURACIÓN]]</f>
        <v>183</v>
      </c>
      <c r="U671" t="str">
        <f>+IF(Tabla2[[#This Row],[dias de credito]]&gt;=Tabla2[[#This Row],[PLAZO Días]],"venc", "No venc")</f>
        <v>venc</v>
      </c>
      <c r="V671" t="str">
        <f>+IF(Tabla2[[#This Row],[FECHA DE PAGO]]&gt;0,"pagada","por pagar")</f>
        <v>pagada</v>
      </c>
      <c r="W671" s="141" t="str">
        <f>+IF(AND(Tabla2[[#This Row],[venc]]="venc",Tabla2[[#This Row],[Columna1]]="por pagar"),"vencida","no")</f>
        <v>no</v>
      </c>
    </row>
    <row r="672" spans="1:23" ht="15.6" hidden="1" x14ac:dyDescent="0.3">
      <c r="A672" s="20">
        <v>30</v>
      </c>
      <c r="B672" s="25">
        <v>0</v>
      </c>
      <c r="C672" s="25"/>
      <c r="D672" s="56">
        <v>0</v>
      </c>
      <c r="E672" s="426">
        <v>45117</v>
      </c>
      <c r="F672" s="26" t="s">
        <v>734</v>
      </c>
      <c r="G672" s="426">
        <v>45083</v>
      </c>
      <c r="H672" s="35" t="s">
        <v>1727</v>
      </c>
      <c r="I672" s="21">
        <v>720000</v>
      </c>
      <c r="J672" s="21"/>
      <c r="K672" s="22">
        <v>136800</v>
      </c>
      <c r="L672" s="23"/>
      <c r="M672" s="22">
        <v>0</v>
      </c>
      <c r="N672" s="74">
        <v>0</v>
      </c>
      <c r="O672" s="22">
        <v>0</v>
      </c>
      <c r="P672" s="21">
        <v>856800</v>
      </c>
      <c r="S672" s="108" t="b">
        <f>OR(COUNTIF(Tabla2[[#This Row],[PROVEEDOR]],"*"&amp;'Palabra no opera'!$A$2&amp;"*"))</f>
        <v>0</v>
      </c>
      <c r="T672" s="139">
        <f>+$W$5-Tabla2[[#This Row],[FECHA DE FACTURACIÓN]]</f>
        <v>208</v>
      </c>
      <c r="U672" t="str">
        <f>+IF(Tabla2[[#This Row],[dias de credito]]&gt;=Tabla2[[#This Row],[PLAZO Días]],"venc", "No venc")</f>
        <v>venc</v>
      </c>
      <c r="V672" t="str">
        <f>+IF(Tabla2[[#This Row],[FECHA DE PAGO]]&gt;0,"pagada","por pagar")</f>
        <v>pagada</v>
      </c>
      <c r="W672" s="141" t="str">
        <f>+IF(AND(Tabla2[[#This Row],[venc]]="venc",Tabla2[[#This Row],[Columna1]]="por pagar"),"vencida","no")</f>
        <v>no</v>
      </c>
    </row>
    <row r="673" spans="1:23" ht="15.6" hidden="1" x14ac:dyDescent="0.3">
      <c r="A673" s="20">
        <v>30</v>
      </c>
      <c r="B673" s="25">
        <v>17870934.149999999</v>
      </c>
      <c r="C673" s="25"/>
      <c r="D673" s="56" t="s">
        <v>182</v>
      </c>
      <c r="E673" s="426">
        <v>45117</v>
      </c>
      <c r="F673" s="26" t="s">
        <v>18</v>
      </c>
      <c r="G673" s="426">
        <v>45071</v>
      </c>
      <c r="H673" s="35" t="s">
        <v>1787</v>
      </c>
      <c r="I673" s="21">
        <v>2231250</v>
      </c>
      <c r="J673" s="21"/>
      <c r="K673" s="22">
        <v>423937.5</v>
      </c>
      <c r="L673" s="23"/>
      <c r="M673" s="22">
        <v>0</v>
      </c>
      <c r="N673" s="74">
        <v>2.5000000000000001E-2</v>
      </c>
      <c r="O673" s="22">
        <v>55781.25</v>
      </c>
      <c r="P673" s="21">
        <v>2599406.25</v>
      </c>
      <c r="S673" s="108" t="b">
        <f>OR(COUNTIF(Tabla2[[#This Row],[PROVEEDOR]],"*"&amp;'Palabra no opera'!$A$2&amp;"*"))</f>
        <v>0</v>
      </c>
      <c r="T673" s="139">
        <f>+$W$5-Tabla2[[#This Row],[FECHA DE FACTURACIÓN]]</f>
        <v>220</v>
      </c>
      <c r="U673" t="str">
        <f>+IF(Tabla2[[#This Row],[dias de credito]]&gt;=Tabla2[[#This Row],[PLAZO Días]],"venc", "No venc")</f>
        <v>venc</v>
      </c>
      <c r="V673" t="str">
        <f>+IF(Tabla2[[#This Row],[FECHA DE PAGO]]&gt;0,"pagada","por pagar")</f>
        <v>pagada</v>
      </c>
      <c r="W673" s="141" t="str">
        <f>+IF(AND(Tabla2[[#This Row],[venc]]="venc",Tabla2[[#This Row],[Columna1]]="por pagar"),"vencida","no")</f>
        <v>no</v>
      </c>
    </row>
    <row r="674" spans="1:23" ht="15.6" hidden="1" x14ac:dyDescent="0.3">
      <c r="A674" s="20">
        <v>30</v>
      </c>
      <c r="B674" s="25">
        <v>17870934.149999999</v>
      </c>
      <c r="C674" s="25"/>
      <c r="D674" s="56" t="s">
        <v>182</v>
      </c>
      <c r="E674" s="426">
        <v>45117</v>
      </c>
      <c r="F674" s="26" t="s">
        <v>18</v>
      </c>
      <c r="G674" s="426">
        <v>45058</v>
      </c>
      <c r="H674" s="35" t="s">
        <v>1685</v>
      </c>
      <c r="I674" s="21">
        <v>2115236</v>
      </c>
      <c r="J674" s="21"/>
      <c r="K674" s="22">
        <v>401894.84</v>
      </c>
      <c r="L674" s="23"/>
      <c r="M674" s="22">
        <v>0</v>
      </c>
      <c r="N674" s="74">
        <v>2.5000000000000001E-2</v>
      </c>
      <c r="O674" s="22">
        <v>52880.9</v>
      </c>
      <c r="P674" s="21">
        <v>2464249.94</v>
      </c>
      <c r="S674" s="108" t="b">
        <f>OR(COUNTIF(Tabla2[[#This Row],[PROVEEDOR]],"*"&amp;'Palabra no opera'!$A$2&amp;"*"))</f>
        <v>0</v>
      </c>
      <c r="T674" s="139">
        <f>+$W$5-Tabla2[[#This Row],[FECHA DE FACTURACIÓN]]</f>
        <v>233</v>
      </c>
      <c r="U674" t="str">
        <f>+IF(Tabla2[[#This Row],[dias de credito]]&gt;=Tabla2[[#This Row],[PLAZO Días]],"venc", "No venc")</f>
        <v>venc</v>
      </c>
      <c r="V674" t="str">
        <f>+IF(Tabla2[[#This Row],[FECHA DE PAGO]]&gt;0,"pagada","por pagar")</f>
        <v>pagada</v>
      </c>
      <c r="W674" s="141" t="str">
        <f>+IF(AND(Tabla2[[#This Row],[venc]]="venc",Tabla2[[#This Row],[Columna1]]="por pagar"),"vencida","no")</f>
        <v>no</v>
      </c>
    </row>
    <row r="675" spans="1:23" ht="15.6" hidden="1" x14ac:dyDescent="0.3">
      <c r="A675" s="20">
        <v>30</v>
      </c>
      <c r="B675" s="25">
        <v>2950000</v>
      </c>
      <c r="C675" s="25"/>
      <c r="D675" s="56">
        <v>0</v>
      </c>
      <c r="E675" s="426">
        <v>45117</v>
      </c>
      <c r="F675" s="26" t="s">
        <v>1152</v>
      </c>
      <c r="G675" s="426">
        <v>45056</v>
      </c>
      <c r="H675" s="35">
        <v>843</v>
      </c>
      <c r="I675" s="21">
        <v>1294500</v>
      </c>
      <c r="J675" s="21"/>
      <c r="K675" s="22">
        <v>0</v>
      </c>
      <c r="L675" s="23"/>
      <c r="M675" s="22">
        <v>0</v>
      </c>
      <c r="N675" s="74">
        <v>0</v>
      </c>
      <c r="O675" s="22">
        <v>0</v>
      </c>
      <c r="P675" s="21">
        <v>1294500</v>
      </c>
      <c r="S675" s="108" t="b">
        <f>OR(COUNTIF(Tabla2[[#This Row],[PROVEEDOR]],"*"&amp;'Palabra no opera'!$A$2&amp;"*"))</f>
        <v>0</v>
      </c>
      <c r="T675" s="139">
        <f>+$W$5-Tabla2[[#This Row],[FECHA DE FACTURACIÓN]]</f>
        <v>235</v>
      </c>
      <c r="U675" t="str">
        <f>+IF(Tabla2[[#This Row],[dias de credito]]&gt;=Tabla2[[#This Row],[PLAZO Días]],"venc", "No venc")</f>
        <v>venc</v>
      </c>
      <c r="V675" t="str">
        <f>+IF(Tabla2[[#This Row],[FECHA DE PAGO]]&gt;0,"pagada","por pagar")</f>
        <v>pagada</v>
      </c>
      <c r="W675" s="141" t="str">
        <f>+IF(AND(Tabla2[[#This Row],[venc]]="venc",Tabla2[[#This Row],[Columna1]]="por pagar"),"vencida","no")</f>
        <v>no</v>
      </c>
    </row>
    <row r="676" spans="1:23" ht="15.6" hidden="1" x14ac:dyDescent="0.3">
      <c r="A676" s="20">
        <v>30</v>
      </c>
      <c r="B676" s="25">
        <v>0</v>
      </c>
      <c r="C676" s="25"/>
      <c r="D676" s="56" t="s">
        <v>342</v>
      </c>
      <c r="E676" s="426">
        <v>45117</v>
      </c>
      <c r="F676" s="26" t="s">
        <v>343</v>
      </c>
      <c r="G676" s="426">
        <v>45026</v>
      </c>
      <c r="H676" s="35" t="s">
        <v>1612</v>
      </c>
      <c r="I676" s="21">
        <v>2131000</v>
      </c>
      <c r="J676" s="21"/>
      <c r="K676" s="22">
        <v>0</v>
      </c>
      <c r="L676" s="23"/>
      <c r="M676" s="22">
        <v>0</v>
      </c>
      <c r="N676" s="74">
        <v>0</v>
      </c>
      <c r="O676" s="22">
        <v>0</v>
      </c>
      <c r="P676" s="21">
        <v>2131000</v>
      </c>
      <c r="S676" s="108" t="b">
        <f>OR(COUNTIF(Tabla2[[#This Row],[PROVEEDOR]],"*"&amp;'Palabra no opera'!$A$2&amp;"*"))</f>
        <v>0</v>
      </c>
      <c r="T676" s="139">
        <f>+$W$5-Tabla2[[#This Row],[FECHA DE FACTURACIÓN]]</f>
        <v>265</v>
      </c>
      <c r="U676" t="str">
        <f>+IF(Tabla2[[#This Row],[dias de credito]]&gt;=Tabla2[[#This Row],[PLAZO Días]],"venc", "No venc")</f>
        <v>venc</v>
      </c>
      <c r="V676" t="str">
        <f>+IF(Tabla2[[#This Row],[FECHA DE PAGO]]&gt;0,"pagada","por pagar")</f>
        <v>pagada</v>
      </c>
      <c r="W676" s="141" t="str">
        <f>+IF(AND(Tabla2[[#This Row],[venc]]="venc",Tabla2[[#This Row],[Columna1]]="por pagar"),"vencida","no")</f>
        <v>no</v>
      </c>
    </row>
    <row r="677" spans="1:23" ht="15.6" hidden="1" x14ac:dyDescent="0.3">
      <c r="A677" s="20">
        <v>30</v>
      </c>
      <c r="B677" s="25">
        <v>0</v>
      </c>
      <c r="C677" s="25"/>
      <c r="D677" s="56" t="s">
        <v>1116</v>
      </c>
      <c r="E677" s="426">
        <v>45116</v>
      </c>
      <c r="F677" s="26" t="s">
        <v>638</v>
      </c>
      <c r="G677" s="426">
        <v>45108</v>
      </c>
      <c r="H677" s="35" t="s">
        <v>1886</v>
      </c>
      <c r="I677" s="21">
        <v>3935776</v>
      </c>
      <c r="J677" s="21"/>
      <c r="K677" s="22">
        <v>665000</v>
      </c>
      <c r="L677" s="23"/>
      <c r="M677" s="22">
        <v>0</v>
      </c>
      <c r="N677" s="74">
        <v>3.5000000000000003E-2</v>
      </c>
      <c r="O677" s="22"/>
      <c r="P677" s="21">
        <v>4600776</v>
      </c>
      <c r="S677" s="108" t="b">
        <f>OR(COUNTIF(Tabla2[[#This Row],[PROVEEDOR]],"*"&amp;'Palabra no opera'!$A$2&amp;"*"))</f>
        <v>1</v>
      </c>
      <c r="T677" s="139">
        <f>+$W$5-Tabla2[[#This Row],[FECHA DE FACTURACIÓN]]</f>
        <v>183</v>
      </c>
      <c r="U677" t="str">
        <f>+IF(Tabla2[[#This Row],[dias de credito]]&gt;=Tabla2[[#This Row],[PLAZO Días]],"venc", "No venc")</f>
        <v>venc</v>
      </c>
      <c r="V677" t="str">
        <f>+IF(Tabla2[[#This Row],[FECHA DE PAGO]]&gt;0,"pagada","por pagar")</f>
        <v>pagada</v>
      </c>
      <c r="W677" s="141" t="str">
        <f>+IF(AND(Tabla2[[#This Row],[venc]]="venc",Tabla2[[#This Row],[Columna1]]="por pagar"),"vencida","no")</f>
        <v>no</v>
      </c>
    </row>
    <row r="678" spans="1:23" ht="15.6" hidden="1" x14ac:dyDescent="0.3">
      <c r="A678" s="20">
        <v>30</v>
      </c>
      <c r="B678" s="25">
        <v>0</v>
      </c>
      <c r="C678" s="25"/>
      <c r="D678" s="56" t="s">
        <v>107</v>
      </c>
      <c r="E678" s="426">
        <v>45115</v>
      </c>
      <c r="F678" s="26" t="s">
        <v>378</v>
      </c>
      <c r="G678" s="426">
        <v>45115</v>
      </c>
      <c r="H678" s="35" t="s">
        <v>1798</v>
      </c>
      <c r="I678" s="21">
        <v>625000</v>
      </c>
      <c r="J678" s="21"/>
      <c r="K678" s="22">
        <v>0</v>
      </c>
      <c r="L678" s="23"/>
      <c r="M678" s="22">
        <v>0</v>
      </c>
      <c r="N678" s="74">
        <v>0</v>
      </c>
      <c r="O678" s="22">
        <v>0</v>
      </c>
      <c r="P678" s="21">
        <v>625000</v>
      </c>
      <c r="S678" s="108" t="b">
        <f>OR(COUNTIF(Tabla2[[#This Row],[PROVEEDOR]],"*"&amp;'Palabra no opera'!$A$2&amp;"*"))</f>
        <v>0</v>
      </c>
      <c r="T678" s="139">
        <f>+$W$5-Tabla2[[#This Row],[FECHA DE FACTURACIÓN]]</f>
        <v>176</v>
      </c>
      <c r="U678" t="str">
        <f>+IF(Tabla2[[#This Row],[dias de credito]]&gt;=Tabla2[[#This Row],[PLAZO Días]],"venc", "No venc")</f>
        <v>venc</v>
      </c>
      <c r="V678" t="str">
        <f>+IF(Tabla2[[#This Row],[FECHA DE PAGO]]&gt;0,"pagada","por pagar")</f>
        <v>pagada</v>
      </c>
      <c r="W678" s="141" t="str">
        <f>+IF(AND(Tabla2[[#This Row],[venc]]="venc",Tabla2[[#This Row],[Columna1]]="por pagar"),"vencida","no")</f>
        <v>no</v>
      </c>
    </row>
    <row r="679" spans="1:23" ht="15.6" hidden="1" x14ac:dyDescent="0.3">
      <c r="A679" s="20">
        <v>30</v>
      </c>
      <c r="B679" s="25">
        <v>0</v>
      </c>
      <c r="C679" s="25"/>
      <c r="D679" s="56">
        <v>0</v>
      </c>
      <c r="E679" s="426">
        <v>45115</v>
      </c>
      <c r="F679" s="26" t="s">
        <v>1736</v>
      </c>
      <c r="G679" s="426">
        <v>45111</v>
      </c>
      <c r="H679" s="35">
        <v>3</v>
      </c>
      <c r="I679" s="21">
        <v>430000</v>
      </c>
      <c r="J679" s="21"/>
      <c r="K679" s="22">
        <v>0</v>
      </c>
      <c r="L679" s="23"/>
      <c r="M679" s="22">
        <v>0</v>
      </c>
      <c r="N679" s="74">
        <v>0</v>
      </c>
      <c r="O679" s="22">
        <v>0</v>
      </c>
      <c r="P679" s="21">
        <v>430000</v>
      </c>
      <c r="S679" s="108" t="b">
        <f>OR(COUNTIF(Tabla2[[#This Row],[PROVEEDOR]],"*"&amp;'Palabra no opera'!$A$2&amp;"*"))</f>
        <v>0</v>
      </c>
      <c r="T679" s="139">
        <f>+$W$5-Tabla2[[#This Row],[FECHA DE FACTURACIÓN]]</f>
        <v>180</v>
      </c>
      <c r="U679" t="str">
        <f>+IF(Tabla2[[#This Row],[dias de credito]]&gt;=Tabla2[[#This Row],[PLAZO Días]],"venc", "No venc")</f>
        <v>venc</v>
      </c>
      <c r="V679" t="str">
        <f>+IF(Tabla2[[#This Row],[FECHA DE PAGO]]&gt;0,"pagada","por pagar")</f>
        <v>pagada</v>
      </c>
      <c r="W679" s="141" t="str">
        <f>+IF(AND(Tabla2[[#This Row],[venc]]="venc",Tabla2[[#This Row],[Columna1]]="por pagar"),"vencida","no")</f>
        <v>no</v>
      </c>
    </row>
    <row r="680" spans="1:23" ht="15.6" hidden="1" x14ac:dyDescent="0.3">
      <c r="A680" s="20">
        <v>30</v>
      </c>
      <c r="B680" s="25">
        <v>0</v>
      </c>
      <c r="C680" s="25"/>
      <c r="D680" s="56">
        <v>0</v>
      </c>
      <c r="E680" s="426">
        <v>45113</v>
      </c>
      <c r="F680" s="26" t="s">
        <v>1800</v>
      </c>
      <c r="G680" s="426">
        <v>45113</v>
      </c>
      <c r="H680" s="35" t="s">
        <v>1801</v>
      </c>
      <c r="I680" s="21">
        <v>587000</v>
      </c>
      <c r="J680" s="21"/>
      <c r="K680" s="22">
        <v>0</v>
      </c>
      <c r="L680" s="23"/>
      <c r="M680" s="22">
        <v>0</v>
      </c>
      <c r="N680" s="74">
        <v>0</v>
      </c>
      <c r="O680" s="22">
        <v>0</v>
      </c>
      <c r="P680" s="21">
        <v>587000</v>
      </c>
      <c r="S680" s="108" t="b">
        <f>OR(COUNTIF(Tabla2[[#This Row],[PROVEEDOR]],"*"&amp;'Palabra no opera'!$A$2&amp;"*"))</f>
        <v>0</v>
      </c>
      <c r="T680" s="139">
        <f>+$W$5-Tabla2[[#This Row],[FECHA DE FACTURACIÓN]]</f>
        <v>178</v>
      </c>
      <c r="U680" t="str">
        <f>+IF(Tabla2[[#This Row],[dias de credito]]&gt;=Tabla2[[#This Row],[PLAZO Días]],"venc", "No venc")</f>
        <v>venc</v>
      </c>
      <c r="V680" t="str">
        <f>+IF(Tabla2[[#This Row],[FECHA DE PAGO]]&gt;0,"pagada","por pagar")</f>
        <v>pagada</v>
      </c>
      <c r="W680" s="141" t="str">
        <f>+IF(AND(Tabla2[[#This Row],[venc]]="venc",Tabla2[[#This Row],[Columna1]]="por pagar"),"vencida","no")</f>
        <v>no</v>
      </c>
    </row>
    <row r="681" spans="1:23" ht="15.6" hidden="1" x14ac:dyDescent="0.3">
      <c r="A681" s="20">
        <v>30</v>
      </c>
      <c r="B681" s="25">
        <v>0</v>
      </c>
      <c r="C681" s="25"/>
      <c r="D681" s="56">
        <v>0</v>
      </c>
      <c r="E681" s="426">
        <v>45113</v>
      </c>
      <c r="F681" s="26" t="s">
        <v>1762</v>
      </c>
      <c r="G681" s="426">
        <v>45113</v>
      </c>
      <c r="H681" s="35" t="s">
        <v>1799</v>
      </c>
      <c r="I681" s="21">
        <v>582000</v>
      </c>
      <c r="J681" s="21"/>
      <c r="K681" s="22">
        <v>0</v>
      </c>
      <c r="L681" s="23"/>
      <c r="M681" s="22">
        <v>0</v>
      </c>
      <c r="N681" s="74">
        <v>0</v>
      </c>
      <c r="O681" s="22">
        <v>0</v>
      </c>
      <c r="P681" s="21">
        <v>582000</v>
      </c>
      <c r="S681" s="108" t="b">
        <f>OR(COUNTIF(Tabla2[[#This Row],[PROVEEDOR]],"*"&amp;'Palabra no opera'!$A$2&amp;"*"))</f>
        <v>0</v>
      </c>
      <c r="T681" s="139">
        <f>+$W$5-Tabla2[[#This Row],[FECHA DE FACTURACIÓN]]</f>
        <v>178</v>
      </c>
      <c r="U681" t="str">
        <f>+IF(Tabla2[[#This Row],[dias de credito]]&gt;=Tabla2[[#This Row],[PLAZO Días]],"venc", "No venc")</f>
        <v>venc</v>
      </c>
      <c r="V681" t="str">
        <f>+IF(Tabla2[[#This Row],[FECHA DE PAGO]]&gt;0,"pagada","por pagar")</f>
        <v>pagada</v>
      </c>
      <c r="W681" s="141" t="str">
        <f>+IF(AND(Tabla2[[#This Row],[venc]]="venc",Tabla2[[#This Row],[Columna1]]="por pagar"),"vencida","no")</f>
        <v>no</v>
      </c>
    </row>
    <row r="682" spans="1:23" ht="15.6" hidden="1" x14ac:dyDescent="0.3">
      <c r="A682" s="20">
        <v>30</v>
      </c>
      <c r="B682" s="25">
        <v>0</v>
      </c>
      <c r="C682" s="25"/>
      <c r="D682" s="56" t="s">
        <v>107</v>
      </c>
      <c r="E682" s="426">
        <v>45111</v>
      </c>
      <c r="F682" s="26" t="s">
        <v>1403</v>
      </c>
      <c r="G682" s="426">
        <v>45098</v>
      </c>
      <c r="H682" s="35">
        <v>55</v>
      </c>
      <c r="I682" s="21">
        <v>687000</v>
      </c>
      <c r="J682" s="21"/>
      <c r="K682" s="22">
        <v>0</v>
      </c>
      <c r="L682" s="23"/>
      <c r="M682" s="22">
        <v>0</v>
      </c>
      <c r="N682" s="74">
        <v>0</v>
      </c>
      <c r="O682" s="22">
        <v>0</v>
      </c>
      <c r="P682" s="21">
        <v>687000</v>
      </c>
      <c r="S682" s="108" t="b">
        <f>OR(COUNTIF(Tabla2[[#This Row],[PROVEEDOR]],"*"&amp;'Palabra no opera'!$A$2&amp;"*"))</f>
        <v>0</v>
      </c>
      <c r="T682" s="139">
        <f>+$W$5-Tabla2[[#This Row],[FECHA DE FACTURACIÓN]]</f>
        <v>193</v>
      </c>
      <c r="U682" t="str">
        <f>+IF(Tabla2[[#This Row],[dias de credito]]&gt;=Tabla2[[#This Row],[PLAZO Días]],"venc", "No venc")</f>
        <v>venc</v>
      </c>
      <c r="V682" t="str">
        <f>+IF(Tabla2[[#This Row],[FECHA DE PAGO]]&gt;0,"pagada","por pagar")</f>
        <v>pagada</v>
      </c>
      <c r="W682" s="141" t="str">
        <f>+IF(AND(Tabla2[[#This Row],[venc]]="venc",Tabla2[[#This Row],[Columna1]]="por pagar"),"vencida","no")</f>
        <v>no</v>
      </c>
    </row>
    <row r="683" spans="1:23" ht="15.6" hidden="1" x14ac:dyDescent="0.3">
      <c r="A683" s="20">
        <v>30</v>
      </c>
      <c r="B683" s="25">
        <v>0</v>
      </c>
      <c r="C683" s="25"/>
      <c r="D683" s="56" t="s">
        <v>107</v>
      </c>
      <c r="E683" s="426">
        <v>45111</v>
      </c>
      <c r="F683" s="26" t="s">
        <v>1403</v>
      </c>
      <c r="G683" s="426">
        <v>45098</v>
      </c>
      <c r="H683" s="35">
        <v>56</v>
      </c>
      <c r="I683" s="21">
        <v>302000</v>
      </c>
      <c r="J683" s="21"/>
      <c r="K683" s="22">
        <v>0</v>
      </c>
      <c r="L683" s="23"/>
      <c r="M683" s="22">
        <v>0</v>
      </c>
      <c r="N683" s="74">
        <v>0</v>
      </c>
      <c r="O683" s="22">
        <v>0</v>
      </c>
      <c r="P683" s="21">
        <v>302000</v>
      </c>
      <c r="S683" s="108" t="b">
        <f>OR(COUNTIF(Tabla2[[#This Row],[PROVEEDOR]],"*"&amp;'Palabra no opera'!$A$2&amp;"*"))</f>
        <v>0</v>
      </c>
      <c r="T683" s="139">
        <f>+$W$5-Tabla2[[#This Row],[FECHA DE FACTURACIÓN]]</f>
        <v>193</v>
      </c>
      <c r="U683" t="str">
        <f>+IF(Tabla2[[#This Row],[dias de credito]]&gt;=Tabla2[[#This Row],[PLAZO Días]],"venc", "No venc")</f>
        <v>venc</v>
      </c>
      <c r="V683" t="str">
        <f>+IF(Tabla2[[#This Row],[FECHA DE PAGO]]&gt;0,"pagada","por pagar")</f>
        <v>pagada</v>
      </c>
      <c r="W683" s="141" t="str">
        <f>+IF(AND(Tabla2[[#This Row],[venc]]="venc",Tabla2[[#This Row],[Columna1]]="por pagar"),"vencida","no")</f>
        <v>no</v>
      </c>
    </row>
    <row r="684" spans="1:23" ht="15.6" hidden="1" x14ac:dyDescent="0.3">
      <c r="A684" s="20">
        <v>30</v>
      </c>
      <c r="B684" s="25">
        <v>0</v>
      </c>
      <c r="C684" s="25"/>
      <c r="D684" s="56" t="s">
        <v>107</v>
      </c>
      <c r="E684" s="426">
        <v>45111</v>
      </c>
      <c r="F684" s="26" t="s">
        <v>1403</v>
      </c>
      <c r="G684" s="426">
        <v>45097</v>
      </c>
      <c r="H684" s="35">
        <v>54</v>
      </c>
      <c r="I684" s="21">
        <v>103000</v>
      </c>
      <c r="J684" s="21"/>
      <c r="K684" s="22">
        <v>0</v>
      </c>
      <c r="L684" s="23"/>
      <c r="M684" s="22">
        <v>0</v>
      </c>
      <c r="N684" s="74">
        <v>0</v>
      </c>
      <c r="O684" s="22">
        <v>0</v>
      </c>
      <c r="P684" s="21">
        <v>103000</v>
      </c>
      <c r="S684" s="108" t="b">
        <f>OR(COUNTIF(Tabla2[[#This Row],[PROVEEDOR]],"*"&amp;'Palabra no opera'!$A$2&amp;"*"))</f>
        <v>0</v>
      </c>
      <c r="T684" s="139">
        <f>+$W$5-Tabla2[[#This Row],[FECHA DE FACTURACIÓN]]</f>
        <v>194</v>
      </c>
      <c r="U684" t="str">
        <f>+IF(Tabla2[[#This Row],[dias de credito]]&gt;=Tabla2[[#This Row],[PLAZO Días]],"venc", "No venc")</f>
        <v>venc</v>
      </c>
      <c r="V684" t="str">
        <f>+IF(Tabla2[[#This Row],[FECHA DE PAGO]]&gt;0,"pagada","por pagar")</f>
        <v>pagada</v>
      </c>
      <c r="W684" s="141" t="str">
        <f>+IF(AND(Tabla2[[#This Row],[venc]]="venc",Tabla2[[#This Row],[Columna1]]="por pagar"),"vencida","no")</f>
        <v>no</v>
      </c>
    </row>
    <row r="685" spans="1:23" ht="15.6" hidden="1" x14ac:dyDescent="0.3">
      <c r="A685" s="20">
        <v>30</v>
      </c>
      <c r="B685" s="25">
        <v>0</v>
      </c>
      <c r="C685" s="25"/>
      <c r="D685" s="56" t="s">
        <v>107</v>
      </c>
      <c r="E685" s="426">
        <v>45111</v>
      </c>
      <c r="F685" s="26" t="s">
        <v>1403</v>
      </c>
      <c r="G685" s="426">
        <v>45093</v>
      </c>
      <c r="H685" s="35">
        <v>53</v>
      </c>
      <c r="I685" s="21">
        <v>170000</v>
      </c>
      <c r="J685" s="21"/>
      <c r="K685" s="22">
        <v>0</v>
      </c>
      <c r="L685" s="23"/>
      <c r="M685" s="22">
        <v>0</v>
      </c>
      <c r="N685" s="74">
        <v>0</v>
      </c>
      <c r="O685" s="22">
        <v>0</v>
      </c>
      <c r="P685" s="21">
        <v>170000</v>
      </c>
      <c r="S685" s="108" t="b">
        <f>OR(COUNTIF(Tabla2[[#This Row],[PROVEEDOR]],"*"&amp;'Palabra no opera'!$A$2&amp;"*"))</f>
        <v>0</v>
      </c>
      <c r="T685" s="139">
        <f>+$W$5-Tabla2[[#This Row],[FECHA DE FACTURACIÓN]]</f>
        <v>198</v>
      </c>
      <c r="U685" t="str">
        <f>+IF(Tabla2[[#This Row],[dias de credito]]&gt;=Tabla2[[#This Row],[PLAZO Días]],"venc", "No venc")</f>
        <v>venc</v>
      </c>
      <c r="V685" t="str">
        <f>+IF(Tabla2[[#This Row],[FECHA DE PAGO]]&gt;0,"pagada","por pagar")</f>
        <v>pagada</v>
      </c>
      <c r="W685" s="141" t="str">
        <f>+IF(AND(Tabla2[[#This Row],[venc]]="venc",Tabla2[[#This Row],[Columna1]]="por pagar"),"vencida","no")</f>
        <v>no</v>
      </c>
    </row>
    <row r="686" spans="1:23" ht="15.6" hidden="1" x14ac:dyDescent="0.3">
      <c r="A686" s="20">
        <v>30</v>
      </c>
      <c r="B686" s="25">
        <v>0</v>
      </c>
      <c r="C686" s="25"/>
      <c r="D686" s="56" t="s">
        <v>107</v>
      </c>
      <c r="E686" s="426">
        <v>45111</v>
      </c>
      <c r="F686" s="26" t="s">
        <v>1403</v>
      </c>
      <c r="G686" s="426">
        <v>45084</v>
      </c>
      <c r="H686" s="35">
        <v>52</v>
      </c>
      <c r="I686" s="21">
        <v>110000</v>
      </c>
      <c r="J686" s="21"/>
      <c r="K686" s="22">
        <v>0</v>
      </c>
      <c r="L686" s="23"/>
      <c r="M686" s="22">
        <v>0</v>
      </c>
      <c r="N686" s="74">
        <v>0</v>
      </c>
      <c r="O686" s="22">
        <v>0</v>
      </c>
      <c r="P686" s="21">
        <v>110000</v>
      </c>
      <c r="S686" s="108" t="b">
        <f>OR(COUNTIF(Tabla2[[#This Row],[PROVEEDOR]],"*"&amp;'Palabra no opera'!$A$2&amp;"*"))</f>
        <v>0</v>
      </c>
      <c r="T686" s="139">
        <f>+$W$5-Tabla2[[#This Row],[FECHA DE FACTURACIÓN]]</f>
        <v>207</v>
      </c>
      <c r="U686" t="str">
        <f>+IF(Tabla2[[#This Row],[dias de credito]]&gt;=Tabla2[[#This Row],[PLAZO Días]],"venc", "No venc")</f>
        <v>venc</v>
      </c>
      <c r="V686" t="str">
        <f>+IF(Tabla2[[#This Row],[FECHA DE PAGO]]&gt;0,"pagada","por pagar")</f>
        <v>pagada</v>
      </c>
      <c r="W686" s="141" t="str">
        <f>+IF(AND(Tabla2[[#This Row],[venc]]="venc",Tabla2[[#This Row],[Columna1]]="por pagar"),"vencida","no")</f>
        <v>no</v>
      </c>
    </row>
    <row r="687" spans="1:23" ht="15.6" hidden="1" x14ac:dyDescent="0.3">
      <c r="A687" s="20">
        <v>30</v>
      </c>
      <c r="B687" s="25">
        <v>0</v>
      </c>
      <c r="C687" s="25"/>
      <c r="D687" s="56" t="s">
        <v>107</v>
      </c>
      <c r="E687" s="426">
        <v>45111</v>
      </c>
      <c r="F687" s="26" t="s">
        <v>1403</v>
      </c>
      <c r="G687" s="426">
        <v>45083</v>
      </c>
      <c r="H687" s="35">
        <v>51</v>
      </c>
      <c r="I687" s="21">
        <v>330000</v>
      </c>
      <c r="J687" s="21"/>
      <c r="K687" s="22">
        <v>0</v>
      </c>
      <c r="L687" s="23"/>
      <c r="M687" s="22">
        <v>0</v>
      </c>
      <c r="N687" s="74">
        <v>0</v>
      </c>
      <c r="O687" s="22">
        <v>0</v>
      </c>
      <c r="P687" s="21">
        <v>330000</v>
      </c>
      <c r="S687" s="108" t="b">
        <f>OR(COUNTIF(Tabla2[[#This Row],[PROVEEDOR]],"*"&amp;'Palabra no opera'!$A$2&amp;"*"))</f>
        <v>0</v>
      </c>
      <c r="T687" s="139">
        <f>+$W$5-Tabla2[[#This Row],[FECHA DE FACTURACIÓN]]</f>
        <v>208</v>
      </c>
      <c r="U687" t="str">
        <f>+IF(Tabla2[[#This Row],[dias de credito]]&gt;=Tabla2[[#This Row],[PLAZO Días]],"venc", "No venc")</f>
        <v>venc</v>
      </c>
      <c r="V687" t="str">
        <f>+IF(Tabla2[[#This Row],[FECHA DE PAGO]]&gt;0,"pagada","por pagar")</f>
        <v>pagada</v>
      </c>
      <c r="W687" s="141" t="str">
        <f>+IF(AND(Tabla2[[#This Row],[venc]]="venc",Tabla2[[#This Row],[Columna1]]="por pagar"),"vencida","no")</f>
        <v>no</v>
      </c>
    </row>
    <row r="688" spans="1:23" ht="15.6" hidden="1" x14ac:dyDescent="0.3">
      <c r="A688" s="20">
        <v>30</v>
      </c>
      <c r="B688" s="25">
        <v>0</v>
      </c>
      <c r="C688" s="25"/>
      <c r="D688" s="56" t="s">
        <v>107</v>
      </c>
      <c r="E688" s="426">
        <v>45111</v>
      </c>
      <c r="F688" s="26" t="s">
        <v>1403</v>
      </c>
      <c r="G688" s="426">
        <v>45079</v>
      </c>
      <c r="H688" s="35">
        <v>50</v>
      </c>
      <c r="I688" s="21">
        <v>170000</v>
      </c>
      <c r="J688" s="21"/>
      <c r="K688" s="22">
        <v>0</v>
      </c>
      <c r="L688" s="23"/>
      <c r="M688" s="22">
        <v>0</v>
      </c>
      <c r="N688" s="74">
        <v>0</v>
      </c>
      <c r="O688" s="22">
        <v>0</v>
      </c>
      <c r="P688" s="21">
        <v>170000</v>
      </c>
      <c r="S688" s="108" t="b">
        <f>OR(COUNTIF(Tabla2[[#This Row],[PROVEEDOR]],"*"&amp;'Palabra no opera'!$A$2&amp;"*"))</f>
        <v>0</v>
      </c>
      <c r="T688" s="139">
        <f>+$W$5-Tabla2[[#This Row],[FECHA DE FACTURACIÓN]]</f>
        <v>212</v>
      </c>
      <c r="U688" t="str">
        <f>+IF(Tabla2[[#This Row],[dias de credito]]&gt;=Tabla2[[#This Row],[PLAZO Días]],"venc", "No venc")</f>
        <v>venc</v>
      </c>
      <c r="V688" t="str">
        <f>+IF(Tabla2[[#This Row],[FECHA DE PAGO]]&gt;0,"pagada","por pagar")</f>
        <v>pagada</v>
      </c>
      <c r="W688" s="141" t="str">
        <f>+IF(AND(Tabla2[[#This Row],[venc]]="venc",Tabla2[[#This Row],[Columna1]]="por pagar"),"vencida","no")</f>
        <v>no</v>
      </c>
    </row>
    <row r="689" spans="1:23" ht="15.6" hidden="1" x14ac:dyDescent="0.3">
      <c r="A689" s="20">
        <v>30</v>
      </c>
      <c r="B689" s="25">
        <v>0</v>
      </c>
      <c r="C689" s="25"/>
      <c r="D689" s="56" t="s">
        <v>107</v>
      </c>
      <c r="E689" s="426">
        <v>45111</v>
      </c>
      <c r="F689" s="26" t="s">
        <v>1403</v>
      </c>
      <c r="G689" s="426">
        <v>45076</v>
      </c>
      <c r="H689" s="35">
        <v>49</v>
      </c>
      <c r="I689" s="21">
        <v>101500</v>
      </c>
      <c r="J689" s="21"/>
      <c r="K689" s="22">
        <v>0</v>
      </c>
      <c r="L689" s="23"/>
      <c r="M689" s="22">
        <v>0</v>
      </c>
      <c r="N689" s="74">
        <v>0</v>
      </c>
      <c r="O689" s="22">
        <v>0</v>
      </c>
      <c r="P689" s="21">
        <v>101500</v>
      </c>
      <c r="S689" s="108" t="b">
        <f>OR(COUNTIF(Tabla2[[#This Row],[PROVEEDOR]],"*"&amp;'Palabra no opera'!$A$2&amp;"*"))</f>
        <v>0</v>
      </c>
      <c r="T689" s="139">
        <f>+$W$5-Tabla2[[#This Row],[FECHA DE FACTURACIÓN]]</f>
        <v>215</v>
      </c>
      <c r="U689" t="str">
        <f>+IF(Tabla2[[#This Row],[dias de credito]]&gt;=Tabla2[[#This Row],[PLAZO Días]],"venc", "No venc")</f>
        <v>venc</v>
      </c>
      <c r="V689" t="str">
        <f>+IF(Tabla2[[#This Row],[FECHA DE PAGO]]&gt;0,"pagada","por pagar")</f>
        <v>pagada</v>
      </c>
      <c r="W689" s="141" t="str">
        <f>+IF(AND(Tabla2[[#This Row],[venc]]="venc",Tabla2[[#This Row],[Columna1]]="por pagar"),"vencida","no")</f>
        <v>no</v>
      </c>
    </row>
    <row r="690" spans="1:23" ht="15.6" hidden="1" x14ac:dyDescent="0.3">
      <c r="A690" s="20">
        <v>30</v>
      </c>
      <c r="B690" s="25">
        <v>0</v>
      </c>
      <c r="C690" s="25"/>
      <c r="D690" s="56" t="s">
        <v>107</v>
      </c>
      <c r="E690" s="426">
        <v>45111</v>
      </c>
      <c r="F690" s="26" t="s">
        <v>1403</v>
      </c>
      <c r="G690" s="426">
        <v>45067</v>
      </c>
      <c r="H690" s="35">
        <v>48</v>
      </c>
      <c r="I690" s="21">
        <v>54000</v>
      </c>
      <c r="J690" s="21"/>
      <c r="K690" s="22">
        <v>0</v>
      </c>
      <c r="L690" s="23"/>
      <c r="M690" s="22">
        <v>0</v>
      </c>
      <c r="N690" s="74">
        <v>0</v>
      </c>
      <c r="O690" s="22">
        <v>0</v>
      </c>
      <c r="P690" s="21">
        <v>54000</v>
      </c>
      <c r="S690" s="108" t="b">
        <f>OR(COUNTIF(Tabla2[[#This Row],[PROVEEDOR]],"*"&amp;'Palabra no opera'!$A$2&amp;"*"))</f>
        <v>0</v>
      </c>
      <c r="T690" s="139">
        <f>+$W$5-Tabla2[[#This Row],[FECHA DE FACTURACIÓN]]</f>
        <v>224</v>
      </c>
      <c r="U690" t="str">
        <f>+IF(Tabla2[[#This Row],[dias de credito]]&gt;=Tabla2[[#This Row],[PLAZO Días]],"venc", "No venc")</f>
        <v>venc</v>
      </c>
      <c r="V690" t="str">
        <f>+IF(Tabla2[[#This Row],[FECHA DE PAGO]]&gt;0,"pagada","por pagar")</f>
        <v>pagada</v>
      </c>
      <c r="W690" s="141" t="str">
        <f>+IF(AND(Tabla2[[#This Row],[venc]]="venc",Tabla2[[#This Row],[Columna1]]="por pagar"),"vencida","no")</f>
        <v>no</v>
      </c>
    </row>
    <row r="691" spans="1:23" ht="15.6" hidden="1" x14ac:dyDescent="0.3">
      <c r="A691" s="20">
        <v>30</v>
      </c>
      <c r="B691" s="25">
        <v>0</v>
      </c>
      <c r="C691" s="25"/>
      <c r="D691" s="56" t="s">
        <v>107</v>
      </c>
      <c r="E691" s="426">
        <v>45111</v>
      </c>
      <c r="F691" s="26" t="s">
        <v>1403</v>
      </c>
      <c r="G691" s="426">
        <v>45065</v>
      </c>
      <c r="H691" s="35">
        <v>47</v>
      </c>
      <c r="I691" s="21">
        <v>58000</v>
      </c>
      <c r="J691" s="21"/>
      <c r="K691" s="22">
        <v>0</v>
      </c>
      <c r="L691" s="23"/>
      <c r="M691" s="22">
        <v>0</v>
      </c>
      <c r="N691" s="74">
        <v>0</v>
      </c>
      <c r="O691" s="22">
        <v>0</v>
      </c>
      <c r="P691" s="21">
        <v>58000</v>
      </c>
      <c r="S691" s="108" t="b">
        <f>OR(COUNTIF(Tabla2[[#This Row],[PROVEEDOR]],"*"&amp;'Palabra no opera'!$A$2&amp;"*"))</f>
        <v>0</v>
      </c>
      <c r="T691" s="139">
        <f>+$W$5-Tabla2[[#This Row],[FECHA DE FACTURACIÓN]]</f>
        <v>226</v>
      </c>
      <c r="U691" t="str">
        <f>+IF(Tabla2[[#This Row],[dias de credito]]&gt;=Tabla2[[#This Row],[PLAZO Días]],"venc", "No venc")</f>
        <v>venc</v>
      </c>
      <c r="V691" t="str">
        <f>+IF(Tabla2[[#This Row],[FECHA DE PAGO]]&gt;0,"pagada","por pagar")</f>
        <v>pagada</v>
      </c>
      <c r="W691" s="141" t="str">
        <f>+IF(AND(Tabla2[[#This Row],[venc]]="venc",Tabla2[[#This Row],[Columna1]]="por pagar"),"vencida","no")</f>
        <v>no</v>
      </c>
    </row>
    <row r="692" spans="1:23" ht="15.6" hidden="1" x14ac:dyDescent="0.3">
      <c r="A692" s="20">
        <v>30</v>
      </c>
      <c r="B692" s="25">
        <v>5537221.7000000002</v>
      </c>
      <c r="C692" s="25"/>
      <c r="D692" s="56" t="s">
        <v>402</v>
      </c>
      <c r="E692" s="426">
        <v>45111</v>
      </c>
      <c r="F692" s="26" t="s">
        <v>293</v>
      </c>
      <c r="G692" s="426">
        <v>45062</v>
      </c>
      <c r="H692" s="35" t="s">
        <v>1696</v>
      </c>
      <c r="I692" s="21">
        <v>-123655</v>
      </c>
      <c r="J692" s="21"/>
      <c r="K692" s="22">
        <v>-23494.45</v>
      </c>
      <c r="L692" s="23"/>
      <c r="M692" s="22">
        <v>0</v>
      </c>
      <c r="N692" s="74">
        <v>0</v>
      </c>
      <c r="O692" s="22">
        <v>0</v>
      </c>
      <c r="P692" s="21">
        <v>-147149.45000000001</v>
      </c>
      <c r="S692" s="108" t="b">
        <f>OR(COUNTIF(Tabla2[[#This Row],[PROVEEDOR]],"*"&amp;'Palabra no opera'!$A$2&amp;"*"))</f>
        <v>0</v>
      </c>
      <c r="T692" s="139">
        <f>+$W$5-Tabla2[[#This Row],[FECHA DE FACTURACIÓN]]</f>
        <v>229</v>
      </c>
      <c r="U692" t="str">
        <f>+IF(Tabla2[[#This Row],[dias de credito]]&gt;=Tabla2[[#This Row],[PLAZO Días]],"venc", "No venc")</f>
        <v>venc</v>
      </c>
      <c r="V692" t="str">
        <f>+IF(Tabla2[[#This Row],[FECHA DE PAGO]]&gt;0,"pagada","por pagar")</f>
        <v>pagada</v>
      </c>
      <c r="W692" s="141" t="str">
        <f>+IF(AND(Tabla2[[#This Row],[venc]]="venc",Tabla2[[#This Row],[Columna1]]="por pagar"),"vencida","no")</f>
        <v>no</v>
      </c>
    </row>
    <row r="693" spans="1:23" ht="15.6" hidden="1" x14ac:dyDescent="0.3">
      <c r="A693" s="20">
        <v>30</v>
      </c>
      <c r="B693" s="25">
        <v>0</v>
      </c>
      <c r="C693" s="25"/>
      <c r="D693" s="56" t="s">
        <v>192</v>
      </c>
      <c r="E693" s="426">
        <v>45111</v>
      </c>
      <c r="F693" s="26" t="s">
        <v>16</v>
      </c>
      <c r="G693" s="426">
        <v>45057</v>
      </c>
      <c r="H693" s="35" t="s">
        <v>1694</v>
      </c>
      <c r="I693" s="21">
        <v>436975</v>
      </c>
      <c r="J693" s="21"/>
      <c r="K693" s="22">
        <v>83025.25</v>
      </c>
      <c r="L693" s="23"/>
      <c r="M693" s="22">
        <v>0</v>
      </c>
      <c r="N693" s="74">
        <v>0</v>
      </c>
      <c r="O693" s="22">
        <v>0</v>
      </c>
      <c r="P693" s="21">
        <v>520000.25</v>
      </c>
      <c r="S693" s="108" t="b">
        <f>OR(COUNTIF(Tabla2[[#This Row],[PROVEEDOR]],"*"&amp;'Palabra no opera'!$A$2&amp;"*"))</f>
        <v>0</v>
      </c>
      <c r="T693" s="139">
        <f>+$W$5-Tabla2[[#This Row],[FECHA DE FACTURACIÓN]]</f>
        <v>234</v>
      </c>
      <c r="U693" t="str">
        <f>+IF(Tabla2[[#This Row],[dias de credito]]&gt;=Tabla2[[#This Row],[PLAZO Días]],"venc", "No venc")</f>
        <v>venc</v>
      </c>
      <c r="V693" t="str">
        <f>+IF(Tabla2[[#This Row],[FECHA DE PAGO]]&gt;0,"pagada","por pagar")</f>
        <v>pagada</v>
      </c>
      <c r="W693" s="141" t="str">
        <f>+IF(AND(Tabla2[[#This Row],[venc]]="venc",Tabla2[[#This Row],[Columna1]]="por pagar"),"vencida","no")</f>
        <v>no</v>
      </c>
    </row>
    <row r="694" spans="1:23" ht="15.6" hidden="1" x14ac:dyDescent="0.3">
      <c r="A694" s="20">
        <v>30</v>
      </c>
      <c r="B694" s="25">
        <v>5537221.7000000002</v>
      </c>
      <c r="C694" s="25"/>
      <c r="D694" s="56" t="s">
        <v>402</v>
      </c>
      <c r="E694" s="426">
        <v>45111</v>
      </c>
      <c r="F694" s="26" t="s">
        <v>293</v>
      </c>
      <c r="G694" s="426">
        <v>45056</v>
      </c>
      <c r="H694" s="35" t="s">
        <v>1695</v>
      </c>
      <c r="I694" s="21">
        <v>3156811</v>
      </c>
      <c r="J694" s="21"/>
      <c r="K694" s="22">
        <v>599794.09</v>
      </c>
      <c r="L694" s="23"/>
      <c r="M694" s="22">
        <v>72735</v>
      </c>
      <c r="N694" s="74">
        <v>2.5000000000000001E-2</v>
      </c>
      <c r="O694" s="22">
        <v>78920.275000000009</v>
      </c>
      <c r="P694" s="21">
        <v>3604949.8149999999</v>
      </c>
      <c r="S694" s="108" t="b">
        <f>OR(COUNTIF(Tabla2[[#This Row],[PROVEEDOR]],"*"&amp;'Palabra no opera'!$A$2&amp;"*"))</f>
        <v>0</v>
      </c>
      <c r="T694" s="139">
        <f>+$W$5-Tabla2[[#This Row],[FECHA DE FACTURACIÓN]]</f>
        <v>235</v>
      </c>
      <c r="U694" t="str">
        <f>+IF(Tabla2[[#This Row],[dias de credito]]&gt;=Tabla2[[#This Row],[PLAZO Días]],"venc", "No venc")</f>
        <v>venc</v>
      </c>
      <c r="V694" t="str">
        <f>+IF(Tabla2[[#This Row],[FECHA DE PAGO]]&gt;0,"pagada","por pagar")</f>
        <v>pagada</v>
      </c>
      <c r="W694" s="141" t="str">
        <f>+IF(AND(Tabla2[[#This Row],[venc]]="venc",Tabla2[[#This Row],[Columna1]]="por pagar"),"vencida","no")</f>
        <v>no</v>
      </c>
    </row>
    <row r="695" spans="1:23" ht="15.6" hidden="1" x14ac:dyDescent="0.3">
      <c r="A695" s="20">
        <v>30</v>
      </c>
      <c r="B695" s="25">
        <v>0</v>
      </c>
      <c r="C695" s="25"/>
      <c r="D695" s="56" t="s">
        <v>107</v>
      </c>
      <c r="E695" s="426">
        <v>45111</v>
      </c>
      <c r="F695" s="26" t="s">
        <v>1403</v>
      </c>
      <c r="G695" s="426">
        <v>45055</v>
      </c>
      <c r="H695" s="35">
        <v>46</v>
      </c>
      <c r="I695" s="21">
        <v>59000</v>
      </c>
      <c r="J695" s="21"/>
      <c r="K695" s="22">
        <v>0</v>
      </c>
      <c r="L695" s="23"/>
      <c r="M695" s="22">
        <v>0</v>
      </c>
      <c r="N695" s="74">
        <v>0</v>
      </c>
      <c r="O695" s="22">
        <v>0</v>
      </c>
      <c r="P695" s="21">
        <v>59000</v>
      </c>
      <c r="S695" s="108" t="b">
        <f>OR(COUNTIF(Tabla2[[#This Row],[PROVEEDOR]],"*"&amp;'Palabra no opera'!$A$2&amp;"*"))</f>
        <v>0</v>
      </c>
      <c r="T695" s="139">
        <f>+$W$5-Tabla2[[#This Row],[FECHA DE FACTURACIÓN]]</f>
        <v>236</v>
      </c>
      <c r="U695" t="str">
        <f>+IF(Tabla2[[#This Row],[dias de credito]]&gt;=Tabla2[[#This Row],[PLAZO Días]],"venc", "No venc")</f>
        <v>venc</v>
      </c>
      <c r="V695" t="str">
        <f>+IF(Tabla2[[#This Row],[FECHA DE PAGO]]&gt;0,"pagada","por pagar")</f>
        <v>pagada</v>
      </c>
      <c r="W695" s="141" t="str">
        <f>+IF(AND(Tabla2[[#This Row],[venc]]="venc",Tabla2[[#This Row],[Columna1]]="por pagar"),"vencida","no")</f>
        <v>no</v>
      </c>
    </row>
    <row r="696" spans="1:23" ht="15.6" hidden="1" x14ac:dyDescent="0.3">
      <c r="A696" s="20">
        <v>30</v>
      </c>
      <c r="B696" s="25">
        <v>0</v>
      </c>
      <c r="C696" s="25"/>
      <c r="D696" s="56" t="s">
        <v>107</v>
      </c>
      <c r="E696" s="426">
        <v>45111</v>
      </c>
      <c r="F696" s="26" t="s">
        <v>409</v>
      </c>
      <c r="G696" s="426">
        <v>45047</v>
      </c>
      <c r="H696" s="35">
        <v>45</v>
      </c>
      <c r="I696" s="21">
        <v>420500</v>
      </c>
      <c r="J696" s="21"/>
      <c r="K696" s="22">
        <v>0</v>
      </c>
      <c r="L696" s="23"/>
      <c r="M696" s="22">
        <v>0</v>
      </c>
      <c r="N696" s="74">
        <v>0</v>
      </c>
      <c r="O696" s="22">
        <v>0</v>
      </c>
      <c r="P696" s="21">
        <v>420500</v>
      </c>
      <c r="S696" s="108" t="b">
        <f>OR(COUNTIF(Tabla2[[#This Row],[PROVEEDOR]],"*"&amp;'Palabra no opera'!$A$2&amp;"*"))</f>
        <v>0</v>
      </c>
      <c r="T696" s="139">
        <f>+$W$5-Tabla2[[#This Row],[FECHA DE FACTURACIÓN]]</f>
        <v>244</v>
      </c>
      <c r="U696" t="str">
        <f>+IF(Tabla2[[#This Row],[dias de credito]]&gt;=Tabla2[[#This Row],[PLAZO Días]],"venc", "No venc")</f>
        <v>venc</v>
      </c>
      <c r="V696" t="str">
        <f>+IF(Tabla2[[#This Row],[FECHA DE PAGO]]&gt;0,"pagada","por pagar")</f>
        <v>pagada</v>
      </c>
      <c r="W696" s="141" t="str">
        <f>+IF(AND(Tabla2[[#This Row],[venc]]="venc",Tabla2[[#This Row],[Columna1]]="por pagar"),"vencida","no")</f>
        <v>no</v>
      </c>
    </row>
    <row r="697" spans="1:23" ht="15.6" hidden="1" x14ac:dyDescent="0.3">
      <c r="A697" s="20">
        <v>30</v>
      </c>
      <c r="B697" s="25">
        <v>0</v>
      </c>
      <c r="C697" s="25"/>
      <c r="D697" s="56" t="s">
        <v>107</v>
      </c>
      <c r="E697" s="426">
        <v>45108</v>
      </c>
      <c r="F697" s="26" t="s">
        <v>1401</v>
      </c>
      <c r="G697" s="426">
        <v>45108</v>
      </c>
      <c r="H697" s="35" t="s">
        <v>1178</v>
      </c>
      <c r="I697" s="21">
        <v>840000</v>
      </c>
      <c r="J697" s="21"/>
      <c r="K697" s="22">
        <v>0</v>
      </c>
      <c r="L697" s="23"/>
      <c r="M697" s="22">
        <v>0</v>
      </c>
      <c r="N697" s="74">
        <v>0</v>
      </c>
      <c r="O697" s="22">
        <v>0</v>
      </c>
      <c r="P697" s="21">
        <v>840000</v>
      </c>
      <c r="S697" s="108" t="b">
        <f>OR(COUNTIF(Tabla2[[#This Row],[PROVEEDOR]],"*"&amp;'Palabra no opera'!$A$2&amp;"*"))</f>
        <v>0</v>
      </c>
      <c r="T697" s="139">
        <f>+$W$5-Tabla2[[#This Row],[FECHA DE FACTURACIÓN]]</f>
        <v>183</v>
      </c>
      <c r="U697" t="str">
        <f>+IF(Tabla2[[#This Row],[dias de credito]]&gt;=Tabla2[[#This Row],[PLAZO Días]],"venc", "No venc")</f>
        <v>venc</v>
      </c>
      <c r="V697" t="str">
        <f>+IF(Tabla2[[#This Row],[FECHA DE PAGO]]&gt;0,"pagada","por pagar")</f>
        <v>pagada</v>
      </c>
      <c r="W697" s="141" t="str">
        <f>+IF(AND(Tabla2[[#This Row],[venc]]="venc",Tabla2[[#This Row],[Columna1]]="por pagar"),"vencida","no")</f>
        <v>no</v>
      </c>
    </row>
    <row r="698" spans="1:23" ht="15.6" hidden="1" x14ac:dyDescent="0.3">
      <c r="A698" s="20">
        <v>30</v>
      </c>
      <c r="B698" s="25">
        <v>0</v>
      </c>
      <c r="C698" s="25"/>
      <c r="D698" s="56" t="s">
        <v>107</v>
      </c>
      <c r="E698" s="426">
        <v>45108</v>
      </c>
      <c r="F698" s="26" t="s">
        <v>1401</v>
      </c>
      <c r="G698" s="426">
        <v>45108</v>
      </c>
      <c r="H698" s="35" t="s">
        <v>1379</v>
      </c>
      <c r="I698" s="21">
        <v>171400</v>
      </c>
      <c r="J698" s="21"/>
      <c r="K698" s="22">
        <v>0</v>
      </c>
      <c r="L698" s="23"/>
      <c r="M698" s="22">
        <v>0</v>
      </c>
      <c r="N698" s="74">
        <v>0</v>
      </c>
      <c r="O698" s="22">
        <v>0</v>
      </c>
      <c r="P698" s="21">
        <v>171400</v>
      </c>
      <c r="S698" s="108" t="b">
        <f>OR(COUNTIF(Tabla2[[#This Row],[PROVEEDOR]],"*"&amp;'Palabra no opera'!$A$2&amp;"*"))</f>
        <v>0</v>
      </c>
      <c r="T698" s="139">
        <f>+$W$5-Tabla2[[#This Row],[FECHA DE FACTURACIÓN]]</f>
        <v>183</v>
      </c>
      <c r="U698" t="str">
        <f>+IF(Tabla2[[#This Row],[dias de credito]]&gt;=Tabla2[[#This Row],[PLAZO Días]],"venc", "No venc")</f>
        <v>venc</v>
      </c>
      <c r="V698" t="str">
        <f>+IF(Tabla2[[#This Row],[FECHA DE PAGO]]&gt;0,"pagada","por pagar")</f>
        <v>pagada</v>
      </c>
      <c r="W698" s="141" t="str">
        <f>+IF(AND(Tabla2[[#This Row],[venc]]="venc",Tabla2[[#This Row],[Columna1]]="por pagar"),"vencida","no")</f>
        <v>no</v>
      </c>
    </row>
    <row r="699" spans="1:23" ht="15.6" hidden="1" x14ac:dyDescent="0.3">
      <c r="A699" s="20">
        <v>30</v>
      </c>
      <c r="B699" s="25">
        <v>0</v>
      </c>
      <c r="C699" s="25"/>
      <c r="D699" s="56" t="s">
        <v>107</v>
      </c>
      <c r="E699" s="426">
        <v>45108</v>
      </c>
      <c r="F699" s="26" t="s">
        <v>1401</v>
      </c>
      <c r="G699" s="426">
        <v>45108</v>
      </c>
      <c r="H699" s="35" t="s">
        <v>1177</v>
      </c>
      <c r="I699" s="21">
        <v>1419000</v>
      </c>
      <c r="J699" s="21"/>
      <c r="K699" s="22">
        <v>0</v>
      </c>
      <c r="L699" s="23"/>
      <c r="M699" s="22">
        <v>0</v>
      </c>
      <c r="N699" s="74">
        <v>0</v>
      </c>
      <c r="O699" s="22">
        <v>0</v>
      </c>
      <c r="P699" s="21">
        <v>1419000</v>
      </c>
      <c r="S699" s="108" t="b">
        <f>OR(COUNTIF(Tabla2[[#This Row],[PROVEEDOR]],"*"&amp;'Palabra no opera'!$A$2&amp;"*"))</f>
        <v>0</v>
      </c>
      <c r="T699" s="139">
        <f>+$W$5-Tabla2[[#This Row],[FECHA DE FACTURACIÓN]]</f>
        <v>183</v>
      </c>
      <c r="U699" t="str">
        <f>+IF(Tabla2[[#This Row],[dias de credito]]&gt;=Tabla2[[#This Row],[PLAZO Días]],"venc", "No venc")</f>
        <v>venc</v>
      </c>
      <c r="V699" t="str">
        <f>+IF(Tabla2[[#This Row],[FECHA DE PAGO]]&gt;0,"pagada","por pagar")</f>
        <v>pagada</v>
      </c>
      <c r="W699" s="141" t="str">
        <f>+IF(AND(Tabla2[[#This Row],[venc]]="venc",Tabla2[[#This Row],[Columna1]]="por pagar"),"vencida","no")</f>
        <v>no</v>
      </c>
    </row>
    <row r="700" spans="1:23" ht="15.6" hidden="1" x14ac:dyDescent="0.3">
      <c r="A700" s="20">
        <v>30</v>
      </c>
      <c r="B700" s="25">
        <v>0</v>
      </c>
      <c r="C700" s="25"/>
      <c r="D700" s="56" t="s">
        <v>107</v>
      </c>
      <c r="E700" s="426">
        <v>45108</v>
      </c>
      <c r="F700" s="26" t="s">
        <v>1401</v>
      </c>
      <c r="G700" s="426">
        <v>45108</v>
      </c>
      <c r="H700" s="35" t="s">
        <v>1180</v>
      </c>
      <c r="I700" s="21">
        <v>783800</v>
      </c>
      <c r="J700" s="21"/>
      <c r="K700" s="22">
        <v>0</v>
      </c>
      <c r="L700" s="23"/>
      <c r="M700" s="22">
        <v>0</v>
      </c>
      <c r="N700" s="74">
        <v>0</v>
      </c>
      <c r="O700" s="22">
        <v>0</v>
      </c>
      <c r="P700" s="21">
        <v>783800</v>
      </c>
      <c r="S700" s="108" t="b">
        <f>OR(COUNTIF(Tabla2[[#This Row],[PROVEEDOR]],"*"&amp;'Palabra no opera'!$A$2&amp;"*"))</f>
        <v>0</v>
      </c>
      <c r="T700" s="139">
        <f>+$W$5-Tabla2[[#This Row],[FECHA DE FACTURACIÓN]]</f>
        <v>183</v>
      </c>
      <c r="U700" t="str">
        <f>+IF(Tabla2[[#This Row],[dias de credito]]&gt;=Tabla2[[#This Row],[PLAZO Días]],"venc", "No venc")</f>
        <v>venc</v>
      </c>
      <c r="V700" t="str">
        <f>+IF(Tabla2[[#This Row],[FECHA DE PAGO]]&gt;0,"pagada","por pagar")</f>
        <v>pagada</v>
      </c>
      <c r="W700" s="141" t="str">
        <f>+IF(AND(Tabla2[[#This Row],[venc]]="venc",Tabla2[[#This Row],[Columna1]]="por pagar"),"vencida","no")</f>
        <v>no</v>
      </c>
    </row>
    <row r="701" spans="1:23" ht="15.6" hidden="1" x14ac:dyDescent="0.3">
      <c r="A701" s="20">
        <v>30</v>
      </c>
      <c r="B701" s="25">
        <v>0</v>
      </c>
      <c r="C701" s="25"/>
      <c r="D701" s="56" t="s">
        <v>107</v>
      </c>
      <c r="E701" s="426">
        <v>45108</v>
      </c>
      <c r="F701" s="26" t="s">
        <v>1401</v>
      </c>
      <c r="G701" s="426">
        <v>45108</v>
      </c>
      <c r="H701" s="35" t="s">
        <v>1179</v>
      </c>
      <c r="I701" s="21">
        <v>62997</v>
      </c>
      <c r="J701" s="21"/>
      <c r="K701" s="22">
        <v>0</v>
      </c>
      <c r="L701" s="23"/>
      <c r="M701" s="22">
        <v>0</v>
      </c>
      <c r="N701" s="74">
        <v>0</v>
      </c>
      <c r="O701" s="22">
        <v>0</v>
      </c>
      <c r="P701" s="21">
        <v>62997</v>
      </c>
      <c r="S701" s="108" t="b">
        <f>OR(COUNTIF(Tabla2[[#This Row],[PROVEEDOR]],"*"&amp;'Palabra no opera'!$A$2&amp;"*"))</f>
        <v>0</v>
      </c>
      <c r="T701" s="139">
        <f>+$W$5-Tabla2[[#This Row],[FECHA DE FACTURACIÓN]]</f>
        <v>183</v>
      </c>
      <c r="U701" t="str">
        <f>+IF(Tabla2[[#This Row],[dias de credito]]&gt;=Tabla2[[#This Row],[PLAZO Días]],"venc", "No venc")</f>
        <v>venc</v>
      </c>
      <c r="V701" t="str">
        <f>+IF(Tabla2[[#This Row],[FECHA DE PAGO]]&gt;0,"pagada","por pagar")</f>
        <v>pagada</v>
      </c>
      <c r="W701" s="141" t="str">
        <f>+IF(AND(Tabla2[[#This Row],[venc]]="venc",Tabla2[[#This Row],[Columna1]]="por pagar"),"vencida","no")</f>
        <v>no</v>
      </c>
    </row>
    <row r="702" spans="1:23" ht="15.6" hidden="1" x14ac:dyDescent="0.3">
      <c r="A702" s="20">
        <v>30</v>
      </c>
      <c r="B702" s="25">
        <v>0</v>
      </c>
      <c r="C702" s="25"/>
      <c r="D702" s="56" t="s">
        <v>107</v>
      </c>
      <c r="E702" s="426">
        <v>45108</v>
      </c>
      <c r="F702" s="26" t="s">
        <v>1401</v>
      </c>
      <c r="G702" s="426">
        <v>45108</v>
      </c>
      <c r="H702" s="35" t="s">
        <v>1176</v>
      </c>
      <c r="I702" s="21">
        <v>300500</v>
      </c>
      <c r="J702" s="21"/>
      <c r="K702" s="22">
        <v>0</v>
      </c>
      <c r="L702" s="23"/>
      <c r="M702" s="22">
        <v>0</v>
      </c>
      <c r="N702" s="74">
        <v>0</v>
      </c>
      <c r="O702" s="22">
        <v>0</v>
      </c>
      <c r="P702" s="21">
        <v>300500</v>
      </c>
      <c r="S702" s="108" t="b">
        <f>OR(COUNTIF(Tabla2[[#This Row],[PROVEEDOR]],"*"&amp;'Palabra no opera'!$A$2&amp;"*"))</f>
        <v>0</v>
      </c>
      <c r="T702" s="139">
        <f>+$W$5-Tabla2[[#This Row],[FECHA DE FACTURACIÓN]]</f>
        <v>183</v>
      </c>
      <c r="U702" t="str">
        <f>+IF(Tabla2[[#This Row],[dias de credito]]&gt;=Tabla2[[#This Row],[PLAZO Días]],"venc", "No venc")</f>
        <v>venc</v>
      </c>
      <c r="V702" t="str">
        <f>+IF(Tabla2[[#This Row],[FECHA DE PAGO]]&gt;0,"pagada","por pagar")</f>
        <v>pagada</v>
      </c>
      <c r="W702" s="141" t="str">
        <f>+IF(AND(Tabla2[[#This Row],[venc]]="venc",Tabla2[[#This Row],[Columna1]]="por pagar"),"vencida","no")</f>
        <v>no</v>
      </c>
    </row>
    <row r="703" spans="1:23" ht="15.6" hidden="1" x14ac:dyDescent="0.3">
      <c r="A703" s="20">
        <v>30</v>
      </c>
      <c r="B703" s="25">
        <v>0</v>
      </c>
      <c r="C703" s="25"/>
      <c r="D703" s="56" t="s">
        <v>107</v>
      </c>
      <c r="E703" s="426">
        <v>45108</v>
      </c>
      <c r="F703" s="26" t="s">
        <v>1194</v>
      </c>
      <c r="G703" s="426">
        <v>45107</v>
      </c>
      <c r="H703" s="35" t="s">
        <v>1833</v>
      </c>
      <c r="I703" s="21">
        <v>2505000</v>
      </c>
      <c r="J703" s="21"/>
      <c r="K703" s="22">
        <v>0</v>
      </c>
      <c r="L703" s="23"/>
      <c r="M703" s="22">
        <v>0</v>
      </c>
      <c r="N703" s="74">
        <v>0</v>
      </c>
      <c r="O703" s="22">
        <v>0</v>
      </c>
      <c r="P703" s="21">
        <v>2505000</v>
      </c>
      <c r="S703" s="108" t="b">
        <f>OR(COUNTIF(Tabla2[[#This Row],[PROVEEDOR]],"*"&amp;'Palabra no opera'!$A$2&amp;"*"))</f>
        <v>0</v>
      </c>
      <c r="T703" s="139">
        <f>+$W$5-Tabla2[[#This Row],[FECHA DE FACTURACIÓN]]</f>
        <v>184</v>
      </c>
      <c r="U703" t="str">
        <f>+IF(Tabla2[[#This Row],[dias de credito]]&gt;=Tabla2[[#This Row],[PLAZO Días]],"venc", "No venc")</f>
        <v>venc</v>
      </c>
      <c r="V703" t="str">
        <f>+IF(Tabla2[[#This Row],[FECHA DE PAGO]]&gt;0,"pagada","por pagar")</f>
        <v>pagada</v>
      </c>
      <c r="W703" s="141" t="str">
        <f>+IF(AND(Tabla2[[#This Row],[venc]]="venc",Tabla2[[#This Row],[Columna1]]="por pagar"),"vencida","no")</f>
        <v>no</v>
      </c>
    </row>
    <row r="704" spans="1:23" ht="15.6" hidden="1" x14ac:dyDescent="0.3">
      <c r="A704" s="20">
        <v>30</v>
      </c>
      <c r="B704" s="25">
        <v>1320900</v>
      </c>
      <c r="C704" s="25"/>
      <c r="D704" s="56">
        <v>0</v>
      </c>
      <c r="E704" s="426">
        <v>45108</v>
      </c>
      <c r="F704" s="26" t="s">
        <v>1765</v>
      </c>
      <c r="G704" s="426">
        <v>45083</v>
      </c>
      <c r="H704" s="35">
        <v>1340</v>
      </c>
      <c r="I704" s="21">
        <v>910000</v>
      </c>
      <c r="J704" s="21"/>
      <c r="K704" s="22">
        <v>0</v>
      </c>
      <c r="L704" s="23"/>
      <c r="M704" s="22">
        <v>0</v>
      </c>
      <c r="N704" s="74">
        <v>0</v>
      </c>
      <c r="O704" s="22">
        <v>0</v>
      </c>
      <c r="P704" s="21">
        <v>910000</v>
      </c>
      <c r="S704" s="108" t="b">
        <f>OR(COUNTIF(Tabla2[[#This Row],[PROVEEDOR]],"*"&amp;'Palabra no opera'!$A$2&amp;"*"))</f>
        <v>0</v>
      </c>
      <c r="T704" s="139">
        <f>+$W$5-Tabla2[[#This Row],[FECHA DE FACTURACIÓN]]</f>
        <v>208</v>
      </c>
      <c r="U704" t="str">
        <f>+IF(Tabla2[[#This Row],[dias de credito]]&gt;=Tabla2[[#This Row],[PLAZO Días]],"venc", "No venc")</f>
        <v>venc</v>
      </c>
      <c r="V704" t="str">
        <f>+IF(Tabla2[[#This Row],[FECHA DE PAGO]]&gt;0,"pagada","por pagar")</f>
        <v>pagada</v>
      </c>
      <c r="W704" s="141" t="str">
        <f>+IF(AND(Tabla2[[#This Row],[venc]]="venc",Tabla2[[#This Row],[Columna1]]="por pagar"),"vencida","no")</f>
        <v>no</v>
      </c>
    </row>
    <row r="705" spans="1:23" ht="15.6" hidden="1" x14ac:dyDescent="0.3">
      <c r="A705" s="20">
        <v>30</v>
      </c>
      <c r="B705" s="25">
        <v>0</v>
      </c>
      <c r="C705" s="25"/>
      <c r="D705" s="56" t="s">
        <v>107</v>
      </c>
      <c r="E705" s="426">
        <v>45108</v>
      </c>
      <c r="F705" s="26" t="s">
        <v>401</v>
      </c>
      <c r="G705" s="426">
        <v>45072</v>
      </c>
      <c r="H705" s="35" t="s">
        <v>1706</v>
      </c>
      <c r="I705" s="21">
        <v>978000</v>
      </c>
      <c r="J705" s="21"/>
      <c r="K705" s="22">
        <v>0</v>
      </c>
      <c r="L705" s="23"/>
      <c r="M705" s="22">
        <v>0</v>
      </c>
      <c r="N705" s="74">
        <v>0</v>
      </c>
      <c r="O705" s="22">
        <v>0</v>
      </c>
      <c r="P705" s="21">
        <v>978000</v>
      </c>
      <c r="S705" s="108" t="b">
        <f>OR(COUNTIF(Tabla2[[#This Row],[PROVEEDOR]],"*"&amp;'Palabra no opera'!$A$2&amp;"*"))</f>
        <v>0</v>
      </c>
      <c r="T705" s="139">
        <f>+$W$5-Tabla2[[#This Row],[FECHA DE FACTURACIÓN]]</f>
        <v>219</v>
      </c>
      <c r="U705" t="str">
        <f>+IF(Tabla2[[#This Row],[dias de credito]]&gt;=Tabla2[[#This Row],[PLAZO Días]],"venc", "No venc")</f>
        <v>venc</v>
      </c>
      <c r="V705" t="str">
        <f>+IF(Tabla2[[#This Row],[FECHA DE PAGO]]&gt;0,"pagada","por pagar")</f>
        <v>pagada</v>
      </c>
      <c r="W705" s="141" t="str">
        <f>+IF(AND(Tabla2[[#This Row],[venc]]="venc",Tabla2[[#This Row],[Columna1]]="por pagar"),"vencida","no")</f>
        <v>no</v>
      </c>
    </row>
    <row r="706" spans="1:23" ht="15.6" hidden="1" x14ac:dyDescent="0.3">
      <c r="A706" s="20">
        <v>30</v>
      </c>
      <c r="B706" s="25">
        <v>0</v>
      </c>
      <c r="C706" s="25"/>
      <c r="D706" s="56" t="s">
        <v>107</v>
      </c>
      <c r="E706" s="426">
        <v>45106</v>
      </c>
      <c r="F706" s="26" t="s">
        <v>1401</v>
      </c>
      <c r="G706" s="426">
        <v>45106</v>
      </c>
      <c r="H706" s="35" t="s">
        <v>1761</v>
      </c>
      <c r="I706" s="21">
        <v>375000</v>
      </c>
      <c r="J706" s="21"/>
      <c r="K706" s="22">
        <v>0</v>
      </c>
      <c r="L706" s="23"/>
      <c r="M706" s="22">
        <v>0</v>
      </c>
      <c r="N706" s="74">
        <v>0</v>
      </c>
      <c r="O706" s="22">
        <v>0</v>
      </c>
      <c r="P706" s="21">
        <v>375000</v>
      </c>
      <c r="S706" s="108" t="b">
        <f>OR(COUNTIF(Tabla2[[#This Row],[PROVEEDOR]],"*"&amp;'Palabra no opera'!$A$2&amp;"*"))</f>
        <v>0</v>
      </c>
      <c r="T706" s="139">
        <f>+$W$5-Tabla2[[#This Row],[FECHA DE FACTURACIÓN]]</f>
        <v>185</v>
      </c>
      <c r="U706" t="str">
        <f>+IF(Tabla2[[#This Row],[dias de credito]]&gt;=Tabla2[[#This Row],[PLAZO Días]],"venc", "No venc")</f>
        <v>venc</v>
      </c>
      <c r="V706" t="str">
        <f>+IF(Tabla2[[#This Row],[FECHA DE PAGO]]&gt;0,"pagada","por pagar")</f>
        <v>pagada</v>
      </c>
      <c r="W706" s="141" t="str">
        <f>+IF(AND(Tabla2[[#This Row],[venc]]="venc",Tabla2[[#This Row],[Columna1]]="por pagar"),"vencida","no")</f>
        <v>no</v>
      </c>
    </row>
    <row r="707" spans="1:23" ht="15.6" hidden="1" x14ac:dyDescent="0.3">
      <c r="A707" s="20">
        <v>30</v>
      </c>
      <c r="B707" s="25">
        <v>380979.69</v>
      </c>
      <c r="C707" s="25"/>
      <c r="D707" s="56" t="s">
        <v>296</v>
      </c>
      <c r="E707" s="426">
        <v>45105</v>
      </c>
      <c r="F707" s="26" t="s">
        <v>615</v>
      </c>
      <c r="G707" s="426">
        <v>45040</v>
      </c>
      <c r="H707" s="35" t="s">
        <v>1650</v>
      </c>
      <c r="I707" s="21">
        <v>2615172</v>
      </c>
      <c r="J707" s="21"/>
      <c r="K707" s="22">
        <v>496882.68</v>
      </c>
      <c r="L707" s="23"/>
      <c r="M707" s="22">
        <v>0</v>
      </c>
      <c r="N707" s="74">
        <v>0</v>
      </c>
      <c r="O707" s="22">
        <v>0</v>
      </c>
      <c r="P707" s="21">
        <v>3112054.68</v>
      </c>
      <c r="S707" s="108" t="b">
        <f>OR(COUNTIF(Tabla2[[#This Row],[PROVEEDOR]],"*"&amp;'Palabra no opera'!$A$2&amp;"*"))</f>
        <v>1</v>
      </c>
      <c r="T707" s="139">
        <f>+$W$5-Tabla2[[#This Row],[FECHA DE FACTURACIÓN]]</f>
        <v>251</v>
      </c>
      <c r="U707" t="str">
        <f>+IF(Tabla2[[#This Row],[dias de credito]]&gt;=Tabla2[[#This Row],[PLAZO Días]],"venc", "No venc")</f>
        <v>venc</v>
      </c>
      <c r="V707" t="str">
        <f>+IF(Tabla2[[#This Row],[FECHA DE PAGO]]&gt;0,"pagada","por pagar")</f>
        <v>pagada</v>
      </c>
      <c r="W707" s="141" t="str">
        <f>+IF(AND(Tabla2[[#This Row],[venc]]="venc",Tabla2[[#This Row],[Columna1]]="por pagar"),"vencida","no")</f>
        <v>no</v>
      </c>
    </row>
    <row r="708" spans="1:23" ht="15.6" hidden="1" x14ac:dyDescent="0.3">
      <c r="A708" s="20">
        <v>30</v>
      </c>
      <c r="B708" s="25">
        <v>17870934.149999999</v>
      </c>
      <c r="C708" s="25"/>
      <c r="D708" s="56" t="s">
        <v>182</v>
      </c>
      <c r="E708" s="426">
        <v>45104</v>
      </c>
      <c r="F708" s="26" t="s">
        <v>18</v>
      </c>
      <c r="G708" s="426">
        <v>45057</v>
      </c>
      <c r="H708" s="35" t="s">
        <v>1684</v>
      </c>
      <c r="I708" s="21">
        <v>804018</v>
      </c>
      <c r="J708" s="21"/>
      <c r="K708" s="22">
        <v>152763.42000000001</v>
      </c>
      <c r="L708" s="23"/>
      <c r="M708" s="22">
        <v>0</v>
      </c>
      <c r="N708" s="74">
        <v>0</v>
      </c>
      <c r="O708" s="22">
        <v>0</v>
      </c>
      <c r="P708" s="21">
        <v>956781.42</v>
      </c>
      <c r="S708" s="108" t="b">
        <f>OR(COUNTIF(Tabla2[[#This Row],[PROVEEDOR]],"*"&amp;'Palabra no opera'!$A$2&amp;"*"))</f>
        <v>0</v>
      </c>
      <c r="T708" s="139">
        <f>+$W$5-Tabla2[[#This Row],[FECHA DE FACTURACIÓN]]</f>
        <v>234</v>
      </c>
      <c r="U708" t="str">
        <f>+IF(Tabla2[[#This Row],[dias de credito]]&gt;=Tabla2[[#This Row],[PLAZO Días]],"venc", "No venc")</f>
        <v>venc</v>
      </c>
      <c r="V708" t="str">
        <f>+IF(Tabla2[[#This Row],[FECHA DE PAGO]]&gt;0,"pagada","por pagar")</f>
        <v>pagada</v>
      </c>
      <c r="W708" s="141" t="str">
        <f>+IF(AND(Tabla2[[#This Row],[venc]]="venc",Tabla2[[#This Row],[Columna1]]="por pagar"),"vencida","no")</f>
        <v>no</v>
      </c>
    </row>
    <row r="709" spans="1:23" ht="15.6" hidden="1" x14ac:dyDescent="0.3">
      <c r="A709" s="20">
        <v>30</v>
      </c>
      <c r="B709" s="25">
        <v>17870934.149999999</v>
      </c>
      <c r="C709" s="25"/>
      <c r="D709" s="56" t="s">
        <v>182</v>
      </c>
      <c r="E709" s="426">
        <v>45104</v>
      </c>
      <c r="F709" s="26" t="s">
        <v>18</v>
      </c>
      <c r="G709" s="426">
        <v>45055</v>
      </c>
      <c r="H709" s="35" t="s">
        <v>1683</v>
      </c>
      <c r="I709" s="21">
        <v>743608</v>
      </c>
      <c r="J709" s="21"/>
      <c r="K709" s="22">
        <v>141285.51999999999</v>
      </c>
      <c r="L709" s="23"/>
      <c r="M709" s="22">
        <v>0</v>
      </c>
      <c r="N709" s="74">
        <v>0</v>
      </c>
      <c r="O709" s="22">
        <v>0</v>
      </c>
      <c r="P709" s="21">
        <v>884893.52</v>
      </c>
      <c r="S709" s="108" t="b">
        <f>OR(COUNTIF(Tabla2[[#This Row],[PROVEEDOR]],"*"&amp;'Palabra no opera'!$A$2&amp;"*"))</f>
        <v>0</v>
      </c>
      <c r="T709" s="139">
        <f>+$W$5-Tabla2[[#This Row],[FECHA DE FACTURACIÓN]]</f>
        <v>236</v>
      </c>
      <c r="U709" t="str">
        <f>+IF(Tabla2[[#This Row],[dias de credito]]&gt;=Tabla2[[#This Row],[PLAZO Días]],"venc", "No venc")</f>
        <v>venc</v>
      </c>
      <c r="V709" t="str">
        <f>+IF(Tabla2[[#This Row],[FECHA DE PAGO]]&gt;0,"pagada","por pagar")</f>
        <v>pagada</v>
      </c>
      <c r="W709" s="141" t="str">
        <f>+IF(AND(Tabla2[[#This Row],[venc]]="venc",Tabla2[[#This Row],[Columna1]]="por pagar"),"vencida","no")</f>
        <v>no</v>
      </c>
    </row>
    <row r="710" spans="1:23" ht="15.6" hidden="1" x14ac:dyDescent="0.3">
      <c r="A710" s="20">
        <v>30</v>
      </c>
      <c r="B710" s="25">
        <v>0</v>
      </c>
      <c r="C710" s="25"/>
      <c r="D710" s="56" t="s">
        <v>107</v>
      </c>
      <c r="E710" s="426">
        <v>45104</v>
      </c>
      <c r="F710" s="26" t="s">
        <v>396</v>
      </c>
      <c r="G710" s="426">
        <v>45006</v>
      </c>
      <c r="H710" s="35" t="s">
        <v>1550</v>
      </c>
      <c r="I710" s="21">
        <v>230000</v>
      </c>
      <c r="J710" s="21"/>
      <c r="K710" s="22">
        <v>0</v>
      </c>
      <c r="L710" s="23"/>
      <c r="M710" s="22">
        <v>0</v>
      </c>
      <c r="N710" s="74">
        <v>0</v>
      </c>
      <c r="O710" s="22">
        <v>0</v>
      </c>
      <c r="P710" s="21">
        <v>230000</v>
      </c>
      <c r="S710" s="108" t="b">
        <f>OR(COUNTIF(Tabla2[[#This Row],[PROVEEDOR]],"*"&amp;'Palabra no opera'!$A$2&amp;"*"))</f>
        <v>0</v>
      </c>
      <c r="T710" s="139">
        <f>+$W$5-Tabla2[[#This Row],[FECHA DE FACTURACIÓN]]</f>
        <v>285</v>
      </c>
      <c r="U710" t="str">
        <f>+IF(Tabla2[[#This Row],[dias de credito]]&gt;=Tabla2[[#This Row],[PLAZO Días]],"venc", "No venc")</f>
        <v>venc</v>
      </c>
      <c r="V710" t="str">
        <f>+IF(Tabla2[[#This Row],[FECHA DE PAGO]]&gt;0,"pagada","por pagar")</f>
        <v>pagada</v>
      </c>
      <c r="W710" s="141" t="str">
        <f>+IF(AND(Tabla2[[#This Row],[venc]]="venc",Tabla2[[#This Row],[Columna1]]="por pagar"),"vencida","no")</f>
        <v>no</v>
      </c>
    </row>
    <row r="711" spans="1:23" ht="15.6" hidden="1" x14ac:dyDescent="0.3">
      <c r="A711" s="20">
        <v>45</v>
      </c>
      <c r="B711" s="25">
        <v>15770594</v>
      </c>
      <c r="C711" s="25"/>
      <c r="D711" s="56" t="s">
        <v>594</v>
      </c>
      <c r="E711" s="426">
        <v>45103</v>
      </c>
      <c r="F711" s="26" t="s">
        <v>19</v>
      </c>
      <c r="G711" s="426">
        <v>45042</v>
      </c>
      <c r="H711" s="35" t="s">
        <v>1654</v>
      </c>
      <c r="I711" s="21">
        <v>10467600</v>
      </c>
      <c r="J711" s="21"/>
      <c r="K711" s="22">
        <v>1988844</v>
      </c>
      <c r="L711" s="23"/>
      <c r="M711" s="22">
        <v>0</v>
      </c>
      <c r="N711" s="74">
        <v>0</v>
      </c>
      <c r="O711" s="22">
        <v>0</v>
      </c>
      <c r="P711" s="21">
        <v>12456444</v>
      </c>
      <c r="S711" s="108" t="b">
        <f>OR(COUNTIF(Tabla2[[#This Row],[PROVEEDOR]],"*"&amp;'Palabra no opera'!$A$2&amp;"*"))</f>
        <v>0</v>
      </c>
      <c r="T711" s="139">
        <f>+$W$5-Tabla2[[#This Row],[FECHA DE FACTURACIÓN]]</f>
        <v>249</v>
      </c>
      <c r="U711" t="str">
        <f>+IF(Tabla2[[#This Row],[dias de credito]]&gt;=Tabla2[[#This Row],[PLAZO Días]],"venc", "No venc")</f>
        <v>venc</v>
      </c>
      <c r="V711" t="str">
        <f>+IF(Tabla2[[#This Row],[FECHA DE PAGO]]&gt;0,"pagada","por pagar")</f>
        <v>pagada</v>
      </c>
      <c r="W711" s="141" t="str">
        <f>+IF(AND(Tabla2[[#This Row],[venc]]="venc",Tabla2[[#This Row],[Columna1]]="por pagar"),"vencida","no")</f>
        <v>no</v>
      </c>
    </row>
    <row r="712" spans="1:23" ht="15.6" hidden="1" x14ac:dyDescent="0.3">
      <c r="A712" s="20">
        <v>45</v>
      </c>
      <c r="B712" s="25">
        <v>8072960</v>
      </c>
      <c r="C712" s="25"/>
      <c r="D712" s="56" t="s">
        <v>198</v>
      </c>
      <c r="E712" s="426">
        <v>45103</v>
      </c>
      <c r="F712" s="26" t="s">
        <v>10</v>
      </c>
      <c r="G712" s="426">
        <v>45042</v>
      </c>
      <c r="H712" s="35" t="s">
        <v>1644</v>
      </c>
      <c r="I712" s="21">
        <v>2179700</v>
      </c>
      <c r="J712" s="21"/>
      <c r="K712" s="22">
        <v>414143</v>
      </c>
      <c r="L712" s="23"/>
      <c r="M712" s="22">
        <v>0</v>
      </c>
      <c r="N712" s="74">
        <v>0</v>
      </c>
      <c r="O712" s="22">
        <v>0</v>
      </c>
      <c r="P712" s="21">
        <v>2593843</v>
      </c>
      <c r="S712" s="108" t="b">
        <f>OR(COUNTIF(Tabla2[[#This Row],[PROVEEDOR]],"*"&amp;'Palabra no opera'!$A$2&amp;"*"))</f>
        <v>0</v>
      </c>
      <c r="T712" s="139">
        <f>+$W$5-Tabla2[[#This Row],[FECHA DE FACTURACIÓN]]</f>
        <v>249</v>
      </c>
      <c r="U712" t="str">
        <f>+IF(Tabla2[[#This Row],[dias de credito]]&gt;=Tabla2[[#This Row],[PLAZO Días]],"venc", "No venc")</f>
        <v>venc</v>
      </c>
      <c r="V712" t="str">
        <f>+IF(Tabla2[[#This Row],[FECHA DE PAGO]]&gt;0,"pagada","por pagar")</f>
        <v>pagada</v>
      </c>
      <c r="W712" s="141" t="str">
        <f>+IF(AND(Tabla2[[#This Row],[venc]]="venc",Tabla2[[#This Row],[Columna1]]="por pagar"),"vencida","no")</f>
        <v>no</v>
      </c>
    </row>
    <row r="713" spans="1:23" ht="15.6" hidden="1" x14ac:dyDescent="0.3">
      <c r="A713" s="20">
        <v>30</v>
      </c>
      <c r="B713" s="25">
        <v>0</v>
      </c>
      <c r="C713" s="25"/>
      <c r="D713" s="56" t="s">
        <v>107</v>
      </c>
      <c r="E713" s="426">
        <v>45101</v>
      </c>
      <c r="F713" s="26" t="s">
        <v>378</v>
      </c>
      <c r="G713" s="426">
        <v>45101</v>
      </c>
      <c r="H713" s="35" t="s">
        <v>1764</v>
      </c>
      <c r="I713" s="21">
        <v>660000</v>
      </c>
      <c r="J713" s="21"/>
      <c r="K713" s="22">
        <v>0</v>
      </c>
      <c r="L713" s="23"/>
      <c r="M713" s="22">
        <v>0</v>
      </c>
      <c r="N713" s="74">
        <v>0</v>
      </c>
      <c r="O713" s="22">
        <v>0</v>
      </c>
      <c r="P713" s="21">
        <v>660000</v>
      </c>
      <c r="S713" s="108" t="b">
        <f>OR(COUNTIF(Tabla2[[#This Row],[PROVEEDOR]],"*"&amp;'Palabra no opera'!$A$2&amp;"*"))</f>
        <v>0</v>
      </c>
      <c r="T713" s="139">
        <f>+$W$5-Tabla2[[#This Row],[FECHA DE FACTURACIÓN]]</f>
        <v>190</v>
      </c>
      <c r="U713" t="str">
        <f>+IF(Tabla2[[#This Row],[dias de credito]]&gt;=Tabla2[[#This Row],[PLAZO Días]],"venc", "No venc")</f>
        <v>venc</v>
      </c>
      <c r="V713" t="str">
        <f>+IF(Tabla2[[#This Row],[FECHA DE PAGO]]&gt;0,"pagada","por pagar")</f>
        <v>pagada</v>
      </c>
      <c r="W713" s="141" t="str">
        <f>+IF(AND(Tabla2[[#This Row],[venc]]="venc",Tabla2[[#This Row],[Columna1]]="por pagar"),"vencida","no")</f>
        <v>no</v>
      </c>
    </row>
    <row r="714" spans="1:23" ht="15.6" hidden="1" x14ac:dyDescent="0.3">
      <c r="A714" s="20">
        <v>30</v>
      </c>
      <c r="B714" s="25">
        <v>0</v>
      </c>
      <c r="C714" s="25"/>
      <c r="D714" s="56" t="s">
        <v>679</v>
      </c>
      <c r="E714" s="426">
        <v>45100</v>
      </c>
      <c r="F714" s="26" t="s">
        <v>814</v>
      </c>
      <c r="G714" s="426">
        <v>45098</v>
      </c>
      <c r="H714" s="35">
        <v>21244</v>
      </c>
      <c r="I714" s="21">
        <v>436800</v>
      </c>
      <c r="J714" s="21"/>
      <c r="K714" s="22">
        <v>82992</v>
      </c>
      <c r="L714" s="23"/>
      <c r="M714" s="22">
        <v>0</v>
      </c>
      <c r="N714" s="74">
        <v>0</v>
      </c>
      <c r="O714" s="22">
        <v>0</v>
      </c>
      <c r="P714" s="21">
        <v>519792</v>
      </c>
      <c r="S714" s="108" t="b">
        <f>OR(COUNTIF(Tabla2[[#This Row],[PROVEEDOR]],"*"&amp;'Palabra no opera'!$A$2&amp;"*"))</f>
        <v>1</v>
      </c>
      <c r="T714" s="139">
        <f>+$W$5-Tabla2[[#This Row],[FECHA DE FACTURACIÓN]]</f>
        <v>193</v>
      </c>
      <c r="U714" t="str">
        <f>+IF(Tabla2[[#This Row],[dias de credito]]&gt;=Tabla2[[#This Row],[PLAZO Días]],"venc", "No venc")</f>
        <v>venc</v>
      </c>
      <c r="V714" t="str">
        <f>+IF(Tabla2[[#This Row],[FECHA DE PAGO]]&gt;0,"pagada","por pagar")</f>
        <v>pagada</v>
      </c>
      <c r="W714" s="141" t="str">
        <f>+IF(AND(Tabla2[[#This Row],[venc]]="venc",Tabla2[[#This Row],[Columna1]]="por pagar"),"vencida","no")</f>
        <v>no</v>
      </c>
    </row>
    <row r="715" spans="1:23" ht="15.6" hidden="1" x14ac:dyDescent="0.3">
      <c r="A715" s="20">
        <v>30</v>
      </c>
      <c r="B715" s="25">
        <v>0</v>
      </c>
      <c r="C715" s="25"/>
      <c r="D715" s="56">
        <v>0</v>
      </c>
      <c r="E715" s="426">
        <v>45100</v>
      </c>
      <c r="F715" s="26" t="s">
        <v>1427</v>
      </c>
      <c r="G715" s="426">
        <v>45098</v>
      </c>
      <c r="H715" s="35" t="s">
        <v>1741</v>
      </c>
      <c r="I715" s="21">
        <v>217200</v>
      </c>
      <c r="J715" s="21"/>
      <c r="K715" s="22">
        <v>41268</v>
      </c>
      <c r="L715" s="23"/>
      <c r="M715" s="22">
        <v>0</v>
      </c>
      <c r="N715" s="74">
        <v>0</v>
      </c>
      <c r="O715" s="22">
        <v>0</v>
      </c>
      <c r="P715" s="21">
        <v>258468</v>
      </c>
      <c r="S715" s="108" t="b">
        <f>OR(COUNTIF(Tabla2[[#This Row],[PROVEEDOR]],"*"&amp;'Palabra no opera'!$A$2&amp;"*"))</f>
        <v>1</v>
      </c>
      <c r="T715" s="139">
        <f>+$W$5-Tabla2[[#This Row],[FECHA DE FACTURACIÓN]]</f>
        <v>193</v>
      </c>
      <c r="U715" t="str">
        <f>+IF(Tabla2[[#This Row],[dias de credito]]&gt;=Tabla2[[#This Row],[PLAZO Días]],"venc", "No venc")</f>
        <v>venc</v>
      </c>
      <c r="V715" t="str">
        <f>+IF(Tabla2[[#This Row],[FECHA DE PAGO]]&gt;0,"pagada","por pagar")</f>
        <v>pagada</v>
      </c>
      <c r="W715" s="141" t="str">
        <f>+IF(AND(Tabla2[[#This Row],[venc]]="venc",Tabla2[[#This Row],[Columna1]]="por pagar"),"vencida","no")</f>
        <v>no</v>
      </c>
    </row>
    <row r="716" spans="1:23" ht="15.6" hidden="1" x14ac:dyDescent="0.3">
      <c r="A716" s="20">
        <v>30</v>
      </c>
      <c r="B716" s="25">
        <v>0</v>
      </c>
      <c r="C716" s="25"/>
      <c r="D716" s="56" t="s">
        <v>260</v>
      </c>
      <c r="E716" s="426">
        <v>45100</v>
      </c>
      <c r="F716" s="26" t="s">
        <v>635</v>
      </c>
      <c r="G716" s="426">
        <v>45087</v>
      </c>
      <c r="H716" s="35" t="s">
        <v>1740</v>
      </c>
      <c r="I716" s="21">
        <v>3456200</v>
      </c>
      <c r="J716" s="21"/>
      <c r="K716" s="22">
        <v>0</v>
      </c>
      <c r="L716" s="23"/>
      <c r="M716" s="22">
        <v>0</v>
      </c>
      <c r="N716" s="74">
        <v>3.5000000000000003E-2</v>
      </c>
      <c r="O716" s="22">
        <v>120967.00000000001</v>
      </c>
      <c r="P716" s="21">
        <v>3335233</v>
      </c>
      <c r="S716" s="108" t="b">
        <f>OR(COUNTIF(Tabla2[[#This Row],[PROVEEDOR]],"*"&amp;'Palabra no opera'!$A$2&amp;"*"))</f>
        <v>1</v>
      </c>
      <c r="T716" s="139">
        <f>+$W$5-Tabla2[[#This Row],[FECHA DE FACTURACIÓN]]</f>
        <v>204</v>
      </c>
      <c r="U716" t="str">
        <f>+IF(Tabla2[[#This Row],[dias de credito]]&gt;=Tabla2[[#This Row],[PLAZO Días]],"venc", "No venc")</f>
        <v>venc</v>
      </c>
      <c r="V716" t="str">
        <f>+IF(Tabla2[[#This Row],[FECHA DE PAGO]]&gt;0,"pagada","por pagar")</f>
        <v>pagada</v>
      </c>
      <c r="W716" s="141" t="str">
        <f>+IF(AND(Tabla2[[#This Row],[venc]]="venc",Tabla2[[#This Row],[Columna1]]="por pagar"),"vencida","no")</f>
        <v>no</v>
      </c>
    </row>
    <row r="717" spans="1:23" ht="15.6" hidden="1" x14ac:dyDescent="0.3">
      <c r="A717" s="20">
        <v>30</v>
      </c>
      <c r="B717" s="25">
        <v>0</v>
      </c>
      <c r="C717" s="25"/>
      <c r="D717" s="56" t="s">
        <v>740</v>
      </c>
      <c r="E717" s="426">
        <v>45100</v>
      </c>
      <c r="F717" s="26" t="s">
        <v>637</v>
      </c>
      <c r="G717" s="426">
        <v>45078</v>
      </c>
      <c r="H717" s="35" t="s">
        <v>1743</v>
      </c>
      <c r="I717" s="21">
        <v>934363</v>
      </c>
      <c r="J717" s="21"/>
      <c r="K717" s="22">
        <v>0</v>
      </c>
      <c r="L717" s="23"/>
      <c r="M717" s="22">
        <v>0</v>
      </c>
      <c r="N717" s="74">
        <v>0</v>
      </c>
      <c r="O717" s="22">
        <v>0</v>
      </c>
      <c r="P717" s="21">
        <v>934363</v>
      </c>
      <c r="S717" s="108" t="b">
        <f>OR(COUNTIF(Tabla2[[#This Row],[PROVEEDOR]],"*"&amp;'Palabra no opera'!$A$2&amp;"*"))</f>
        <v>1</v>
      </c>
      <c r="T717" s="139">
        <f>+$W$5-Tabla2[[#This Row],[FECHA DE FACTURACIÓN]]</f>
        <v>213</v>
      </c>
      <c r="U717" t="str">
        <f>+IF(Tabla2[[#This Row],[dias de credito]]&gt;=Tabla2[[#This Row],[PLAZO Días]],"venc", "No venc")</f>
        <v>venc</v>
      </c>
      <c r="V717" t="str">
        <f>+IF(Tabla2[[#This Row],[FECHA DE PAGO]]&gt;0,"pagada","por pagar")</f>
        <v>pagada</v>
      </c>
      <c r="W717" s="141" t="str">
        <f>+IF(AND(Tabla2[[#This Row],[venc]]="venc",Tabla2[[#This Row],[Columna1]]="por pagar"),"vencida","no")</f>
        <v>no</v>
      </c>
    </row>
    <row r="718" spans="1:23" ht="15.6" hidden="1" x14ac:dyDescent="0.3">
      <c r="A718" s="20">
        <v>30</v>
      </c>
      <c r="B718" s="25">
        <v>0</v>
      </c>
      <c r="C718" s="25"/>
      <c r="D718" s="56" t="s">
        <v>740</v>
      </c>
      <c r="E718" s="426">
        <v>45100</v>
      </c>
      <c r="F718" s="26" t="s">
        <v>637</v>
      </c>
      <c r="G718" s="426">
        <v>45078</v>
      </c>
      <c r="H718" s="35" t="s">
        <v>1744</v>
      </c>
      <c r="I718" s="21">
        <v>914023</v>
      </c>
      <c r="J718" s="21"/>
      <c r="K718" s="22">
        <v>0</v>
      </c>
      <c r="L718" s="23"/>
      <c r="M718" s="22">
        <v>0</v>
      </c>
      <c r="N718" s="74">
        <v>0</v>
      </c>
      <c r="O718" s="22">
        <v>0</v>
      </c>
      <c r="P718" s="21">
        <v>914023</v>
      </c>
      <c r="S718" s="108" t="b">
        <f>OR(COUNTIF(Tabla2[[#This Row],[PROVEEDOR]],"*"&amp;'Palabra no opera'!$A$2&amp;"*"))</f>
        <v>1</v>
      </c>
      <c r="T718" s="139">
        <f>+$W$5-Tabla2[[#This Row],[FECHA DE FACTURACIÓN]]</f>
        <v>213</v>
      </c>
      <c r="U718" t="str">
        <f>+IF(Tabla2[[#This Row],[dias de credito]]&gt;=Tabla2[[#This Row],[PLAZO Días]],"venc", "No venc")</f>
        <v>venc</v>
      </c>
      <c r="V718" t="str">
        <f>+IF(Tabla2[[#This Row],[FECHA DE PAGO]]&gt;0,"pagada","por pagar")</f>
        <v>pagada</v>
      </c>
      <c r="W718" s="141" t="str">
        <f>+IF(AND(Tabla2[[#This Row],[venc]]="venc",Tabla2[[#This Row],[Columna1]]="por pagar"),"vencida","no")</f>
        <v>no</v>
      </c>
    </row>
    <row r="719" spans="1:23" ht="15.6" hidden="1" x14ac:dyDescent="0.3">
      <c r="A719" s="20">
        <v>30</v>
      </c>
      <c r="B719" s="25">
        <v>0</v>
      </c>
      <c r="C719" s="25"/>
      <c r="D719" s="56">
        <v>0</v>
      </c>
      <c r="E719" s="426">
        <v>45100</v>
      </c>
      <c r="F719" s="26" t="s">
        <v>1427</v>
      </c>
      <c r="G719" s="426">
        <v>44965</v>
      </c>
      <c r="H719" s="35" t="s">
        <v>1742</v>
      </c>
      <c r="I719" s="21">
        <v>5700</v>
      </c>
      <c r="J719" s="21"/>
      <c r="K719" s="22"/>
      <c r="L719" s="23"/>
      <c r="M719" s="22">
        <v>0</v>
      </c>
      <c r="N719" s="74">
        <v>0</v>
      </c>
      <c r="O719" s="22">
        <v>0</v>
      </c>
      <c r="P719" s="21">
        <v>5700</v>
      </c>
      <c r="S719" s="108" t="b">
        <f>OR(COUNTIF(Tabla2[[#This Row],[PROVEEDOR]],"*"&amp;'Palabra no opera'!$A$2&amp;"*"))</f>
        <v>1</v>
      </c>
      <c r="T719" s="139">
        <f>+$W$5-Tabla2[[#This Row],[FECHA DE FACTURACIÓN]]</f>
        <v>326</v>
      </c>
      <c r="U719" t="str">
        <f>+IF(Tabla2[[#This Row],[dias de credito]]&gt;=Tabla2[[#This Row],[PLAZO Días]],"venc", "No venc")</f>
        <v>venc</v>
      </c>
      <c r="V719" t="str">
        <f>+IF(Tabla2[[#This Row],[FECHA DE PAGO]]&gt;0,"pagada","por pagar")</f>
        <v>pagada</v>
      </c>
      <c r="W719" s="141" t="str">
        <f>+IF(AND(Tabla2[[#This Row],[venc]]="venc",Tabla2[[#This Row],[Columna1]]="por pagar"),"vencida","no")</f>
        <v>no</v>
      </c>
    </row>
    <row r="720" spans="1:23" ht="15.6" hidden="1" x14ac:dyDescent="0.3">
      <c r="A720" s="20">
        <v>30</v>
      </c>
      <c r="B720" s="25">
        <v>0</v>
      </c>
      <c r="C720" s="25"/>
      <c r="D720" s="56" t="s">
        <v>194</v>
      </c>
      <c r="E720" s="426">
        <v>45099</v>
      </c>
      <c r="F720" s="26" t="s">
        <v>640</v>
      </c>
      <c r="G720" s="426">
        <v>45097</v>
      </c>
      <c r="H720" s="35">
        <v>254</v>
      </c>
      <c r="I720" s="21">
        <v>540000</v>
      </c>
      <c r="J720" s="21"/>
      <c r="K720" s="22">
        <v>0</v>
      </c>
      <c r="L720" s="23"/>
      <c r="M720" s="22">
        <v>0</v>
      </c>
      <c r="N720" s="74">
        <v>3.5000000000000003E-2</v>
      </c>
      <c r="O720" s="22">
        <v>18900</v>
      </c>
      <c r="P720" s="21">
        <v>521100</v>
      </c>
      <c r="S720" s="108" t="b">
        <f>OR(COUNTIF(Tabla2[[#This Row],[PROVEEDOR]],"*"&amp;'Palabra no opera'!$A$2&amp;"*"))</f>
        <v>1</v>
      </c>
      <c r="T720" s="139">
        <f>+$W$5-Tabla2[[#This Row],[FECHA DE FACTURACIÓN]]</f>
        <v>194</v>
      </c>
      <c r="U720" t="str">
        <f>+IF(Tabla2[[#This Row],[dias de credito]]&gt;=Tabla2[[#This Row],[PLAZO Días]],"venc", "No venc")</f>
        <v>venc</v>
      </c>
      <c r="V720" t="str">
        <f>+IF(Tabla2[[#This Row],[FECHA DE PAGO]]&gt;0,"pagada","por pagar")</f>
        <v>pagada</v>
      </c>
      <c r="W720" s="141" t="str">
        <f>+IF(AND(Tabla2[[#This Row],[venc]]="venc",Tabla2[[#This Row],[Columna1]]="por pagar"),"vencida","no")</f>
        <v>no</v>
      </c>
    </row>
    <row r="721" spans="1:23" ht="15.6" hidden="1" x14ac:dyDescent="0.3">
      <c r="A721" s="20">
        <v>30</v>
      </c>
      <c r="B721" s="25">
        <v>0</v>
      </c>
      <c r="C721" s="25"/>
      <c r="D721" s="56" t="s">
        <v>190</v>
      </c>
      <c r="E721" s="426">
        <v>45099</v>
      </c>
      <c r="F721" s="26" t="s">
        <v>964</v>
      </c>
      <c r="G721" s="426">
        <v>45058</v>
      </c>
      <c r="H721" s="35" t="s">
        <v>1686</v>
      </c>
      <c r="I721" s="21">
        <v>2352000</v>
      </c>
      <c r="J721" s="21"/>
      <c r="K721" s="22">
        <v>446880</v>
      </c>
      <c r="L721" s="23"/>
      <c r="M721" s="22">
        <v>0</v>
      </c>
      <c r="N721" s="74">
        <v>0</v>
      </c>
      <c r="O721" s="22">
        <v>0</v>
      </c>
      <c r="P721" s="21">
        <v>2798880</v>
      </c>
      <c r="S721" s="108" t="b">
        <f>OR(COUNTIF(Tabla2[[#This Row],[PROVEEDOR]],"*"&amp;'Palabra no opera'!$A$2&amp;"*"))</f>
        <v>0</v>
      </c>
      <c r="T721" s="139">
        <f>+$W$5-Tabla2[[#This Row],[FECHA DE FACTURACIÓN]]</f>
        <v>233</v>
      </c>
      <c r="U721" t="str">
        <f>+IF(Tabla2[[#This Row],[dias de credito]]&gt;=Tabla2[[#This Row],[PLAZO Días]],"venc", "No venc")</f>
        <v>venc</v>
      </c>
      <c r="V721" t="str">
        <f>+IF(Tabla2[[#This Row],[FECHA DE PAGO]]&gt;0,"pagada","por pagar")</f>
        <v>pagada</v>
      </c>
      <c r="W721" s="141" t="str">
        <f>+IF(AND(Tabla2[[#This Row],[venc]]="venc",Tabla2[[#This Row],[Columna1]]="por pagar"),"vencida","no")</f>
        <v>no</v>
      </c>
    </row>
    <row r="722" spans="1:23" ht="15.6" hidden="1" x14ac:dyDescent="0.3">
      <c r="A722" s="20">
        <v>30</v>
      </c>
      <c r="B722" s="25">
        <v>1125118.8199999998</v>
      </c>
      <c r="C722" s="25"/>
      <c r="D722" s="56" t="s">
        <v>431</v>
      </c>
      <c r="E722" s="426">
        <v>45099</v>
      </c>
      <c r="F722" s="26" t="s">
        <v>279</v>
      </c>
      <c r="G722" s="426">
        <v>45055</v>
      </c>
      <c r="H722" s="35" t="s">
        <v>1682</v>
      </c>
      <c r="I722" s="21">
        <v>709916</v>
      </c>
      <c r="J722" s="21"/>
      <c r="K722" s="22">
        <v>134884.04</v>
      </c>
      <c r="L722" s="23"/>
      <c r="M722" s="22">
        <v>0</v>
      </c>
      <c r="N722" s="74">
        <v>0</v>
      </c>
      <c r="O722" s="22">
        <v>0</v>
      </c>
      <c r="P722" s="21">
        <v>844800.04</v>
      </c>
      <c r="S722" s="108" t="b">
        <f>OR(COUNTIF(Tabla2[[#This Row],[PROVEEDOR]],"*"&amp;'Palabra no opera'!$A$2&amp;"*"))</f>
        <v>0</v>
      </c>
      <c r="T722" s="139">
        <f>+$W$5-Tabla2[[#This Row],[FECHA DE FACTURACIÓN]]</f>
        <v>236</v>
      </c>
      <c r="U722" t="str">
        <f>+IF(Tabla2[[#This Row],[dias de credito]]&gt;=Tabla2[[#This Row],[PLAZO Días]],"venc", "No venc")</f>
        <v>venc</v>
      </c>
      <c r="V722" t="str">
        <f>+IF(Tabla2[[#This Row],[FECHA DE PAGO]]&gt;0,"pagada","por pagar")</f>
        <v>pagada</v>
      </c>
      <c r="W722" s="141" t="str">
        <f>+IF(AND(Tabla2[[#This Row],[venc]]="venc",Tabla2[[#This Row],[Columna1]]="por pagar"),"vencida","no")</f>
        <v>no</v>
      </c>
    </row>
    <row r="723" spans="1:23" ht="15.6" hidden="1" x14ac:dyDescent="0.3">
      <c r="A723" s="20">
        <v>30</v>
      </c>
      <c r="B723" s="25">
        <v>12030261.305</v>
      </c>
      <c r="C723" s="25"/>
      <c r="D723" s="56" t="s">
        <v>179</v>
      </c>
      <c r="E723" s="426">
        <v>45099</v>
      </c>
      <c r="F723" s="26" t="s">
        <v>12</v>
      </c>
      <c r="G723" s="426">
        <v>45030</v>
      </c>
      <c r="H723" s="35" t="s">
        <v>1605</v>
      </c>
      <c r="I723" s="21">
        <v>10529411</v>
      </c>
      <c r="J723" s="21"/>
      <c r="K723" s="22">
        <v>2000588.09</v>
      </c>
      <c r="L723" s="23"/>
      <c r="M723" s="22">
        <v>0</v>
      </c>
      <c r="N723" s="74">
        <v>2.5000000000000001E-2</v>
      </c>
      <c r="O723" s="22">
        <v>263235.27500000002</v>
      </c>
      <c r="P723" s="21">
        <v>12266763.814999999</v>
      </c>
      <c r="S723" s="108" t="b">
        <f>OR(COUNTIF(Tabla2[[#This Row],[PROVEEDOR]],"*"&amp;'Palabra no opera'!$A$2&amp;"*"))</f>
        <v>0</v>
      </c>
      <c r="T723" s="139">
        <f>+$W$5-Tabla2[[#This Row],[FECHA DE FACTURACIÓN]]</f>
        <v>261</v>
      </c>
      <c r="U723" t="str">
        <f>+IF(Tabla2[[#This Row],[dias de credito]]&gt;=Tabla2[[#This Row],[PLAZO Días]],"venc", "No venc")</f>
        <v>venc</v>
      </c>
      <c r="V723" t="str">
        <f>+IF(Tabla2[[#This Row],[FECHA DE PAGO]]&gt;0,"pagada","por pagar")</f>
        <v>pagada</v>
      </c>
      <c r="W723" s="141" t="str">
        <f>+IF(AND(Tabla2[[#This Row],[venc]]="venc",Tabla2[[#This Row],[Columna1]]="por pagar"),"vencida","no")</f>
        <v>no</v>
      </c>
    </row>
    <row r="724" spans="1:23" ht="15.6" hidden="1" x14ac:dyDescent="0.3">
      <c r="A724" s="20">
        <v>30</v>
      </c>
      <c r="B724" s="25">
        <v>12030261.305</v>
      </c>
      <c r="C724" s="25"/>
      <c r="D724" s="56" t="s">
        <v>179</v>
      </c>
      <c r="E724" s="426">
        <v>45099</v>
      </c>
      <c r="F724" s="26" t="s">
        <v>12</v>
      </c>
      <c r="G724" s="426">
        <v>45008</v>
      </c>
      <c r="H724" s="35" t="s">
        <v>1599</v>
      </c>
      <c r="I724" s="21">
        <v>537815</v>
      </c>
      <c r="J724" s="21"/>
      <c r="K724" s="22">
        <v>102184.85</v>
      </c>
      <c r="L724" s="23"/>
      <c r="M724" s="22">
        <v>0</v>
      </c>
      <c r="N724" s="74">
        <v>0</v>
      </c>
      <c r="O724" s="22">
        <v>0</v>
      </c>
      <c r="P724" s="21">
        <v>639999.85</v>
      </c>
      <c r="S724" s="108" t="b">
        <f>OR(COUNTIF(Tabla2[[#This Row],[PROVEEDOR]],"*"&amp;'Palabra no opera'!$A$2&amp;"*"))</f>
        <v>0</v>
      </c>
      <c r="T724" s="139">
        <f>+$W$5-Tabla2[[#This Row],[FECHA DE FACTURACIÓN]]</f>
        <v>283</v>
      </c>
      <c r="U724" t="str">
        <f>+IF(Tabla2[[#This Row],[dias de credito]]&gt;=Tabla2[[#This Row],[PLAZO Días]],"venc", "No venc")</f>
        <v>venc</v>
      </c>
      <c r="V724" t="str">
        <f>+IF(Tabla2[[#This Row],[FECHA DE PAGO]]&gt;0,"pagada","por pagar")</f>
        <v>pagada</v>
      </c>
      <c r="W724" s="141" t="str">
        <f>+IF(AND(Tabla2[[#This Row],[venc]]="venc",Tabla2[[#This Row],[Columna1]]="por pagar"),"vencida","no")</f>
        <v>no</v>
      </c>
    </row>
    <row r="725" spans="1:23" ht="15.6" hidden="1" x14ac:dyDescent="0.3">
      <c r="A725" s="20">
        <v>30</v>
      </c>
      <c r="B725" s="25">
        <v>0</v>
      </c>
      <c r="C725" s="25"/>
      <c r="D725" s="56">
        <v>0</v>
      </c>
      <c r="E725" s="426">
        <v>45098</v>
      </c>
      <c r="F725" s="26" t="s">
        <v>1165</v>
      </c>
      <c r="G725" s="426">
        <v>45098</v>
      </c>
      <c r="H725" s="35" t="s">
        <v>1771</v>
      </c>
      <c r="I725" s="21">
        <v>452795</v>
      </c>
      <c r="J725" s="21"/>
      <c r="K725" s="22">
        <v>0</v>
      </c>
      <c r="L725" s="23"/>
      <c r="M725" s="22">
        <v>0</v>
      </c>
      <c r="N725" s="74">
        <v>0</v>
      </c>
      <c r="O725" s="22">
        <v>0</v>
      </c>
      <c r="P725" s="21">
        <v>452795</v>
      </c>
      <c r="S725" s="108" t="b">
        <f>OR(COUNTIF(Tabla2[[#This Row],[PROVEEDOR]],"*"&amp;'Palabra no opera'!$A$2&amp;"*"))</f>
        <v>0</v>
      </c>
      <c r="T725" s="139">
        <f>+$W$5-Tabla2[[#This Row],[FECHA DE FACTURACIÓN]]</f>
        <v>193</v>
      </c>
      <c r="U725" t="str">
        <f>+IF(Tabla2[[#This Row],[dias de credito]]&gt;=Tabla2[[#This Row],[PLAZO Días]],"venc", "No venc")</f>
        <v>venc</v>
      </c>
      <c r="V725" t="str">
        <f>+IF(Tabla2[[#This Row],[FECHA DE PAGO]]&gt;0,"pagada","por pagar")</f>
        <v>pagada</v>
      </c>
      <c r="W725" s="141" t="str">
        <f>+IF(AND(Tabla2[[#This Row],[venc]]="venc",Tabla2[[#This Row],[Columna1]]="por pagar"),"vencida","no")</f>
        <v>no</v>
      </c>
    </row>
    <row r="726" spans="1:23" ht="15.6" hidden="1" x14ac:dyDescent="0.3">
      <c r="A726" s="20">
        <v>30</v>
      </c>
      <c r="B726" s="25">
        <v>0</v>
      </c>
      <c r="C726" s="25"/>
      <c r="D726" s="56" t="s">
        <v>659</v>
      </c>
      <c r="E726" s="426">
        <v>45098</v>
      </c>
      <c r="F726" s="26" t="s">
        <v>227</v>
      </c>
      <c r="G726" s="426">
        <v>45098</v>
      </c>
      <c r="H726" s="35" t="s">
        <v>1738</v>
      </c>
      <c r="I726" s="21">
        <v>1632000</v>
      </c>
      <c r="J726" s="21"/>
      <c r="K726" s="22">
        <v>0</v>
      </c>
      <c r="L726" s="23"/>
      <c r="M726" s="22">
        <v>0</v>
      </c>
      <c r="N726" s="74">
        <v>0</v>
      </c>
      <c r="O726" s="22">
        <v>0</v>
      </c>
      <c r="P726" s="21">
        <v>1632000</v>
      </c>
      <c r="S726" s="108" t="b">
        <f>OR(COUNTIF(Tabla2[[#This Row],[PROVEEDOR]],"*"&amp;'Palabra no opera'!$A$2&amp;"*"))</f>
        <v>0</v>
      </c>
      <c r="T726" s="139">
        <f>+$W$5-Tabla2[[#This Row],[FECHA DE FACTURACIÓN]]</f>
        <v>193</v>
      </c>
      <c r="U726" t="str">
        <f>+IF(Tabla2[[#This Row],[dias de credito]]&gt;=Tabla2[[#This Row],[PLAZO Días]],"venc", "No venc")</f>
        <v>venc</v>
      </c>
      <c r="V726" t="str">
        <f>+IF(Tabla2[[#This Row],[FECHA DE PAGO]]&gt;0,"pagada","por pagar")</f>
        <v>pagada</v>
      </c>
      <c r="W726" s="141" t="str">
        <f>+IF(AND(Tabla2[[#This Row],[venc]]="venc",Tabla2[[#This Row],[Columna1]]="por pagar"),"vencida","no")</f>
        <v>no</v>
      </c>
    </row>
    <row r="727" spans="1:23" ht="15.6" hidden="1" x14ac:dyDescent="0.3">
      <c r="A727" s="20">
        <v>30</v>
      </c>
      <c r="B727" s="25">
        <v>0</v>
      </c>
      <c r="C727" s="25"/>
      <c r="D727" s="56">
        <v>0</v>
      </c>
      <c r="E727" s="426">
        <v>45098</v>
      </c>
      <c r="F727" s="26" t="s">
        <v>1287</v>
      </c>
      <c r="G727" s="426">
        <v>45077</v>
      </c>
      <c r="H727" s="35">
        <v>437</v>
      </c>
      <c r="I727" s="21">
        <v>621600</v>
      </c>
      <c r="J727" s="21"/>
      <c r="K727" s="22">
        <v>0</v>
      </c>
      <c r="L727" s="23"/>
      <c r="M727" s="22">
        <v>118104</v>
      </c>
      <c r="N727" s="74">
        <v>0</v>
      </c>
      <c r="O727" s="22">
        <v>0</v>
      </c>
      <c r="P727" s="21">
        <v>503496</v>
      </c>
      <c r="S727" s="108" t="b">
        <f>OR(COUNTIF(Tabla2[[#This Row],[PROVEEDOR]],"*"&amp;'Palabra no opera'!$A$2&amp;"*"))</f>
        <v>0</v>
      </c>
      <c r="T727" s="139">
        <f>+$W$5-Tabla2[[#This Row],[FECHA DE FACTURACIÓN]]</f>
        <v>214</v>
      </c>
      <c r="U727" t="str">
        <f>+IF(Tabla2[[#This Row],[dias de credito]]&gt;=Tabla2[[#This Row],[PLAZO Días]],"venc", "No venc")</f>
        <v>venc</v>
      </c>
      <c r="V727" t="str">
        <f>+IF(Tabla2[[#This Row],[FECHA DE PAGO]]&gt;0,"pagada","por pagar")</f>
        <v>pagada</v>
      </c>
      <c r="W727" s="141" t="str">
        <f>+IF(AND(Tabla2[[#This Row],[venc]]="venc",Tabla2[[#This Row],[Columna1]]="por pagar"),"vencida","no")</f>
        <v>no</v>
      </c>
    </row>
    <row r="728" spans="1:23" ht="15.6" hidden="1" x14ac:dyDescent="0.3">
      <c r="A728" s="20">
        <v>30</v>
      </c>
      <c r="B728" s="25">
        <v>0</v>
      </c>
      <c r="C728" s="25"/>
      <c r="D728" s="56" t="s">
        <v>843</v>
      </c>
      <c r="E728" s="426">
        <v>45098</v>
      </c>
      <c r="F728" s="26" t="s">
        <v>809</v>
      </c>
      <c r="G728" s="426">
        <v>45077</v>
      </c>
      <c r="H728" s="35">
        <v>2718</v>
      </c>
      <c r="I728" s="21">
        <v>612000</v>
      </c>
      <c r="J728" s="21"/>
      <c r="K728" s="22">
        <v>116280</v>
      </c>
      <c r="L728" s="23">
        <v>0.1</v>
      </c>
      <c r="M728" s="22">
        <v>61200</v>
      </c>
      <c r="N728" s="74">
        <v>0</v>
      </c>
      <c r="O728" s="22">
        <v>0</v>
      </c>
      <c r="P728" s="21">
        <v>667080</v>
      </c>
      <c r="S728" s="108" t="b">
        <f>OR(COUNTIF(Tabla2[[#This Row],[PROVEEDOR]],"*"&amp;'Palabra no opera'!$A$2&amp;"*"))</f>
        <v>0</v>
      </c>
      <c r="T728" s="139">
        <f>+$W$5-Tabla2[[#This Row],[FECHA DE FACTURACIÓN]]</f>
        <v>214</v>
      </c>
      <c r="U728" t="str">
        <f>+IF(Tabla2[[#This Row],[dias de credito]]&gt;=Tabla2[[#This Row],[PLAZO Días]],"venc", "No venc")</f>
        <v>venc</v>
      </c>
      <c r="V728" t="str">
        <f>+IF(Tabla2[[#This Row],[FECHA DE PAGO]]&gt;0,"pagada","por pagar")</f>
        <v>pagada</v>
      </c>
      <c r="W728" s="141" t="str">
        <f>+IF(AND(Tabla2[[#This Row],[venc]]="venc",Tabla2[[#This Row],[Columna1]]="por pagar"),"vencida","no")</f>
        <v>no</v>
      </c>
    </row>
    <row r="729" spans="1:23" ht="15.6" hidden="1" x14ac:dyDescent="0.3">
      <c r="A729" s="20">
        <v>30</v>
      </c>
      <c r="B729" s="25">
        <v>2100000</v>
      </c>
      <c r="C729" s="25"/>
      <c r="D729" s="56" t="s">
        <v>107</v>
      </c>
      <c r="E729" s="426">
        <v>45098</v>
      </c>
      <c r="F729" s="26" t="s">
        <v>349</v>
      </c>
      <c r="G729" s="426">
        <v>45051</v>
      </c>
      <c r="H729" s="35" t="s">
        <v>1677</v>
      </c>
      <c r="I729" s="21">
        <v>642250</v>
      </c>
      <c r="J729" s="21"/>
      <c r="K729" s="22">
        <v>0</v>
      </c>
      <c r="L729" s="23"/>
      <c r="M729" s="22">
        <v>0</v>
      </c>
      <c r="N729" s="74">
        <v>0</v>
      </c>
      <c r="O729" s="22">
        <v>0</v>
      </c>
      <c r="P729" s="21">
        <v>642250</v>
      </c>
      <c r="S729" s="108" t="b">
        <f>OR(COUNTIF(Tabla2[[#This Row],[PROVEEDOR]],"*"&amp;'Palabra no opera'!$A$2&amp;"*"))</f>
        <v>0</v>
      </c>
      <c r="T729" s="139">
        <f>+$W$5-Tabla2[[#This Row],[FECHA DE FACTURACIÓN]]</f>
        <v>240</v>
      </c>
      <c r="U729" t="str">
        <f>+IF(Tabla2[[#This Row],[dias de credito]]&gt;=Tabla2[[#This Row],[PLAZO Días]],"venc", "No venc")</f>
        <v>venc</v>
      </c>
      <c r="V729" t="str">
        <f>+IF(Tabla2[[#This Row],[FECHA DE PAGO]]&gt;0,"pagada","por pagar")</f>
        <v>pagada</v>
      </c>
      <c r="W729" s="141" t="str">
        <f>+IF(AND(Tabla2[[#This Row],[venc]]="venc",Tabla2[[#This Row],[Columna1]]="por pagar"),"vencida","no")</f>
        <v>no</v>
      </c>
    </row>
    <row r="730" spans="1:23" ht="15.6" hidden="1" x14ac:dyDescent="0.3">
      <c r="A730" s="20">
        <v>30</v>
      </c>
      <c r="B730" s="25">
        <v>0</v>
      </c>
      <c r="C730" s="25"/>
      <c r="D730" s="56">
        <v>0</v>
      </c>
      <c r="E730" s="426">
        <v>45098</v>
      </c>
      <c r="F730" s="26" t="s">
        <v>413</v>
      </c>
      <c r="G730" s="426">
        <v>45047</v>
      </c>
      <c r="H730" s="35">
        <v>378</v>
      </c>
      <c r="I730" s="21">
        <v>1512000</v>
      </c>
      <c r="J730" s="21"/>
      <c r="K730" s="22">
        <v>0</v>
      </c>
      <c r="L730" s="23"/>
      <c r="M730" s="22">
        <v>0</v>
      </c>
      <c r="N730" s="74">
        <v>0</v>
      </c>
      <c r="O730" s="22">
        <v>0</v>
      </c>
      <c r="P730" s="21">
        <v>1512000</v>
      </c>
      <c r="S730" s="108" t="b">
        <f>OR(COUNTIF(Tabla2[[#This Row],[PROVEEDOR]],"*"&amp;'Palabra no opera'!$A$2&amp;"*"))</f>
        <v>0</v>
      </c>
      <c r="T730" s="139">
        <f>+$W$5-Tabla2[[#This Row],[FECHA DE FACTURACIÓN]]</f>
        <v>244</v>
      </c>
      <c r="U730" t="str">
        <f>+IF(Tabla2[[#This Row],[dias de credito]]&gt;=Tabla2[[#This Row],[PLAZO Días]],"venc", "No venc")</f>
        <v>venc</v>
      </c>
      <c r="V730" t="str">
        <f>+IF(Tabla2[[#This Row],[FECHA DE PAGO]]&gt;0,"pagada","por pagar")</f>
        <v>pagada</v>
      </c>
      <c r="W730" s="141" t="str">
        <f>+IF(AND(Tabla2[[#This Row],[venc]]="venc",Tabla2[[#This Row],[Columna1]]="por pagar"),"vencida","no")</f>
        <v>no</v>
      </c>
    </row>
    <row r="731" spans="1:23" ht="15.6" hidden="1" x14ac:dyDescent="0.3">
      <c r="A731" s="20">
        <v>30</v>
      </c>
      <c r="B731" s="25">
        <v>0</v>
      </c>
      <c r="C731" s="25"/>
      <c r="D731" s="56" t="s">
        <v>107</v>
      </c>
      <c r="E731" s="426">
        <v>45097</v>
      </c>
      <c r="F731" s="26" t="s">
        <v>1194</v>
      </c>
      <c r="G731" s="426">
        <v>45095</v>
      </c>
      <c r="H731" s="35" t="s">
        <v>1767</v>
      </c>
      <c r="I731" s="21">
        <v>3718000</v>
      </c>
      <c r="J731" s="21"/>
      <c r="K731" s="22">
        <v>0</v>
      </c>
      <c r="L731" s="23"/>
      <c r="M731" s="22">
        <v>0</v>
      </c>
      <c r="N731" s="74">
        <v>0</v>
      </c>
      <c r="O731" s="22">
        <v>0</v>
      </c>
      <c r="P731" s="21">
        <v>3718000</v>
      </c>
      <c r="S731" s="108" t="b">
        <f>OR(COUNTIF(Tabla2[[#This Row],[PROVEEDOR]],"*"&amp;'Palabra no opera'!$A$2&amp;"*"))</f>
        <v>0</v>
      </c>
      <c r="T731" s="139">
        <f>+$W$5-Tabla2[[#This Row],[FECHA DE FACTURACIÓN]]</f>
        <v>196</v>
      </c>
      <c r="U731" t="str">
        <f>+IF(Tabla2[[#This Row],[dias de credito]]&gt;=Tabla2[[#This Row],[PLAZO Días]],"venc", "No venc")</f>
        <v>venc</v>
      </c>
      <c r="V731" t="str">
        <f>+IF(Tabla2[[#This Row],[FECHA DE PAGO]]&gt;0,"pagada","por pagar")</f>
        <v>pagada</v>
      </c>
      <c r="W731" s="141" t="str">
        <f>+IF(AND(Tabla2[[#This Row],[venc]]="venc",Tabla2[[#This Row],[Columna1]]="por pagar"),"vencida","no")</f>
        <v>no</v>
      </c>
    </row>
    <row r="732" spans="1:23" ht="15.6" hidden="1" x14ac:dyDescent="0.3">
      <c r="A732" s="20">
        <v>30</v>
      </c>
      <c r="B732" s="25">
        <v>352505.48</v>
      </c>
      <c r="C732" s="25"/>
      <c r="D732" s="56" t="s">
        <v>393</v>
      </c>
      <c r="E732" s="426">
        <v>45097</v>
      </c>
      <c r="F732" s="26" t="s">
        <v>631</v>
      </c>
      <c r="G732" s="426">
        <v>45078</v>
      </c>
      <c r="H732" s="35" t="s">
        <v>1734</v>
      </c>
      <c r="I732" s="21">
        <v>318603</v>
      </c>
      <c r="J732" s="21">
        <v>9545.39</v>
      </c>
      <c r="K732" s="22">
        <v>0</v>
      </c>
      <c r="L732" s="23"/>
      <c r="M732" s="22">
        <v>0</v>
      </c>
      <c r="N732" s="74">
        <v>0</v>
      </c>
      <c r="O732" s="22">
        <v>0</v>
      </c>
      <c r="P732" s="21">
        <v>309057.61</v>
      </c>
      <c r="S732" s="108" t="b">
        <f>OR(COUNTIF(Tabla2[[#This Row],[PROVEEDOR]],"*"&amp;'Palabra no opera'!$A$2&amp;"*"))</f>
        <v>1</v>
      </c>
      <c r="T732" s="139">
        <f>+$W$5-Tabla2[[#This Row],[FECHA DE FACTURACIÓN]]</f>
        <v>213</v>
      </c>
      <c r="U732" t="str">
        <f>+IF(Tabla2[[#This Row],[dias de credito]]&gt;=Tabla2[[#This Row],[PLAZO Días]],"venc", "No venc")</f>
        <v>venc</v>
      </c>
      <c r="V732" t="str">
        <f>+IF(Tabla2[[#This Row],[FECHA DE PAGO]]&gt;0,"pagada","por pagar")</f>
        <v>pagada</v>
      </c>
      <c r="W732" s="141" t="str">
        <f>+IF(AND(Tabla2[[#This Row],[venc]]="venc",Tabla2[[#This Row],[Columna1]]="por pagar"),"vencida","no")</f>
        <v>no</v>
      </c>
    </row>
    <row r="733" spans="1:23" ht="15.6" hidden="1" x14ac:dyDescent="0.3">
      <c r="A733" s="20">
        <v>30</v>
      </c>
      <c r="B733" s="25">
        <v>0</v>
      </c>
      <c r="C733" s="25"/>
      <c r="D733" s="56" t="s">
        <v>193</v>
      </c>
      <c r="E733" s="426">
        <v>45097</v>
      </c>
      <c r="F733" s="26" t="s">
        <v>651</v>
      </c>
      <c r="G733" s="426">
        <v>45078</v>
      </c>
      <c r="H733" s="35" t="s">
        <v>1733</v>
      </c>
      <c r="I733" s="21">
        <v>243611</v>
      </c>
      <c r="J733" s="21"/>
      <c r="K733" s="22">
        <v>46286.090000000004</v>
      </c>
      <c r="L733" s="23"/>
      <c r="M733" s="22">
        <v>0</v>
      </c>
      <c r="N733" s="74">
        <v>3.5000000000000003E-2</v>
      </c>
      <c r="O733" s="22">
        <v>8526.3850000000002</v>
      </c>
      <c r="P733" s="21">
        <v>281370.70500000002</v>
      </c>
      <c r="S733" s="108" t="b">
        <f>OR(COUNTIF(Tabla2[[#This Row],[PROVEEDOR]],"*"&amp;'Palabra no opera'!$A$2&amp;"*"))</f>
        <v>1</v>
      </c>
      <c r="T733" s="139">
        <f>+$W$5-Tabla2[[#This Row],[FECHA DE FACTURACIÓN]]</f>
        <v>213</v>
      </c>
      <c r="U733" t="str">
        <f>+IF(Tabla2[[#This Row],[dias de credito]]&gt;=Tabla2[[#This Row],[PLAZO Días]],"venc", "No venc")</f>
        <v>venc</v>
      </c>
      <c r="V733" t="str">
        <f>+IF(Tabla2[[#This Row],[FECHA DE PAGO]]&gt;0,"pagada","por pagar")</f>
        <v>pagada</v>
      </c>
      <c r="W733" s="141" t="str">
        <f>+IF(AND(Tabla2[[#This Row],[venc]]="venc",Tabla2[[#This Row],[Columna1]]="por pagar"),"vencida","no")</f>
        <v>no</v>
      </c>
    </row>
    <row r="734" spans="1:23" ht="15.6" hidden="1" x14ac:dyDescent="0.3">
      <c r="A734" s="20">
        <v>30</v>
      </c>
      <c r="B734" s="25">
        <v>0</v>
      </c>
      <c r="C734" s="25"/>
      <c r="D734" s="56" t="s">
        <v>258</v>
      </c>
      <c r="E734" s="426">
        <v>45097</v>
      </c>
      <c r="F734" s="26" t="s">
        <v>257</v>
      </c>
      <c r="G734" s="426">
        <v>45062</v>
      </c>
      <c r="H734" s="35" t="s">
        <v>1692</v>
      </c>
      <c r="I734" s="21">
        <v>1750000</v>
      </c>
      <c r="J734" s="21"/>
      <c r="K734" s="22">
        <v>332500</v>
      </c>
      <c r="L734" s="23"/>
      <c r="M734" s="22">
        <v>0</v>
      </c>
      <c r="N734" s="74">
        <v>2.5000000000000001E-2</v>
      </c>
      <c r="O734" s="22">
        <v>43750</v>
      </c>
      <c r="P734" s="21">
        <v>2038750</v>
      </c>
      <c r="S734" s="108" t="b">
        <f>OR(COUNTIF(Tabla2[[#This Row],[PROVEEDOR]],"*"&amp;'Palabra no opera'!$A$2&amp;"*"))</f>
        <v>0</v>
      </c>
      <c r="T734" s="139">
        <f>+$W$5-Tabla2[[#This Row],[FECHA DE FACTURACIÓN]]</f>
        <v>229</v>
      </c>
      <c r="U734" t="str">
        <f>+IF(Tabla2[[#This Row],[dias de credito]]&gt;=Tabla2[[#This Row],[PLAZO Días]],"venc", "No venc")</f>
        <v>venc</v>
      </c>
      <c r="V734" t="str">
        <f>+IF(Tabla2[[#This Row],[FECHA DE PAGO]]&gt;0,"pagada","por pagar")</f>
        <v>pagada</v>
      </c>
      <c r="W734" s="141" t="str">
        <f>+IF(AND(Tabla2[[#This Row],[venc]]="venc",Tabla2[[#This Row],[Columna1]]="por pagar"),"vencida","no")</f>
        <v>no</v>
      </c>
    </row>
    <row r="735" spans="1:23" ht="15.6" hidden="1" x14ac:dyDescent="0.3">
      <c r="A735" s="20">
        <v>30</v>
      </c>
      <c r="B735" s="25">
        <v>0</v>
      </c>
      <c r="C735" s="25"/>
      <c r="D735" s="56" t="s">
        <v>199</v>
      </c>
      <c r="E735" s="426">
        <v>45097</v>
      </c>
      <c r="F735" s="26" t="s">
        <v>1069</v>
      </c>
      <c r="G735" s="426">
        <v>45061</v>
      </c>
      <c r="H735" s="35" t="s">
        <v>1693</v>
      </c>
      <c r="I735" s="21">
        <v>4516272</v>
      </c>
      <c r="J735" s="21"/>
      <c r="K735" s="22">
        <v>858091.68</v>
      </c>
      <c r="L735" s="23"/>
      <c r="M735" s="22">
        <v>0</v>
      </c>
      <c r="N735" s="74">
        <v>2.5000000000000001E-2</v>
      </c>
      <c r="O735" s="22">
        <v>112906.8</v>
      </c>
      <c r="P735" s="21">
        <v>5261456.88</v>
      </c>
      <c r="S735" s="108" t="b">
        <f>OR(COUNTIF(Tabla2[[#This Row],[PROVEEDOR]],"*"&amp;'Palabra no opera'!$A$2&amp;"*"))</f>
        <v>0</v>
      </c>
      <c r="T735" s="139">
        <f>+$W$5-Tabla2[[#This Row],[FECHA DE FACTURACIÓN]]</f>
        <v>230</v>
      </c>
      <c r="U735" t="str">
        <f>+IF(Tabla2[[#This Row],[dias de credito]]&gt;=Tabla2[[#This Row],[PLAZO Días]],"venc", "No venc")</f>
        <v>venc</v>
      </c>
      <c r="V735" t="str">
        <f>+IF(Tabla2[[#This Row],[FECHA DE PAGO]]&gt;0,"pagada","por pagar")</f>
        <v>pagada</v>
      </c>
      <c r="W735" s="141" t="str">
        <f>+IF(AND(Tabla2[[#This Row],[venc]]="venc",Tabla2[[#This Row],[Columna1]]="por pagar"),"vencida","no")</f>
        <v>no</v>
      </c>
    </row>
    <row r="736" spans="1:23" ht="15.6" hidden="1" x14ac:dyDescent="0.3">
      <c r="A736" s="20">
        <v>30</v>
      </c>
      <c r="B736" s="25">
        <v>0</v>
      </c>
      <c r="C736" s="25"/>
      <c r="D736" s="56" t="s">
        <v>211</v>
      </c>
      <c r="E736" s="426">
        <v>45097</v>
      </c>
      <c r="F736" s="26" t="s">
        <v>26</v>
      </c>
      <c r="G736" s="426">
        <v>45056</v>
      </c>
      <c r="H736" s="35" t="s">
        <v>1698</v>
      </c>
      <c r="I736" s="21">
        <v>1470000</v>
      </c>
      <c r="J736" s="21"/>
      <c r="K736" s="22">
        <v>279300</v>
      </c>
      <c r="L736" s="23"/>
      <c r="M736" s="22">
        <v>0</v>
      </c>
      <c r="N736" s="74">
        <v>2.5000000000000001E-2</v>
      </c>
      <c r="O736" s="22">
        <v>36750</v>
      </c>
      <c r="P736" s="21">
        <v>1712550</v>
      </c>
      <c r="S736" s="108" t="b">
        <f>OR(COUNTIF(Tabla2[[#This Row],[PROVEEDOR]],"*"&amp;'Palabra no opera'!$A$2&amp;"*"))</f>
        <v>0</v>
      </c>
      <c r="T736" s="139">
        <f>+$W$5-Tabla2[[#This Row],[FECHA DE FACTURACIÓN]]</f>
        <v>235</v>
      </c>
      <c r="U736" t="str">
        <f>+IF(Tabla2[[#This Row],[dias de credito]]&gt;=Tabla2[[#This Row],[PLAZO Días]],"venc", "No venc")</f>
        <v>venc</v>
      </c>
      <c r="V736" t="str">
        <f>+IF(Tabla2[[#This Row],[FECHA DE PAGO]]&gt;0,"pagada","por pagar")</f>
        <v>pagada</v>
      </c>
      <c r="W736" s="141" t="str">
        <f>+IF(AND(Tabla2[[#This Row],[venc]]="venc",Tabla2[[#This Row],[Columna1]]="por pagar"),"vencida","no")</f>
        <v>no</v>
      </c>
    </row>
    <row r="737" spans="1:23" ht="15.6" hidden="1" x14ac:dyDescent="0.3">
      <c r="A737" s="20">
        <v>30</v>
      </c>
      <c r="B737" s="25">
        <v>18444236.894999996</v>
      </c>
      <c r="C737" s="25"/>
      <c r="D737" s="56" t="s">
        <v>731</v>
      </c>
      <c r="E737" s="426">
        <v>45097</v>
      </c>
      <c r="F737" s="26" t="s">
        <v>11</v>
      </c>
      <c r="G737" s="426">
        <v>45055</v>
      </c>
      <c r="H737" s="35" t="s">
        <v>1675</v>
      </c>
      <c r="I737" s="21">
        <v>854119</v>
      </c>
      <c r="J737" s="21"/>
      <c r="K737" s="22">
        <v>162282.61000000002</v>
      </c>
      <c r="L737" s="23"/>
      <c r="M737" s="22">
        <v>0</v>
      </c>
      <c r="N737" s="74">
        <v>0</v>
      </c>
      <c r="O737" s="22">
        <v>0</v>
      </c>
      <c r="P737" s="21">
        <v>1016401.61</v>
      </c>
      <c r="S737" s="108" t="b">
        <f>OR(COUNTIF(Tabla2[[#This Row],[PROVEEDOR]],"*"&amp;'Palabra no opera'!$A$2&amp;"*"))</f>
        <v>0</v>
      </c>
      <c r="T737" s="139">
        <f>+$W$5-Tabla2[[#This Row],[FECHA DE FACTURACIÓN]]</f>
        <v>236</v>
      </c>
      <c r="U737" t="str">
        <f>+IF(Tabla2[[#This Row],[dias de credito]]&gt;=Tabla2[[#This Row],[PLAZO Días]],"venc", "No venc")</f>
        <v>venc</v>
      </c>
      <c r="V737" t="str">
        <f>+IF(Tabla2[[#This Row],[FECHA DE PAGO]]&gt;0,"pagada","por pagar")</f>
        <v>pagada</v>
      </c>
      <c r="W737" s="141" t="str">
        <f>+IF(AND(Tabla2[[#This Row],[venc]]="venc",Tabla2[[#This Row],[Columna1]]="por pagar"),"vencida","no")</f>
        <v>no</v>
      </c>
    </row>
    <row r="738" spans="1:23" ht="15.6" hidden="1" x14ac:dyDescent="0.3">
      <c r="A738" s="20">
        <v>30</v>
      </c>
      <c r="B738" s="25">
        <v>18444236.894999996</v>
      </c>
      <c r="C738" s="25"/>
      <c r="D738" s="56" t="s">
        <v>731</v>
      </c>
      <c r="E738" s="426">
        <v>45097</v>
      </c>
      <c r="F738" s="26" t="s">
        <v>11</v>
      </c>
      <c r="G738" s="426">
        <v>45044</v>
      </c>
      <c r="H738" s="35" t="s">
        <v>1653</v>
      </c>
      <c r="I738" s="21">
        <v>5732114</v>
      </c>
      <c r="J738" s="21"/>
      <c r="K738" s="22">
        <v>1089101.6599999999</v>
      </c>
      <c r="L738" s="23"/>
      <c r="M738" s="22">
        <v>0</v>
      </c>
      <c r="N738" s="74">
        <v>2.5000000000000001E-2</v>
      </c>
      <c r="O738" s="22">
        <v>143302.85</v>
      </c>
      <c r="P738" s="21">
        <v>6677912.8100000005</v>
      </c>
      <c r="S738" s="108" t="b">
        <f>OR(COUNTIF(Tabla2[[#This Row],[PROVEEDOR]],"*"&amp;'Palabra no opera'!$A$2&amp;"*"))</f>
        <v>0</v>
      </c>
      <c r="T738" s="139">
        <f>+$W$5-Tabla2[[#This Row],[FECHA DE FACTURACIÓN]]</f>
        <v>247</v>
      </c>
      <c r="U738" t="str">
        <f>+IF(Tabla2[[#This Row],[dias de credito]]&gt;=Tabla2[[#This Row],[PLAZO Días]],"venc", "No venc")</f>
        <v>venc</v>
      </c>
      <c r="V738" t="str">
        <f>+IF(Tabla2[[#This Row],[FECHA DE PAGO]]&gt;0,"pagada","por pagar")</f>
        <v>pagada</v>
      </c>
      <c r="W738" s="141" t="str">
        <f>+IF(AND(Tabla2[[#This Row],[venc]]="venc",Tabla2[[#This Row],[Columna1]]="por pagar"),"vencida","no")</f>
        <v>no</v>
      </c>
    </row>
    <row r="739" spans="1:23" ht="15.6" hidden="1" x14ac:dyDescent="0.3">
      <c r="A739" s="20">
        <v>30</v>
      </c>
      <c r="B739" s="25">
        <v>27189617.395</v>
      </c>
      <c r="C739" s="25"/>
      <c r="D739" s="56" t="s">
        <v>686</v>
      </c>
      <c r="E739" s="426">
        <v>45097</v>
      </c>
      <c r="F739" s="26" t="s">
        <v>77</v>
      </c>
      <c r="G739" s="426">
        <v>45042</v>
      </c>
      <c r="H739" s="35" t="s">
        <v>1651</v>
      </c>
      <c r="I739" s="21">
        <v>8754400</v>
      </c>
      <c r="J739" s="21"/>
      <c r="K739" s="22">
        <v>1663336</v>
      </c>
      <c r="L739" s="23"/>
      <c r="M739" s="22">
        <v>0</v>
      </c>
      <c r="N739" s="74">
        <v>2.5000000000000001E-2</v>
      </c>
      <c r="O739" s="22">
        <v>218860</v>
      </c>
      <c r="P739" s="21">
        <v>10198876</v>
      </c>
      <c r="S739" s="108" t="b">
        <f>OR(COUNTIF(Tabla2[[#This Row],[PROVEEDOR]],"*"&amp;'Palabra no opera'!$A$2&amp;"*"))</f>
        <v>0</v>
      </c>
      <c r="T739" s="139">
        <f>+$W$5-Tabla2[[#This Row],[FECHA DE FACTURACIÓN]]</f>
        <v>249</v>
      </c>
      <c r="U739" t="str">
        <f>+IF(Tabla2[[#This Row],[dias de credito]]&gt;=Tabla2[[#This Row],[PLAZO Días]],"venc", "No venc")</f>
        <v>venc</v>
      </c>
      <c r="V739" t="str">
        <f>+IF(Tabla2[[#This Row],[FECHA DE PAGO]]&gt;0,"pagada","por pagar")</f>
        <v>pagada</v>
      </c>
      <c r="W739" s="141" t="str">
        <f>+IF(AND(Tabla2[[#This Row],[venc]]="venc",Tabla2[[#This Row],[Columna1]]="por pagar"),"vencida","no")</f>
        <v>no</v>
      </c>
    </row>
    <row r="740" spans="1:23" ht="15.6" hidden="1" x14ac:dyDescent="0.3">
      <c r="A740" s="20">
        <v>30</v>
      </c>
      <c r="B740" s="25">
        <v>0</v>
      </c>
      <c r="C740" s="25"/>
      <c r="D740" s="56" t="s">
        <v>211</v>
      </c>
      <c r="E740" s="426">
        <v>45097</v>
      </c>
      <c r="F740" s="26" t="s">
        <v>26</v>
      </c>
      <c r="G740" s="426">
        <v>45041</v>
      </c>
      <c r="H740" s="35" t="s">
        <v>1646</v>
      </c>
      <c r="I740" s="21">
        <v>2657001</v>
      </c>
      <c r="J740" s="21"/>
      <c r="K740" s="22">
        <v>504830.19</v>
      </c>
      <c r="L740" s="23"/>
      <c r="M740" s="22">
        <v>8925</v>
      </c>
      <c r="N740" s="74">
        <v>2.5000000000000001E-2</v>
      </c>
      <c r="O740" s="22">
        <v>66425.025000000009</v>
      </c>
      <c r="P740" s="21">
        <v>3086481.165</v>
      </c>
      <c r="S740" s="108" t="b">
        <f>OR(COUNTIF(Tabla2[[#This Row],[PROVEEDOR]],"*"&amp;'Palabra no opera'!$A$2&amp;"*"))</f>
        <v>0</v>
      </c>
      <c r="T740" s="139">
        <f>+$W$5-Tabla2[[#This Row],[FECHA DE FACTURACIÓN]]</f>
        <v>250</v>
      </c>
      <c r="U740" t="str">
        <f>+IF(Tabla2[[#This Row],[dias de credito]]&gt;=Tabla2[[#This Row],[PLAZO Días]],"venc", "No venc")</f>
        <v>venc</v>
      </c>
      <c r="V740" t="str">
        <f>+IF(Tabla2[[#This Row],[FECHA DE PAGO]]&gt;0,"pagada","por pagar")</f>
        <v>pagada</v>
      </c>
      <c r="W740" s="141" t="str">
        <f>+IF(AND(Tabla2[[#This Row],[venc]]="venc",Tabla2[[#This Row],[Columna1]]="por pagar"),"vencida","no")</f>
        <v>no</v>
      </c>
    </row>
    <row r="741" spans="1:23" ht="15.6" hidden="1" x14ac:dyDescent="0.3">
      <c r="A741" s="20">
        <v>30</v>
      </c>
      <c r="B741" s="25">
        <v>4282200</v>
      </c>
      <c r="C741" s="25"/>
      <c r="D741" s="56" t="s">
        <v>244</v>
      </c>
      <c r="E741" s="426">
        <v>45097</v>
      </c>
      <c r="F741" s="26" t="s">
        <v>406</v>
      </c>
      <c r="G741" s="426">
        <v>45030</v>
      </c>
      <c r="H741" s="35">
        <v>4056</v>
      </c>
      <c r="I741" s="21">
        <v>3121200</v>
      </c>
      <c r="J741" s="21"/>
      <c r="K741" s="22">
        <v>0</v>
      </c>
      <c r="L741" s="23"/>
      <c r="M741" s="22">
        <v>0</v>
      </c>
      <c r="N741" s="74">
        <v>0</v>
      </c>
      <c r="O741" s="22">
        <v>0</v>
      </c>
      <c r="P741" s="21">
        <v>3121200</v>
      </c>
      <c r="S741" s="108" t="b">
        <f>OR(COUNTIF(Tabla2[[#This Row],[PROVEEDOR]],"*"&amp;'Palabra no opera'!$A$2&amp;"*"))</f>
        <v>0</v>
      </c>
      <c r="T741" s="139">
        <f>+$W$5-Tabla2[[#This Row],[FECHA DE FACTURACIÓN]]</f>
        <v>261</v>
      </c>
      <c r="U741" t="str">
        <f>+IF(Tabla2[[#This Row],[dias de credito]]&gt;=Tabla2[[#This Row],[PLAZO Días]],"venc", "No venc")</f>
        <v>venc</v>
      </c>
      <c r="V741" t="str">
        <f>+IF(Tabla2[[#This Row],[FECHA DE PAGO]]&gt;0,"pagada","por pagar")</f>
        <v>pagada</v>
      </c>
      <c r="W741" s="141" t="str">
        <f>+IF(AND(Tabla2[[#This Row],[venc]]="venc",Tabla2[[#This Row],[Columna1]]="por pagar"),"vencida","no")</f>
        <v>no</v>
      </c>
    </row>
    <row r="742" spans="1:23" ht="15.6" hidden="1" x14ac:dyDescent="0.3">
      <c r="A742" s="20">
        <v>30</v>
      </c>
      <c r="B742" s="25">
        <v>27189617.395</v>
      </c>
      <c r="C742" s="25"/>
      <c r="D742" s="56" t="s">
        <v>686</v>
      </c>
      <c r="E742" s="426">
        <v>45097</v>
      </c>
      <c r="F742" s="26" t="s">
        <v>77</v>
      </c>
      <c r="G742" s="426">
        <v>45026</v>
      </c>
      <c r="H742" s="35" t="s">
        <v>1604</v>
      </c>
      <c r="I742" s="21">
        <v>1768800</v>
      </c>
      <c r="J742" s="21"/>
      <c r="K742" s="22">
        <v>336072</v>
      </c>
      <c r="L742" s="23"/>
      <c r="M742" s="22">
        <v>0</v>
      </c>
      <c r="N742" s="74">
        <v>2.5000000000000001E-2</v>
      </c>
      <c r="O742" s="22">
        <v>44220</v>
      </c>
      <c r="P742" s="21">
        <v>2060652</v>
      </c>
      <c r="S742" s="108" t="b">
        <f>OR(COUNTIF(Tabla2[[#This Row],[PROVEEDOR]],"*"&amp;'Palabra no opera'!$A$2&amp;"*"))</f>
        <v>0</v>
      </c>
      <c r="T742" s="139">
        <f>+$W$5-Tabla2[[#This Row],[FECHA DE FACTURACIÓN]]</f>
        <v>265</v>
      </c>
      <c r="U742" t="str">
        <f>+IF(Tabla2[[#This Row],[dias de credito]]&gt;=Tabla2[[#This Row],[PLAZO Días]],"venc", "No venc")</f>
        <v>venc</v>
      </c>
      <c r="V742" t="str">
        <f>+IF(Tabla2[[#This Row],[FECHA DE PAGO]]&gt;0,"pagada","por pagar")</f>
        <v>pagada</v>
      </c>
      <c r="W742" s="141" t="str">
        <f>+IF(AND(Tabla2[[#This Row],[venc]]="venc",Tabla2[[#This Row],[Columna1]]="por pagar"),"vencida","no")</f>
        <v>no</v>
      </c>
    </row>
    <row r="743" spans="1:23" ht="15.6" hidden="1" x14ac:dyDescent="0.3">
      <c r="A743" s="20">
        <v>30</v>
      </c>
      <c r="B743" s="25">
        <v>0</v>
      </c>
      <c r="C743" s="25"/>
      <c r="D743" s="56">
        <v>0</v>
      </c>
      <c r="E743" s="426">
        <v>45097</v>
      </c>
      <c r="F743" s="26" t="s">
        <v>413</v>
      </c>
      <c r="G743" s="426">
        <v>45026</v>
      </c>
      <c r="H743" s="35" t="s">
        <v>1614</v>
      </c>
      <c r="I743" s="21">
        <v>861000</v>
      </c>
      <c r="J743" s="21"/>
      <c r="K743" s="22">
        <v>0</v>
      </c>
      <c r="L743" s="23"/>
      <c r="M743" s="22">
        <v>0</v>
      </c>
      <c r="N743" s="74">
        <v>0</v>
      </c>
      <c r="O743" s="22">
        <v>0</v>
      </c>
      <c r="P743" s="21">
        <v>861000</v>
      </c>
      <c r="S743" s="108" t="b">
        <f>OR(COUNTIF(Tabla2[[#This Row],[PROVEEDOR]],"*"&amp;'Palabra no opera'!$A$2&amp;"*"))</f>
        <v>0</v>
      </c>
      <c r="T743" s="139">
        <f>+$W$5-Tabla2[[#This Row],[FECHA DE FACTURACIÓN]]</f>
        <v>265</v>
      </c>
      <c r="U743" t="str">
        <f>+IF(Tabla2[[#This Row],[dias de credito]]&gt;=Tabla2[[#This Row],[PLAZO Días]],"venc", "No venc")</f>
        <v>venc</v>
      </c>
      <c r="V743" t="str">
        <f>+IF(Tabla2[[#This Row],[FECHA DE PAGO]]&gt;0,"pagada","por pagar")</f>
        <v>pagada</v>
      </c>
      <c r="W743" s="141" t="str">
        <f>+IF(AND(Tabla2[[#This Row],[venc]]="venc",Tabla2[[#This Row],[Columna1]]="por pagar"),"vencida","no")</f>
        <v>no</v>
      </c>
    </row>
    <row r="744" spans="1:23" ht="15.6" hidden="1" x14ac:dyDescent="0.3">
      <c r="A744" s="20">
        <v>45</v>
      </c>
      <c r="B744" s="25">
        <v>15770594</v>
      </c>
      <c r="C744" s="25"/>
      <c r="D744" s="56" t="s">
        <v>594</v>
      </c>
      <c r="E744" s="426">
        <v>45097</v>
      </c>
      <c r="F744" s="26" t="s">
        <v>19</v>
      </c>
      <c r="G744" s="426">
        <v>45016</v>
      </c>
      <c r="H744" s="35" t="s">
        <v>1602</v>
      </c>
      <c r="I744" s="21">
        <v>826770</v>
      </c>
      <c r="J744" s="21"/>
      <c r="K744" s="22">
        <v>157086.29999999999</v>
      </c>
      <c r="L744" s="23"/>
      <c r="M744" s="22">
        <v>0</v>
      </c>
      <c r="N744" s="74">
        <v>0</v>
      </c>
      <c r="O744" s="22">
        <v>0</v>
      </c>
      <c r="P744" s="21">
        <v>983856.3</v>
      </c>
      <c r="S744" s="108" t="b">
        <f>OR(COUNTIF(Tabla2[[#This Row],[PROVEEDOR]],"*"&amp;'Palabra no opera'!$A$2&amp;"*"))</f>
        <v>0</v>
      </c>
      <c r="T744" s="139">
        <f>+$W$5-Tabla2[[#This Row],[FECHA DE FACTURACIÓN]]</f>
        <v>275</v>
      </c>
      <c r="U744" t="str">
        <f>+IF(Tabla2[[#This Row],[dias de credito]]&gt;=Tabla2[[#This Row],[PLAZO Días]],"venc", "No venc")</f>
        <v>venc</v>
      </c>
      <c r="V744" t="str">
        <f>+IF(Tabla2[[#This Row],[FECHA DE PAGO]]&gt;0,"pagada","por pagar")</f>
        <v>pagada</v>
      </c>
      <c r="W744" s="141" t="str">
        <f>+IF(AND(Tabla2[[#This Row],[venc]]="venc",Tabla2[[#This Row],[Columna1]]="por pagar"),"vencida","no")</f>
        <v>no</v>
      </c>
    </row>
    <row r="745" spans="1:23" ht="15.6" hidden="1" x14ac:dyDescent="0.3">
      <c r="A745" s="20">
        <v>45</v>
      </c>
      <c r="B745" s="25">
        <v>15770594</v>
      </c>
      <c r="C745" s="25"/>
      <c r="D745" s="56" t="s">
        <v>594</v>
      </c>
      <c r="E745" s="426">
        <v>45097</v>
      </c>
      <c r="F745" s="26" t="s">
        <v>19</v>
      </c>
      <c r="G745" s="426">
        <v>45015</v>
      </c>
      <c r="H745" s="35" t="s">
        <v>1601</v>
      </c>
      <c r="I745" s="21">
        <v>7884050</v>
      </c>
      <c r="J745" s="21"/>
      <c r="K745" s="22">
        <v>1497969.5</v>
      </c>
      <c r="L745" s="23"/>
      <c r="M745" s="22">
        <v>0</v>
      </c>
      <c r="N745" s="74">
        <v>0</v>
      </c>
      <c r="O745" s="22">
        <v>0</v>
      </c>
      <c r="P745" s="21">
        <v>9382019.5</v>
      </c>
      <c r="S745" s="108" t="b">
        <f>OR(COUNTIF(Tabla2[[#This Row],[PROVEEDOR]],"*"&amp;'Palabra no opera'!$A$2&amp;"*"))</f>
        <v>0</v>
      </c>
      <c r="T745" s="139">
        <f>+$W$5-Tabla2[[#This Row],[FECHA DE FACTURACIÓN]]</f>
        <v>276</v>
      </c>
      <c r="U745" t="str">
        <f>+IF(Tabla2[[#This Row],[dias de credito]]&gt;=Tabla2[[#This Row],[PLAZO Días]],"venc", "No venc")</f>
        <v>venc</v>
      </c>
      <c r="V745" t="str">
        <f>+IF(Tabla2[[#This Row],[FECHA DE PAGO]]&gt;0,"pagada","por pagar")</f>
        <v>pagada</v>
      </c>
      <c r="W745" s="141" t="str">
        <f>+IF(AND(Tabla2[[#This Row],[venc]]="venc",Tabla2[[#This Row],[Columna1]]="por pagar"),"vencida","no")</f>
        <v>no</v>
      </c>
    </row>
    <row r="746" spans="1:23" ht="15.6" hidden="1" x14ac:dyDescent="0.3">
      <c r="A746" s="20">
        <v>30</v>
      </c>
      <c r="B746" s="25">
        <v>0</v>
      </c>
      <c r="C746" s="25"/>
      <c r="D746" s="56" t="s">
        <v>107</v>
      </c>
      <c r="E746" s="426">
        <v>45094</v>
      </c>
      <c r="F746" s="26" t="s">
        <v>353</v>
      </c>
      <c r="G746" s="426">
        <v>45094</v>
      </c>
      <c r="H746" s="35" t="s">
        <v>1769</v>
      </c>
      <c r="I746" s="21">
        <v>820000</v>
      </c>
      <c r="J746" s="21"/>
      <c r="K746" s="22">
        <v>0</v>
      </c>
      <c r="L746" s="23"/>
      <c r="M746" s="22">
        <v>0</v>
      </c>
      <c r="N746" s="74">
        <v>0</v>
      </c>
      <c r="O746" s="22">
        <v>0</v>
      </c>
      <c r="P746" s="21">
        <v>820000</v>
      </c>
      <c r="S746" s="108" t="b">
        <f>OR(COUNTIF(Tabla2[[#This Row],[PROVEEDOR]],"*"&amp;'Palabra no opera'!$A$2&amp;"*"))</f>
        <v>0</v>
      </c>
      <c r="T746" s="139">
        <f>+$W$5-Tabla2[[#This Row],[FECHA DE FACTURACIÓN]]</f>
        <v>197</v>
      </c>
      <c r="U746" t="str">
        <f>+IF(Tabla2[[#This Row],[dias de credito]]&gt;=Tabla2[[#This Row],[PLAZO Días]],"venc", "No venc")</f>
        <v>venc</v>
      </c>
      <c r="V746" t="str">
        <f>+IF(Tabla2[[#This Row],[FECHA DE PAGO]]&gt;0,"pagada","por pagar")</f>
        <v>pagada</v>
      </c>
      <c r="W746" s="141" t="str">
        <f>+IF(AND(Tabla2[[#This Row],[venc]]="venc",Tabla2[[#This Row],[Columna1]]="por pagar"),"vencida","no")</f>
        <v>no</v>
      </c>
    </row>
    <row r="747" spans="1:23" ht="15.6" hidden="1" x14ac:dyDescent="0.3">
      <c r="A747" s="20">
        <v>30</v>
      </c>
      <c r="B747" s="25">
        <v>0</v>
      </c>
      <c r="C747" s="25"/>
      <c r="D747" s="56">
        <v>0</v>
      </c>
      <c r="E747" s="426">
        <v>45094</v>
      </c>
      <c r="F747" s="26" t="s">
        <v>1736</v>
      </c>
      <c r="G747" s="426">
        <v>45088</v>
      </c>
      <c r="H747" s="35">
        <v>2</v>
      </c>
      <c r="I747" s="21">
        <v>424000</v>
      </c>
      <c r="J747" s="21"/>
      <c r="K747" s="22">
        <v>0</v>
      </c>
      <c r="L747" s="23"/>
      <c r="M747" s="22">
        <v>0</v>
      </c>
      <c r="N747" s="74">
        <v>0</v>
      </c>
      <c r="O747" s="22">
        <v>0</v>
      </c>
      <c r="P747" s="21">
        <v>424000</v>
      </c>
      <c r="S747" s="108" t="b">
        <f>OR(COUNTIF(Tabla2[[#This Row],[PROVEEDOR]],"*"&amp;'Palabra no opera'!$A$2&amp;"*"))</f>
        <v>0</v>
      </c>
      <c r="T747" s="139">
        <f>+$W$5-Tabla2[[#This Row],[FECHA DE FACTURACIÓN]]</f>
        <v>203</v>
      </c>
      <c r="U747" t="str">
        <f>+IF(Tabla2[[#This Row],[dias de credito]]&gt;=Tabla2[[#This Row],[PLAZO Días]],"venc", "No venc")</f>
        <v>venc</v>
      </c>
      <c r="V747" t="str">
        <f>+IF(Tabla2[[#This Row],[FECHA DE PAGO]]&gt;0,"pagada","por pagar")</f>
        <v>pagada</v>
      </c>
      <c r="W747" s="141" t="str">
        <f>+IF(AND(Tabla2[[#This Row],[venc]]="venc",Tabla2[[#This Row],[Columna1]]="por pagar"),"vencida","no")</f>
        <v>no</v>
      </c>
    </row>
    <row r="748" spans="1:23" ht="15.6" hidden="1" x14ac:dyDescent="0.3">
      <c r="A748" s="20">
        <v>30</v>
      </c>
      <c r="B748" s="25">
        <v>0</v>
      </c>
      <c r="C748" s="25"/>
      <c r="D748" s="56" t="s">
        <v>176</v>
      </c>
      <c r="E748" s="426">
        <v>45094</v>
      </c>
      <c r="F748" s="26" t="s">
        <v>966</v>
      </c>
      <c r="G748" s="426">
        <v>45085</v>
      </c>
      <c r="H748" s="35">
        <v>422</v>
      </c>
      <c r="I748" s="21">
        <v>400000</v>
      </c>
      <c r="J748" s="21"/>
      <c r="K748" s="22">
        <v>0</v>
      </c>
      <c r="L748" s="23"/>
      <c r="M748" s="22">
        <v>0</v>
      </c>
      <c r="N748" s="74">
        <v>0</v>
      </c>
      <c r="O748" s="22">
        <v>0</v>
      </c>
      <c r="P748" s="21">
        <v>400000</v>
      </c>
      <c r="S748" s="108" t="b">
        <f>OR(COUNTIF(Tabla2[[#This Row],[PROVEEDOR]],"*"&amp;'Palabra no opera'!$A$2&amp;"*"))</f>
        <v>0</v>
      </c>
      <c r="T748" s="139">
        <f>+$W$5-Tabla2[[#This Row],[FECHA DE FACTURACIÓN]]</f>
        <v>206</v>
      </c>
      <c r="U748" t="str">
        <f>+IF(Tabla2[[#This Row],[dias de credito]]&gt;=Tabla2[[#This Row],[PLAZO Días]],"venc", "No venc")</f>
        <v>venc</v>
      </c>
      <c r="V748" t="str">
        <f>+IF(Tabla2[[#This Row],[FECHA DE PAGO]]&gt;0,"pagada","por pagar")</f>
        <v>pagada</v>
      </c>
      <c r="W748" s="141" t="str">
        <f>+IF(AND(Tabla2[[#This Row],[venc]]="venc",Tabla2[[#This Row],[Columna1]]="por pagar"),"vencida","no")</f>
        <v>no</v>
      </c>
    </row>
    <row r="749" spans="1:23" ht="15.6" hidden="1" x14ac:dyDescent="0.3">
      <c r="A749" s="20">
        <v>30</v>
      </c>
      <c r="B749" s="25">
        <v>0</v>
      </c>
      <c r="C749" s="25"/>
      <c r="D749" s="56" t="s">
        <v>176</v>
      </c>
      <c r="E749" s="426">
        <v>45094</v>
      </c>
      <c r="F749" s="26" t="s">
        <v>967</v>
      </c>
      <c r="G749" s="426">
        <v>45085</v>
      </c>
      <c r="H749" s="35" t="s">
        <v>1735</v>
      </c>
      <c r="I749" s="21">
        <v>400000</v>
      </c>
      <c r="J749" s="21"/>
      <c r="K749" s="22">
        <v>0</v>
      </c>
      <c r="L749" s="23"/>
      <c r="M749" s="22">
        <v>0</v>
      </c>
      <c r="N749" s="74">
        <v>0.01</v>
      </c>
      <c r="O749" s="22">
        <v>4000</v>
      </c>
      <c r="P749" s="21">
        <v>396000</v>
      </c>
      <c r="S749" s="108" t="b">
        <f>OR(COUNTIF(Tabla2[[#This Row],[PROVEEDOR]],"*"&amp;'Palabra no opera'!$A$2&amp;"*"))</f>
        <v>0</v>
      </c>
      <c r="T749" s="139">
        <f>+$W$5-Tabla2[[#This Row],[FECHA DE FACTURACIÓN]]</f>
        <v>206</v>
      </c>
      <c r="U749" t="str">
        <f>+IF(Tabla2[[#This Row],[dias de credito]]&gt;=Tabla2[[#This Row],[PLAZO Días]],"venc", "No venc")</f>
        <v>venc</v>
      </c>
      <c r="V749" t="str">
        <f>+IF(Tabla2[[#This Row],[FECHA DE PAGO]]&gt;0,"pagada","por pagar")</f>
        <v>pagada</v>
      </c>
      <c r="W749" s="141" t="str">
        <f>+IF(AND(Tabla2[[#This Row],[venc]]="venc",Tabla2[[#This Row],[Columna1]]="por pagar"),"vencida","no")</f>
        <v>no</v>
      </c>
    </row>
    <row r="750" spans="1:23" ht="15.6" hidden="1" x14ac:dyDescent="0.3">
      <c r="A750" s="20">
        <v>30</v>
      </c>
      <c r="B750" s="25">
        <v>0</v>
      </c>
      <c r="C750" s="25"/>
      <c r="D750" s="56" t="s">
        <v>107</v>
      </c>
      <c r="E750" s="426">
        <v>45093</v>
      </c>
      <c r="F750" s="26" t="s">
        <v>1194</v>
      </c>
      <c r="G750" s="426">
        <v>45091</v>
      </c>
      <c r="H750" s="35" t="s">
        <v>1768</v>
      </c>
      <c r="I750" s="21">
        <v>4477000</v>
      </c>
      <c r="J750" s="21"/>
      <c r="K750" s="22">
        <v>0</v>
      </c>
      <c r="L750" s="23"/>
      <c r="M750" s="22">
        <v>0</v>
      </c>
      <c r="N750" s="74">
        <v>0</v>
      </c>
      <c r="O750" s="22">
        <v>0</v>
      </c>
      <c r="P750" s="21">
        <v>4477000</v>
      </c>
      <c r="S750" s="108" t="b">
        <f>OR(COUNTIF(Tabla2[[#This Row],[PROVEEDOR]],"*"&amp;'Palabra no opera'!$A$2&amp;"*"))</f>
        <v>0</v>
      </c>
      <c r="T750" s="139">
        <f>+$W$5-Tabla2[[#This Row],[FECHA DE FACTURACIÓN]]</f>
        <v>200</v>
      </c>
      <c r="U750" t="str">
        <f>+IF(Tabla2[[#This Row],[dias de credito]]&gt;=Tabla2[[#This Row],[PLAZO Días]],"venc", "No venc")</f>
        <v>venc</v>
      </c>
      <c r="V750" t="str">
        <f>+IF(Tabla2[[#This Row],[FECHA DE PAGO]]&gt;0,"pagada","por pagar")</f>
        <v>pagada</v>
      </c>
      <c r="W750" s="141" t="str">
        <f>+IF(AND(Tabla2[[#This Row],[venc]]="venc",Tabla2[[#This Row],[Columna1]]="por pagar"),"vencida","no")</f>
        <v>no</v>
      </c>
    </row>
    <row r="751" spans="1:23" ht="15.6" hidden="1" x14ac:dyDescent="0.3">
      <c r="A751" s="20">
        <v>30</v>
      </c>
      <c r="B751" s="25">
        <v>0</v>
      </c>
      <c r="C751" s="25"/>
      <c r="D751" s="56" t="s">
        <v>185</v>
      </c>
      <c r="E751" s="426">
        <v>45093</v>
      </c>
      <c r="F751" s="26" t="s">
        <v>628</v>
      </c>
      <c r="G751" s="426">
        <v>45079</v>
      </c>
      <c r="H751" s="35" t="s">
        <v>1732</v>
      </c>
      <c r="I751" s="21">
        <v>1840056</v>
      </c>
      <c r="J751" s="21"/>
      <c r="K751" s="22">
        <v>0</v>
      </c>
      <c r="L751" s="23"/>
      <c r="M751" s="22">
        <v>105097</v>
      </c>
      <c r="N751" s="74">
        <v>0</v>
      </c>
      <c r="O751" s="22">
        <v>0</v>
      </c>
      <c r="P751" s="21">
        <v>1734959</v>
      </c>
      <c r="S751" s="108" t="b">
        <f>OR(COUNTIF(Tabla2[[#This Row],[PROVEEDOR]],"*"&amp;'Palabra no opera'!$A$2&amp;"*"))</f>
        <v>1</v>
      </c>
      <c r="T751" s="139">
        <f>+$W$5-Tabla2[[#This Row],[FECHA DE FACTURACIÓN]]</f>
        <v>212</v>
      </c>
      <c r="U751" t="str">
        <f>+IF(Tabla2[[#This Row],[dias de credito]]&gt;=Tabla2[[#This Row],[PLAZO Días]],"venc", "No venc")</f>
        <v>venc</v>
      </c>
      <c r="V751" t="str">
        <f>+IF(Tabla2[[#This Row],[FECHA DE PAGO]]&gt;0,"pagada","por pagar")</f>
        <v>pagada</v>
      </c>
      <c r="W751" s="141" t="str">
        <f>+IF(AND(Tabla2[[#This Row],[venc]]="venc",Tabla2[[#This Row],[Columna1]]="por pagar"),"vencida","no")</f>
        <v>no</v>
      </c>
    </row>
    <row r="752" spans="1:23" ht="15.6" hidden="1" x14ac:dyDescent="0.3">
      <c r="A752" s="20">
        <v>30</v>
      </c>
      <c r="B752" s="25">
        <v>0</v>
      </c>
      <c r="C752" s="25"/>
      <c r="D752" s="56" t="s">
        <v>107</v>
      </c>
      <c r="E752" s="426">
        <v>45092</v>
      </c>
      <c r="F752" s="26" t="s">
        <v>832</v>
      </c>
      <c r="G752" s="426">
        <v>45092</v>
      </c>
      <c r="H752" s="35" t="s">
        <v>1766</v>
      </c>
      <c r="I752" s="21">
        <v>171400</v>
      </c>
      <c r="J752" s="21"/>
      <c r="K752" s="22">
        <v>0</v>
      </c>
      <c r="L752" s="23"/>
      <c r="M752" s="22">
        <v>0</v>
      </c>
      <c r="N752" s="74">
        <v>0</v>
      </c>
      <c r="O752" s="22">
        <v>0</v>
      </c>
      <c r="P752" s="21">
        <v>171400</v>
      </c>
      <c r="S752" s="108" t="b">
        <f>OR(COUNTIF(Tabla2[[#This Row],[PROVEEDOR]],"*"&amp;'Palabra no opera'!$A$2&amp;"*"))</f>
        <v>1</v>
      </c>
      <c r="T752" s="139">
        <f>+$W$5-Tabla2[[#This Row],[FECHA DE FACTURACIÓN]]</f>
        <v>199</v>
      </c>
      <c r="U752" t="str">
        <f>+IF(Tabla2[[#This Row],[dias de credito]]&gt;=Tabla2[[#This Row],[PLAZO Días]],"venc", "No venc")</f>
        <v>venc</v>
      </c>
      <c r="V752" t="str">
        <f>+IF(Tabla2[[#This Row],[FECHA DE PAGO]]&gt;0,"pagada","por pagar")</f>
        <v>pagada</v>
      </c>
      <c r="W752" s="141" t="str">
        <f>+IF(AND(Tabla2[[#This Row],[venc]]="venc",Tabla2[[#This Row],[Columna1]]="por pagar"),"vencida","no")</f>
        <v>no</v>
      </c>
    </row>
    <row r="753" spans="1:23" ht="15.6" hidden="1" x14ac:dyDescent="0.3">
      <c r="A753" s="20">
        <v>30</v>
      </c>
      <c r="B753" s="25">
        <v>17870934.149999999</v>
      </c>
      <c r="C753" s="25"/>
      <c r="D753" s="56" t="s">
        <v>182</v>
      </c>
      <c r="E753" s="426">
        <v>45092</v>
      </c>
      <c r="F753" s="26" t="s">
        <v>18</v>
      </c>
      <c r="G753" s="426">
        <v>45044</v>
      </c>
      <c r="H753" s="35" t="s">
        <v>1725</v>
      </c>
      <c r="I753" s="21">
        <v>753964</v>
      </c>
      <c r="J753" s="21"/>
      <c r="K753" s="22">
        <v>143253.16</v>
      </c>
      <c r="L753" s="23"/>
      <c r="M753" s="22">
        <v>0</v>
      </c>
      <c r="N753" s="74">
        <v>0</v>
      </c>
      <c r="O753" s="22">
        <v>0</v>
      </c>
      <c r="P753" s="21">
        <v>897217.16</v>
      </c>
      <c r="S753" s="108" t="b">
        <f>OR(COUNTIF(Tabla2[[#This Row],[PROVEEDOR]],"*"&amp;'Palabra no opera'!$A$2&amp;"*"))</f>
        <v>0</v>
      </c>
      <c r="T753" s="139">
        <f>+$W$5-Tabla2[[#This Row],[FECHA DE FACTURACIÓN]]</f>
        <v>247</v>
      </c>
      <c r="U753" t="str">
        <f>+IF(Tabla2[[#This Row],[dias de credito]]&gt;=Tabla2[[#This Row],[PLAZO Días]],"venc", "No venc")</f>
        <v>venc</v>
      </c>
      <c r="V753" t="str">
        <f>+IF(Tabla2[[#This Row],[FECHA DE PAGO]]&gt;0,"pagada","por pagar")</f>
        <v>pagada</v>
      </c>
      <c r="W753" s="141" t="str">
        <f>+IF(AND(Tabla2[[#This Row],[venc]]="venc",Tabla2[[#This Row],[Columna1]]="por pagar"),"vencida","no")</f>
        <v>no</v>
      </c>
    </row>
    <row r="754" spans="1:23" ht="15.6" hidden="1" x14ac:dyDescent="0.3">
      <c r="A754" s="20">
        <v>30</v>
      </c>
      <c r="B754" s="25">
        <v>17870934.149999999</v>
      </c>
      <c r="C754" s="25"/>
      <c r="D754" s="56" t="s">
        <v>182</v>
      </c>
      <c r="E754" s="426">
        <v>45092</v>
      </c>
      <c r="F754" s="26" t="s">
        <v>18</v>
      </c>
      <c r="G754" s="426">
        <v>45042</v>
      </c>
      <c r="H754" s="35" t="s">
        <v>1647</v>
      </c>
      <c r="I754" s="21">
        <v>376982</v>
      </c>
      <c r="J754" s="21"/>
      <c r="K754" s="22">
        <v>71626.58</v>
      </c>
      <c r="L754" s="23"/>
      <c r="M754" s="22">
        <v>0</v>
      </c>
      <c r="N754" s="74">
        <v>0</v>
      </c>
      <c r="O754" s="22">
        <v>0</v>
      </c>
      <c r="P754" s="21">
        <v>448608.58</v>
      </c>
      <c r="S754" s="108" t="b">
        <f>OR(COUNTIF(Tabla2[[#This Row],[PROVEEDOR]],"*"&amp;'Palabra no opera'!$A$2&amp;"*"))</f>
        <v>0</v>
      </c>
      <c r="T754" s="139">
        <f>+$W$5-Tabla2[[#This Row],[FECHA DE FACTURACIÓN]]</f>
        <v>249</v>
      </c>
      <c r="U754" t="str">
        <f>+IF(Tabla2[[#This Row],[dias de credito]]&gt;=Tabla2[[#This Row],[PLAZO Días]],"venc", "No venc")</f>
        <v>venc</v>
      </c>
      <c r="V754" t="str">
        <f>+IF(Tabla2[[#This Row],[FECHA DE PAGO]]&gt;0,"pagada","por pagar")</f>
        <v>pagada</v>
      </c>
      <c r="W754" s="141" t="str">
        <f>+IF(AND(Tabla2[[#This Row],[venc]]="venc",Tabla2[[#This Row],[Columna1]]="por pagar"),"vencida","no")</f>
        <v>no</v>
      </c>
    </row>
    <row r="755" spans="1:23" ht="15.6" hidden="1" x14ac:dyDescent="0.3">
      <c r="A755" s="20">
        <v>30</v>
      </c>
      <c r="B755" s="25">
        <v>17870934.149999999</v>
      </c>
      <c r="C755" s="25"/>
      <c r="D755" s="56" t="s">
        <v>182</v>
      </c>
      <c r="E755" s="426">
        <v>45092</v>
      </c>
      <c r="F755" s="26" t="s">
        <v>18</v>
      </c>
      <c r="G755" s="426">
        <v>45042</v>
      </c>
      <c r="H755" s="35" t="s">
        <v>1648</v>
      </c>
      <c r="I755" s="21">
        <v>1354333</v>
      </c>
      <c r="J755" s="21"/>
      <c r="K755" s="22">
        <v>257323.27</v>
      </c>
      <c r="L755" s="23"/>
      <c r="M755" s="22">
        <v>0</v>
      </c>
      <c r="N755" s="74">
        <v>2.5000000000000001E-2</v>
      </c>
      <c r="O755" s="22">
        <v>33858.325000000004</v>
      </c>
      <c r="P755" s="21">
        <v>1577797.9450000001</v>
      </c>
      <c r="S755" s="108" t="b">
        <f>OR(COUNTIF(Tabla2[[#This Row],[PROVEEDOR]],"*"&amp;'Palabra no opera'!$A$2&amp;"*"))</f>
        <v>0</v>
      </c>
      <c r="T755" s="139">
        <f>+$W$5-Tabla2[[#This Row],[FECHA DE FACTURACIÓN]]</f>
        <v>249</v>
      </c>
      <c r="U755" t="str">
        <f>+IF(Tabla2[[#This Row],[dias de credito]]&gt;=Tabla2[[#This Row],[PLAZO Días]],"venc", "No venc")</f>
        <v>venc</v>
      </c>
      <c r="V755" t="str">
        <f>+IF(Tabla2[[#This Row],[FECHA DE PAGO]]&gt;0,"pagada","por pagar")</f>
        <v>pagada</v>
      </c>
      <c r="W755" s="141" t="str">
        <f>+IF(AND(Tabla2[[#This Row],[venc]]="venc",Tabla2[[#This Row],[Columna1]]="por pagar"),"vencida","no")</f>
        <v>no</v>
      </c>
    </row>
    <row r="756" spans="1:23" ht="15.6" hidden="1" x14ac:dyDescent="0.3">
      <c r="A756" s="20">
        <v>30</v>
      </c>
      <c r="B756" s="25">
        <v>17870934.149999999</v>
      </c>
      <c r="C756" s="25"/>
      <c r="D756" s="56" t="s">
        <v>182</v>
      </c>
      <c r="E756" s="426">
        <v>45092</v>
      </c>
      <c r="F756" s="26" t="s">
        <v>18</v>
      </c>
      <c r="G756" s="426">
        <v>45042</v>
      </c>
      <c r="H756" s="35" t="s">
        <v>1652</v>
      </c>
      <c r="I756" s="21">
        <v>1206027</v>
      </c>
      <c r="J756" s="21"/>
      <c r="K756" s="22">
        <v>229145.13</v>
      </c>
      <c r="L756" s="23"/>
      <c r="M756" s="22">
        <v>0</v>
      </c>
      <c r="N756" s="74">
        <v>2.5000000000000001E-2</v>
      </c>
      <c r="O756" s="22">
        <v>30150.675000000003</v>
      </c>
      <c r="P756" s="21">
        <v>1405021.4549999998</v>
      </c>
      <c r="S756" s="108" t="b">
        <f>OR(COUNTIF(Tabla2[[#This Row],[PROVEEDOR]],"*"&amp;'Palabra no opera'!$A$2&amp;"*"))</f>
        <v>0</v>
      </c>
      <c r="T756" s="139">
        <f>+$W$5-Tabla2[[#This Row],[FECHA DE FACTURACIÓN]]</f>
        <v>249</v>
      </c>
      <c r="U756" t="str">
        <f>+IF(Tabla2[[#This Row],[dias de credito]]&gt;=Tabla2[[#This Row],[PLAZO Días]],"venc", "No venc")</f>
        <v>venc</v>
      </c>
      <c r="V756" t="str">
        <f>+IF(Tabla2[[#This Row],[FECHA DE PAGO]]&gt;0,"pagada","por pagar")</f>
        <v>pagada</v>
      </c>
      <c r="W756" s="141" t="str">
        <f>+IF(AND(Tabla2[[#This Row],[venc]]="venc",Tabla2[[#This Row],[Columna1]]="por pagar"),"vencida","no")</f>
        <v>no</v>
      </c>
    </row>
    <row r="757" spans="1:23" ht="15.6" hidden="1" x14ac:dyDescent="0.3">
      <c r="A757" s="20">
        <v>30</v>
      </c>
      <c r="B757" s="25">
        <v>17870934.149999999</v>
      </c>
      <c r="C757" s="25"/>
      <c r="D757" s="56" t="s">
        <v>182</v>
      </c>
      <c r="E757" s="426">
        <v>45092</v>
      </c>
      <c r="F757" s="26" t="s">
        <v>18</v>
      </c>
      <c r="G757" s="426">
        <v>45036</v>
      </c>
      <c r="H757" s="35" t="s">
        <v>1635</v>
      </c>
      <c r="I757" s="21">
        <v>1692916</v>
      </c>
      <c r="J757" s="21"/>
      <c r="K757" s="22">
        <v>321654.03999999998</v>
      </c>
      <c r="L757" s="23"/>
      <c r="M757" s="22">
        <v>0</v>
      </c>
      <c r="N757" s="74">
        <v>2.5000000000000001E-2</v>
      </c>
      <c r="O757" s="22">
        <v>42322.9</v>
      </c>
      <c r="P757" s="21">
        <v>1972247.1400000001</v>
      </c>
      <c r="S757" s="108" t="b">
        <f>OR(COUNTIF(Tabla2[[#This Row],[PROVEEDOR]],"*"&amp;'Palabra no opera'!$A$2&amp;"*"))</f>
        <v>0</v>
      </c>
      <c r="T757" s="139">
        <f>+$W$5-Tabla2[[#This Row],[FECHA DE FACTURACIÓN]]</f>
        <v>255</v>
      </c>
      <c r="U757" t="str">
        <f>+IF(Tabla2[[#This Row],[dias de credito]]&gt;=Tabla2[[#This Row],[PLAZO Días]],"venc", "No venc")</f>
        <v>venc</v>
      </c>
      <c r="V757" t="str">
        <f>+IF(Tabla2[[#This Row],[FECHA DE PAGO]]&gt;0,"pagada","por pagar")</f>
        <v>pagada</v>
      </c>
      <c r="W757" s="141" t="str">
        <f>+IF(AND(Tabla2[[#This Row],[venc]]="venc",Tabla2[[#This Row],[Columna1]]="por pagar"),"vencida","no")</f>
        <v>no</v>
      </c>
    </row>
    <row r="758" spans="1:23" ht="15.6" hidden="1" x14ac:dyDescent="0.3">
      <c r="A758" s="20">
        <v>30</v>
      </c>
      <c r="B758" s="25">
        <v>0</v>
      </c>
      <c r="C758" s="25"/>
      <c r="D758" s="56">
        <v>0</v>
      </c>
      <c r="E758" s="426">
        <v>45091</v>
      </c>
      <c r="F758" s="26" t="s">
        <v>1709</v>
      </c>
      <c r="G758" s="426">
        <v>45064</v>
      </c>
      <c r="H758" s="35" t="s">
        <v>1705</v>
      </c>
      <c r="I758" s="21">
        <v>400000</v>
      </c>
      <c r="J758" s="21"/>
      <c r="K758" s="22">
        <v>0</v>
      </c>
      <c r="L758" s="23"/>
      <c r="M758" s="22">
        <v>0</v>
      </c>
      <c r="N758" s="74">
        <v>0</v>
      </c>
      <c r="O758" s="22">
        <v>0</v>
      </c>
      <c r="P758" s="21">
        <v>400000</v>
      </c>
      <c r="S758" s="108" t="b">
        <f>OR(COUNTIF(Tabla2[[#This Row],[PROVEEDOR]],"*"&amp;'Palabra no opera'!$A$2&amp;"*"))</f>
        <v>0</v>
      </c>
      <c r="T758" s="139">
        <f>+$W$5-Tabla2[[#This Row],[FECHA DE FACTURACIÓN]]</f>
        <v>227</v>
      </c>
      <c r="U758" t="str">
        <f>+IF(Tabla2[[#This Row],[dias de credito]]&gt;=Tabla2[[#This Row],[PLAZO Días]],"venc", "No venc")</f>
        <v>venc</v>
      </c>
      <c r="V758" t="str">
        <f>+IF(Tabla2[[#This Row],[FECHA DE PAGO]]&gt;0,"pagada","por pagar")</f>
        <v>pagada</v>
      </c>
      <c r="W758" s="141" t="str">
        <f>+IF(AND(Tabla2[[#This Row],[venc]]="venc",Tabla2[[#This Row],[Columna1]]="por pagar"),"vencida","no")</f>
        <v>no</v>
      </c>
    </row>
    <row r="759" spans="1:23" ht="15.6" hidden="1" x14ac:dyDescent="0.3">
      <c r="A759" s="20">
        <v>30</v>
      </c>
      <c r="B759" s="25">
        <v>229206</v>
      </c>
      <c r="C759" s="25"/>
      <c r="D759" s="56" t="s">
        <v>659</v>
      </c>
      <c r="E759" s="426">
        <v>45090</v>
      </c>
      <c r="F759" s="26" t="s">
        <v>95</v>
      </c>
      <c r="G759" s="426">
        <v>45090</v>
      </c>
      <c r="H759" s="35" t="s">
        <v>1745</v>
      </c>
      <c r="I759" s="21">
        <v>1830000</v>
      </c>
      <c r="J759" s="21"/>
      <c r="K759" s="22">
        <v>0</v>
      </c>
      <c r="L759" s="23"/>
      <c r="M759" s="22">
        <v>0</v>
      </c>
      <c r="N759" s="74">
        <v>0</v>
      </c>
      <c r="O759" s="22">
        <v>0</v>
      </c>
      <c r="P759" s="21">
        <v>1830000</v>
      </c>
      <c r="S759" s="108" t="b">
        <f>OR(COUNTIF(Tabla2[[#This Row],[PROVEEDOR]],"*"&amp;'Palabra no opera'!$A$2&amp;"*"))</f>
        <v>0</v>
      </c>
      <c r="T759" s="139">
        <f>+$W$5-Tabla2[[#This Row],[FECHA DE FACTURACIÓN]]</f>
        <v>201</v>
      </c>
      <c r="U759" t="str">
        <f>+IF(Tabla2[[#This Row],[dias de credito]]&gt;=Tabla2[[#This Row],[PLAZO Días]],"venc", "No venc")</f>
        <v>venc</v>
      </c>
      <c r="V759" t="str">
        <f>+IF(Tabla2[[#This Row],[FECHA DE PAGO]]&gt;0,"pagada","por pagar")</f>
        <v>pagada</v>
      </c>
      <c r="W759" s="141" t="str">
        <f>+IF(AND(Tabla2[[#This Row],[venc]]="venc",Tabla2[[#This Row],[Columna1]]="por pagar"),"vencida","no")</f>
        <v>no</v>
      </c>
    </row>
    <row r="760" spans="1:23" ht="15.6" hidden="1" x14ac:dyDescent="0.3">
      <c r="A760" s="20">
        <v>10</v>
      </c>
      <c r="B760" s="25">
        <v>0</v>
      </c>
      <c r="C760" s="25"/>
      <c r="D760" s="56" t="s">
        <v>1203</v>
      </c>
      <c r="E760" s="426">
        <v>45090</v>
      </c>
      <c r="F760" s="26" t="s">
        <v>1202</v>
      </c>
      <c r="G760" s="426">
        <v>45078</v>
      </c>
      <c r="H760" s="35" t="s">
        <v>1723</v>
      </c>
      <c r="I760" s="21">
        <v>5350576</v>
      </c>
      <c r="J760" s="21"/>
      <c r="K760" s="22">
        <v>1016609</v>
      </c>
      <c r="L760" s="23"/>
      <c r="M760" s="22">
        <v>0</v>
      </c>
      <c r="N760" s="74">
        <v>0</v>
      </c>
      <c r="O760" s="22">
        <v>0</v>
      </c>
      <c r="P760" s="21">
        <v>6367185</v>
      </c>
      <c r="S760" s="108" t="b">
        <f>OR(COUNTIF(Tabla2[[#This Row],[PROVEEDOR]],"*"&amp;'Palabra no opera'!$A$2&amp;"*"))</f>
        <v>1</v>
      </c>
      <c r="T760" s="139">
        <f>+$W$5-Tabla2[[#This Row],[FECHA DE FACTURACIÓN]]</f>
        <v>213</v>
      </c>
      <c r="U760" t="str">
        <f>+IF(Tabla2[[#This Row],[dias de credito]]&gt;=Tabla2[[#This Row],[PLAZO Días]],"venc", "No venc")</f>
        <v>venc</v>
      </c>
      <c r="V760" t="str">
        <f>+IF(Tabla2[[#This Row],[FECHA DE PAGO]]&gt;0,"pagada","por pagar")</f>
        <v>pagada</v>
      </c>
      <c r="W760" s="141" t="str">
        <f>+IF(AND(Tabla2[[#This Row],[venc]]="venc",Tabla2[[#This Row],[Columna1]]="por pagar"),"vencida","no")</f>
        <v>no</v>
      </c>
    </row>
    <row r="761" spans="1:23" ht="15.6" hidden="1" x14ac:dyDescent="0.3">
      <c r="A761" s="20">
        <v>30</v>
      </c>
      <c r="B761" s="25">
        <v>5538410</v>
      </c>
      <c r="C761" s="25"/>
      <c r="D761" s="56" t="s">
        <v>1461</v>
      </c>
      <c r="E761" s="426">
        <v>45090</v>
      </c>
      <c r="F761" s="26" t="s">
        <v>1460</v>
      </c>
      <c r="G761" s="426">
        <v>45016</v>
      </c>
      <c r="H761" s="35" t="s">
        <v>1559</v>
      </c>
      <c r="I761" s="21">
        <v>3332000</v>
      </c>
      <c r="J761" s="21"/>
      <c r="K761" s="22">
        <v>633080</v>
      </c>
      <c r="L761" s="23"/>
      <c r="M761" s="22">
        <v>0</v>
      </c>
      <c r="N761" s="74">
        <v>2.5000000000000001E-2</v>
      </c>
      <c r="O761" s="22">
        <v>83300</v>
      </c>
      <c r="P761" s="21">
        <v>3881780</v>
      </c>
      <c r="S761" s="108" t="b">
        <f>OR(COUNTIF(Tabla2[[#This Row],[PROVEEDOR]],"*"&amp;'Palabra no opera'!$A$2&amp;"*"))</f>
        <v>0</v>
      </c>
      <c r="T761" s="139">
        <f>+$W$5-Tabla2[[#This Row],[FECHA DE FACTURACIÓN]]</f>
        <v>275</v>
      </c>
      <c r="U761" t="str">
        <f>+IF(Tabla2[[#This Row],[dias de credito]]&gt;=Tabla2[[#This Row],[PLAZO Días]],"venc", "No venc")</f>
        <v>venc</v>
      </c>
      <c r="V761" t="str">
        <f>+IF(Tabla2[[#This Row],[FECHA DE PAGO]]&gt;0,"pagada","por pagar")</f>
        <v>pagada</v>
      </c>
      <c r="W761" s="141" t="str">
        <f>+IF(AND(Tabla2[[#This Row],[venc]]="venc",Tabla2[[#This Row],[Columna1]]="por pagar"),"vencida","no")</f>
        <v>no</v>
      </c>
    </row>
    <row r="762" spans="1:23" ht="15.6" hidden="1" x14ac:dyDescent="0.3">
      <c r="A762" s="20">
        <v>30</v>
      </c>
      <c r="B762" s="25">
        <v>0</v>
      </c>
      <c r="C762" s="25"/>
      <c r="D762" s="56" t="s">
        <v>107</v>
      </c>
      <c r="E762" s="426">
        <v>45087</v>
      </c>
      <c r="F762" s="26" t="s">
        <v>378</v>
      </c>
      <c r="G762" s="426">
        <v>45087</v>
      </c>
      <c r="H762" s="35" t="s">
        <v>1763</v>
      </c>
      <c r="I762" s="21">
        <v>895000</v>
      </c>
      <c r="J762" s="21"/>
      <c r="K762" s="22">
        <v>0</v>
      </c>
      <c r="L762" s="23"/>
      <c r="M762" s="22">
        <v>0</v>
      </c>
      <c r="N762" s="74">
        <v>0</v>
      </c>
      <c r="O762" s="22">
        <v>0</v>
      </c>
      <c r="P762" s="21">
        <v>895000</v>
      </c>
      <c r="S762" s="108" t="b">
        <f>OR(COUNTIF(Tabla2[[#This Row],[PROVEEDOR]],"*"&amp;'Palabra no opera'!$A$2&amp;"*"))</f>
        <v>0</v>
      </c>
      <c r="T762" s="139">
        <f>+$W$5-Tabla2[[#This Row],[FECHA DE FACTURACIÓN]]</f>
        <v>204</v>
      </c>
      <c r="U762" t="str">
        <f>+IF(Tabla2[[#This Row],[dias de credito]]&gt;=Tabla2[[#This Row],[PLAZO Días]],"venc", "No venc")</f>
        <v>venc</v>
      </c>
      <c r="V762" t="str">
        <f>+IF(Tabla2[[#This Row],[FECHA DE PAGO]]&gt;0,"pagada","por pagar")</f>
        <v>pagada</v>
      </c>
      <c r="W762" s="141" t="str">
        <f>+IF(AND(Tabla2[[#This Row],[venc]]="venc",Tabla2[[#This Row],[Columna1]]="por pagar"),"vencida","no")</f>
        <v>no</v>
      </c>
    </row>
    <row r="763" spans="1:23" ht="15.6" hidden="1" x14ac:dyDescent="0.3">
      <c r="A763" s="20">
        <v>30</v>
      </c>
      <c r="B763" s="25">
        <v>0</v>
      </c>
      <c r="C763" s="25"/>
      <c r="D763" s="56" t="s">
        <v>368</v>
      </c>
      <c r="E763" s="426">
        <v>45086</v>
      </c>
      <c r="F763" s="26" t="s">
        <v>623</v>
      </c>
      <c r="G763" s="426">
        <v>45078</v>
      </c>
      <c r="H763" s="35" t="s">
        <v>1721</v>
      </c>
      <c r="I763" s="21">
        <v>908172</v>
      </c>
      <c r="J763" s="21"/>
      <c r="K763" s="22">
        <v>172552.68</v>
      </c>
      <c r="L763" s="23"/>
      <c r="M763" s="22">
        <v>0</v>
      </c>
      <c r="N763" s="74">
        <v>0.04</v>
      </c>
      <c r="O763" s="22">
        <v>36326.879999999997</v>
      </c>
      <c r="P763" s="21">
        <v>1044397.7999999999</v>
      </c>
      <c r="S763" s="108" t="b">
        <f>OR(COUNTIF(Tabla2[[#This Row],[PROVEEDOR]],"*"&amp;'Palabra no opera'!$A$2&amp;"*"))</f>
        <v>1</v>
      </c>
      <c r="T763" s="139">
        <f>+$W$5-Tabla2[[#This Row],[FECHA DE FACTURACIÓN]]</f>
        <v>213</v>
      </c>
      <c r="U763" t="str">
        <f>+IF(Tabla2[[#This Row],[dias de credito]]&gt;=Tabla2[[#This Row],[PLAZO Días]],"venc", "No venc")</f>
        <v>venc</v>
      </c>
      <c r="V763" t="str">
        <f>+IF(Tabla2[[#This Row],[FECHA DE PAGO]]&gt;0,"pagada","por pagar")</f>
        <v>pagada</v>
      </c>
      <c r="W763" s="141" t="str">
        <f>+IF(AND(Tabla2[[#This Row],[venc]]="venc",Tabla2[[#This Row],[Columna1]]="por pagar"),"vencida","no")</f>
        <v>no</v>
      </c>
    </row>
    <row r="764" spans="1:23" ht="15.6" hidden="1" x14ac:dyDescent="0.3">
      <c r="A764" s="20">
        <v>30</v>
      </c>
      <c r="B764" s="25">
        <v>0</v>
      </c>
      <c r="C764" s="25"/>
      <c r="D764" s="56" t="s">
        <v>368</v>
      </c>
      <c r="E764" s="426">
        <v>45086</v>
      </c>
      <c r="F764" s="26" t="s">
        <v>623</v>
      </c>
      <c r="G764" s="426">
        <v>45078</v>
      </c>
      <c r="H764" s="35" t="s">
        <v>1722</v>
      </c>
      <c r="I764" s="21">
        <v>3792544</v>
      </c>
      <c r="J764" s="21"/>
      <c r="K764" s="22">
        <v>720583.36</v>
      </c>
      <c r="L764" s="23"/>
      <c r="M764" s="22">
        <v>0</v>
      </c>
      <c r="N764" s="74">
        <v>0</v>
      </c>
      <c r="O764" s="22">
        <v>0</v>
      </c>
      <c r="P764" s="21">
        <v>4513127.3600000003</v>
      </c>
      <c r="S764" s="108" t="b">
        <f>OR(COUNTIF(Tabla2[[#This Row],[PROVEEDOR]],"*"&amp;'Palabra no opera'!$A$2&amp;"*"))</f>
        <v>1</v>
      </c>
      <c r="T764" s="139">
        <f>+$W$5-Tabla2[[#This Row],[FECHA DE FACTURACIÓN]]</f>
        <v>213</v>
      </c>
      <c r="U764" t="str">
        <f>+IF(Tabla2[[#This Row],[dias de credito]]&gt;=Tabla2[[#This Row],[PLAZO Días]],"venc", "No venc")</f>
        <v>venc</v>
      </c>
      <c r="V764" t="str">
        <f>+IF(Tabla2[[#This Row],[FECHA DE PAGO]]&gt;0,"pagada","por pagar")</f>
        <v>pagada</v>
      </c>
      <c r="W764" s="141" t="str">
        <f>+IF(AND(Tabla2[[#This Row],[venc]]="venc",Tabla2[[#This Row],[Columna1]]="por pagar"),"vencida","no")</f>
        <v>no</v>
      </c>
    </row>
    <row r="765" spans="1:23" ht="15.6" hidden="1" x14ac:dyDescent="0.3">
      <c r="A765" s="20">
        <v>30</v>
      </c>
      <c r="B765" s="25">
        <v>0</v>
      </c>
      <c r="C765" s="25"/>
      <c r="D765" s="56" t="s">
        <v>1116</v>
      </c>
      <c r="E765" s="426">
        <v>45086</v>
      </c>
      <c r="F765" s="26" t="s">
        <v>638</v>
      </c>
      <c r="G765" s="426">
        <v>45078</v>
      </c>
      <c r="H765" s="35" t="s">
        <v>1719</v>
      </c>
      <c r="I765" s="21">
        <v>3935776</v>
      </c>
      <c r="J765" s="21"/>
      <c r="K765" s="22">
        <v>665000</v>
      </c>
      <c r="L765" s="23"/>
      <c r="M765" s="22">
        <v>0</v>
      </c>
      <c r="N765" s="74">
        <v>3.5000000000000003E-2</v>
      </c>
      <c r="O765" s="22"/>
      <c r="P765" s="21">
        <v>4600776</v>
      </c>
      <c r="S765" s="108" t="b">
        <f>OR(COUNTIF(Tabla2[[#This Row],[PROVEEDOR]],"*"&amp;'Palabra no opera'!$A$2&amp;"*"))</f>
        <v>1</v>
      </c>
      <c r="T765" s="139">
        <f>+$W$5-Tabla2[[#This Row],[FECHA DE FACTURACIÓN]]</f>
        <v>213</v>
      </c>
      <c r="U765" t="str">
        <f>+IF(Tabla2[[#This Row],[dias de credito]]&gt;=Tabla2[[#This Row],[PLAZO Días]],"venc", "No venc")</f>
        <v>venc</v>
      </c>
      <c r="V765" t="str">
        <f>+IF(Tabla2[[#This Row],[FECHA DE PAGO]]&gt;0,"pagada","por pagar")</f>
        <v>pagada</v>
      </c>
      <c r="W765" s="141" t="str">
        <f>+IF(AND(Tabla2[[#This Row],[venc]]="venc",Tabla2[[#This Row],[Columna1]]="por pagar"),"vencida","no")</f>
        <v>no</v>
      </c>
    </row>
    <row r="766" spans="1:23" ht="15.6" hidden="1" x14ac:dyDescent="0.3">
      <c r="A766" s="20">
        <v>30</v>
      </c>
      <c r="B766" s="25">
        <v>0</v>
      </c>
      <c r="C766" s="25"/>
      <c r="D766" s="56" t="s">
        <v>368</v>
      </c>
      <c r="E766" s="426">
        <v>45086</v>
      </c>
      <c r="F766" s="26" t="s">
        <v>623</v>
      </c>
      <c r="G766" s="426">
        <v>45058</v>
      </c>
      <c r="H766" s="35" t="s">
        <v>1282</v>
      </c>
      <c r="I766" s="21">
        <v>-152631</v>
      </c>
      <c r="J766" s="21"/>
      <c r="K766" s="22">
        <v>-28999.89</v>
      </c>
      <c r="L766" s="23"/>
      <c r="M766" s="22">
        <v>0</v>
      </c>
      <c r="N766" s="74">
        <v>0</v>
      </c>
      <c r="O766" s="22">
        <v>0</v>
      </c>
      <c r="P766" s="21">
        <v>-181630.89</v>
      </c>
      <c r="S766" s="108" t="b">
        <f>OR(COUNTIF(Tabla2[[#This Row],[PROVEEDOR]],"*"&amp;'Palabra no opera'!$A$2&amp;"*"))</f>
        <v>1</v>
      </c>
      <c r="T766" s="139">
        <f>+$W$5-Tabla2[[#This Row],[FECHA DE FACTURACIÓN]]</f>
        <v>233</v>
      </c>
      <c r="U766" t="str">
        <f>+IF(Tabla2[[#This Row],[dias de credito]]&gt;=Tabla2[[#This Row],[PLAZO Días]],"venc", "No venc")</f>
        <v>venc</v>
      </c>
      <c r="V766" t="str">
        <f>+IF(Tabla2[[#This Row],[FECHA DE PAGO]]&gt;0,"pagada","por pagar")</f>
        <v>pagada</v>
      </c>
      <c r="W766" s="141" t="str">
        <f>+IF(AND(Tabla2[[#This Row],[venc]]="venc",Tabla2[[#This Row],[Columna1]]="por pagar"),"vencida","no")</f>
        <v>no</v>
      </c>
    </row>
    <row r="767" spans="1:23" ht="15.6" hidden="1" x14ac:dyDescent="0.3">
      <c r="A767" s="20">
        <v>30</v>
      </c>
      <c r="B767" s="25">
        <v>0</v>
      </c>
      <c r="C767" s="25"/>
      <c r="D767" s="56" t="s">
        <v>237</v>
      </c>
      <c r="E767" s="426">
        <v>45085</v>
      </c>
      <c r="F767" s="26" t="s">
        <v>56</v>
      </c>
      <c r="G767" s="426">
        <v>45084</v>
      </c>
      <c r="H767" s="35" t="s">
        <v>1720</v>
      </c>
      <c r="I767" s="21">
        <v>347585</v>
      </c>
      <c r="J767" s="21"/>
      <c r="K767" s="22">
        <v>19181</v>
      </c>
      <c r="L767" s="23"/>
      <c r="M767" s="22">
        <v>0</v>
      </c>
      <c r="N767" s="74">
        <v>0</v>
      </c>
      <c r="O767" s="22">
        <v>0</v>
      </c>
      <c r="P767" s="21">
        <v>366766</v>
      </c>
      <c r="S767" s="108" t="b">
        <f>OR(COUNTIF(Tabla2[[#This Row],[PROVEEDOR]],"*"&amp;'Palabra no opera'!$A$2&amp;"*"))</f>
        <v>0</v>
      </c>
      <c r="T767" s="139">
        <f>+$W$5-Tabla2[[#This Row],[FECHA DE FACTURACIÓN]]</f>
        <v>207</v>
      </c>
      <c r="U767" t="str">
        <f>+IF(Tabla2[[#This Row],[dias de credito]]&gt;=Tabla2[[#This Row],[PLAZO Días]],"venc", "No venc")</f>
        <v>venc</v>
      </c>
      <c r="V767" t="str">
        <f>+IF(Tabla2[[#This Row],[FECHA DE PAGO]]&gt;0,"pagada","por pagar")</f>
        <v>pagada</v>
      </c>
      <c r="W767" s="141" t="str">
        <f>+IF(AND(Tabla2[[#This Row],[venc]]="venc",Tabla2[[#This Row],[Columna1]]="por pagar"),"vencida","no")</f>
        <v>no</v>
      </c>
    </row>
    <row r="768" spans="1:23" ht="15.6" hidden="1" x14ac:dyDescent="0.3">
      <c r="A768" s="20">
        <v>30</v>
      </c>
      <c r="B768" s="25">
        <v>0</v>
      </c>
      <c r="C768" s="25"/>
      <c r="D768" s="56" t="s">
        <v>828</v>
      </c>
      <c r="E768" s="426">
        <v>45083</v>
      </c>
      <c r="F768" s="26" t="s">
        <v>827</v>
      </c>
      <c r="G768" s="426">
        <v>45083</v>
      </c>
      <c r="H768" s="35" t="s">
        <v>1726</v>
      </c>
      <c r="I768" s="21">
        <v>428571</v>
      </c>
      <c r="J768" s="21"/>
      <c r="K768" s="22">
        <v>81428.490000000005</v>
      </c>
      <c r="L768" s="23"/>
      <c r="M768" s="22">
        <v>0</v>
      </c>
      <c r="N768" s="74">
        <v>0</v>
      </c>
      <c r="O768" s="22">
        <v>0</v>
      </c>
      <c r="P768" s="21">
        <v>509999.49</v>
      </c>
      <c r="S768" s="108" t="b">
        <f>OR(COUNTIF(Tabla2[[#This Row],[PROVEEDOR]],"*"&amp;'Palabra no opera'!$A$2&amp;"*"))</f>
        <v>0</v>
      </c>
      <c r="T768" s="139">
        <f>+$W$5-Tabla2[[#This Row],[FECHA DE FACTURACIÓN]]</f>
        <v>208</v>
      </c>
      <c r="U768" t="str">
        <f>+IF(Tabla2[[#This Row],[dias de credito]]&gt;=Tabla2[[#This Row],[PLAZO Días]],"venc", "No venc")</f>
        <v>venc</v>
      </c>
      <c r="V768" t="str">
        <f>+IF(Tabla2[[#This Row],[FECHA DE PAGO]]&gt;0,"pagada","por pagar")</f>
        <v>pagada</v>
      </c>
      <c r="W768" s="141" t="str">
        <f>+IF(AND(Tabla2[[#This Row],[venc]]="venc",Tabla2[[#This Row],[Columna1]]="por pagar"),"vencida","no")</f>
        <v>no</v>
      </c>
    </row>
    <row r="769" spans="1:23" ht="15.6" hidden="1" x14ac:dyDescent="0.3">
      <c r="A769" s="20">
        <v>30</v>
      </c>
      <c r="B769" s="25">
        <v>5480000</v>
      </c>
      <c r="C769" s="25"/>
      <c r="D769" s="56" t="s">
        <v>107</v>
      </c>
      <c r="E769" s="426">
        <v>45083</v>
      </c>
      <c r="F769" s="26" t="s">
        <v>369</v>
      </c>
      <c r="G769" s="426">
        <v>45002</v>
      </c>
      <c r="H769" s="35" t="s">
        <v>1591</v>
      </c>
      <c r="I769" s="21">
        <v>1870000</v>
      </c>
      <c r="J769" s="21"/>
      <c r="K769" s="22">
        <v>0</v>
      </c>
      <c r="L769" s="23"/>
      <c r="M769" s="22">
        <v>0</v>
      </c>
      <c r="N769" s="74">
        <v>0</v>
      </c>
      <c r="O769" s="22">
        <v>0</v>
      </c>
      <c r="P769" s="21">
        <v>1870000</v>
      </c>
      <c r="S769" s="108" t="b">
        <f>OR(COUNTIF(Tabla2[[#This Row],[PROVEEDOR]],"*"&amp;'Palabra no opera'!$A$2&amp;"*"))</f>
        <v>0</v>
      </c>
      <c r="T769" s="139">
        <f>+$W$5-Tabla2[[#This Row],[FECHA DE FACTURACIÓN]]</f>
        <v>289</v>
      </c>
      <c r="U769" t="str">
        <f>+IF(Tabla2[[#This Row],[dias de credito]]&gt;=Tabla2[[#This Row],[PLAZO Días]],"venc", "No venc")</f>
        <v>venc</v>
      </c>
      <c r="V769" t="str">
        <f>+IF(Tabla2[[#This Row],[FECHA DE PAGO]]&gt;0,"pagada","por pagar")</f>
        <v>pagada</v>
      </c>
      <c r="W769" s="141" t="str">
        <f>+IF(AND(Tabla2[[#This Row],[venc]]="venc",Tabla2[[#This Row],[Columna1]]="por pagar"),"vencida","no")</f>
        <v>no</v>
      </c>
    </row>
    <row r="770" spans="1:23" ht="15.6" hidden="1" x14ac:dyDescent="0.3">
      <c r="A770" s="20">
        <v>30</v>
      </c>
      <c r="B770" s="25">
        <v>10321993.199999999</v>
      </c>
      <c r="C770" s="25"/>
      <c r="D770" s="56" t="s">
        <v>189</v>
      </c>
      <c r="E770" s="426">
        <v>45082</v>
      </c>
      <c r="F770" s="26" t="s">
        <v>1068</v>
      </c>
      <c r="G770" s="426">
        <v>45043</v>
      </c>
      <c r="H770" s="35" t="s">
        <v>1649</v>
      </c>
      <c r="I770" s="21">
        <v>2562355</v>
      </c>
      <c r="J770" s="21">
        <v>158335</v>
      </c>
      <c r="K770" s="22">
        <v>456763.8</v>
      </c>
      <c r="L770" s="23"/>
      <c r="M770" s="22">
        <v>0</v>
      </c>
      <c r="N770" s="74">
        <v>2.5000000000000001E-2</v>
      </c>
      <c r="O770" s="22">
        <v>60100.5</v>
      </c>
      <c r="P770" s="21">
        <v>2800683.3</v>
      </c>
      <c r="S770" s="108" t="b">
        <f>OR(COUNTIF(Tabla2[[#This Row],[PROVEEDOR]],"*"&amp;'Palabra no opera'!$A$2&amp;"*"))</f>
        <v>0</v>
      </c>
      <c r="T770" s="139">
        <f>+$W$5-Tabla2[[#This Row],[FECHA DE FACTURACIÓN]]</f>
        <v>248</v>
      </c>
      <c r="U770" t="str">
        <f>+IF(Tabla2[[#This Row],[dias de credito]]&gt;=Tabla2[[#This Row],[PLAZO Días]],"venc", "No venc")</f>
        <v>venc</v>
      </c>
      <c r="V770" t="str">
        <f>+IF(Tabla2[[#This Row],[FECHA DE PAGO]]&gt;0,"pagada","por pagar")</f>
        <v>pagada</v>
      </c>
      <c r="W770" s="141" t="str">
        <f>+IF(AND(Tabla2[[#This Row],[venc]]="venc",Tabla2[[#This Row],[Columna1]]="por pagar"),"vencida","no")</f>
        <v>no</v>
      </c>
    </row>
    <row r="771" spans="1:23" ht="15.6" hidden="1" x14ac:dyDescent="0.3">
      <c r="A771" s="20">
        <v>30</v>
      </c>
      <c r="B771" s="25">
        <v>10321993.199999999</v>
      </c>
      <c r="C771" s="25"/>
      <c r="D771" s="56" t="s">
        <v>189</v>
      </c>
      <c r="E771" s="426">
        <v>45082</v>
      </c>
      <c r="F771" s="26" t="s">
        <v>1068</v>
      </c>
      <c r="G771" s="426">
        <v>45041</v>
      </c>
      <c r="H771" s="35" t="s">
        <v>1638</v>
      </c>
      <c r="I771" s="21">
        <v>756000</v>
      </c>
      <c r="J771" s="21"/>
      <c r="K771" s="22">
        <v>143640</v>
      </c>
      <c r="L771" s="23"/>
      <c r="M771" s="22">
        <v>0</v>
      </c>
      <c r="N771" s="74">
        <v>0</v>
      </c>
      <c r="O771" s="22">
        <v>0</v>
      </c>
      <c r="P771" s="21">
        <v>899640</v>
      </c>
      <c r="S771" s="108" t="b">
        <f>OR(COUNTIF(Tabla2[[#This Row],[PROVEEDOR]],"*"&amp;'Palabra no opera'!$A$2&amp;"*"))</f>
        <v>0</v>
      </c>
      <c r="T771" s="139">
        <f>+$W$5-Tabla2[[#This Row],[FECHA DE FACTURACIÓN]]</f>
        <v>250</v>
      </c>
      <c r="U771" t="str">
        <f>+IF(Tabla2[[#This Row],[dias de credito]]&gt;=Tabla2[[#This Row],[PLAZO Días]],"venc", "No venc")</f>
        <v>venc</v>
      </c>
      <c r="V771" t="str">
        <f>+IF(Tabla2[[#This Row],[FECHA DE PAGO]]&gt;0,"pagada","por pagar")</f>
        <v>pagada</v>
      </c>
      <c r="W771" s="141" t="str">
        <f>+IF(AND(Tabla2[[#This Row],[venc]]="venc",Tabla2[[#This Row],[Columna1]]="por pagar"),"vencida","no")</f>
        <v>no</v>
      </c>
    </row>
    <row r="772" spans="1:23" ht="15.6" hidden="1" x14ac:dyDescent="0.3">
      <c r="A772" s="20">
        <v>30</v>
      </c>
      <c r="B772" s="25">
        <v>4248480.9550000001</v>
      </c>
      <c r="C772" s="25"/>
      <c r="D772" s="56" t="s">
        <v>107</v>
      </c>
      <c r="E772" s="426">
        <v>45082</v>
      </c>
      <c r="F772" s="26" t="s">
        <v>78</v>
      </c>
      <c r="G772" s="426">
        <v>45040</v>
      </c>
      <c r="H772" s="35" t="s">
        <v>1630</v>
      </c>
      <c r="I772" s="21">
        <v>2758147</v>
      </c>
      <c r="J772" s="21"/>
      <c r="K772" s="22">
        <v>524047.93</v>
      </c>
      <c r="L772" s="23"/>
      <c r="M772" s="22">
        <v>0</v>
      </c>
      <c r="N772" s="74">
        <v>2.5000000000000001E-2</v>
      </c>
      <c r="O772" s="22">
        <v>68953.675000000003</v>
      </c>
      <c r="P772" s="21">
        <v>3213241.2550000004</v>
      </c>
      <c r="S772" s="108" t="b">
        <f>OR(COUNTIF(Tabla2[[#This Row],[PROVEEDOR]],"*"&amp;'Palabra no opera'!$A$2&amp;"*"))</f>
        <v>0</v>
      </c>
      <c r="T772" s="139">
        <f>+$W$5-Tabla2[[#This Row],[FECHA DE FACTURACIÓN]]</f>
        <v>251</v>
      </c>
      <c r="U772" t="str">
        <f>+IF(Tabla2[[#This Row],[dias de credito]]&gt;=Tabla2[[#This Row],[PLAZO Días]],"venc", "No venc")</f>
        <v>venc</v>
      </c>
      <c r="V772" t="str">
        <f>+IF(Tabla2[[#This Row],[FECHA DE PAGO]]&gt;0,"pagada","por pagar")</f>
        <v>pagada</v>
      </c>
      <c r="W772" s="141" t="str">
        <f>+IF(AND(Tabla2[[#This Row],[venc]]="venc",Tabla2[[#This Row],[Columna1]]="por pagar"),"vencida","no")</f>
        <v>no</v>
      </c>
    </row>
    <row r="773" spans="1:23" ht="15.6" hidden="1" x14ac:dyDescent="0.3">
      <c r="A773" s="20">
        <v>30</v>
      </c>
      <c r="B773" s="25">
        <v>4248480.9550000001</v>
      </c>
      <c r="C773" s="25"/>
      <c r="D773" s="56" t="s">
        <v>107</v>
      </c>
      <c r="E773" s="426">
        <v>45082</v>
      </c>
      <c r="F773" s="26" t="s">
        <v>78</v>
      </c>
      <c r="G773" s="426">
        <v>45040</v>
      </c>
      <c r="H773" s="35" t="s">
        <v>1632</v>
      </c>
      <c r="I773" s="21">
        <v>23527</v>
      </c>
      <c r="J773" s="21"/>
      <c r="K773" s="22">
        <v>4470.13</v>
      </c>
      <c r="L773" s="23"/>
      <c r="M773" s="22">
        <v>0</v>
      </c>
      <c r="N773" s="74">
        <v>0</v>
      </c>
      <c r="O773" s="22">
        <v>0</v>
      </c>
      <c r="P773" s="21">
        <v>27997.13</v>
      </c>
      <c r="S773" s="108" t="b">
        <f>OR(COUNTIF(Tabla2[[#This Row],[PROVEEDOR]],"*"&amp;'Palabra no opera'!$A$2&amp;"*"))</f>
        <v>0</v>
      </c>
      <c r="T773" s="139">
        <f>+$W$5-Tabla2[[#This Row],[FECHA DE FACTURACIÓN]]</f>
        <v>251</v>
      </c>
      <c r="U773" t="str">
        <f>+IF(Tabla2[[#This Row],[dias de credito]]&gt;=Tabla2[[#This Row],[PLAZO Días]],"venc", "No venc")</f>
        <v>venc</v>
      </c>
      <c r="V773" t="str">
        <f>+IF(Tabla2[[#This Row],[FECHA DE PAGO]]&gt;0,"pagada","por pagar")</f>
        <v>pagada</v>
      </c>
      <c r="W773" s="141" t="str">
        <f>+IF(AND(Tabla2[[#This Row],[venc]]="venc",Tabla2[[#This Row],[Columna1]]="por pagar"),"vencida","no")</f>
        <v>no</v>
      </c>
    </row>
    <row r="774" spans="1:23" ht="15.6" hidden="1" x14ac:dyDescent="0.3">
      <c r="A774" s="20">
        <v>30</v>
      </c>
      <c r="B774" s="25">
        <v>0</v>
      </c>
      <c r="C774" s="25"/>
      <c r="D774" s="56" t="s">
        <v>199</v>
      </c>
      <c r="E774" s="426">
        <v>45082</v>
      </c>
      <c r="F774" s="26" t="s">
        <v>1069</v>
      </c>
      <c r="G774" s="426">
        <v>45040</v>
      </c>
      <c r="H774" s="35" t="s">
        <v>1645</v>
      </c>
      <c r="I774" s="21">
        <v>2420170</v>
      </c>
      <c r="J774" s="21"/>
      <c r="K774" s="22">
        <v>459832.3</v>
      </c>
      <c r="L774" s="23"/>
      <c r="M774" s="22">
        <v>0</v>
      </c>
      <c r="N774" s="74">
        <v>2.5000000000000001E-2</v>
      </c>
      <c r="O774" s="22">
        <v>60504.25</v>
      </c>
      <c r="P774" s="21">
        <v>2819498.05</v>
      </c>
      <c r="S774" s="108" t="b">
        <f>OR(COUNTIF(Tabla2[[#This Row],[PROVEEDOR]],"*"&amp;'Palabra no opera'!$A$2&amp;"*"))</f>
        <v>0</v>
      </c>
      <c r="T774" s="139">
        <f>+$W$5-Tabla2[[#This Row],[FECHA DE FACTURACIÓN]]</f>
        <v>251</v>
      </c>
      <c r="U774" t="str">
        <f>+IF(Tabla2[[#This Row],[dias de credito]]&gt;=Tabla2[[#This Row],[PLAZO Días]],"venc", "No venc")</f>
        <v>venc</v>
      </c>
      <c r="V774" t="str">
        <f>+IF(Tabla2[[#This Row],[FECHA DE PAGO]]&gt;0,"pagada","por pagar")</f>
        <v>pagada</v>
      </c>
      <c r="W774" s="141" t="str">
        <f>+IF(AND(Tabla2[[#This Row],[venc]]="venc",Tabla2[[#This Row],[Columna1]]="por pagar"),"vencida","no")</f>
        <v>no</v>
      </c>
    </row>
    <row r="775" spans="1:23" ht="15.6" hidden="1" x14ac:dyDescent="0.3">
      <c r="A775" s="20">
        <v>30</v>
      </c>
      <c r="B775" s="25">
        <v>10321993.199999999</v>
      </c>
      <c r="C775" s="25"/>
      <c r="D775" s="56" t="s">
        <v>189</v>
      </c>
      <c r="E775" s="426">
        <v>45082</v>
      </c>
      <c r="F775" s="26" t="s">
        <v>1068</v>
      </c>
      <c r="G775" s="426">
        <v>45037</v>
      </c>
      <c r="H775" s="35" t="s">
        <v>1641</v>
      </c>
      <c r="I775" s="21">
        <v>436000</v>
      </c>
      <c r="J775" s="21"/>
      <c r="K775" s="22">
        <v>82840</v>
      </c>
      <c r="L775" s="23"/>
      <c r="M775" s="22">
        <v>0</v>
      </c>
      <c r="N775" s="74">
        <v>0</v>
      </c>
      <c r="O775" s="22">
        <v>0</v>
      </c>
      <c r="P775" s="21">
        <v>518840</v>
      </c>
      <c r="S775" s="108" t="b">
        <f>OR(COUNTIF(Tabla2[[#This Row],[PROVEEDOR]],"*"&amp;'Palabra no opera'!$A$2&amp;"*"))</f>
        <v>0</v>
      </c>
      <c r="T775" s="139">
        <f>+$W$5-Tabla2[[#This Row],[FECHA DE FACTURACIÓN]]</f>
        <v>254</v>
      </c>
      <c r="U775" t="str">
        <f>+IF(Tabla2[[#This Row],[dias de credito]]&gt;=Tabla2[[#This Row],[PLAZO Días]],"venc", "No venc")</f>
        <v>venc</v>
      </c>
      <c r="V775" t="str">
        <f>+IF(Tabla2[[#This Row],[FECHA DE PAGO]]&gt;0,"pagada","por pagar")</f>
        <v>pagada</v>
      </c>
      <c r="W775" s="141" t="str">
        <f>+IF(AND(Tabla2[[#This Row],[venc]]="venc",Tabla2[[#This Row],[Columna1]]="por pagar"),"vencida","no")</f>
        <v>no</v>
      </c>
    </row>
    <row r="776" spans="1:23" ht="15.6" hidden="1" x14ac:dyDescent="0.3">
      <c r="A776" s="20">
        <v>30</v>
      </c>
      <c r="B776" s="25">
        <v>10321993.199999999</v>
      </c>
      <c r="C776" s="25"/>
      <c r="D776" s="56" t="s">
        <v>189</v>
      </c>
      <c r="E776" s="426">
        <v>45082</v>
      </c>
      <c r="F776" s="26" t="s">
        <v>1068</v>
      </c>
      <c r="G776" s="426">
        <v>45036</v>
      </c>
      <c r="H776" s="35" t="s">
        <v>1640</v>
      </c>
      <c r="I776" s="21">
        <v>1260000</v>
      </c>
      <c r="J776" s="21"/>
      <c r="K776" s="22">
        <v>239400</v>
      </c>
      <c r="L776" s="23"/>
      <c r="M776" s="22">
        <v>0</v>
      </c>
      <c r="N776" s="74">
        <v>2.5000000000000001E-2</v>
      </c>
      <c r="O776" s="22">
        <v>31500</v>
      </c>
      <c r="P776" s="21">
        <v>1467900</v>
      </c>
      <c r="S776" s="108" t="b">
        <f>OR(COUNTIF(Tabla2[[#This Row],[PROVEEDOR]],"*"&amp;'Palabra no opera'!$A$2&amp;"*"))</f>
        <v>0</v>
      </c>
      <c r="T776" s="139">
        <f>+$W$5-Tabla2[[#This Row],[FECHA DE FACTURACIÓN]]</f>
        <v>255</v>
      </c>
      <c r="U776" t="str">
        <f>+IF(Tabla2[[#This Row],[dias de credito]]&gt;=Tabla2[[#This Row],[PLAZO Días]],"venc", "No venc")</f>
        <v>venc</v>
      </c>
      <c r="V776" t="str">
        <f>+IF(Tabla2[[#This Row],[FECHA DE PAGO]]&gt;0,"pagada","por pagar")</f>
        <v>pagada</v>
      </c>
      <c r="W776" s="141" t="str">
        <f>+IF(AND(Tabla2[[#This Row],[venc]]="venc",Tabla2[[#This Row],[Columna1]]="por pagar"),"vencida","no")</f>
        <v>no</v>
      </c>
    </row>
    <row r="777" spans="1:23" ht="15.6" hidden="1" x14ac:dyDescent="0.3">
      <c r="A777" s="20">
        <v>30</v>
      </c>
      <c r="B777" s="25">
        <v>10321993.199999999</v>
      </c>
      <c r="C777" s="25"/>
      <c r="D777" s="56" t="s">
        <v>189</v>
      </c>
      <c r="E777" s="426">
        <v>45082</v>
      </c>
      <c r="F777" s="26" t="s">
        <v>1068</v>
      </c>
      <c r="G777" s="426">
        <v>45034</v>
      </c>
      <c r="H777" s="35" t="s">
        <v>1639</v>
      </c>
      <c r="I777" s="21">
        <v>436000</v>
      </c>
      <c r="J777" s="21"/>
      <c r="K777" s="22">
        <v>82840</v>
      </c>
      <c r="L777" s="23"/>
      <c r="M777" s="22">
        <v>0</v>
      </c>
      <c r="N777" s="74">
        <v>0</v>
      </c>
      <c r="O777" s="22">
        <v>0</v>
      </c>
      <c r="P777" s="21">
        <v>518840</v>
      </c>
      <c r="S777" s="108" t="b">
        <f>OR(COUNTIF(Tabla2[[#This Row],[PROVEEDOR]],"*"&amp;'Palabra no opera'!$A$2&amp;"*"))</f>
        <v>0</v>
      </c>
      <c r="T777" s="139">
        <f>+$W$5-Tabla2[[#This Row],[FECHA DE FACTURACIÓN]]</f>
        <v>257</v>
      </c>
      <c r="U777" t="str">
        <f>+IF(Tabla2[[#This Row],[dias de credito]]&gt;=Tabla2[[#This Row],[PLAZO Días]],"venc", "No venc")</f>
        <v>venc</v>
      </c>
      <c r="V777" t="str">
        <f>+IF(Tabla2[[#This Row],[FECHA DE PAGO]]&gt;0,"pagada","por pagar")</f>
        <v>pagada</v>
      </c>
      <c r="W777" s="141" t="str">
        <f>+IF(AND(Tabla2[[#This Row],[venc]]="venc",Tabla2[[#This Row],[Columna1]]="por pagar"),"vencida","no")</f>
        <v>no</v>
      </c>
    </row>
    <row r="778" spans="1:23" ht="15.6" hidden="1" x14ac:dyDescent="0.3">
      <c r="A778" s="20">
        <v>30</v>
      </c>
      <c r="B778" s="25">
        <v>8306450</v>
      </c>
      <c r="C778" s="25"/>
      <c r="D778" s="56" t="s">
        <v>1607</v>
      </c>
      <c r="E778" s="426">
        <v>45082</v>
      </c>
      <c r="F778" s="26" t="s">
        <v>1606</v>
      </c>
      <c r="G778" s="426">
        <v>45030</v>
      </c>
      <c r="H778" s="35" t="s">
        <v>1608</v>
      </c>
      <c r="I778" s="21">
        <v>2868000</v>
      </c>
      <c r="J778" s="21"/>
      <c r="K778" s="22">
        <v>544920</v>
      </c>
      <c r="L778" s="23"/>
      <c r="M778" s="22">
        <v>0</v>
      </c>
      <c r="N778" s="74">
        <v>2.5000000000000001E-2</v>
      </c>
      <c r="O778" s="22">
        <v>71700</v>
      </c>
      <c r="P778" s="21">
        <v>3341220</v>
      </c>
      <c r="S778" s="108" t="b">
        <f>OR(COUNTIF(Tabla2[[#This Row],[PROVEEDOR]],"*"&amp;'Palabra no opera'!$A$2&amp;"*"))</f>
        <v>0</v>
      </c>
      <c r="T778" s="139">
        <f>+$W$5-Tabla2[[#This Row],[FECHA DE FACTURACIÓN]]</f>
        <v>261</v>
      </c>
      <c r="U778" t="str">
        <f>+IF(Tabla2[[#This Row],[dias de credito]]&gt;=Tabla2[[#This Row],[PLAZO Días]],"venc", "No venc")</f>
        <v>venc</v>
      </c>
      <c r="V778" t="str">
        <f>+IF(Tabla2[[#This Row],[FECHA DE PAGO]]&gt;0,"pagada","por pagar")</f>
        <v>pagada</v>
      </c>
      <c r="W778" s="141" t="str">
        <f>+IF(AND(Tabla2[[#This Row],[venc]]="venc",Tabla2[[#This Row],[Columna1]]="por pagar"),"vencida","no")</f>
        <v>no</v>
      </c>
    </row>
    <row r="779" spans="1:23" ht="15.6" hidden="1" x14ac:dyDescent="0.3">
      <c r="A779" s="20">
        <v>45</v>
      </c>
      <c r="B779" s="25">
        <v>8072960</v>
      </c>
      <c r="C779" s="25"/>
      <c r="D779" s="56" t="s">
        <v>198</v>
      </c>
      <c r="E779" s="426">
        <v>45082</v>
      </c>
      <c r="F779" s="26" t="s">
        <v>10</v>
      </c>
      <c r="G779" s="426">
        <v>45030</v>
      </c>
      <c r="H779" s="35" t="s">
        <v>1643</v>
      </c>
      <c r="I779" s="21">
        <v>490000</v>
      </c>
      <c r="J779" s="21"/>
      <c r="K779" s="22">
        <v>93100</v>
      </c>
      <c r="L779" s="23"/>
      <c r="M779" s="22">
        <v>0</v>
      </c>
      <c r="N779" s="74">
        <v>0</v>
      </c>
      <c r="O779" s="22">
        <v>0</v>
      </c>
      <c r="P779" s="21">
        <v>583100</v>
      </c>
      <c r="S779" s="108" t="b">
        <f>OR(COUNTIF(Tabla2[[#This Row],[PROVEEDOR]],"*"&amp;'Palabra no opera'!$A$2&amp;"*"))</f>
        <v>0</v>
      </c>
      <c r="T779" s="139">
        <f>+$W$5-Tabla2[[#This Row],[FECHA DE FACTURACIÓN]]</f>
        <v>261</v>
      </c>
      <c r="U779" t="str">
        <f>+IF(Tabla2[[#This Row],[dias de credito]]&gt;=Tabla2[[#This Row],[PLAZO Días]],"venc", "No venc")</f>
        <v>venc</v>
      </c>
      <c r="V779" t="str">
        <f>+IF(Tabla2[[#This Row],[FECHA DE PAGO]]&gt;0,"pagada","por pagar")</f>
        <v>pagada</v>
      </c>
      <c r="W779" s="141" t="str">
        <f>+IF(AND(Tabla2[[#This Row],[venc]]="venc",Tabla2[[#This Row],[Columna1]]="por pagar"),"vencida","no")</f>
        <v>no</v>
      </c>
    </row>
    <row r="780" spans="1:23" ht="15.6" hidden="1" x14ac:dyDescent="0.3">
      <c r="A780" s="20">
        <v>45</v>
      </c>
      <c r="B780" s="25">
        <v>8072960</v>
      </c>
      <c r="C780" s="25"/>
      <c r="D780" s="56" t="s">
        <v>198</v>
      </c>
      <c r="E780" s="426">
        <v>45082</v>
      </c>
      <c r="F780" s="26" t="s">
        <v>10</v>
      </c>
      <c r="G780" s="426">
        <v>45029</v>
      </c>
      <c r="H780" s="35" t="s">
        <v>1609</v>
      </c>
      <c r="I780" s="21">
        <v>500000</v>
      </c>
      <c r="J780" s="21"/>
      <c r="K780" s="22">
        <v>95000</v>
      </c>
      <c r="L780" s="23"/>
      <c r="M780" s="22">
        <v>0</v>
      </c>
      <c r="N780" s="74">
        <v>0</v>
      </c>
      <c r="O780" s="22">
        <v>0</v>
      </c>
      <c r="P780" s="21">
        <v>595000</v>
      </c>
      <c r="S780" s="108" t="b">
        <f>OR(COUNTIF(Tabla2[[#This Row],[PROVEEDOR]],"*"&amp;'Palabra no opera'!$A$2&amp;"*"))</f>
        <v>0</v>
      </c>
      <c r="T780" s="139">
        <f>+$W$5-Tabla2[[#This Row],[FECHA DE FACTURACIÓN]]</f>
        <v>262</v>
      </c>
      <c r="U780" t="str">
        <f>+IF(Tabla2[[#This Row],[dias de credito]]&gt;=Tabla2[[#This Row],[PLAZO Días]],"venc", "No venc")</f>
        <v>venc</v>
      </c>
      <c r="V780" t="str">
        <f>+IF(Tabla2[[#This Row],[FECHA DE PAGO]]&gt;0,"pagada","por pagar")</f>
        <v>pagada</v>
      </c>
      <c r="W780" s="141" t="str">
        <f>+IF(AND(Tabla2[[#This Row],[venc]]="venc",Tabla2[[#This Row],[Columna1]]="por pagar"),"vencida","no")</f>
        <v>no</v>
      </c>
    </row>
    <row r="781" spans="1:23" ht="15.6" hidden="1" x14ac:dyDescent="0.3">
      <c r="A781" s="20">
        <v>30</v>
      </c>
      <c r="B781" s="25">
        <v>0</v>
      </c>
      <c r="C781" s="25"/>
      <c r="D781" s="56" t="s">
        <v>1607</v>
      </c>
      <c r="E781" s="426">
        <v>45082</v>
      </c>
      <c r="F781" s="26" t="s">
        <v>1622</v>
      </c>
      <c r="G781" s="426">
        <v>45028</v>
      </c>
      <c r="H781" s="35">
        <v>31073</v>
      </c>
      <c r="I781" s="21">
        <v>900000</v>
      </c>
      <c r="J781" s="21"/>
      <c r="K781" s="22">
        <v>0</v>
      </c>
      <c r="L781" s="23"/>
      <c r="M781" s="22">
        <v>0</v>
      </c>
      <c r="N781" s="74">
        <v>0</v>
      </c>
      <c r="O781" s="22">
        <v>0</v>
      </c>
      <c r="P781" s="21">
        <v>900000</v>
      </c>
      <c r="S781" s="108" t="b">
        <f>OR(COUNTIF(Tabla2[[#This Row],[PROVEEDOR]],"*"&amp;'Palabra no opera'!$A$2&amp;"*"))</f>
        <v>0</v>
      </c>
      <c r="T781" s="139">
        <f>+$W$5-Tabla2[[#This Row],[FECHA DE FACTURACIÓN]]</f>
        <v>263</v>
      </c>
      <c r="U781" t="str">
        <f>+IF(Tabla2[[#This Row],[dias de credito]]&gt;=Tabla2[[#This Row],[PLAZO Días]],"venc", "No venc")</f>
        <v>venc</v>
      </c>
      <c r="V781" t="str">
        <f>+IF(Tabla2[[#This Row],[FECHA DE PAGO]]&gt;0,"pagada","por pagar")</f>
        <v>pagada</v>
      </c>
      <c r="W781" s="141" t="str">
        <f>+IF(AND(Tabla2[[#This Row],[venc]]="venc",Tabla2[[#This Row],[Columna1]]="por pagar"),"vencida","no")</f>
        <v>no</v>
      </c>
    </row>
    <row r="782" spans="1:23" ht="15.6" hidden="1" x14ac:dyDescent="0.3">
      <c r="A782" s="20">
        <v>30</v>
      </c>
      <c r="B782" s="25">
        <v>4248480.9550000001</v>
      </c>
      <c r="C782" s="25"/>
      <c r="D782" s="56" t="s">
        <v>107</v>
      </c>
      <c r="E782" s="426">
        <v>45082</v>
      </c>
      <c r="F782" s="26" t="s">
        <v>78</v>
      </c>
      <c r="G782" s="426">
        <v>45028</v>
      </c>
      <c r="H782" s="35" t="s">
        <v>1633</v>
      </c>
      <c r="I782" s="21">
        <v>97619</v>
      </c>
      <c r="J782" s="21"/>
      <c r="K782" s="22">
        <v>18547.61</v>
      </c>
      <c r="L782" s="23"/>
      <c r="M782" s="22">
        <v>0</v>
      </c>
      <c r="N782" s="74">
        <v>0</v>
      </c>
      <c r="O782" s="22">
        <v>0</v>
      </c>
      <c r="P782" s="21">
        <v>116166.61</v>
      </c>
      <c r="S782" s="108" t="b">
        <f>OR(COUNTIF(Tabla2[[#This Row],[PROVEEDOR]],"*"&amp;'Palabra no opera'!$A$2&amp;"*"))</f>
        <v>0</v>
      </c>
      <c r="T782" s="139">
        <f>+$W$5-Tabla2[[#This Row],[FECHA DE FACTURACIÓN]]</f>
        <v>263</v>
      </c>
      <c r="U782" t="str">
        <f>+IF(Tabla2[[#This Row],[dias de credito]]&gt;=Tabla2[[#This Row],[PLAZO Días]],"venc", "No venc")</f>
        <v>venc</v>
      </c>
      <c r="V782" t="str">
        <f>+IF(Tabla2[[#This Row],[FECHA DE PAGO]]&gt;0,"pagada","por pagar")</f>
        <v>pagada</v>
      </c>
      <c r="W782" s="141" t="str">
        <f>+IF(AND(Tabla2[[#This Row],[venc]]="venc",Tabla2[[#This Row],[Columna1]]="por pagar"),"vencida","no")</f>
        <v>no</v>
      </c>
    </row>
    <row r="783" spans="1:23" ht="15.6" hidden="1" x14ac:dyDescent="0.3">
      <c r="A783" s="20">
        <v>30</v>
      </c>
      <c r="B783" s="25">
        <v>342000</v>
      </c>
      <c r="C783" s="25"/>
      <c r="D783" s="56" t="s">
        <v>107</v>
      </c>
      <c r="E783" s="426">
        <v>45082</v>
      </c>
      <c r="F783" s="26" t="s">
        <v>495</v>
      </c>
      <c r="G783" s="426">
        <v>45026</v>
      </c>
      <c r="H783" s="35">
        <v>2002</v>
      </c>
      <c r="I783" s="21">
        <v>343800</v>
      </c>
      <c r="J783" s="21"/>
      <c r="K783" s="22">
        <v>0</v>
      </c>
      <c r="L783" s="23"/>
      <c r="M783" s="22">
        <v>0</v>
      </c>
      <c r="N783" s="74">
        <v>0</v>
      </c>
      <c r="O783" s="22">
        <v>0</v>
      </c>
      <c r="P783" s="21">
        <v>343800</v>
      </c>
      <c r="S783" s="108" t="b">
        <f>OR(COUNTIF(Tabla2[[#This Row],[PROVEEDOR]],"*"&amp;'Palabra no opera'!$A$2&amp;"*"))</f>
        <v>0</v>
      </c>
      <c r="T783" s="139">
        <f>+$W$5-Tabla2[[#This Row],[FECHA DE FACTURACIÓN]]</f>
        <v>265</v>
      </c>
      <c r="U783" t="str">
        <f>+IF(Tabla2[[#This Row],[dias de credito]]&gt;=Tabla2[[#This Row],[PLAZO Días]],"venc", "No venc")</f>
        <v>venc</v>
      </c>
      <c r="V783" t="str">
        <f>+IF(Tabla2[[#This Row],[FECHA DE PAGO]]&gt;0,"pagada","por pagar")</f>
        <v>pagada</v>
      </c>
      <c r="W783" s="141" t="str">
        <f>+IF(AND(Tabla2[[#This Row],[venc]]="venc",Tabla2[[#This Row],[Columna1]]="por pagar"),"vencida","no")</f>
        <v>no</v>
      </c>
    </row>
    <row r="784" spans="1:23" ht="15.6" hidden="1" x14ac:dyDescent="0.3">
      <c r="A784" s="20">
        <v>30</v>
      </c>
      <c r="B784" s="25">
        <v>0</v>
      </c>
      <c r="C784" s="25"/>
      <c r="D784" s="56" t="s">
        <v>858</v>
      </c>
      <c r="E784" s="426">
        <v>45082</v>
      </c>
      <c r="F784" s="26" t="s">
        <v>857</v>
      </c>
      <c r="G784" s="426">
        <v>45026</v>
      </c>
      <c r="H784" s="35" t="s">
        <v>1713</v>
      </c>
      <c r="I784" s="21">
        <v>3108403</v>
      </c>
      <c r="J784" s="21"/>
      <c r="K784" s="22">
        <v>590596.56999999995</v>
      </c>
      <c r="L784" s="23"/>
      <c r="M784" s="22">
        <v>0</v>
      </c>
      <c r="N784" s="74">
        <v>2.5000000000000001E-2</v>
      </c>
      <c r="O784" s="22">
        <v>77710.074999999997</v>
      </c>
      <c r="P784" s="21">
        <v>3621289.4949999996</v>
      </c>
      <c r="S784" s="108" t="b">
        <f>OR(COUNTIF(Tabla2[[#This Row],[PROVEEDOR]],"*"&amp;'Palabra no opera'!$A$2&amp;"*"))</f>
        <v>0</v>
      </c>
      <c r="T784" s="139">
        <f>+$W$5-Tabla2[[#This Row],[FECHA DE FACTURACIÓN]]</f>
        <v>265</v>
      </c>
      <c r="U784" t="str">
        <f>+IF(Tabla2[[#This Row],[dias de credito]]&gt;=Tabla2[[#This Row],[PLAZO Días]],"venc", "No venc")</f>
        <v>venc</v>
      </c>
      <c r="V784" t="str">
        <f>+IF(Tabla2[[#This Row],[FECHA DE PAGO]]&gt;0,"pagada","por pagar")</f>
        <v>pagada</v>
      </c>
      <c r="W784" s="141" t="str">
        <f>+IF(AND(Tabla2[[#This Row],[venc]]="venc",Tabla2[[#This Row],[Columna1]]="por pagar"),"vencida","no")</f>
        <v>no</v>
      </c>
    </row>
    <row r="785" spans="1:23" ht="15.6" hidden="1" x14ac:dyDescent="0.3">
      <c r="A785" s="20">
        <v>45</v>
      </c>
      <c r="B785" s="25">
        <v>8072960</v>
      </c>
      <c r="C785" s="25"/>
      <c r="D785" s="56" t="s">
        <v>198</v>
      </c>
      <c r="E785" s="426">
        <v>45082</v>
      </c>
      <c r="F785" s="26" t="s">
        <v>10</v>
      </c>
      <c r="G785" s="426">
        <v>45016</v>
      </c>
      <c r="H785" s="35" t="s">
        <v>1557</v>
      </c>
      <c r="I785" s="21">
        <v>630000</v>
      </c>
      <c r="J785" s="21"/>
      <c r="K785" s="22">
        <v>119700</v>
      </c>
      <c r="L785" s="23"/>
      <c r="M785" s="22">
        <v>0</v>
      </c>
      <c r="N785" s="74">
        <v>0</v>
      </c>
      <c r="O785" s="22">
        <v>0</v>
      </c>
      <c r="P785" s="21">
        <v>749700</v>
      </c>
      <c r="S785" s="108" t="b">
        <f>OR(COUNTIF(Tabla2[[#This Row],[PROVEEDOR]],"*"&amp;'Palabra no opera'!$A$2&amp;"*"))</f>
        <v>0</v>
      </c>
      <c r="T785" s="139">
        <f>+$W$5-Tabla2[[#This Row],[FECHA DE FACTURACIÓN]]</f>
        <v>275</v>
      </c>
      <c r="U785" t="str">
        <f>+IF(Tabla2[[#This Row],[dias de credito]]&gt;=Tabla2[[#This Row],[PLAZO Días]],"venc", "No venc")</f>
        <v>venc</v>
      </c>
      <c r="V785" t="str">
        <f>+IF(Tabla2[[#This Row],[FECHA DE PAGO]]&gt;0,"pagada","por pagar")</f>
        <v>pagada</v>
      </c>
      <c r="W785" s="141" t="str">
        <f>+IF(AND(Tabla2[[#This Row],[venc]]="venc",Tabla2[[#This Row],[Columna1]]="por pagar"),"vencida","no")</f>
        <v>no</v>
      </c>
    </row>
    <row r="786" spans="1:23" ht="15.6" hidden="1" x14ac:dyDescent="0.3">
      <c r="A786" s="20">
        <v>45</v>
      </c>
      <c r="B786" s="25">
        <v>8072960</v>
      </c>
      <c r="C786" s="25"/>
      <c r="D786" s="56" t="s">
        <v>198</v>
      </c>
      <c r="E786" s="426">
        <v>45082</v>
      </c>
      <c r="F786" s="26" t="s">
        <v>10</v>
      </c>
      <c r="G786" s="426">
        <v>45014</v>
      </c>
      <c r="H786" s="35" t="s">
        <v>1556</v>
      </c>
      <c r="I786" s="21">
        <v>2020000</v>
      </c>
      <c r="J786" s="21"/>
      <c r="K786" s="22">
        <v>383800</v>
      </c>
      <c r="L786" s="23"/>
      <c r="M786" s="22">
        <v>0</v>
      </c>
      <c r="N786" s="74">
        <v>0</v>
      </c>
      <c r="O786" s="22">
        <v>0</v>
      </c>
      <c r="P786" s="21">
        <v>2403800</v>
      </c>
      <c r="S786" s="108" t="b">
        <f>OR(COUNTIF(Tabla2[[#This Row],[PROVEEDOR]],"*"&amp;'Palabra no opera'!$A$2&amp;"*"))</f>
        <v>0</v>
      </c>
      <c r="T786" s="139">
        <f>+$W$5-Tabla2[[#This Row],[FECHA DE FACTURACIÓN]]</f>
        <v>277</v>
      </c>
      <c r="U786" t="str">
        <f>+IF(Tabla2[[#This Row],[dias de credito]]&gt;=Tabla2[[#This Row],[PLAZO Días]],"venc", "No venc")</f>
        <v>venc</v>
      </c>
      <c r="V786" t="str">
        <f>+IF(Tabla2[[#This Row],[FECHA DE PAGO]]&gt;0,"pagada","por pagar")</f>
        <v>pagada</v>
      </c>
      <c r="W786" s="141" t="str">
        <f>+IF(AND(Tabla2[[#This Row],[venc]]="venc",Tabla2[[#This Row],[Columna1]]="por pagar"),"vencida","no")</f>
        <v>no</v>
      </c>
    </row>
    <row r="787" spans="1:23" ht="15.6" hidden="1" x14ac:dyDescent="0.3">
      <c r="A787" s="20">
        <v>30</v>
      </c>
      <c r="B787" s="25">
        <v>10321993.199999999</v>
      </c>
      <c r="C787" s="25"/>
      <c r="D787" s="56" t="s">
        <v>189</v>
      </c>
      <c r="E787" s="426">
        <v>45082</v>
      </c>
      <c r="F787" s="26" t="s">
        <v>1068</v>
      </c>
      <c r="G787" s="426">
        <v>45013</v>
      </c>
      <c r="H787" s="35" t="s">
        <v>1545</v>
      </c>
      <c r="I787" s="21">
        <v>2185344</v>
      </c>
      <c r="J787" s="21">
        <v>63334</v>
      </c>
      <c r="K787" s="22">
        <v>403181.9</v>
      </c>
      <c r="L787" s="23"/>
      <c r="M787" s="22">
        <v>0</v>
      </c>
      <c r="N787" s="74">
        <v>2.5000000000000001E-2</v>
      </c>
      <c r="O787" s="22">
        <v>53050.25</v>
      </c>
      <c r="P787" s="21">
        <v>2472141.65</v>
      </c>
      <c r="S787" s="108" t="b">
        <f>OR(COUNTIF(Tabla2[[#This Row],[PROVEEDOR]],"*"&amp;'Palabra no opera'!$A$2&amp;"*"))</f>
        <v>0</v>
      </c>
      <c r="T787" s="139">
        <f>+$W$5-Tabla2[[#This Row],[FECHA DE FACTURACIÓN]]</f>
        <v>278</v>
      </c>
      <c r="U787" t="str">
        <f>+IF(Tabla2[[#This Row],[dias de credito]]&gt;=Tabla2[[#This Row],[PLAZO Días]],"venc", "No venc")</f>
        <v>venc</v>
      </c>
      <c r="V787" t="str">
        <f>+IF(Tabla2[[#This Row],[FECHA DE PAGO]]&gt;0,"pagada","por pagar")</f>
        <v>pagada</v>
      </c>
      <c r="W787" s="141" t="str">
        <f>+IF(AND(Tabla2[[#This Row],[venc]]="venc",Tabla2[[#This Row],[Columna1]]="por pagar"),"vencida","no")</f>
        <v>no</v>
      </c>
    </row>
    <row r="788" spans="1:23" ht="15.6" hidden="1" x14ac:dyDescent="0.3">
      <c r="A788" s="20">
        <v>30</v>
      </c>
      <c r="B788" s="25">
        <v>0</v>
      </c>
      <c r="C788" s="25"/>
      <c r="D788" s="56" t="s">
        <v>858</v>
      </c>
      <c r="E788" s="426">
        <v>45082</v>
      </c>
      <c r="F788" s="26" t="s">
        <v>857</v>
      </c>
      <c r="G788" s="426">
        <v>44999</v>
      </c>
      <c r="H788" s="35" t="s">
        <v>1501</v>
      </c>
      <c r="I788" s="21">
        <v>315126</v>
      </c>
      <c r="J788" s="21"/>
      <c r="K788" s="22">
        <v>59873.94</v>
      </c>
      <c r="L788" s="23"/>
      <c r="M788" s="22">
        <v>0</v>
      </c>
      <c r="N788" s="74">
        <v>0</v>
      </c>
      <c r="O788" s="22">
        <v>0</v>
      </c>
      <c r="P788" s="21">
        <v>374999.94</v>
      </c>
      <c r="S788" s="108" t="b">
        <f>OR(COUNTIF(Tabla2[[#This Row],[PROVEEDOR]],"*"&amp;'Palabra no opera'!$A$2&amp;"*"))</f>
        <v>0</v>
      </c>
      <c r="T788" s="139">
        <f>+$W$5-Tabla2[[#This Row],[FECHA DE FACTURACIÓN]]</f>
        <v>292</v>
      </c>
      <c r="U788" t="str">
        <f>+IF(Tabla2[[#This Row],[dias de credito]]&gt;=Tabla2[[#This Row],[PLAZO Días]],"venc", "No venc")</f>
        <v>venc</v>
      </c>
      <c r="V788" t="str">
        <f>+IF(Tabla2[[#This Row],[FECHA DE PAGO]]&gt;0,"pagada","por pagar")</f>
        <v>pagada</v>
      </c>
      <c r="W788" s="141" t="str">
        <f>+IF(AND(Tabla2[[#This Row],[venc]]="venc",Tabla2[[#This Row],[Columna1]]="por pagar"),"vencida","no")</f>
        <v>no</v>
      </c>
    </row>
    <row r="789" spans="1:23" ht="15.6" hidden="1" x14ac:dyDescent="0.3">
      <c r="A789" s="20">
        <v>30</v>
      </c>
      <c r="B789" s="25">
        <v>0</v>
      </c>
      <c r="C789" s="25"/>
      <c r="D789" s="56" t="s">
        <v>107</v>
      </c>
      <c r="E789" s="426">
        <v>45078</v>
      </c>
      <c r="F789" s="26" t="s">
        <v>1401</v>
      </c>
      <c r="G789" s="426">
        <v>45078</v>
      </c>
      <c r="H789" s="35">
        <v>2312</v>
      </c>
      <c r="I789" s="21">
        <v>210000</v>
      </c>
      <c r="J789" s="21"/>
      <c r="K789" s="22">
        <v>0</v>
      </c>
      <c r="L789" s="23"/>
      <c r="M789" s="22">
        <v>0</v>
      </c>
      <c r="N789" s="74">
        <v>0</v>
      </c>
      <c r="O789" s="22">
        <v>0</v>
      </c>
      <c r="P789" s="21">
        <v>210000</v>
      </c>
      <c r="S789" s="108" t="b">
        <f>OR(COUNTIF(Tabla2[[#This Row],[PROVEEDOR]],"*"&amp;'Palabra no opera'!$A$2&amp;"*"))</f>
        <v>0</v>
      </c>
      <c r="T789" s="139">
        <f>+$W$5-Tabla2[[#This Row],[FECHA DE FACTURACIÓN]]</f>
        <v>213</v>
      </c>
      <c r="U789" t="str">
        <f>+IF(Tabla2[[#This Row],[dias de credito]]&gt;=Tabla2[[#This Row],[PLAZO Días]],"venc", "No venc")</f>
        <v>venc</v>
      </c>
      <c r="V789" t="str">
        <f>+IF(Tabla2[[#This Row],[FECHA DE PAGO]]&gt;0,"pagada","por pagar")</f>
        <v>pagada</v>
      </c>
      <c r="W789" s="141" t="str">
        <f>+IF(AND(Tabla2[[#This Row],[venc]]="venc",Tabla2[[#This Row],[Columna1]]="por pagar"),"vencida","no")</f>
        <v>no</v>
      </c>
    </row>
    <row r="790" spans="1:23" ht="15.6" hidden="1" x14ac:dyDescent="0.3">
      <c r="A790" s="20">
        <v>30</v>
      </c>
      <c r="B790" s="25">
        <v>0</v>
      </c>
      <c r="C790" s="25"/>
      <c r="D790" s="56" t="s">
        <v>107</v>
      </c>
      <c r="E790" s="426">
        <v>45078</v>
      </c>
      <c r="F790" s="26" t="s">
        <v>1401</v>
      </c>
      <c r="G790" s="426">
        <v>45078</v>
      </c>
      <c r="H790" s="35" t="s">
        <v>1715</v>
      </c>
      <c r="I790" s="21">
        <v>40000</v>
      </c>
      <c r="J790" s="21"/>
      <c r="K790" s="22">
        <v>0</v>
      </c>
      <c r="L790" s="23"/>
      <c r="M790" s="22">
        <v>0</v>
      </c>
      <c r="N790" s="74">
        <v>0</v>
      </c>
      <c r="O790" s="22">
        <v>0</v>
      </c>
      <c r="P790" s="21">
        <v>40000</v>
      </c>
      <c r="S790" s="108" t="b">
        <f>OR(COUNTIF(Tabla2[[#This Row],[PROVEEDOR]],"*"&amp;'Palabra no opera'!$A$2&amp;"*"))</f>
        <v>0</v>
      </c>
      <c r="T790" s="139">
        <f>+$W$5-Tabla2[[#This Row],[FECHA DE FACTURACIÓN]]</f>
        <v>213</v>
      </c>
      <c r="U790" t="str">
        <f>+IF(Tabla2[[#This Row],[dias de credito]]&gt;=Tabla2[[#This Row],[PLAZO Días]],"venc", "No venc")</f>
        <v>venc</v>
      </c>
      <c r="V790" t="str">
        <f>+IF(Tabla2[[#This Row],[FECHA DE PAGO]]&gt;0,"pagada","por pagar")</f>
        <v>pagada</v>
      </c>
      <c r="W790" s="141" t="str">
        <f>+IF(AND(Tabla2[[#This Row],[venc]]="venc",Tabla2[[#This Row],[Columna1]]="por pagar"),"vencida","no")</f>
        <v>no</v>
      </c>
    </row>
    <row r="791" spans="1:23" ht="15.6" hidden="1" x14ac:dyDescent="0.3">
      <c r="A791" s="20">
        <v>30</v>
      </c>
      <c r="B791" s="25">
        <v>0</v>
      </c>
      <c r="C791" s="25"/>
      <c r="D791" s="56">
        <v>0</v>
      </c>
      <c r="E791" s="426">
        <v>45078</v>
      </c>
      <c r="F791" s="26" t="s">
        <v>232</v>
      </c>
      <c r="G791" s="426">
        <v>45078</v>
      </c>
      <c r="H791" s="35" t="s">
        <v>1717</v>
      </c>
      <c r="I791" s="21">
        <v>35292</v>
      </c>
      <c r="J791" s="21"/>
      <c r="K791" s="22">
        <v>6705.4800000000005</v>
      </c>
      <c r="L791" s="23"/>
      <c r="M791" s="22">
        <v>0</v>
      </c>
      <c r="N791" s="74">
        <v>0</v>
      </c>
      <c r="O791" s="22">
        <v>0</v>
      </c>
      <c r="P791" s="21">
        <v>41997.48</v>
      </c>
      <c r="S791" s="108" t="b">
        <f>OR(COUNTIF(Tabla2[[#This Row],[PROVEEDOR]],"*"&amp;'Palabra no opera'!$A$2&amp;"*"))</f>
        <v>0</v>
      </c>
      <c r="T791" s="139">
        <f>+$W$5-Tabla2[[#This Row],[FECHA DE FACTURACIÓN]]</f>
        <v>213</v>
      </c>
      <c r="U791" t="str">
        <f>+IF(Tabla2[[#This Row],[dias de credito]]&gt;=Tabla2[[#This Row],[PLAZO Días]],"venc", "No venc")</f>
        <v>venc</v>
      </c>
      <c r="V791" t="str">
        <f>+IF(Tabla2[[#This Row],[FECHA DE PAGO]]&gt;0,"pagada","por pagar")</f>
        <v>pagada</v>
      </c>
      <c r="W791" s="141" t="str">
        <f>+IF(AND(Tabla2[[#This Row],[venc]]="venc",Tabla2[[#This Row],[Columna1]]="por pagar"),"vencida","no")</f>
        <v>no</v>
      </c>
    </row>
    <row r="792" spans="1:23" ht="15.6" hidden="1" x14ac:dyDescent="0.3">
      <c r="A792" s="20">
        <v>30</v>
      </c>
      <c r="B792" s="25">
        <v>0</v>
      </c>
      <c r="C792" s="25"/>
      <c r="D792" s="56" t="s">
        <v>107</v>
      </c>
      <c r="E792" s="426">
        <v>45078</v>
      </c>
      <c r="F792" s="26" t="s">
        <v>1194</v>
      </c>
      <c r="G792" s="426">
        <v>45077</v>
      </c>
      <c r="H792" s="35" t="s">
        <v>1716</v>
      </c>
      <c r="I792" s="21">
        <v>1874000</v>
      </c>
      <c r="J792" s="21"/>
      <c r="K792" s="22">
        <v>0</v>
      </c>
      <c r="L792" s="23"/>
      <c r="M792" s="22">
        <v>0</v>
      </c>
      <c r="N792" s="74">
        <v>0</v>
      </c>
      <c r="O792" s="22">
        <v>0</v>
      </c>
      <c r="P792" s="21">
        <v>1874000</v>
      </c>
      <c r="S792" s="108" t="b">
        <f>OR(COUNTIF(Tabla2[[#This Row],[PROVEEDOR]],"*"&amp;'Palabra no opera'!$A$2&amp;"*"))</f>
        <v>0</v>
      </c>
      <c r="T792" s="139">
        <f>+$W$5-Tabla2[[#This Row],[FECHA DE FACTURACIÓN]]</f>
        <v>214</v>
      </c>
      <c r="U792" t="str">
        <f>+IF(Tabla2[[#This Row],[dias de credito]]&gt;=Tabla2[[#This Row],[PLAZO Días]],"venc", "No venc")</f>
        <v>venc</v>
      </c>
      <c r="V792" t="str">
        <f>+IF(Tabla2[[#This Row],[FECHA DE PAGO]]&gt;0,"pagada","por pagar")</f>
        <v>pagada</v>
      </c>
      <c r="W792" s="141" t="str">
        <f>+IF(AND(Tabla2[[#This Row],[venc]]="venc",Tabla2[[#This Row],[Columna1]]="por pagar"),"vencida","no")</f>
        <v>no</v>
      </c>
    </row>
    <row r="793" spans="1:23" ht="15.6" hidden="1" x14ac:dyDescent="0.3">
      <c r="A793" s="20">
        <v>30</v>
      </c>
      <c r="B793" s="25">
        <v>0</v>
      </c>
      <c r="C793" s="25"/>
      <c r="D793" s="56" t="s">
        <v>107</v>
      </c>
      <c r="E793" s="426">
        <v>45077</v>
      </c>
      <c r="F793" s="26" t="s">
        <v>1401</v>
      </c>
      <c r="G793" s="426">
        <v>45077</v>
      </c>
      <c r="H793" s="35" t="s">
        <v>1177</v>
      </c>
      <c r="I793" s="21">
        <v>1165000</v>
      </c>
      <c r="J793" s="21"/>
      <c r="K793" s="22">
        <v>0</v>
      </c>
      <c r="L793" s="23"/>
      <c r="M793" s="22">
        <v>0</v>
      </c>
      <c r="N793" s="74">
        <v>0</v>
      </c>
      <c r="O793" s="22">
        <v>0</v>
      </c>
      <c r="P793" s="21">
        <v>1165000</v>
      </c>
      <c r="S793" s="108" t="b">
        <f>OR(COUNTIF(Tabla2[[#This Row],[PROVEEDOR]],"*"&amp;'Palabra no opera'!$A$2&amp;"*"))</f>
        <v>0</v>
      </c>
      <c r="T793" s="139">
        <f>+$W$5-Tabla2[[#This Row],[FECHA DE FACTURACIÓN]]</f>
        <v>214</v>
      </c>
      <c r="U793" t="str">
        <f>+IF(Tabla2[[#This Row],[dias de credito]]&gt;=Tabla2[[#This Row],[PLAZO Días]],"venc", "No venc")</f>
        <v>venc</v>
      </c>
      <c r="V793" t="str">
        <f>+IF(Tabla2[[#This Row],[FECHA DE PAGO]]&gt;0,"pagada","por pagar")</f>
        <v>pagada</v>
      </c>
      <c r="W793" s="141" t="str">
        <f>+IF(AND(Tabla2[[#This Row],[venc]]="venc",Tabla2[[#This Row],[Columna1]]="por pagar"),"vencida","no")</f>
        <v>no</v>
      </c>
    </row>
    <row r="794" spans="1:23" ht="15.6" hidden="1" x14ac:dyDescent="0.3">
      <c r="A794" s="20">
        <v>30</v>
      </c>
      <c r="B794" s="25">
        <v>0</v>
      </c>
      <c r="C794" s="25"/>
      <c r="D794" s="56" t="s">
        <v>107</v>
      </c>
      <c r="E794" s="426">
        <v>45077</v>
      </c>
      <c r="F794" s="26" t="s">
        <v>1401</v>
      </c>
      <c r="G794" s="426">
        <v>45077</v>
      </c>
      <c r="H794" s="35" t="s">
        <v>1377</v>
      </c>
      <c r="I794" s="21">
        <v>13500</v>
      </c>
      <c r="J794" s="21"/>
      <c r="K794" s="22">
        <v>0</v>
      </c>
      <c r="L794" s="23"/>
      <c r="M794" s="22">
        <v>0</v>
      </c>
      <c r="N794" s="74">
        <v>0</v>
      </c>
      <c r="O794" s="22">
        <v>0</v>
      </c>
      <c r="P794" s="21">
        <v>13500</v>
      </c>
      <c r="S794" s="108" t="b">
        <f>OR(COUNTIF(Tabla2[[#This Row],[PROVEEDOR]],"*"&amp;'Palabra no opera'!$A$2&amp;"*"))</f>
        <v>0</v>
      </c>
      <c r="T794" s="139">
        <f>+$W$5-Tabla2[[#This Row],[FECHA DE FACTURACIÓN]]</f>
        <v>214</v>
      </c>
      <c r="U794" t="str">
        <f>+IF(Tabla2[[#This Row],[dias de credito]]&gt;=Tabla2[[#This Row],[PLAZO Días]],"venc", "No venc")</f>
        <v>venc</v>
      </c>
      <c r="V794" t="str">
        <f>+IF(Tabla2[[#This Row],[FECHA DE PAGO]]&gt;0,"pagada","por pagar")</f>
        <v>pagada</v>
      </c>
      <c r="W794" s="141" t="str">
        <f>+IF(AND(Tabla2[[#This Row],[venc]]="venc",Tabla2[[#This Row],[Columna1]]="por pagar"),"vencida","no")</f>
        <v>no</v>
      </c>
    </row>
    <row r="795" spans="1:23" ht="15.6" hidden="1" x14ac:dyDescent="0.3">
      <c r="A795" s="20">
        <v>30</v>
      </c>
      <c r="B795" s="25">
        <v>0</v>
      </c>
      <c r="C795" s="25"/>
      <c r="D795" s="56" t="s">
        <v>107</v>
      </c>
      <c r="E795" s="426">
        <v>45077</v>
      </c>
      <c r="F795" s="26" t="s">
        <v>1401</v>
      </c>
      <c r="G795" s="426">
        <v>45077</v>
      </c>
      <c r="H795" s="35" t="s">
        <v>1176</v>
      </c>
      <c r="I795" s="21">
        <v>242000</v>
      </c>
      <c r="J795" s="21"/>
      <c r="K795" s="22">
        <v>0</v>
      </c>
      <c r="L795" s="23"/>
      <c r="M795" s="22">
        <v>0</v>
      </c>
      <c r="N795" s="74">
        <v>0</v>
      </c>
      <c r="O795" s="22">
        <v>0</v>
      </c>
      <c r="P795" s="21">
        <v>242000</v>
      </c>
      <c r="S795" s="108" t="b">
        <f>OR(COUNTIF(Tabla2[[#This Row],[PROVEEDOR]],"*"&amp;'Palabra no opera'!$A$2&amp;"*"))</f>
        <v>0</v>
      </c>
      <c r="T795" s="139">
        <f>+$W$5-Tabla2[[#This Row],[FECHA DE FACTURACIÓN]]</f>
        <v>214</v>
      </c>
      <c r="U795" t="str">
        <f>+IF(Tabla2[[#This Row],[dias de credito]]&gt;=Tabla2[[#This Row],[PLAZO Días]],"venc", "No venc")</f>
        <v>venc</v>
      </c>
      <c r="V795" t="str">
        <f>+IF(Tabla2[[#This Row],[FECHA DE PAGO]]&gt;0,"pagada","por pagar")</f>
        <v>pagada</v>
      </c>
      <c r="W795" s="141" t="str">
        <f>+IF(AND(Tabla2[[#This Row],[venc]]="venc",Tabla2[[#This Row],[Columna1]]="por pagar"),"vencida","no")</f>
        <v>no</v>
      </c>
    </row>
    <row r="796" spans="1:23" ht="15.6" hidden="1" x14ac:dyDescent="0.3">
      <c r="A796" s="20">
        <v>30</v>
      </c>
      <c r="B796" s="25">
        <v>0</v>
      </c>
      <c r="C796" s="25"/>
      <c r="D796" s="56" t="s">
        <v>107</v>
      </c>
      <c r="E796" s="426">
        <v>45077</v>
      </c>
      <c r="F796" s="26" t="s">
        <v>1401</v>
      </c>
      <c r="G796" s="426">
        <v>45077</v>
      </c>
      <c r="H796" s="35" t="s">
        <v>1180</v>
      </c>
      <c r="I796" s="21">
        <v>466000</v>
      </c>
      <c r="J796" s="21"/>
      <c r="K796" s="22">
        <v>0</v>
      </c>
      <c r="L796" s="23"/>
      <c r="M796" s="22">
        <v>0</v>
      </c>
      <c r="N796" s="74">
        <v>0</v>
      </c>
      <c r="O796" s="22">
        <v>0</v>
      </c>
      <c r="P796" s="21">
        <v>466000</v>
      </c>
      <c r="S796" s="108" t="b">
        <f>OR(COUNTIF(Tabla2[[#This Row],[PROVEEDOR]],"*"&amp;'Palabra no opera'!$A$2&amp;"*"))</f>
        <v>0</v>
      </c>
      <c r="T796" s="139">
        <f>+$W$5-Tabla2[[#This Row],[FECHA DE FACTURACIÓN]]</f>
        <v>214</v>
      </c>
      <c r="U796" t="str">
        <f>+IF(Tabla2[[#This Row],[dias de credito]]&gt;=Tabla2[[#This Row],[PLAZO Días]],"venc", "No venc")</f>
        <v>venc</v>
      </c>
      <c r="V796" t="str">
        <f>+IF(Tabla2[[#This Row],[FECHA DE PAGO]]&gt;0,"pagada","por pagar")</f>
        <v>pagada</v>
      </c>
      <c r="W796" s="141" t="str">
        <f>+IF(AND(Tabla2[[#This Row],[venc]]="venc",Tabla2[[#This Row],[Columna1]]="por pagar"),"vencida","no")</f>
        <v>no</v>
      </c>
    </row>
    <row r="797" spans="1:23" ht="15.6" hidden="1" x14ac:dyDescent="0.3">
      <c r="A797" s="20">
        <v>30</v>
      </c>
      <c r="B797" s="25">
        <v>0</v>
      </c>
      <c r="C797" s="25"/>
      <c r="D797" s="56" t="s">
        <v>107</v>
      </c>
      <c r="E797" s="426">
        <v>45077</v>
      </c>
      <c r="F797" s="26" t="s">
        <v>1401</v>
      </c>
      <c r="G797" s="426">
        <v>45077</v>
      </c>
      <c r="H797" s="35" t="s">
        <v>1379</v>
      </c>
      <c r="I797" s="21">
        <v>650600</v>
      </c>
      <c r="J797" s="21"/>
      <c r="K797" s="22">
        <v>0</v>
      </c>
      <c r="L797" s="23"/>
      <c r="M797" s="22">
        <v>0</v>
      </c>
      <c r="N797" s="74">
        <v>0</v>
      </c>
      <c r="O797" s="22">
        <v>0</v>
      </c>
      <c r="P797" s="21">
        <v>650600</v>
      </c>
      <c r="S797" s="108" t="b">
        <f>OR(COUNTIF(Tabla2[[#This Row],[PROVEEDOR]],"*"&amp;'Palabra no opera'!$A$2&amp;"*"))</f>
        <v>0</v>
      </c>
      <c r="T797" s="139">
        <f>+$W$5-Tabla2[[#This Row],[FECHA DE FACTURACIÓN]]</f>
        <v>214</v>
      </c>
      <c r="U797" t="str">
        <f>+IF(Tabla2[[#This Row],[dias de credito]]&gt;=Tabla2[[#This Row],[PLAZO Días]],"venc", "No venc")</f>
        <v>venc</v>
      </c>
      <c r="V797" t="str">
        <f>+IF(Tabla2[[#This Row],[FECHA DE PAGO]]&gt;0,"pagada","por pagar")</f>
        <v>pagada</v>
      </c>
      <c r="W797" s="141" t="str">
        <f>+IF(AND(Tabla2[[#This Row],[venc]]="venc",Tabla2[[#This Row],[Columna1]]="por pagar"),"vencida","no")</f>
        <v>no</v>
      </c>
    </row>
    <row r="798" spans="1:23" ht="15.6" hidden="1" x14ac:dyDescent="0.3">
      <c r="A798" s="20">
        <v>30</v>
      </c>
      <c r="B798" s="25">
        <v>380979.69</v>
      </c>
      <c r="C798" s="25"/>
      <c r="D798" s="56" t="s">
        <v>296</v>
      </c>
      <c r="E798" s="426">
        <v>45077</v>
      </c>
      <c r="F798" s="26" t="s">
        <v>615</v>
      </c>
      <c r="G798" s="426">
        <v>45013</v>
      </c>
      <c r="H798" s="35" t="s">
        <v>1658</v>
      </c>
      <c r="I798" s="21">
        <v>2167560</v>
      </c>
      <c r="J798" s="21"/>
      <c r="K798" s="22">
        <v>411836.4</v>
      </c>
      <c r="L798" s="23"/>
      <c r="M798" s="22">
        <v>0</v>
      </c>
      <c r="N798" s="74">
        <v>0</v>
      </c>
      <c r="O798" s="22">
        <v>0</v>
      </c>
      <c r="P798" s="21">
        <v>2579396.4</v>
      </c>
      <c r="S798" s="108" t="b">
        <f>OR(COUNTIF(Tabla2[[#This Row],[PROVEEDOR]],"*"&amp;'Palabra no opera'!$A$2&amp;"*"))</f>
        <v>1</v>
      </c>
      <c r="T798" s="139">
        <f>+$W$5-Tabla2[[#This Row],[FECHA DE FACTURACIÓN]]</f>
        <v>278</v>
      </c>
      <c r="U798" t="str">
        <f>+IF(Tabla2[[#This Row],[dias de credito]]&gt;=Tabla2[[#This Row],[PLAZO Días]],"venc", "No venc")</f>
        <v>venc</v>
      </c>
      <c r="V798" t="str">
        <f>+IF(Tabla2[[#This Row],[FECHA DE PAGO]]&gt;0,"pagada","por pagar")</f>
        <v>pagada</v>
      </c>
      <c r="W798" s="141" t="str">
        <f>+IF(AND(Tabla2[[#This Row],[venc]]="venc",Tabla2[[#This Row],[Columna1]]="por pagar"),"vencida","no")</f>
        <v>no</v>
      </c>
    </row>
    <row r="799" spans="1:23" ht="15.6" hidden="1" x14ac:dyDescent="0.3">
      <c r="A799" s="20">
        <v>30</v>
      </c>
      <c r="B799" s="25">
        <v>0</v>
      </c>
      <c r="C799" s="25"/>
      <c r="D799" s="56" t="s">
        <v>260</v>
      </c>
      <c r="E799" s="426">
        <v>45075</v>
      </c>
      <c r="F799" s="26" t="s">
        <v>635</v>
      </c>
      <c r="G799" s="426">
        <v>45075</v>
      </c>
      <c r="H799" s="35" t="s">
        <v>1701</v>
      </c>
      <c r="I799" s="21">
        <v>3456200</v>
      </c>
      <c r="J799" s="21"/>
      <c r="K799" s="22">
        <v>0</v>
      </c>
      <c r="L799" s="23"/>
      <c r="M799" s="22">
        <v>0</v>
      </c>
      <c r="N799" s="74">
        <v>3.5000000000000003E-2</v>
      </c>
      <c r="O799" s="22">
        <v>120967.00000000001</v>
      </c>
      <c r="P799" s="21">
        <v>3335233</v>
      </c>
      <c r="S799" s="108" t="b">
        <f>OR(COUNTIF(Tabla2[[#This Row],[PROVEEDOR]],"*"&amp;'Palabra no opera'!$A$2&amp;"*"))</f>
        <v>1</v>
      </c>
      <c r="T799" s="139">
        <f>+$W$5-Tabla2[[#This Row],[FECHA DE FACTURACIÓN]]</f>
        <v>216</v>
      </c>
      <c r="U799" t="str">
        <f>+IF(Tabla2[[#This Row],[dias de credito]]&gt;=Tabla2[[#This Row],[PLAZO Días]],"venc", "No venc")</f>
        <v>venc</v>
      </c>
      <c r="V799" t="str">
        <f>+IF(Tabla2[[#This Row],[FECHA DE PAGO]]&gt;0,"pagada","por pagar")</f>
        <v>pagada</v>
      </c>
      <c r="W799" s="141" t="str">
        <f>+IF(AND(Tabla2[[#This Row],[venc]]="venc",Tabla2[[#This Row],[Columna1]]="por pagar"),"vencida","no")</f>
        <v>no</v>
      </c>
    </row>
    <row r="800" spans="1:23" ht="15.6" hidden="1" x14ac:dyDescent="0.3">
      <c r="A800" s="20">
        <v>30</v>
      </c>
      <c r="B800" s="25">
        <v>0</v>
      </c>
      <c r="C800" s="25"/>
      <c r="D800" s="56" t="s">
        <v>277</v>
      </c>
      <c r="E800" s="426">
        <v>45075</v>
      </c>
      <c r="F800" s="26" t="s">
        <v>248</v>
      </c>
      <c r="G800" s="426">
        <v>45075</v>
      </c>
      <c r="H800" s="35" t="s">
        <v>1702</v>
      </c>
      <c r="I800" s="21">
        <v>396847</v>
      </c>
      <c r="J800" s="21"/>
      <c r="K800" s="22">
        <v>75400.930000000008</v>
      </c>
      <c r="L800" s="23"/>
      <c r="M800" s="22">
        <v>0</v>
      </c>
      <c r="N800" s="74">
        <v>0</v>
      </c>
      <c r="O800" s="22">
        <v>0</v>
      </c>
      <c r="P800" s="21">
        <v>472247.93</v>
      </c>
      <c r="S800" s="108" t="b">
        <f>OR(COUNTIF(Tabla2[[#This Row],[PROVEEDOR]],"*"&amp;'Palabra no opera'!$A$2&amp;"*"))</f>
        <v>0</v>
      </c>
      <c r="T800" s="139">
        <f>+$W$5-Tabla2[[#This Row],[FECHA DE FACTURACIÓN]]</f>
        <v>216</v>
      </c>
      <c r="U800" t="str">
        <f>+IF(Tabla2[[#This Row],[dias de credito]]&gt;=Tabla2[[#This Row],[PLAZO Días]],"venc", "No venc")</f>
        <v>venc</v>
      </c>
      <c r="V800" t="str">
        <f>+IF(Tabla2[[#This Row],[FECHA DE PAGO]]&gt;0,"pagada","por pagar")</f>
        <v>pagada</v>
      </c>
      <c r="W800" s="141" t="str">
        <f>+IF(AND(Tabla2[[#This Row],[venc]]="venc",Tabla2[[#This Row],[Columna1]]="por pagar"),"vencida","no")</f>
        <v>no</v>
      </c>
    </row>
    <row r="801" spans="1:23" ht="15.6" hidden="1" x14ac:dyDescent="0.3">
      <c r="A801" s="20">
        <v>30</v>
      </c>
      <c r="B801" s="25">
        <v>0</v>
      </c>
      <c r="C801" s="25"/>
      <c r="D801" s="56" t="s">
        <v>740</v>
      </c>
      <c r="E801" s="426">
        <v>45075</v>
      </c>
      <c r="F801" s="26" t="s">
        <v>637</v>
      </c>
      <c r="G801" s="426">
        <v>45047</v>
      </c>
      <c r="H801" s="35" t="s">
        <v>1665</v>
      </c>
      <c r="I801" s="21">
        <v>934499</v>
      </c>
      <c r="J801" s="21"/>
      <c r="K801" s="22">
        <v>0</v>
      </c>
      <c r="L801" s="23"/>
      <c r="M801" s="22">
        <v>0</v>
      </c>
      <c r="N801" s="74">
        <v>0</v>
      </c>
      <c r="O801" s="22">
        <v>0</v>
      </c>
      <c r="P801" s="21">
        <v>934499</v>
      </c>
      <c r="S801" s="108" t="b">
        <f>OR(COUNTIF(Tabla2[[#This Row],[PROVEEDOR]],"*"&amp;'Palabra no opera'!$A$2&amp;"*"))</f>
        <v>1</v>
      </c>
      <c r="T801" s="139">
        <f>+$W$5-Tabla2[[#This Row],[FECHA DE FACTURACIÓN]]</f>
        <v>244</v>
      </c>
      <c r="U801" t="str">
        <f>+IF(Tabla2[[#This Row],[dias de credito]]&gt;=Tabla2[[#This Row],[PLAZO Días]],"venc", "No venc")</f>
        <v>venc</v>
      </c>
      <c r="V801" t="str">
        <f>+IF(Tabla2[[#This Row],[FECHA DE PAGO]]&gt;0,"pagada","por pagar")</f>
        <v>pagada</v>
      </c>
      <c r="W801" s="141" t="str">
        <f>+IF(AND(Tabla2[[#This Row],[venc]]="venc",Tabla2[[#This Row],[Columna1]]="por pagar"),"vencida","no")</f>
        <v>no</v>
      </c>
    </row>
    <row r="802" spans="1:23" ht="15.6" hidden="1" x14ac:dyDescent="0.3">
      <c r="A802" s="20">
        <v>30</v>
      </c>
      <c r="B802" s="25">
        <v>0</v>
      </c>
      <c r="C802" s="25"/>
      <c r="D802" s="56" t="s">
        <v>740</v>
      </c>
      <c r="E802" s="426">
        <v>45075</v>
      </c>
      <c r="F802" s="26" t="s">
        <v>637</v>
      </c>
      <c r="G802" s="426">
        <v>45047</v>
      </c>
      <c r="H802" s="35" t="s">
        <v>1664</v>
      </c>
      <c r="I802" s="21">
        <v>913261</v>
      </c>
      <c r="J802" s="21"/>
      <c r="K802" s="22">
        <v>0</v>
      </c>
      <c r="L802" s="23"/>
      <c r="M802" s="22">
        <v>0</v>
      </c>
      <c r="N802" s="74">
        <v>0</v>
      </c>
      <c r="O802" s="22">
        <v>0</v>
      </c>
      <c r="P802" s="21">
        <v>913261</v>
      </c>
      <c r="S802" s="108" t="b">
        <f>OR(COUNTIF(Tabla2[[#This Row],[PROVEEDOR]],"*"&amp;'Palabra no opera'!$A$2&amp;"*"))</f>
        <v>1</v>
      </c>
      <c r="T802" s="139">
        <f>+$W$5-Tabla2[[#This Row],[FECHA DE FACTURACIÓN]]</f>
        <v>244</v>
      </c>
      <c r="U802" t="str">
        <f>+IF(Tabla2[[#This Row],[dias de credito]]&gt;=Tabla2[[#This Row],[PLAZO Días]],"venc", "No venc")</f>
        <v>venc</v>
      </c>
      <c r="V802" t="str">
        <f>+IF(Tabla2[[#This Row],[FECHA DE PAGO]]&gt;0,"pagada","por pagar")</f>
        <v>pagada</v>
      </c>
      <c r="W802" s="141" t="str">
        <f>+IF(AND(Tabla2[[#This Row],[venc]]="venc",Tabla2[[#This Row],[Columna1]]="por pagar"),"vencida","no")</f>
        <v>no</v>
      </c>
    </row>
    <row r="803" spans="1:23" ht="15.6" hidden="1" x14ac:dyDescent="0.3">
      <c r="A803" s="20">
        <v>30</v>
      </c>
      <c r="B803" s="25">
        <v>1316890.8900000001</v>
      </c>
      <c r="C803" s="25"/>
      <c r="D803" s="56" t="s">
        <v>188</v>
      </c>
      <c r="E803" s="426">
        <v>45075</v>
      </c>
      <c r="F803" s="26" t="s">
        <v>17</v>
      </c>
      <c r="G803" s="426">
        <v>45037</v>
      </c>
      <c r="H803" s="35" t="s">
        <v>1637</v>
      </c>
      <c r="I803" s="21">
        <v>586530</v>
      </c>
      <c r="J803" s="21"/>
      <c r="K803" s="22">
        <v>111440.7</v>
      </c>
      <c r="L803" s="23"/>
      <c r="M803" s="22">
        <v>0</v>
      </c>
      <c r="N803" s="74">
        <v>0</v>
      </c>
      <c r="O803" s="22">
        <v>0</v>
      </c>
      <c r="P803" s="21">
        <v>697970.7</v>
      </c>
      <c r="S803" s="108" t="b">
        <f>OR(COUNTIF(Tabla2[[#This Row],[PROVEEDOR]],"*"&amp;'Palabra no opera'!$A$2&amp;"*"))</f>
        <v>0</v>
      </c>
      <c r="T803" s="139">
        <f>+$W$5-Tabla2[[#This Row],[FECHA DE FACTURACIÓN]]</f>
        <v>254</v>
      </c>
      <c r="U803" t="str">
        <f>+IF(Tabla2[[#This Row],[dias de credito]]&gt;=Tabla2[[#This Row],[PLAZO Días]],"venc", "No venc")</f>
        <v>venc</v>
      </c>
      <c r="V803" t="str">
        <f>+IF(Tabla2[[#This Row],[FECHA DE PAGO]]&gt;0,"pagada","por pagar")</f>
        <v>pagada</v>
      </c>
      <c r="W803" s="141" t="str">
        <f>+IF(AND(Tabla2[[#This Row],[venc]]="venc",Tabla2[[#This Row],[Columna1]]="por pagar"),"vencida","no")</f>
        <v>no</v>
      </c>
    </row>
    <row r="804" spans="1:23" ht="15.6" hidden="1" x14ac:dyDescent="0.3">
      <c r="A804" s="20">
        <v>30</v>
      </c>
      <c r="B804" s="25">
        <v>0</v>
      </c>
      <c r="C804" s="25"/>
      <c r="D804" s="56" t="s">
        <v>190</v>
      </c>
      <c r="E804" s="426">
        <v>45075</v>
      </c>
      <c r="F804" s="26" t="s">
        <v>964</v>
      </c>
      <c r="G804" s="426">
        <v>45035</v>
      </c>
      <c r="H804" s="35" t="s">
        <v>1636</v>
      </c>
      <c r="I804" s="21">
        <v>5040000</v>
      </c>
      <c r="J804" s="21"/>
      <c r="K804" s="22">
        <v>957600</v>
      </c>
      <c r="L804" s="23"/>
      <c r="M804" s="22">
        <v>0</v>
      </c>
      <c r="N804" s="74">
        <v>0</v>
      </c>
      <c r="O804" s="22">
        <v>0</v>
      </c>
      <c r="P804" s="21">
        <v>5997600</v>
      </c>
      <c r="S804" s="108" t="b">
        <f>OR(COUNTIF(Tabla2[[#This Row],[PROVEEDOR]],"*"&amp;'Palabra no opera'!$A$2&amp;"*"))</f>
        <v>0</v>
      </c>
      <c r="T804" s="139">
        <f>+$W$5-Tabla2[[#This Row],[FECHA DE FACTURACIÓN]]</f>
        <v>256</v>
      </c>
      <c r="U804" t="str">
        <f>+IF(Tabla2[[#This Row],[dias de credito]]&gt;=Tabla2[[#This Row],[PLAZO Días]],"venc", "No venc")</f>
        <v>venc</v>
      </c>
      <c r="V804" t="str">
        <f>+IF(Tabla2[[#This Row],[FECHA DE PAGO]]&gt;0,"pagada","por pagar")</f>
        <v>pagada</v>
      </c>
      <c r="W804" s="141" t="str">
        <f>+IF(AND(Tabla2[[#This Row],[venc]]="venc",Tabla2[[#This Row],[Columna1]]="por pagar"),"vencida","no")</f>
        <v>no</v>
      </c>
    </row>
    <row r="805" spans="1:23" ht="15.6" hidden="1" x14ac:dyDescent="0.3">
      <c r="A805" s="20">
        <v>30</v>
      </c>
      <c r="B805" s="25">
        <v>0</v>
      </c>
      <c r="C805" s="25"/>
      <c r="D805" s="56" t="s">
        <v>107</v>
      </c>
      <c r="E805" s="426">
        <v>45075</v>
      </c>
      <c r="F805" s="26" t="s">
        <v>518</v>
      </c>
      <c r="G805" s="426">
        <v>45021</v>
      </c>
      <c r="H805" s="35" t="s">
        <v>1619</v>
      </c>
      <c r="I805" s="21">
        <v>306000</v>
      </c>
      <c r="J805" s="21"/>
      <c r="K805" s="22">
        <v>0</v>
      </c>
      <c r="L805" s="23"/>
      <c r="M805" s="22">
        <v>0</v>
      </c>
      <c r="N805" s="74">
        <v>0</v>
      </c>
      <c r="O805" s="22">
        <v>0</v>
      </c>
      <c r="P805" s="21">
        <v>306000</v>
      </c>
      <c r="S805" s="108" t="b">
        <f>OR(COUNTIF(Tabla2[[#This Row],[PROVEEDOR]],"*"&amp;'Palabra no opera'!$A$2&amp;"*"))</f>
        <v>0</v>
      </c>
      <c r="T805" s="139">
        <f>+$W$5-Tabla2[[#This Row],[FECHA DE FACTURACIÓN]]</f>
        <v>270</v>
      </c>
      <c r="U805" t="str">
        <f>+IF(Tabla2[[#This Row],[dias de credito]]&gt;=Tabla2[[#This Row],[PLAZO Días]],"venc", "No venc")</f>
        <v>venc</v>
      </c>
      <c r="V805" t="str">
        <f>+IF(Tabla2[[#This Row],[FECHA DE PAGO]]&gt;0,"pagada","por pagar")</f>
        <v>pagada</v>
      </c>
      <c r="W805" s="141" t="str">
        <f>+IF(AND(Tabla2[[#This Row],[venc]]="venc",Tabla2[[#This Row],[Columna1]]="por pagar"),"vencida","no")</f>
        <v>no</v>
      </c>
    </row>
    <row r="806" spans="1:23" ht="15.6" hidden="1" x14ac:dyDescent="0.3">
      <c r="A806" s="20">
        <v>30</v>
      </c>
      <c r="B806" s="25">
        <v>121187115</v>
      </c>
      <c r="C806" s="25"/>
      <c r="D806" s="56" t="s">
        <v>233</v>
      </c>
      <c r="E806" s="426">
        <v>45071</v>
      </c>
      <c r="F806" s="26" t="s">
        <v>31</v>
      </c>
      <c r="G806" s="426">
        <v>45002</v>
      </c>
      <c r="H806" s="35">
        <v>58569</v>
      </c>
      <c r="I806" s="21">
        <v>49998153.799999997</v>
      </c>
      <c r="J806" s="21"/>
      <c r="K806" s="22">
        <v>0</v>
      </c>
      <c r="L806" s="23"/>
      <c r="M806" s="22">
        <v>0</v>
      </c>
      <c r="N806" s="74">
        <v>0</v>
      </c>
      <c r="O806" s="22">
        <v>0</v>
      </c>
      <c r="P806" s="21">
        <v>49998153.799999997</v>
      </c>
      <c r="S806" s="108" t="b">
        <f>OR(COUNTIF(Tabla2[[#This Row],[PROVEEDOR]],"*"&amp;'Palabra no opera'!$A$2&amp;"*"))</f>
        <v>0</v>
      </c>
      <c r="T806" s="139">
        <f>+$W$5-Tabla2[[#This Row],[FECHA DE FACTURACIÓN]]</f>
        <v>289</v>
      </c>
      <c r="U806" t="str">
        <f>+IF(Tabla2[[#This Row],[dias de credito]]&gt;=Tabla2[[#This Row],[PLAZO Días]],"venc", "No venc")</f>
        <v>venc</v>
      </c>
      <c r="V806" t="str">
        <f>+IF(Tabla2[[#This Row],[FECHA DE PAGO]]&gt;0,"pagada","por pagar")</f>
        <v>pagada</v>
      </c>
      <c r="W806" s="141" t="str">
        <f>+IF(AND(Tabla2[[#This Row],[venc]]="venc",Tabla2[[#This Row],[Columna1]]="por pagar"),"vencida","no")</f>
        <v>no</v>
      </c>
    </row>
    <row r="807" spans="1:23" ht="15.6" hidden="1" x14ac:dyDescent="0.3">
      <c r="A807" s="20">
        <v>30</v>
      </c>
      <c r="B807" s="25">
        <v>0</v>
      </c>
      <c r="C807" s="25"/>
      <c r="D807" s="56" t="s">
        <v>107</v>
      </c>
      <c r="E807" s="426">
        <v>45070</v>
      </c>
      <c r="F807" s="26" t="s">
        <v>1401</v>
      </c>
      <c r="G807" s="426">
        <v>45070</v>
      </c>
      <c r="H807" s="35" t="s">
        <v>1704</v>
      </c>
      <c r="I807" s="21">
        <v>432000</v>
      </c>
      <c r="J807" s="21"/>
      <c r="K807" s="22">
        <v>0</v>
      </c>
      <c r="L807" s="23"/>
      <c r="M807" s="22">
        <v>0</v>
      </c>
      <c r="N807" s="74">
        <v>0</v>
      </c>
      <c r="O807" s="22">
        <v>0</v>
      </c>
      <c r="P807" s="21">
        <v>432000</v>
      </c>
      <c r="S807" s="108" t="b">
        <f>OR(COUNTIF(Tabla2[[#This Row],[PROVEEDOR]],"*"&amp;'Palabra no opera'!$A$2&amp;"*"))</f>
        <v>0</v>
      </c>
      <c r="T807" s="139">
        <f>+$W$5-Tabla2[[#This Row],[FECHA DE FACTURACIÓN]]</f>
        <v>221</v>
      </c>
      <c r="U807" t="str">
        <f>+IF(Tabla2[[#This Row],[dias de credito]]&gt;=Tabla2[[#This Row],[PLAZO Días]],"venc", "No venc")</f>
        <v>venc</v>
      </c>
      <c r="V807" t="str">
        <f>+IF(Tabla2[[#This Row],[FECHA DE PAGO]]&gt;0,"pagada","por pagar")</f>
        <v>pagada</v>
      </c>
      <c r="W807" s="141" t="str">
        <f>+IF(AND(Tabla2[[#This Row],[venc]]="venc",Tabla2[[#This Row],[Columna1]]="por pagar"),"vencida","no")</f>
        <v>no</v>
      </c>
    </row>
    <row r="808" spans="1:23" ht="15.6" hidden="1" x14ac:dyDescent="0.3">
      <c r="A808" s="20">
        <v>30</v>
      </c>
      <c r="B808" s="25">
        <v>0</v>
      </c>
      <c r="C808" s="25"/>
      <c r="D808" s="56" t="s">
        <v>107</v>
      </c>
      <c r="E808" s="426">
        <v>45070</v>
      </c>
      <c r="F808" s="26" t="s">
        <v>37</v>
      </c>
      <c r="G808" s="426">
        <v>45070</v>
      </c>
      <c r="H808" s="35" t="s">
        <v>1700</v>
      </c>
      <c r="I808" s="21">
        <v>1547900</v>
      </c>
      <c r="J808" s="21">
        <v>46437</v>
      </c>
      <c r="K808" s="22">
        <v>285277.97000000003</v>
      </c>
      <c r="L808" s="23"/>
      <c r="M808" s="22">
        <v>0</v>
      </c>
      <c r="N808" s="74">
        <v>2.5000000000000001E-2</v>
      </c>
      <c r="O808" s="22">
        <v>37536.575000000004</v>
      </c>
      <c r="P808" s="21">
        <v>1749204.395</v>
      </c>
      <c r="S808" s="108" t="b">
        <f>OR(COUNTIF(Tabla2[[#This Row],[PROVEEDOR]],"*"&amp;'Palabra no opera'!$A$2&amp;"*"))</f>
        <v>0</v>
      </c>
      <c r="T808" s="139">
        <f>+$W$5-Tabla2[[#This Row],[FECHA DE FACTURACIÓN]]</f>
        <v>221</v>
      </c>
      <c r="U808" t="str">
        <f>+IF(Tabla2[[#This Row],[dias de credito]]&gt;=Tabla2[[#This Row],[PLAZO Días]],"venc", "No venc")</f>
        <v>venc</v>
      </c>
      <c r="V808" t="str">
        <f>+IF(Tabla2[[#This Row],[FECHA DE PAGO]]&gt;0,"pagada","por pagar")</f>
        <v>pagada</v>
      </c>
      <c r="W808" s="141" t="str">
        <f>+IF(AND(Tabla2[[#This Row],[venc]]="venc",Tabla2[[#This Row],[Columna1]]="por pagar"),"vencida","no")</f>
        <v>no</v>
      </c>
    </row>
    <row r="809" spans="1:23" ht="15.6" hidden="1" x14ac:dyDescent="0.3">
      <c r="A809" s="20">
        <v>30</v>
      </c>
      <c r="B809" s="25">
        <v>0</v>
      </c>
      <c r="C809" s="25"/>
      <c r="D809" s="56" t="s">
        <v>107</v>
      </c>
      <c r="E809" s="426">
        <v>45070</v>
      </c>
      <c r="F809" s="26" t="s">
        <v>356</v>
      </c>
      <c r="G809" s="426">
        <v>45069</v>
      </c>
      <c r="H809" s="35" t="s">
        <v>1707</v>
      </c>
      <c r="I809" s="21">
        <v>2566000</v>
      </c>
      <c r="J809" s="21"/>
      <c r="K809" s="22">
        <v>0</v>
      </c>
      <c r="L809" s="23"/>
      <c r="M809" s="22">
        <v>0</v>
      </c>
      <c r="N809" s="74">
        <v>0</v>
      </c>
      <c r="O809" s="22">
        <v>0</v>
      </c>
      <c r="P809" s="21">
        <v>2566000</v>
      </c>
      <c r="S809" s="108" t="b">
        <f>OR(COUNTIF(Tabla2[[#This Row],[PROVEEDOR]],"*"&amp;'Palabra no opera'!$A$2&amp;"*"))</f>
        <v>0</v>
      </c>
      <c r="T809" s="139">
        <f>+$W$5-Tabla2[[#This Row],[FECHA DE FACTURACIÓN]]</f>
        <v>222</v>
      </c>
      <c r="U809" t="str">
        <f>+IF(Tabla2[[#This Row],[dias de credito]]&gt;=Tabla2[[#This Row],[PLAZO Días]],"venc", "No venc")</f>
        <v>venc</v>
      </c>
      <c r="V809" t="str">
        <f>+IF(Tabla2[[#This Row],[FECHA DE PAGO]]&gt;0,"pagada","por pagar")</f>
        <v>pagada</v>
      </c>
      <c r="W809" s="141" t="str">
        <f>+IF(AND(Tabla2[[#This Row],[venc]]="venc",Tabla2[[#This Row],[Columna1]]="por pagar"),"vencida","no")</f>
        <v>no</v>
      </c>
    </row>
    <row r="810" spans="1:23" ht="15.6" hidden="1" x14ac:dyDescent="0.3">
      <c r="A810" s="20">
        <v>30</v>
      </c>
      <c r="B810" s="25">
        <v>18444236.894999996</v>
      </c>
      <c r="C810" s="25"/>
      <c r="D810" s="56" t="s">
        <v>731</v>
      </c>
      <c r="E810" s="426">
        <v>45064</v>
      </c>
      <c r="F810" s="26" t="s">
        <v>11</v>
      </c>
      <c r="G810" s="426">
        <v>45029</v>
      </c>
      <c r="H810" s="35" t="s">
        <v>1610</v>
      </c>
      <c r="I810" s="21">
        <v>2803032</v>
      </c>
      <c r="J810" s="21"/>
      <c r="K810" s="22">
        <v>532576.07999999996</v>
      </c>
      <c r="L810" s="23"/>
      <c r="M810" s="22">
        <v>0</v>
      </c>
      <c r="N810" s="74">
        <v>2.5000000000000001E-2</v>
      </c>
      <c r="O810" s="22">
        <v>70075.8</v>
      </c>
      <c r="P810" s="21">
        <v>3265532.2800000003</v>
      </c>
      <c r="S810" s="108" t="b">
        <f>OR(COUNTIF(Tabla2[[#This Row],[PROVEEDOR]],"*"&amp;'Palabra no opera'!$A$2&amp;"*"))</f>
        <v>0</v>
      </c>
      <c r="T810" s="139">
        <f>+$W$5-Tabla2[[#This Row],[FECHA DE FACTURACIÓN]]</f>
        <v>262</v>
      </c>
      <c r="U810" t="str">
        <f>+IF(Tabla2[[#This Row],[dias de credito]]&gt;=Tabla2[[#This Row],[PLAZO Días]],"venc", "No venc")</f>
        <v>venc</v>
      </c>
      <c r="V810" t="str">
        <f>+IF(Tabla2[[#This Row],[FECHA DE PAGO]]&gt;0,"pagada","por pagar")</f>
        <v>pagada</v>
      </c>
      <c r="W810" s="141" t="str">
        <f>+IF(AND(Tabla2[[#This Row],[venc]]="venc",Tabla2[[#This Row],[Columna1]]="por pagar"),"vencida","no")</f>
        <v>no</v>
      </c>
    </row>
    <row r="811" spans="1:23" ht="15.6" hidden="1" x14ac:dyDescent="0.3">
      <c r="A811" s="20">
        <v>30</v>
      </c>
      <c r="B811" s="25">
        <v>18444236.894999996</v>
      </c>
      <c r="C811" s="25"/>
      <c r="D811" s="56" t="s">
        <v>731</v>
      </c>
      <c r="E811" s="426">
        <v>45064</v>
      </c>
      <c r="F811" s="26" t="s">
        <v>11</v>
      </c>
      <c r="G811" s="426">
        <v>45019</v>
      </c>
      <c r="H811" s="35" t="s">
        <v>1611</v>
      </c>
      <c r="I811" s="21">
        <v>700758</v>
      </c>
      <c r="J811" s="21"/>
      <c r="K811" s="22">
        <v>133144.01999999999</v>
      </c>
      <c r="L811" s="23"/>
      <c r="M811" s="22">
        <v>0</v>
      </c>
      <c r="N811" s="74">
        <v>0</v>
      </c>
      <c r="O811" s="22">
        <v>0</v>
      </c>
      <c r="P811" s="21">
        <v>833902.02</v>
      </c>
      <c r="S811" s="108" t="b">
        <f>OR(COUNTIF(Tabla2[[#This Row],[PROVEEDOR]],"*"&amp;'Palabra no opera'!$A$2&amp;"*"))</f>
        <v>0</v>
      </c>
      <c r="T811" s="139">
        <f>+$W$5-Tabla2[[#This Row],[FECHA DE FACTURACIÓN]]</f>
        <v>272</v>
      </c>
      <c r="U811" t="str">
        <f>+IF(Tabla2[[#This Row],[dias de credito]]&gt;=Tabla2[[#This Row],[PLAZO Días]],"venc", "No venc")</f>
        <v>venc</v>
      </c>
      <c r="V811" t="str">
        <f>+IF(Tabla2[[#This Row],[FECHA DE PAGO]]&gt;0,"pagada","por pagar")</f>
        <v>pagada</v>
      </c>
      <c r="W811" s="141" t="str">
        <f>+IF(AND(Tabla2[[#This Row],[venc]]="venc",Tabla2[[#This Row],[Columna1]]="por pagar"),"vencida","no")</f>
        <v>no</v>
      </c>
    </row>
    <row r="812" spans="1:23" ht="15.6" hidden="1" x14ac:dyDescent="0.3">
      <c r="A812" s="20">
        <v>30</v>
      </c>
      <c r="B812" s="25">
        <v>380979.69</v>
      </c>
      <c r="C812" s="25"/>
      <c r="D812" s="56" t="s">
        <v>296</v>
      </c>
      <c r="E812" s="426">
        <v>45064</v>
      </c>
      <c r="F812" s="26" t="s">
        <v>1295</v>
      </c>
      <c r="G812" s="426">
        <v>45013</v>
      </c>
      <c r="H812" s="35" t="s">
        <v>1560</v>
      </c>
      <c r="I812" s="21">
        <v>722520</v>
      </c>
      <c r="J812" s="21"/>
      <c r="K812" s="22">
        <v>137278.79999999999</v>
      </c>
      <c r="L812" s="23"/>
      <c r="M812" s="22">
        <v>0</v>
      </c>
      <c r="N812" s="74">
        <v>0</v>
      </c>
      <c r="O812" s="22">
        <v>0</v>
      </c>
      <c r="P812" s="21">
        <v>859798.8</v>
      </c>
      <c r="S812" s="108" t="b">
        <f>OR(COUNTIF(Tabla2[[#This Row],[PROVEEDOR]],"*"&amp;'Palabra no opera'!$A$2&amp;"*"))</f>
        <v>1</v>
      </c>
      <c r="T812" s="139">
        <f>+$W$5-Tabla2[[#This Row],[FECHA DE FACTURACIÓN]]</f>
        <v>278</v>
      </c>
      <c r="U812" t="str">
        <f>+IF(Tabla2[[#This Row],[dias de credito]]&gt;=Tabla2[[#This Row],[PLAZO Días]],"venc", "No venc")</f>
        <v>venc</v>
      </c>
      <c r="V812" t="str">
        <f>+IF(Tabla2[[#This Row],[FECHA DE PAGO]]&gt;0,"pagada","por pagar")</f>
        <v>pagada</v>
      </c>
      <c r="W812" s="141" t="str">
        <f>+IF(AND(Tabla2[[#This Row],[venc]]="venc",Tabla2[[#This Row],[Columna1]]="por pagar"),"vencida","no")</f>
        <v>no</v>
      </c>
    </row>
    <row r="813" spans="1:23" ht="15.6" hidden="1" x14ac:dyDescent="0.3">
      <c r="A813" s="20">
        <v>30</v>
      </c>
      <c r="B813" s="25">
        <v>18444236.894999996</v>
      </c>
      <c r="C813" s="25"/>
      <c r="D813" s="56" t="s">
        <v>731</v>
      </c>
      <c r="E813" s="426">
        <v>45064</v>
      </c>
      <c r="F813" s="26" t="s">
        <v>11</v>
      </c>
      <c r="G813" s="426">
        <v>45009</v>
      </c>
      <c r="H813" s="35" t="s">
        <v>1544</v>
      </c>
      <c r="I813" s="21">
        <v>3503790</v>
      </c>
      <c r="J813" s="21"/>
      <c r="K813" s="22">
        <v>665720.1</v>
      </c>
      <c r="L813" s="23"/>
      <c r="M813" s="22">
        <v>0</v>
      </c>
      <c r="N813" s="74">
        <v>2.5000000000000001E-2</v>
      </c>
      <c r="O813" s="22">
        <v>87594.75</v>
      </c>
      <c r="P813" s="21">
        <v>4081915.35</v>
      </c>
      <c r="S813" s="108" t="b">
        <f>OR(COUNTIF(Tabla2[[#This Row],[PROVEEDOR]],"*"&amp;'Palabra no opera'!$A$2&amp;"*"))</f>
        <v>0</v>
      </c>
      <c r="T813" s="139">
        <f>+$W$5-Tabla2[[#This Row],[FECHA DE FACTURACIÓN]]</f>
        <v>282</v>
      </c>
      <c r="U813" t="str">
        <f>+IF(Tabla2[[#This Row],[dias de credito]]&gt;=Tabla2[[#This Row],[PLAZO Días]],"venc", "No venc")</f>
        <v>venc</v>
      </c>
      <c r="V813" t="str">
        <f>+IF(Tabla2[[#This Row],[FECHA DE PAGO]]&gt;0,"pagada","por pagar")</f>
        <v>pagada</v>
      </c>
      <c r="W813" s="141" t="str">
        <f>+IF(AND(Tabla2[[#This Row],[venc]]="venc",Tabla2[[#This Row],[Columna1]]="por pagar"),"vencida","no")</f>
        <v>no</v>
      </c>
    </row>
    <row r="814" spans="1:23" ht="15.6" hidden="1" x14ac:dyDescent="0.3">
      <c r="A814" s="20">
        <v>30</v>
      </c>
      <c r="B814" s="25">
        <v>0</v>
      </c>
      <c r="C814" s="25"/>
      <c r="D814" s="56" t="s">
        <v>107</v>
      </c>
      <c r="E814" s="426">
        <v>45063</v>
      </c>
      <c r="F814" s="26" t="s">
        <v>37</v>
      </c>
      <c r="G814" s="426">
        <v>45063</v>
      </c>
      <c r="H814" s="35" t="s">
        <v>1681</v>
      </c>
      <c r="I814" s="21">
        <v>213958</v>
      </c>
      <c r="J814" s="21"/>
      <c r="K814" s="22">
        <v>40652.020000000004</v>
      </c>
      <c r="L814" s="23"/>
      <c r="M814" s="22">
        <v>0</v>
      </c>
      <c r="N814" s="74">
        <v>0</v>
      </c>
      <c r="O814" s="22">
        <v>0</v>
      </c>
      <c r="P814" s="21">
        <v>254610.02000000002</v>
      </c>
      <c r="S814" s="108" t="b">
        <f>OR(COUNTIF(Tabla2[[#This Row],[PROVEEDOR]],"*"&amp;'Palabra no opera'!$A$2&amp;"*"))</f>
        <v>0</v>
      </c>
      <c r="T814" s="139">
        <f>+$W$5-Tabla2[[#This Row],[FECHA DE FACTURACIÓN]]</f>
        <v>228</v>
      </c>
      <c r="U814" t="str">
        <f>+IF(Tabla2[[#This Row],[dias de credito]]&gt;=Tabla2[[#This Row],[PLAZO Días]],"venc", "No venc")</f>
        <v>venc</v>
      </c>
      <c r="V814" t="str">
        <f>+IF(Tabla2[[#This Row],[FECHA DE PAGO]]&gt;0,"pagada","por pagar")</f>
        <v>pagada</v>
      </c>
      <c r="W814" s="141" t="str">
        <f>+IF(AND(Tabla2[[#This Row],[venc]]="venc",Tabla2[[#This Row],[Columna1]]="por pagar"),"vencida","no")</f>
        <v>no</v>
      </c>
    </row>
    <row r="815" spans="1:23" ht="15.6" hidden="1" x14ac:dyDescent="0.3">
      <c r="A815" s="20">
        <v>30</v>
      </c>
      <c r="B815" s="25">
        <v>0</v>
      </c>
      <c r="C815" s="25"/>
      <c r="D815" s="56" t="s">
        <v>258</v>
      </c>
      <c r="E815" s="426">
        <v>45063</v>
      </c>
      <c r="F815" s="26" t="s">
        <v>394</v>
      </c>
      <c r="G815" s="426">
        <v>45028</v>
      </c>
      <c r="H815" s="35">
        <v>39</v>
      </c>
      <c r="I815" s="21">
        <v>1165000</v>
      </c>
      <c r="J815" s="21"/>
      <c r="K815" s="22">
        <v>0</v>
      </c>
      <c r="L815" s="23"/>
      <c r="M815" s="22">
        <v>0</v>
      </c>
      <c r="N815" s="74">
        <v>0</v>
      </c>
      <c r="O815" s="22">
        <v>0</v>
      </c>
      <c r="P815" s="21">
        <v>1165000</v>
      </c>
      <c r="S815" s="108" t="b">
        <f>OR(COUNTIF(Tabla2[[#This Row],[PROVEEDOR]],"*"&amp;'Palabra no opera'!$A$2&amp;"*"))</f>
        <v>0</v>
      </c>
      <c r="T815" s="139">
        <f>+$W$5-Tabla2[[#This Row],[FECHA DE FACTURACIÓN]]</f>
        <v>263</v>
      </c>
      <c r="U815" t="str">
        <f>+IF(Tabla2[[#This Row],[dias de credito]]&gt;=Tabla2[[#This Row],[PLAZO Días]],"venc", "No venc")</f>
        <v>venc</v>
      </c>
      <c r="V815" t="str">
        <f>+IF(Tabla2[[#This Row],[FECHA DE PAGO]]&gt;0,"pagada","por pagar")</f>
        <v>pagada</v>
      </c>
      <c r="W815" s="141" t="str">
        <f>+IF(AND(Tabla2[[#This Row],[venc]]="venc",Tabla2[[#This Row],[Columna1]]="por pagar"),"vencida","no")</f>
        <v>no</v>
      </c>
    </row>
    <row r="816" spans="1:23" ht="15.6" hidden="1" x14ac:dyDescent="0.3">
      <c r="A816" s="20">
        <v>30</v>
      </c>
      <c r="B816" s="25">
        <v>0</v>
      </c>
      <c r="C816" s="25"/>
      <c r="D816" s="56" t="s">
        <v>185</v>
      </c>
      <c r="E816" s="426">
        <v>45061</v>
      </c>
      <c r="F816" s="26" t="s">
        <v>628</v>
      </c>
      <c r="G816" s="426">
        <v>45047</v>
      </c>
      <c r="H816" s="35" t="s">
        <v>1666</v>
      </c>
      <c r="I816" s="21">
        <v>1840056</v>
      </c>
      <c r="J816" s="21"/>
      <c r="K816" s="22">
        <v>0</v>
      </c>
      <c r="L816" s="23"/>
      <c r="M816" s="22">
        <v>105097</v>
      </c>
      <c r="N816" s="74">
        <v>0</v>
      </c>
      <c r="O816" s="22">
        <v>0</v>
      </c>
      <c r="P816" s="21">
        <v>1734959</v>
      </c>
      <c r="S816" s="108" t="b">
        <f>OR(COUNTIF(Tabla2[[#This Row],[PROVEEDOR]],"*"&amp;'Palabra no opera'!$A$2&amp;"*"))</f>
        <v>1</v>
      </c>
      <c r="T816" s="139">
        <f>+$W$5-Tabla2[[#This Row],[FECHA DE FACTURACIÓN]]</f>
        <v>244</v>
      </c>
      <c r="U816" t="str">
        <f>+IF(Tabla2[[#This Row],[dias de credito]]&gt;=Tabla2[[#This Row],[PLAZO Días]],"venc", "No venc")</f>
        <v>venc</v>
      </c>
      <c r="V816" t="str">
        <f>+IF(Tabla2[[#This Row],[FECHA DE PAGO]]&gt;0,"pagada","por pagar")</f>
        <v>pagada</v>
      </c>
      <c r="W816" s="141" t="str">
        <f>+IF(AND(Tabla2[[#This Row],[venc]]="venc",Tabla2[[#This Row],[Columna1]]="por pagar"),"vencida","no")</f>
        <v>no</v>
      </c>
    </row>
    <row r="817" spans="1:23" ht="15.6" hidden="1" x14ac:dyDescent="0.3">
      <c r="A817" s="20">
        <v>30</v>
      </c>
      <c r="B817" s="25">
        <v>2950000</v>
      </c>
      <c r="C817" s="25"/>
      <c r="D817" s="56">
        <v>0</v>
      </c>
      <c r="E817" s="426">
        <v>45061</v>
      </c>
      <c r="F817" s="26" t="s">
        <v>703</v>
      </c>
      <c r="G817" s="426">
        <v>45026</v>
      </c>
      <c r="H817" s="35" t="s">
        <v>1613</v>
      </c>
      <c r="I817" s="21">
        <v>815000</v>
      </c>
      <c r="J817" s="21"/>
      <c r="K817" s="22">
        <v>0</v>
      </c>
      <c r="L817" s="23"/>
      <c r="M817" s="22">
        <v>0</v>
      </c>
      <c r="N817" s="74">
        <v>0</v>
      </c>
      <c r="O817" s="22">
        <v>0</v>
      </c>
      <c r="P817" s="21">
        <v>815000</v>
      </c>
      <c r="S817" s="108" t="b">
        <f>OR(COUNTIF(Tabla2[[#This Row],[PROVEEDOR]],"*"&amp;'Palabra no opera'!$A$2&amp;"*"))</f>
        <v>0</v>
      </c>
      <c r="T817" s="139">
        <f>+$W$5-Tabla2[[#This Row],[FECHA DE FACTURACIÓN]]</f>
        <v>265</v>
      </c>
      <c r="U817" t="str">
        <f>+IF(Tabla2[[#This Row],[dias de credito]]&gt;=Tabla2[[#This Row],[PLAZO Días]],"venc", "No venc")</f>
        <v>venc</v>
      </c>
      <c r="V817" t="str">
        <f>+IF(Tabla2[[#This Row],[FECHA DE PAGO]]&gt;0,"pagada","por pagar")</f>
        <v>pagada</v>
      </c>
      <c r="W817" s="141" t="str">
        <f>+IF(AND(Tabla2[[#This Row],[venc]]="venc",Tabla2[[#This Row],[Columna1]]="por pagar"),"vencida","no")</f>
        <v>no</v>
      </c>
    </row>
    <row r="818" spans="1:23" ht="15.6" hidden="1" x14ac:dyDescent="0.3">
      <c r="A818" s="20">
        <v>30</v>
      </c>
      <c r="B818" s="25">
        <v>0</v>
      </c>
      <c r="C818" s="25"/>
      <c r="D818" s="56" t="s">
        <v>107</v>
      </c>
      <c r="E818" s="426">
        <v>45059</v>
      </c>
      <c r="F818" s="26" t="s">
        <v>378</v>
      </c>
      <c r="G818" s="426">
        <v>45059</v>
      </c>
      <c r="H818" s="35" t="s">
        <v>1679</v>
      </c>
      <c r="I818" s="21">
        <v>670000</v>
      </c>
      <c r="J818" s="21"/>
      <c r="K818" s="22">
        <v>0</v>
      </c>
      <c r="L818" s="23"/>
      <c r="M818" s="22">
        <v>0</v>
      </c>
      <c r="N818" s="74">
        <v>0</v>
      </c>
      <c r="O818" s="22">
        <v>0</v>
      </c>
      <c r="P818" s="21">
        <v>670000</v>
      </c>
      <c r="S818" s="108" t="b">
        <f>OR(COUNTIF(Tabla2[[#This Row],[PROVEEDOR]],"*"&amp;'Palabra no opera'!$A$2&amp;"*"))</f>
        <v>0</v>
      </c>
      <c r="T818" s="139">
        <f>+$W$5-Tabla2[[#This Row],[FECHA DE FACTURACIÓN]]</f>
        <v>232</v>
      </c>
      <c r="U818" t="str">
        <f>+IF(Tabla2[[#This Row],[dias de credito]]&gt;=Tabla2[[#This Row],[PLAZO Días]],"venc", "No venc")</f>
        <v>venc</v>
      </c>
      <c r="V818" t="str">
        <f>+IF(Tabla2[[#This Row],[FECHA DE PAGO]]&gt;0,"pagada","por pagar")</f>
        <v>pagada</v>
      </c>
      <c r="W818" s="141" t="str">
        <f>+IF(AND(Tabla2[[#This Row],[venc]]="venc",Tabla2[[#This Row],[Columna1]]="por pagar"),"vencida","no")</f>
        <v>no</v>
      </c>
    </row>
    <row r="819" spans="1:23" ht="15.6" hidden="1" x14ac:dyDescent="0.3">
      <c r="A819" s="20">
        <v>30</v>
      </c>
      <c r="B819" s="25">
        <v>0</v>
      </c>
      <c r="C819" s="25"/>
      <c r="D819" s="56" t="s">
        <v>107</v>
      </c>
      <c r="E819" s="426">
        <v>45059</v>
      </c>
      <c r="F819" s="26" t="s">
        <v>378</v>
      </c>
      <c r="G819" s="426">
        <v>45059</v>
      </c>
      <c r="H819" s="35" t="s">
        <v>1680</v>
      </c>
      <c r="I819" s="21">
        <v>480000</v>
      </c>
      <c r="J819" s="21"/>
      <c r="K819" s="22">
        <v>0</v>
      </c>
      <c r="L819" s="23"/>
      <c r="M819" s="22">
        <v>0</v>
      </c>
      <c r="N819" s="74">
        <v>0</v>
      </c>
      <c r="O819" s="22">
        <v>0</v>
      </c>
      <c r="P819" s="21">
        <v>480000</v>
      </c>
      <c r="S819" s="108" t="b">
        <f>OR(COUNTIF(Tabla2[[#This Row],[PROVEEDOR]],"*"&amp;'Palabra no opera'!$A$2&amp;"*"))</f>
        <v>0</v>
      </c>
      <c r="T819" s="139">
        <f>+$W$5-Tabla2[[#This Row],[FECHA DE FACTURACIÓN]]</f>
        <v>232</v>
      </c>
      <c r="U819" t="str">
        <f>+IF(Tabla2[[#This Row],[dias de credito]]&gt;=Tabla2[[#This Row],[PLAZO Días]],"venc", "No venc")</f>
        <v>venc</v>
      </c>
      <c r="V819" t="str">
        <f>+IF(Tabla2[[#This Row],[FECHA DE PAGO]]&gt;0,"pagada","por pagar")</f>
        <v>pagada</v>
      </c>
      <c r="W819" s="141" t="str">
        <f>+IF(AND(Tabla2[[#This Row],[venc]]="venc",Tabla2[[#This Row],[Columna1]]="por pagar"),"vencida","no")</f>
        <v>no</v>
      </c>
    </row>
    <row r="820" spans="1:23" ht="15.6" hidden="1" x14ac:dyDescent="0.3">
      <c r="A820" s="20">
        <v>30</v>
      </c>
      <c r="B820" s="25">
        <v>0</v>
      </c>
      <c r="C820" s="25"/>
      <c r="D820" s="56" t="s">
        <v>184</v>
      </c>
      <c r="E820" s="426">
        <v>45057</v>
      </c>
      <c r="F820" s="26" t="s">
        <v>65</v>
      </c>
      <c r="G820" s="426">
        <v>45033</v>
      </c>
      <c r="H820" s="35" t="s">
        <v>1655</v>
      </c>
      <c r="I820" s="21">
        <v>882353</v>
      </c>
      <c r="J820" s="21"/>
      <c r="K820" s="22">
        <v>167647.07</v>
      </c>
      <c r="L820" s="23"/>
      <c r="M820" s="22">
        <v>0</v>
      </c>
      <c r="N820" s="74">
        <v>0</v>
      </c>
      <c r="O820" s="22">
        <v>0</v>
      </c>
      <c r="P820" s="21">
        <v>1050000.07</v>
      </c>
      <c r="S820" s="108" t="b">
        <f>OR(COUNTIF(Tabla2[[#This Row],[PROVEEDOR]],"*"&amp;'Palabra no opera'!$A$2&amp;"*"))</f>
        <v>0</v>
      </c>
      <c r="T820" s="139">
        <f>+$W$5-Tabla2[[#This Row],[FECHA DE FACTURACIÓN]]</f>
        <v>258</v>
      </c>
      <c r="U820" t="str">
        <f>+IF(Tabla2[[#This Row],[dias de credito]]&gt;=Tabla2[[#This Row],[PLAZO Días]],"venc", "No venc")</f>
        <v>venc</v>
      </c>
      <c r="V820" t="str">
        <f>+IF(Tabla2[[#This Row],[FECHA DE PAGO]]&gt;0,"pagada","por pagar")</f>
        <v>pagada</v>
      </c>
      <c r="W820" s="141" t="str">
        <f>+IF(AND(Tabla2[[#This Row],[venc]]="venc",Tabla2[[#This Row],[Columna1]]="por pagar"),"vencida","no")</f>
        <v>no</v>
      </c>
    </row>
    <row r="821" spans="1:23" ht="15.6" hidden="1" x14ac:dyDescent="0.3">
      <c r="A821" s="20">
        <v>30</v>
      </c>
      <c r="B821" s="25">
        <v>0</v>
      </c>
      <c r="C821" s="25"/>
      <c r="D821" s="56">
        <v>0</v>
      </c>
      <c r="E821" s="426">
        <v>45057</v>
      </c>
      <c r="F821" s="26" t="s">
        <v>1625</v>
      </c>
      <c r="G821" s="426">
        <v>45030</v>
      </c>
      <c r="H821" s="35" t="s">
        <v>1626</v>
      </c>
      <c r="I821" s="21">
        <v>164000</v>
      </c>
      <c r="J821" s="21"/>
      <c r="K821" s="22">
        <v>0</v>
      </c>
      <c r="L821" s="23"/>
      <c r="M821" s="22">
        <v>0</v>
      </c>
      <c r="N821" s="74">
        <v>0</v>
      </c>
      <c r="O821" s="22">
        <v>0</v>
      </c>
      <c r="P821" s="21">
        <v>164000</v>
      </c>
      <c r="S821" s="108" t="b">
        <f>OR(COUNTIF(Tabla2[[#This Row],[PROVEEDOR]],"*"&amp;'Palabra no opera'!$A$2&amp;"*"))</f>
        <v>0</v>
      </c>
      <c r="T821" s="139">
        <f>+$W$5-Tabla2[[#This Row],[FECHA DE FACTURACIÓN]]</f>
        <v>261</v>
      </c>
      <c r="U821" t="str">
        <f>+IF(Tabla2[[#This Row],[dias de credito]]&gt;=Tabla2[[#This Row],[PLAZO Días]],"venc", "No venc")</f>
        <v>venc</v>
      </c>
      <c r="V821" t="str">
        <f>+IF(Tabla2[[#This Row],[FECHA DE PAGO]]&gt;0,"pagada","por pagar")</f>
        <v>pagada</v>
      </c>
      <c r="W821" s="141" t="str">
        <f>+IF(AND(Tabla2[[#This Row],[venc]]="venc",Tabla2[[#This Row],[Columna1]]="por pagar"),"vencida","no")</f>
        <v>no</v>
      </c>
    </row>
    <row r="822" spans="1:23" ht="15.6" hidden="1" x14ac:dyDescent="0.3">
      <c r="A822" s="20">
        <v>30</v>
      </c>
      <c r="B822" s="25">
        <v>0</v>
      </c>
      <c r="C822" s="25"/>
      <c r="D822" s="56" t="s">
        <v>176</v>
      </c>
      <c r="E822" s="426">
        <v>45056</v>
      </c>
      <c r="F822" s="26" t="s">
        <v>966</v>
      </c>
      <c r="G822" s="426">
        <v>45057</v>
      </c>
      <c r="H822" s="35">
        <v>418</v>
      </c>
      <c r="I822" s="21">
        <v>415000</v>
      </c>
      <c r="J822" s="21"/>
      <c r="K822" s="22">
        <v>0</v>
      </c>
      <c r="L822" s="23"/>
      <c r="M822" s="22">
        <v>0</v>
      </c>
      <c r="N822" s="74">
        <v>0</v>
      </c>
      <c r="O822" s="22">
        <v>0</v>
      </c>
      <c r="P822" s="21">
        <v>415000</v>
      </c>
      <c r="S822" s="108" t="b">
        <f>OR(COUNTIF(Tabla2[[#This Row],[PROVEEDOR]],"*"&amp;'Palabra no opera'!$A$2&amp;"*"))</f>
        <v>0</v>
      </c>
      <c r="T822" s="139">
        <f>+$W$5-Tabla2[[#This Row],[FECHA DE FACTURACIÓN]]</f>
        <v>234</v>
      </c>
      <c r="U822" t="str">
        <f>+IF(Tabla2[[#This Row],[dias de credito]]&gt;=Tabla2[[#This Row],[PLAZO Días]],"venc", "No venc")</f>
        <v>venc</v>
      </c>
      <c r="V822" t="str">
        <f>+IF(Tabla2[[#This Row],[FECHA DE PAGO]]&gt;0,"pagada","por pagar")</f>
        <v>pagada</v>
      </c>
      <c r="W822" s="141" t="str">
        <f>+IF(AND(Tabla2[[#This Row],[venc]]="venc",Tabla2[[#This Row],[Columna1]]="por pagar"),"vencida","no")</f>
        <v>no</v>
      </c>
    </row>
    <row r="823" spans="1:23" ht="15.6" hidden="1" x14ac:dyDescent="0.3">
      <c r="A823" s="20">
        <v>30</v>
      </c>
      <c r="B823" s="25">
        <v>0</v>
      </c>
      <c r="C823" s="25"/>
      <c r="D823" s="56" t="s">
        <v>176</v>
      </c>
      <c r="E823" s="426">
        <v>45056</v>
      </c>
      <c r="F823" s="26" t="s">
        <v>967</v>
      </c>
      <c r="G823" s="426">
        <v>45057</v>
      </c>
      <c r="H823" s="35" t="s">
        <v>1671</v>
      </c>
      <c r="I823" s="21">
        <v>300000</v>
      </c>
      <c r="J823" s="21"/>
      <c r="K823" s="22">
        <v>0</v>
      </c>
      <c r="L823" s="23"/>
      <c r="M823" s="22">
        <v>0</v>
      </c>
      <c r="N823" s="74">
        <v>0.01</v>
      </c>
      <c r="O823" s="22">
        <v>3000</v>
      </c>
      <c r="P823" s="21">
        <v>297000</v>
      </c>
      <c r="S823" s="108" t="b">
        <f>OR(COUNTIF(Tabla2[[#This Row],[PROVEEDOR]],"*"&amp;'Palabra no opera'!$A$2&amp;"*"))</f>
        <v>0</v>
      </c>
      <c r="T823" s="139">
        <f>+$W$5-Tabla2[[#This Row],[FECHA DE FACTURACIÓN]]</f>
        <v>234</v>
      </c>
      <c r="U823" t="str">
        <f>+IF(Tabla2[[#This Row],[dias de credito]]&gt;=Tabla2[[#This Row],[PLAZO Días]],"venc", "No venc")</f>
        <v>venc</v>
      </c>
      <c r="V823" t="str">
        <f>+IF(Tabla2[[#This Row],[FECHA DE PAGO]]&gt;0,"pagada","por pagar")</f>
        <v>pagada</v>
      </c>
      <c r="W823" s="141" t="str">
        <f>+IF(AND(Tabla2[[#This Row],[venc]]="venc",Tabla2[[#This Row],[Columna1]]="por pagar"),"vencida","no")</f>
        <v>no</v>
      </c>
    </row>
    <row r="824" spans="1:23" ht="15.6" hidden="1" x14ac:dyDescent="0.3">
      <c r="A824" s="20">
        <v>30</v>
      </c>
      <c r="B824" s="25">
        <v>0</v>
      </c>
      <c r="C824" s="25"/>
      <c r="D824" s="56" t="s">
        <v>193</v>
      </c>
      <c r="E824" s="426">
        <v>45056</v>
      </c>
      <c r="F824" s="26" t="s">
        <v>651</v>
      </c>
      <c r="G824" s="426">
        <v>45048</v>
      </c>
      <c r="H824" s="35" t="s">
        <v>1667</v>
      </c>
      <c r="I824" s="21">
        <v>243611</v>
      </c>
      <c r="J824" s="21"/>
      <c r="K824" s="22">
        <v>46286.090000000004</v>
      </c>
      <c r="L824" s="23"/>
      <c r="M824" s="22">
        <v>0</v>
      </c>
      <c r="N824" s="74">
        <v>3.5000000000000003E-2</v>
      </c>
      <c r="O824" s="22">
        <v>8526.3850000000002</v>
      </c>
      <c r="P824" s="21">
        <v>281370.70500000002</v>
      </c>
      <c r="S824" s="108" t="b">
        <f>OR(COUNTIF(Tabla2[[#This Row],[PROVEEDOR]],"*"&amp;'Palabra no opera'!$A$2&amp;"*"))</f>
        <v>1</v>
      </c>
      <c r="T824" s="139">
        <f>+$W$5-Tabla2[[#This Row],[FECHA DE FACTURACIÓN]]</f>
        <v>243</v>
      </c>
      <c r="U824" t="str">
        <f>+IF(Tabla2[[#This Row],[dias de credito]]&gt;=Tabla2[[#This Row],[PLAZO Días]],"venc", "No venc")</f>
        <v>venc</v>
      </c>
      <c r="V824" t="str">
        <f>+IF(Tabla2[[#This Row],[FECHA DE PAGO]]&gt;0,"pagada","por pagar")</f>
        <v>pagada</v>
      </c>
      <c r="W824" s="141" t="str">
        <f>+IF(AND(Tabla2[[#This Row],[venc]]="venc",Tabla2[[#This Row],[Columna1]]="por pagar"),"vencida","no")</f>
        <v>no</v>
      </c>
    </row>
    <row r="825" spans="1:23" ht="15.6" hidden="1" x14ac:dyDescent="0.3">
      <c r="A825" s="20">
        <v>30</v>
      </c>
      <c r="B825" s="25">
        <v>0</v>
      </c>
      <c r="C825" s="25"/>
      <c r="D825" s="56" t="s">
        <v>368</v>
      </c>
      <c r="E825" s="426">
        <v>45056</v>
      </c>
      <c r="F825" s="26" t="s">
        <v>623</v>
      </c>
      <c r="G825" s="426">
        <v>45047</v>
      </c>
      <c r="H825" s="35" t="s">
        <v>1660</v>
      </c>
      <c r="I825" s="21">
        <v>908172</v>
      </c>
      <c r="J825" s="21"/>
      <c r="K825" s="22">
        <v>172552.68</v>
      </c>
      <c r="L825" s="23"/>
      <c r="M825" s="22">
        <v>0</v>
      </c>
      <c r="N825" s="74">
        <v>0.04</v>
      </c>
      <c r="O825" s="22">
        <v>36326.879999999997</v>
      </c>
      <c r="P825" s="21">
        <v>1044397.7999999999</v>
      </c>
      <c r="S825" s="108" t="b">
        <f>OR(COUNTIF(Tabla2[[#This Row],[PROVEEDOR]],"*"&amp;'Palabra no opera'!$A$2&amp;"*"))</f>
        <v>1</v>
      </c>
      <c r="T825" s="139">
        <f>+$W$5-Tabla2[[#This Row],[FECHA DE FACTURACIÓN]]</f>
        <v>244</v>
      </c>
      <c r="U825" t="str">
        <f>+IF(Tabla2[[#This Row],[dias de credito]]&gt;=Tabla2[[#This Row],[PLAZO Días]],"venc", "No venc")</f>
        <v>venc</v>
      </c>
      <c r="V825" t="str">
        <f>+IF(Tabla2[[#This Row],[FECHA DE PAGO]]&gt;0,"pagada","por pagar")</f>
        <v>pagada</v>
      </c>
      <c r="W825" s="141" t="str">
        <f>+IF(AND(Tabla2[[#This Row],[venc]]="venc",Tabla2[[#This Row],[Columna1]]="por pagar"),"vencida","no")</f>
        <v>no</v>
      </c>
    </row>
    <row r="826" spans="1:23" ht="15.6" hidden="1" x14ac:dyDescent="0.3">
      <c r="A826" s="20">
        <v>30</v>
      </c>
      <c r="B826" s="25">
        <v>0</v>
      </c>
      <c r="C826" s="25"/>
      <c r="D826" s="56" t="s">
        <v>368</v>
      </c>
      <c r="E826" s="426">
        <v>45056</v>
      </c>
      <c r="F826" s="26" t="s">
        <v>623</v>
      </c>
      <c r="G826" s="426">
        <v>45047</v>
      </c>
      <c r="H826" s="35" t="s">
        <v>1661</v>
      </c>
      <c r="I826" s="21">
        <v>3792544</v>
      </c>
      <c r="J826" s="21"/>
      <c r="K826" s="22">
        <v>720583.36</v>
      </c>
      <c r="L826" s="23"/>
      <c r="M826" s="22">
        <v>0</v>
      </c>
      <c r="N826" s="74">
        <v>0</v>
      </c>
      <c r="O826" s="22">
        <v>0</v>
      </c>
      <c r="P826" s="21">
        <v>4513127.3600000003</v>
      </c>
      <c r="S826" s="108" t="b">
        <f>OR(COUNTIF(Tabla2[[#This Row],[PROVEEDOR]],"*"&amp;'Palabra no opera'!$A$2&amp;"*"))</f>
        <v>1</v>
      </c>
      <c r="T826" s="139">
        <f>+$W$5-Tabla2[[#This Row],[FECHA DE FACTURACIÓN]]</f>
        <v>244</v>
      </c>
      <c r="U826" t="str">
        <f>+IF(Tabla2[[#This Row],[dias de credito]]&gt;=Tabla2[[#This Row],[PLAZO Días]],"venc", "No venc")</f>
        <v>venc</v>
      </c>
      <c r="V826" t="str">
        <f>+IF(Tabla2[[#This Row],[FECHA DE PAGO]]&gt;0,"pagada","por pagar")</f>
        <v>pagada</v>
      </c>
      <c r="W826" s="141" t="str">
        <f>+IF(AND(Tabla2[[#This Row],[venc]]="venc",Tabla2[[#This Row],[Columna1]]="por pagar"),"vencida","no")</f>
        <v>no</v>
      </c>
    </row>
    <row r="827" spans="1:23" ht="15.6" hidden="1" x14ac:dyDescent="0.3">
      <c r="A827" s="20">
        <v>30</v>
      </c>
      <c r="B827" s="25">
        <v>352505.48</v>
      </c>
      <c r="C827" s="25"/>
      <c r="D827" s="56" t="s">
        <v>393</v>
      </c>
      <c r="E827" s="426">
        <v>45056</v>
      </c>
      <c r="F827" s="26" t="s">
        <v>631</v>
      </c>
      <c r="G827" s="426">
        <v>45047</v>
      </c>
      <c r="H827" s="35" t="s">
        <v>1663</v>
      </c>
      <c r="I827" s="21">
        <v>324057</v>
      </c>
      <c r="J827" s="21">
        <v>9545</v>
      </c>
      <c r="K827" s="22">
        <v>0</v>
      </c>
      <c r="L827" s="23"/>
      <c r="M827" s="22">
        <v>0</v>
      </c>
      <c r="N827" s="74">
        <v>0</v>
      </c>
      <c r="O827" s="22">
        <v>0</v>
      </c>
      <c r="P827" s="21">
        <v>314512</v>
      </c>
      <c r="S827" s="108" t="b">
        <f>OR(COUNTIF(Tabla2[[#This Row],[PROVEEDOR]],"*"&amp;'Palabra no opera'!$A$2&amp;"*"))</f>
        <v>1</v>
      </c>
      <c r="T827" s="139">
        <f>+$W$5-Tabla2[[#This Row],[FECHA DE FACTURACIÓN]]</f>
        <v>244</v>
      </c>
      <c r="U827" t="str">
        <f>+IF(Tabla2[[#This Row],[dias de credito]]&gt;=Tabla2[[#This Row],[PLAZO Días]],"venc", "No venc")</f>
        <v>venc</v>
      </c>
      <c r="V827" t="str">
        <f>+IF(Tabla2[[#This Row],[FECHA DE PAGO]]&gt;0,"pagada","por pagar")</f>
        <v>pagada</v>
      </c>
      <c r="W827" s="141" t="str">
        <f>+IF(AND(Tabla2[[#This Row],[venc]]="venc",Tabla2[[#This Row],[Columna1]]="por pagar"),"vencida","no")</f>
        <v>no</v>
      </c>
    </row>
    <row r="828" spans="1:23" ht="15.6" hidden="1" x14ac:dyDescent="0.3">
      <c r="A828" s="20">
        <v>30</v>
      </c>
      <c r="B828" s="25">
        <v>0</v>
      </c>
      <c r="C828" s="25"/>
      <c r="D828" s="56" t="s">
        <v>1116</v>
      </c>
      <c r="E828" s="426">
        <v>45056</v>
      </c>
      <c r="F828" s="26" t="s">
        <v>638</v>
      </c>
      <c r="G828" s="426">
        <v>45047</v>
      </c>
      <c r="H828" s="35" t="s">
        <v>1668</v>
      </c>
      <c r="I828" s="21">
        <v>52142</v>
      </c>
      <c r="J828" s="21"/>
      <c r="K828" s="22">
        <v>9906.98</v>
      </c>
      <c r="L828" s="23"/>
      <c r="M828" s="22">
        <v>0</v>
      </c>
      <c r="N828" s="74">
        <v>3.5000000000000003E-2</v>
      </c>
      <c r="O828" s="22"/>
      <c r="P828" s="21">
        <v>62048.979999999996</v>
      </c>
      <c r="S828" s="108" t="b">
        <f>OR(COUNTIF(Tabla2[[#This Row],[PROVEEDOR]],"*"&amp;'Palabra no opera'!$A$2&amp;"*"))</f>
        <v>1</v>
      </c>
      <c r="T828" s="139">
        <f>+$W$5-Tabla2[[#This Row],[FECHA DE FACTURACIÓN]]</f>
        <v>244</v>
      </c>
      <c r="U828" t="str">
        <f>+IF(Tabla2[[#This Row],[dias de credito]]&gt;=Tabla2[[#This Row],[PLAZO Días]],"venc", "No venc")</f>
        <v>venc</v>
      </c>
      <c r="V828" t="str">
        <f>+IF(Tabla2[[#This Row],[FECHA DE PAGO]]&gt;0,"pagada","por pagar")</f>
        <v>pagada</v>
      </c>
      <c r="W828" s="141" t="str">
        <f>+IF(AND(Tabla2[[#This Row],[venc]]="venc",Tabla2[[#This Row],[Columna1]]="por pagar"),"vencida","no")</f>
        <v>no</v>
      </c>
    </row>
    <row r="829" spans="1:23" ht="15.6" hidden="1" x14ac:dyDescent="0.3">
      <c r="A829" s="20">
        <v>30</v>
      </c>
      <c r="B829" s="25">
        <v>0</v>
      </c>
      <c r="C829" s="25"/>
      <c r="D829" s="56" t="s">
        <v>1116</v>
      </c>
      <c r="E829" s="426">
        <v>45056</v>
      </c>
      <c r="F829" s="26" t="s">
        <v>638</v>
      </c>
      <c r="G829" s="426">
        <v>45047</v>
      </c>
      <c r="H829" s="35" t="s">
        <v>1669</v>
      </c>
      <c r="I829" s="21">
        <v>3935776</v>
      </c>
      <c r="J829" s="21"/>
      <c r="K829" s="22">
        <v>665000</v>
      </c>
      <c r="L829" s="23"/>
      <c r="M829" s="22">
        <v>0</v>
      </c>
      <c r="N829" s="74">
        <v>3.5000000000000003E-2</v>
      </c>
      <c r="O829" s="22"/>
      <c r="P829" s="21">
        <v>4600776</v>
      </c>
      <c r="S829" s="108" t="b">
        <f>OR(COUNTIF(Tabla2[[#This Row],[PROVEEDOR]],"*"&amp;'Palabra no opera'!$A$2&amp;"*"))</f>
        <v>1</v>
      </c>
      <c r="T829" s="139">
        <f>+$W$5-Tabla2[[#This Row],[FECHA DE FACTURACIÓN]]</f>
        <v>244</v>
      </c>
      <c r="U829" t="str">
        <f>+IF(Tabla2[[#This Row],[dias de credito]]&gt;=Tabla2[[#This Row],[PLAZO Días]],"venc", "No venc")</f>
        <v>venc</v>
      </c>
      <c r="V829" t="str">
        <f>+IF(Tabla2[[#This Row],[FECHA DE PAGO]]&gt;0,"pagada","por pagar")</f>
        <v>pagada</v>
      </c>
      <c r="W829" s="141" t="str">
        <f>+IF(AND(Tabla2[[#This Row],[venc]]="venc",Tabla2[[#This Row],[Columna1]]="por pagar"),"vencida","no")</f>
        <v>no</v>
      </c>
    </row>
    <row r="830" spans="1:23" ht="15.6" hidden="1" x14ac:dyDescent="0.3">
      <c r="A830" s="20">
        <v>10</v>
      </c>
      <c r="B830" s="25">
        <v>0</v>
      </c>
      <c r="C830" s="25"/>
      <c r="D830" s="56" t="s">
        <v>1203</v>
      </c>
      <c r="E830" s="426">
        <v>45056</v>
      </c>
      <c r="F830" s="26" t="s">
        <v>1202</v>
      </c>
      <c r="G830" s="426">
        <v>45047</v>
      </c>
      <c r="H830" s="35" t="s">
        <v>1662</v>
      </c>
      <c r="I830" s="21">
        <v>5350576</v>
      </c>
      <c r="J830" s="21"/>
      <c r="K830" s="22">
        <v>1016609</v>
      </c>
      <c r="L830" s="23"/>
      <c r="M830" s="22">
        <v>0</v>
      </c>
      <c r="N830" s="74">
        <v>0</v>
      </c>
      <c r="O830" s="22">
        <v>0</v>
      </c>
      <c r="P830" s="21">
        <v>6367185</v>
      </c>
      <c r="S830" s="108" t="b">
        <f>OR(COUNTIF(Tabla2[[#This Row],[PROVEEDOR]],"*"&amp;'Palabra no opera'!$A$2&amp;"*"))</f>
        <v>1</v>
      </c>
      <c r="T830" s="139">
        <f>+$W$5-Tabla2[[#This Row],[FECHA DE FACTURACIÓN]]</f>
        <v>244</v>
      </c>
      <c r="U830" t="str">
        <f>+IF(Tabla2[[#This Row],[dias de credito]]&gt;=Tabla2[[#This Row],[PLAZO Días]],"venc", "No venc")</f>
        <v>venc</v>
      </c>
      <c r="V830" t="str">
        <f>+IF(Tabla2[[#This Row],[FECHA DE PAGO]]&gt;0,"pagada","por pagar")</f>
        <v>pagada</v>
      </c>
      <c r="W830" s="141" t="str">
        <f>+IF(AND(Tabla2[[#This Row],[venc]]="venc",Tabla2[[#This Row],[Columna1]]="por pagar"),"vencida","no")</f>
        <v>no</v>
      </c>
    </row>
    <row r="831" spans="1:23" ht="15.6" hidden="1" x14ac:dyDescent="0.3">
      <c r="A831" s="20">
        <v>30</v>
      </c>
      <c r="B831" s="25">
        <v>0</v>
      </c>
      <c r="C831" s="25"/>
      <c r="D831" s="56" t="s">
        <v>368</v>
      </c>
      <c r="E831" s="426">
        <v>45056</v>
      </c>
      <c r="F831" s="26" t="s">
        <v>623</v>
      </c>
      <c r="G831" s="426">
        <v>45044</v>
      </c>
      <c r="H831" s="35" t="s">
        <v>1573</v>
      </c>
      <c r="I831" s="21">
        <v>122105</v>
      </c>
      <c r="J831" s="21"/>
      <c r="K831" s="22">
        <v>23199.95</v>
      </c>
      <c r="L831" s="23"/>
      <c r="M831" s="22">
        <v>0</v>
      </c>
      <c r="N831" s="74">
        <v>0</v>
      </c>
      <c r="O831" s="22">
        <v>0</v>
      </c>
      <c r="P831" s="21">
        <v>145304.95000000001</v>
      </c>
      <c r="S831" s="108" t="b">
        <f>OR(COUNTIF(Tabla2[[#This Row],[PROVEEDOR]],"*"&amp;'Palabra no opera'!$A$2&amp;"*"))</f>
        <v>1</v>
      </c>
      <c r="T831" s="139">
        <f>+$W$5-Tabla2[[#This Row],[FECHA DE FACTURACIÓN]]</f>
        <v>247</v>
      </c>
      <c r="U831" t="str">
        <f>+IF(Tabla2[[#This Row],[dias de credito]]&gt;=Tabla2[[#This Row],[PLAZO Días]],"venc", "No venc")</f>
        <v>venc</v>
      </c>
      <c r="V831" t="str">
        <f>+IF(Tabla2[[#This Row],[FECHA DE PAGO]]&gt;0,"pagada","por pagar")</f>
        <v>pagada</v>
      </c>
      <c r="W831" s="141" t="str">
        <f>+IF(AND(Tabla2[[#This Row],[venc]]="venc",Tabla2[[#This Row],[Columna1]]="por pagar"),"vencida","no")</f>
        <v>no</v>
      </c>
    </row>
    <row r="832" spans="1:23" ht="15.6" hidden="1" x14ac:dyDescent="0.3">
      <c r="A832" s="20">
        <v>30</v>
      </c>
      <c r="B832" s="25">
        <v>1125118.8199999998</v>
      </c>
      <c r="C832" s="25"/>
      <c r="D832" s="56" t="s">
        <v>431</v>
      </c>
      <c r="E832" s="426">
        <v>45055</v>
      </c>
      <c r="F832" s="26" t="s">
        <v>279</v>
      </c>
      <c r="G832" s="426">
        <v>45006</v>
      </c>
      <c r="H832" s="35" t="s">
        <v>1595</v>
      </c>
      <c r="I832" s="21">
        <v>532437</v>
      </c>
      <c r="J832" s="21"/>
      <c r="K832" s="22">
        <v>101163.03</v>
      </c>
      <c r="L832" s="23"/>
      <c r="M832" s="22">
        <v>0</v>
      </c>
      <c r="N832" s="74">
        <v>0</v>
      </c>
      <c r="O832" s="22">
        <v>0</v>
      </c>
      <c r="P832" s="21">
        <v>633600.03</v>
      </c>
      <c r="S832" s="108" t="b">
        <f>OR(COUNTIF(Tabla2[[#This Row],[PROVEEDOR]],"*"&amp;'Palabra no opera'!$A$2&amp;"*"))</f>
        <v>0</v>
      </c>
      <c r="T832" s="139">
        <f>+$W$5-Tabla2[[#This Row],[FECHA DE FACTURACIÓN]]</f>
        <v>285</v>
      </c>
      <c r="U832" t="str">
        <f>+IF(Tabla2[[#This Row],[dias de credito]]&gt;=Tabla2[[#This Row],[PLAZO Días]],"venc", "No venc")</f>
        <v>venc</v>
      </c>
      <c r="V832" t="str">
        <f>+IF(Tabla2[[#This Row],[FECHA DE PAGO]]&gt;0,"pagada","por pagar")</f>
        <v>pagada</v>
      </c>
      <c r="W832" s="141" t="str">
        <f>+IF(AND(Tabla2[[#This Row],[venc]]="venc",Tabla2[[#This Row],[Columna1]]="por pagar"),"vencida","no")</f>
        <v>no</v>
      </c>
    </row>
    <row r="833" spans="1:23" ht="15.6" hidden="1" x14ac:dyDescent="0.3">
      <c r="A833" s="20">
        <v>30</v>
      </c>
      <c r="B833" s="25">
        <v>3209330.35</v>
      </c>
      <c r="C833" s="25"/>
      <c r="D833" s="56" t="s">
        <v>187</v>
      </c>
      <c r="E833" s="426">
        <v>45055</v>
      </c>
      <c r="F833" s="26" t="s">
        <v>282</v>
      </c>
      <c r="G833" s="426">
        <v>45000</v>
      </c>
      <c r="H833" s="35" t="s">
        <v>1493</v>
      </c>
      <c r="I833" s="21">
        <v>675630</v>
      </c>
      <c r="J833" s="21"/>
      <c r="K833" s="22">
        <v>128369.7</v>
      </c>
      <c r="L833" s="23"/>
      <c r="M833" s="22">
        <v>0</v>
      </c>
      <c r="N833" s="74">
        <v>0</v>
      </c>
      <c r="O833" s="22">
        <v>0</v>
      </c>
      <c r="P833" s="21">
        <v>803999.7</v>
      </c>
      <c r="S833" s="108" t="b">
        <f>OR(COUNTIF(Tabla2[[#This Row],[PROVEEDOR]],"*"&amp;'Palabra no opera'!$A$2&amp;"*"))</f>
        <v>0</v>
      </c>
      <c r="T833" s="139">
        <f>+$W$5-Tabla2[[#This Row],[FECHA DE FACTURACIÓN]]</f>
        <v>291</v>
      </c>
      <c r="U833" t="str">
        <f>+IF(Tabla2[[#This Row],[dias de credito]]&gt;=Tabla2[[#This Row],[PLAZO Días]],"venc", "No venc")</f>
        <v>venc</v>
      </c>
      <c r="V833" t="str">
        <f>+IF(Tabla2[[#This Row],[FECHA DE PAGO]]&gt;0,"pagada","por pagar")</f>
        <v>pagada</v>
      </c>
      <c r="W833" s="141" t="str">
        <f>+IF(AND(Tabla2[[#This Row],[venc]]="venc",Tabla2[[#This Row],[Columna1]]="por pagar"),"vencida","no")</f>
        <v>no</v>
      </c>
    </row>
    <row r="834" spans="1:23" ht="15.6" hidden="1" x14ac:dyDescent="0.3">
      <c r="A834" s="20">
        <v>30</v>
      </c>
      <c r="B834" s="25">
        <v>3209330.35</v>
      </c>
      <c r="C834" s="25"/>
      <c r="D834" s="56" t="s">
        <v>187</v>
      </c>
      <c r="E834" s="426">
        <v>45055</v>
      </c>
      <c r="F834" s="26" t="s">
        <v>282</v>
      </c>
      <c r="G834" s="426">
        <v>44991</v>
      </c>
      <c r="H834" s="35" t="s">
        <v>1500</v>
      </c>
      <c r="I834" s="21">
        <v>270588</v>
      </c>
      <c r="J834" s="21"/>
      <c r="K834" s="22">
        <v>51411.72</v>
      </c>
      <c r="L834" s="23"/>
      <c r="M834" s="22">
        <v>0</v>
      </c>
      <c r="N834" s="74">
        <v>0</v>
      </c>
      <c r="O834" s="22">
        <v>0</v>
      </c>
      <c r="P834" s="21">
        <v>321999.71999999997</v>
      </c>
      <c r="S834" s="108" t="b">
        <f>OR(COUNTIF(Tabla2[[#This Row],[PROVEEDOR]],"*"&amp;'Palabra no opera'!$A$2&amp;"*"))</f>
        <v>0</v>
      </c>
      <c r="T834" s="139">
        <f>+$W$5-Tabla2[[#This Row],[FECHA DE FACTURACIÓN]]</f>
        <v>300</v>
      </c>
      <c r="U834" t="str">
        <f>+IF(Tabla2[[#This Row],[dias de credito]]&gt;=Tabla2[[#This Row],[PLAZO Días]],"venc", "No venc")</f>
        <v>venc</v>
      </c>
      <c r="V834" t="str">
        <f>+IF(Tabla2[[#This Row],[FECHA DE PAGO]]&gt;0,"pagada","por pagar")</f>
        <v>pagada</v>
      </c>
      <c r="W834" s="141" t="str">
        <f>+IF(AND(Tabla2[[#This Row],[venc]]="venc",Tabla2[[#This Row],[Columna1]]="por pagar"),"vencida","no")</f>
        <v>no</v>
      </c>
    </row>
    <row r="835" spans="1:23" ht="15.6" hidden="1" x14ac:dyDescent="0.3">
      <c r="A835" s="20">
        <v>30</v>
      </c>
      <c r="B835" s="25">
        <v>0</v>
      </c>
      <c r="C835" s="25"/>
      <c r="D835" s="56" t="s">
        <v>296</v>
      </c>
      <c r="E835" s="426">
        <v>45054</v>
      </c>
      <c r="F835" s="26" t="s">
        <v>281</v>
      </c>
      <c r="G835" s="426">
        <v>45036</v>
      </c>
      <c r="H835" s="35" t="s">
        <v>1634</v>
      </c>
      <c r="I835" s="21">
        <v>2649600</v>
      </c>
      <c r="J835" s="21"/>
      <c r="K835" s="22">
        <v>132480</v>
      </c>
      <c r="L835" s="23"/>
      <c r="M835" s="22">
        <v>0</v>
      </c>
      <c r="N835" s="74">
        <v>0</v>
      </c>
      <c r="O835" s="22">
        <v>0</v>
      </c>
      <c r="P835" s="21">
        <v>2782080</v>
      </c>
      <c r="S835" s="108" t="b">
        <f>OR(COUNTIF(Tabla2[[#This Row],[PROVEEDOR]],"*"&amp;'Palabra no opera'!$A$2&amp;"*"))</f>
        <v>0</v>
      </c>
      <c r="T835" s="139">
        <f>+$W$5-Tabla2[[#This Row],[FECHA DE FACTURACIÓN]]</f>
        <v>255</v>
      </c>
      <c r="U835" t="str">
        <f>+IF(Tabla2[[#This Row],[dias de credito]]&gt;=Tabla2[[#This Row],[PLAZO Días]],"venc", "No venc")</f>
        <v>venc</v>
      </c>
      <c r="V835" t="str">
        <f>+IF(Tabla2[[#This Row],[FECHA DE PAGO]]&gt;0,"pagada","por pagar")</f>
        <v>pagada</v>
      </c>
      <c r="W835" s="141" t="str">
        <f>+IF(AND(Tabla2[[#This Row],[venc]]="venc",Tabla2[[#This Row],[Columna1]]="por pagar"),"vencida","no")</f>
        <v>no</v>
      </c>
    </row>
    <row r="836" spans="1:23" ht="15.6" hidden="1" x14ac:dyDescent="0.3">
      <c r="A836" s="20">
        <v>30</v>
      </c>
      <c r="B836" s="25">
        <v>2773899.95</v>
      </c>
      <c r="C836" s="25"/>
      <c r="D836" s="56" t="s">
        <v>135</v>
      </c>
      <c r="E836" s="426">
        <v>45054</v>
      </c>
      <c r="F836" s="26" t="s">
        <v>20</v>
      </c>
      <c r="G836" s="426">
        <v>45016</v>
      </c>
      <c r="H836" s="35" t="s">
        <v>1558</v>
      </c>
      <c r="I836" s="21">
        <v>1157730</v>
      </c>
      <c r="J836" s="21"/>
      <c r="K836" s="22">
        <v>219968.7</v>
      </c>
      <c r="L836" s="23"/>
      <c r="M836" s="22">
        <v>0</v>
      </c>
      <c r="N836" s="74">
        <v>2.5000000000000001E-2</v>
      </c>
      <c r="O836" s="22">
        <v>28943.25</v>
      </c>
      <c r="P836" s="21">
        <v>1348755.45</v>
      </c>
      <c r="S836" s="108" t="b">
        <f>OR(COUNTIF(Tabla2[[#This Row],[PROVEEDOR]],"*"&amp;'Palabra no opera'!$A$2&amp;"*"))</f>
        <v>0</v>
      </c>
      <c r="T836" s="139">
        <f>+$W$5-Tabla2[[#This Row],[FECHA DE FACTURACIÓN]]</f>
        <v>275</v>
      </c>
      <c r="U836" t="str">
        <f>+IF(Tabla2[[#This Row],[dias de credito]]&gt;=Tabla2[[#This Row],[PLAZO Días]],"venc", "No venc")</f>
        <v>venc</v>
      </c>
      <c r="V836" t="str">
        <f>+IF(Tabla2[[#This Row],[FECHA DE PAGO]]&gt;0,"pagada","por pagar")</f>
        <v>pagada</v>
      </c>
      <c r="W836" s="141" t="str">
        <f>+IF(AND(Tabla2[[#This Row],[venc]]="venc",Tabla2[[#This Row],[Columna1]]="por pagar"),"vencida","no")</f>
        <v>no</v>
      </c>
    </row>
    <row r="837" spans="1:23" ht="15.6" hidden="1" x14ac:dyDescent="0.3">
      <c r="A837" s="20">
        <v>30</v>
      </c>
      <c r="B837" s="25">
        <v>0</v>
      </c>
      <c r="C837" s="25"/>
      <c r="D837" s="56" t="s">
        <v>296</v>
      </c>
      <c r="E837" s="426">
        <v>45054</v>
      </c>
      <c r="F837" s="26" t="s">
        <v>281</v>
      </c>
      <c r="G837" s="426">
        <v>45012</v>
      </c>
      <c r="H837" s="35" t="s">
        <v>1600</v>
      </c>
      <c r="I837" s="21">
        <v>1059280</v>
      </c>
      <c r="J837" s="21"/>
      <c r="K837" s="22">
        <v>52964</v>
      </c>
      <c r="L837" s="23"/>
      <c r="M837" s="22">
        <v>0</v>
      </c>
      <c r="N837" s="74">
        <v>0</v>
      </c>
      <c r="O837" s="22">
        <v>0</v>
      </c>
      <c r="P837" s="21">
        <v>1112244</v>
      </c>
      <c r="S837" s="108" t="b">
        <f>OR(COUNTIF(Tabla2[[#This Row],[PROVEEDOR]],"*"&amp;'Palabra no opera'!$A$2&amp;"*"))</f>
        <v>0</v>
      </c>
      <c r="T837" s="139">
        <f>+$W$5-Tabla2[[#This Row],[FECHA DE FACTURACIÓN]]</f>
        <v>279</v>
      </c>
      <c r="U837" t="str">
        <f>+IF(Tabla2[[#This Row],[dias de credito]]&gt;=Tabla2[[#This Row],[PLAZO Días]],"venc", "No venc")</f>
        <v>venc</v>
      </c>
      <c r="V837" t="str">
        <f>+IF(Tabla2[[#This Row],[FECHA DE PAGO]]&gt;0,"pagada","por pagar")</f>
        <v>pagada</v>
      </c>
      <c r="W837" s="141" t="str">
        <f>+IF(AND(Tabla2[[#This Row],[venc]]="venc",Tabla2[[#This Row],[Columna1]]="por pagar"),"vencida","no")</f>
        <v>no</v>
      </c>
    </row>
    <row r="838" spans="1:23" ht="15.6" hidden="1" x14ac:dyDescent="0.3">
      <c r="A838" s="20">
        <v>30</v>
      </c>
      <c r="B838" s="25">
        <v>0</v>
      </c>
      <c r="C838" s="25"/>
      <c r="D838" s="56" t="s">
        <v>296</v>
      </c>
      <c r="E838" s="426">
        <v>45054</v>
      </c>
      <c r="F838" s="26" t="s">
        <v>281</v>
      </c>
      <c r="G838" s="426">
        <v>45007</v>
      </c>
      <c r="H838" s="35" t="s">
        <v>2334</v>
      </c>
      <c r="I838" s="21">
        <v>-240000</v>
      </c>
      <c r="J838" s="21"/>
      <c r="K838" s="22">
        <v>-45600</v>
      </c>
      <c r="L838" s="23"/>
      <c r="M838" s="22">
        <v>0</v>
      </c>
      <c r="N838" s="74">
        <v>0</v>
      </c>
      <c r="O838" s="22">
        <v>0</v>
      </c>
      <c r="P838" s="21">
        <v>-285600</v>
      </c>
      <c r="S838" s="108" t="b">
        <f>OR(COUNTIF(Tabla2[[#This Row],[PROVEEDOR]],"*"&amp;'Palabra no opera'!$A$2&amp;"*"))</f>
        <v>0</v>
      </c>
      <c r="T838" s="139">
        <f>+$W$5-Tabla2[[#This Row],[FECHA DE FACTURACIÓN]]</f>
        <v>284</v>
      </c>
      <c r="U838" t="str">
        <f>+IF(Tabla2[[#This Row],[dias de credito]]&gt;=Tabla2[[#This Row],[PLAZO Días]],"venc", "No venc")</f>
        <v>venc</v>
      </c>
      <c r="V838" t="str">
        <f>+IF(Tabla2[[#This Row],[FECHA DE PAGO]]&gt;0,"pagada","por pagar")</f>
        <v>pagada</v>
      </c>
      <c r="W838" s="141" t="str">
        <f>+IF(AND(Tabla2[[#This Row],[venc]]="venc",Tabla2[[#This Row],[Columna1]]="por pagar"),"vencida","no")</f>
        <v>no</v>
      </c>
    </row>
    <row r="839" spans="1:23" ht="15.6" hidden="1" x14ac:dyDescent="0.3">
      <c r="A839" s="20">
        <v>30</v>
      </c>
      <c r="B839" s="25">
        <v>0</v>
      </c>
      <c r="C839" s="25"/>
      <c r="D839" s="56" t="s">
        <v>296</v>
      </c>
      <c r="E839" s="426">
        <v>45054</v>
      </c>
      <c r="F839" s="26" t="s">
        <v>281</v>
      </c>
      <c r="G839" s="426">
        <v>45007</v>
      </c>
      <c r="H839" s="35" t="s">
        <v>1598</v>
      </c>
      <c r="I839" s="21">
        <v>769800</v>
      </c>
      <c r="J839" s="21"/>
      <c r="K839" s="22">
        <v>38490</v>
      </c>
      <c r="L839" s="23"/>
      <c r="M839" s="22">
        <v>0</v>
      </c>
      <c r="N839" s="74">
        <v>0</v>
      </c>
      <c r="O839" s="22">
        <v>0</v>
      </c>
      <c r="P839" s="21">
        <v>808290</v>
      </c>
      <c r="S839" s="108" t="b">
        <f>OR(COUNTIF(Tabla2[[#This Row],[PROVEEDOR]],"*"&amp;'Palabra no opera'!$A$2&amp;"*"))</f>
        <v>0</v>
      </c>
      <c r="T839" s="139">
        <f>+$W$5-Tabla2[[#This Row],[FECHA DE FACTURACIÓN]]</f>
        <v>284</v>
      </c>
      <c r="U839" t="str">
        <f>+IF(Tabla2[[#This Row],[dias de credito]]&gt;=Tabla2[[#This Row],[PLAZO Días]],"venc", "No venc")</f>
        <v>venc</v>
      </c>
      <c r="V839" t="str">
        <f>+IF(Tabla2[[#This Row],[FECHA DE PAGO]]&gt;0,"pagada","por pagar")</f>
        <v>pagada</v>
      </c>
      <c r="W839" s="141" t="str">
        <f>+IF(AND(Tabla2[[#This Row],[venc]]="venc",Tabla2[[#This Row],[Columna1]]="por pagar"),"vencida","no")</f>
        <v>no</v>
      </c>
    </row>
    <row r="840" spans="1:23" ht="15.6" hidden="1" x14ac:dyDescent="0.3">
      <c r="A840" s="20">
        <v>30</v>
      </c>
      <c r="B840" s="25">
        <v>2773899.95</v>
      </c>
      <c r="C840" s="25"/>
      <c r="D840" s="56" t="s">
        <v>135</v>
      </c>
      <c r="E840" s="426">
        <v>45054</v>
      </c>
      <c r="F840" s="26" t="s">
        <v>20</v>
      </c>
      <c r="G840" s="426">
        <v>45006</v>
      </c>
      <c r="H840" s="35" t="s">
        <v>1546</v>
      </c>
      <c r="I840" s="21">
        <v>1745300</v>
      </c>
      <c r="J840" s="21"/>
      <c r="K840" s="22">
        <v>331607</v>
      </c>
      <c r="L840" s="23"/>
      <c r="M840" s="22">
        <v>0</v>
      </c>
      <c r="N840" s="74">
        <v>2.5000000000000001E-2</v>
      </c>
      <c r="O840" s="22">
        <v>43632.5</v>
      </c>
      <c r="P840" s="21">
        <v>2033274.5</v>
      </c>
      <c r="S840" s="108" t="b">
        <f>OR(COUNTIF(Tabla2[[#This Row],[PROVEEDOR]],"*"&amp;'Palabra no opera'!$A$2&amp;"*"))</f>
        <v>0</v>
      </c>
      <c r="T840" s="139">
        <f>+$W$5-Tabla2[[#This Row],[FECHA DE FACTURACIÓN]]</f>
        <v>285</v>
      </c>
      <c r="U840" t="str">
        <f>+IF(Tabla2[[#This Row],[dias de credito]]&gt;=Tabla2[[#This Row],[PLAZO Días]],"venc", "No venc")</f>
        <v>venc</v>
      </c>
      <c r="V840" t="str">
        <f>+IF(Tabla2[[#This Row],[FECHA DE PAGO]]&gt;0,"pagada","por pagar")</f>
        <v>pagada</v>
      </c>
      <c r="W840" s="141" t="str">
        <f>+IF(AND(Tabla2[[#This Row],[venc]]="venc",Tabla2[[#This Row],[Columna1]]="por pagar"),"vencida","no")</f>
        <v>no</v>
      </c>
    </row>
    <row r="841" spans="1:23" ht="15.6" hidden="1" x14ac:dyDescent="0.3">
      <c r="A841" s="20">
        <v>30</v>
      </c>
      <c r="B841" s="25">
        <v>17870934.149999999</v>
      </c>
      <c r="C841" s="25"/>
      <c r="D841" s="56" t="s">
        <v>182</v>
      </c>
      <c r="E841" s="426">
        <v>45054</v>
      </c>
      <c r="F841" s="26" t="s">
        <v>18</v>
      </c>
      <c r="G841" s="426">
        <v>45006</v>
      </c>
      <c r="H841" s="35">
        <v>1067479</v>
      </c>
      <c r="I841" s="21">
        <v>3044342</v>
      </c>
      <c r="J841" s="21"/>
      <c r="K841" s="22">
        <v>578424.98</v>
      </c>
      <c r="L841" s="23"/>
      <c r="M841" s="22">
        <v>0</v>
      </c>
      <c r="N841" s="74">
        <v>2.5000000000000001E-2</v>
      </c>
      <c r="O841" s="22">
        <v>76108.55</v>
      </c>
      <c r="P841" s="21">
        <v>3546658.43</v>
      </c>
      <c r="S841" s="108" t="b">
        <f>OR(COUNTIF(Tabla2[[#This Row],[PROVEEDOR]],"*"&amp;'Palabra no opera'!$A$2&amp;"*"))</f>
        <v>0</v>
      </c>
      <c r="T841" s="139">
        <f>+$W$5-Tabla2[[#This Row],[FECHA DE FACTURACIÓN]]</f>
        <v>285</v>
      </c>
      <c r="U841" t="str">
        <f>+IF(Tabla2[[#This Row],[dias de credito]]&gt;=Tabla2[[#This Row],[PLAZO Días]],"venc", "No venc")</f>
        <v>venc</v>
      </c>
      <c r="V841" t="str">
        <f>+IF(Tabla2[[#This Row],[FECHA DE PAGO]]&gt;0,"pagada","por pagar")</f>
        <v>pagada</v>
      </c>
      <c r="W841" s="141" t="str">
        <f>+IF(AND(Tabla2[[#This Row],[venc]]="venc",Tabla2[[#This Row],[Columna1]]="por pagar"),"vencida","no")</f>
        <v>no</v>
      </c>
    </row>
    <row r="842" spans="1:23" ht="15.6" hidden="1" x14ac:dyDescent="0.3">
      <c r="A842" s="20">
        <v>30</v>
      </c>
      <c r="B842" s="25">
        <v>5537221.7000000002</v>
      </c>
      <c r="C842" s="25"/>
      <c r="D842" s="56" t="s">
        <v>402</v>
      </c>
      <c r="E842" s="426">
        <v>45054</v>
      </c>
      <c r="F842" s="26" t="s">
        <v>293</v>
      </c>
      <c r="G842" s="426">
        <v>45006</v>
      </c>
      <c r="H842" s="35" t="s">
        <v>1594</v>
      </c>
      <c r="I842" s="21">
        <v>659490</v>
      </c>
      <c r="J842" s="21"/>
      <c r="K842" s="22">
        <v>125303.1</v>
      </c>
      <c r="L842" s="23"/>
      <c r="M842" s="22">
        <v>0</v>
      </c>
      <c r="N842" s="74">
        <v>0</v>
      </c>
      <c r="O842" s="22">
        <v>0</v>
      </c>
      <c r="P842" s="21">
        <v>784793.1</v>
      </c>
      <c r="S842" s="108" t="b">
        <f>OR(COUNTIF(Tabla2[[#This Row],[PROVEEDOR]],"*"&amp;'Palabra no opera'!$A$2&amp;"*"))</f>
        <v>0</v>
      </c>
      <c r="T842" s="139">
        <f>+$W$5-Tabla2[[#This Row],[FECHA DE FACTURACIÓN]]</f>
        <v>285</v>
      </c>
      <c r="U842" t="str">
        <f>+IF(Tabla2[[#This Row],[dias de credito]]&gt;=Tabla2[[#This Row],[PLAZO Días]],"venc", "No venc")</f>
        <v>venc</v>
      </c>
      <c r="V842" t="str">
        <f>+IF(Tabla2[[#This Row],[FECHA DE PAGO]]&gt;0,"pagada","por pagar")</f>
        <v>pagada</v>
      </c>
      <c r="W842" s="141" t="str">
        <f>+IF(AND(Tabla2[[#This Row],[venc]]="venc",Tabla2[[#This Row],[Columna1]]="por pagar"),"vencida","no")</f>
        <v>no</v>
      </c>
    </row>
    <row r="843" spans="1:23" ht="15.6" hidden="1" x14ac:dyDescent="0.3">
      <c r="A843" s="20">
        <v>30</v>
      </c>
      <c r="B843" s="25">
        <v>5537221.7000000002</v>
      </c>
      <c r="C843" s="25"/>
      <c r="D843" s="56" t="s">
        <v>402</v>
      </c>
      <c r="E843" s="426">
        <v>45054</v>
      </c>
      <c r="F843" s="26" t="s">
        <v>293</v>
      </c>
      <c r="G843" s="426">
        <v>44992</v>
      </c>
      <c r="H843" s="35" t="s">
        <v>1497</v>
      </c>
      <c r="I843" s="21">
        <v>2463004</v>
      </c>
      <c r="J843" s="21"/>
      <c r="K843" s="22">
        <v>467970.76</v>
      </c>
      <c r="L843" s="23"/>
      <c r="M843" s="22">
        <v>0</v>
      </c>
      <c r="N843" s="74">
        <v>2.5000000000000001E-2</v>
      </c>
      <c r="O843" s="22">
        <v>61575.100000000006</v>
      </c>
      <c r="P843" s="21">
        <v>2869399.6599999997</v>
      </c>
      <c r="S843" s="108" t="b">
        <f>OR(COUNTIF(Tabla2[[#This Row],[PROVEEDOR]],"*"&amp;'Palabra no opera'!$A$2&amp;"*"))</f>
        <v>0</v>
      </c>
      <c r="T843" s="139">
        <f>+$W$5-Tabla2[[#This Row],[FECHA DE FACTURACIÓN]]</f>
        <v>299</v>
      </c>
      <c r="U843" t="str">
        <f>+IF(Tabla2[[#This Row],[dias de credito]]&gt;=Tabla2[[#This Row],[PLAZO Días]],"venc", "No venc")</f>
        <v>venc</v>
      </c>
      <c r="V843" t="str">
        <f>+IF(Tabla2[[#This Row],[FECHA DE PAGO]]&gt;0,"pagada","por pagar")</f>
        <v>pagada</v>
      </c>
      <c r="W843" s="141" t="str">
        <f>+IF(AND(Tabla2[[#This Row],[venc]]="venc",Tabla2[[#This Row],[Columna1]]="por pagar"),"vencida","no")</f>
        <v>no</v>
      </c>
    </row>
    <row r="844" spans="1:23" ht="15.6" hidden="1" x14ac:dyDescent="0.3">
      <c r="A844" s="20">
        <v>30</v>
      </c>
      <c r="B844" s="25">
        <v>0</v>
      </c>
      <c r="C844" s="25"/>
      <c r="D844" s="56" t="s">
        <v>737</v>
      </c>
      <c r="E844" s="426">
        <v>45052</v>
      </c>
      <c r="F844" s="26" t="s">
        <v>1656</v>
      </c>
      <c r="G844" s="426">
        <v>45044</v>
      </c>
      <c r="H844" s="35" t="s">
        <v>1657</v>
      </c>
      <c r="I844" s="21">
        <v>800000</v>
      </c>
      <c r="J844" s="21"/>
      <c r="K844" s="22">
        <v>152000</v>
      </c>
      <c r="L844" s="23"/>
      <c r="M844" s="22">
        <v>0</v>
      </c>
      <c r="N844" s="74">
        <v>0</v>
      </c>
      <c r="O844" s="22">
        <v>0</v>
      </c>
      <c r="P844" s="21">
        <v>952000</v>
      </c>
      <c r="S844" s="108" t="b">
        <f>OR(COUNTIF(Tabla2[[#This Row],[PROVEEDOR]],"*"&amp;'Palabra no opera'!$A$2&amp;"*"))</f>
        <v>0</v>
      </c>
      <c r="T844" s="139">
        <f>+$W$5-Tabla2[[#This Row],[FECHA DE FACTURACIÓN]]</f>
        <v>247</v>
      </c>
      <c r="U844" t="str">
        <f>+IF(Tabla2[[#This Row],[dias de credito]]&gt;=Tabla2[[#This Row],[PLAZO Días]],"venc", "No venc")</f>
        <v>venc</v>
      </c>
      <c r="V844" t="str">
        <f>+IF(Tabla2[[#This Row],[FECHA DE PAGO]]&gt;0,"pagada","por pagar")</f>
        <v>pagada</v>
      </c>
      <c r="W844" s="141" t="str">
        <f>+IF(AND(Tabla2[[#This Row],[venc]]="venc",Tabla2[[#This Row],[Columna1]]="por pagar"),"vencida","no")</f>
        <v>no</v>
      </c>
    </row>
    <row r="845" spans="1:23" ht="15.6" hidden="1" x14ac:dyDescent="0.3">
      <c r="A845" s="20">
        <v>45</v>
      </c>
      <c r="B845" s="25">
        <v>3074500</v>
      </c>
      <c r="C845" s="25"/>
      <c r="D845" s="56" t="s">
        <v>1482</v>
      </c>
      <c r="E845" s="426">
        <v>45051</v>
      </c>
      <c r="F845" s="26" t="s">
        <v>289</v>
      </c>
      <c r="G845" s="426">
        <v>45046</v>
      </c>
      <c r="H845" s="35">
        <v>1668</v>
      </c>
      <c r="I845" s="21">
        <v>1880000</v>
      </c>
      <c r="J845" s="21"/>
      <c r="K845" s="22">
        <v>0</v>
      </c>
      <c r="L845" s="23"/>
      <c r="M845" s="22">
        <v>0</v>
      </c>
      <c r="N845" s="74">
        <v>0</v>
      </c>
      <c r="O845" s="22">
        <v>0</v>
      </c>
      <c r="P845" s="21">
        <v>1880000</v>
      </c>
      <c r="S845" s="108" t="b">
        <f>OR(COUNTIF(Tabla2[[#This Row],[PROVEEDOR]],"*"&amp;'Palabra no opera'!$A$2&amp;"*"))</f>
        <v>0</v>
      </c>
      <c r="T845" s="139">
        <f>+$W$5-Tabla2[[#This Row],[FECHA DE FACTURACIÓN]]</f>
        <v>245</v>
      </c>
      <c r="U845" t="str">
        <f>+IF(Tabla2[[#This Row],[dias de credito]]&gt;=Tabla2[[#This Row],[PLAZO Días]],"venc", "No venc")</f>
        <v>venc</v>
      </c>
      <c r="V845" t="str">
        <f>+IF(Tabla2[[#This Row],[FECHA DE PAGO]]&gt;0,"pagada","por pagar")</f>
        <v>pagada</v>
      </c>
      <c r="W845" s="141" t="str">
        <f>+IF(AND(Tabla2[[#This Row],[venc]]="venc",Tabla2[[#This Row],[Columna1]]="por pagar"),"vencida","no")</f>
        <v>no</v>
      </c>
    </row>
    <row r="846" spans="1:23" ht="15.6" hidden="1" x14ac:dyDescent="0.3">
      <c r="A846" s="20">
        <v>45</v>
      </c>
      <c r="B846" s="25">
        <v>3074500</v>
      </c>
      <c r="C846" s="25"/>
      <c r="D846" s="56" t="s">
        <v>1482</v>
      </c>
      <c r="E846" s="426">
        <v>45051</v>
      </c>
      <c r="F846" s="26" t="s">
        <v>289</v>
      </c>
      <c r="G846" s="426">
        <v>45044</v>
      </c>
      <c r="H846" s="35">
        <v>1666</v>
      </c>
      <c r="I846" s="21">
        <v>3125500</v>
      </c>
      <c r="J846" s="21"/>
      <c r="K846" s="22">
        <v>0</v>
      </c>
      <c r="L846" s="23"/>
      <c r="M846" s="22">
        <v>0</v>
      </c>
      <c r="N846" s="74">
        <v>0</v>
      </c>
      <c r="O846" s="22">
        <v>0</v>
      </c>
      <c r="P846" s="21">
        <v>3125500</v>
      </c>
      <c r="S846" s="108" t="b">
        <f>OR(COUNTIF(Tabla2[[#This Row],[PROVEEDOR]],"*"&amp;'Palabra no opera'!$A$2&amp;"*"))</f>
        <v>0</v>
      </c>
      <c r="T846" s="139">
        <f>+$W$5-Tabla2[[#This Row],[FECHA DE FACTURACIÓN]]</f>
        <v>247</v>
      </c>
      <c r="U846" t="str">
        <f>+IF(Tabla2[[#This Row],[dias de credito]]&gt;=Tabla2[[#This Row],[PLAZO Días]],"venc", "No venc")</f>
        <v>venc</v>
      </c>
      <c r="V846" t="str">
        <f>+IF(Tabla2[[#This Row],[FECHA DE PAGO]]&gt;0,"pagada","por pagar")</f>
        <v>pagada</v>
      </c>
      <c r="W846" s="141" t="str">
        <f>+IF(AND(Tabla2[[#This Row],[venc]]="venc",Tabla2[[#This Row],[Columna1]]="por pagar"),"vencida","no")</f>
        <v>no</v>
      </c>
    </row>
    <row r="847" spans="1:23" ht="15.6" hidden="1" x14ac:dyDescent="0.3">
      <c r="A847" s="20">
        <v>60</v>
      </c>
      <c r="B847" s="25">
        <v>395600</v>
      </c>
      <c r="C847" s="25"/>
      <c r="D847" s="56" t="s">
        <v>1482</v>
      </c>
      <c r="E847" s="426">
        <v>45051</v>
      </c>
      <c r="F847" s="26" t="s">
        <v>287</v>
      </c>
      <c r="G847" s="426">
        <v>45037</v>
      </c>
      <c r="H847" s="35">
        <v>1662</v>
      </c>
      <c r="I847" s="21">
        <v>188200</v>
      </c>
      <c r="J847" s="21"/>
      <c r="K847" s="22">
        <v>0</v>
      </c>
      <c r="L847" s="23"/>
      <c r="M847" s="22">
        <v>0</v>
      </c>
      <c r="N847" s="74">
        <v>0</v>
      </c>
      <c r="O847" s="22">
        <v>0</v>
      </c>
      <c r="P847" s="21">
        <v>188200</v>
      </c>
      <c r="S847" s="108" t="b">
        <f>OR(COUNTIF(Tabla2[[#This Row],[PROVEEDOR]],"*"&amp;'Palabra no opera'!$A$2&amp;"*"))</f>
        <v>0</v>
      </c>
      <c r="T847" s="139">
        <f>+$W$5-Tabla2[[#This Row],[FECHA DE FACTURACIÓN]]</f>
        <v>254</v>
      </c>
      <c r="U847" t="str">
        <f>+IF(Tabla2[[#This Row],[dias de credito]]&gt;=Tabla2[[#This Row],[PLAZO Días]],"venc", "No venc")</f>
        <v>venc</v>
      </c>
      <c r="V847" t="str">
        <f>+IF(Tabla2[[#This Row],[FECHA DE PAGO]]&gt;0,"pagada","por pagar")</f>
        <v>pagada</v>
      </c>
      <c r="W847" s="141" t="str">
        <f>+IF(AND(Tabla2[[#This Row],[venc]]="venc",Tabla2[[#This Row],[Columna1]]="por pagar"),"vencida","no")</f>
        <v>no</v>
      </c>
    </row>
    <row r="848" spans="1:23" ht="15.6" hidden="1" x14ac:dyDescent="0.3">
      <c r="A848" s="20">
        <v>60</v>
      </c>
      <c r="B848" s="25">
        <v>395600</v>
      </c>
      <c r="C848" s="25"/>
      <c r="D848" s="56" t="s">
        <v>1482</v>
      </c>
      <c r="E848" s="426">
        <v>45051</v>
      </c>
      <c r="F848" s="26" t="s">
        <v>287</v>
      </c>
      <c r="G848" s="426">
        <v>45037</v>
      </c>
      <c r="H848" s="35">
        <v>1663</v>
      </c>
      <c r="I848" s="21">
        <v>188200</v>
      </c>
      <c r="J848" s="21"/>
      <c r="K848" s="22">
        <v>0</v>
      </c>
      <c r="L848" s="23"/>
      <c r="M848" s="22">
        <v>0</v>
      </c>
      <c r="N848" s="74">
        <v>0</v>
      </c>
      <c r="O848" s="22">
        <v>0</v>
      </c>
      <c r="P848" s="21">
        <v>188200</v>
      </c>
      <c r="S848" s="108" t="b">
        <f>OR(COUNTIF(Tabla2[[#This Row],[PROVEEDOR]],"*"&amp;'Palabra no opera'!$A$2&amp;"*"))</f>
        <v>0</v>
      </c>
      <c r="T848" s="139">
        <f>+$W$5-Tabla2[[#This Row],[FECHA DE FACTURACIÓN]]</f>
        <v>254</v>
      </c>
      <c r="U848" t="str">
        <f>+IF(Tabla2[[#This Row],[dias de credito]]&gt;=Tabla2[[#This Row],[PLAZO Días]],"venc", "No venc")</f>
        <v>venc</v>
      </c>
      <c r="V848" t="str">
        <f>+IF(Tabla2[[#This Row],[FECHA DE PAGO]]&gt;0,"pagada","por pagar")</f>
        <v>pagada</v>
      </c>
      <c r="W848" s="141" t="str">
        <f>+IF(AND(Tabla2[[#This Row],[venc]]="venc",Tabla2[[#This Row],[Columna1]]="por pagar"),"vencida","no")</f>
        <v>no</v>
      </c>
    </row>
    <row r="849" spans="1:23" ht="15.6" hidden="1" x14ac:dyDescent="0.3">
      <c r="A849" s="20">
        <v>60</v>
      </c>
      <c r="B849" s="25">
        <v>395600</v>
      </c>
      <c r="C849" s="25"/>
      <c r="D849" s="56" t="s">
        <v>1482</v>
      </c>
      <c r="E849" s="426">
        <v>45051</v>
      </c>
      <c r="F849" s="26" t="s">
        <v>287</v>
      </c>
      <c r="G849" s="426">
        <v>45022</v>
      </c>
      <c r="H849" s="35">
        <v>1649</v>
      </c>
      <c r="I849" s="21">
        <v>319600</v>
      </c>
      <c r="J849" s="21"/>
      <c r="K849" s="22">
        <v>0</v>
      </c>
      <c r="L849" s="23"/>
      <c r="M849" s="22">
        <v>0</v>
      </c>
      <c r="N849" s="74">
        <v>0</v>
      </c>
      <c r="O849" s="22">
        <v>0</v>
      </c>
      <c r="P849" s="21">
        <v>319600</v>
      </c>
      <c r="S849" s="108" t="b">
        <f>OR(COUNTIF(Tabla2[[#This Row],[PROVEEDOR]],"*"&amp;'Palabra no opera'!$A$2&amp;"*"))</f>
        <v>0</v>
      </c>
      <c r="T849" s="139">
        <f>+$W$5-Tabla2[[#This Row],[FECHA DE FACTURACIÓN]]</f>
        <v>269</v>
      </c>
      <c r="U849" t="str">
        <f>+IF(Tabla2[[#This Row],[dias de credito]]&gt;=Tabla2[[#This Row],[PLAZO Días]],"venc", "No venc")</f>
        <v>venc</v>
      </c>
      <c r="V849" t="str">
        <f>+IF(Tabla2[[#This Row],[FECHA DE PAGO]]&gt;0,"pagada","por pagar")</f>
        <v>pagada</v>
      </c>
      <c r="W849" s="141" t="str">
        <f>+IF(AND(Tabla2[[#This Row],[venc]]="venc",Tabla2[[#This Row],[Columna1]]="por pagar"),"vencida","no")</f>
        <v>no</v>
      </c>
    </row>
    <row r="850" spans="1:23" ht="15.6" hidden="1" x14ac:dyDescent="0.3">
      <c r="A850" s="20">
        <v>60</v>
      </c>
      <c r="B850" s="25">
        <v>395600</v>
      </c>
      <c r="C850" s="25"/>
      <c r="D850" s="56" t="s">
        <v>1482</v>
      </c>
      <c r="E850" s="426">
        <v>45051</v>
      </c>
      <c r="F850" s="26" t="s">
        <v>287</v>
      </c>
      <c r="G850" s="426">
        <v>45022</v>
      </c>
      <c r="H850" s="35">
        <v>1650</v>
      </c>
      <c r="I850" s="21">
        <v>338400</v>
      </c>
      <c r="J850" s="21"/>
      <c r="K850" s="22">
        <v>0</v>
      </c>
      <c r="L850" s="23"/>
      <c r="M850" s="22">
        <v>0</v>
      </c>
      <c r="N850" s="74">
        <v>0</v>
      </c>
      <c r="O850" s="22">
        <v>0</v>
      </c>
      <c r="P850" s="21">
        <v>338400</v>
      </c>
      <c r="S850" s="108" t="b">
        <f>OR(COUNTIF(Tabla2[[#This Row],[PROVEEDOR]],"*"&amp;'Palabra no opera'!$A$2&amp;"*"))</f>
        <v>0</v>
      </c>
      <c r="T850" s="139">
        <f>+$W$5-Tabla2[[#This Row],[FECHA DE FACTURACIÓN]]</f>
        <v>269</v>
      </c>
      <c r="U850" t="str">
        <f>+IF(Tabla2[[#This Row],[dias de credito]]&gt;=Tabla2[[#This Row],[PLAZO Días]],"venc", "No venc")</f>
        <v>venc</v>
      </c>
      <c r="V850" t="str">
        <f>+IF(Tabla2[[#This Row],[FECHA DE PAGO]]&gt;0,"pagada","por pagar")</f>
        <v>pagada</v>
      </c>
      <c r="W850" s="141" t="str">
        <f>+IF(AND(Tabla2[[#This Row],[venc]]="venc",Tabla2[[#This Row],[Columna1]]="por pagar"),"vencida","no")</f>
        <v>no</v>
      </c>
    </row>
    <row r="851" spans="1:23" ht="15.6" hidden="1" x14ac:dyDescent="0.3">
      <c r="A851" s="20">
        <v>60</v>
      </c>
      <c r="B851" s="25">
        <v>395600</v>
      </c>
      <c r="C851" s="25"/>
      <c r="D851" s="56" t="s">
        <v>1482</v>
      </c>
      <c r="E851" s="426">
        <v>45051</v>
      </c>
      <c r="F851" s="26" t="s">
        <v>287</v>
      </c>
      <c r="G851" s="426">
        <v>45022</v>
      </c>
      <c r="H851" s="35">
        <v>1651</v>
      </c>
      <c r="I851" s="21">
        <v>755290</v>
      </c>
      <c r="J851" s="21"/>
      <c r="K851" s="22">
        <v>0</v>
      </c>
      <c r="L851" s="23"/>
      <c r="M851" s="22">
        <v>0</v>
      </c>
      <c r="N851" s="74">
        <v>0</v>
      </c>
      <c r="O851" s="22">
        <v>0</v>
      </c>
      <c r="P851" s="21">
        <v>755290</v>
      </c>
      <c r="S851" s="108" t="b">
        <f>OR(COUNTIF(Tabla2[[#This Row],[PROVEEDOR]],"*"&amp;'Palabra no opera'!$A$2&amp;"*"))</f>
        <v>0</v>
      </c>
      <c r="T851" s="139">
        <f>+$W$5-Tabla2[[#This Row],[FECHA DE FACTURACIÓN]]</f>
        <v>269</v>
      </c>
      <c r="U851" t="str">
        <f>+IF(Tabla2[[#This Row],[dias de credito]]&gt;=Tabla2[[#This Row],[PLAZO Días]],"venc", "No venc")</f>
        <v>venc</v>
      </c>
      <c r="V851" t="str">
        <f>+IF(Tabla2[[#This Row],[FECHA DE PAGO]]&gt;0,"pagada","por pagar")</f>
        <v>pagada</v>
      </c>
      <c r="W851" s="141" t="str">
        <f>+IF(AND(Tabla2[[#This Row],[venc]]="venc",Tabla2[[#This Row],[Columna1]]="por pagar"),"vencida","no")</f>
        <v>no</v>
      </c>
    </row>
    <row r="852" spans="1:23" ht="15.6" hidden="1" x14ac:dyDescent="0.3">
      <c r="A852" s="20">
        <v>60</v>
      </c>
      <c r="B852" s="25">
        <v>395600</v>
      </c>
      <c r="C852" s="25"/>
      <c r="D852" s="56" t="s">
        <v>1482</v>
      </c>
      <c r="E852" s="426">
        <v>45051</v>
      </c>
      <c r="F852" s="26" t="s">
        <v>287</v>
      </c>
      <c r="G852" s="426">
        <v>45017</v>
      </c>
      <c r="H852" s="35" t="s">
        <v>1573</v>
      </c>
      <c r="I852" s="21">
        <v>169670</v>
      </c>
      <c r="J852" s="21"/>
      <c r="K852" s="22">
        <v>0</v>
      </c>
      <c r="L852" s="23"/>
      <c r="M852" s="22">
        <v>0</v>
      </c>
      <c r="N852" s="74">
        <v>0</v>
      </c>
      <c r="O852" s="22">
        <v>0</v>
      </c>
      <c r="P852" s="21">
        <v>169670</v>
      </c>
      <c r="S852" s="108" t="b">
        <f>OR(COUNTIF(Tabla2[[#This Row],[PROVEEDOR]],"*"&amp;'Palabra no opera'!$A$2&amp;"*"))</f>
        <v>0</v>
      </c>
      <c r="T852" s="139">
        <f>+$W$5-Tabla2[[#This Row],[FECHA DE FACTURACIÓN]]</f>
        <v>274</v>
      </c>
      <c r="U852" t="str">
        <f>+IF(Tabla2[[#This Row],[dias de credito]]&gt;=Tabla2[[#This Row],[PLAZO Días]],"venc", "No venc")</f>
        <v>venc</v>
      </c>
      <c r="V852" t="str">
        <f>+IF(Tabla2[[#This Row],[FECHA DE PAGO]]&gt;0,"pagada","por pagar")</f>
        <v>pagada</v>
      </c>
      <c r="W852" s="141" t="str">
        <f>+IF(AND(Tabla2[[#This Row],[venc]]="venc",Tabla2[[#This Row],[Columna1]]="por pagar"),"vencida","no")</f>
        <v>no</v>
      </c>
    </row>
    <row r="853" spans="1:23" ht="15.6" hidden="1" x14ac:dyDescent="0.3">
      <c r="A853" s="20">
        <v>45</v>
      </c>
      <c r="B853" s="25">
        <v>3074500</v>
      </c>
      <c r="C853" s="25"/>
      <c r="D853" s="56" t="s">
        <v>1482</v>
      </c>
      <c r="E853" s="426">
        <v>45051</v>
      </c>
      <c r="F853" s="26" t="s">
        <v>289</v>
      </c>
      <c r="G853" s="426">
        <v>45017</v>
      </c>
      <c r="H853" s="35">
        <v>1647</v>
      </c>
      <c r="I853" s="21">
        <v>1853680</v>
      </c>
      <c r="J853" s="21"/>
      <c r="K853" s="22">
        <v>0</v>
      </c>
      <c r="L853" s="23"/>
      <c r="M853" s="22">
        <v>0</v>
      </c>
      <c r="N853" s="74">
        <v>0</v>
      </c>
      <c r="O853" s="22">
        <v>0</v>
      </c>
      <c r="P853" s="21">
        <v>1853680</v>
      </c>
      <c r="S853" s="108" t="b">
        <f>OR(COUNTIF(Tabla2[[#This Row],[PROVEEDOR]],"*"&amp;'Palabra no opera'!$A$2&amp;"*"))</f>
        <v>0</v>
      </c>
      <c r="T853" s="139">
        <f>+$W$5-Tabla2[[#This Row],[FECHA DE FACTURACIÓN]]</f>
        <v>274</v>
      </c>
      <c r="U853" t="str">
        <f>+IF(Tabla2[[#This Row],[dias de credito]]&gt;=Tabla2[[#This Row],[PLAZO Días]],"venc", "No venc")</f>
        <v>venc</v>
      </c>
      <c r="V853" t="str">
        <f>+IF(Tabla2[[#This Row],[FECHA DE PAGO]]&gt;0,"pagada","por pagar")</f>
        <v>pagada</v>
      </c>
      <c r="W853" s="141" t="str">
        <f>+IF(AND(Tabla2[[#This Row],[venc]]="venc",Tabla2[[#This Row],[Columna1]]="por pagar"),"vencida","no")</f>
        <v>no</v>
      </c>
    </row>
    <row r="854" spans="1:23" ht="15.6" hidden="1" x14ac:dyDescent="0.3">
      <c r="A854" s="20">
        <v>30</v>
      </c>
      <c r="B854" s="25">
        <v>0</v>
      </c>
      <c r="C854" s="25"/>
      <c r="D854" s="56" t="s">
        <v>659</v>
      </c>
      <c r="E854" s="426">
        <v>45049</v>
      </c>
      <c r="F854" s="26" t="s">
        <v>227</v>
      </c>
      <c r="G854" s="426">
        <v>45049</v>
      </c>
      <c r="H854" s="35" t="s">
        <v>1687</v>
      </c>
      <c r="I854" s="21">
        <v>1740000</v>
      </c>
      <c r="J854" s="21"/>
      <c r="K854" s="22">
        <v>0</v>
      </c>
      <c r="L854" s="23"/>
      <c r="M854" s="22">
        <v>0</v>
      </c>
      <c r="N854" s="74">
        <v>0</v>
      </c>
      <c r="O854" s="22">
        <v>0</v>
      </c>
      <c r="P854" s="21">
        <v>1740000</v>
      </c>
      <c r="S854" s="108" t="b">
        <f>OR(COUNTIF(Tabla2[[#This Row],[PROVEEDOR]],"*"&amp;'Palabra no opera'!$A$2&amp;"*"))</f>
        <v>0</v>
      </c>
      <c r="T854" s="139">
        <f>+$W$5-Tabla2[[#This Row],[FECHA DE FACTURACIÓN]]</f>
        <v>242</v>
      </c>
      <c r="U854" t="str">
        <f>+IF(Tabla2[[#This Row],[dias de credito]]&gt;=Tabla2[[#This Row],[PLAZO Días]],"venc", "No venc")</f>
        <v>venc</v>
      </c>
      <c r="V854" t="str">
        <f>+IF(Tabla2[[#This Row],[FECHA DE PAGO]]&gt;0,"pagada","por pagar")</f>
        <v>pagada</v>
      </c>
      <c r="W854" s="141" t="str">
        <f>+IF(AND(Tabla2[[#This Row],[venc]]="venc",Tabla2[[#This Row],[Columna1]]="por pagar"),"vencida","no")</f>
        <v>no</v>
      </c>
    </row>
    <row r="855" spans="1:23" ht="15.6" hidden="1" x14ac:dyDescent="0.3">
      <c r="A855" s="20">
        <v>30</v>
      </c>
      <c r="B855" s="25">
        <v>2950000</v>
      </c>
      <c r="C855" s="25"/>
      <c r="D855" s="56">
        <v>0</v>
      </c>
      <c r="E855" s="426">
        <v>45049</v>
      </c>
      <c r="F855" s="26" t="s">
        <v>1152</v>
      </c>
      <c r="G855" s="426">
        <v>45013</v>
      </c>
      <c r="H855" s="35">
        <v>10379</v>
      </c>
      <c r="I855" s="21">
        <v>525000</v>
      </c>
      <c r="J855" s="21"/>
      <c r="K855" s="22">
        <v>0</v>
      </c>
      <c r="L855" s="23"/>
      <c r="M855" s="22">
        <v>0</v>
      </c>
      <c r="N855" s="74">
        <v>0</v>
      </c>
      <c r="O855" s="22">
        <v>0</v>
      </c>
      <c r="P855" s="21">
        <v>525000</v>
      </c>
      <c r="S855" s="108" t="b">
        <f>OR(COUNTIF(Tabla2[[#This Row],[PROVEEDOR]],"*"&amp;'Palabra no opera'!$A$2&amp;"*"))</f>
        <v>0</v>
      </c>
      <c r="T855" s="139">
        <f>+$W$5-Tabla2[[#This Row],[FECHA DE FACTURACIÓN]]</f>
        <v>278</v>
      </c>
      <c r="U855" t="str">
        <f>+IF(Tabla2[[#This Row],[dias de credito]]&gt;=Tabla2[[#This Row],[PLAZO Días]],"venc", "No venc")</f>
        <v>venc</v>
      </c>
      <c r="V855" t="str">
        <f>+IF(Tabla2[[#This Row],[FECHA DE PAGO]]&gt;0,"pagada","por pagar")</f>
        <v>pagada</v>
      </c>
      <c r="W855" s="141" t="str">
        <f>+IF(AND(Tabla2[[#This Row],[venc]]="venc",Tabla2[[#This Row],[Columna1]]="por pagar"),"vencida","no")</f>
        <v>no</v>
      </c>
    </row>
    <row r="856" spans="1:23" ht="15.6" hidden="1" x14ac:dyDescent="0.3">
      <c r="A856" s="20">
        <v>30</v>
      </c>
      <c r="B856" s="25">
        <v>0</v>
      </c>
      <c r="C856" s="25"/>
      <c r="D856" s="56" t="s">
        <v>107</v>
      </c>
      <c r="E856" s="426">
        <v>45049</v>
      </c>
      <c r="F856" s="26" t="s">
        <v>409</v>
      </c>
      <c r="G856" s="426">
        <v>45013</v>
      </c>
      <c r="H856" s="35">
        <v>43</v>
      </c>
      <c r="I856" s="21">
        <v>226000</v>
      </c>
      <c r="J856" s="21"/>
      <c r="K856" s="22">
        <v>0</v>
      </c>
      <c r="L856" s="23"/>
      <c r="M856" s="22">
        <v>0</v>
      </c>
      <c r="N856" s="74">
        <v>0</v>
      </c>
      <c r="O856" s="22">
        <v>0</v>
      </c>
      <c r="P856" s="21">
        <v>226000</v>
      </c>
      <c r="S856" s="108" t="b">
        <f>OR(COUNTIF(Tabla2[[#This Row],[PROVEEDOR]],"*"&amp;'Palabra no opera'!$A$2&amp;"*"))</f>
        <v>0</v>
      </c>
      <c r="T856" s="139">
        <f>+$W$5-Tabla2[[#This Row],[FECHA DE FACTURACIÓN]]</f>
        <v>278</v>
      </c>
      <c r="U856" t="str">
        <f>+IF(Tabla2[[#This Row],[dias de credito]]&gt;=Tabla2[[#This Row],[PLAZO Días]],"venc", "No venc")</f>
        <v>venc</v>
      </c>
      <c r="V856" t="str">
        <f>+IF(Tabla2[[#This Row],[FECHA DE PAGO]]&gt;0,"pagada","por pagar")</f>
        <v>pagada</v>
      </c>
      <c r="W856" s="141" t="str">
        <f>+IF(AND(Tabla2[[#This Row],[venc]]="venc",Tabla2[[#This Row],[Columna1]]="por pagar"),"vencida","no")</f>
        <v>no</v>
      </c>
    </row>
    <row r="857" spans="1:23" ht="15.6" hidden="1" x14ac:dyDescent="0.3">
      <c r="A857" s="20">
        <v>30</v>
      </c>
      <c r="B857" s="25">
        <v>2100000</v>
      </c>
      <c r="C857" s="25"/>
      <c r="D857" s="56" t="s">
        <v>107</v>
      </c>
      <c r="E857" s="426">
        <v>45049</v>
      </c>
      <c r="F857" s="26" t="s">
        <v>349</v>
      </c>
      <c r="G857" s="426">
        <v>45008</v>
      </c>
      <c r="H857" s="35" t="s">
        <v>1552</v>
      </c>
      <c r="I857" s="21">
        <v>4835000</v>
      </c>
      <c r="J857" s="21"/>
      <c r="K857" s="22">
        <v>0</v>
      </c>
      <c r="L857" s="23"/>
      <c r="M857" s="22">
        <v>0</v>
      </c>
      <c r="N857" s="74">
        <v>0</v>
      </c>
      <c r="O857" s="22">
        <v>0</v>
      </c>
      <c r="P857" s="21">
        <v>4835000</v>
      </c>
      <c r="S857" s="108" t="b">
        <f>OR(COUNTIF(Tabla2[[#This Row],[PROVEEDOR]],"*"&amp;'Palabra no opera'!$A$2&amp;"*"))</f>
        <v>0</v>
      </c>
      <c r="T857" s="139">
        <f>+$W$5-Tabla2[[#This Row],[FECHA DE FACTURACIÓN]]</f>
        <v>283</v>
      </c>
      <c r="U857" t="str">
        <f>+IF(Tabla2[[#This Row],[dias de credito]]&gt;=Tabla2[[#This Row],[PLAZO Días]],"venc", "No venc")</f>
        <v>venc</v>
      </c>
      <c r="V857" t="str">
        <f>+IF(Tabla2[[#This Row],[FECHA DE PAGO]]&gt;0,"pagada","por pagar")</f>
        <v>pagada</v>
      </c>
      <c r="W857" s="141" t="str">
        <f>+IF(AND(Tabla2[[#This Row],[venc]]="venc",Tabla2[[#This Row],[Columna1]]="por pagar"),"vencida","no")</f>
        <v>no</v>
      </c>
    </row>
    <row r="858" spans="1:23" ht="15.6" hidden="1" x14ac:dyDescent="0.3">
      <c r="A858" s="20">
        <v>30</v>
      </c>
      <c r="B858" s="25">
        <v>0</v>
      </c>
      <c r="C858" s="25"/>
      <c r="D858" s="56" t="s">
        <v>107</v>
      </c>
      <c r="E858" s="426">
        <v>45049</v>
      </c>
      <c r="F858" s="26" t="s">
        <v>409</v>
      </c>
      <c r="G858" s="426">
        <v>44999</v>
      </c>
      <c r="H858" s="35">
        <v>42</v>
      </c>
      <c r="I858" s="21">
        <v>86000</v>
      </c>
      <c r="J858" s="21"/>
      <c r="K858" s="22">
        <v>0</v>
      </c>
      <c r="L858" s="23"/>
      <c r="M858" s="22">
        <v>0</v>
      </c>
      <c r="N858" s="74">
        <v>0</v>
      </c>
      <c r="O858" s="22">
        <v>0</v>
      </c>
      <c r="P858" s="21">
        <v>86000</v>
      </c>
      <c r="S858" s="108" t="b">
        <f>OR(COUNTIF(Tabla2[[#This Row],[PROVEEDOR]],"*"&amp;'Palabra no opera'!$A$2&amp;"*"))</f>
        <v>0</v>
      </c>
      <c r="T858" s="139">
        <f>+$W$5-Tabla2[[#This Row],[FECHA DE FACTURACIÓN]]</f>
        <v>292</v>
      </c>
      <c r="U858" t="str">
        <f>+IF(Tabla2[[#This Row],[dias de credito]]&gt;=Tabla2[[#This Row],[PLAZO Días]],"venc", "No venc")</f>
        <v>venc</v>
      </c>
      <c r="V858" t="str">
        <f>+IF(Tabla2[[#This Row],[FECHA DE PAGO]]&gt;0,"pagada","por pagar")</f>
        <v>pagada</v>
      </c>
      <c r="W858" s="141" t="str">
        <f>+IF(AND(Tabla2[[#This Row],[venc]]="venc",Tabla2[[#This Row],[Columna1]]="por pagar"),"vencida","no")</f>
        <v>no</v>
      </c>
    </row>
    <row r="859" spans="1:23" ht="15.6" hidden="1" x14ac:dyDescent="0.3">
      <c r="A859" s="20">
        <v>30</v>
      </c>
      <c r="B859" s="25">
        <v>0</v>
      </c>
      <c r="C859" s="25"/>
      <c r="D859" s="56" t="s">
        <v>107</v>
      </c>
      <c r="E859" s="426">
        <v>45049</v>
      </c>
      <c r="F859" s="26" t="s">
        <v>409</v>
      </c>
      <c r="G859" s="426">
        <v>44993</v>
      </c>
      <c r="H859" s="35">
        <v>41</v>
      </c>
      <c r="I859" s="21">
        <v>468000</v>
      </c>
      <c r="J859" s="21"/>
      <c r="K859" s="22">
        <v>0</v>
      </c>
      <c r="L859" s="23"/>
      <c r="M859" s="22">
        <v>0</v>
      </c>
      <c r="N859" s="74">
        <v>0</v>
      </c>
      <c r="O859" s="22">
        <v>0</v>
      </c>
      <c r="P859" s="21">
        <v>468000</v>
      </c>
      <c r="S859" s="108" t="b">
        <f>OR(COUNTIF(Tabla2[[#This Row],[PROVEEDOR]],"*"&amp;'Palabra no opera'!$A$2&amp;"*"))</f>
        <v>0</v>
      </c>
      <c r="T859" s="139">
        <f>+$W$5-Tabla2[[#This Row],[FECHA DE FACTURACIÓN]]</f>
        <v>298</v>
      </c>
      <c r="U859" t="str">
        <f>+IF(Tabla2[[#This Row],[dias de credito]]&gt;=Tabla2[[#This Row],[PLAZO Días]],"venc", "No venc")</f>
        <v>venc</v>
      </c>
      <c r="V859" t="str">
        <f>+IF(Tabla2[[#This Row],[FECHA DE PAGO]]&gt;0,"pagada","por pagar")</f>
        <v>pagada</v>
      </c>
      <c r="W859" s="141" t="str">
        <f>+IF(AND(Tabla2[[#This Row],[venc]]="venc",Tabla2[[#This Row],[Columna1]]="por pagar"),"vencida","no")</f>
        <v>no</v>
      </c>
    </row>
    <row r="860" spans="1:23" ht="15.6" hidden="1" x14ac:dyDescent="0.3">
      <c r="A860" s="20">
        <v>30</v>
      </c>
      <c r="B860" s="25">
        <v>0</v>
      </c>
      <c r="C860" s="25"/>
      <c r="D860" s="56" t="s">
        <v>107</v>
      </c>
      <c r="E860" s="426">
        <v>45049</v>
      </c>
      <c r="F860" s="26" t="s">
        <v>409</v>
      </c>
      <c r="G860" s="426">
        <v>44985</v>
      </c>
      <c r="H860" s="35">
        <v>40</v>
      </c>
      <c r="I860" s="21">
        <v>113000</v>
      </c>
      <c r="J860" s="21"/>
      <c r="K860" s="22">
        <v>0</v>
      </c>
      <c r="L860" s="23"/>
      <c r="M860" s="22">
        <v>0</v>
      </c>
      <c r="N860" s="74">
        <v>0</v>
      </c>
      <c r="O860" s="22">
        <v>0</v>
      </c>
      <c r="P860" s="21">
        <v>113000</v>
      </c>
      <c r="S860" s="108" t="b">
        <f>OR(COUNTIF(Tabla2[[#This Row],[PROVEEDOR]],"*"&amp;'Palabra no opera'!$A$2&amp;"*"))</f>
        <v>0</v>
      </c>
      <c r="T860" s="139">
        <f>+$W$5-Tabla2[[#This Row],[FECHA DE FACTURACIÓN]]</f>
        <v>306</v>
      </c>
      <c r="U860" t="str">
        <f>+IF(Tabla2[[#This Row],[dias de credito]]&gt;=Tabla2[[#This Row],[PLAZO Días]],"venc", "No venc")</f>
        <v>venc</v>
      </c>
      <c r="V860" t="str">
        <f>+IF(Tabla2[[#This Row],[FECHA DE PAGO]]&gt;0,"pagada","por pagar")</f>
        <v>pagada</v>
      </c>
      <c r="W860" s="141" t="str">
        <f>+IF(AND(Tabla2[[#This Row],[venc]]="venc",Tabla2[[#This Row],[Columna1]]="por pagar"),"vencida","no")</f>
        <v>no</v>
      </c>
    </row>
    <row r="861" spans="1:23" ht="15.6" hidden="1" x14ac:dyDescent="0.3">
      <c r="A861" s="20">
        <v>30</v>
      </c>
      <c r="B861" s="25">
        <v>0</v>
      </c>
      <c r="C861" s="25"/>
      <c r="D861" s="56" t="s">
        <v>107</v>
      </c>
      <c r="E861" s="426">
        <v>45049</v>
      </c>
      <c r="F861" s="26" t="s">
        <v>409</v>
      </c>
      <c r="G861" s="426">
        <v>44982</v>
      </c>
      <c r="H861" s="35">
        <v>39</v>
      </c>
      <c r="I861" s="21">
        <v>26600</v>
      </c>
      <c r="J861" s="21"/>
      <c r="K861" s="22">
        <v>0</v>
      </c>
      <c r="L861" s="23"/>
      <c r="M861" s="22">
        <v>0</v>
      </c>
      <c r="N861" s="74">
        <v>0</v>
      </c>
      <c r="O861" s="22">
        <v>0</v>
      </c>
      <c r="P861" s="21">
        <v>26600</v>
      </c>
      <c r="S861" s="108" t="b">
        <f>OR(COUNTIF(Tabla2[[#This Row],[PROVEEDOR]],"*"&amp;'Palabra no opera'!$A$2&amp;"*"))</f>
        <v>0</v>
      </c>
      <c r="T861" s="139">
        <f>+$W$5-Tabla2[[#This Row],[FECHA DE FACTURACIÓN]]</f>
        <v>309</v>
      </c>
      <c r="U861" t="str">
        <f>+IF(Tabla2[[#This Row],[dias de credito]]&gt;=Tabla2[[#This Row],[PLAZO Días]],"venc", "No venc")</f>
        <v>venc</v>
      </c>
      <c r="V861" t="str">
        <f>+IF(Tabla2[[#This Row],[FECHA DE PAGO]]&gt;0,"pagada","por pagar")</f>
        <v>pagada</v>
      </c>
      <c r="W861" s="141" t="str">
        <f>+IF(AND(Tabla2[[#This Row],[venc]]="venc",Tabla2[[#This Row],[Columna1]]="por pagar"),"vencida","no")</f>
        <v>no</v>
      </c>
    </row>
    <row r="862" spans="1:23" ht="15.6" hidden="1" x14ac:dyDescent="0.3">
      <c r="A862" s="20">
        <v>30</v>
      </c>
      <c r="B862" s="25">
        <v>0</v>
      </c>
      <c r="C862" s="25"/>
      <c r="D862" s="56" t="s">
        <v>107</v>
      </c>
      <c r="E862" s="426">
        <v>45049</v>
      </c>
      <c r="F862" s="26" t="s">
        <v>409</v>
      </c>
      <c r="G862" s="426">
        <v>44978</v>
      </c>
      <c r="H862" s="35">
        <v>38</v>
      </c>
      <c r="I862" s="21">
        <v>102000</v>
      </c>
      <c r="J862" s="21"/>
      <c r="K862" s="22">
        <v>0</v>
      </c>
      <c r="L862" s="23"/>
      <c r="M862" s="22">
        <v>0</v>
      </c>
      <c r="N862" s="74">
        <v>0</v>
      </c>
      <c r="O862" s="22">
        <v>0</v>
      </c>
      <c r="P862" s="21">
        <v>102000</v>
      </c>
      <c r="S862" s="108" t="b">
        <f>OR(COUNTIF(Tabla2[[#This Row],[PROVEEDOR]],"*"&amp;'Palabra no opera'!$A$2&amp;"*"))</f>
        <v>0</v>
      </c>
      <c r="T862" s="139">
        <f>+$W$5-Tabla2[[#This Row],[FECHA DE FACTURACIÓN]]</f>
        <v>313</v>
      </c>
      <c r="U862" t="str">
        <f>+IF(Tabla2[[#This Row],[dias de credito]]&gt;=Tabla2[[#This Row],[PLAZO Días]],"venc", "No venc")</f>
        <v>venc</v>
      </c>
      <c r="V862" t="str">
        <f>+IF(Tabla2[[#This Row],[FECHA DE PAGO]]&gt;0,"pagada","por pagar")</f>
        <v>pagada</v>
      </c>
      <c r="W862" s="141" t="str">
        <f>+IF(AND(Tabla2[[#This Row],[venc]]="venc",Tabla2[[#This Row],[Columna1]]="por pagar"),"vencida","no")</f>
        <v>no</v>
      </c>
    </row>
    <row r="863" spans="1:23" ht="15.6" hidden="1" x14ac:dyDescent="0.3">
      <c r="A863" s="20">
        <v>30</v>
      </c>
      <c r="B863" s="25">
        <v>0</v>
      </c>
      <c r="C863" s="25"/>
      <c r="D863" s="56" t="s">
        <v>107</v>
      </c>
      <c r="E863" s="426">
        <v>45049</v>
      </c>
      <c r="F863" s="26" t="s">
        <v>409</v>
      </c>
      <c r="G863" s="426">
        <v>44975</v>
      </c>
      <c r="H863" s="35">
        <v>37</v>
      </c>
      <c r="I863" s="21">
        <v>78000</v>
      </c>
      <c r="J863" s="21"/>
      <c r="K863" s="22">
        <v>0</v>
      </c>
      <c r="L863" s="23"/>
      <c r="M863" s="22">
        <v>0</v>
      </c>
      <c r="N863" s="74">
        <v>0</v>
      </c>
      <c r="O863" s="22">
        <v>0</v>
      </c>
      <c r="P863" s="21">
        <v>78000</v>
      </c>
      <c r="S863" s="108" t="b">
        <f>OR(COUNTIF(Tabla2[[#This Row],[PROVEEDOR]],"*"&amp;'Palabra no opera'!$A$2&amp;"*"))</f>
        <v>0</v>
      </c>
      <c r="T863" s="139">
        <f>+$W$5-Tabla2[[#This Row],[FECHA DE FACTURACIÓN]]</f>
        <v>316</v>
      </c>
      <c r="U863" t="str">
        <f>+IF(Tabla2[[#This Row],[dias de credito]]&gt;=Tabla2[[#This Row],[PLAZO Días]],"venc", "No venc")</f>
        <v>venc</v>
      </c>
      <c r="V863" t="str">
        <f>+IF(Tabla2[[#This Row],[FECHA DE PAGO]]&gt;0,"pagada","por pagar")</f>
        <v>pagada</v>
      </c>
      <c r="W863" s="141" t="str">
        <f>+IF(AND(Tabla2[[#This Row],[venc]]="venc",Tabla2[[#This Row],[Columna1]]="por pagar"),"vencida","no")</f>
        <v>no</v>
      </c>
    </row>
    <row r="864" spans="1:23" ht="15.6" hidden="1" x14ac:dyDescent="0.3">
      <c r="A864" s="20">
        <v>30</v>
      </c>
      <c r="B864" s="25">
        <v>0</v>
      </c>
      <c r="C864" s="25"/>
      <c r="D864" s="56" t="s">
        <v>107</v>
      </c>
      <c r="E864" s="426">
        <v>45049</v>
      </c>
      <c r="F864" s="26" t="s">
        <v>409</v>
      </c>
      <c r="G864" s="426">
        <v>44968</v>
      </c>
      <c r="H864" s="35">
        <v>36</v>
      </c>
      <c r="I864" s="21">
        <v>89000</v>
      </c>
      <c r="J864" s="21"/>
      <c r="K864" s="22">
        <v>0</v>
      </c>
      <c r="L864" s="23"/>
      <c r="M864" s="22">
        <v>0</v>
      </c>
      <c r="N864" s="74">
        <v>0</v>
      </c>
      <c r="O864" s="22">
        <v>0</v>
      </c>
      <c r="P864" s="21">
        <v>89000</v>
      </c>
      <c r="S864" s="108" t="b">
        <f>OR(COUNTIF(Tabla2[[#This Row],[PROVEEDOR]],"*"&amp;'Palabra no opera'!$A$2&amp;"*"))</f>
        <v>0</v>
      </c>
      <c r="T864" s="139">
        <f>+$W$5-Tabla2[[#This Row],[FECHA DE FACTURACIÓN]]</f>
        <v>323</v>
      </c>
      <c r="U864" t="str">
        <f>+IF(Tabla2[[#This Row],[dias de credito]]&gt;=Tabla2[[#This Row],[PLAZO Días]],"venc", "No venc")</f>
        <v>venc</v>
      </c>
      <c r="V864" t="str">
        <f>+IF(Tabla2[[#This Row],[FECHA DE PAGO]]&gt;0,"pagada","por pagar")</f>
        <v>pagada</v>
      </c>
      <c r="W864" s="141" t="str">
        <f>+IF(AND(Tabla2[[#This Row],[venc]]="venc",Tabla2[[#This Row],[Columna1]]="por pagar"),"vencida","no")</f>
        <v>no</v>
      </c>
    </row>
    <row r="865" spans="1:23" ht="15.6" hidden="1" x14ac:dyDescent="0.3">
      <c r="A865" s="20">
        <v>30</v>
      </c>
      <c r="B865" s="25">
        <v>3669750</v>
      </c>
      <c r="C865" s="25"/>
      <c r="D865" s="56" t="s">
        <v>1082</v>
      </c>
      <c r="E865" s="426">
        <v>45048</v>
      </c>
      <c r="F865" s="26" t="s">
        <v>24</v>
      </c>
      <c r="G865" s="426">
        <v>44996</v>
      </c>
      <c r="H865" s="35" t="s">
        <v>1499</v>
      </c>
      <c r="I865" s="21">
        <v>10188720</v>
      </c>
      <c r="J865" s="21"/>
      <c r="K865" s="22">
        <v>1935856.8</v>
      </c>
      <c r="L865" s="23"/>
      <c r="M865" s="22">
        <v>0</v>
      </c>
      <c r="N865" s="74">
        <v>2.5000000000000001E-2</v>
      </c>
      <c r="O865" s="22">
        <v>254718</v>
      </c>
      <c r="P865" s="21">
        <v>11869858.800000001</v>
      </c>
      <c r="S865" s="108" t="b">
        <f>OR(COUNTIF(Tabla2[[#This Row],[PROVEEDOR]],"*"&amp;'Palabra no opera'!$A$2&amp;"*"))</f>
        <v>0</v>
      </c>
      <c r="T865" s="139">
        <f>+$W$5-Tabla2[[#This Row],[FECHA DE FACTURACIÓN]]</f>
        <v>295</v>
      </c>
      <c r="U865" t="str">
        <f>+IF(Tabla2[[#This Row],[dias de credito]]&gt;=Tabla2[[#This Row],[PLAZO Días]],"venc", "No venc")</f>
        <v>venc</v>
      </c>
      <c r="V865" t="str">
        <f>+IF(Tabla2[[#This Row],[FECHA DE PAGO]]&gt;0,"pagada","por pagar")</f>
        <v>pagada</v>
      </c>
      <c r="W865" s="141" t="str">
        <f>+IF(AND(Tabla2[[#This Row],[venc]]="venc",Tabla2[[#This Row],[Columna1]]="por pagar"),"vencida","no")</f>
        <v>no</v>
      </c>
    </row>
    <row r="866" spans="1:23" ht="15.6" hidden="1" x14ac:dyDescent="0.3">
      <c r="A866" s="20">
        <v>30</v>
      </c>
      <c r="B866" s="25">
        <v>18444236.894999996</v>
      </c>
      <c r="C866" s="25"/>
      <c r="D866" s="56" t="s">
        <v>731</v>
      </c>
      <c r="E866" s="426">
        <v>45048</v>
      </c>
      <c r="F866" s="26" t="s">
        <v>11</v>
      </c>
      <c r="G866" s="426">
        <v>44994</v>
      </c>
      <c r="H866" s="35" t="s">
        <v>1495</v>
      </c>
      <c r="I866" s="21">
        <v>3405512</v>
      </c>
      <c r="J866" s="21"/>
      <c r="K866" s="22">
        <v>647047.28</v>
      </c>
      <c r="L866" s="23"/>
      <c r="M866" s="22">
        <v>0</v>
      </c>
      <c r="N866" s="74">
        <v>2.5000000000000001E-2</v>
      </c>
      <c r="O866" s="22">
        <v>85137.8</v>
      </c>
      <c r="P866" s="21">
        <v>3967421.4800000004</v>
      </c>
      <c r="S866" s="108" t="b">
        <f>OR(COUNTIF(Tabla2[[#This Row],[PROVEEDOR]],"*"&amp;'Palabra no opera'!$A$2&amp;"*"))</f>
        <v>0</v>
      </c>
      <c r="T866" s="139">
        <f>+$W$5-Tabla2[[#This Row],[FECHA DE FACTURACIÓN]]</f>
        <v>297</v>
      </c>
      <c r="U866" t="str">
        <f>+IF(Tabla2[[#This Row],[dias de credito]]&gt;=Tabla2[[#This Row],[PLAZO Días]],"venc", "No venc")</f>
        <v>venc</v>
      </c>
      <c r="V866" t="str">
        <f>+IF(Tabla2[[#This Row],[FECHA DE PAGO]]&gt;0,"pagada","por pagar")</f>
        <v>pagada</v>
      </c>
      <c r="W866" s="141" t="str">
        <f>+IF(AND(Tabla2[[#This Row],[venc]]="venc",Tabla2[[#This Row],[Columna1]]="por pagar"),"vencida","no")</f>
        <v>no</v>
      </c>
    </row>
    <row r="867" spans="1:23" ht="15.6" hidden="1" x14ac:dyDescent="0.3">
      <c r="A867" s="20">
        <v>30</v>
      </c>
      <c r="B867" s="25">
        <v>0</v>
      </c>
      <c r="C867" s="25"/>
      <c r="D867" s="56" t="s">
        <v>107</v>
      </c>
      <c r="E867" s="426">
        <v>45046</v>
      </c>
      <c r="F867" s="26" t="s">
        <v>1401</v>
      </c>
      <c r="G867" s="426">
        <v>45046</v>
      </c>
      <c r="H867" s="35" t="s">
        <v>1178</v>
      </c>
      <c r="I867" s="21">
        <v>40000</v>
      </c>
      <c r="J867" s="21"/>
      <c r="K867" s="22">
        <v>0</v>
      </c>
      <c r="L867" s="23"/>
      <c r="M867" s="22">
        <v>0</v>
      </c>
      <c r="N867" s="74">
        <v>0</v>
      </c>
      <c r="O867" s="22">
        <v>0</v>
      </c>
      <c r="P867" s="21">
        <v>40000</v>
      </c>
      <c r="S867" s="108" t="b">
        <f>OR(COUNTIF(Tabla2[[#This Row],[PROVEEDOR]],"*"&amp;'Palabra no opera'!$A$2&amp;"*"))</f>
        <v>0</v>
      </c>
      <c r="T867" s="139">
        <f>+$W$5-Tabla2[[#This Row],[FECHA DE FACTURACIÓN]]</f>
        <v>245</v>
      </c>
      <c r="U867" t="str">
        <f>+IF(Tabla2[[#This Row],[dias de credito]]&gt;=Tabla2[[#This Row],[PLAZO Días]],"venc", "No venc")</f>
        <v>venc</v>
      </c>
      <c r="V867" t="str">
        <f>+IF(Tabla2[[#This Row],[FECHA DE PAGO]]&gt;0,"pagada","por pagar")</f>
        <v>pagada</v>
      </c>
      <c r="W867" s="141" t="str">
        <f>+IF(AND(Tabla2[[#This Row],[venc]]="venc",Tabla2[[#This Row],[Columna1]]="por pagar"),"vencida","no")</f>
        <v>no</v>
      </c>
    </row>
    <row r="868" spans="1:23" ht="15.6" hidden="1" x14ac:dyDescent="0.3">
      <c r="A868" s="20">
        <v>30</v>
      </c>
      <c r="B868" s="25">
        <v>0</v>
      </c>
      <c r="C868" s="25"/>
      <c r="D868" s="56" t="s">
        <v>107</v>
      </c>
      <c r="E868" s="426">
        <v>45046</v>
      </c>
      <c r="F868" s="26" t="s">
        <v>1401</v>
      </c>
      <c r="G868" s="426">
        <v>45046</v>
      </c>
      <c r="H868" s="35" t="s">
        <v>1177</v>
      </c>
      <c r="I868" s="21">
        <v>954000</v>
      </c>
      <c r="J868" s="21"/>
      <c r="K868" s="22">
        <v>0</v>
      </c>
      <c r="L868" s="23"/>
      <c r="M868" s="22">
        <v>0</v>
      </c>
      <c r="N868" s="74">
        <v>0</v>
      </c>
      <c r="O868" s="22">
        <v>0</v>
      </c>
      <c r="P868" s="21">
        <v>954000</v>
      </c>
      <c r="S868" s="108" t="b">
        <f>OR(COUNTIF(Tabla2[[#This Row],[PROVEEDOR]],"*"&amp;'Palabra no opera'!$A$2&amp;"*"))</f>
        <v>0</v>
      </c>
      <c r="T868" s="139">
        <f>+$W$5-Tabla2[[#This Row],[FECHA DE FACTURACIÓN]]</f>
        <v>245</v>
      </c>
      <c r="U868" t="str">
        <f>+IF(Tabla2[[#This Row],[dias de credito]]&gt;=Tabla2[[#This Row],[PLAZO Días]],"venc", "No venc")</f>
        <v>venc</v>
      </c>
      <c r="V868" t="str">
        <f>+IF(Tabla2[[#This Row],[FECHA DE PAGO]]&gt;0,"pagada","por pagar")</f>
        <v>pagada</v>
      </c>
      <c r="W868" s="141" t="str">
        <f>+IF(AND(Tabla2[[#This Row],[venc]]="venc",Tabla2[[#This Row],[Columna1]]="por pagar"),"vencida","no")</f>
        <v>no</v>
      </c>
    </row>
    <row r="869" spans="1:23" ht="15.6" hidden="1" x14ac:dyDescent="0.3">
      <c r="A869" s="20">
        <v>30</v>
      </c>
      <c r="B869" s="25">
        <v>0</v>
      </c>
      <c r="C869" s="25"/>
      <c r="D869" s="56" t="s">
        <v>107</v>
      </c>
      <c r="E869" s="426">
        <v>45046</v>
      </c>
      <c r="F869" s="26" t="s">
        <v>1401</v>
      </c>
      <c r="G869" s="426">
        <v>45046</v>
      </c>
      <c r="H869" s="35" t="s">
        <v>1377</v>
      </c>
      <c r="I869" s="21">
        <v>69000</v>
      </c>
      <c r="J869" s="21"/>
      <c r="K869" s="22">
        <v>0</v>
      </c>
      <c r="L869" s="23"/>
      <c r="M869" s="22">
        <v>0</v>
      </c>
      <c r="N869" s="74">
        <v>0</v>
      </c>
      <c r="O869" s="22">
        <v>0</v>
      </c>
      <c r="P869" s="21">
        <v>69000</v>
      </c>
      <c r="S869" s="108" t="b">
        <f>OR(COUNTIF(Tabla2[[#This Row],[PROVEEDOR]],"*"&amp;'Palabra no opera'!$A$2&amp;"*"))</f>
        <v>0</v>
      </c>
      <c r="T869" s="139">
        <f>+$W$5-Tabla2[[#This Row],[FECHA DE FACTURACIÓN]]</f>
        <v>245</v>
      </c>
      <c r="U869" t="str">
        <f>+IF(Tabla2[[#This Row],[dias de credito]]&gt;=Tabla2[[#This Row],[PLAZO Días]],"venc", "No venc")</f>
        <v>venc</v>
      </c>
      <c r="V869" t="str">
        <f>+IF(Tabla2[[#This Row],[FECHA DE PAGO]]&gt;0,"pagada","por pagar")</f>
        <v>pagada</v>
      </c>
      <c r="W869" s="141" t="str">
        <f>+IF(AND(Tabla2[[#This Row],[venc]]="venc",Tabla2[[#This Row],[Columna1]]="por pagar"),"vencida","no")</f>
        <v>no</v>
      </c>
    </row>
    <row r="870" spans="1:23" ht="15.6" hidden="1" x14ac:dyDescent="0.3">
      <c r="A870" s="20">
        <v>30</v>
      </c>
      <c r="B870" s="25">
        <v>0</v>
      </c>
      <c r="C870" s="25"/>
      <c r="D870" s="56" t="s">
        <v>107</v>
      </c>
      <c r="E870" s="426">
        <v>45046</v>
      </c>
      <c r="F870" s="26" t="s">
        <v>1401</v>
      </c>
      <c r="G870" s="426">
        <v>45046</v>
      </c>
      <c r="H870" s="35" t="s">
        <v>1176</v>
      </c>
      <c r="I870" s="21">
        <v>200800</v>
      </c>
      <c r="J870" s="21"/>
      <c r="K870" s="22">
        <v>0</v>
      </c>
      <c r="L870" s="23"/>
      <c r="M870" s="22">
        <v>0</v>
      </c>
      <c r="N870" s="74">
        <v>0</v>
      </c>
      <c r="O870" s="22">
        <v>0</v>
      </c>
      <c r="P870" s="21">
        <v>200800</v>
      </c>
      <c r="S870" s="108" t="b">
        <f>OR(COUNTIF(Tabla2[[#This Row],[PROVEEDOR]],"*"&amp;'Palabra no opera'!$A$2&amp;"*"))</f>
        <v>0</v>
      </c>
      <c r="T870" s="139">
        <f>+$W$5-Tabla2[[#This Row],[FECHA DE FACTURACIÓN]]</f>
        <v>245</v>
      </c>
      <c r="U870" t="str">
        <f>+IF(Tabla2[[#This Row],[dias de credito]]&gt;=Tabla2[[#This Row],[PLAZO Días]],"venc", "No venc")</f>
        <v>venc</v>
      </c>
      <c r="V870" t="str">
        <f>+IF(Tabla2[[#This Row],[FECHA DE PAGO]]&gt;0,"pagada","por pagar")</f>
        <v>pagada</v>
      </c>
      <c r="W870" s="141" t="str">
        <f>+IF(AND(Tabla2[[#This Row],[venc]]="venc",Tabla2[[#This Row],[Columna1]]="por pagar"),"vencida","no")</f>
        <v>no</v>
      </c>
    </row>
    <row r="871" spans="1:23" ht="15.6" hidden="1" x14ac:dyDescent="0.3">
      <c r="A871" s="20">
        <v>30</v>
      </c>
      <c r="B871" s="25">
        <v>0</v>
      </c>
      <c r="C871" s="25"/>
      <c r="D871" s="56" t="s">
        <v>107</v>
      </c>
      <c r="E871" s="426">
        <v>45046</v>
      </c>
      <c r="F871" s="26" t="s">
        <v>1401</v>
      </c>
      <c r="G871" s="426">
        <v>45046</v>
      </c>
      <c r="H871" s="35" t="s">
        <v>1180</v>
      </c>
      <c r="I871" s="21">
        <v>450600</v>
      </c>
      <c r="J871" s="21"/>
      <c r="K871" s="22">
        <v>0</v>
      </c>
      <c r="L871" s="23"/>
      <c r="M871" s="22">
        <v>0</v>
      </c>
      <c r="N871" s="74">
        <v>0</v>
      </c>
      <c r="O871" s="22">
        <v>0</v>
      </c>
      <c r="P871" s="21">
        <v>450600</v>
      </c>
      <c r="S871" s="108" t="b">
        <f>OR(COUNTIF(Tabla2[[#This Row],[PROVEEDOR]],"*"&amp;'Palabra no opera'!$A$2&amp;"*"))</f>
        <v>0</v>
      </c>
      <c r="T871" s="139">
        <f>+$W$5-Tabla2[[#This Row],[FECHA DE FACTURACIÓN]]</f>
        <v>245</v>
      </c>
      <c r="U871" t="str">
        <f>+IF(Tabla2[[#This Row],[dias de credito]]&gt;=Tabla2[[#This Row],[PLAZO Días]],"venc", "No venc")</f>
        <v>venc</v>
      </c>
      <c r="V871" t="str">
        <f>+IF(Tabla2[[#This Row],[FECHA DE PAGO]]&gt;0,"pagada","por pagar")</f>
        <v>pagada</v>
      </c>
      <c r="W871" s="141" t="str">
        <f>+IF(AND(Tabla2[[#This Row],[venc]]="venc",Tabla2[[#This Row],[Columna1]]="por pagar"),"vencida","no")</f>
        <v>no</v>
      </c>
    </row>
    <row r="872" spans="1:23" ht="15.6" hidden="1" x14ac:dyDescent="0.3">
      <c r="A872" s="20">
        <v>30</v>
      </c>
      <c r="B872" s="25">
        <v>0</v>
      </c>
      <c r="C872" s="25"/>
      <c r="D872" s="56" t="s">
        <v>659</v>
      </c>
      <c r="E872" s="426">
        <v>45044</v>
      </c>
      <c r="F872" s="26" t="s">
        <v>227</v>
      </c>
      <c r="G872" s="426">
        <v>45044</v>
      </c>
      <c r="H872" s="35" t="s">
        <v>1672</v>
      </c>
      <c r="I872" s="21">
        <v>1615000</v>
      </c>
      <c r="J872" s="21"/>
      <c r="K872" s="22">
        <v>0</v>
      </c>
      <c r="L872" s="23"/>
      <c r="M872" s="22">
        <v>0</v>
      </c>
      <c r="N872" s="74">
        <v>0</v>
      </c>
      <c r="O872" s="22">
        <v>0</v>
      </c>
      <c r="P872" s="21">
        <v>1615000</v>
      </c>
      <c r="S872" s="108" t="b">
        <f>OR(COUNTIF(Tabla2[[#This Row],[PROVEEDOR]],"*"&amp;'Palabra no opera'!$A$2&amp;"*"))</f>
        <v>0</v>
      </c>
      <c r="T872" s="139">
        <f>+$W$5-Tabla2[[#This Row],[FECHA DE FACTURACIÓN]]</f>
        <v>247</v>
      </c>
      <c r="U872" t="str">
        <f>+IF(Tabla2[[#This Row],[dias de credito]]&gt;=Tabla2[[#This Row],[PLAZO Días]],"venc", "No venc")</f>
        <v>venc</v>
      </c>
      <c r="V872" t="str">
        <f>+IF(Tabla2[[#This Row],[FECHA DE PAGO]]&gt;0,"pagada","por pagar")</f>
        <v>pagada</v>
      </c>
      <c r="W872" s="141" t="str">
        <f>+IF(AND(Tabla2[[#This Row],[venc]]="venc",Tabla2[[#This Row],[Columna1]]="por pagar"),"vencida","no")</f>
        <v>no</v>
      </c>
    </row>
    <row r="873" spans="1:23" ht="15.6" hidden="1" x14ac:dyDescent="0.3">
      <c r="A873" s="20">
        <v>30</v>
      </c>
      <c r="B873" s="25">
        <v>2773899.95</v>
      </c>
      <c r="C873" s="25"/>
      <c r="D873" s="56" t="s">
        <v>135</v>
      </c>
      <c r="E873" s="426">
        <v>45044</v>
      </c>
      <c r="F873" s="26" t="s">
        <v>20</v>
      </c>
      <c r="G873" s="426">
        <v>44999</v>
      </c>
      <c r="H873" s="35" t="s">
        <v>1509</v>
      </c>
      <c r="I873" s="21">
        <v>1312210</v>
      </c>
      <c r="J873" s="21"/>
      <c r="K873" s="22">
        <v>249319.9</v>
      </c>
      <c r="L873" s="23"/>
      <c r="M873" s="22">
        <v>0</v>
      </c>
      <c r="N873" s="74">
        <v>2.5000000000000001E-2</v>
      </c>
      <c r="O873" s="22">
        <v>32805.25</v>
      </c>
      <c r="P873" s="21">
        <v>1528724.65</v>
      </c>
      <c r="S873" s="108" t="b">
        <f>OR(COUNTIF(Tabla2[[#This Row],[PROVEEDOR]],"*"&amp;'Palabra no opera'!$A$2&amp;"*"))</f>
        <v>0</v>
      </c>
      <c r="T873" s="139">
        <f>+$W$5-Tabla2[[#This Row],[FECHA DE FACTURACIÓN]]</f>
        <v>292</v>
      </c>
      <c r="U873" t="str">
        <f>+IF(Tabla2[[#This Row],[dias de credito]]&gt;=Tabla2[[#This Row],[PLAZO Días]],"venc", "No venc")</f>
        <v>venc</v>
      </c>
      <c r="V873" t="str">
        <f>+IF(Tabla2[[#This Row],[FECHA DE PAGO]]&gt;0,"pagada","por pagar")</f>
        <v>pagada</v>
      </c>
      <c r="W873" s="141" t="str">
        <f>+IF(AND(Tabla2[[#This Row],[venc]]="venc",Tabla2[[#This Row],[Columna1]]="por pagar"),"vencida","no")</f>
        <v>no</v>
      </c>
    </row>
    <row r="874" spans="1:23" ht="15.6" hidden="1" x14ac:dyDescent="0.3">
      <c r="A874" s="20">
        <v>30</v>
      </c>
      <c r="B874" s="25">
        <v>0</v>
      </c>
      <c r="C874" s="25"/>
      <c r="D874" s="56" t="s">
        <v>175</v>
      </c>
      <c r="E874" s="426">
        <v>45044</v>
      </c>
      <c r="F874" s="26" t="s">
        <v>49</v>
      </c>
      <c r="G874" s="426">
        <v>44999</v>
      </c>
      <c r="H874" s="35" t="s">
        <v>1593</v>
      </c>
      <c r="I874" s="21">
        <v>563025</v>
      </c>
      <c r="J874" s="21"/>
      <c r="K874" s="22">
        <v>106974.75</v>
      </c>
      <c r="L874" s="23"/>
      <c r="M874" s="22">
        <v>0</v>
      </c>
      <c r="N874" s="74">
        <v>0</v>
      </c>
      <c r="O874" s="22">
        <v>0</v>
      </c>
      <c r="P874" s="21">
        <v>669999.75</v>
      </c>
      <c r="S874" s="108" t="b">
        <f>OR(COUNTIF(Tabla2[[#This Row],[PROVEEDOR]],"*"&amp;'Palabra no opera'!$A$2&amp;"*"))</f>
        <v>0</v>
      </c>
      <c r="T874" s="139">
        <f>+$W$5-Tabla2[[#This Row],[FECHA DE FACTURACIÓN]]</f>
        <v>292</v>
      </c>
      <c r="U874" t="str">
        <f>+IF(Tabla2[[#This Row],[dias de credito]]&gt;=Tabla2[[#This Row],[PLAZO Días]],"venc", "No venc")</f>
        <v>venc</v>
      </c>
      <c r="V874" t="str">
        <f>+IF(Tabla2[[#This Row],[FECHA DE PAGO]]&gt;0,"pagada","por pagar")</f>
        <v>pagada</v>
      </c>
      <c r="W874" s="141" t="str">
        <f>+IF(AND(Tabla2[[#This Row],[venc]]="venc",Tabla2[[#This Row],[Columna1]]="por pagar"),"vencida","no")</f>
        <v>no</v>
      </c>
    </row>
    <row r="875" spans="1:23" ht="15.6" hidden="1" x14ac:dyDescent="0.3">
      <c r="A875" s="20">
        <v>30</v>
      </c>
      <c r="B875" s="25">
        <v>0</v>
      </c>
      <c r="C875" s="25"/>
      <c r="D875" s="56" t="s">
        <v>107</v>
      </c>
      <c r="E875" s="426">
        <v>45043</v>
      </c>
      <c r="F875" s="26" t="s">
        <v>356</v>
      </c>
      <c r="G875" s="426">
        <v>45042</v>
      </c>
      <c r="H875" s="35" t="s">
        <v>1623</v>
      </c>
      <c r="I875" s="21">
        <v>3656000</v>
      </c>
      <c r="J875" s="21"/>
      <c r="K875" s="22">
        <v>0</v>
      </c>
      <c r="L875" s="23"/>
      <c r="M875" s="22">
        <v>0</v>
      </c>
      <c r="N875" s="74">
        <v>0</v>
      </c>
      <c r="O875" s="22">
        <v>0</v>
      </c>
      <c r="P875" s="21">
        <v>3656000</v>
      </c>
      <c r="S875" s="108" t="b">
        <f>OR(COUNTIF(Tabla2[[#This Row],[PROVEEDOR]],"*"&amp;'Palabra no opera'!$A$2&amp;"*"))</f>
        <v>0</v>
      </c>
      <c r="T875" s="139">
        <f>+$W$5-Tabla2[[#This Row],[FECHA DE FACTURACIÓN]]</f>
        <v>249</v>
      </c>
      <c r="U875" t="str">
        <f>+IF(Tabla2[[#This Row],[dias de credito]]&gt;=Tabla2[[#This Row],[PLAZO Días]],"venc", "No venc")</f>
        <v>venc</v>
      </c>
      <c r="V875" t="str">
        <f>+IF(Tabla2[[#This Row],[FECHA DE PAGO]]&gt;0,"pagada","por pagar")</f>
        <v>pagada</v>
      </c>
      <c r="W875" s="141" t="str">
        <f>+IF(AND(Tabla2[[#This Row],[venc]]="venc",Tabla2[[#This Row],[Columna1]]="por pagar"),"vencida","no")</f>
        <v>no</v>
      </c>
    </row>
    <row r="876" spans="1:23" ht="15.6" hidden="1" x14ac:dyDescent="0.3">
      <c r="A876" s="20">
        <v>30</v>
      </c>
      <c r="B876" s="25">
        <v>0</v>
      </c>
      <c r="C876" s="25"/>
      <c r="D876" s="56" t="s">
        <v>260</v>
      </c>
      <c r="E876" s="426">
        <v>45041</v>
      </c>
      <c r="F876" s="26" t="s">
        <v>635</v>
      </c>
      <c r="G876" s="426">
        <v>45034</v>
      </c>
      <c r="H876" s="35" t="s">
        <v>1620</v>
      </c>
      <c r="I876" s="21">
        <v>3456200</v>
      </c>
      <c r="J876" s="21"/>
      <c r="K876" s="22">
        <v>0</v>
      </c>
      <c r="L876" s="23"/>
      <c r="M876" s="22">
        <v>0</v>
      </c>
      <c r="N876" s="74">
        <v>3.5000000000000003E-2</v>
      </c>
      <c r="O876" s="22">
        <v>120967.00000000001</v>
      </c>
      <c r="P876" s="21">
        <v>3335233</v>
      </c>
      <c r="S876" s="108" t="b">
        <f>OR(COUNTIF(Tabla2[[#This Row],[PROVEEDOR]],"*"&amp;'Palabra no opera'!$A$2&amp;"*"))</f>
        <v>1</v>
      </c>
      <c r="T876" s="139">
        <f>+$W$5-Tabla2[[#This Row],[FECHA DE FACTURACIÓN]]</f>
        <v>257</v>
      </c>
      <c r="U876" t="str">
        <f>+IF(Tabla2[[#This Row],[dias de credito]]&gt;=Tabla2[[#This Row],[PLAZO Días]],"venc", "No venc")</f>
        <v>venc</v>
      </c>
      <c r="V876" t="str">
        <f>+IF(Tabla2[[#This Row],[FECHA DE PAGO]]&gt;0,"pagada","por pagar")</f>
        <v>pagada</v>
      </c>
      <c r="W876" s="141" t="str">
        <f>+IF(AND(Tabla2[[#This Row],[venc]]="venc",Tabla2[[#This Row],[Columna1]]="por pagar"),"vencida","no")</f>
        <v>no</v>
      </c>
    </row>
    <row r="877" spans="1:23" ht="15.6" hidden="1" x14ac:dyDescent="0.3">
      <c r="A877" s="20">
        <v>30</v>
      </c>
      <c r="B877" s="25">
        <v>4248480.9550000001</v>
      </c>
      <c r="C877" s="25"/>
      <c r="D877" s="56" t="s">
        <v>107</v>
      </c>
      <c r="E877" s="426">
        <v>45040</v>
      </c>
      <c r="F877" s="26" t="s">
        <v>78</v>
      </c>
      <c r="G877" s="426">
        <v>45006</v>
      </c>
      <c r="H877" s="35" t="s">
        <v>1596</v>
      </c>
      <c r="I877" s="21">
        <v>2780070</v>
      </c>
      <c r="J877" s="21"/>
      <c r="K877" s="22">
        <v>528213.30000000005</v>
      </c>
      <c r="L877" s="23"/>
      <c r="M877" s="22">
        <v>0</v>
      </c>
      <c r="N877" s="74">
        <v>2.5000000000000001E-2</v>
      </c>
      <c r="O877" s="22">
        <v>69501.75</v>
      </c>
      <c r="P877" s="21">
        <v>3238781.55</v>
      </c>
      <c r="S877" s="108" t="b">
        <f>OR(COUNTIF(Tabla2[[#This Row],[PROVEEDOR]],"*"&amp;'Palabra no opera'!$A$2&amp;"*"))</f>
        <v>0</v>
      </c>
      <c r="T877" s="139">
        <f>+$W$5-Tabla2[[#This Row],[FECHA DE FACTURACIÓN]]</f>
        <v>285</v>
      </c>
      <c r="U877" t="str">
        <f>+IF(Tabla2[[#This Row],[dias de credito]]&gt;=Tabla2[[#This Row],[PLAZO Días]],"venc", "No venc")</f>
        <v>venc</v>
      </c>
      <c r="V877" t="str">
        <f>+IF(Tabla2[[#This Row],[FECHA DE PAGO]]&gt;0,"pagada","por pagar")</f>
        <v>pagada</v>
      </c>
      <c r="W877" s="141" t="str">
        <f>+IF(AND(Tabla2[[#This Row],[venc]]="venc",Tabla2[[#This Row],[Columna1]]="por pagar"),"vencida","no")</f>
        <v>no</v>
      </c>
    </row>
    <row r="878" spans="1:23" ht="15.6" hidden="1" x14ac:dyDescent="0.3">
      <c r="A878" s="20">
        <v>30</v>
      </c>
      <c r="B878" s="25">
        <v>4248480.9550000001</v>
      </c>
      <c r="C878" s="25"/>
      <c r="D878" s="56" t="s">
        <v>107</v>
      </c>
      <c r="E878" s="426">
        <v>45040</v>
      </c>
      <c r="F878" s="26" t="s">
        <v>78</v>
      </c>
      <c r="G878" s="426">
        <v>44988</v>
      </c>
      <c r="H878" s="35" t="s">
        <v>1592</v>
      </c>
      <c r="I878" s="21">
        <v>93570</v>
      </c>
      <c r="J878" s="21"/>
      <c r="K878" s="22">
        <v>17778.3</v>
      </c>
      <c r="L878" s="23"/>
      <c r="M878" s="22">
        <v>0</v>
      </c>
      <c r="N878" s="74">
        <v>0</v>
      </c>
      <c r="O878" s="22">
        <v>0</v>
      </c>
      <c r="P878" s="21">
        <v>111348.3</v>
      </c>
      <c r="S878" s="108" t="b">
        <f>OR(COUNTIF(Tabla2[[#This Row],[PROVEEDOR]],"*"&amp;'Palabra no opera'!$A$2&amp;"*"))</f>
        <v>0</v>
      </c>
      <c r="T878" s="139">
        <f>+$W$5-Tabla2[[#This Row],[FECHA DE FACTURACIÓN]]</f>
        <v>303</v>
      </c>
      <c r="U878" t="str">
        <f>+IF(Tabla2[[#This Row],[dias de credito]]&gt;=Tabla2[[#This Row],[PLAZO Días]],"venc", "No venc")</f>
        <v>venc</v>
      </c>
      <c r="V878" t="str">
        <f>+IF(Tabla2[[#This Row],[FECHA DE PAGO]]&gt;0,"pagada","por pagar")</f>
        <v>pagada</v>
      </c>
      <c r="W878" s="141" t="str">
        <f>+IF(AND(Tabla2[[#This Row],[venc]]="venc",Tabla2[[#This Row],[Columna1]]="por pagar"),"vencida","no")</f>
        <v>no</v>
      </c>
    </row>
    <row r="879" spans="1:23" ht="15.6" hidden="1" x14ac:dyDescent="0.3">
      <c r="A879" s="20">
        <v>30</v>
      </c>
      <c r="B879" s="25">
        <v>0</v>
      </c>
      <c r="C879" s="25"/>
      <c r="D879" s="56" t="s">
        <v>107</v>
      </c>
      <c r="E879" s="426">
        <v>45038</v>
      </c>
      <c r="F879" s="26" t="s">
        <v>378</v>
      </c>
      <c r="G879" s="426">
        <v>45038</v>
      </c>
      <c r="H879" s="35" t="s">
        <v>1628</v>
      </c>
      <c r="I879" s="21">
        <v>1070000</v>
      </c>
      <c r="J879" s="21"/>
      <c r="K879" s="22">
        <v>0</v>
      </c>
      <c r="L879" s="23"/>
      <c r="M879" s="22">
        <v>0</v>
      </c>
      <c r="N879" s="74">
        <v>0</v>
      </c>
      <c r="O879" s="22">
        <v>0</v>
      </c>
      <c r="P879" s="21">
        <v>1070000</v>
      </c>
      <c r="S879" s="108" t="b">
        <f>OR(COUNTIF(Tabla2[[#This Row],[PROVEEDOR]],"*"&amp;'Palabra no opera'!$A$2&amp;"*"))</f>
        <v>0</v>
      </c>
      <c r="T879" s="139">
        <f>+$W$5-Tabla2[[#This Row],[FECHA DE FACTURACIÓN]]</f>
        <v>253</v>
      </c>
      <c r="U879" t="str">
        <f>+IF(Tabla2[[#This Row],[dias de credito]]&gt;=Tabla2[[#This Row],[PLAZO Días]],"venc", "No venc")</f>
        <v>venc</v>
      </c>
      <c r="V879" t="str">
        <f>+IF(Tabla2[[#This Row],[FECHA DE PAGO]]&gt;0,"pagada","por pagar")</f>
        <v>pagada</v>
      </c>
      <c r="W879" s="141" t="str">
        <f>+IF(AND(Tabla2[[#This Row],[venc]]="venc",Tabla2[[#This Row],[Columna1]]="por pagar"),"vencida","no")</f>
        <v>no</v>
      </c>
    </row>
    <row r="880" spans="1:23" ht="15.6" hidden="1" x14ac:dyDescent="0.3">
      <c r="A880" s="20">
        <v>30</v>
      </c>
      <c r="B880" s="25">
        <v>0</v>
      </c>
      <c r="C880" s="25"/>
      <c r="D880" s="56" t="s">
        <v>199</v>
      </c>
      <c r="E880" s="426">
        <v>45036</v>
      </c>
      <c r="F880" s="26" t="s">
        <v>1069</v>
      </c>
      <c r="G880" s="426">
        <v>44994</v>
      </c>
      <c r="H880" s="35" t="s">
        <v>1494</v>
      </c>
      <c r="I880" s="21">
        <v>1487397</v>
      </c>
      <c r="J880" s="21"/>
      <c r="K880" s="22">
        <v>282605.43</v>
      </c>
      <c r="L880" s="23"/>
      <c r="M880" s="22">
        <v>0</v>
      </c>
      <c r="N880" s="74">
        <v>2.5000000000000001E-2</v>
      </c>
      <c r="O880" s="22">
        <v>37184.925000000003</v>
      </c>
      <c r="P880" s="21">
        <v>1732817.5049999999</v>
      </c>
      <c r="S880" s="108" t="b">
        <f>OR(COUNTIF(Tabla2[[#This Row],[PROVEEDOR]],"*"&amp;'Palabra no opera'!$A$2&amp;"*"))</f>
        <v>0</v>
      </c>
      <c r="T880" s="139">
        <f>+$W$5-Tabla2[[#This Row],[FECHA DE FACTURACIÓN]]</f>
        <v>297</v>
      </c>
      <c r="U880" t="str">
        <f>+IF(Tabla2[[#This Row],[dias de credito]]&gt;=Tabla2[[#This Row],[PLAZO Días]],"venc", "No venc")</f>
        <v>venc</v>
      </c>
      <c r="V880" t="str">
        <f>+IF(Tabla2[[#This Row],[FECHA DE PAGO]]&gt;0,"pagada","por pagar")</f>
        <v>pagada</v>
      </c>
      <c r="W880" s="141" t="str">
        <f>+IF(AND(Tabla2[[#This Row],[venc]]="venc",Tabla2[[#This Row],[Columna1]]="por pagar"),"vencida","no")</f>
        <v>no</v>
      </c>
    </row>
    <row r="881" spans="1:23" ht="15.6" hidden="1" x14ac:dyDescent="0.3">
      <c r="A881" s="20">
        <v>30</v>
      </c>
      <c r="B881" s="25">
        <v>27189617.395</v>
      </c>
      <c r="C881" s="25"/>
      <c r="D881" s="56" t="s">
        <v>686</v>
      </c>
      <c r="E881" s="426">
        <v>45036</v>
      </c>
      <c r="F881" s="26" t="s">
        <v>77</v>
      </c>
      <c r="G881" s="426">
        <v>44978</v>
      </c>
      <c r="H881" s="35" t="s">
        <v>1467</v>
      </c>
      <c r="I881" s="21">
        <v>1536000</v>
      </c>
      <c r="J881" s="21"/>
      <c r="K881" s="22">
        <v>291840</v>
      </c>
      <c r="L881" s="23"/>
      <c r="M881" s="22">
        <v>0</v>
      </c>
      <c r="N881" s="74">
        <v>2.5000000000000001E-2</v>
      </c>
      <c r="O881" s="22">
        <v>38400</v>
      </c>
      <c r="P881" s="21">
        <v>1789440</v>
      </c>
      <c r="S881" s="108" t="b">
        <f>OR(COUNTIF(Tabla2[[#This Row],[PROVEEDOR]],"*"&amp;'Palabra no opera'!$A$2&amp;"*"))</f>
        <v>0</v>
      </c>
      <c r="T881" s="139">
        <f>+$W$5-Tabla2[[#This Row],[FECHA DE FACTURACIÓN]]</f>
        <v>313</v>
      </c>
      <c r="U881" t="str">
        <f>+IF(Tabla2[[#This Row],[dias de credito]]&gt;=Tabla2[[#This Row],[PLAZO Días]],"venc", "No venc")</f>
        <v>venc</v>
      </c>
      <c r="V881" t="str">
        <f>+IF(Tabla2[[#This Row],[FECHA DE PAGO]]&gt;0,"pagada","por pagar")</f>
        <v>pagada</v>
      </c>
      <c r="W881" s="141" t="str">
        <f>+IF(AND(Tabla2[[#This Row],[venc]]="venc",Tabla2[[#This Row],[Columna1]]="por pagar"),"vencida","no")</f>
        <v>no</v>
      </c>
    </row>
    <row r="882" spans="1:23" ht="15.6" hidden="1" x14ac:dyDescent="0.3">
      <c r="A882" s="20">
        <v>30</v>
      </c>
      <c r="B882" s="25">
        <v>27189617.395</v>
      </c>
      <c r="C882" s="25"/>
      <c r="D882" s="56" t="s">
        <v>686</v>
      </c>
      <c r="E882" s="426">
        <v>45036</v>
      </c>
      <c r="F882" s="26" t="s">
        <v>77</v>
      </c>
      <c r="G882" s="426">
        <v>44974</v>
      </c>
      <c r="H882" s="35" t="s">
        <v>1466</v>
      </c>
      <c r="I882" s="21">
        <v>4204800</v>
      </c>
      <c r="J882" s="21"/>
      <c r="K882" s="22">
        <v>798912</v>
      </c>
      <c r="L882" s="23"/>
      <c r="M882" s="22">
        <v>0</v>
      </c>
      <c r="N882" s="74">
        <v>2.5000000000000001E-2</v>
      </c>
      <c r="O882" s="22">
        <v>105120</v>
      </c>
      <c r="P882" s="21">
        <v>4898592</v>
      </c>
      <c r="S882" s="108" t="b">
        <f>OR(COUNTIF(Tabla2[[#This Row],[PROVEEDOR]],"*"&amp;'Palabra no opera'!$A$2&amp;"*"))</f>
        <v>0</v>
      </c>
      <c r="T882" s="139">
        <f>+$W$5-Tabla2[[#This Row],[FECHA DE FACTURACIÓN]]</f>
        <v>317</v>
      </c>
      <c r="U882" t="str">
        <f>+IF(Tabla2[[#This Row],[dias de credito]]&gt;=Tabla2[[#This Row],[PLAZO Días]],"venc", "No venc")</f>
        <v>venc</v>
      </c>
      <c r="V882" t="str">
        <f>+IF(Tabla2[[#This Row],[FECHA DE PAGO]]&gt;0,"pagada","por pagar")</f>
        <v>pagada</v>
      </c>
      <c r="W882" s="141" t="str">
        <f>+IF(AND(Tabla2[[#This Row],[venc]]="venc",Tabla2[[#This Row],[Columna1]]="por pagar"),"vencida","no")</f>
        <v>no</v>
      </c>
    </row>
    <row r="883" spans="1:23" ht="15.6" hidden="1" x14ac:dyDescent="0.3">
      <c r="A883" s="20">
        <v>30</v>
      </c>
      <c r="B883" s="25">
        <v>352505.48</v>
      </c>
      <c r="C883" s="25"/>
      <c r="D883" s="56" t="s">
        <v>393</v>
      </c>
      <c r="E883" s="426">
        <v>45035</v>
      </c>
      <c r="F883" s="26" t="s">
        <v>631</v>
      </c>
      <c r="G883" s="426">
        <v>45017</v>
      </c>
      <c r="H883" s="35" t="s">
        <v>1588</v>
      </c>
      <c r="I883" s="21">
        <v>277194</v>
      </c>
      <c r="J883" s="21"/>
      <c r="K883" s="22">
        <v>0</v>
      </c>
      <c r="L883" s="23"/>
      <c r="M883" s="22">
        <v>8522</v>
      </c>
      <c r="N883" s="74">
        <v>0</v>
      </c>
      <c r="O883" s="22">
        <v>0</v>
      </c>
      <c r="P883" s="21">
        <v>268672</v>
      </c>
      <c r="S883" s="108" t="b">
        <f>OR(COUNTIF(Tabla2[[#This Row],[PROVEEDOR]],"*"&amp;'Palabra no opera'!$A$2&amp;"*"))</f>
        <v>1</v>
      </c>
      <c r="T883" s="139">
        <f>+$W$5-Tabla2[[#This Row],[FECHA DE FACTURACIÓN]]</f>
        <v>274</v>
      </c>
      <c r="U883" t="str">
        <f>+IF(Tabla2[[#This Row],[dias de credito]]&gt;=Tabla2[[#This Row],[PLAZO Días]],"venc", "No venc")</f>
        <v>venc</v>
      </c>
      <c r="V883" t="str">
        <f>+IF(Tabla2[[#This Row],[FECHA DE PAGO]]&gt;0,"pagada","por pagar")</f>
        <v>pagada</v>
      </c>
      <c r="W883" s="141" t="str">
        <f>+IF(AND(Tabla2[[#This Row],[venc]]="venc",Tabla2[[#This Row],[Columna1]]="por pagar"),"vencida","no")</f>
        <v>no</v>
      </c>
    </row>
    <row r="884" spans="1:23" ht="15.6" hidden="1" x14ac:dyDescent="0.3">
      <c r="A884" s="20">
        <v>30</v>
      </c>
      <c r="B884" s="25">
        <v>17870934.149999999</v>
      </c>
      <c r="C884" s="25"/>
      <c r="D884" s="56" t="s">
        <v>182</v>
      </c>
      <c r="E884" s="426">
        <v>45035</v>
      </c>
      <c r="F884" s="26" t="s">
        <v>18</v>
      </c>
      <c r="G884" s="426">
        <v>44998</v>
      </c>
      <c r="H884" s="35" t="s">
        <v>1502</v>
      </c>
      <c r="I884" s="21">
        <v>1306660</v>
      </c>
      <c r="J884" s="21"/>
      <c r="K884" s="22">
        <v>248265.4</v>
      </c>
      <c r="L884" s="23"/>
      <c r="M884" s="22">
        <v>0</v>
      </c>
      <c r="N884" s="74">
        <v>2.5000000000000001E-2</v>
      </c>
      <c r="O884" s="22">
        <v>32666.5</v>
      </c>
      <c r="P884" s="21">
        <v>1522258.9</v>
      </c>
      <c r="S884" s="108" t="b">
        <f>OR(COUNTIF(Tabla2[[#This Row],[PROVEEDOR]],"*"&amp;'Palabra no opera'!$A$2&amp;"*"))</f>
        <v>0</v>
      </c>
      <c r="T884" s="139">
        <f>+$W$5-Tabla2[[#This Row],[FECHA DE FACTURACIÓN]]</f>
        <v>293</v>
      </c>
      <c r="U884" t="str">
        <f>+IF(Tabla2[[#This Row],[dias de credito]]&gt;=Tabla2[[#This Row],[PLAZO Días]],"venc", "No venc")</f>
        <v>venc</v>
      </c>
      <c r="V884" t="str">
        <f>+IF(Tabla2[[#This Row],[FECHA DE PAGO]]&gt;0,"pagada","por pagar")</f>
        <v>pagada</v>
      </c>
      <c r="W884" s="141" t="str">
        <f>+IF(AND(Tabla2[[#This Row],[venc]]="venc",Tabla2[[#This Row],[Columna1]]="por pagar"),"vencida","no")</f>
        <v>no</v>
      </c>
    </row>
    <row r="885" spans="1:23" ht="15.6" hidden="1" x14ac:dyDescent="0.3">
      <c r="A885" s="20">
        <v>30</v>
      </c>
      <c r="B885" s="25">
        <v>17870934.149999999</v>
      </c>
      <c r="C885" s="25"/>
      <c r="D885" s="56" t="s">
        <v>182</v>
      </c>
      <c r="E885" s="426">
        <v>45035</v>
      </c>
      <c r="F885" s="26" t="s">
        <v>18</v>
      </c>
      <c r="G885" s="426">
        <v>44998</v>
      </c>
      <c r="H885" s="35" t="s">
        <v>1503</v>
      </c>
      <c r="I885" s="21">
        <v>922647</v>
      </c>
      <c r="J885" s="21"/>
      <c r="K885" s="22">
        <v>175302.93</v>
      </c>
      <c r="L885" s="23"/>
      <c r="M885" s="22">
        <v>0</v>
      </c>
      <c r="N885" s="74">
        <v>0</v>
      </c>
      <c r="O885" s="22">
        <v>0</v>
      </c>
      <c r="P885" s="21">
        <v>1097949.93</v>
      </c>
      <c r="S885" s="108" t="b">
        <f>OR(COUNTIF(Tabla2[[#This Row],[PROVEEDOR]],"*"&amp;'Palabra no opera'!$A$2&amp;"*"))</f>
        <v>0</v>
      </c>
      <c r="T885" s="139">
        <f>+$W$5-Tabla2[[#This Row],[FECHA DE FACTURACIÓN]]</f>
        <v>293</v>
      </c>
      <c r="U885" t="str">
        <f>+IF(Tabla2[[#This Row],[dias de credito]]&gt;=Tabla2[[#This Row],[PLAZO Días]],"venc", "No venc")</f>
        <v>venc</v>
      </c>
      <c r="V885" t="str">
        <f>+IF(Tabla2[[#This Row],[FECHA DE PAGO]]&gt;0,"pagada","por pagar")</f>
        <v>pagada</v>
      </c>
      <c r="W885" s="141" t="str">
        <f>+IF(AND(Tabla2[[#This Row],[venc]]="venc",Tabla2[[#This Row],[Columna1]]="por pagar"),"vencida","no")</f>
        <v>no</v>
      </c>
    </row>
    <row r="886" spans="1:23" ht="15.6" hidden="1" x14ac:dyDescent="0.3">
      <c r="A886" s="20">
        <v>30</v>
      </c>
      <c r="B886" s="25">
        <v>0</v>
      </c>
      <c r="C886" s="25"/>
      <c r="D886" s="56" t="s">
        <v>190</v>
      </c>
      <c r="E886" s="426">
        <v>45035</v>
      </c>
      <c r="F886" s="26" t="s">
        <v>964</v>
      </c>
      <c r="G886" s="426">
        <v>44994</v>
      </c>
      <c r="H886" s="35" t="s">
        <v>1498</v>
      </c>
      <c r="I886" s="21">
        <v>6944000</v>
      </c>
      <c r="J886" s="21"/>
      <c r="K886" s="22">
        <v>1319360</v>
      </c>
      <c r="L886" s="23"/>
      <c r="M886" s="22">
        <v>0</v>
      </c>
      <c r="N886" s="74">
        <v>0</v>
      </c>
      <c r="O886" s="22">
        <v>0</v>
      </c>
      <c r="P886" s="21">
        <v>8263360</v>
      </c>
      <c r="S886" s="108" t="b">
        <f>OR(COUNTIF(Tabla2[[#This Row],[PROVEEDOR]],"*"&amp;'Palabra no opera'!$A$2&amp;"*"))</f>
        <v>0</v>
      </c>
      <c r="T886" s="139">
        <f>+$W$5-Tabla2[[#This Row],[FECHA DE FACTURACIÓN]]</f>
        <v>297</v>
      </c>
      <c r="U886" t="str">
        <f>+IF(Tabla2[[#This Row],[dias de credito]]&gt;=Tabla2[[#This Row],[PLAZO Días]],"venc", "No venc")</f>
        <v>venc</v>
      </c>
      <c r="V886" t="str">
        <f>+IF(Tabla2[[#This Row],[FECHA DE PAGO]]&gt;0,"pagada","por pagar")</f>
        <v>pagada</v>
      </c>
      <c r="W886" s="141" t="str">
        <f>+IF(AND(Tabla2[[#This Row],[venc]]="venc",Tabla2[[#This Row],[Columna1]]="por pagar"),"vencida","no")</f>
        <v>no</v>
      </c>
    </row>
    <row r="887" spans="1:23" ht="15.6" hidden="1" x14ac:dyDescent="0.3">
      <c r="A887" s="20">
        <v>30</v>
      </c>
      <c r="B887" s="25">
        <v>17870934.149999999</v>
      </c>
      <c r="C887" s="25"/>
      <c r="D887" s="56" t="s">
        <v>182</v>
      </c>
      <c r="E887" s="426">
        <v>45035</v>
      </c>
      <c r="F887" s="26" t="s">
        <v>18</v>
      </c>
      <c r="G887" s="426">
        <v>44993</v>
      </c>
      <c r="H887" s="35" t="s">
        <v>1504</v>
      </c>
      <c r="I887" s="21">
        <v>1263526</v>
      </c>
      <c r="J887" s="21"/>
      <c r="K887" s="22">
        <v>240069.94</v>
      </c>
      <c r="L887" s="23"/>
      <c r="M887" s="22">
        <v>0</v>
      </c>
      <c r="N887" s="74">
        <v>2.5000000000000001E-2</v>
      </c>
      <c r="O887" s="22">
        <v>31588.15</v>
      </c>
      <c r="P887" s="21">
        <v>1472007.79</v>
      </c>
      <c r="S887" s="108" t="b">
        <f>OR(COUNTIF(Tabla2[[#This Row],[PROVEEDOR]],"*"&amp;'Palabra no opera'!$A$2&amp;"*"))</f>
        <v>0</v>
      </c>
      <c r="T887" s="139">
        <f>+$W$5-Tabla2[[#This Row],[FECHA DE FACTURACIÓN]]</f>
        <v>298</v>
      </c>
      <c r="U887" t="str">
        <f>+IF(Tabla2[[#This Row],[dias de credito]]&gt;=Tabla2[[#This Row],[PLAZO Días]],"venc", "No venc")</f>
        <v>venc</v>
      </c>
      <c r="V887" t="str">
        <f>+IF(Tabla2[[#This Row],[FECHA DE PAGO]]&gt;0,"pagada","por pagar")</f>
        <v>pagada</v>
      </c>
      <c r="W887" s="141" t="str">
        <f>+IF(AND(Tabla2[[#This Row],[venc]]="venc",Tabla2[[#This Row],[Columna1]]="por pagar"),"vencida","no")</f>
        <v>no</v>
      </c>
    </row>
    <row r="888" spans="1:23" ht="15.6" hidden="1" x14ac:dyDescent="0.3">
      <c r="A888" s="20">
        <v>30</v>
      </c>
      <c r="B888" s="25">
        <v>17870934.149999999</v>
      </c>
      <c r="C888" s="25"/>
      <c r="D888" s="56" t="s">
        <v>182</v>
      </c>
      <c r="E888" s="426">
        <v>45035</v>
      </c>
      <c r="F888" s="26" t="s">
        <v>18</v>
      </c>
      <c r="G888" s="426">
        <v>44968</v>
      </c>
      <c r="H888" s="35" t="s">
        <v>1542</v>
      </c>
      <c r="I888" s="21">
        <v>-327731</v>
      </c>
      <c r="J888" s="21"/>
      <c r="K888" s="22">
        <v>-62268.89</v>
      </c>
      <c r="L888" s="23"/>
      <c r="M888" s="22">
        <v>0</v>
      </c>
      <c r="N888" s="74">
        <v>0</v>
      </c>
      <c r="O888" s="22">
        <v>0</v>
      </c>
      <c r="P888" s="21">
        <v>-389999.89</v>
      </c>
      <c r="S888" s="108" t="b">
        <f>OR(COUNTIF(Tabla2[[#This Row],[PROVEEDOR]],"*"&amp;'Palabra no opera'!$A$2&amp;"*"))</f>
        <v>0</v>
      </c>
      <c r="T888" s="139">
        <f>+$W$5-Tabla2[[#This Row],[FECHA DE FACTURACIÓN]]</f>
        <v>323</v>
      </c>
      <c r="U888" t="str">
        <f>+IF(Tabla2[[#This Row],[dias de credito]]&gt;=Tabla2[[#This Row],[PLAZO Días]],"venc", "No venc")</f>
        <v>venc</v>
      </c>
      <c r="V888" t="str">
        <f>+IF(Tabla2[[#This Row],[FECHA DE PAGO]]&gt;0,"pagada","por pagar")</f>
        <v>pagada</v>
      </c>
      <c r="W888" s="141" t="str">
        <f>+IF(AND(Tabla2[[#This Row],[venc]]="venc",Tabla2[[#This Row],[Columna1]]="por pagar"),"vencida","no")</f>
        <v>no</v>
      </c>
    </row>
    <row r="889" spans="1:23" ht="15.6" hidden="1" x14ac:dyDescent="0.3">
      <c r="A889" s="20">
        <v>30</v>
      </c>
      <c r="B889" s="25">
        <v>0</v>
      </c>
      <c r="C889" s="25"/>
      <c r="D889" s="56">
        <v>0</v>
      </c>
      <c r="E889" s="426">
        <v>45033</v>
      </c>
      <c r="F889" s="26" t="s">
        <v>262</v>
      </c>
      <c r="G889" s="426">
        <v>44988</v>
      </c>
      <c r="H889" s="35" t="s">
        <v>1894</v>
      </c>
      <c r="I889" s="21">
        <v>-1747500</v>
      </c>
      <c r="J889" s="21"/>
      <c r="K889" s="22">
        <v>-332025</v>
      </c>
      <c r="L889" s="23"/>
      <c r="M889" s="22">
        <v>0</v>
      </c>
      <c r="N889" s="74">
        <v>0</v>
      </c>
      <c r="O889" s="22">
        <v>0</v>
      </c>
      <c r="P889" s="21">
        <v>-2079525</v>
      </c>
      <c r="S889" s="108" t="b">
        <f>OR(COUNTIF(Tabla2[[#This Row],[PROVEEDOR]],"*"&amp;'Palabra no opera'!$A$2&amp;"*"))</f>
        <v>0</v>
      </c>
      <c r="T889" s="139">
        <f>+$W$5-Tabla2[[#This Row],[FECHA DE FACTURACIÓN]]</f>
        <v>303</v>
      </c>
      <c r="U889" t="str">
        <f>+IF(Tabla2[[#This Row],[dias de credito]]&gt;=Tabla2[[#This Row],[PLAZO Días]],"venc", "No venc")</f>
        <v>venc</v>
      </c>
      <c r="V889" t="str">
        <f>+IF(Tabla2[[#This Row],[FECHA DE PAGO]]&gt;0,"pagada","por pagar")</f>
        <v>pagada</v>
      </c>
      <c r="W889" s="141" t="str">
        <f>+IF(AND(Tabla2[[#This Row],[venc]]="venc",Tabla2[[#This Row],[Columna1]]="por pagar"),"vencida","no")</f>
        <v>no</v>
      </c>
    </row>
    <row r="890" spans="1:23" ht="15.6" hidden="1" x14ac:dyDescent="0.3">
      <c r="A890" s="20">
        <v>30</v>
      </c>
      <c r="B890" s="25">
        <v>0</v>
      </c>
      <c r="C890" s="25"/>
      <c r="D890" s="56" t="s">
        <v>107</v>
      </c>
      <c r="E890" s="426">
        <v>45031</v>
      </c>
      <c r="F890" s="26" t="s">
        <v>378</v>
      </c>
      <c r="G890" s="426">
        <v>45031</v>
      </c>
      <c r="H890" s="35" t="s">
        <v>1627</v>
      </c>
      <c r="I890" s="21">
        <v>590000</v>
      </c>
      <c r="J890" s="21"/>
      <c r="K890" s="22">
        <v>0</v>
      </c>
      <c r="L890" s="23"/>
      <c r="M890" s="22">
        <v>0</v>
      </c>
      <c r="N890" s="74">
        <v>0</v>
      </c>
      <c r="O890" s="22">
        <v>0</v>
      </c>
      <c r="P890" s="21">
        <v>590000</v>
      </c>
      <c r="S890" s="108" t="b">
        <f>OR(COUNTIF(Tabla2[[#This Row],[PROVEEDOR]],"*"&amp;'Palabra no opera'!$A$2&amp;"*"))</f>
        <v>0</v>
      </c>
      <c r="T890" s="139">
        <f>+$W$5-Tabla2[[#This Row],[FECHA DE FACTURACIÓN]]</f>
        <v>260</v>
      </c>
      <c r="U890" t="str">
        <f>+IF(Tabla2[[#This Row],[dias de credito]]&gt;=Tabla2[[#This Row],[PLAZO Días]],"venc", "No venc")</f>
        <v>venc</v>
      </c>
      <c r="V890" t="str">
        <f>+IF(Tabla2[[#This Row],[FECHA DE PAGO]]&gt;0,"pagada","por pagar")</f>
        <v>pagada</v>
      </c>
      <c r="W890" s="141" t="str">
        <f>+IF(AND(Tabla2[[#This Row],[venc]]="venc",Tabla2[[#This Row],[Columna1]]="por pagar"),"vencida","no")</f>
        <v>no</v>
      </c>
    </row>
    <row r="891" spans="1:23" ht="15.6" hidden="1" x14ac:dyDescent="0.3">
      <c r="A891" s="20">
        <v>30</v>
      </c>
      <c r="B891" s="25">
        <v>0</v>
      </c>
      <c r="C891" s="25"/>
      <c r="D891" s="56" t="s">
        <v>107</v>
      </c>
      <c r="E891" s="426">
        <v>45031</v>
      </c>
      <c r="F891" s="26" t="s">
        <v>404</v>
      </c>
      <c r="G891" s="426">
        <v>45030</v>
      </c>
      <c r="H891" s="35">
        <v>681860</v>
      </c>
      <c r="I891" s="21">
        <v>3556280</v>
      </c>
      <c r="J891" s="21"/>
      <c r="K891" s="22">
        <v>0</v>
      </c>
      <c r="L891" s="23"/>
      <c r="M891" s="22">
        <v>0</v>
      </c>
      <c r="N891" s="74">
        <v>0</v>
      </c>
      <c r="O891" s="22">
        <v>0</v>
      </c>
      <c r="P891" s="21">
        <v>3556280</v>
      </c>
      <c r="S891" s="108" t="b">
        <f>OR(COUNTIF(Tabla2[[#This Row],[PROVEEDOR]],"*"&amp;'Palabra no opera'!$A$2&amp;"*"))</f>
        <v>0</v>
      </c>
      <c r="T891" s="139">
        <f>+$W$5-Tabla2[[#This Row],[FECHA DE FACTURACIÓN]]</f>
        <v>261</v>
      </c>
      <c r="U891" t="str">
        <f>+IF(Tabla2[[#This Row],[dias de credito]]&gt;=Tabla2[[#This Row],[PLAZO Días]],"venc", "No venc")</f>
        <v>venc</v>
      </c>
      <c r="V891" t="str">
        <f>+IF(Tabla2[[#This Row],[FECHA DE PAGO]]&gt;0,"pagada","por pagar")</f>
        <v>pagada</v>
      </c>
      <c r="W891" s="141" t="str">
        <f>+IF(AND(Tabla2[[#This Row],[venc]]="venc",Tabla2[[#This Row],[Columna1]]="por pagar"),"vencida","no")</f>
        <v>no</v>
      </c>
    </row>
    <row r="892" spans="1:23" ht="15.6" hidden="1" x14ac:dyDescent="0.3">
      <c r="A892" s="20">
        <v>30</v>
      </c>
      <c r="B892" s="25">
        <v>0</v>
      </c>
      <c r="C892" s="25"/>
      <c r="D892" s="56" t="s">
        <v>659</v>
      </c>
      <c r="E892" s="426">
        <v>45031</v>
      </c>
      <c r="F892" s="26" t="s">
        <v>227</v>
      </c>
      <c r="G892" s="426">
        <v>45027</v>
      </c>
      <c r="H892" s="35" t="s">
        <v>1574</v>
      </c>
      <c r="I892" s="21">
        <v>0</v>
      </c>
      <c r="J892" s="21"/>
      <c r="K892" s="22">
        <v>0</v>
      </c>
      <c r="L892" s="23"/>
      <c r="M892" s="22">
        <v>0</v>
      </c>
      <c r="N892" s="74">
        <v>0</v>
      </c>
      <c r="O892" s="22">
        <v>0</v>
      </c>
      <c r="P892" s="21">
        <v>0</v>
      </c>
      <c r="S892" s="108" t="b">
        <f>OR(COUNTIF(Tabla2[[#This Row],[PROVEEDOR]],"*"&amp;'Palabra no opera'!$A$2&amp;"*"))</f>
        <v>0</v>
      </c>
      <c r="T892" s="139">
        <f>+$W$5-Tabla2[[#This Row],[FECHA DE FACTURACIÓN]]</f>
        <v>264</v>
      </c>
      <c r="U892" t="str">
        <f>+IF(Tabla2[[#This Row],[dias de credito]]&gt;=Tabla2[[#This Row],[PLAZO Días]],"venc", "No venc")</f>
        <v>venc</v>
      </c>
      <c r="V892" t="str">
        <f>+IF(Tabla2[[#This Row],[FECHA DE PAGO]]&gt;0,"pagada","por pagar")</f>
        <v>pagada</v>
      </c>
      <c r="W892" s="141" t="str">
        <f>+IF(AND(Tabla2[[#This Row],[venc]]="venc",Tabla2[[#This Row],[Columna1]]="por pagar"),"vencida","no")</f>
        <v>no</v>
      </c>
    </row>
    <row r="893" spans="1:23" ht="15.6" hidden="1" x14ac:dyDescent="0.3">
      <c r="A893" s="20">
        <v>30</v>
      </c>
      <c r="B893" s="25">
        <v>0</v>
      </c>
      <c r="C893" s="25"/>
      <c r="D893" s="56" t="s">
        <v>659</v>
      </c>
      <c r="E893" s="426">
        <v>45031</v>
      </c>
      <c r="F893" s="26" t="s">
        <v>227</v>
      </c>
      <c r="G893" s="426">
        <v>45027</v>
      </c>
      <c r="H893" s="35" t="s">
        <v>1575</v>
      </c>
      <c r="I893" s="21">
        <v>146984</v>
      </c>
      <c r="J893" s="21"/>
      <c r="K893" s="22">
        <v>0</v>
      </c>
      <c r="L893" s="23"/>
      <c r="M893" s="22">
        <v>0</v>
      </c>
      <c r="N893" s="74">
        <v>0</v>
      </c>
      <c r="O893" s="22">
        <v>0</v>
      </c>
      <c r="P893" s="21">
        <v>146984</v>
      </c>
      <c r="S893" s="108" t="b">
        <f>OR(COUNTIF(Tabla2[[#This Row],[PROVEEDOR]],"*"&amp;'Palabra no opera'!$A$2&amp;"*"))</f>
        <v>0</v>
      </c>
      <c r="T893" s="139">
        <f>+$W$5-Tabla2[[#This Row],[FECHA DE FACTURACIÓN]]</f>
        <v>264</v>
      </c>
      <c r="U893" t="str">
        <f>+IF(Tabla2[[#This Row],[dias de credito]]&gt;=Tabla2[[#This Row],[PLAZO Días]],"venc", "No venc")</f>
        <v>venc</v>
      </c>
      <c r="V893" t="str">
        <f>+IF(Tabla2[[#This Row],[FECHA DE PAGO]]&gt;0,"pagada","por pagar")</f>
        <v>pagada</v>
      </c>
      <c r="W893" s="141" t="str">
        <f>+IF(AND(Tabla2[[#This Row],[venc]]="venc",Tabla2[[#This Row],[Columna1]]="por pagar"),"vencida","no")</f>
        <v>no</v>
      </c>
    </row>
    <row r="894" spans="1:23" ht="15.6" hidden="1" x14ac:dyDescent="0.3">
      <c r="A894" s="20">
        <v>30</v>
      </c>
      <c r="B894" s="25">
        <v>229206</v>
      </c>
      <c r="C894" s="25"/>
      <c r="D894" s="56" t="s">
        <v>659</v>
      </c>
      <c r="E894" s="426">
        <v>45031</v>
      </c>
      <c r="F894" s="26" t="s">
        <v>95</v>
      </c>
      <c r="G894" s="426">
        <v>45026</v>
      </c>
      <c r="H894" s="35" t="s">
        <v>1584</v>
      </c>
      <c r="I894" s="21">
        <v>0</v>
      </c>
      <c r="J894" s="21"/>
      <c r="K894" s="22">
        <v>0</v>
      </c>
      <c r="L894" s="23"/>
      <c r="M894" s="22">
        <v>0</v>
      </c>
      <c r="N894" s="74">
        <v>0</v>
      </c>
      <c r="O894" s="22">
        <v>0</v>
      </c>
      <c r="P894" s="21">
        <v>0</v>
      </c>
      <c r="S894" s="108" t="b">
        <f>OR(COUNTIF(Tabla2[[#This Row],[PROVEEDOR]],"*"&amp;'Palabra no opera'!$A$2&amp;"*"))</f>
        <v>0</v>
      </c>
      <c r="T894" s="139">
        <f>+$W$5-Tabla2[[#This Row],[FECHA DE FACTURACIÓN]]</f>
        <v>265</v>
      </c>
      <c r="U894" t="str">
        <f>+IF(Tabla2[[#This Row],[dias de credito]]&gt;=Tabla2[[#This Row],[PLAZO Días]],"venc", "No venc")</f>
        <v>venc</v>
      </c>
      <c r="V894" t="str">
        <f>+IF(Tabla2[[#This Row],[FECHA DE PAGO]]&gt;0,"pagada","por pagar")</f>
        <v>pagada</v>
      </c>
      <c r="W894" s="141" t="str">
        <f>+IF(AND(Tabla2[[#This Row],[venc]]="venc",Tabla2[[#This Row],[Columna1]]="por pagar"),"vencida","no")</f>
        <v>no</v>
      </c>
    </row>
    <row r="895" spans="1:23" ht="15.6" hidden="1" x14ac:dyDescent="0.3">
      <c r="A895" s="20">
        <v>30</v>
      </c>
      <c r="B895" s="25">
        <v>229206</v>
      </c>
      <c r="C895" s="25"/>
      <c r="D895" s="56" t="s">
        <v>659</v>
      </c>
      <c r="E895" s="426">
        <v>45031</v>
      </c>
      <c r="F895" s="26" t="s">
        <v>95</v>
      </c>
      <c r="G895" s="426">
        <v>45026</v>
      </c>
      <c r="H895" s="35" t="s">
        <v>1585</v>
      </c>
      <c r="I895" s="21">
        <v>16984</v>
      </c>
      <c r="J895" s="21"/>
      <c r="K895" s="22">
        <v>0</v>
      </c>
      <c r="L895" s="23"/>
      <c r="M895" s="22">
        <v>0</v>
      </c>
      <c r="N895" s="74">
        <v>0</v>
      </c>
      <c r="O895" s="22">
        <v>0</v>
      </c>
      <c r="P895" s="21">
        <v>16984</v>
      </c>
      <c r="S895" s="108" t="b">
        <f>OR(COUNTIF(Tabla2[[#This Row],[PROVEEDOR]],"*"&amp;'Palabra no opera'!$A$2&amp;"*"))</f>
        <v>0</v>
      </c>
      <c r="T895" s="139">
        <f>+$W$5-Tabla2[[#This Row],[FECHA DE FACTURACIÓN]]</f>
        <v>265</v>
      </c>
      <c r="U895" t="str">
        <f>+IF(Tabla2[[#This Row],[dias de credito]]&gt;=Tabla2[[#This Row],[PLAZO Días]],"venc", "No venc")</f>
        <v>venc</v>
      </c>
      <c r="V895" t="str">
        <f>+IF(Tabla2[[#This Row],[FECHA DE PAGO]]&gt;0,"pagada","por pagar")</f>
        <v>pagada</v>
      </c>
      <c r="W895" s="141" t="str">
        <f>+IF(AND(Tabla2[[#This Row],[venc]]="venc",Tabla2[[#This Row],[Columna1]]="por pagar"),"vencida","no")</f>
        <v>no</v>
      </c>
    </row>
    <row r="896" spans="1:23" ht="15.6" hidden="1" x14ac:dyDescent="0.3">
      <c r="A896" s="20">
        <v>30</v>
      </c>
      <c r="B896" s="25">
        <v>0</v>
      </c>
      <c r="C896" s="25"/>
      <c r="D896" s="56" t="s">
        <v>659</v>
      </c>
      <c r="E896" s="426">
        <v>45031</v>
      </c>
      <c r="F896" s="26" t="s">
        <v>227</v>
      </c>
      <c r="G896" s="426">
        <v>45022</v>
      </c>
      <c r="H896" s="35" t="s">
        <v>1282</v>
      </c>
      <c r="I896" s="21">
        <v>-1008779</v>
      </c>
      <c r="J896" s="21"/>
      <c r="K896" s="22">
        <v>0</v>
      </c>
      <c r="L896" s="23"/>
      <c r="M896" s="22">
        <v>0</v>
      </c>
      <c r="N896" s="74">
        <v>0</v>
      </c>
      <c r="O896" s="22">
        <v>0</v>
      </c>
      <c r="P896" s="21">
        <v>-1008779</v>
      </c>
      <c r="S896" s="108" t="b">
        <f>OR(COUNTIF(Tabla2[[#This Row],[PROVEEDOR]],"*"&amp;'Palabra no opera'!$A$2&amp;"*"))</f>
        <v>0</v>
      </c>
      <c r="T896" s="139">
        <f>+$W$5-Tabla2[[#This Row],[FECHA DE FACTURACIÓN]]</f>
        <v>269</v>
      </c>
      <c r="U896" t="str">
        <f>+IF(Tabla2[[#This Row],[dias de credito]]&gt;=Tabla2[[#This Row],[PLAZO Días]],"venc", "No venc")</f>
        <v>venc</v>
      </c>
      <c r="V896" t="str">
        <f>+IF(Tabla2[[#This Row],[FECHA DE PAGO]]&gt;0,"pagada","por pagar")</f>
        <v>pagada</v>
      </c>
      <c r="W896" s="141" t="str">
        <f>+IF(AND(Tabla2[[#This Row],[venc]]="venc",Tabla2[[#This Row],[Columna1]]="por pagar"),"vencida","no")</f>
        <v>no</v>
      </c>
    </row>
    <row r="897" spans="1:23" ht="15.6" hidden="1" x14ac:dyDescent="0.3">
      <c r="A897" s="20">
        <v>30</v>
      </c>
      <c r="B897" s="25">
        <v>0</v>
      </c>
      <c r="C897" s="25"/>
      <c r="D897" s="56" t="s">
        <v>659</v>
      </c>
      <c r="E897" s="426">
        <v>45031</v>
      </c>
      <c r="F897" s="26" t="s">
        <v>227</v>
      </c>
      <c r="G897" s="426">
        <v>45009</v>
      </c>
      <c r="H897" s="35">
        <v>560</v>
      </c>
      <c r="I897" s="21">
        <v>32039</v>
      </c>
      <c r="J897" s="21"/>
      <c r="K897" s="22">
        <v>0</v>
      </c>
      <c r="L897" s="23"/>
      <c r="M897" s="22">
        <v>0</v>
      </c>
      <c r="N897" s="74">
        <v>0</v>
      </c>
      <c r="O897" s="22">
        <v>0</v>
      </c>
      <c r="P897" s="21">
        <v>32039</v>
      </c>
      <c r="S897" s="108" t="b">
        <f>OR(COUNTIF(Tabla2[[#This Row],[PROVEEDOR]],"*"&amp;'Palabra no opera'!$A$2&amp;"*"))</f>
        <v>0</v>
      </c>
      <c r="T897" s="139">
        <f>+$W$5-Tabla2[[#This Row],[FECHA DE FACTURACIÓN]]</f>
        <v>282</v>
      </c>
      <c r="U897" t="str">
        <f>+IF(Tabla2[[#This Row],[dias de credito]]&gt;=Tabla2[[#This Row],[PLAZO Días]],"venc", "No venc")</f>
        <v>venc</v>
      </c>
      <c r="V897" t="str">
        <f>+IF(Tabla2[[#This Row],[FECHA DE PAGO]]&gt;0,"pagada","por pagar")</f>
        <v>pagada</v>
      </c>
      <c r="W897" s="141" t="str">
        <f>+IF(AND(Tabla2[[#This Row],[venc]]="venc",Tabla2[[#This Row],[Columna1]]="por pagar"),"vencida","no")</f>
        <v>no</v>
      </c>
    </row>
    <row r="898" spans="1:23" ht="15.6" hidden="1" x14ac:dyDescent="0.3">
      <c r="A898" s="20">
        <v>30</v>
      </c>
      <c r="B898" s="25">
        <v>0</v>
      </c>
      <c r="C898" s="25"/>
      <c r="D898" s="56" t="s">
        <v>659</v>
      </c>
      <c r="E898" s="426">
        <v>45031</v>
      </c>
      <c r="F898" s="26" t="s">
        <v>227</v>
      </c>
      <c r="G898" s="426">
        <v>45008</v>
      </c>
      <c r="H898" s="35">
        <v>559</v>
      </c>
      <c r="I898" s="21">
        <v>0</v>
      </c>
      <c r="J898" s="21"/>
      <c r="K898" s="22">
        <v>0</v>
      </c>
      <c r="L898" s="23"/>
      <c r="M898" s="22">
        <v>0</v>
      </c>
      <c r="N898" s="74">
        <v>0</v>
      </c>
      <c r="O898" s="22">
        <v>0</v>
      </c>
      <c r="P898" s="21">
        <v>0</v>
      </c>
      <c r="S898" s="108" t="b">
        <f>OR(COUNTIF(Tabla2[[#This Row],[PROVEEDOR]],"*"&amp;'Palabra no opera'!$A$2&amp;"*"))</f>
        <v>0</v>
      </c>
      <c r="T898" s="139">
        <f>+$W$5-Tabla2[[#This Row],[FECHA DE FACTURACIÓN]]</f>
        <v>283</v>
      </c>
      <c r="U898" t="str">
        <f>+IF(Tabla2[[#This Row],[dias de credito]]&gt;=Tabla2[[#This Row],[PLAZO Días]],"venc", "No venc")</f>
        <v>venc</v>
      </c>
      <c r="V898" t="str">
        <f>+IF(Tabla2[[#This Row],[FECHA DE PAGO]]&gt;0,"pagada","por pagar")</f>
        <v>pagada</v>
      </c>
      <c r="W898" s="141" t="str">
        <f>+IF(AND(Tabla2[[#This Row],[venc]]="venc",Tabla2[[#This Row],[Columna1]]="por pagar"),"vencida","no")</f>
        <v>no</v>
      </c>
    </row>
    <row r="899" spans="1:23" ht="15.6" hidden="1" x14ac:dyDescent="0.3">
      <c r="A899" s="20">
        <v>30</v>
      </c>
      <c r="B899" s="25">
        <v>0</v>
      </c>
      <c r="C899" s="25"/>
      <c r="D899" s="56" t="s">
        <v>659</v>
      </c>
      <c r="E899" s="426">
        <v>45031</v>
      </c>
      <c r="F899" s="26" t="s">
        <v>227</v>
      </c>
      <c r="G899" s="426">
        <v>44957</v>
      </c>
      <c r="H899" s="35">
        <v>532</v>
      </c>
      <c r="I899" s="21">
        <v>67538</v>
      </c>
      <c r="J899" s="21"/>
      <c r="K899" s="22">
        <v>0</v>
      </c>
      <c r="L899" s="23"/>
      <c r="M899" s="22">
        <v>0</v>
      </c>
      <c r="N899" s="74">
        <v>0</v>
      </c>
      <c r="O899" s="22">
        <v>0</v>
      </c>
      <c r="P899" s="21">
        <v>67538</v>
      </c>
      <c r="S899" s="108" t="b">
        <f>OR(COUNTIF(Tabla2[[#This Row],[PROVEEDOR]],"*"&amp;'Palabra no opera'!$A$2&amp;"*"))</f>
        <v>0</v>
      </c>
      <c r="T899" s="139">
        <f>+$W$5-Tabla2[[#This Row],[FECHA DE FACTURACIÓN]]</f>
        <v>334</v>
      </c>
      <c r="U899" t="str">
        <f>+IF(Tabla2[[#This Row],[dias de credito]]&gt;=Tabla2[[#This Row],[PLAZO Días]],"venc", "No venc")</f>
        <v>venc</v>
      </c>
      <c r="V899" t="str">
        <f>+IF(Tabla2[[#This Row],[FECHA DE PAGO]]&gt;0,"pagada","por pagar")</f>
        <v>pagada</v>
      </c>
      <c r="W899" s="141" t="str">
        <f>+IF(AND(Tabla2[[#This Row],[venc]]="venc",Tabla2[[#This Row],[Columna1]]="por pagar"),"vencida","no")</f>
        <v>no</v>
      </c>
    </row>
    <row r="900" spans="1:23" ht="15.6" hidden="1" x14ac:dyDescent="0.3">
      <c r="A900" s="20">
        <v>30</v>
      </c>
      <c r="B900" s="25">
        <v>229206</v>
      </c>
      <c r="C900" s="25"/>
      <c r="D900" s="56" t="s">
        <v>659</v>
      </c>
      <c r="E900" s="426">
        <v>45031</v>
      </c>
      <c r="F900" s="26" t="s">
        <v>95</v>
      </c>
      <c r="G900" s="426">
        <v>44917</v>
      </c>
      <c r="H900" s="35" t="s">
        <v>1342</v>
      </c>
      <c r="I900" s="21">
        <v>175685</v>
      </c>
      <c r="J900" s="21"/>
      <c r="K900" s="22">
        <v>0</v>
      </c>
      <c r="L900" s="23"/>
      <c r="M900" s="22">
        <v>0</v>
      </c>
      <c r="N900" s="74">
        <v>0</v>
      </c>
      <c r="O900" s="22">
        <v>0</v>
      </c>
      <c r="P900" s="21">
        <v>175685</v>
      </c>
      <c r="S900" s="108" t="b">
        <f>OR(COUNTIF(Tabla2[[#This Row],[PROVEEDOR]],"*"&amp;'Palabra no opera'!$A$2&amp;"*"))</f>
        <v>0</v>
      </c>
      <c r="T900" s="139">
        <f>+$W$5-Tabla2[[#This Row],[FECHA DE FACTURACIÓN]]</f>
        <v>374</v>
      </c>
      <c r="U900" t="str">
        <f>+IF(Tabla2[[#This Row],[dias de credito]]&gt;=Tabla2[[#This Row],[PLAZO Días]],"venc", "No venc")</f>
        <v>venc</v>
      </c>
      <c r="V900" t="str">
        <f>+IF(Tabla2[[#This Row],[FECHA DE PAGO]]&gt;0,"pagada","por pagar")</f>
        <v>pagada</v>
      </c>
      <c r="W900" s="141" t="str">
        <f>+IF(AND(Tabla2[[#This Row],[venc]]="venc",Tabla2[[#This Row],[Columna1]]="por pagar"),"vencida","no")</f>
        <v>no</v>
      </c>
    </row>
    <row r="901" spans="1:23" ht="15.6" hidden="1" x14ac:dyDescent="0.3">
      <c r="A901" s="20">
        <v>30</v>
      </c>
      <c r="B901" s="25">
        <v>229206</v>
      </c>
      <c r="C901" s="25"/>
      <c r="D901" s="56" t="s">
        <v>659</v>
      </c>
      <c r="E901" s="426">
        <v>45031</v>
      </c>
      <c r="F901" s="26" t="s">
        <v>95</v>
      </c>
      <c r="G901" s="426">
        <v>44917</v>
      </c>
      <c r="H901" s="35" t="s">
        <v>1341</v>
      </c>
      <c r="I901" s="21">
        <v>3368</v>
      </c>
      <c r="J901" s="21"/>
      <c r="K901" s="22">
        <v>0</v>
      </c>
      <c r="L901" s="23"/>
      <c r="M901" s="22">
        <v>0</v>
      </c>
      <c r="N901" s="74">
        <v>0</v>
      </c>
      <c r="O901" s="22">
        <v>0</v>
      </c>
      <c r="P901" s="21">
        <v>3368</v>
      </c>
      <c r="S901" s="108" t="b">
        <f>OR(COUNTIF(Tabla2[[#This Row],[PROVEEDOR]],"*"&amp;'Palabra no opera'!$A$2&amp;"*"))</f>
        <v>0</v>
      </c>
      <c r="T901" s="139">
        <f>+$W$5-Tabla2[[#This Row],[FECHA DE FACTURACIÓN]]</f>
        <v>374</v>
      </c>
      <c r="U901" t="str">
        <f>+IF(Tabla2[[#This Row],[dias de credito]]&gt;=Tabla2[[#This Row],[PLAZO Días]],"venc", "No venc")</f>
        <v>venc</v>
      </c>
      <c r="V901" t="str">
        <f>+IF(Tabla2[[#This Row],[FECHA DE PAGO]]&gt;0,"pagada","por pagar")</f>
        <v>pagada</v>
      </c>
      <c r="W901" s="141" t="str">
        <f>+IF(AND(Tabla2[[#This Row],[venc]]="venc",Tabla2[[#This Row],[Columna1]]="por pagar"),"vencida","no")</f>
        <v>no</v>
      </c>
    </row>
    <row r="902" spans="1:23" ht="15.6" hidden="1" x14ac:dyDescent="0.3">
      <c r="A902" s="20">
        <v>30</v>
      </c>
      <c r="B902" s="25">
        <v>229206</v>
      </c>
      <c r="C902" s="25"/>
      <c r="D902" s="56" t="s">
        <v>659</v>
      </c>
      <c r="E902" s="426">
        <v>45031</v>
      </c>
      <c r="F902" s="26" t="s">
        <v>95</v>
      </c>
      <c r="G902" s="426">
        <v>44888</v>
      </c>
      <c r="H902" s="35" t="s">
        <v>1319</v>
      </c>
      <c r="I902" s="21">
        <v>437000</v>
      </c>
      <c r="J902" s="21"/>
      <c r="K902" s="22">
        <v>0</v>
      </c>
      <c r="L902" s="23"/>
      <c r="M902" s="22">
        <v>0</v>
      </c>
      <c r="N902" s="74">
        <v>0</v>
      </c>
      <c r="O902" s="22">
        <v>0</v>
      </c>
      <c r="P902" s="21">
        <v>437000</v>
      </c>
      <c r="S902" s="108" t="b">
        <f>OR(COUNTIF(Tabla2[[#This Row],[PROVEEDOR]],"*"&amp;'Palabra no opera'!$A$2&amp;"*"))</f>
        <v>0</v>
      </c>
      <c r="T902" s="139">
        <f>+$W$5-Tabla2[[#This Row],[FECHA DE FACTURACIÓN]]</f>
        <v>403</v>
      </c>
      <c r="U902" t="str">
        <f>+IF(Tabla2[[#This Row],[dias de credito]]&gt;=Tabla2[[#This Row],[PLAZO Días]],"venc", "No venc")</f>
        <v>venc</v>
      </c>
      <c r="V902" t="str">
        <f>+IF(Tabla2[[#This Row],[FECHA DE PAGO]]&gt;0,"pagada","por pagar")</f>
        <v>pagada</v>
      </c>
      <c r="W902" s="141" t="str">
        <f>+IF(AND(Tabla2[[#This Row],[venc]]="venc",Tabla2[[#This Row],[Columna1]]="por pagar"),"vencida","no")</f>
        <v>no</v>
      </c>
    </row>
    <row r="903" spans="1:23" ht="15.6" hidden="1" x14ac:dyDescent="0.3">
      <c r="A903" s="20">
        <v>30</v>
      </c>
      <c r="B903" s="25">
        <v>229206</v>
      </c>
      <c r="C903" s="25"/>
      <c r="D903" s="56" t="s">
        <v>659</v>
      </c>
      <c r="E903" s="426">
        <v>45031</v>
      </c>
      <c r="F903" s="26" t="s">
        <v>95</v>
      </c>
      <c r="G903" s="426">
        <v>44862</v>
      </c>
      <c r="H903" s="35" t="s">
        <v>1272</v>
      </c>
      <c r="I903" s="21">
        <v>279059</v>
      </c>
      <c r="J903" s="21"/>
      <c r="K903" s="22">
        <v>0</v>
      </c>
      <c r="L903" s="23"/>
      <c r="M903" s="22">
        <v>0</v>
      </c>
      <c r="N903" s="74">
        <v>0</v>
      </c>
      <c r="O903" s="22">
        <v>0</v>
      </c>
      <c r="P903" s="21">
        <v>279059</v>
      </c>
      <c r="S903" s="108" t="b">
        <f>OR(COUNTIF(Tabla2[[#This Row],[PROVEEDOR]],"*"&amp;'Palabra no opera'!$A$2&amp;"*"))</f>
        <v>0</v>
      </c>
      <c r="T903" s="139">
        <f>+$W$5-Tabla2[[#This Row],[FECHA DE FACTURACIÓN]]</f>
        <v>429</v>
      </c>
      <c r="U903" t="str">
        <f>+IF(Tabla2[[#This Row],[dias de credito]]&gt;=Tabla2[[#This Row],[PLAZO Días]],"venc", "No venc")</f>
        <v>venc</v>
      </c>
      <c r="V903" t="str">
        <f>+IF(Tabla2[[#This Row],[FECHA DE PAGO]]&gt;0,"pagada","por pagar")</f>
        <v>pagada</v>
      </c>
      <c r="W903" s="141" t="str">
        <f>+IF(AND(Tabla2[[#This Row],[venc]]="venc",Tabla2[[#This Row],[Columna1]]="por pagar"),"vencida","no")</f>
        <v>no</v>
      </c>
    </row>
    <row r="904" spans="1:23" ht="15.6" hidden="1" x14ac:dyDescent="0.3">
      <c r="A904" s="20">
        <v>30</v>
      </c>
      <c r="B904" s="25">
        <v>0</v>
      </c>
      <c r="C904" s="25"/>
      <c r="D904" s="56" t="s">
        <v>107</v>
      </c>
      <c r="E904" s="426">
        <v>45030</v>
      </c>
      <c r="F904" s="26" t="s">
        <v>362</v>
      </c>
      <c r="G904" s="426">
        <v>45030</v>
      </c>
      <c r="H904" s="35" t="s">
        <v>1618</v>
      </c>
      <c r="I904" s="21">
        <v>90000</v>
      </c>
      <c r="J904" s="21"/>
      <c r="K904" s="22">
        <v>0</v>
      </c>
      <c r="L904" s="23"/>
      <c r="M904" s="22">
        <v>0</v>
      </c>
      <c r="N904" s="74">
        <v>0</v>
      </c>
      <c r="O904" s="22">
        <v>0</v>
      </c>
      <c r="P904" s="21">
        <v>90000</v>
      </c>
      <c r="S904" s="108" t="b">
        <f>OR(COUNTIF(Tabla2[[#This Row],[PROVEEDOR]],"*"&amp;'Palabra no opera'!$A$2&amp;"*"))</f>
        <v>0</v>
      </c>
      <c r="T904" s="139">
        <f>+$W$5-Tabla2[[#This Row],[FECHA DE FACTURACIÓN]]</f>
        <v>261</v>
      </c>
      <c r="U904" t="str">
        <f>+IF(Tabla2[[#This Row],[dias de credito]]&gt;=Tabla2[[#This Row],[PLAZO Días]],"venc", "No venc")</f>
        <v>venc</v>
      </c>
      <c r="V904" t="str">
        <f>+IF(Tabla2[[#This Row],[FECHA DE PAGO]]&gt;0,"pagada","por pagar")</f>
        <v>pagada</v>
      </c>
      <c r="W904" s="141" t="str">
        <f>+IF(AND(Tabla2[[#This Row],[venc]]="venc",Tabla2[[#This Row],[Columna1]]="por pagar"),"vencida","no")</f>
        <v>no</v>
      </c>
    </row>
    <row r="905" spans="1:23" ht="15.6" hidden="1" x14ac:dyDescent="0.3">
      <c r="A905" s="20">
        <v>30</v>
      </c>
      <c r="B905" s="25">
        <v>4282200</v>
      </c>
      <c r="C905" s="25"/>
      <c r="D905" s="56" t="s">
        <v>244</v>
      </c>
      <c r="E905" s="426">
        <v>45030</v>
      </c>
      <c r="F905" s="26" t="s">
        <v>406</v>
      </c>
      <c r="G905" s="426">
        <v>45030</v>
      </c>
      <c r="H905" s="35" t="s">
        <v>1953</v>
      </c>
      <c r="I905" s="21">
        <v>89000</v>
      </c>
      <c r="J905" s="21"/>
      <c r="K905" s="22">
        <v>0</v>
      </c>
      <c r="L905" s="23"/>
      <c r="M905" s="22">
        <v>0</v>
      </c>
      <c r="N905" s="74">
        <v>0</v>
      </c>
      <c r="O905" s="22">
        <v>0</v>
      </c>
      <c r="P905" s="21">
        <v>89000</v>
      </c>
      <c r="S905" s="108" t="b">
        <f>OR(COUNTIF(Tabla2[[#This Row],[PROVEEDOR]],"*"&amp;'Palabra no opera'!$A$2&amp;"*"))</f>
        <v>0</v>
      </c>
      <c r="T905" s="139">
        <f>+$W$5-Tabla2[[#This Row],[FECHA DE FACTURACIÓN]]</f>
        <v>261</v>
      </c>
      <c r="U905" t="str">
        <f>+IF(Tabla2[[#This Row],[dias de credito]]&gt;=Tabla2[[#This Row],[PLAZO Días]],"venc", "No venc")</f>
        <v>venc</v>
      </c>
      <c r="V905" t="str">
        <f>+IF(Tabla2[[#This Row],[FECHA DE PAGO]]&gt;0,"pagada","por pagar")</f>
        <v>pagada</v>
      </c>
      <c r="W905" s="141" t="str">
        <f>+IF(AND(Tabla2[[#This Row],[venc]]="venc",Tabla2[[#This Row],[Columna1]]="por pagar"),"vencida","no")</f>
        <v>no</v>
      </c>
    </row>
    <row r="906" spans="1:23" ht="15.6" hidden="1" x14ac:dyDescent="0.3">
      <c r="A906" s="20">
        <v>30</v>
      </c>
      <c r="B906" s="25">
        <v>0</v>
      </c>
      <c r="C906" s="25"/>
      <c r="D906" s="56" t="s">
        <v>107</v>
      </c>
      <c r="E906" s="426">
        <v>45030</v>
      </c>
      <c r="F906" s="26" t="s">
        <v>356</v>
      </c>
      <c r="G906" s="426">
        <v>45029</v>
      </c>
      <c r="H906" s="35" t="s">
        <v>1624</v>
      </c>
      <c r="I906" s="21">
        <v>2877000</v>
      </c>
      <c r="J906" s="21"/>
      <c r="K906" s="22">
        <v>0</v>
      </c>
      <c r="L906" s="23"/>
      <c r="M906" s="22">
        <v>0</v>
      </c>
      <c r="N906" s="74">
        <v>0</v>
      </c>
      <c r="O906" s="22">
        <v>0</v>
      </c>
      <c r="P906" s="21">
        <v>2877000</v>
      </c>
      <c r="S906" s="108" t="b">
        <f>OR(COUNTIF(Tabla2[[#This Row],[PROVEEDOR]],"*"&amp;'Palabra no opera'!$A$2&amp;"*"))</f>
        <v>0</v>
      </c>
      <c r="T906" s="139">
        <f>+$W$5-Tabla2[[#This Row],[FECHA DE FACTURACIÓN]]</f>
        <v>262</v>
      </c>
      <c r="U906" t="str">
        <f>+IF(Tabla2[[#This Row],[dias de credito]]&gt;=Tabla2[[#This Row],[PLAZO Días]],"venc", "No venc")</f>
        <v>venc</v>
      </c>
      <c r="V906" t="str">
        <f>+IF(Tabla2[[#This Row],[FECHA DE PAGO]]&gt;0,"pagada","por pagar")</f>
        <v>pagada</v>
      </c>
      <c r="W906" s="141" t="str">
        <f>+IF(AND(Tabla2[[#This Row],[venc]]="venc",Tabla2[[#This Row],[Columna1]]="por pagar"),"vencida","no")</f>
        <v>no</v>
      </c>
    </row>
    <row r="907" spans="1:23" ht="15.6" hidden="1" x14ac:dyDescent="0.3">
      <c r="A907" s="20">
        <v>30</v>
      </c>
      <c r="B907" s="25">
        <v>0</v>
      </c>
      <c r="C907" s="25"/>
      <c r="D907" s="56" t="s">
        <v>185</v>
      </c>
      <c r="E907" s="426">
        <v>45030</v>
      </c>
      <c r="F907" s="26" t="s">
        <v>628</v>
      </c>
      <c r="G907" s="426">
        <v>45019</v>
      </c>
      <c r="H907" s="35" t="s">
        <v>1582</v>
      </c>
      <c r="I907" s="21">
        <v>1840056</v>
      </c>
      <c r="J907" s="21"/>
      <c r="K907" s="22">
        <v>0</v>
      </c>
      <c r="L907" s="23"/>
      <c r="M907" s="22">
        <v>105097</v>
      </c>
      <c r="N907" s="74">
        <v>0</v>
      </c>
      <c r="O907" s="22">
        <v>0</v>
      </c>
      <c r="P907" s="21">
        <v>1734959</v>
      </c>
      <c r="S907" s="108" t="b">
        <f>OR(COUNTIF(Tabla2[[#This Row],[PROVEEDOR]],"*"&amp;'Palabra no opera'!$A$2&amp;"*"))</f>
        <v>1</v>
      </c>
      <c r="T907" s="139">
        <f>+$W$5-Tabla2[[#This Row],[FECHA DE FACTURACIÓN]]</f>
        <v>272</v>
      </c>
      <c r="U907" t="str">
        <f>+IF(Tabla2[[#This Row],[dias de credito]]&gt;=Tabla2[[#This Row],[PLAZO Días]],"venc", "No venc")</f>
        <v>venc</v>
      </c>
      <c r="V907" t="str">
        <f>+IF(Tabla2[[#This Row],[FECHA DE PAGO]]&gt;0,"pagada","por pagar")</f>
        <v>pagada</v>
      </c>
      <c r="W907" s="141" t="str">
        <f>+IF(AND(Tabla2[[#This Row],[venc]]="venc",Tabla2[[#This Row],[Columna1]]="por pagar"),"vencida","no")</f>
        <v>no</v>
      </c>
    </row>
    <row r="908" spans="1:23" ht="15.6" hidden="1" x14ac:dyDescent="0.3">
      <c r="A908" s="20">
        <v>30</v>
      </c>
      <c r="B908" s="25">
        <v>2100000</v>
      </c>
      <c r="C908" s="25"/>
      <c r="D908" s="56" t="s">
        <v>107</v>
      </c>
      <c r="E908" s="426">
        <v>45030</v>
      </c>
      <c r="F908" s="26" t="s">
        <v>349</v>
      </c>
      <c r="G908" s="426">
        <v>44978</v>
      </c>
      <c r="H908" s="35" t="s">
        <v>1475</v>
      </c>
      <c r="I908" s="21">
        <v>1395000</v>
      </c>
      <c r="J908" s="21"/>
      <c r="K908" s="22">
        <v>0</v>
      </c>
      <c r="L908" s="23"/>
      <c r="M908" s="22">
        <v>0</v>
      </c>
      <c r="N908" s="74">
        <v>0</v>
      </c>
      <c r="O908" s="22">
        <v>0</v>
      </c>
      <c r="P908" s="21">
        <v>1395000</v>
      </c>
      <c r="S908" s="108" t="b">
        <f>OR(COUNTIF(Tabla2[[#This Row],[PROVEEDOR]],"*"&amp;'Palabra no opera'!$A$2&amp;"*"))</f>
        <v>0</v>
      </c>
      <c r="T908" s="139">
        <f>+$W$5-Tabla2[[#This Row],[FECHA DE FACTURACIÓN]]</f>
        <v>313</v>
      </c>
      <c r="U908" t="str">
        <f>+IF(Tabla2[[#This Row],[dias de credito]]&gt;=Tabla2[[#This Row],[PLAZO Días]],"venc", "No venc")</f>
        <v>venc</v>
      </c>
      <c r="V908" t="str">
        <f>+IF(Tabla2[[#This Row],[FECHA DE PAGO]]&gt;0,"pagada","por pagar")</f>
        <v>pagada</v>
      </c>
      <c r="W908" s="141" t="str">
        <f>+IF(AND(Tabla2[[#This Row],[venc]]="venc",Tabla2[[#This Row],[Columna1]]="por pagar"),"vencida","no")</f>
        <v>no</v>
      </c>
    </row>
    <row r="909" spans="1:23" ht="15.6" hidden="1" x14ac:dyDescent="0.3">
      <c r="A909" s="20">
        <v>30</v>
      </c>
      <c r="B909" s="25">
        <v>0</v>
      </c>
      <c r="C909" s="25"/>
      <c r="D909" s="56" t="s">
        <v>259</v>
      </c>
      <c r="E909" s="426">
        <v>45030</v>
      </c>
      <c r="F909" s="26" t="s">
        <v>33</v>
      </c>
      <c r="G909" s="426">
        <v>44964</v>
      </c>
      <c r="H909" s="35" t="s">
        <v>1443</v>
      </c>
      <c r="I909" s="21">
        <v>8898000</v>
      </c>
      <c r="J909" s="21"/>
      <c r="K909" s="22">
        <v>1690620</v>
      </c>
      <c r="L909" s="23"/>
      <c r="M909" s="22">
        <v>0</v>
      </c>
      <c r="N909" s="74">
        <v>2.5000000000000001E-2</v>
      </c>
      <c r="O909" s="22">
        <v>222450</v>
      </c>
      <c r="P909" s="21">
        <v>10366170</v>
      </c>
      <c r="S909" s="108" t="b">
        <f>OR(COUNTIF(Tabla2[[#This Row],[PROVEEDOR]],"*"&amp;'Palabra no opera'!$A$2&amp;"*"))</f>
        <v>0</v>
      </c>
      <c r="T909" s="139">
        <f>+$W$5-Tabla2[[#This Row],[FECHA DE FACTURACIÓN]]</f>
        <v>327</v>
      </c>
      <c r="U909" t="str">
        <f>+IF(Tabla2[[#This Row],[dias de credito]]&gt;=Tabla2[[#This Row],[PLAZO Días]],"venc", "No venc")</f>
        <v>venc</v>
      </c>
      <c r="V909" t="str">
        <f>+IF(Tabla2[[#This Row],[FECHA DE PAGO]]&gt;0,"pagada","por pagar")</f>
        <v>pagada</v>
      </c>
      <c r="W909" s="141" t="str">
        <f>+IF(AND(Tabla2[[#This Row],[venc]]="venc",Tabla2[[#This Row],[Columna1]]="por pagar"),"vencida","no")</f>
        <v>no</v>
      </c>
    </row>
    <row r="910" spans="1:23" ht="15.6" hidden="1" x14ac:dyDescent="0.3">
      <c r="A910" s="20">
        <v>30</v>
      </c>
      <c r="B910" s="25">
        <v>0</v>
      </c>
      <c r="C910" s="25"/>
      <c r="D910" s="56">
        <v>0</v>
      </c>
      <c r="E910" s="426">
        <v>45029</v>
      </c>
      <c r="F910" s="26" t="s">
        <v>204</v>
      </c>
      <c r="G910" s="426">
        <v>45029</v>
      </c>
      <c r="H910" s="35" t="s">
        <v>1629</v>
      </c>
      <c r="I910" s="21">
        <v>175456</v>
      </c>
      <c r="J910" s="21"/>
      <c r="K910" s="22">
        <v>33336.639999999999</v>
      </c>
      <c r="L910" s="23"/>
      <c r="M910" s="22">
        <v>0</v>
      </c>
      <c r="N910" s="74">
        <v>0</v>
      </c>
      <c r="O910" s="22">
        <v>0</v>
      </c>
      <c r="P910" s="21">
        <v>208792.64</v>
      </c>
      <c r="S910" s="108" t="b">
        <f>OR(COUNTIF(Tabla2[[#This Row],[PROVEEDOR]],"*"&amp;'Palabra no opera'!$A$2&amp;"*"))</f>
        <v>0</v>
      </c>
      <c r="T910" s="139">
        <f>+$W$5-Tabla2[[#This Row],[FECHA DE FACTURACIÓN]]</f>
        <v>262</v>
      </c>
      <c r="U910" t="str">
        <f>+IF(Tabla2[[#This Row],[dias de credito]]&gt;=Tabla2[[#This Row],[PLAZO Días]],"venc", "No venc")</f>
        <v>venc</v>
      </c>
      <c r="V910" t="str">
        <f>+IF(Tabla2[[#This Row],[FECHA DE PAGO]]&gt;0,"pagada","por pagar")</f>
        <v>pagada</v>
      </c>
      <c r="W910" s="141" t="str">
        <f>+IF(AND(Tabla2[[#This Row],[venc]]="venc",Tabla2[[#This Row],[Columna1]]="por pagar"),"vencida","no")</f>
        <v>no</v>
      </c>
    </row>
    <row r="911" spans="1:23" ht="15.6" hidden="1" x14ac:dyDescent="0.3">
      <c r="A911" s="20">
        <v>30</v>
      </c>
      <c r="B911" s="25">
        <v>0</v>
      </c>
      <c r="C911" s="25"/>
      <c r="D911" s="56" t="s">
        <v>107</v>
      </c>
      <c r="E911" s="426">
        <v>45029</v>
      </c>
      <c r="F911" s="26" t="s">
        <v>401</v>
      </c>
      <c r="G911" s="426">
        <v>44986</v>
      </c>
      <c r="H911" s="35" t="s">
        <v>1549</v>
      </c>
      <c r="I911" s="21">
        <v>764000</v>
      </c>
      <c r="J911" s="21"/>
      <c r="K911" s="22">
        <v>0</v>
      </c>
      <c r="L911" s="23"/>
      <c r="M911" s="22">
        <v>0</v>
      </c>
      <c r="N911" s="74">
        <v>0</v>
      </c>
      <c r="O911" s="22">
        <v>0</v>
      </c>
      <c r="P911" s="21">
        <v>764000</v>
      </c>
      <c r="S911" s="108" t="b">
        <f>OR(COUNTIF(Tabla2[[#This Row],[PROVEEDOR]],"*"&amp;'Palabra no opera'!$A$2&amp;"*"))</f>
        <v>0</v>
      </c>
      <c r="T911" s="139">
        <f>+$W$5-Tabla2[[#This Row],[FECHA DE FACTURACIÓN]]</f>
        <v>305</v>
      </c>
      <c r="U911" t="str">
        <f>+IF(Tabla2[[#This Row],[dias de credito]]&gt;=Tabla2[[#This Row],[PLAZO Días]],"venc", "No venc")</f>
        <v>venc</v>
      </c>
      <c r="V911" t="str">
        <f>+IF(Tabla2[[#This Row],[FECHA DE PAGO]]&gt;0,"pagada","por pagar")</f>
        <v>pagada</v>
      </c>
      <c r="W911" s="141" t="str">
        <f>+IF(AND(Tabla2[[#This Row],[venc]]="venc",Tabla2[[#This Row],[Columna1]]="por pagar"),"vencida","no")</f>
        <v>no</v>
      </c>
    </row>
    <row r="912" spans="1:23" ht="15.6" hidden="1" x14ac:dyDescent="0.3">
      <c r="A912" s="20">
        <v>30</v>
      </c>
      <c r="B912" s="25">
        <v>4282200</v>
      </c>
      <c r="C912" s="25"/>
      <c r="D912" s="56" t="s">
        <v>244</v>
      </c>
      <c r="E912" s="426">
        <v>45029</v>
      </c>
      <c r="F912" s="26" t="s">
        <v>406</v>
      </c>
      <c r="G912" s="426">
        <v>44953</v>
      </c>
      <c r="H912" s="35" t="s">
        <v>1408</v>
      </c>
      <c r="I912" s="21">
        <v>1808800</v>
      </c>
      <c r="J912" s="21"/>
      <c r="K912" s="22">
        <v>0</v>
      </c>
      <c r="L912" s="23"/>
      <c r="M912" s="22">
        <v>0</v>
      </c>
      <c r="N912" s="74">
        <v>0</v>
      </c>
      <c r="O912" s="22">
        <v>0</v>
      </c>
      <c r="P912" s="21">
        <v>1808800</v>
      </c>
      <c r="S912" s="108" t="b">
        <f>OR(COUNTIF(Tabla2[[#This Row],[PROVEEDOR]],"*"&amp;'Palabra no opera'!$A$2&amp;"*"))</f>
        <v>0</v>
      </c>
      <c r="T912" s="139">
        <f>+$W$5-Tabla2[[#This Row],[FECHA DE FACTURACIÓN]]</f>
        <v>338</v>
      </c>
      <c r="U912" t="str">
        <f>+IF(Tabla2[[#This Row],[dias de credito]]&gt;=Tabla2[[#This Row],[PLAZO Días]],"venc", "No venc")</f>
        <v>venc</v>
      </c>
      <c r="V912" t="str">
        <f>+IF(Tabla2[[#This Row],[FECHA DE PAGO]]&gt;0,"pagada","por pagar")</f>
        <v>pagada</v>
      </c>
      <c r="W912" s="141" t="str">
        <f>+IF(AND(Tabla2[[#This Row],[venc]]="venc",Tabla2[[#This Row],[Columna1]]="por pagar"),"vencida","no")</f>
        <v>no</v>
      </c>
    </row>
    <row r="913" spans="1:23" ht="15.6" hidden="1" x14ac:dyDescent="0.3">
      <c r="A913" s="20">
        <v>30</v>
      </c>
      <c r="B913" s="25">
        <v>0</v>
      </c>
      <c r="C913" s="25"/>
      <c r="D913" s="56" t="s">
        <v>107</v>
      </c>
      <c r="E913" s="426">
        <v>45029</v>
      </c>
      <c r="F913" s="26" t="s">
        <v>362</v>
      </c>
      <c r="G913" s="426">
        <v>44942</v>
      </c>
      <c r="H913" s="35" t="s">
        <v>1397</v>
      </c>
      <c r="I913" s="21">
        <v>258684</v>
      </c>
      <c r="J913" s="21"/>
      <c r="K913" s="22">
        <v>0</v>
      </c>
      <c r="L913" s="23"/>
      <c r="M913" s="22">
        <v>0</v>
      </c>
      <c r="N913" s="74">
        <v>0</v>
      </c>
      <c r="O913" s="22">
        <v>0</v>
      </c>
      <c r="P913" s="21">
        <v>258684</v>
      </c>
      <c r="S913" s="108" t="b">
        <f>OR(COUNTIF(Tabla2[[#This Row],[PROVEEDOR]],"*"&amp;'Palabra no opera'!$A$2&amp;"*"))</f>
        <v>0</v>
      </c>
      <c r="T913" s="139">
        <f>+$W$5-Tabla2[[#This Row],[FECHA DE FACTURACIÓN]]</f>
        <v>349</v>
      </c>
      <c r="U913" t="str">
        <f>+IF(Tabla2[[#This Row],[dias de credito]]&gt;=Tabla2[[#This Row],[PLAZO Días]],"venc", "No venc")</f>
        <v>venc</v>
      </c>
      <c r="V913" t="str">
        <f>+IF(Tabla2[[#This Row],[FECHA DE PAGO]]&gt;0,"pagada","por pagar")</f>
        <v>pagada</v>
      </c>
      <c r="W913" s="141" t="str">
        <f>+IF(AND(Tabla2[[#This Row],[venc]]="venc",Tabla2[[#This Row],[Columna1]]="por pagar"),"vencida","no")</f>
        <v>no</v>
      </c>
    </row>
    <row r="914" spans="1:23" ht="15.6" hidden="1" x14ac:dyDescent="0.3">
      <c r="A914" s="20">
        <v>30</v>
      </c>
      <c r="B914" s="25">
        <v>0</v>
      </c>
      <c r="C914" s="25"/>
      <c r="D914" s="56" t="s">
        <v>211</v>
      </c>
      <c r="E914" s="426">
        <v>45029</v>
      </c>
      <c r="F914" s="26" t="s">
        <v>400</v>
      </c>
      <c r="G914" s="426">
        <v>44929</v>
      </c>
      <c r="H914" s="35">
        <v>2740</v>
      </c>
      <c r="I914" s="21">
        <v>2348000</v>
      </c>
      <c r="J914" s="21"/>
      <c r="K914" s="22">
        <v>0</v>
      </c>
      <c r="L914" s="23"/>
      <c r="M914" s="22">
        <v>0</v>
      </c>
      <c r="N914" s="74">
        <v>0</v>
      </c>
      <c r="O914" s="22">
        <v>0</v>
      </c>
      <c r="P914" s="21">
        <v>2348000</v>
      </c>
      <c r="S914" s="108" t="b">
        <f>OR(COUNTIF(Tabla2[[#This Row],[PROVEEDOR]],"*"&amp;'Palabra no opera'!$A$2&amp;"*"))</f>
        <v>0</v>
      </c>
      <c r="T914" s="139">
        <f>+$W$5-Tabla2[[#This Row],[FECHA DE FACTURACIÓN]]</f>
        <v>362</v>
      </c>
      <c r="U914" t="str">
        <f>+IF(Tabla2[[#This Row],[dias de credito]]&gt;=Tabla2[[#This Row],[PLAZO Días]],"venc", "No venc")</f>
        <v>venc</v>
      </c>
      <c r="V914" t="str">
        <f>+IF(Tabla2[[#This Row],[FECHA DE PAGO]]&gt;0,"pagada","por pagar")</f>
        <v>pagada</v>
      </c>
      <c r="W914" s="141" t="str">
        <f>+IF(AND(Tabla2[[#This Row],[venc]]="venc",Tabla2[[#This Row],[Columna1]]="por pagar"),"vencida","no")</f>
        <v>no</v>
      </c>
    </row>
    <row r="915" spans="1:23" ht="15.6" hidden="1" x14ac:dyDescent="0.3">
      <c r="A915" s="20">
        <v>30</v>
      </c>
      <c r="B915" s="25">
        <v>0</v>
      </c>
      <c r="C915" s="25"/>
      <c r="D915" s="56" t="s">
        <v>258</v>
      </c>
      <c r="E915" s="426">
        <v>45028</v>
      </c>
      <c r="F915" s="26" t="s">
        <v>394</v>
      </c>
      <c r="G915" s="426">
        <v>44983</v>
      </c>
      <c r="H915" s="35" t="s">
        <v>1471</v>
      </c>
      <c r="I915" s="21">
        <v>2550000</v>
      </c>
      <c r="J915" s="21"/>
      <c r="K915" s="22">
        <v>0</v>
      </c>
      <c r="L915" s="23"/>
      <c r="M915" s="22">
        <v>0</v>
      </c>
      <c r="N915" s="74">
        <v>0</v>
      </c>
      <c r="O915" s="22">
        <v>0</v>
      </c>
      <c r="P915" s="21">
        <v>2550000</v>
      </c>
      <c r="S915" s="108" t="b">
        <f>OR(COUNTIF(Tabla2[[#This Row],[PROVEEDOR]],"*"&amp;'Palabra no opera'!$A$2&amp;"*"))</f>
        <v>0</v>
      </c>
      <c r="T915" s="139">
        <f>+$W$5-Tabla2[[#This Row],[FECHA DE FACTURACIÓN]]</f>
        <v>308</v>
      </c>
      <c r="U915" t="str">
        <f>+IF(Tabla2[[#This Row],[dias de credito]]&gt;=Tabla2[[#This Row],[PLAZO Días]],"venc", "No venc")</f>
        <v>venc</v>
      </c>
      <c r="V915" t="str">
        <f>+IF(Tabla2[[#This Row],[FECHA DE PAGO]]&gt;0,"pagada","por pagar")</f>
        <v>pagada</v>
      </c>
      <c r="W915" s="141" t="str">
        <f>+IF(AND(Tabla2[[#This Row],[venc]]="venc",Tabla2[[#This Row],[Columna1]]="por pagar"),"vencida","no")</f>
        <v>no</v>
      </c>
    </row>
    <row r="916" spans="1:23" ht="15.6" hidden="1" x14ac:dyDescent="0.3">
      <c r="A916" s="20">
        <v>30</v>
      </c>
      <c r="B916" s="25">
        <v>-139600.09</v>
      </c>
      <c r="C916" s="25"/>
      <c r="D916" s="56" t="s">
        <v>728</v>
      </c>
      <c r="E916" s="426">
        <v>45028</v>
      </c>
      <c r="F916" s="26" t="s">
        <v>32</v>
      </c>
      <c r="G916" s="426">
        <v>44967</v>
      </c>
      <c r="H916" s="35" t="s">
        <v>1446</v>
      </c>
      <c r="I916" s="21">
        <v>4044034</v>
      </c>
      <c r="J916" s="21"/>
      <c r="K916" s="22">
        <v>768366.46</v>
      </c>
      <c r="L916" s="23"/>
      <c r="M916" s="22">
        <v>0</v>
      </c>
      <c r="N916" s="74">
        <v>2.5000000000000001E-2</v>
      </c>
      <c r="O916" s="22">
        <v>101100.85</v>
      </c>
      <c r="P916" s="21">
        <v>4711299.6100000003</v>
      </c>
      <c r="S916" s="108" t="b">
        <f>OR(COUNTIF(Tabla2[[#This Row],[PROVEEDOR]],"*"&amp;'Palabra no opera'!$A$2&amp;"*"))</f>
        <v>0</v>
      </c>
      <c r="T916" s="139">
        <f>+$W$5-Tabla2[[#This Row],[FECHA DE FACTURACIÓN]]</f>
        <v>324</v>
      </c>
      <c r="U916" t="str">
        <f>+IF(Tabla2[[#This Row],[dias de credito]]&gt;=Tabla2[[#This Row],[PLAZO Días]],"venc", "No venc")</f>
        <v>venc</v>
      </c>
      <c r="V916" t="str">
        <f>+IF(Tabla2[[#This Row],[FECHA DE PAGO]]&gt;0,"pagada","por pagar")</f>
        <v>pagada</v>
      </c>
      <c r="W916" s="141" t="str">
        <f>+IF(AND(Tabla2[[#This Row],[venc]]="venc",Tabla2[[#This Row],[Columna1]]="por pagar"),"vencida","no")</f>
        <v>no</v>
      </c>
    </row>
    <row r="917" spans="1:23" ht="15.6" hidden="1" x14ac:dyDescent="0.3">
      <c r="A917" s="20">
        <v>30</v>
      </c>
      <c r="B917" s="25">
        <v>-139600.09</v>
      </c>
      <c r="C917" s="25"/>
      <c r="D917" s="56" t="s">
        <v>728</v>
      </c>
      <c r="E917" s="426">
        <v>45028</v>
      </c>
      <c r="F917" s="26" t="s">
        <v>32</v>
      </c>
      <c r="G917" s="426">
        <v>44901</v>
      </c>
      <c r="H917" s="35" t="s">
        <v>1282</v>
      </c>
      <c r="I917" s="21">
        <v>-44117</v>
      </c>
      <c r="J917" s="21"/>
      <c r="K917" s="22">
        <v>-8382.23</v>
      </c>
      <c r="L917" s="23"/>
      <c r="M917" s="22">
        <v>0</v>
      </c>
      <c r="N917" s="74">
        <v>0</v>
      </c>
      <c r="O917" s="22">
        <v>0</v>
      </c>
      <c r="P917" s="21">
        <v>-52499.229999999996</v>
      </c>
      <c r="S917" s="108" t="b">
        <f>OR(COUNTIF(Tabla2[[#This Row],[PROVEEDOR]],"*"&amp;'Palabra no opera'!$A$2&amp;"*"))</f>
        <v>0</v>
      </c>
      <c r="T917" s="139">
        <f>+$W$5-Tabla2[[#This Row],[FECHA DE FACTURACIÓN]]</f>
        <v>390</v>
      </c>
      <c r="U917" t="str">
        <f>+IF(Tabla2[[#This Row],[dias de credito]]&gt;=Tabla2[[#This Row],[PLAZO Días]],"venc", "No venc")</f>
        <v>venc</v>
      </c>
      <c r="V917" t="str">
        <f>+IF(Tabla2[[#This Row],[FECHA DE PAGO]]&gt;0,"pagada","por pagar")</f>
        <v>pagada</v>
      </c>
      <c r="W917" s="141" t="str">
        <f>+IF(AND(Tabla2[[#This Row],[venc]]="venc",Tabla2[[#This Row],[Columna1]]="por pagar"),"vencida","no")</f>
        <v>no</v>
      </c>
    </row>
    <row r="918" spans="1:23" ht="15.6" hidden="1" x14ac:dyDescent="0.3">
      <c r="A918" s="20">
        <v>30</v>
      </c>
      <c r="B918" s="25">
        <v>0</v>
      </c>
      <c r="C918" s="25"/>
      <c r="D918" s="56" t="s">
        <v>679</v>
      </c>
      <c r="E918" s="426">
        <v>45027</v>
      </c>
      <c r="F918" s="26" t="s">
        <v>814</v>
      </c>
      <c r="G918" s="426">
        <v>45027</v>
      </c>
      <c r="H918" s="35">
        <v>20549</v>
      </c>
      <c r="I918" s="21">
        <v>240000</v>
      </c>
      <c r="J918" s="21"/>
      <c r="K918" s="22">
        <v>45600</v>
      </c>
      <c r="L918" s="23"/>
      <c r="M918" s="22">
        <v>0</v>
      </c>
      <c r="N918" s="74">
        <v>0</v>
      </c>
      <c r="O918" s="22">
        <v>0</v>
      </c>
      <c r="P918" s="21">
        <v>285600</v>
      </c>
      <c r="S918" s="108" t="b">
        <f>OR(COUNTIF(Tabla2[[#This Row],[PROVEEDOR]],"*"&amp;'Palabra no opera'!$A$2&amp;"*"))</f>
        <v>1</v>
      </c>
      <c r="T918" s="139">
        <f>+$W$5-Tabla2[[#This Row],[FECHA DE FACTURACIÓN]]</f>
        <v>264</v>
      </c>
      <c r="U918" t="str">
        <f>+IF(Tabla2[[#This Row],[dias de credito]]&gt;=Tabla2[[#This Row],[PLAZO Días]],"venc", "No venc")</f>
        <v>venc</v>
      </c>
      <c r="V918" t="str">
        <f>+IF(Tabla2[[#This Row],[FECHA DE PAGO]]&gt;0,"pagada","por pagar")</f>
        <v>pagada</v>
      </c>
      <c r="W918" s="141" t="str">
        <f>+IF(AND(Tabla2[[#This Row],[venc]]="venc",Tabla2[[#This Row],[Columna1]]="por pagar"),"vencida","no")</f>
        <v>no</v>
      </c>
    </row>
    <row r="919" spans="1:23" ht="15.6" hidden="1" x14ac:dyDescent="0.3">
      <c r="A919" s="20">
        <v>30</v>
      </c>
      <c r="B919" s="25">
        <v>0</v>
      </c>
      <c r="C919" s="25"/>
      <c r="D919" s="56" t="s">
        <v>107</v>
      </c>
      <c r="E919" s="426">
        <v>45027</v>
      </c>
      <c r="F919" s="26" t="s">
        <v>356</v>
      </c>
      <c r="G919" s="426">
        <v>45026</v>
      </c>
      <c r="H919" s="35" t="s">
        <v>1615</v>
      </c>
      <c r="I919" s="21">
        <v>5304000</v>
      </c>
      <c r="J919" s="21"/>
      <c r="K919" s="22">
        <v>0</v>
      </c>
      <c r="L919" s="23"/>
      <c r="M919" s="22">
        <v>0</v>
      </c>
      <c r="N919" s="74">
        <v>0</v>
      </c>
      <c r="O919" s="22">
        <v>0</v>
      </c>
      <c r="P919" s="21">
        <v>5304000</v>
      </c>
      <c r="S919" s="108" t="b">
        <f>OR(COUNTIF(Tabla2[[#This Row],[PROVEEDOR]],"*"&amp;'Palabra no opera'!$A$2&amp;"*"))</f>
        <v>0</v>
      </c>
      <c r="T919" s="139">
        <f>+$W$5-Tabla2[[#This Row],[FECHA DE FACTURACIÓN]]</f>
        <v>265</v>
      </c>
      <c r="U919" t="str">
        <f>+IF(Tabla2[[#This Row],[dias de credito]]&gt;=Tabla2[[#This Row],[PLAZO Días]],"venc", "No venc")</f>
        <v>venc</v>
      </c>
      <c r="V919" t="str">
        <f>+IF(Tabla2[[#This Row],[FECHA DE PAGO]]&gt;0,"pagada","por pagar")</f>
        <v>pagada</v>
      </c>
      <c r="W919" s="141" t="str">
        <f>+IF(AND(Tabla2[[#This Row],[venc]]="venc",Tabla2[[#This Row],[Columna1]]="por pagar"),"vencida","no")</f>
        <v>no</v>
      </c>
    </row>
    <row r="920" spans="1:23" ht="15.6" hidden="1" x14ac:dyDescent="0.3">
      <c r="A920" s="20">
        <v>30</v>
      </c>
      <c r="B920" s="25">
        <v>0</v>
      </c>
      <c r="C920" s="25"/>
      <c r="D920" s="56" t="s">
        <v>176</v>
      </c>
      <c r="E920" s="426">
        <v>45027</v>
      </c>
      <c r="F920" s="26" t="s">
        <v>966</v>
      </c>
      <c r="G920" s="426">
        <v>45026</v>
      </c>
      <c r="H920" s="35">
        <v>408</v>
      </c>
      <c r="I920" s="21">
        <v>470000</v>
      </c>
      <c r="J920" s="21"/>
      <c r="K920" s="22">
        <v>0</v>
      </c>
      <c r="L920" s="23"/>
      <c r="M920" s="22">
        <v>0</v>
      </c>
      <c r="N920" s="74">
        <v>0</v>
      </c>
      <c r="O920" s="22">
        <v>0</v>
      </c>
      <c r="P920" s="21">
        <v>470000</v>
      </c>
      <c r="S920" s="108" t="b">
        <f>OR(COUNTIF(Tabla2[[#This Row],[PROVEEDOR]],"*"&amp;'Palabra no opera'!$A$2&amp;"*"))</f>
        <v>0</v>
      </c>
      <c r="T920" s="139">
        <f>+$W$5-Tabla2[[#This Row],[FECHA DE FACTURACIÓN]]</f>
        <v>265</v>
      </c>
      <c r="U920" t="str">
        <f>+IF(Tabla2[[#This Row],[dias de credito]]&gt;=Tabla2[[#This Row],[PLAZO Días]],"venc", "No venc")</f>
        <v>venc</v>
      </c>
      <c r="V920" t="str">
        <f>+IF(Tabla2[[#This Row],[FECHA DE PAGO]]&gt;0,"pagada","por pagar")</f>
        <v>pagada</v>
      </c>
      <c r="W920" s="141" t="str">
        <f>+IF(AND(Tabla2[[#This Row],[venc]]="venc",Tabla2[[#This Row],[Columna1]]="por pagar"),"vencida","no")</f>
        <v>no</v>
      </c>
    </row>
    <row r="921" spans="1:23" ht="15.6" hidden="1" x14ac:dyDescent="0.3">
      <c r="A921" s="20">
        <v>30</v>
      </c>
      <c r="B921" s="25">
        <v>0</v>
      </c>
      <c r="C921" s="25"/>
      <c r="D921" s="56" t="s">
        <v>176</v>
      </c>
      <c r="E921" s="426">
        <v>45027</v>
      </c>
      <c r="F921" s="26" t="s">
        <v>967</v>
      </c>
      <c r="G921" s="426">
        <v>45026</v>
      </c>
      <c r="H921" s="35" t="s">
        <v>1587</v>
      </c>
      <c r="I921" s="21">
        <v>300000</v>
      </c>
      <c r="J921" s="21"/>
      <c r="K921" s="22">
        <v>0</v>
      </c>
      <c r="L921" s="23"/>
      <c r="M921" s="22">
        <v>0</v>
      </c>
      <c r="N921" s="74">
        <v>0.01</v>
      </c>
      <c r="O921" s="22">
        <v>3000</v>
      </c>
      <c r="P921" s="21">
        <v>297000</v>
      </c>
      <c r="S921" s="108" t="b">
        <f>OR(COUNTIF(Tabla2[[#This Row],[PROVEEDOR]],"*"&amp;'Palabra no opera'!$A$2&amp;"*"))</f>
        <v>0</v>
      </c>
      <c r="T921" s="139">
        <f>+$W$5-Tabla2[[#This Row],[FECHA DE FACTURACIÓN]]</f>
        <v>265</v>
      </c>
      <c r="U921" t="str">
        <f>+IF(Tabla2[[#This Row],[dias de credito]]&gt;=Tabla2[[#This Row],[PLAZO Días]],"venc", "No venc")</f>
        <v>venc</v>
      </c>
      <c r="V921" t="str">
        <f>+IF(Tabla2[[#This Row],[FECHA DE PAGO]]&gt;0,"pagada","por pagar")</f>
        <v>pagada</v>
      </c>
      <c r="W921" s="141" t="str">
        <f>+IF(AND(Tabla2[[#This Row],[venc]]="venc",Tabla2[[#This Row],[Columna1]]="por pagar"),"vencida","no")</f>
        <v>no</v>
      </c>
    </row>
    <row r="922" spans="1:23" ht="15.6" hidden="1" x14ac:dyDescent="0.3">
      <c r="A922" s="20">
        <v>30</v>
      </c>
      <c r="B922" s="25">
        <v>0</v>
      </c>
      <c r="C922" s="25"/>
      <c r="D922" s="56">
        <v>0</v>
      </c>
      <c r="E922" s="426">
        <v>45027</v>
      </c>
      <c r="F922" s="26" t="s">
        <v>1165</v>
      </c>
      <c r="G922" s="426">
        <v>45017</v>
      </c>
      <c r="H922" s="35">
        <v>6724</v>
      </c>
      <c r="I922" s="21">
        <v>300000</v>
      </c>
      <c r="J922" s="21"/>
      <c r="K922" s="22">
        <v>0</v>
      </c>
      <c r="L922" s="23"/>
      <c r="M922" s="22">
        <v>0</v>
      </c>
      <c r="N922" s="74">
        <v>0</v>
      </c>
      <c r="O922" s="22">
        <v>0</v>
      </c>
      <c r="P922" s="21">
        <v>300000</v>
      </c>
      <c r="S922" s="108" t="b">
        <f>OR(COUNTIF(Tabla2[[#This Row],[PROVEEDOR]],"*"&amp;'Palabra no opera'!$A$2&amp;"*"))</f>
        <v>0</v>
      </c>
      <c r="T922" s="139">
        <f>+$W$5-Tabla2[[#This Row],[FECHA DE FACTURACIÓN]]</f>
        <v>274</v>
      </c>
      <c r="U922" t="str">
        <f>+IF(Tabla2[[#This Row],[dias de credito]]&gt;=Tabla2[[#This Row],[PLAZO Días]],"venc", "No venc")</f>
        <v>venc</v>
      </c>
      <c r="V922" t="str">
        <f>+IF(Tabla2[[#This Row],[FECHA DE PAGO]]&gt;0,"pagada","por pagar")</f>
        <v>pagada</v>
      </c>
      <c r="W922" s="141" t="str">
        <f>+IF(AND(Tabla2[[#This Row],[venc]]="venc",Tabla2[[#This Row],[Columna1]]="por pagar"),"vencida","no")</f>
        <v>no</v>
      </c>
    </row>
    <row r="923" spans="1:23" ht="15.6" hidden="1" x14ac:dyDescent="0.3">
      <c r="A923" s="20">
        <v>30</v>
      </c>
      <c r="B923" s="25">
        <v>0</v>
      </c>
      <c r="C923" s="25"/>
      <c r="D923" s="56" t="s">
        <v>193</v>
      </c>
      <c r="E923" s="426">
        <v>45027</v>
      </c>
      <c r="F923" s="26" t="s">
        <v>651</v>
      </c>
      <c r="G923" s="426">
        <v>45017</v>
      </c>
      <c r="H923" s="35" t="s">
        <v>1586</v>
      </c>
      <c r="I923" s="21">
        <v>243611</v>
      </c>
      <c r="J923" s="21"/>
      <c r="K923" s="22">
        <v>46286.090000000004</v>
      </c>
      <c r="L923" s="23"/>
      <c r="M923" s="22">
        <v>0</v>
      </c>
      <c r="N923" s="74">
        <v>3.5000000000000003E-2</v>
      </c>
      <c r="O923" s="22">
        <v>8526.3850000000002</v>
      </c>
      <c r="P923" s="21">
        <v>281370.70500000002</v>
      </c>
      <c r="S923" s="108" t="b">
        <f>OR(COUNTIF(Tabla2[[#This Row],[PROVEEDOR]],"*"&amp;'Palabra no opera'!$A$2&amp;"*"))</f>
        <v>1</v>
      </c>
      <c r="T923" s="139">
        <f>+$W$5-Tabla2[[#This Row],[FECHA DE FACTURACIÓN]]</f>
        <v>274</v>
      </c>
      <c r="U923" t="str">
        <f>+IF(Tabla2[[#This Row],[dias de credito]]&gt;=Tabla2[[#This Row],[PLAZO Días]],"venc", "No venc")</f>
        <v>venc</v>
      </c>
      <c r="V923" t="str">
        <f>+IF(Tabla2[[#This Row],[FECHA DE PAGO]]&gt;0,"pagada","por pagar")</f>
        <v>pagada</v>
      </c>
      <c r="W923" s="141" t="str">
        <f>+IF(AND(Tabla2[[#This Row],[venc]]="venc",Tabla2[[#This Row],[Columna1]]="por pagar"),"vencida","no")</f>
        <v>no</v>
      </c>
    </row>
    <row r="924" spans="1:23" ht="15.6" hidden="1" x14ac:dyDescent="0.3">
      <c r="A924" s="20">
        <v>30</v>
      </c>
      <c r="B924" s="25">
        <v>0</v>
      </c>
      <c r="C924" s="25"/>
      <c r="D924" s="56">
        <v>0</v>
      </c>
      <c r="E924" s="426">
        <v>45027</v>
      </c>
      <c r="F924" s="26" t="s">
        <v>1287</v>
      </c>
      <c r="G924" s="426">
        <v>45014</v>
      </c>
      <c r="H924" s="35">
        <v>423</v>
      </c>
      <c r="I924" s="21">
        <v>468000</v>
      </c>
      <c r="J924" s="21"/>
      <c r="K924" s="22">
        <v>0</v>
      </c>
      <c r="L924" s="23">
        <v>0.19</v>
      </c>
      <c r="M924" s="22">
        <v>88920</v>
      </c>
      <c r="N924" s="74">
        <v>0</v>
      </c>
      <c r="O924" s="22">
        <v>0</v>
      </c>
      <c r="P924" s="21">
        <v>379080</v>
      </c>
      <c r="S924" s="108" t="b">
        <f>OR(COUNTIF(Tabla2[[#This Row],[PROVEEDOR]],"*"&amp;'Palabra no opera'!$A$2&amp;"*"))</f>
        <v>0</v>
      </c>
      <c r="T924" s="139">
        <f>+$W$5-Tabla2[[#This Row],[FECHA DE FACTURACIÓN]]</f>
        <v>277</v>
      </c>
      <c r="U924" t="str">
        <f>+IF(Tabla2[[#This Row],[dias de credito]]&gt;=Tabla2[[#This Row],[PLAZO Días]],"venc", "No venc")</f>
        <v>venc</v>
      </c>
      <c r="V924" t="str">
        <f>+IF(Tabla2[[#This Row],[FECHA DE PAGO]]&gt;0,"pagada","por pagar")</f>
        <v>pagada</v>
      </c>
      <c r="W924" s="141" t="str">
        <f>+IF(AND(Tabla2[[#This Row],[venc]]="venc",Tabla2[[#This Row],[Columna1]]="por pagar"),"vencida","no")</f>
        <v>no</v>
      </c>
    </row>
    <row r="925" spans="1:23" ht="15.6" hidden="1" x14ac:dyDescent="0.3">
      <c r="A925" s="20">
        <v>30</v>
      </c>
      <c r="B925" s="25">
        <v>0</v>
      </c>
      <c r="C925" s="25"/>
      <c r="D925" s="56">
        <v>0</v>
      </c>
      <c r="E925" s="426">
        <v>45027</v>
      </c>
      <c r="F925" s="26" t="s">
        <v>1287</v>
      </c>
      <c r="G925" s="426">
        <v>45002</v>
      </c>
      <c r="H925" s="35">
        <v>420</v>
      </c>
      <c r="I925" s="21">
        <v>468000</v>
      </c>
      <c r="J925" s="21"/>
      <c r="K925" s="22">
        <v>0</v>
      </c>
      <c r="L925" s="23">
        <v>0.19</v>
      </c>
      <c r="M925" s="22">
        <v>88920</v>
      </c>
      <c r="N925" s="74">
        <v>0</v>
      </c>
      <c r="O925" s="22">
        <v>0</v>
      </c>
      <c r="P925" s="21">
        <v>379080</v>
      </c>
      <c r="S925" s="108" t="b">
        <f>OR(COUNTIF(Tabla2[[#This Row],[PROVEEDOR]],"*"&amp;'Palabra no opera'!$A$2&amp;"*"))</f>
        <v>0</v>
      </c>
      <c r="T925" s="139">
        <f>+$W$5-Tabla2[[#This Row],[FECHA DE FACTURACIÓN]]</f>
        <v>289</v>
      </c>
      <c r="U925" t="str">
        <f>+IF(Tabla2[[#This Row],[dias de credito]]&gt;=Tabla2[[#This Row],[PLAZO Días]],"venc", "No venc")</f>
        <v>venc</v>
      </c>
      <c r="V925" t="str">
        <f>+IF(Tabla2[[#This Row],[FECHA DE PAGO]]&gt;0,"pagada","por pagar")</f>
        <v>pagada</v>
      </c>
      <c r="W925" s="141" t="str">
        <f>+IF(AND(Tabla2[[#This Row],[venc]]="venc",Tabla2[[#This Row],[Columna1]]="por pagar"),"vencida","no")</f>
        <v>no</v>
      </c>
    </row>
    <row r="926" spans="1:23" ht="15.6" hidden="1" x14ac:dyDescent="0.3">
      <c r="A926" s="20">
        <v>30</v>
      </c>
      <c r="B926" s="25">
        <v>2950000</v>
      </c>
      <c r="C926" s="25"/>
      <c r="D926" s="56">
        <v>0</v>
      </c>
      <c r="E926" s="426">
        <v>45027</v>
      </c>
      <c r="F926" s="26" t="s">
        <v>1152</v>
      </c>
      <c r="G926" s="426">
        <v>44992</v>
      </c>
      <c r="H926" s="35">
        <v>9740</v>
      </c>
      <c r="I926" s="21">
        <v>1237000</v>
      </c>
      <c r="J926" s="21"/>
      <c r="K926" s="22">
        <v>0</v>
      </c>
      <c r="L926" s="23"/>
      <c r="M926" s="22">
        <v>0</v>
      </c>
      <c r="N926" s="74">
        <v>0</v>
      </c>
      <c r="O926" s="22">
        <v>0</v>
      </c>
      <c r="P926" s="21">
        <v>1237000</v>
      </c>
      <c r="S926" s="108" t="b">
        <f>OR(COUNTIF(Tabla2[[#This Row],[PROVEEDOR]],"*"&amp;'Palabra no opera'!$A$2&amp;"*"))</f>
        <v>0</v>
      </c>
      <c r="T926" s="139">
        <f>+$W$5-Tabla2[[#This Row],[FECHA DE FACTURACIÓN]]</f>
        <v>299</v>
      </c>
      <c r="U926" t="str">
        <f>+IF(Tabla2[[#This Row],[dias de credito]]&gt;=Tabla2[[#This Row],[PLAZO Días]],"venc", "No venc")</f>
        <v>venc</v>
      </c>
      <c r="V926" t="str">
        <f>+IF(Tabla2[[#This Row],[FECHA DE PAGO]]&gt;0,"pagada","por pagar")</f>
        <v>pagada</v>
      </c>
      <c r="W926" s="141" t="str">
        <f>+IF(AND(Tabla2[[#This Row],[venc]]="venc",Tabla2[[#This Row],[Columna1]]="por pagar"),"vencida","no")</f>
        <v>no</v>
      </c>
    </row>
    <row r="927" spans="1:23" ht="15.6" hidden="1" x14ac:dyDescent="0.3">
      <c r="A927" s="20">
        <v>30</v>
      </c>
      <c r="B927" s="25">
        <v>0</v>
      </c>
      <c r="C927" s="25"/>
      <c r="D927" s="56" t="s">
        <v>270</v>
      </c>
      <c r="E927" s="426">
        <v>45027</v>
      </c>
      <c r="F927" s="26" t="s">
        <v>387</v>
      </c>
      <c r="G927" s="426">
        <v>44928</v>
      </c>
      <c r="H927" s="35">
        <v>2739</v>
      </c>
      <c r="I927" s="21">
        <v>2244350</v>
      </c>
      <c r="J927" s="21"/>
      <c r="K927" s="22">
        <v>0</v>
      </c>
      <c r="L927" s="23"/>
      <c r="M927" s="22">
        <v>0</v>
      </c>
      <c r="N927" s="74">
        <v>0</v>
      </c>
      <c r="O927" s="22">
        <v>0</v>
      </c>
      <c r="P927" s="21">
        <v>2244350</v>
      </c>
      <c r="S927" s="108" t="b">
        <f>OR(COUNTIF(Tabla2[[#This Row],[PROVEEDOR]],"*"&amp;'Palabra no opera'!$A$2&amp;"*"))</f>
        <v>0</v>
      </c>
      <c r="T927" s="139">
        <f>+$W$5-Tabla2[[#This Row],[FECHA DE FACTURACIÓN]]</f>
        <v>363</v>
      </c>
      <c r="U927" t="str">
        <f>+IF(Tabla2[[#This Row],[dias de credito]]&gt;=Tabla2[[#This Row],[PLAZO Días]],"venc", "No venc")</f>
        <v>venc</v>
      </c>
      <c r="V927" t="str">
        <f>+IF(Tabla2[[#This Row],[FECHA DE PAGO]]&gt;0,"pagada","por pagar")</f>
        <v>pagada</v>
      </c>
      <c r="W927" s="141" t="str">
        <f>+IF(AND(Tabla2[[#This Row],[venc]]="venc",Tabla2[[#This Row],[Columna1]]="por pagar"),"vencida","no")</f>
        <v>no</v>
      </c>
    </row>
    <row r="928" spans="1:23" ht="15.6" hidden="1" x14ac:dyDescent="0.3">
      <c r="A928" s="20">
        <v>30</v>
      </c>
      <c r="B928" s="25">
        <v>0</v>
      </c>
      <c r="C928" s="25"/>
      <c r="D928" s="56" t="s">
        <v>368</v>
      </c>
      <c r="E928" s="426">
        <v>45026</v>
      </c>
      <c r="F928" s="26" t="s">
        <v>623</v>
      </c>
      <c r="G928" s="426">
        <v>45017</v>
      </c>
      <c r="H928" s="35" t="s">
        <v>1568</v>
      </c>
      <c r="I928" s="21">
        <v>3792544</v>
      </c>
      <c r="J928" s="21"/>
      <c r="K928" s="22">
        <v>720583.36</v>
      </c>
      <c r="L928" s="23"/>
      <c r="M928" s="22">
        <v>0</v>
      </c>
      <c r="N928" s="74">
        <v>0</v>
      </c>
      <c r="O928" s="22">
        <v>0</v>
      </c>
      <c r="P928" s="21">
        <v>4513127.3600000003</v>
      </c>
      <c r="S928" s="108" t="b">
        <f>OR(COUNTIF(Tabla2[[#This Row],[PROVEEDOR]],"*"&amp;'Palabra no opera'!$A$2&amp;"*"))</f>
        <v>1</v>
      </c>
      <c r="T928" s="139">
        <f>+$W$5-Tabla2[[#This Row],[FECHA DE FACTURACIÓN]]</f>
        <v>274</v>
      </c>
      <c r="U928" t="str">
        <f>+IF(Tabla2[[#This Row],[dias de credito]]&gt;=Tabla2[[#This Row],[PLAZO Días]],"venc", "No venc")</f>
        <v>venc</v>
      </c>
      <c r="V928" t="str">
        <f>+IF(Tabla2[[#This Row],[FECHA DE PAGO]]&gt;0,"pagada","por pagar")</f>
        <v>pagada</v>
      </c>
      <c r="W928" s="141" t="str">
        <f>+IF(AND(Tabla2[[#This Row],[venc]]="venc",Tabla2[[#This Row],[Columna1]]="por pagar"),"vencida","no")</f>
        <v>no</v>
      </c>
    </row>
    <row r="929" spans="1:23" ht="15.6" hidden="1" x14ac:dyDescent="0.3">
      <c r="A929" s="20">
        <v>30</v>
      </c>
      <c r="B929" s="25">
        <v>0</v>
      </c>
      <c r="C929" s="25"/>
      <c r="D929" s="56" t="s">
        <v>368</v>
      </c>
      <c r="E929" s="426">
        <v>45026</v>
      </c>
      <c r="F929" s="26" t="s">
        <v>623</v>
      </c>
      <c r="G929" s="426">
        <v>45017</v>
      </c>
      <c r="H929" s="35" t="s">
        <v>1569</v>
      </c>
      <c r="I929" s="21">
        <v>908172</v>
      </c>
      <c r="J929" s="21"/>
      <c r="K929" s="22">
        <v>172552.68</v>
      </c>
      <c r="L929" s="23"/>
      <c r="M929" s="22">
        <v>0</v>
      </c>
      <c r="N929" s="74">
        <v>0.04</v>
      </c>
      <c r="O929" s="22">
        <v>36326.879999999997</v>
      </c>
      <c r="P929" s="21">
        <v>1044397.7999999999</v>
      </c>
      <c r="S929" s="108" t="b">
        <f>OR(COUNTIF(Tabla2[[#This Row],[PROVEEDOR]],"*"&amp;'Palabra no opera'!$A$2&amp;"*"))</f>
        <v>1</v>
      </c>
      <c r="T929" s="139">
        <f>+$W$5-Tabla2[[#This Row],[FECHA DE FACTURACIÓN]]</f>
        <v>274</v>
      </c>
      <c r="U929" t="str">
        <f>+IF(Tabla2[[#This Row],[dias de credito]]&gt;=Tabla2[[#This Row],[PLAZO Días]],"venc", "No venc")</f>
        <v>venc</v>
      </c>
      <c r="V929" t="str">
        <f>+IF(Tabla2[[#This Row],[FECHA DE PAGO]]&gt;0,"pagada","por pagar")</f>
        <v>pagada</v>
      </c>
      <c r="W929" s="141" t="str">
        <f>+IF(AND(Tabla2[[#This Row],[venc]]="venc",Tabla2[[#This Row],[Columna1]]="por pagar"),"vencida","no")</f>
        <v>no</v>
      </c>
    </row>
    <row r="930" spans="1:23" ht="15.6" hidden="1" x14ac:dyDescent="0.3">
      <c r="A930" s="20">
        <v>30</v>
      </c>
      <c r="B930" s="25">
        <v>0</v>
      </c>
      <c r="C930" s="25"/>
      <c r="D930" s="56" t="s">
        <v>368</v>
      </c>
      <c r="E930" s="426">
        <v>45026</v>
      </c>
      <c r="F930" s="26" t="s">
        <v>623</v>
      </c>
      <c r="G930" s="426">
        <v>45017</v>
      </c>
      <c r="H930" s="35" t="s">
        <v>1570</v>
      </c>
      <c r="I930" s="21">
        <v>21962</v>
      </c>
      <c r="J930" s="21"/>
      <c r="K930" s="22">
        <v>4172.78</v>
      </c>
      <c r="L930" s="23"/>
      <c r="M930" s="22">
        <v>0</v>
      </c>
      <c r="N930" s="74">
        <v>0</v>
      </c>
      <c r="O930" s="22">
        <v>0</v>
      </c>
      <c r="P930" s="21">
        <v>26134.78</v>
      </c>
      <c r="S930" s="108" t="b">
        <f>OR(COUNTIF(Tabla2[[#This Row],[PROVEEDOR]],"*"&amp;'Palabra no opera'!$A$2&amp;"*"))</f>
        <v>1</v>
      </c>
      <c r="T930" s="139">
        <f>+$W$5-Tabla2[[#This Row],[FECHA DE FACTURACIÓN]]</f>
        <v>274</v>
      </c>
      <c r="U930" t="str">
        <f>+IF(Tabla2[[#This Row],[dias de credito]]&gt;=Tabla2[[#This Row],[PLAZO Días]],"venc", "No venc")</f>
        <v>venc</v>
      </c>
      <c r="V930" t="str">
        <f>+IF(Tabla2[[#This Row],[FECHA DE PAGO]]&gt;0,"pagada","por pagar")</f>
        <v>pagada</v>
      </c>
      <c r="W930" s="141" t="str">
        <f>+IF(AND(Tabla2[[#This Row],[venc]]="venc",Tabla2[[#This Row],[Columna1]]="por pagar"),"vencida","no")</f>
        <v>no</v>
      </c>
    </row>
    <row r="931" spans="1:23" ht="15.6" hidden="1" x14ac:dyDescent="0.3">
      <c r="A931" s="20">
        <v>30</v>
      </c>
      <c r="B931" s="25">
        <v>0</v>
      </c>
      <c r="C931" s="25"/>
      <c r="D931" s="56" t="s">
        <v>368</v>
      </c>
      <c r="E931" s="426">
        <v>45026</v>
      </c>
      <c r="F931" s="26" t="s">
        <v>623</v>
      </c>
      <c r="G931" s="426">
        <v>45017</v>
      </c>
      <c r="H931" s="35" t="s">
        <v>1571</v>
      </c>
      <c r="I931" s="21">
        <v>41729</v>
      </c>
      <c r="J931" s="21"/>
      <c r="K931" s="22">
        <v>7928.51</v>
      </c>
      <c r="L931" s="23"/>
      <c r="M931" s="22">
        <v>0</v>
      </c>
      <c r="N931" s="74">
        <v>0</v>
      </c>
      <c r="O931" s="22">
        <v>0</v>
      </c>
      <c r="P931" s="21">
        <v>49657.51</v>
      </c>
      <c r="S931" s="108" t="b">
        <f>OR(COUNTIF(Tabla2[[#This Row],[PROVEEDOR]],"*"&amp;'Palabra no opera'!$A$2&amp;"*"))</f>
        <v>1</v>
      </c>
      <c r="T931" s="139">
        <f>+$W$5-Tabla2[[#This Row],[FECHA DE FACTURACIÓN]]</f>
        <v>274</v>
      </c>
      <c r="U931" t="str">
        <f>+IF(Tabla2[[#This Row],[dias de credito]]&gt;=Tabla2[[#This Row],[PLAZO Días]],"venc", "No venc")</f>
        <v>venc</v>
      </c>
      <c r="V931" t="str">
        <f>+IF(Tabla2[[#This Row],[FECHA DE PAGO]]&gt;0,"pagada","por pagar")</f>
        <v>pagada</v>
      </c>
      <c r="W931" s="141" t="str">
        <f>+IF(AND(Tabla2[[#This Row],[venc]]="venc",Tabla2[[#This Row],[Columna1]]="por pagar"),"vencida","no")</f>
        <v>no</v>
      </c>
    </row>
    <row r="932" spans="1:23" ht="15.6" hidden="1" x14ac:dyDescent="0.3">
      <c r="A932" s="20">
        <v>30</v>
      </c>
      <c r="B932" s="25">
        <v>0</v>
      </c>
      <c r="C932" s="25"/>
      <c r="D932" s="56" t="s">
        <v>368</v>
      </c>
      <c r="E932" s="426">
        <v>45026</v>
      </c>
      <c r="F932" s="26" t="s">
        <v>623</v>
      </c>
      <c r="G932" s="426">
        <v>45017</v>
      </c>
      <c r="H932" s="35" t="s">
        <v>1572</v>
      </c>
      <c r="I932" s="21">
        <v>10576</v>
      </c>
      <c r="J932" s="21"/>
      <c r="K932" s="22">
        <v>2009.44</v>
      </c>
      <c r="L932" s="23"/>
      <c r="M932" s="22">
        <v>0</v>
      </c>
      <c r="N932" s="74">
        <v>0</v>
      </c>
      <c r="O932" s="22">
        <v>0</v>
      </c>
      <c r="P932" s="21">
        <v>12585.44</v>
      </c>
      <c r="S932" s="108" t="b">
        <f>OR(COUNTIF(Tabla2[[#This Row],[PROVEEDOR]],"*"&amp;'Palabra no opera'!$A$2&amp;"*"))</f>
        <v>1</v>
      </c>
      <c r="T932" s="139">
        <f>+$W$5-Tabla2[[#This Row],[FECHA DE FACTURACIÓN]]</f>
        <v>274</v>
      </c>
      <c r="U932" t="str">
        <f>+IF(Tabla2[[#This Row],[dias de credito]]&gt;=Tabla2[[#This Row],[PLAZO Días]],"venc", "No venc")</f>
        <v>venc</v>
      </c>
      <c r="V932" t="str">
        <f>+IF(Tabla2[[#This Row],[FECHA DE PAGO]]&gt;0,"pagada","por pagar")</f>
        <v>pagada</v>
      </c>
      <c r="W932" s="141" t="str">
        <f>+IF(AND(Tabla2[[#This Row],[venc]]="venc",Tabla2[[#This Row],[Columna1]]="por pagar"),"vencida","no")</f>
        <v>no</v>
      </c>
    </row>
    <row r="933" spans="1:23" ht="15.6" hidden="1" x14ac:dyDescent="0.3">
      <c r="A933" s="20">
        <v>30</v>
      </c>
      <c r="B933" s="25">
        <v>0</v>
      </c>
      <c r="C933" s="25"/>
      <c r="D933" s="56" t="s">
        <v>740</v>
      </c>
      <c r="E933" s="426">
        <v>45026</v>
      </c>
      <c r="F933" s="26" t="s">
        <v>637</v>
      </c>
      <c r="G933" s="426">
        <v>45017</v>
      </c>
      <c r="H933" s="35" t="s">
        <v>1564</v>
      </c>
      <c r="I933" s="21">
        <v>934499</v>
      </c>
      <c r="J933" s="21"/>
      <c r="K933" s="22">
        <v>0</v>
      </c>
      <c r="L933" s="23"/>
      <c r="M933" s="22">
        <v>0</v>
      </c>
      <c r="N933" s="74">
        <v>0</v>
      </c>
      <c r="O933" s="22">
        <v>0</v>
      </c>
      <c r="P933" s="21">
        <v>934499</v>
      </c>
      <c r="S933" s="108" t="b">
        <f>OR(COUNTIF(Tabla2[[#This Row],[PROVEEDOR]],"*"&amp;'Palabra no opera'!$A$2&amp;"*"))</f>
        <v>1</v>
      </c>
      <c r="T933" s="139">
        <f>+$W$5-Tabla2[[#This Row],[FECHA DE FACTURACIÓN]]</f>
        <v>274</v>
      </c>
      <c r="U933" t="str">
        <f>+IF(Tabla2[[#This Row],[dias de credito]]&gt;=Tabla2[[#This Row],[PLAZO Días]],"venc", "No venc")</f>
        <v>venc</v>
      </c>
      <c r="V933" t="str">
        <f>+IF(Tabla2[[#This Row],[FECHA DE PAGO]]&gt;0,"pagada","por pagar")</f>
        <v>pagada</v>
      </c>
      <c r="W933" s="141" t="str">
        <f>+IF(AND(Tabla2[[#This Row],[venc]]="venc",Tabla2[[#This Row],[Columna1]]="por pagar"),"vencida","no")</f>
        <v>no</v>
      </c>
    </row>
    <row r="934" spans="1:23" ht="15.6" hidden="1" x14ac:dyDescent="0.3">
      <c r="A934" s="20">
        <v>30</v>
      </c>
      <c r="B934" s="25">
        <v>0</v>
      </c>
      <c r="C934" s="25"/>
      <c r="D934" s="56" t="s">
        <v>740</v>
      </c>
      <c r="E934" s="426">
        <v>45026</v>
      </c>
      <c r="F934" s="26" t="s">
        <v>637</v>
      </c>
      <c r="G934" s="426">
        <v>45017</v>
      </c>
      <c r="H934" s="35" t="s">
        <v>1565</v>
      </c>
      <c r="I934" s="21">
        <v>913261</v>
      </c>
      <c r="J934" s="21"/>
      <c r="K934" s="22">
        <v>0</v>
      </c>
      <c r="L934" s="23"/>
      <c r="M934" s="22">
        <v>0</v>
      </c>
      <c r="N934" s="74">
        <v>0</v>
      </c>
      <c r="O934" s="22">
        <v>0</v>
      </c>
      <c r="P934" s="21">
        <v>913261</v>
      </c>
      <c r="S934" s="108" t="b">
        <f>OR(COUNTIF(Tabla2[[#This Row],[PROVEEDOR]],"*"&amp;'Palabra no opera'!$A$2&amp;"*"))</f>
        <v>1</v>
      </c>
      <c r="T934" s="139">
        <f>+$W$5-Tabla2[[#This Row],[FECHA DE FACTURACIÓN]]</f>
        <v>274</v>
      </c>
      <c r="U934" t="str">
        <f>+IF(Tabla2[[#This Row],[dias de credito]]&gt;=Tabla2[[#This Row],[PLAZO Días]],"venc", "No venc")</f>
        <v>venc</v>
      </c>
      <c r="V934" t="str">
        <f>+IF(Tabla2[[#This Row],[FECHA DE PAGO]]&gt;0,"pagada","por pagar")</f>
        <v>pagada</v>
      </c>
      <c r="W934" s="141" t="str">
        <f>+IF(AND(Tabla2[[#This Row],[venc]]="venc",Tabla2[[#This Row],[Columna1]]="por pagar"),"vencida","no")</f>
        <v>no</v>
      </c>
    </row>
    <row r="935" spans="1:23" ht="15.6" hidden="1" x14ac:dyDescent="0.3">
      <c r="A935" s="20">
        <v>30</v>
      </c>
      <c r="B935" s="25">
        <v>0</v>
      </c>
      <c r="C935" s="25"/>
      <c r="D935" s="56" t="s">
        <v>1116</v>
      </c>
      <c r="E935" s="426">
        <v>45026</v>
      </c>
      <c r="F935" s="26" t="s">
        <v>638</v>
      </c>
      <c r="G935" s="426">
        <v>45017</v>
      </c>
      <c r="H935" s="35" t="s">
        <v>1567</v>
      </c>
      <c r="I935" s="21">
        <v>3935776</v>
      </c>
      <c r="J935" s="21"/>
      <c r="K935" s="22">
        <v>665000</v>
      </c>
      <c r="L935" s="23"/>
      <c r="M935" s="22">
        <v>0</v>
      </c>
      <c r="N935" s="74">
        <v>3.5000000000000003E-2</v>
      </c>
      <c r="O935" s="22"/>
      <c r="P935" s="21">
        <v>4600776</v>
      </c>
      <c r="S935" s="108" t="b">
        <f>OR(COUNTIF(Tabla2[[#This Row],[PROVEEDOR]],"*"&amp;'Palabra no opera'!$A$2&amp;"*"))</f>
        <v>1</v>
      </c>
      <c r="T935" s="139">
        <f>+$W$5-Tabla2[[#This Row],[FECHA DE FACTURACIÓN]]</f>
        <v>274</v>
      </c>
      <c r="U935" t="str">
        <f>+IF(Tabla2[[#This Row],[dias de credito]]&gt;=Tabla2[[#This Row],[PLAZO Días]],"venc", "No venc")</f>
        <v>venc</v>
      </c>
      <c r="V935" t="str">
        <f>+IF(Tabla2[[#This Row],[FECHA DE PAGO]]&gt;0,"pagada","por pagar")</f>
        <v>pagada</v>
      </c>
      <c r="W935" s="141" t="str">
        <f>+IF(AND(Tabla2[[#This Row],[venc]]="venc",Tabla2[[#This Row],[Columna1]]="por pagar"),"vencida","no")</f>
        <v>no</v>
      </c>
    </row>
    <row r="936" spans="1:23" ht="15.6" hidden="1" x14ac:dyDescent="0.3">
      <c r="A936" s="20">
        <v>10</v>
      </c>
      <c r="B936" s="25">
        <v>0</v>
      </c>
      <c r="C936" s="25"/>
      <c r="D936" s="56" t="s">
        <v>1203</v>
      </c>
      <c r="E936" s="426">
        <v>45026</v>
      </c>
      <c r="F936" s="26" t="s">
        <v>1202</v>
      </c>
      <c r="G936" s="426">
        <v>45017</v>
      </c>
      <c r="H936" s="35" t="s">
        <v>1566</v>
      </c>
      <c r="I936" s="21">
        <v>4730000</v>
      </c>
      <c r="J936" s="21"/>
      <c r="K936" s="22">
        <v>898700</v>
      </c>
      <c r="L936" s="23"/>
      <c r="M936" s="22">
        <v>0</v>
      </c>
      <c r="N936" s="74">
        <v>0</v>
      </c>
      <c r="O936" s="22">
        <v>0</v>
      </c>
      <c r="P936" s="21">
        <v>5628700</v>
      </c>
      <c r="S936" s="108" t="b">
        <f>OR(COUNTIF(Tabla2[[#This Row],[PROVEEDOR]],"*"&amp;'Palabra no opera'!$A$2&amp;"*"))</f>
        <v>1</v>
      </c>
      <c r="T936" s="139">
        <f>+$W$5-Tabla2[[#This Row],[FECHA DE FACTURACIÓN]]</f>
        <v>274</v>
      </c>
      <c r="U936" t="str">
        <f>+IF(Tabla2[[#This Row],[dias de credito]]&gt;=Tabla2[[#This Row],[PLAZO Días]],"venc", "No venc")</f>
        <v>venc</v>
      </c>
      <c r="V936" t="str">
        <f>+IF(Tabla2[[#This Row],[FECHA DE PAGO]]&gt;0,"pagada","por pagar")</f>
        <v>pagada</v>
      </c>
      <c r="W936" s="141" t="str">
        <f>+IF(AND(Tabla2[[#This Row],[venc]]="venc",Tabla2[[#This Row],[Columna1]]="por pagar"),"vencida","no")</f>
        <v>no</v>
      </c>
    </row>
    <row r="937" spans="1:23" ht="15.6" hidden="1" x14ac:dyDescent="0.3">
      <c r="A937" s="20">
        <v>60</v>
      </c>
      <c r="B937" s="25">
        <v>395600</v>
      </c>
      <c r="C937" s="25"/>
      <c r="D937" s="56" t="s">
        <v>1482</v>
      </c>
      <c r="E937" s="426">
        <v>45026</v>
      </c>
      <c r="F937" s="26" t="s">
        <v>287</v>
      </c>
      <c r="G937" s="426">
        <v>45009</v>
      </c>
      <c r="H937" s="35">
        <v>1640</v>
      </c>
      <c r="I937" s="21">
        <v>206800</v>
      </c>
      <c r="J937" s="21"/>
      <c r="K937" s="22">
        <v>0</v>
      </c>
      <c r="L937" s="23"/>
      <c r="M937" s="22">
        <v>0</v>
      </c>
      <c r="N937" s="74">
        <v>0</v>
      </c>
      <c r="O937" s="22">
        <v>0</v>
      </c>
      <c r="P937" s="21">
        <v>206800</v>
      </c>
      <c r="S937" s="108" t="b">
        <f>OR(COUNTIF(Tabla2[[#This Row],[PROVEEDOR]],"*"&amp;'Palabra no opera'!$A$2&amp;"*"))</f>
        <v>0</v>
      </c>
      <c r="T937" s="139">
        <f>+$W$5-Tabla2[[#This Row],[FECHA DE FACTURACIÓN]]</f>
        <v>282</v>
      </c>
      <c r="U937" t="str">
        <f>+IF(Tabla2[[#This Row],[dias de credito]]&gt;=Tabla2[[#This Row],[PLAZO Días]],"venc", "No venc")</f>
        <v>venc</v>
      </c>
      <c r="V937" t="str">
        <f>+IF(Tabla2[[#This Row],[FECHA DE PAGO]]&gt;0,"pagada","por pagar")</f>
        <v>pagada</v>
      </c>
      <c r="W937" s="141" t="str">
        <f>+IF(AND(Tabla2[[#This Row],[venc]]="venc",Tabla2[[#This Row],[Columna1]]="por pagar"),"vencida","no")</f>
        <v>no</v>
      </c>
    </row>
    <row r="938" spans="1:23" ht="15.6" hidden="1" x14ac:dyDescent="0.3">
      <c r="A938" s="20">
        <v>60</v>
      </c>
      <c r="B938" s="25">
        <v>395600</v>
      </c>
      <c r="C938" s="25"/>
      <c r="D938" s="56" t="s">
        <v>1482</v>
      </c>
      <c r="E938" s="426">
        <v>45026</v>
      </c>
      <c r="F938" s="26" t="s">
        <v>287</v>
      </c>
      <c r="G938" s="426">
        <v>45002</v>
      </c>
      <c r="H938" s="35">
        <v>1634</v>
      </c>
      <c r="I938" s="21">
        <v>191200</v>
      </c>
      <c r="J938" s="21"/>
      <c r="K938" s="22">
        <v>0</v>
      </c>
      <c r="L938" s="23"/>
      <c r="M938" s="22">
        <v>0</v>
      </c>
      <c r="N938" s="74">
        <v>0</v>
      </c>
      <c r="O938" s="22">
        <v>0</v>
      </c>
      <c r="P938" s="21">
        <v>191200</v>
      </c>
      <c r="S938" s="108" t="b">
        <f>OR(COUNTIF(Tabla2[[#This Row],[PROVEEDOR]],"*"&amp;'Palabra no opera'!$A$2&amp;"*"))</f>
        <v>0</v>
      </c>
      <c r="T938" s="139">
        <f>+$W$5-Tabla2[[#This Row],[FECHA DE FACTURACIÓN]]</f>
        <v>289</v>
      </c>
      <c r="U938" t="str">
        <f>+IF(Tabla2[[#This Row],[dias de credito]]&gt;=Tabla2[[#This Row],[PLAZO Días]],"venc", "No venc")</f>
        <v>venc</v>
      </c>
      <c r="V938" t="str">
        <f>+IF(Tabla2[[#This Row],[FECHA DE PAGO]]&gt;0,"pagada","por pagar")</f>
        <v>pagada</v>
      </c>
      <c r="W938" s="141" t="str">
        <f>+IF(AND(Tabla2[[#This Row],[venc]]="venc",Tabla2[[#This Row],[Columna1]]="por pagar"),"vencida","no")</f>
        <v>no</v>
      </c>
    </row>
    <row r="939" spans="1:23" ht="15.6" hidden="1" x14ac:dyDescent="0.3">
      <c r="A939" s="20">
        <v>60</v>
      </c>
      <c r="B939" s="25">
        <v>395600</v>
      </c>
      <c r="C939" s="25"/>
      <c r="D939" s="56" t="s">
        <v>1482</v>
      </c>
      <c r="E939" s="426">
        <v>45026</v>
      </c>
      <c r="F939" s="26" t="s">
        <v>287</v>
      </c>
      <c r="G939" s="426">
        <v>44999</v>
      </c>
      <c r="H939" s="35">
        <v>1627</v>
      </c>
      <c r="I939" s="21">
        <v>312320</v>
      </c>
      <c r="J939" s="21"/>
      <c r="K939" s="22">
        <v>0</v>
      </c>
      <c r="L939" s="23"/>
      <c r="M939" s="22">
        <v>0</v>
      </c>
      <c r="N939" s="74">
        <v>0</v>
      </c>
      <c r="O939" s="22">
        <v>0</v>
      </c>
      <c r="P939" s="21">
        <v>312320</v>
      </c>
      <c r="S939" s="108" t="b">
        <f>OR(COUNTIF(Tabla2[[#This Row],[PROVEEDOR]],"*"&amp;'Palabra no opera'!$A$2&amp;"*"))</f>
        <v>0</v>
      </c>
      <c r="T939" s="139">
        <f>+$W$5-Tabla2[[#This Row],[FECHA DE FACTURACIÓN]]</f>
        <v>292</v>
      </c>
      <c r="U939" t="str">
        <f>+IF(Tabla2[[#This Row],[dias de credito]]&gt;=Tabla2[[#This Row],[PLAZO Días]],"venc", "No venc")</f>
        <v>venc</v>
      </c>
      <c r="V939" t="str">
        <f>+IF(Tabla2[[#This Row],[FECHA DE PAGO]]&gt;0,"pagada","por pagar")</f>
        <v>pagada</v>
      </c>
      <c r="W939" s="141" t="str">
        <f>+IF(AND(Tabla2[[#This Row],[venc]]="venc",Tabla2[[#This Row],[Columna1]]="por pagar"),"vencida","no")</f>
        <v>no</v>
      </c>
    </row>
    <row r="940" spans="1:23" ht="15.6" hidden="1" x14ac:dyDescent="0.3">
      <c r="A940" s="20">
        <v>60</v>
      </c>
      <c r="B940" s="25">
        <v>395600</v>
      </c>
      <c r="C940" s="25"/>
      <c r="D940" s="56" t="s">
        <v>1482</v>
      </c>
      <c r="E940" s="426">
        <v>45026</v>
      </c>
      <c r="F940" s="26" t="s">
        <v>287</v>
      </c>
      <c r="G940" s="426">
        <v>44999</v>
      </c>
      <c r="H940" s="35">
        <v>1628</v>
      </c>
      <c r="I940" s="21">
        <v>214720</v>
      </c>
      <c r="J940" s="21"/>
      <c r="K940" s="22">
        <v>0</v>
      </c>
      <c r="L940" s="23"/>
      <c r="M940" s="22">
        <v>0</v>
      </c>
      <c r="N940" s="74">
        <v>0</v>
      </c>
      <c r="O940" s="22">
        <v>0</v>
      </c>
      <c r="P940" s="21">
        <v>214720</v>
      </c>
      <c r="S940" s="108" t="b">
        <f>OR(COUNTIF(Tabla2[[#This Row],[PROVEEDOR]],"*"&amp;'Palabra no opera'!$A$2&amp;"*"))</f>
        <v>0</v>
      </c>
      <c r="T940" s="139">
        <f>+$W$5-Tabla2[[#This Row],[FECHA DE FACTURACIÓN]]</f>
        <v>292</v>
      </c>
      <c r="U940" t="str">
        <f>+IF(Tabla2[[#This Row],[dias de credito]]&gt;=Tabla2[[#This Row],[PLAZO Días]],"venc", "No venc")</f>
        <v>venc</v>
      </c>
      <c r="V940" t="str">
        <f>+IF(Tabla2[[#This Row],[FECHA DE PAGO]]&gt;0,"pagada","por pagar")</f>
        <v>pagada</v>
      </c>
      <c r="W940" s="141" t="str">
        <f>+IF(AND(Tabla2[[#This Row],[venc]]="venc",Tabla2[[#This Row],[Columna1]]="por pagar"),"vencida","no")</f>
        <v>no</v>
      </c>
    </row>
    <row r="941" spans="1:23" ht="15.6" hidden="1" x14ac:dyDescent="0.3">
      <c r="A941" s="20">
        <v>60</v>
      </c>
      <c r="B941" s="25">
        <v>395600</v>
      </c>
      <c r="C941" s="25"/>
      <c r="D941" s="56" t="s">
        <v>1482</v>
      </c>
      <c r="E941" s="426">
        <v>45026</v>
      </c>
      <c r="F941" s="26" t="s">
        <v>287</v>
      </c>
      <c r="G941" s="426">
        <v>44999</v>
      </c>
      <c r="H941" s="35">
        <v>1635</v>
      </c>
      <c r="I941" s="21">
        <v>191200</v>
      </c>
      <c r="J941" s="21"/>
      <c r="K941" s="22">
        <v>0</v>
      </c>
      <c r="L941" s="23"/>
      <c r="M941" s="22">
        <v>0</v>
      </c>
      <c r="N941" s="74">
        <v>0</v>
      </c>
      <c r="O941" s="22">
        <v>0</v>
      </c>
      <c r="P941" s="21">
        <v>191200</v>
      </c>
      <c r="S941" s="108" t="b">
        <f>OR(COUNTIF(Tabla2[[#This Row],[PROVEEDOR]],"*"&amp;'Palabra no opera'!$A$2&amp;"*"))</f>
        <v>0</v>
      </c>
      <c r="T941" s="139">
        <f>+$W$5-Tabla2[[#This Row],[FECHA DE FACTURACIÓN]]</f>
        <v>292</v>
      </c>
      <c r="U941" t="str">
        <f>+IF(Tabla2[[#This Row],[dias de credito]]&gt;=Tabla2[[#This Row],[PLAZO Días]],"venc", "No venc")</f>
        <v>venc</v>
      </c>
      <c r="V941" t="str">
        <f>+IF(Tabla2[[#This Row],[FECHA DE PAGO]]&gt;0,"pagada","por pagar")</f>
        <v>pagada</v>
      </c>
      <c r="W941" s="141" t="str">
        <f>+IF(AND(Tabla2[[#This Row],[venc]]="venc",Tabla2[[#This Row],[Columna1]]="por pagar"),"vencida","no")</f>
        <v>no</v>
      </c>
    </row>
    <row r="942" spans="1:23" ht="15.6" hidden="1" x14ac:dyDescent="0.3">
      <c r="A942" s="20">
        <v>45</v>
      </c>
      <c r="B942" s="25">
        <v>3074500</v>
      </c>
      <c r="C942" s="25"/>
      <c r="D942" s="56" t="s">
        <v>1482</v>
      </c>
      <c r="E942" s="426">
        <v>45026</v>
      </c>
      <c r="F942" s="26" t="s">
        <v>289</v>
      </c>
      <c r="G942" s="426">
        <v>44999</v>
      </c>
      <c r="H942" s="35">
        <v>1629</v>
      </c>
      <c r="I942" s="21">
        <v>3635600</v>
      </c>
      <c r="J942" s="21"/>
      <c r="K942" s="22">
        <v>0</v>
      </c>
      <c r="L942" s="23"/>
      <c r="M942" s="22">
        <v>0</v>
      </c>
      <c r="N942" s="74">
        <v>0</v>
      </c>
      <c r="O942" s="22">
        <v>0</v>
      </c>
      <c r="P942" s="21">
        <v>3635600</v>
      </c>
      <c r="S942" s="108" t="b">
        <f>OR(COUNTIF(Tabla2[[#This Row],[PROVEEDOR]],"*"&amp;'Palabra no opera'!$A$2&amp;"*"))</f>
        <v>0</v>
      </c>
      <c r="T942" s="139">
        <f>+$W$5-Tabla2[[#This Row],[FECHA DE FACTURACIÓN]]</f>
        <v>292</v>
      </c>
      <c r="U942" t="str">
        <f>+IF(Tabla2[[#This Row],[dias de credito]]&gt;=Tabla2[[#This Row],[PLAZO Días]],"venc", "No venc")</f>
        <v>venc</v>
      </c>
      <c r="V942" t="str">
        <f>+IF(Tabla2[[#This Row],[FECHA DE PAGO]]&gt;0,"pagada","por pagar")</f>
        <v>pagada</v>
      </c>
      <c r="W942" s="141" t="str">
        <f>+IF(AND(Tabla2[[#This Row],[venc]]="venc",Tabla2[[#This Row],[Columna1]]="por pagar"),"vencida","no")</f>
        <v>no</v>
      </c>
    </row>
    <row r="943" spans="1:23" ht="15.6" hidden="1" x14ac:dyDescent="0.3">
      <c r="A943" s="20">
        <v>30</v>
      </c>
      <c r="B943" s="25">
        <v>0</v>
      </c>
      <c r="C943" s="25"/>
      <c r="D943" s="56" t="s">
        <v>107</v>
      </c>
      <c r="E943" s="426">
        <v>45021</v>
      </c>
      <c r="F943" s="26" t="s">
        <v>378</v>
      </c>
      <c r="G943" s="426">
        <v>45021</v>
      </c>
      <c r="H943" s="35" t="s">
        <v>1617</v>
      </c>
      <c r="I943" s="21">
        <v>360000</v>
      </c>
      <c r="J943" s="21"/>
      <c r="K943" s="22">
        <v>0</v>
      </c>
      <c r="L943" s="23"/>
      <c r="M943" s="22">
        <v>0</v>
      </c>
      <c r="N943" s="74">
        <v>0</v>
      </c>
      <c r="O943" s="22">
        <v>0</v>
      </c>
      <c r="P943" s="21">
        <v>360000</v>
      </c>
      <c r="S943" s="108" t="b">
        <f>OR(COUNTIF(Tabla2[[#This Row],[PROVEEDOR]],"*"&amp;'Palabra no opera'!$A$2&amp;"*"))</f>
        <v>0</v>
      </c>
      <c r="T943" s="139">
        <f>+$W$5-Tabla2[[#This Row],[FECHA DE FACTURACIÓN]]</f>
        <v>270</v>
      </c>
      <c r="U943" t="str">
        <f>+IF(Tabla2[[#This Row],[dias de credito]]&gt;=Tabla2[[#This Row],[PLAZO Días]],"venc", "No venc")</f>
        <v>venc</v>
      </c>
      <c r="V943" t="str">
        <f>+IF(Tabla2[[#This Row],[FECHA DE PAGO]]&gt;0,"pagada","por pagar")</f>
        <v>pagada</v>
      </c>
      <c r="W943" s="141" t="str">
        <f>+IF(AND(Tabla2[[#This Row],[venc]]="venc",Tabla2[[#This Row],[Columna1]]="por pagar"),"vencida","no")</f>
        <v>no</v>
      </c>
    </row>
    <row r="944" spans="1:23" ht="15.6" hidden="1" x14ac:dyDescent="0.3">
      <c r="A944" s="20">
        <v>30</v>
      </c>
      <c r="B944" s="25">
        <v>0</v>
      </c>
      <c r="C944" s="25"/>
      <c r="D944" s="56" t="s">
        <v>659</v>
      </c>
      <c r="E944" s="426">
        <v>45020</v>
      </c>
      <c r="F944" s="26" t="s">
        <v>227</v>
      </c>
      <c r="G944" s="426">
        <v>45020</v>
      </c>
      <c r="H944" s="35" t="s">
        <v>1576</v>
      </c>
      <c r="I944" s="21">
        <v>1800000</v>
      </c>
      <c r="J944" s="21"/>
      <c r="K944" s="22">
        <v>0</v>
      </c>
      <c r="L944" s="23"/>
      <c r="M944" s="22">
        <v>0</v>
      </c>
      <c r="N944" s="74">
        <v>0</v>
      </c>
      <c r="O944" s="22">
        <v>0</v>
      </c>
      <c r="P944" s="21">
        <v>1800000</v>
      </c>
      <c r="S944" s="108" t="b">
        <f>OR(COUNTIF(Tabla2[[#This Row],[PROVEEDOR]],"*"&amp;'Palabra no opera'!$A$2&amp;"*"))</f>
        <v>0</v>
      </c>
      <c r="T944" s="139">
        <f>+$W$5-Tabla2[[#This Row],[FECHA DE FACTURACIÓN]]</f>
        <v>271</v>
      </c>
      <c r="U944" t="str">
        <f>+IF(Tabla2[[#This Row],[dias de credito]]&gt;=Tabla2[[#This Row],[PLAZO Días]],"venc", "No venc")</f>
        <v>venc</v>
      </c>
      <c r="V944" t="str">
        <f>+IF(Tabla2[[#This Row],[FECHA DE PAGO]]&gt;0,"pagada","por pagar")</f>
        <v>pagada</v>
      </c>
      <c r="W944" s="141" t="str">
        <f>+IF(AND(Tabla2[[#This Row],[venc]]="venc",Tabla2[[#This Row],[Columna1]]="por pagar"),"vencida","no")</f>
        <v>no</v>
      </c>
    </row>
    <row r="945" spans="1:23" ht="15.6" hidden="1" x14ac:dyDescent="0.3">
      <c r="A945" s="20">
        <v>30</v>
      </c>
      <c r="B945" s="25">
        <v>1316890.8900000001</v>
      </c>
      <c r="C945" s="25"/>
      <c r="D945" s="56" t="s">
        <v>188</v>
      </c>
      <c r="E945" s="426">
        <v>45019</v>
      </c>
      <c r="F945" s="26" t="s">
        <v>17</v>
      </c>
      <c r="G945" s="426">
        <v>44985</v>
      </c>
      <c r="H945" s="35" t="s">
        <v>1478</v>
      </c>
      <c r="I945" s="21">
        <v>1457850</v>
      </c>
      <c r="J945" s="21"/>
      <c r="K945" s="22">
        <v>0</v>
      </c>
      <c r="L945" s="23"/>
      <c r="M945" s="22">
        <v>0</v>
      </c>
      <c r="N945" s="74">
        <v>0</v>
      </c>
      <c r="O945" s="22">
        <v>0</v>
      </c>
      <c r="P945" s="21">
        <v>1457850</v>
      </c>
      <c r="S945" s="108" t="b">
        <f>OR(COUNTIF(Tabla2[[#This Row],[PROVEEDOR]],"*"&amp;'Palabra no opera'!$A$2&amp;"*"))</f>
        <v>0</v>
      </c>
      <c r="T945" s="139">
        <f>+$W$5-Tabla2[[#This Row],[FECHA DE FACTURACIÓN]]</f>
        <v>306</v>
      </c>
      <c r="U945" t="str">
        <f>+IF(Tabla2[[#This Row],[dias de credito]]&gt;=Tabla2[[#This Row],[PLAZO Días]],"venc", "No venc")</f>
        <v>venc</v>
      </c>
      <c r="V945" t="str">
        <f>+IF(Tabla2[[#This Row],[FECHA DE PAGO]]&gt;0,"pagada","por pagar")</f>
        <v>pagada</v>
      </c>
      <c r="W945" s="141" t="str">
        <f>+IF(AND(Tabla2[[#This Row],[venc]]="venc",Tabla2[[#This Row],[Columna1]]="por pagar"),"vencida","no")</f>
        <v>no</v>
      </c>
    </row>
    <row r="946" spans="1:23" ht="15.6" hidden="1" x14ac:dyDescent="0.3">
      <c r="A946" s="20">
        <v>30</v>
      </c>
      <c r="B946" s="25">
        <v>0</v>
      </c>
      <c r="C946" s="25"/>
      <c r="D946" s="56" t="s">
        <v>277</v>
      </c>
      <c r="E946" s="426">
        <v>45019</v>
      </c>
      <c r="F946" s="26" t="s">
        <v>248</v>
      </c>
      <c r="G946" s="426">
        <v>44984</v>
      </c>
      <c r="H946" s="35" t="s">
        <v>1477</v>
      </c>
      <c r="I946" s="21">
        <v>940839</v>
      </c>
      <c r="J946" s="21"/>
      <c r="K946" s="22">
        <v>178759.41</v>
      </c>
      <c r="L946" s="23"/>
      <c r="M946" s="22">
        <v>0</v>
      </c>
      <c r="N946" s="74">
        <v>0</v>
      </c>
      <c r="O946" s="22">
        <v>0</v>
      </c>
      <c r="P946" s="21">
        <v>1119598.4099999999</v>
      </c>
      <c r="S946" s="108" t="b">
        <f>OR(COUNTIF(Tabla2[[#This Row],[PROVEEDOR]],"*"&amp;'Palabra no opera'!$A$2&amp;"*"))</f>
        <v>0</v>
      </c>
      <c r="T946" s="139">
        <f>+$W$5-Tabla2[[#This Row],[FECHA DE FACTURACIÓN]]</f>
        <v>307</v>
      </c>
      <c r="U946" t="str">
        <f>+IF(Tabla2[[#This Row],[dias de credito]]&gt;=Tabla2[[#This Row],[PLAZO Días]],"venc", "No venc")</f>
        <v>venc</v>
      </c>
      <c r="V946" t="str">
        <f>+IF(Tabla2[[#This Row],[FECHA DE PAGO]]&gt;0,"pagada","por pagar")</f>
        <v>pagada</v>
      </c>
      <c r="W946" s="141" t="str">
        <f>+IF(AND(Tabla2[[#This Row],[venc]]="venc",Tabla2[[#This Row],[Columna1]]="por pagar"),"vencida","no")</f>
        <v>no</v>
      </c>
    </row>
    <row r="947" spans="1:23" ht="15.6" hidden="1" x14ac:dyDescent="0.3">
      <c r="A947" s="20">
        <v>45</v>
      </c>
      <c r="B947" s="25">
        <v>8072960</v>
      </c>
      <c r="C947" s="25"/>
      <c r="D947" s="56" t="s">
        <v>198</v>
      </c>
      <c r="E947" s="426">
        <v>45019</v>
      </c>
      <c r="F947" s="26" t="s">
        <v>10</v>
      </c>
      <c r="G947" s="426">
        <v>44965</v>
      </c>
      <c r="H947" s="35" t="s">
        <v>1447</v>
      </c>
      <c r="I947" s="21">
        <v>768000</v>
      </c>
      <c r="J947" s="21"/>
      <c r="K947" s="22">
        <v>145920</v>
      </c>
      <c r="L947" s="23"/>
      <c r="M947" s="22">
        <v>0</v>
      </c>
      <c r="N947" s="74">
        <v>0</v>
      </c>
      <c r="O947" s="22">
        <v>0</v>
      </c>
      <c r="P947" s="21">
        <v>913920</v>
      </c>
      <c r="S947" s="108" t="b">
        <f>OR(COUNTIF(Tabla2[[#This Row],[PROVEEDOR]],"*"&amp;'Palabra no opera'!$A$2&amp;"*"))</f>
        <v>0</v>
      </c>
      <c r="T947" s="139">
        <f>+$W$5-Tabla2[[#This Row],[FECHA DE FACTURACIÓN]]</f>
        <v>326</v>
      </c>
      <c r="U947" t="str">
        <f>+IF(Tabla2[[#This Row],[dias de credito]]&gt;=Tabla2[[#This Row],[PLAZO Días]],"venc", "No venc")</f>
        <v>venc</v>
      </c>
      <c r="V947" t="str">
        <f>+IF(Tabla2[[#This Row],[FECHA DE PAGO]]&gt;0,"pagada","por pagar")</f>
        <v>pagada</v>
      </c>
      <c r="W947" s="141" t="str">
        <f>+IF(AND(Tabla2[[#This Row],[venc]]="venc",Tabla2[[#This Row],[Columna1]]="por pagar"),"vencida","no")</f>
        <v>no</v>
      </c>
    </row>
    <row r="948" spans="1:23" ht="15.6" hidden="1" x14ac:dyDescent="0.3">
      <c r="A948" s="20">
        <v>30</v>
      </c>
      <c r="B948" s="25">
        <v>0</v>
      </c>
      <c r="C948" s="25"/>
      <c r="D948" s="56" t="s">
        <v>277</v>
      </c>
      <c r="E948" s="426">
        <v>45019</v>
      </c>
      <c r="F948" s="26" t="s">
        <v>248</v>
      </c>
      <c r="G948" s="426">
        <v>44950</v>
      </c>
      <c r="H948" s="35" t="s">
        <v>1422</v>
      </c>
      <c r="I948" s="21">
        <v>-396847</v>
      </c>
      <c r="J948" s="21"/>
      <c r="K948" s="22">
        <v>-75400.930000000008</v>
      </c>
      <c r="L948" s="23"/>
      <c r="M948" s="22">
        <v>0</v>
      </c>
      <c r="N948" s="74">
        <v>0</v>
      </c>
      <c r="O948" s="22">
        <v>0</v>
      </c>
      <c r="P948" s="21">
        <v>-472247.93</v>
      </c>
      <c r="S948" s="108" t="b">
        <f>OR(COUNTIF(Tabla2[[#This Row],[PROVEEDOR]],"*"&amp;'Palabra no opera'!$A$2&amp;"*"))</f>
        <v>0</v>
      </c>
      <c r="T948" s="139">
        <f>+$W$5-Tabla2[[#This Row],[FECHA DE FACTURACIÓN]]</f>
        <v>341</v>
      </c>
      <c r="U948" t="str">
        <f>+IF(Tabla2[[#This Row],[dias de credito]]&gt;=Tabla2[[#This Row],[PLAZO Días]],"venc", "No venc")</f>
        <v>venc</v>
      </c>
      <c r="V948" t="str">
        <f>+IF(Tabla2[[#This Row],[FECHA DE PAGO]]&gt;0,"pagada","por pagar")</f>
        <v>pagada</v>
      </c>
      <c r="W948" s="141" t="str">
        <f>+IF(AND(Tabla2[[#This Row],[venc]]="venc",Tabla2[[#This Row],[Columna1]]="por pagar"),"vencida","no")</f>
        <v>no</v>
      </c>
    </row>
    <row r="949" spans="1:23" ht="15.6" hidden="1" x14ac:dyDescent="0.3">
      <c r="A949" s="20">
        <v>30</v>
      </c>
      <c r="B949" s="25">
        <v>0</v>
      </c>
      <c r="C949" s="25"/>
      <c r="D949" s="56" t="s">
        <v>277</v>
      </c>
      <c r="E949" s="426">
        <v>45019</v>
      </c>
      <c r="F949" s="26" t="s">
        <v>248</v>
      </c>
      <c r="G949" s="426">
        <v>44950</v>
      </c>
      <c r="H949" s="35" t="s">
        <v>1541</v>
      </c>
      <c r="I949" s="21">
        <v>-254663</v>
      </c>
      <c r="J949" s="21"/>
      <c r="K949" s="22">
        <v>-48385.97</v>
      </c>
      <c r="L949" s="23"/>
      <c r="M949" s="22">
        <v>0</v>
      </c>
      <c r="N949" s="74">
        <v>0</v>
      </c>
      <c r="O949" s="22">
        <v>0</v>
      </c>
      <c r="P949" s="21">
        <v>-303048.96999999997</v>
      </c>
      <c r="S949" s="108" t="b">
        <f>OR(COUNTIF(Tabla2[[#This Row],[PROVEEDOR]],"*"&amp;'Palabra no opera'!$A$2&amp;"*"))</f>
        <v>0</v>
      </c>
      <c r="T949" s="139">
        <f>+$W$5-Tabla2[[#This Row],[FECHA DE FACTURACIÓN]]</f>
        <v>341</v>
      </c>
      <c r="U949" t="str">
        <f>+IF(Tabla2[[#This Row],[dias de credito]]&gt;=Tabla2[[#This Row],[PLAZO Días]],"venc", "No venc")</f>
        <v>venc</v>
      </c>
      <c r="V949" t="str">
        <f>+IF(Tabla2[[#This Row],[FECHA DE PAGO]]&gt;0,"pagada","por pagar")</f>
        <v>pagada</v>
      </c>
      <c r="W949" s="141" t="str">
        <f>+IF(AND(Tabla2[[#This Row],[venc]]="venc",Tabla2[[#This Row],[Columna1]]="por pagar"),"vencida","no")</f>
        <v>no</v>
      </c>
    </row>
    <row r="950" spans="1:23" ht="15.6" hidden="1" x14ac:dyDescent="0.3">
      <c r="A950" s="20">
        <v>30</v>
      </c>
      <c r="B950" s="25">
        <v>4282200</v>
      </c>
      <c r="C950" s="25"/>
      <c r="D950" s="56" t="s">
        <v>244</v>
      </c>
      <c r="E950" s="426">
        <v>45019</v>
      </c>
      <c r="F950" s="26" t="s">
        <v>406</v>
      </c>
      <c r="G950" s="426">
        <v>44902</v>
      </c>
      <c r="H950" s="35">
        <v>2685</v>
      </c>
      <c r="I950" s="21">
        <v>2136900</v>
      </c>
      <c r="J950" s="21"/>
      <c r="K950" s="22">
        <v>0</v>
      </c>
      <c r="L950" s="23"/>
      <c r="M950" s="22">
        <v>0</v>
      </c>
      <c r="N950" s="74">
        <v>0</v>
      </c>
      <c r="O950" s="22">
        <v>0</v>
      </c>
      <c r="P950" s="21">
        <v>2136900</v>
      </c>
      <c r="S950" s="108" t="b">
        <f>OR(COUNTIF(Tabla2[[#This Row],[PROVEEDOR]],"*"&amp;'Palabra no opera'!$A$2&amp;"*"))</f>
        <v>0</v>
      </c>
      <c r="T950" s="139">
        <f>+$W$5-Tabla2[[#This Row],[FECHA DE FACTURACIÓN]]</f>
        <v>389</v>
      </c>
      <c r="U950" t="str">
        <f>+IF(Tabla2[[#This Row],[dias de credito]]&gt;=Tabla2[[#This Row],[PLAZO Días]],"venc", "No venc")</f>
        <v>venc</v>
      </c>
      <c r="V950" t="str">
        <f>+IF(Tabla2[[#This Row],[FECHA DE PAGO]]&gt;0,"pagada","por pagar")</f>
        <v>pagada</v>
      </c>
      <c r="W950" s="141" t="str">
        <f>+IF(AND(Tabla2[[#This Row],[venc]]="venc",Tabla2[[#This Row],[Columna1]]="por pagar"),"vencida","no")</f>
        <v>no</v>
      </c>
    </row>
    <row r="951" spans="1:23" ht="15.6" hidden="1" x14ac:dyDescent="0.3">
      <c r="A951" s="20">
        <v>30</v>
      </c>
      <c r="B951" s="25">
        <v>4282200</v>
      </c>
      <c r="C951" s="25"/>
      <c r="D951" s="56" t="s">
        <v>244</v>
      </c>
      <c r="E951" s="426">
        <v>45019</v>
      </c>
      <c r="F951" s="26" t="s">
        <v>406</v>
      </c>
      <c r="G951" s="426">
        <v>44902</v>
      </c>
      <c r="H951" s="35">
        <v>2687</v>
      </c>
      <c r="I951" s="21">
        <v>380000</v>
      </c>
      <c r="J951" s="21"/>
      <c r="K951" s="22">
        <v>0</v>
      </c>
      <c r="L951" s="23"/>
      <c r="M951" s="22">
        <v>0</v>
      </c>
      <c r="N951" s="74">
        <v>0</v>
      </c>
      <c r="O951" s="22">
        <v>0</v>
      </c>
      <c r="P951" s="21">
        <v>380000</v>
      </c>
      <c r="S951" s="108" t="b">
        <f>OR(COUNTIF(Tabla2[[#This Row],[PROVEEDOR]],"*"&amp;'Palabra no opera'!$A$2&amp;"*"))</f>
        <v>0</v>
      </c>
      <c r="T951" s="139">
        <f>+$W$5-Tabla2[[#This Row],[FECHA DE FACTURACIÓN]]</f>
        <v>389</v>
      </c>
      <c r="U951" t="str">
        <f>+IF(Tabla2[[#This Row],[dias de credito]]&gt;=Tabla2[[#This Row],[PLAZO Días]],"venc", "No venc")</f>
        <v>venc</v>
      </c>
      <c r="V951" t="str">
        <f>+IF(Tabla2[[#This Row],[FECHA DE PAGO]]&gt;0,"pagada","por pagar")</f>
        <v>pagada</v>
      </c>
      <c r="W951" s="141" t="str">
        <f>+IF(AND(Tabla2[[#This Row],[venc]]="venc",Tabla2[[#This Row],[Columna1]]="por pagar"),"vencida","no")</f>
        <v>no</v>
      </c>
    </row>
    <row r="952" spans="1:23" ht="15.6" hidden="1" x14ac:dyDescent="0.3">
      <c r="A952" s="20">
        <v>30</v>
      </c>
      <c r="B952" s="25">
        <v>0</v>
      </c>
      <c r="C952" s="25"/>
      <c r="D952" s="56">
        <v>0</v>
      </c>
      <c r="E952" s="426">
        <v>45019</v>
      </c>
      <c r="F952" s="26" t="s">
        <v>1231</v>
      </c>
      <c r="G952" s="426">
        <v>44866</v>
      </c>
      <c r="H952" s="35" t="s">
        <v>1232</v>
      </c>
      <c r="I952" s="21">
        <v>-925500</v>
      </c>
      <c r="J952" s="21"/>
      <c r="K952" s="22">
        <v>0</v>
      </c>
      <c r="L952" s="23"/>
      <c r="M952" s="22">
        <v>0</v>
      </c>
      <c r="N952" s="74">
        <v>0</v>
      </c>
      <c r="O952" s="22">
        <v>0</v>
      </c>
      <c r="P952" s="21">
        <v>-925500</v>
      </c>
      <c r="S952" s="108" t="b">
        <f>OR(COUNTIF(Tabla2[[#This Row],[PROVEEDOR]],"*"&amp;'Palabra no opera'!$A$2&amp;"*"))</f>
        <v>0</v>
      </c>
      <c r="T952" s="139">
        <f>+$W$5-Tabla2[[#This Row],[FECHA DE FACTURACIÓN]]</f>
        <v>425</v>
      </c>
      <c r="U952" t="str">
        <f>+IF(Tabla2[[#This Row],[dias de credito]]&gt;=Tabla2[[#This Row],[PLAZO Días]],"venc", "No venc")</f>
        <v>venc</v>
      </c>
      <c r="V952" t="str">
        <f>+IF(Tabla2[[#This Row],[FECHA DE PAGO]]&gt;0,"pagada","por pagar")</f>
        <v>pagada</v>
      </c>
      <c r="W952" s="141" t="str">
        <f>+IF(AND(Tabla2[[#This Row],[venc]]="venc",Tabla2[[#This Row],[Columna1]]="por pagar"),"vencida","no")</f>
        <v>no</v>
      </c>
    </row>
    <row r="953" spans="1:23" ht="15.6" hidden="1" x14ac:dyDescent="0.3">
      <c r="A953" s="20">
        <v>30</v>
      </c>
      <c r="B953" s="25">
        <v>0</v>
      </c>
      <c r="C953" s="25"/>
      <c r="D953" s="56">
        <v>0</v>
      </c>
      <c r="E953" s="426">
        <v>45019</v>
      </c>
      <c r="F953" s="26" t="s">
        <v>1231</v>
      </c>
      <c r="G953" s="426">
        <v>44866</v>
      </c>
      <c r="H953" s="35" t="s">
        <v>1540</v>
      </c>
      <c r="I953" s="21">
        <v>1891500</v>
      </c>
      <c r="J953" s="21"/>
      <c r="K953" s="22">
        <v>0</v>
      </c>
      <c r="L953" s="23"/>
      <c r="M953" s="22">
        <v>0</v>
      </c>
      <c r="N953" s="74">
        <v>0</v>
      </c>
      <c r="O953" s="22">
        <v>0</v>
      </c>
      <c r="P953" s="21">
        <v>1891500</v>
      </c>
      <c r="S953" s="108" t="b">
        <f>OR(COUNTIF(Tabla2[[#This Row],[PROVEEDOR]],"*"&amp;'Palabra no opera'!$A$2&amp;"*"))</f>
        <v>0</v>
      </c>
      <c r="T953" s="139">
        <f>+$W$5-Tabla2[[#This Row],[FECHA DE FACTURACIÓN]]</f>
        <v>425</v>
      </c>
      <c r="U953" t="str">
        <f>+IF(Tabla2[[#This Row],[dias de credito]]&gt;=Tabla2[[#This Row],[PLAZO Días]],"venc", "No venc")</f>
        <v>venc</v>
      </c>
      <c r="V953" t="str">
        <f>+IF(Tabla2[[#This Row],[FECHA DE PAGO]]&gt;0,"pagada","por pagar")</f>
        <v>pagada</v>
      </c>
      <c r="W953" s="141" t="str">
        <f>+IF(AND(Tabla2[[#This Row],[venc]]="venc",Tabla2[[#This Row],[Columna1]]="por pagar"),"vencida","no")</f>
        <v>no</v>
      </c>
    </row>
    <row r="954" spans="1:23" ht="15.6" hidden="1" x14ac:dyDescent="0.3">
      <c r="A954" s="20">
        <v>30</v>
      </c>
      <c r="B954" s="25">
        <v>0</v>
      </c>
      <c r="C954" s="25"/>
      <c r="D954" s="56" t="s">
        <v>107</v>
      </c>
      <c r="E954" s="426">
        <v>45018</v>
      </c>
      <c r="F954" s="26" t="s">
        <v>356</v>
      </c>
      <c r="G954" s="426">
        <v>45017</v>
      </c>
      <c r="H954" s="35" t="s">
        <v>1616</v>
      </c>
      <c r="I954" s="21">
        <v>2200000</v>
      </c>
      <c r="J954" s="21"/>
      <c r="K954" s="22">
        <v>0</v>
      </c>
      <c r="L954" s="23"/>
      <c r="M954" s="22">
        <v>0</v>
      </c>
      <c r="N954" s="74">
        <v>0</v>
      </c>
      <c r="O954" s="22">
        <v>0</v>
      </c>
      <c r="P954" s="21">
        <v>2200000</v>
      </c>
      <c r="S954" s="108" t="b">
        <f>OR(COUNTIF(Tabla2[[#This Row],[PROVEEDOR]],"*"&amp;'Palabra no opera'!$A$2&amp;"*"))</f>
        <v>0</v>
      </c>
      <c r="T954" s="139">
        <f>+$W$5-Tabla2[[#This Row],[FECHA DE FACTURACIÓN]]</f>
        <v>274</v>
      </c>
      <c r="U954" t="str">
        <f>+IF(Tabla2[[#This Row],[dias de credito]]&gt;=Tabla2[[#This Row],[PLAZO Días]],"venc", "No venc")</f>
        <v>venc</v>
      </c>
      <c r="V954" t="str">
        <f>+IF(Tabla2[[#This Row],[FECHA DE PAGO]]&gt;0,"pagada","por pagar")</f>
        <v>pagada</v>
      </c>
      <c r="W954" s="141" t="str">
        <f>+IF(AND(Tabla2[[#This Row],[venc]]="venc",Tabla2[[#This Row],[Columna1]]="por pagar"),"vencida","no")</f>
        <v>no</v>
      </c>
    </row>
    <row r="955" spans="1:23" ht="15.6" hidden="1" x14ac:dyDescent="0.3">
      <c r="A955" s="20">
        <v>30</v>
      </c>
      <c r="B955" s="25">
        <v>4248480.9550000001</v>
      </c>
      <c r="C955" s="25"/>
      <c r="D955" s="56" t="s">
        <v>107</v>
      </c>
      <c r="E955" s="426">
        <v>45018</v>
      </c>
      <c r="F955" s="26" t="s">
        <v>78</v>
      </c>
      <c r="G955" s="426">
        <v>44999</v>
      </c>
      <c r="H955" s="35" t="s">
        <v>1590</v>
      </c>
      <c r="I955" s="21">
        <v>55353</v>
      </c>
      <c r="J955" s="21"/>
      <c r="K955" s="22">
        <v>10517.07</v>
      </c>
      <c r="L955" s="23"/>
      <c r="M955" s="22">
        <v>0</v>
      </c>
      <c r="N955" s="74">
        <v>0</v>
      </c>
      <c r="O955" s="22">
        <v>0</v>
      </c>
      <c r="P955" s="21">
        <v>65870.070000000007</v>
      </c>
      <c r="S955" s="108" t="b">
        <f>OR(COUNTIF(Tabla2[[#This Row],[PROVEEDOR]],"*"&amp;'Palabra no opera'!$A$2&amp;"*"))</f>
        <v>0</v>
      </c>
      <c r="T955" s="139">
        <f>+$W$5-Tabla2[[#This Row],[FECHA DE FACTURACIÓN]]</f>
        <v>292</v>
      </c>
      <c r="U955" t="str">
        <f>+IF(Tabla2[[#This Row],[dias de credito]]&gt;=Tabla2[[#This Row],[PLAZO Días]],"venc", "No venc")</f>
        <v>venc</v>
      </c>
      <c r="V955" t="str">
        <f>+IF(Tabla2[[#This Row],[FECHA DE PAGO]]&gt;0,"pagada","por pagar")</f>
        <v>pagada</v>
      </c>
      <c r="W955" s="141" t="str">
        <f>+IF(AND(Tabla2[[#This Row],[venc]]="venc",Tabla2[[#This Row],[Columna1]]="por pagar"),"vencida","no")</f>
        <v>no</v>
      </c>
    </row>
    <row r="956" spans="1:23" ht="15.6" hidden="1" x14ac:dyDescent="0.3">
      <c r="A956" s="20">
        <v>30</v>
      </c>
      <c r="B956" s="25">
        <v>0</v>
      </c>
      <c r="C956" s="25"/>
      <c r="D956" s="56">
        <v>0</v>
      </c>
      <c r="E956" s="426">
        <v>45017</v>
      </c>
      <c r="F956" s="26" t="s">
        <v>1436</v>
      </c>
      <c r="G956" s="426">
        <v>44958</v>
      </c>
      <c r="H956" s="35">
        <v>6657</v>
      </c>
      <c r="I956" s="21">
        <v>1144000</v>
      </c>
      <c r="J956" s="21"/>
      <c r="K956" s="22">
        <v>0</v>
      </c>
      <c r="L956" s="23"/>
      <c r="M956" s="22">
        <v>0</v>
      </c>
      <c r="N956" s="74">
        <v>0</v>
      </c>
      <c r="O956" s="22">
        <v>0</v>
      </c>
      <c r="P956" s="21">
        <v>1144000</v>
      </c>
      <c r="S956" s="108" t="b">
        <f>OR(COUNTIF(Tabla2[[#This Row],[PROVEEDOR]],"*"&amp;'Palabra no opera'!$A$2&amp;"*"))</f>
        <v>0</v>
      </c>
      <c r="T956" s="139">
        <f>+$W$5-Tabla2[[#This Row],[FECHA DE FACTURACIÓN]]</f>
        <v>333</v>
      </c>
      <c r="U956" t="str">
        <f>+IF(Tabla2[[#This Row],[dias de credito]]&gt;=Tabla2[[#This Row],[PLAZO Días]],"venc", "No venc")</f>
        <v>venc</v>
      </c>
      <c r="V956" t="str">
        <f>+IF(Tabla2[[#This Row],[FECHA DE PAGO]]&gt;0,"pagada","por pagar")</f>
        <v>pagada</v>
      </c>
      <c r="W956" s="141" t="str">
        <f>+IF(AND(Tabla2[[#This Row],[venc]]="venc",Tabla2[[#This Row],[Columna1]]="por pagar"),"vencida","no")</f>
        <v>no</v>
      </c>
    </row>
    <row r="957" spans="1:23" ht="15.6" hidden="1" x14ac:dyDescent="0.3">
      <c r="A957" s="20">
        <v>30</v>
      </c>
      <c r="B957" s="25">
        <v>0</v>
      </c>
      <c r="C957" s="25"/>
      <c r="D957" s="56" t="s">
        <v>107</v>
      </c>
      <c r="E957" s="426">
        <v>45016</v>
      </c>
      <c r="F957" s="26" t="s">
        <v>1401</v>
      </c>
      <c r="G957" s="426">
        <v>45016</v>
      </c>
      <c r="H957" s="35" t="s">
        <v>1177</v>
      </c>
      <c r="I957" s="21">
        <v>4188400</v>
      </c>
      <c r="J957" s="21"/>
      <c r="K957" s="22">
        <v>0</v>
      </c>
      <c r="L957" s="23"/>
      <c r="M957" s="22">
        <v>0</v>
      </c>
      <c r="N957" s="74">
        <v>0</v>
      </c>
      <c r="O957" s="22">
        <v>0</v>
      </c>
      <c r="P957" s="21">
        <v>4188400</v>
      </c>
      <c r="S957" s="108" t="b">
        <f>OR(COUNTIF(Tabla2[[#This Row],[PROVEEDOR]],"*"&amp;'Palabra no opera'!$A$2&amp;"*"))</f>
        <v>0</v>
      </c>
      <c r="T957" s="139">
        <f>+$W$5-Tabla2[[#This Row],[FECHA DE FACTURACIÓN]]</f>
        <v>275</v>
      </c>
      <c r="U957" t="str">
        <f>+IF(Tabla2[[#This Row],[dias de credito]]&gt;=Tabla2[[#This Row],[PLAZO Días]],"venc", "No venc")</f>
        <v>venc</v>
      </c>
      <c r="V957" t="str">
        <f>+IF(Tabla2[[#This Row],[FECHA DE PAGO]]&gt;0,"pagada","por pagar")</f>
        <v>pagada</v>
      </c>
      <c r="W957" s="141" t="str">
        <f>+IF(AND(Tabla2[[#This Row],[venc]]="venc",Tabla2[[#This Row],[Columna1]]="por pagar"),"vencida","no")</f>
        <v>no</v>
      </c>
    </row>
    <row r="958" spans="1:23" ht="15.6" hidden="1" x14ac:dyDescent="0.3">
      <c r="A958" s="20">
        <v>30</v>
      </c>
      <c r="B958" s="25">
        <v>0</v>
      </c>
      <c r="C958" s="25"/>
      <c r="D958" s="56" t="s">
        <v>107</v>
      </c>
      <c r="E958" s="426">
        <v>45016</v>
      </c>
      <c r="F958" s="26" t="s">
        <v>1401</v>
      </c>
      <c r="G958" s="426">
        <v>45016</v>
      </c>
      <c r="H958" s="35" t="s">
        <v>1180</v>
      </c>
      <c r="I958" s="21">
        <v>645900</v>
      </c>
      <c r="J958" s="21"/>
      <c r="K958" s="22">
        <v>0</v>
      </c>
      <c r="L958" s="23"/>
      <c r="M958" s="22">
        <v>0</v>
      </c>
      <c r="N958" s="74">
        <v>0</v>
      </c>
      <c r="O958" s="22">
        <v>0</v>
      </c>
      <c r="P958" s="21">
        <v>645900</v>
      </c>
      <c r="S958" s="108" t="b">
        <f>OR(COUNTIF(Tabla2[[#This Row],[PROVEEDOR]],"*"&amp;'Palabra no opera'!$A$2&amp;"*"))</f>
        <v>0</v>
      </c>
      <c r="T958" s="139">
        <f>+$W$5-Tabla2[[#This Row],[FECHA DE FACTURACIÓN]]</f>
        <v>275</v>
      </c>
      <c r="U958" t="str">
        <f>+IF(Tabla2[[#This Row],[dias de credito]]&gt;=Tabla2[[#This Row],[PLAZO Días]],"venc", "No venc")</f>
        <v>venc</v>
      </c>
      <c r="V958" t="str">
        <f>+IF(Tabla2[[#This Row],[FECHA DE PAGO]]&gt;0,"pagada","por pagar")</f>
        <v>pagada</v>
      </c>
      <c r="W958" s="141" t="str">
        <f>+IF(AND(Tabla2[[#This Row],[venc]]="venc",Tabla2[[#This Row],[Columna1]]="por pagar"),"vencida","no")</f>
        <v>no</v>
      </c>
    </row>
    <row r="959" spans="1:23" ht="15.6" hidden="1" x14ac:dyDescent="0.3">
      <c r="A959" s="20">
        <v>30</v>
      </c>
      <c r="B959" s="25">
        <v>0</v>
      </c>
      <c r="C959" s="25"/>
      <c r="D959" s="56" t="s">
        <v>107</v>
      </c>
      <c r="E959" s="426">
        <v>45016</v>
      </c>
      <c r="F959" s="26" t="s">
        <v>1401</v>
      </c>
      <c r="G959" s="426">
        <v>45016</v>
      </c>
      <c r="H959" s="35" t="s">
        <v>1176</v>
      </c>
      <c r="I959" s="21">
        <v>562500</v>
      </c>
      <c r="J959" s="21"/>
      <c r="K959" s="22">
        <v>0</v>
      </c>
      <c r="L959" s="23"/>
      <c r="M959" s="22">
        <v>0</v>
      </c>
      <c r="N959" s="74">
        <v>0</v>
      </c>
      <c r="O959" s="22">
        <v>0</v>
      </c>
      <c r="P959" s="21">
        <v>562500</v>
      </c>
      <c r="S959" s="108" t="b">
        <f>OR(COUNTIF(Tabla2[[#This Row],[PROVEEDOR]],"*"&amp;'Palabra no opera'!$A$2&amp;"*"))</f>
        <v>0</v>
      </c>
      <c r="T959" s="139">
        <f>+$W$5-Tabla2[[#This Row],[FECHA DE FACTURACIÓN]]</f>
        <v>275</v>
      </c>
      <c r="U959" t="str">
        <f>+IF(Tabla2[[#This Row],[dias de credito]]&gt;=Tabla2[[#This Row],[PLAZO Días]],"venc", "No venc")</f>
        <v>venc</v>
      </c>
      <c r="V959" t="str">
        <f>+IF(Tabla2[[#This Row],[FECHA DE PAGO]]&gt;0,"pagada","por pagar")</f>
        <v>pagada</v>
      </c>
      <c r="W959" s="141" t="str">
        <f>+IF(AND(Tabla2[[#This Row],[venc]]="venc",Tabla2[[#This Row],[Columna1]]="por pagar"),"vencida","no")</f>
        <v>no</v>
      </c>
    </row>
    <row r="960" spans="1:23" ht="15.6" hidden="1" x14ac:dyDescent="0.3">
      <c r="A960" s="20">
        <v>30</v>
      </c>
      <c r="B960" s="25">
        <v>0</v>
      </c>
      <c r="C960" s="25"/>
      <c r="D960" s="56" t="s">
        <v>107</v>
      </c>
      <c r="E960" s="426">
        <v>45016</v>
      </c>
      <c r="F960" s="26" t="s">
        <v>1401</v>
      </c>
      <c r="G960" s="426">
        <v>45016</v>
      </c>
      <c r="H960" s="35" t="s">
        <v>1377</v>
      </c>
      <c r="I960" s="21">
        <v>82500</v>
      </c>
      <c r="J960" s="21"/>
      <c r="K960" s="22">
        <v>0</v>
      </c>
      <c r="L960" s="23"/>
      <c r="M960" s="22">
        <v>0</v>
      </c>
      <c r="N960" s="74">
        <v>0</v>
      </c>
      <c r="O960" s="22">
        <v>0</v>
      </c>
      <c r="P960" s="21">
        <v>82500</v>
      </c>
      <c r="S960" s="108" t="b">
        <f>OR(COUNTIF(Tabla2[[#This Row],[PROVEEDOR]],"*"&amp;'Palabra no opera'!$A$2&amp;"*"))</f>
        <v>0</v>
      </c>
      <c r="T960" s="139">
        <f>+$W$5-Tabla2[[#This Row],[FECHA DE FACTURACIÓN]]</f>
        <v>275</v>
      </c>
      <c r="U960" t="str">
        <f>+IF(Tabla2[[#This Row],[dias de credito]]&gt;=Tabla2[[#This Row],[PLAZO Días]],"venc", "No venc")</f>
        <v>venc</v>
      </c>
      <c r="V960" t="str">
        <f>+IF(Tabla2[[#This Row],[FECHA DE PAGO]]&gt;0,"pagada","por pagar")</f>
        <v>pagada</v>
      </c>
      <c r="W960" s="141" t="str">
        <f>+IF(AND(Tabla2[[#This Row],[venc]]="venc",Tabla2[[#This Row],[Columna1]]="por pagar"),"vencida","no")</f>
        <v>no</v>
      </c>
    </row>
    <row r="961" spans="1:23" ht="15.6" hidden="1" x14ac:dyDescent="0.3">
      <c r="A961" s="20">
        <v>30</v>
      </c>
      <c r="B961" s="25">
        <v>0</v>
      </c>
      <c r="C961" s="25"/>
      <c r="D961" s="56" t="s">
        <v>107</v>
      </c>
      <c r="E961" s="426">
        <v>45016</v>
      </c>
      <c r="F961" s="26" t="s">
        <v>1401</v>
      </c>
      <c r="G961" s="426">
        <v>45016</v>
      </c>
      <c r="H961" s="35" t="s">
        <v>1379</v>
      </c>
      <c r="I961" s="21">
        <v>0</v>
      </c>
      <c r="J961" s="21"/>
      <c r="K961" s="22">
        <v>0</v>
      </c>
      <c r="L961" s="23"/>
      <c r="M961" s="22">
        <v>0</v>
      </c>
      <c r="N961" s="74">
        <v>0</v>
      </c>
      <c r="O961" s="22">
        <v>0</v>
      </c>
      <c r="P961" s="21">
        <v>0</v>
      </c>
      <c r="S961" s="108" t="b">
        <f>OR(COUNTIF(Tabla2[[#This Row],[PROVEEDOR]],"*"&amp;'Palabra no opera'!$A$2&amp;"*"))</f>
        <v>0</v>
      </c>
      <c r="T961" s="139">
        <f>+$W$5-Tabla2[[#This Row],[FECHA DE FACTURACIÓN]]</f>
        <v>275</v>
      </c>
      <c r="U961" t="str">
        <f>+IF(Tabla2[[#This Row],[dias de credito]]&gt;=Tabla2[[#This Row],[PLAZO Días]],"venc", "No venc")</f>
        <v>venc</v>
      </c>
      <c r="V961" t="str">
        <f>+IF(Tabla2[[#This Row],[FECHA DE PAGO]]&gt;0,"pagada","por pagar")</f>
        <v>pagada</v>
      </c>
      <c r="W961" s="141" t="str">
        <f>+IF(AND(Tabla2[[#This Row],[venc]]="venc",Tabla2[[#This Row],[Columna1]]="por pagar"),"vencida","no")</f>
        <v>no</v>
      </c>
    </row>
    <row r="962" spans="1:23" ht="15.6" hidden="1" x14ac:dyDescent="0.3">
      <c r="A962" s="20">
        <v>60</v>
      </c>
      <c r="B962" s="25">
        <v>0</v>
      </c>
      <c r="C962" s="25"/>
      <c r="D962" s="56">
        <v>0</v>
      </c>
      <c r="E962" s="426">
        <v>45016</v>
      </c>
      <c r="F962" s="26" t="s">
        <v>951</v>
      </c>
      <c r="G962" s="426">
        <v>45016</v>
      </c>
      <c r="H962" s="35" t="s">
        <v>1561</v>
      </c>
      <c r="I962" s="21">
        <v>-4550000</v>
      </c>
      <c r="J962" s="21"/>
      <c r="K962" s="22">
        <v>-864500</v>
      </c>
      <c r="L962" s="23"/>
      <c r="M962" s="22">
        <v>0</v>
      </c>
      <c r="N962" s="74">
        <v>0</v>
      </c>
      <c r="O962" s="22">
        <v>0</v>
      </c>
      <c r="P962" s="21">
        <v>-5414500</v>
      </c>
      <c r="S962" s="108" t="b">
        <f>OR(COUNTIF(Tabla2[[#This Row],[PROVEEDOR]],"*"&amp;'Palabra no opera'!$A$2&amp;"*"))</f>
        <v>1</v>
      </c>
      <c r="T962" s="139">
        <f>+$W$5-Tabla2[[#This Row],[FECHA DE FACTURACIÓN]]</f>
        <v>275</v>
      </c>
      <c r="U962" t="str">
        <f>+IF(Tabla2[[#This Row],[dias de credito]]&gt;=Tabla2[[#This Row],[PLAZO Días]],"venc", "No venc")</f>
        <v>venc</v>
      </c>
      <c r="V962" t="str">
        <f>+IF(Tabla2[[#This Row],[FECHA DE PAGO]]&gt;0,"pagada","por pagar")</f>
        <v>pagada</v>
      </c>
      <c r="W962" s="141" t="str">
        <f>+IF(AND(Tabla2[[#This Row],[venc]]="venc",Tabla2[[#This Row],[Columna1]]="por pagar"),"vencida","no")</f>
        <v>no</v>
      </c>
    </row>
    <row r="963" spans="1:23" ht="15.6" hidden="1" x14ac:dyDescent="0.3">
      <c r="A963" s="20">
        <v>60</v>
      </c>
      <c r="B963" s="25">
        <v>0</v>
      </c>
      <c r="C963" s="25"/>
      <c r="D963" s="56">
        <v>0</v>
      </c>
      <c r="E963" s="426">
        <v>45016</v>
      </c>
      <c r="F963" s="26" t="s">
        <v>951</v>
      </c>
      <c r="G963" s="426">
        <v>45009</v>
      </c>
      <c r="H963" s="35" t="s">
        <v>1476</v>
      </c>
      <c r="I963" s="21">
        <v>-1059244</v>
      </c>
      <c r="J963" s="21"/>
      <c r="K963" s="22">
        <v>-201256.36000000002</v>
      </c>
      <c r="L963" s="23"/>
      <c r="M963" s="22">
        <v>0</v>
      </c>
      <c r="N963" s="74">
        <v>0</v>
      </c>
      <c r="O963" s="22">
        <v>0</v>
      </c>
      <c r="P963" s="21">
        <v>-1260500.3600000001</v>
      </c>
      <c r="S963" s="108" t="b">
        <f>OR(COUNTIF(Tabla2[[#This Row],[PROVEEDOR]],"*"&amp;'Palabra no opera'!$A$2&amp;"*"))</f>
        <v>1</v>
      </c>
      <c r="T963" s="139">
        <f>+$W$5-Tabla2[[#This Row],[FECHA DE FACTURACIÓN]]</f>
        <v>282</v>
      </c>
      <c r="U963" t="str">
        <f>+IF(Tabla2[[#This Row],[dias de credito]]&gt;=Tabla2[[#This Row],[PLAZO Días]],"venc", "No venc")</f>
        <v>venc</v>
      </c>
      <c r="V963" t="str">
        <f>+IF(Tabla2[[#This Row],[FECHA DE PAGO]]&gt;0,"pagada","por pagar")</f>
        <v>pagada</v>
      </c>
      <c r="W963" s="141" t="str">
        <f>+IF(AND(Tabla2[[#This Row],[venc]]="venc",Tabla2[[#This Row],[Columna1]]="por pagar"),"vencida","no")</f>
        <v>no</v>
      </c>
    </row>
    <row r="964" spans="1:23" ht="15.6" hidden="1" x14ac:dyDescent="0.3">
      <c r="A964" s="20">
        <v>60</v>
      </c>
      <c r="B964" s="25">
        <v>0</v>
      </c>
      <c r="C964" s="25"/>
      <c r="D964" s="56">
        <v>0</v>
      </c>
      <c r="E964" s="426">
        <v>45016</v>
      </c>
      <c r="F964" s="26" t="s">
        <v>951</v>
      </c>
      <c r="G964" s="426">
        <v>44985</v>
      </c>
      <c r="H964" s="35" t="s">
        <v>1476</v>
      </c>
      <c r="I964" s="21">
        <v>-840336</v>
      </c>
      <c r="J964" s="21"/>
      <c r="K964" s="22">
        <v>-159663.84</v>
      </c>
      <c r="L964" s="23"/>
      <c r="M964" s="22">
        <v>0</v>
      </c>
      <c r="N964" s="74">
        <v>0</v>
      </c>
      <c r="O964" s="22">
        <v>0</v>
      </c>
      <c r="P964" s="21">
        <v>-999999.84</v>
      </c>
      <c r="S964" s="108" t="b">
        <f>OR(COUNTIF(Tabla2[[#This Row],[PROVEEDOR]],"*"&amp;'Palabra no opera'!$A$2&amp;"*"))</f>
        <v>1</v>
      </c>
      <c r="T964" s="139">
        <f>+$W$5-Tabla2[[#This Row],[FECHA DE FACTURACIÓN]]</f>
        <v>306</v>
      </c>
      <c r="U964" t="str">
        <f>+IF(Tabla2[[#This Row],[dias de credito]]&gt;=Tabla2[[#This Row],[PLAZO Días]],"venc", "No venc")</f>
        <v>venc</v>
      </c>
      <c r="V964" t="str">
        <f>+IF(Tabla2[[#This Row],[FECHA DE PAGO]]&gt;0,"pagada","por pagar")</f>
        <v>pagada</v>
      </c>
      <c r="W964" s="141" t="str">
        <f>+IF(AND(Tabla2[[#This Row],[venc]]="venc",Tabla2[[#This Row],[Columna1]]="por pagar"),"vencida","no")</f>
        <v>no</v>
      </c>
    </row>
    <row r="965" spans="1:23" ht="15.6" hidden="1" x14ac:dyDescent="0.3">
      <c r="A965" s="20">
        <v>60</v>
      </c>
      <c r="B965" s="25">
        <v>0</v>
      </c>
      <c r="C965" s="25"/>
      <c r="D965" s="56">
        <v>0</v>
      </c>
      <c r="E965" s="426">
        <v>45016</v>
      </c>
      <c r="F965" s="26" t="s">
        <v>951</v>
      </c>
      <c r="G965" s="426">
        <v>44984</v>
      </c>
      <c r="H965" s="35" t="s">
        <v>1476</v>
      </c>
      <c r="I965" s="21">
        <v>-840336</v>
      </c>
      <c r="J965" s="21"/>
      <c r="K965" s="22">
        <v>-159663.84</v>
      </c>
      <c r="L965" s="23"/>
      <c r="M965" s="22">
        <v>0</v>
      </c>
      <c r="N965" s="74">
        <v>0</v>
      </c>
      <c r="O965" s="22">
        <v>0</v>
      </c>
      <c r="P965" s="21">
        <v>-999999.84</v>
      </c>
      <c r="S965" s="108" t="b">
        <f>OR(COUNTIF(Tabla2[[#This Row],[PROVEEDOR]],"*"&amp;'Palabra no opera'!$A$2&amp;"*"))</f>
        <v>1</v>
      </c>
      <c r="T965" s="139">
        <f>+$W$5-Tabla2[[#This Row],[FECHA DE FACTURACIÓN]]</f>
        <v>307</v>
      </c>
      <c r="U965" t="str">
        <f>+IF(Tabla2[[#This Row],[dias de credito]]&gt;=Tabla2[[#This Row],[PLAZO Días]],"venc", "No venc")</f>
        <v>venc</v>
      </c>
      <c r="V965" t="str">
        <f>+IF(Tabla2[[#This Row],[FECHA DE PAGO]]&gt;0,"pagada","por pagar")</f>
        <v>pagada</v>
      </c>
      <c r="W965" s="141" t="str">
        <f>+IF(AND(Tabla2[[#This Row],[venc]]="venc",Tabla2[[#This Row],[Columna1]]="por pagar"),"vencida","no")</f>
        <v>no</v>
      </c>
    </row>
    <row r="966" spans="1:23" ht="15.6" hidden="1" x14ac:dyDescent="0.3">
      <c r="A966" s="20">
        <v>60</v>
      </c>
      <c r="B966" s="25">
        <v>0</v>
      </c>
      <c r="C966" s="25"/>
      <c r="D966" s="56">
        <v>0</v>
      </c>
      <c r="E966" s="426">
        <v>45016</v>
      </c>
      <c r="F966" s="26" t="s">
        <v>951</v>
      </c>
      <c r="G966" s="426">
        <v>44980</v>
      </c>
      <c r="H966" s="35" t="s">
        <v>1476</v>
      </c>
      <c r="I966" s="21">
        <v>-2689076</v>
      </c>
      <c r="J966" s="21"/>
      <c r="K966" s="22">
        <v>-510924.44</v>
      </c>
      <c r="L966" s="23"/>
      <c r="M966" s="22">
        <v>0</v>
      </c>
      <c r="N966" s="74">
        <v>0</v>
      </c>
      <c r="O966" s="22">
        <v>0</v>
      </c>
      <c r="P966" s="21">
        <v>-3200000.44</v>
      </c>
      <c r="S966" s="108" t="b">
        <f>OR(COUNTIF(Tabla2[[#This Row],[PROVEEDOR]],"*"&amp;'Palabra no opera'!$A$2&amp;"*"))</f>
        <v>1</v>
      </c>
      <c r="T966" s="139">
        <f>+$W$5-Tabla2[[#This Row],[FECHA DE FACTURACIÓN]]</f>
        <v>311</v>
      </c>
      <c r="U966" t="str">
        <f>+IF(Tabla2[[#This Row],[dias de credito]]&gt;=Tabla2[[#This Row],[PLAZO Días]],"venc", "No venc")</f>
        <v>venc</v>
      </c>
      <c r="V966" t="str">
        <f>+IF(Tabla2[[#This Row],[FECHA DE PAGO]]&gt;0,"pagada","por pagar")</f>
        <v>pagada</v>
      </c>
      <c r="W966" s="141" t="str">
        <f>+IF(AND(Tabla2[[#This Row],[venc]]="venc",Tabla2[[#This Row],[Columna1]]="por pagar"),"vencida","no")</f>
        <v>no</v>
      </c>
    </row>
    <row r="967" spans="1:23" ht="15.6" hidden="1" x14ac:dyDescent="0.3">
      <c r="A967" s="20">
        <v>60</v>
      </c>
      <c r="B967" s="25">
        <v>0</v>
      </c>
      <c r="C967" s="25"/>
      <c r="D967" s="56">
        <v>0</v>
      </c>
      <c r="E967" s="426">
        <v>45016</v>
      </c>
      <c r="F967" s="26" t="s">
        <v>951</v>
      </c>
      <c r="G967" s="426">
        <v>44970</v>
      </c>
      <c r="H967" s="35" t="s">
        <v>1476</v>
      </c>
      <c r="I967" s="21">
        <v>-2521008</v>
      </c>
      <c r="J967" s="21"/>
      <c r="K967" s="22">
        <v>-478991.52</v>
      </c>
      <c r="L967" s="23"/>
      <c r="M967" s="22">
        <v>0</v>
      </c>
      <c r="N967" s="74">
        <v>0</v>
      </c>
      <c r="O967" s="22">
        <v>0</v>
      </c>
      <c r="P967" s="21">
        <v>-2999999.52</v>
      </c>
      <c r="S967" s="108" t="b">
        <f>OR(COUNTIF(Tabla2[[#This Row],[PROVEEDOR]],"*"&amp;'Palabra no opera'!$A$2&amp;"*"))</f>
        <v>1</v>
      </c>
      <c r="T967" s="139">
        <f>+$W$5-Tabla2[[#This Row],[FECHA DE FACTURACIÓN]]</f>
        <v>321</v>
      </c>
      <c r="U967" t="str">
        <f>+IF(Tabla2[[#This Row],[dias de credito]]&gt;=Tabla2[[#This Row],[PLAZO Días]],"venc", "No venc")</f>
        <v>venc</v>
      </c>
      <c r="V967" t="str">
        <f>+IF(Tabla2[[#This Row],[FECHA DE PAGO]]&gt;0,"pagada","por pagar")</f>
        <v>pagada</v>
      </c>
      <c r="W967" s="141" t="str">
        <f>+IF(AND(Tabla2[[#This Row],[venc]]="venc",Tabla2[[#This Row],[Columna1]]="por pagar"),"vencida","no")</f>
        <v>no</v>
      </c>
    </row>
    <row r="968" spans="1:23" ht="15.6" hidden="1" x14ac:dyDescent="0.3">
      <c r="A968" s="20">
        <v>60</v>
      </c>
      <c r="B968" s="25">
        <v>0</v>
      </c>
      <c r="C968" s="25"/>
      <c r="D968" s="56">
        <v>0</v>
      </c>
      <c r="E968" s="426">
        <v>45016</v>
      </c>
      <c r="F968" s="26" t="s">
        <v>951</v>
      </c>
      <c r="G968" s="426">
        <v>44865</v>
      </c>
      <c r="H968" s="35" t="s">
        <v>1239</v>
      </c>
      <c r="I968" s="21">
        <v>12500000</v>
      </c>
      <c r="J968" s="21"/>
      <c r="K968" s="22">
        <v>2375000</v>
      </c>
      <c r="L968" s="23"/>
      <c r="M968" s="22">
        <v>0</v>
      </c>
      <c r="N968" s="74">
        <v>0</v>
      </c>
      <c r="O968" s="22">
        <v>0</v>
      </c>
      <c r="P968" s="21">
        <v>14875000</v>
      </c>
      <c r="S968" s="108" t="b">
        <f>OR(COUNTIF(Tabla2[[#This Row],[PROVEEDOR]],"*"&amp;'Palabra no opera'!$A$2&amp;"*"))</f>
        <v>1</v>
      </c>
      <c r="T968" s="139">
        <f>+$W$5-Tabla2[[#This Row],[FECHA DE FACTURACIÓN]]</f>
        <v>426</v>
      </c>
      <c r="U968" t="str">
        <f>+IF(Tabla2[[#This Row],[dias de credito]]&gt;=Tabla2[[#This Row],[PLAZO Días]],"venc", "No venc")</f>
        <v>venc</v>
      </c>
      <c r="V968" t="str">
        <f>+IF(Tabla2[[#This Row],[FECHA DE PAGO]]&gt;0,"pagada","por pagar")</f>
        <v>pagada</v>
      </c>
      <c r="W968" s="141" t="str">
        <f>+IF(AND(Tabla2[[#This Row],[venc]]="venc",Tabla2[[#This Row],[Columna1]]="por pagar"),"vencida","no")</f>
        <v>no</v>
      </c>
    </row>
    <row r="969" spans="1:23" ht="15.6" hidden="1" x14ac:dyDescent="0.3">
      <c r="A969" s="20">
        <v>30</v>
      </c>
      <c r="B969" s="25">
        <v>0</v>
      </c>
      <c r="C969" s="25"/>
      <c r="D969" s="56" t="s">
        <v>185</v>
      </c>
      <c r="E969" s="426">
        <v>45014</v>
      </c>
      <c r="F969" s="26" t="s">
        <v>628</v>
      </c>
      <c r="G969" s="426">
        <v>44988</v>
      </c>
      <c r="H969" s="35" t="s">
        <v>1534</v>
      </c>
      <c r="I969" s="21">
        <v>1840056</v>
      </c>
      <c r="J969" s="21"/>
      <c r="K969" s="22">
        <v>0</v>
      </c>
      <c r="L969" s="23"/>
      <c r="M969" s="22">
        <v>0</v>
      </c>
      <c r="N969" s="74">
        <v>0</v>
      </c>
      <c r="O969" s="22">
        <v>0</v>
      </c>
      <c r="P969" s="21">
        <v>1840056</v>
      </c>
      <c r="S969" s="108" t="b">
        <f>OR(COUNTIF(Tabla2[[#This Row],[PROVEEDOR]],"*"&amp;'Palabra no opera'!$A$2&amp;"*"))</f>
        <v>1</v>
      </c>
      <c r="T969" s="139">
        <f>+$W$5-Tabla2[[#This Row],[FECHA DE FACTURACIÓN]]</f>
        <v>303</v>
      </c>
      <c r="U969" t="str">
        <f>+IF(Tabla2[[#This Row],[dias de credito]]&gt;=Tabla2[[#This Row],[PLAZO Días]],"venc", "No venc")</f>
        <v>venc</v>
      </c>
      <c r="V969" t="str">
        <f>+IF(Tabla2[[#This Row],[FECHA DE PAGO]]&gt;0,"pagada","por pagar")</f>
        <v>pagada</v>
      </c>
      <c r="W969" s="141" t="str">
        <f>+IF(AND(Tabla2[[#This Row],[venc]]="venc",Tabla2[[#This Row],[Columna1]]="por pagar"),"vencida","no")</f>
        <v>no</v>
      </c>
    </row>
    <row r="970" spans="1:23" ht="15.6" hidden="1" x14ac:dyDescent="0.3">
      <c r="A970" s="20">
        <v>30</v>
      </c>
      <c r="B970" s="25">
        <v>0</v>
      </c>
      <c r="C970" s="25"/>
      <c r="D970" s="56" t="s">
        <v>368</v>
      </c>
      <c r="E970" s="426">
        <v>45014</v>
      </c>
      <c r="F970" s="26" t="s">
        <v>623</v>
      </c>
      <c r="G970" s="426">
        <v>44986</v>
      </c>
      <c r="H970" s="35" t="s">
        <v>1535</v>
      </c>
      <c r="I970" s="21">
        <v>3294426</v>
      </c>
      <c r="J970" s="21"/>
      <c r="K970" s="22">
        <v>625940.94000000006</v>
      </c>
      <c r="L970" s="23"/>
      <c r="M970" s="22">
        <v>0</v>
      </c>
      <c r="N970" s="74">
        <v>0</v>
      </c>
      <c r="O970" s="22">
        <v>0</v>
      </c>
      <c r="P970" s="21">
        <v>3920366.94</v>
      </c>
      <c r="S970" s="108" t="b">
        <f>OR(COUNTIF(Tabla2[[#This Row],[PROVEEDOR]],"*"&amp;'Palabra no opera'!$A$2&amp;"*"))</f>
        <v>1</v>
      </c>
      <c r="T970" s="139">
        <f>+$W$5-Tabla2[[#This Row],[FECHA DE FACTURACIÓN]]</f>
        <v>305</v>
      </c>
      <c r="U970" t="str">
        <f>+IF(Tabla2[[#This Row],[dias de credito]]&gt;=Tabla2[[#This Row],[PLAZO Días]],"venc", "No venc")</f>
        <v>venc</v>
      </c>
      <c r="V970" t="str">
        <f>+IF(Tabla2[[#This Row],[FECHA DE PAGO]]&gt;0,"pagada","por pagar")</f>
        <v>pagada</v>
      </c>
      <c r="W970" s="141" t="str">
        <f>+IF(AND(Tabla2[[#This Row],[venc]]="venc",Tabla2[[#This Row],[Columna1]]="por pagar"),"vencida","no")</f>
        <v>no</v>
      </c>
    </row>
    <row r="971" spans="1:23" ht="15.6" hidden="1" x14ac:dyDescent="0.3">
      <c r="A971" s="20">
        <v>30</v>
      </c>
      <c r="B971" s="25">
        <v>0</v>
      </c>
      <c r="C971" s="25"/>
      <c r="D971" s="56" t="s">
        <v>740</v>
      </c>
      <c r="E971" s="426">
        <v>45014</v>
      </c>
      <c r="F971" s="26" t="s">
        <v>637</v>
      </c>
      <c r="G971" s="426">
        <v>44986</v>
      </c>
      <c r="H971" s="35" t="s">
        <v>1524</v>
      </c>
      <c r="I971" s="21">
        <v>59583</v>
      </c>
      <c r="J971" s="21"/>
      <c r="K971" s="22">
        <v>0</v>
      </c>
      <c r="L971" s="23"/>
      <c r="M971" s="22">
        <v>0</v>
      </c>
      <c r="N971" s="74">
        <v>0</v>
      </c>
      <c r="O971" s="22">
        <v>0</v>
      </c>
      <c r="P971" s="21">
        <v>59583</v>
      </c>
      <c r="S971" s="108" t="b">
        <f>OR(COUNTIF(Tabla2[[#This Row],[PROVEEDOR]],"*"&amp;'Palabra no opera'!$A$2&amp;"*"))</f>
        <v>1</v>
      </c>
      <c r="T971" s="139">
        <f>+$W$5-Tabla2[[#This Row],[FECHA DE FACTURACIÓN]]</f>
        <v>305</v>
      </c>
      <c r="U971" t="str">
        <f>+IF(Tabla2[[#This Row],[dias de credito]]&gt;=Tabla2[[#This Row],[PLAZO Días]],"venc", "No venc")</f>
        <v>venc</v>
      </c>
      <c r="V971" t="str">
        <f>+IF(Tabla2[[#This Row],[FECHA DE PAGO]]&gt;0,"pagada","por pagar")</f>
        <v>pagada</v>
      </c>
      <c r="W971" s="141" t="str">
        <f>+IF(AND(Tabla2[[#This Row],[venc]]="venc",Tabla2[[#This Row],[Columna1]]="por pagar"),"vencida","no")</f>
        <v>no</v>
      </c>
    </row>
    <row r="972" spans="1:23" ht="15.6" hidden="1" x14ac:dyDescent="0.3">
      <c r="A972" s="20">
        <v>30</v>
      </c>
      <c r="B972" s="25">
        <v>0</v>
      </c>
      <c r="C972" s="25"/>
      <c r="D972" s="56" t="s">
        <v>740</v>
      </c>
      <c r="E972" s="426">
        <v>45014</v>
      </c>
      <c r="F972" s="26" t="s">
        <v>637</v>
      </c>
      <c r="G972" s="426">
        <v>44986</v>
      </c>
      <c r="H972" s="35" t="s">
        <v>1525</v>
      </c>
      <c r="I972" s="21">
        <v>928304</v>
      </c>
      <c r="J972" s="21"/>
      <c r="K972" s="22">
        <v>0</v>
      </c>
      <c r="L972" s="23"/>
      <c r="M972" s="22">
        <v>0</v>
      </c>
      <c r="N972" s="74">
        <v>0</v>
      </c>
      <c r="O972" s="22">
        <v>0</v>
      </c>
      <c r="P972" s="21">
        <v>928304</v>
      </c>
      <c r="S972" s="108" t="b">
        <f>OR(COUNTIF(Tabla2[[#This Row],[PROVEEDOR]],"*"&amp;'Palabra no opera'!$A$2&amp;"*"))</f>
        <v>1</v>
      </c>
      <c r="T972" s="139">
        <f>+$W$5-Tabla2[[#This Row],[FECHA DE FACTURACIÓN]]</f>
        <v>305</v>
      </c>
      <c r="U972" t="str">
        <f>+IF(Tabla2[[#This Row],[dias de credito]]&gt;=Tabla2[[#This Row],[PLAZO Días]],"venc", "No venc")</f>
        <v>venc</v>
      </c>
      <c r="V972" t="str">
        <f>+IF(Tabla2[[#This Row],[FECHA DE PAGO]]&gt;0,"pagada","por pagar")</f>
        <v>pagada</v>
      </c>
      <c r="W972" s="141" t="str">
        <f>+IF(AND(Tabla2[[#This Row],[venc]]="venc",Tabla2[[#This Row],[Columna1]]="por pagar"),"vencida","no")</f>
        <v>no</v>
      </c>
    </row>
    <row r="973" spans="1:23" ht="15.6" hidden="1" x14ac:dyDescent="0.3">
      <c r="A973" s="20">
        <v>30</v>
      </c>
      <c r="B973" s="25">
        <v>0</v>
      </c>
      <c r="C973" s="25"/>
      <c r="D973" s="56" t="s">
        <v>740</v>
      </c>
      <c r="E973" s="426">
        <v>45014</v>
      </c>
      <c r="F973" s="26" t="s">
        <v>637</v>
      </c>
      <c r="G973" s="426">
        <v>44986</v>
      </c>
      <c r="H973" s="35" t="s">
        <v>1526</v>
      </c>
      <c r="I973" s="21">
        <v>68166</v>
      </c>
      <c r="J973" s="21"/>
      <c r="K973" s="22">
        <v>0</v>
      </c>
      <c r="L973" s="23"/>
      <c r="M973" s="22">
        <v>0</v>
      </c>
      <c r="N973" s="74">
        <v>0</v>
      </c>
      <c r="O973" s="22">
        <v>0</v>
      </c>
      <c r="P973" s="21">
        <v>68166</v>
      </c>
      <c r="S973" s="108" t="b">
        <f>OR(COUNTIF(Tabla2[[#This Row],[PROVEEDOR]],"*"&amp;'Palabra no opera'!$A$2&amp;"*"))</f>
        <v>1</v>
      </c>
      <c r="T973" s="139">
        <f>+$W$5-Tabla2[[#This Row],[FECHA DE FACTURACIÓN]]</f>
        <v>305</v>
      </c>
      <c r="U973" t="str">
        <f>+IF(Tabla2[[#This Row],[dias de credito]]&gt;=Tabla2[[#This Row],[PLAZO Días]],"venc", "No venc")</f>
        <v>venc</v>
      </c>
      <c r="V973" t="str">
        <f>+IF(Tabla2[[#This Row],[FECHA DE PAGO]]&gt;0,"pagada","por pagar")</f>
        <v>pagada</v>
      </c>
      <c r="W973" s="141" t="str">
        <f>+IF(AND(Tabla2[[#This Row],[venc]]="venc",Tabla2[[#This Row],[Columna1]]="por pagar"),"vencida","no")</f>
        <v>no</v>
      </c>
    </row>
    <row r="974" spans="1:23" ht="15.6" hidden="1" x14ac:dyDescent="0.3">
      <c r="A974" s="20">
        <v>30</v>
      </c>
      <c r="B974" s="25">
        <v>0</v>
      </c>
      <c r="C974" s="25"/>
      <c r="D974" s="56" t="s">
        <v>740</v>
      </c>
      <c r="E974" s="426">
        <v>45014</v>
      </c>
      <c r="F974" s="26" t="s">
        <v>637</v>
      </c>
      <c r="G974" s="426">
        <v>44986</v>
      </c>
      <c r="H974" s="35" t="s">
        <v>1527</v>
      </c>
      <c r="I974" s="21">
        <v>949891</v>
      </c>
      <c r="J974" s="21"/>
      <c r="K974" s="22">
        <v>0</v>
      </c>
      <c r="L974" s="23"/>
      <c r="M974" s="22">
        <v>0</v>
      </c>
      <c r="N974" s="74">
        <v>0</v>
      </c>
      <c r="O974" s="22">
        <v>0</v>
      </c>
      <c r="P974" s="21">
        <v>949891</v>
      </c>
      <c r="S974" s="108" t="b">
        <f>OR(COUNTIF(Tabla2[[#This Row],[PROVEEDOR]],"*"&amp;'Palabra no opera'!$A$2&amp;"*"))</f>
        <v>1</v>
      </c>
      <c r="T974" s="139">
        <f>+$W$5-Tabla2[[#This Row],[FECHA DE FACTURACIÓN]]</f>
        <v>305</v>
      </c>
      <c r="U974" t="str">
        <f>+IF(Tabla2[[#This Row],[dias de credito]]&gt;=Tabla2[[#This Row],[PLAZO Días]],"venc", "No venc")</f>
        <v>venc</v>
      </c>
      <c r="V974" t="str">
        <f>+IF(Tabla2[[#This Row],[FECHA DE PAGO]]&gt;0,"pagada","por pagar")</f>
        <v>pagada</v>
      </c>
      <c r="W974" s="141" t="str">
        <f>+IF(AND(Tabla2[[#This Row],[venc]]="venc",Tabla2[[#This Row],[Columna1]]="por pagar"),"vencida","no")</f>
        <v>no</v>
      </c>
    </row>
    <row r="975" spans="1:23" ht="15.6" hidden="1" x14ac:dyDescent="0.3">
      <c r="A975" s="20">
        <v>30</v>
      </c>
      <c r="B975" s="25">
        <v>0</v>
      </c>
      <c r="C975" s="25"/>
      <c r="D975" s="56" t="s">
        <v>1116</v>
      </c>
      <c r="E975" s="426">
        <v>45014</v>
      </c>
      <c r="F975" s="26" t="s">
        <v>638</v>
      </c>
      <c r="G975" s="426">
        <v>44986</v>
      </c>
      <c r="H975" s="35" t="s">
        <v>1537</v>
      </c>
      <c r="I975" s="21">
        <v>3945038</v>
      </c>
      <c r="J975" s="21"/>
      <c r="K975" s="22">
        <v>665000</v>
      </c>
      <c r="L975" s="23"/>
      <c r="M975" s="22">
        <v>0</v>
      </c>
      <c r="N975" s="74">
        <v>0</v>
      </c>
      <c r="O975" s="22">
        <v>0</v>
      </c>
      <c r="P975" s="21">
        <v>4610038</v>
      </c>
      <c r="S975" s="108" t="b">
        <f>OR(COUNTIF(Tabla2[[#This Row],[PROVEEDOR]],"*"&amp;'Palabra no opera'!$A$2&amp;"*"))</f>
        <v>1</v>
      </c>
      <c r="T975" s="139">
        <f>+$W$5-Tabla2[[#This Row],[FECHA DE FACTURACIÓN]]</f>
        <v>305</v>
      </c>
      <c r="U975" t="str">
        <f>+IF(Tabla2[[#This Row],[dias de credito]]&gt;=Tabla2[[#This Row],[PLAZO Días]],"venc", "No venc")</f>
        <v>venc</v>
      </c>
      <c r="V975" t="str">
        <f>+IF(Tabla2[[#This Row],[FECHA DE PAGO]]&gt;0,"pagada","por pagar")</f>
        <v>pagada</v>
      </c>
      <c r="W975" s="141" t="str">
        <f>+IF(AND(Tabla2[[#This Row],[venc]]="venc",Tabla2[[#This Row],[Columna1]]="por pagar"),"vencida","no")</f>
        <v>no</v>
      </c>
    </row>
    <row r="976" spans="1:23" ht="15.6" hidden="1" x14ac:dyDescent="0.3">
      <c r="A976" s="20">
        <v>30</v>
      </c>
      <c r="B976" s="25">
        <v>0</v>
      </c>
      <c r="C976" s="25"/>
      <c r="D976" s="56" t="s">
        <v>1116</v>
      </c>
      <c r="E976" s="426">
        <v>45014</v>
      </c>
      <c r="F976" s="26" t="s">
        <v>638</v>
      </c>
      <c r="G976" s="426">
        <v>44986</v>
      </c>
      <c r="H976" s="35" t="s">
        <v>1538</v>
      </c>
      <c r="I976" s="21">
        <v>92201</v>
      </c>
      <c r="J976" s="21"/>
      <c r="K976" s="22">
        <v>17518.189999999999</v>
      </c>
      <c r="L976" s="23"/>
      <c r="M976" s="22">
        <v>0</v>
      </c>
      <c r="N976" s="74">
        <v>3.5000000000000003E-2</v>
      </c>
      <c r="O976" s="22">
        <v>3227.0350000000003</v>
      </c>
      <c r="P976" s="21">
        <v>106492.155</v>
      </c>
      <c r="S976" s="108" t="b">
        <f>OR(COUNTIF(Tabla2[[#This Row],[PROVEEDOR]],"*"&amp;'Palabra no opera'!$A$2&amp;"*"))</f>
        <v>1</v>
      </c>
      <c r="T976" s="139">
        <f>+$W$5-Tabla2[[#This Row],[FECHA DE FACTURACIÓN]]</f>
        <v>305</v>
      </c>
      <c r="U976" t="str">
        <f>+IF(Tabla2[[#This Row],[dias de credito]]&gt;=Tabla2[[#This Row],[PLAZO Días]],"venc", "No venc")</f>
        <v>venc</v>
      </c>
      <c r="V976" t="str">
        <f>+IF(Tabla2[[#This Row],[FECHA DE PAGO]]&gt;0,"pagada","por pagar")</f>
        <v>pagada</v>
      </c>
      <c r="W976" s="141" t="str">
        <f>+IF(AND(Tabla2[[#This Row],[venc]]="venc",Tabla2[[#This Row],[Columna1]]="por pagar"),"vencida","no")</f>
        <v>no</v>
      </c>
    </row>
    <row r="977" spans="1:23" ht="15.6" hidden="1" x14ac:dyDescent="0.3">
      <c r="A977" s="20">
        <v>30</v>
      </c>
      <c r="B977" s="25">
        <v>0</v>
      </c>
      <c r="C977" s="25"/>
      <c r="D977" s="56" t="s">
        <v>1116</v>
      </c>
      <c r="E977" s="426">
        <v>45014</v>
      </c>
      <c r="F977" s="26" t="s">
        <v>638</v>
      </c>
      <c r="G977" s="426">
        <v>44986</v>
      </c>
      <c r="H977" s="35" t="s">
        <v>1539</v>
      </c>
      <c r="I977" s="21">
        <v>-7783</v>
      </c>
      <c r="J977" s="21"/>
      <c r="K977" s="22">
        <v>-1478.77</v>
      </c>
      <c r="L977" s="23"/>
      <c r="M977" s="22">
        <v>0</v>
      </c>
      <c r="N977" s="74">
        <v>0</v>
      </c>
      <c r="O977" s="22">
        <v>0</v>
      </c>
      <c r="P977" s="21">
        <v>-9261.77</v>
      </c>
      <c r="S977" s="108" t="b">
        <f>OR(COUNTIF(Tabla2[[#This Row],[PROVEEDOR]],"*"&amp;'Palabra no opera'!$A$2&amp;"*"))</f>
        <v>1</v>
      </c>
      <c r="T977" s="139">
        <f>+$W$5-Tabla2[[#This Row],[FECHA DE FACTURACIÓN]]</f>
        <v>305</v>
      </c>
      <c r="U977" t="str">
        <f>+IF(Tabla2[[#This Row],[dias de credito]]&gt;=Tabla2[[#This Row],[PLAZO Días]],"venc", "No venc")</f>
        <v>venc</v>
      </c>
      <c r="V977" t="str">
        <f>+IF(Tabla2[[#This Row],[FECHA DE PAGO]]&gt;0,"pagada","por pagar")</f>
        <v>pagada</v>
      </c>
      <c r="W977" s="141" t="str">
        <f>+IF(AND(Tabla2[[#This Row],[venc]]="venc",Tabla2[[#This Row],[Columna1]]="por pagar"),"vencida","no")</f>
        <v>no</v>
      </c>
    </row>
    <row r="978" spans="1:23" ht="15.6" hidden="1" x14ac:dyDescent="0.3">
      <c r="A978" s="20">
        <v>10</v>
      </c>
      <c r="B978" s="25">
        <v>0</v>
      </c>
      <c r="C978" s="25"/>
      <c r="D978" s="56" t="s">
        <v>1203</v>
      </c>
      <c r="E978" s="426">
        <v>45014</v>
      </c>
      <c r="F978" s="26" t="s">
        <v>1202</v>
      </c>
      <c r="G978" s="426">
        <v>44986</v>
      </c>
      <c r="H978" s="35" t="s">
        <v>1536</v>
      </c>
      <c r="I978" s="21">
        <v>4730000</v>
      </c>
      <c r="J978" s="21"/>
      <c r="K978" s="22">
        <v>898700</v>
      </c>
      <c r="L978" s="23"/>
      <c r="M978" s="22">
        <v>0</v>
      </c>
      <c r="N978" s="74">
        <v>0</v>
      </c>
      <c r="O978" s="22">
        <v>0</v>
      </c>
      <c r="P978" s="21">
        <v>5628700</v>
      </c>
      <c r="S978" s="108" t="b">
        <f>OR(COUNTIF(Tabla2[[#This Row],[PROVEEDOR]],"*"&amp;'Palabra no opera'!$A$2&amp;"*"))</f>
        <v>1</v>
      </c>
      <c r="T978" s="139">
        <f>+$W$5-Tabla2[[#This Row],[FECHA DE FACTURACIÓN]]</f>
        <v>305</v>
      </c>
      <c r="U978" t="str">
        <f>+IF(Tabla2[[#This Row],[dias de credito]]&gt;=Tabla2[[#This Row],[PLAZO Días]],"venc", "No venc")</f>
        <v>venc</v>
      </c>
      <c r="V978" t="str">
        <f>+IF(Tabla2[[#This Row],[FECHA DE PAGO]]&gt;0,"pagada","por pagar")</f>
        <v>pagada</v>
      </c>
      <c r="W978" s="141" t="str">
        <f>+IF(AND(Tabla2[[#This Row],[venc]]="venc",Tabla2[[#This Row],[Columna1]]="por pagar"),"vencida","no")</f>
        <v>no</v>
      </c>
    </row>
    <row r="979" spans="1:23" ht="15.6" hidden="1" x14ac:dyDescent="0.3">
      <c r="A979" s="20">
        <v>30</v>
      </c>
      <c r="B979" s="25">
        <v>0</v>
      </c>
      <c r="C979" s="25"/>
      <c r="D979" s="56" t="s">
        <v>199</v>
      </c>
      <c r="E979" s="426">
        <v>45012</v>
      </c>
      <c r="F979" s="26" t="s">
        <v>1069</v>
      </c>
      <c r="G979" s="426">
        <v>45008</v>
      </c>
      <c r="H979" s="35" t="s">
        <v>1533</v>
      </c>
      <c r="I979" s="21">
        <v>16180800</v>
      </c>
      <c r="J979" s="21"/>
      <c r="K979" s="22">
        <v>3074352</v>
      </c>
      <c r="L979" s="23"/>
      <c r="M979" s="22">
        <v>0</v>
      </c>
      <c r="N979" s="74">
        <v>2.5000000000000001E-2</v>
      </c>
      <c r="O979" s="22">
        <v>404520</v>
      </c>
      <c r="P979" s="21">
        <v>18850632</v>
      </c>
      <c r="S979" s="108" t="b">
        <f>OR(COUNTIF(Tabla2[[#This Row],[PROVEEDOR]],"*"&amp;'Palabra no opera'!$A$2&amp;"*"))</f>
        <v>0</v>
      </c>
      <c r="T979" s="139">
        <f>+$W$5-Tabla2[[#This Row],[FECHA DE FACTURACIÓN]]</f>
        <v>283</v>
      </c>
      <c r="U979" t="str">
        <f>+IF(Tabla2[[#This Row],[dias de credito]]&gt;=Tabla2[[#This Row],[PLAZO Días]],"venc", "No venc")</f>
        <v>venc</v>
      </c>
      <c r="V979" t="str">
        <f>+IF(Tabla2[[#This Row],[FECHA DE PAGO]]&gt;0,"pagada","por pagar")</f>
        <v>pagada</v>
      </c>
      <c r="W979" s="141" t="str">
        <f>+IF(AND(Tabla2[[#This Row],[venc]]="venc",Tabla2[[#This Row],[Columna1]]="por pagar"),"vencida","no")</f>
        <v>no</v>
      </c>
    </row>
    <row r="980" spans="1:23" ht="15.6" hidden="1" x14ac:dyDescent="0.3">
      <c r="A980" s="20">
        <v>30</v>
      </c>
      <c r="B980" s="25">
        <v>0</v>
      </c>
      <c r="C980" s="25"/>
      <c r="D980" s="56" t="s">
        <v>176</v>
      </c>
      <c r="E980" s="426">
        <v>45012</v>
      </c>
      <c r="F980" s="26" t="s">
        <v>966</v>
      </c>
      <c r="G980" s="426">
        <v>44993</v>
      </c>
      <c r="H980" s="35">
        <v>403</v>
      </c>
      <c r="I980" s="21">
        <v>300000</v>
      </c>
      <c r="J980" s="21"/>
      <c r="K980" s="22">
        <v>0</v>
      </c>
      <c r="L980" s="23"/>
      <c r="M980" s="22">
        <v>0</v>
      </c>
      <c r="N980" s="74">
        <v>0</v>
      </c>
      <c r="O980" s="22">
        <v>0</v>
      </c>
      <c r="P980" s="21">
        <v>300000</v>
      </c>
      <c r="S980" s="108" t="b">
        <f>OR(COUNTIF(Tabla2[[#This Row],[PROVEEDOR]],"*"&amp;'Palabra no opera'!$A$2&amp;"*"))</f>
        <v>0</v>
      </c>
      <c r="T980" s="139">
        <f>+$W$5-Tabla2[[#This Row],[FECHA DE FACTURACIÓN]]</f>
        <v>298</v>
      </c>
      <c r="U980" t="str">
        <f>+IF(Tabla2[[#This Row],[dias de credito]]&gt;=Tabla2[[#This Row],[PLAZO Días]],"venc", "No venc")</f>
        <v>venc</v>
      </c>
      <c r="V980" t="str">
        <f>+IF(Tabla2[[#This Row],[FECHA DE PAGO]]&gt;0,"pagada","por pagar")</f>
        <v>pagada</v>
      </c>
      <c r="W980" s="141" t="str">
        <f>+IF(AND(Tabla2[[#This Row],[venc]]="venc",Tabla2[[#This Row],[Columna1]]="por pagar"),"vencida","no")</f>
        <v>no</v>
      </c>
    </row>
    <row r="981" spans="1:23" ht="15.6" hidden="1" x14ac:dyDescent="0.3">
      <c r="A981" s="20">
        <v>30</v>
      </c>
      <c r="B981" s="25">
        <v>0</v>
      </c>
      <c r="C981" s="25"/>
      <c r="D981" s="56" t="s">
        <v>176</v>
      </c>
      <c r="E981" s="426">
        <v>45012</v>
      </c>
      <c r="F981" s="26" t="s">
        <v>967</v>
      </c>
      <c r="G981" s="426">
        <v>44993</v>
      </c>
      <c r="H981" s="35" t="s">
        <v>1532</v>
      </c>
      <c r="I981" s="21">
        <v>290000</v>
      </c>
      <c r="J981" s="21"/>
      <c r="K981" s="22">
        <v>0</v>
      </c>
      <c r="L981" s="23"/>
      <c r="M981" s="22">
        <v>0</v>
      </c>
      <c r="N981" s="74">
        <v>0.01</v>
      </c>
      <c r="O981" s="22">
        <v>2900</v>
      </c>
      <c r="P981" s="21">
        <v>287100</v>
      </c>
      <c r="S981" s="108" t="b">
        <f>OR(COUNTIF(Tabla2[[#This Row],[PROVEEDOR]],"*"&amp;'Palabra no opera'!$A$2&amp;"*"))</f>
        <v>0</v>
      </c>
      <c r="T981" s="139">
        <f>+$W$5-Tabla2[[#This Row],[FECHA DE FACTURACIÓN]]</f>
        <v>298</v>
      </c>
      <c r="U981" t="str">
        <f>+IF(Tabla2[[#This Row],[dias de credito]]&gt;=Tabla2[[#This Row],[PLAZO Días]],"venc", "No venc")</f>
        <v>venc</v>
      </c>
      <c r="V981" t="str">
        <f>+IF(Tabla2[[#This Row],[FECHA DE PAGO]]&gt;0,"pagada","por pagar")</f>
        <v>pagada</v>
      </c>
      <c r="W981" s="141" t="str">
        <f>+IF(AND(Tabla2[[#This Row],[venc]]="venc",Tabla2[[#This Row],[Columna1]]="por pagar"),"vencida","no")</f>
        <v>no</v>
      </c>
    </row>
    <row r="982" spans="1:23" ht="15.6" hidden="1" x14ac:dyDescent="0.3">
      <c r="A982" s="20">
        <v>30</v>
      </c>
      <c r="B982" s="25">
        <v>0</v>
      </c>
      <c r="C982" s="25"/>
      <c r="D982" s="56" t="s">
        <v>368</v>
      </c>
      <c r="E982" s="426">
        <v>45012</v>
      </c>
      <c r="F982" s="26" t="s">
        <v>623</v>
      </c>
      <c r="G982" s="426">
        <v>44986</v>
      </c>
      <c r="H982" s="35" t="s">
        <v>1528</v>
      </c>
      <c r="I982" s="21">
        <v>7165</v>
      </c>
      <c r="J982" s="21"/>
      <c r="K982" s="22">
        <v>1361.35</v>
      </c>
      <c r="L982" s="23"/>
      <c r="M982" s="22">
        <v>0</v>
      </c>
      <c r="N982" s="74">
        <v>0</v>
      </c>
      <c r="O982" s="22">
        <v>0</v>
      </c>
      <c r="P982" s="21">
        <v>8526.35</v>
      </c>
      <c r="S982" s="108" t="b">
        <f>OR(COUNTIF(Tabla2[[#This Row],[PROVEEDOR]],"*"&amp;'Palabra no opera'!$A$2&amp;"*"))</f>
        <v>1</v>
      </c>
      <c r="T982" s="139">
        <f>+$W$5-Tabla2[[#This Row],[FECHA DE FACTURACIÓN]]</f>
        <v>305</v>
      </c>
      <c r="U982" t="str">
        <f>+IF(Tabla2[[#This Row],[dias de credito]]&gt;=Tabla2[[#This Row],[PLAZO Días]],"venc", "No venc")</f>
        <v>venc</v>
      </c>
      <c r="V982" t="str">
        <f>+IF(Tabla2[[#This Row],[FECHA DE PAGO]]&gt;0,"pagada","por pagar")</f>
        <v>pagada</v>
      </c>
      <c r="W982" s="141" t="str">
        <f>+IF(AND(Tabla2[[#This Row],[venc]]="venc",Tabla2[[#This Row],[Columna1]]="por pagar"),"vencida","no")</f>
        <v>no</v>
      </c>
    </row>
    <row r="983" spans="1:23" ht="15.6" hidden="1" x14ac:dyDescent="0.3">
      <c r="A983" s="20">
        <v>30</v>
      </c>
      <c r="B983" s="25">
        <v>0</v>
      </c>
      <c r="C983" s="25"/>
      <c r="D983" s="56" t="s">
        <v>368</v>
      </c>
      <c r="E983" s="426">
        <v>45012</v>
      </c>
      <c r="F983" s="26" t="s">
        <v>623</v>
      </c>
      <c r="G983" s="426">
        <v>44986</v>
      </c>
      <c r="H983" s="35" t="s">
        <v>1529</v>
      </c>
      <c r="I983" s="21">
        <v>10150</v>
      </c>
      <c r="J983" s="21"/>
      <c r="K983" s="22">
        <v>1928.5</v>
      </c>
      <c r="L983" s="23"/>
      <c r="M983" s="22">
        <v>0</v>
      </c>
      <c r="N983" s="74">
        <v>0</v>
      </c>
      <c r="O983" s="22">
        <v>0</v>
      </c>
      <c r="P983" s="21">
        <v>12078.5</v>
      </c>
      <c r="S983" s="108" t="b">
        <f>OR(COUNTIF(Tabla2[[#This Row],[PROVEEDOR]],"*"&amp;'Palabra no opera'!$A$2&amp;"*"))</f>
        <v>1</v>
      </c>
      <c r="T983" s="139">
        <f>+$W$5-Tabla2[[#This Row],[FECHA DE FACTURACIÓN]]</f>
        <v>305</v>
      </c>
      <c r="U983" t="str">
        <f>+IF(Tabla2[[#This Row],[dias de credito]]&gt;=Tabla2[[#This Row],[PLAZO Días]],"venc", "No venc")</f>
        <v>venc</v>
      </c>
      <c r="V983" t="str">
        <f>+IF(Tabla2[[#This Row],[FECHA DE PAGO]]&gt;0,"pagada","por pagar")</f>
        <v>pagada</v>
      </c>
      <c r="W983" s="141" t="str">
        <f>+IF(AND(Tabla2[[#This Row],[venc]]="venc",Tabla2[[#This Row],[Columna1]]="por pagar"),"vencida","no")</f>
        <v>no</v>
      </c>
    </row>
    <row r="984" spans="1:23" ht="15.6" hidden="1" x14ac:dyDescent="0.3">
      <c r="A984" s="20">
        <v>30</v>
      </c>
      <c r="B984" s="25">
        <v>0</v>
      </c>
      <c r="C984" s="25"/>
      <c r="D984" s="56" t="s">
        <v>368</v>
      </c>
      <c r="E984" s="426">
        <v>45012</v>
      </c>
      <c r="F984" s="26" t="s">
        <v>623</v>
      </c>
      <c r="G984" s="426">
        <v>44986</v>
      </c>
      <c r="H984" s="35" t="s">
        <v>1530</v>
      </c>
      <c r="I984" s="21">
        <v>39533</v>
      </c>
      <c r="J984" s="21"/>
      <c r="K984" s="22">
        <v>7511.27</v>
      </c>
      <c r="L984" s="23"/>
      <c r="M984" s="22">
        <v>0</v>
      </c>
      <c r="N984" s="74">
        <v>0</v>
      </c>
      <c r="O984" s="22">
        <v>0</v>
      </c>
      <c r="P984" s="21">
        <v>47044.270000000004</v>
      </c>
      <c r="S984" s="108" t="b">
        <f>OR(COUNTIF(Tabla2[[#This Row],[PROVEEDOR]],"*"&amp;'Palabra no opera'!$A$2&amp;"*"))</f>
        <v>1</v>
      </c>
      <c r="T984" s="139">
        <f>+$W$5-Tabla2[[#This Row],[FECHA DE FACTURACIÓN]]</f>
        <v>305</v>
      </c>
      <c r="U984" t="str">
        <f>+IF(Tabla2[[#This Row],[dias de credito]]&gt;=Tabla2[[#This Row],[PLAZO Días]],"venc", "No venc")</f>
        <v>venc</v>
      </c>
      <c r="V984" t="str">
        <f>+IF(Tabla2[[#This Row],[FECHA DE PAGO]]&gt;0,"pagada","por pagar")</f>
        <v>pagada</v>
      </c>
      <c r="W984" s="141" t="str">
        <f>+IF(AND(Tabla2[[#This Row],[venc]]="venc",Tabla2[[#This Row],[Columna1]]="por pagar"),"vencida","no")</f>
        <v>no</v>
      </c>
    </row>
    <row r="985" spans="1:23" ht="15.6" hidden="1" x14ac:dyDescent="0.3">
      <c r="A985" s="20">
        <v>30</v>
      </c>
      <c r="B985" s="25">
        <v>0</v>
      </c>
      <c r="C985" s="25"/>
      <c r="D985" s="56" t="s">
        <v>368</v>
      </c>
      <c r="E985" s="426">
        <v>45012</v>
      </c>
      <c r="F985" s="26" t="s">
        <v>623</v>
      </c>
      <c r="G985" s="426">
        <v>44986</v>
      </c>
      <c r="H985" s="35" t="s">
        <v>1531</v>
      </c>
      <c r="I985" s="21">
        <v>933193</v>
      </c>
      <c r="J985" s="21"/>
      <c r="K985" s="22">
        <v>177306.67</v>
      </c>
      <c r="L985" s="23"/>
      <c r="M985" s="22">
        <v>0</v>
      </c>
      <c r="N985" s="74">
        <v>0.04</v>
      </c>
      <c r="O985" s="22">
        <v>37327.72</v>
      </c>
      <c r="P985" s="21">
        <v>1073171.95</v>
      </c>
      <c r="S985" s="108" t="b">
        <f>OR(COUNTIF(Tabla2[[#This Row],[PROVEEDOR]],"*"&amp;'Palabra no opera'!$A$2&amp;"*"))</f>
        <v>1</v>
      </c>
      <c r="T985" s="139">
        <f>+$W$5-Tabla2[[#This Row],[FECHA DE FACTURACIÓN]]</f>
        <v>305</v>
      </c>
      <c r="U985" t="str">
        <f>+IF(Tabla2[[#This Row],[dias de credito]]&gt;=Tabla2[[#This Row],[PLAZO Días]],"venc", "No venc")</f>
        <v>venc</v>
      </c>
      <c r="V985" t="str">
        <f>+IF(Tabla2[[#This Row],[FECHA DE PAGO]]&gt;0,"pagada","por pagar")</f>
        <v>pagada</v>
      </c>
      <c r="W985" s="141" t="str">
        <f>+IF(AND(Tabla2[[#This Row],[venc]]="venc",Tabla2[[#This Row],[Columna1]]="por pagar"),"vencida","no")</f>
        <v>no</v>
      </c>
    </row>
    <row r="986" spans="1:23" ht="15.6" hidden="1" x14ac:dyDescent="0.3">
      <c r="A986" s="20">
        <v>30</v>
      </c>
      <c r="B986" s="25">
        <v>352505.48</v>
      </c>
      <c r="C986" s="25"/>
      <c r="D986" s="56" t="s">
        <v>393</v>
      </c>
      <c r="E986" s="426">
        <v>45012</v>
      </c>
      <c r="F986" s="26" t="s">
        <v>631</v>
      </c>
      <c r="G986" s="426">
        <v>44986</v>
      </c>
      <c r="H986" s="35" t="s">
        <v>1589</v>
      </c>
      <c r="I986" s="21">
        <v>329981</v>
      </c>
      <c r="J986" s="21"/>
      <c r="K986" s="22">
        <v>0</v>
      </c>
      <c r="L986" s="23"/>
      <c r="M986" s="22">
        <v>0</v>
      </c>
      <c r="N986" s="74">
        <v>0</v>
      </c>
      <c r="O986" s="22">
        <v>0</v>
      </c>
      <c r="P986" s="21">
        <v>329981</v>
      </c>
      <c r="S986" s="108" t="b">
        <f>OR(COUNTIF(Tabla2[[#This Row],[PROVEEDOR]],"*"&amp;'Palabra no opera'!$A$2&amp;"*"))</f>
        <v>1</v>
      </c>
      <c r="T986" s="139">
        <f>+$W$5-Tabla2[[#This Row],[FECHA DE FACTURACIÓN]]</f>
        <v>305</v>
      </c>
      <c r="U986" t="str">
        <f>+IF(Tabla2[[#This Row],[dias de credito]]&gt;=Tabla2[[#This Row],[PLAZO Días]],"venc", "No venc")</f>
        <v>venc</v>
      </c>
      <c r="V986" t="str">
        <f>+IF(Tabla2[[#This Row],[FECHA DE PAGO]]&gt;0,"pagada","por pagar")</f>
        <v>pagada</v>
      </c>
      <c r="W986" s="141" t="str">
        <f>+IF(AND(Tabla2[[#This Row],[venc]]="venc",Tabla2[[#This Row],[Columna1]]="por pagar"),"vencida","no")</f>
        <v>no</v>
      </c>
    </row>
    <row r="987" spans="1:23" ht="15.6" hidden="1" x14ac:dyDescent="0.3">
      <c r="A987" s="20">
        <v>30</v>
      </c>
      <c r="B987" s="25">
        <v>0</v>
      </c>
      <c r="C987" s="25"/>
      <c r="D987" s="56" t="s">
        <v>193</v>
      </c>
      <c r="E987" s="426">
        <v>45012</v>
      </c>
      <c r="F987" s="26" t="s">
        <v>651</v>
      </c>
      <c r="G987" s="426">
        <v>44986</v>
      </c>
      <c r="H987" s="35" t="s">
        <v>1523</v>
      </c>
      <c r="I987" s="21">
        <v>243611</v>
      </c>
      <c r="J987" s="21"/>
      <c r="K987" s="22">
        <v>46286.090000000004</v>
      </c>
      <c r="L987" s="23"/>
      <c r="M987" s="22">
        <v>0</v>
      </c>
      <c r="N987" s="74">
        <v>3.5000000000000003E-2</v>
      </c>
      <c r="O987" s="22">
        <v>8526.3850000000002</v>
      </c>
      <c r="P987" s="21">
        <v>281370.70500000002</v>
      </c>
      <c r="S987" s="108" t="b">
        <f>OR(COUNTIF(Tabla2[[#This Row],[PROVEEDOR]],"*"&amp;'Palabra no opera'!$A$2&amp;"*"))</f>
        <v>1</v>
      </c>
      <c r="T987" s="139">
        <f>+$W$5-Tabla2[[#This Row],[FECHA DE FACTURACIÓN]]</f>
        <v>305</v>
      </c>
      <c r="U987" t="str">
        <f>+IF(Tabla2[[#This Row],[dias de credito]]&gt;=Tabla2[[#This Row],[PLAZO Días]],"venc", "No venc")</f>
        <v>venc</v>
      </c>
      <c r="V987" t="str">
        <f>+IF(Tabla2[[#This Row],[FECHA DE PAGO]]&gt;0,"pagada","por pagar")</f>
        <v>pagada</v>
      </c>
      <c r="W987" s="141" t="str">
        <f>+IF(AND(Tabla2[[#This Row],[venc]]="venc",Tabla2[[#This Row],[Columna1]]="por pagar"),"vencida","no")</f>
        <v>no</v>
      </c>
    </row>
    <row r="988" spans="1:23" ht="15.6" hidden="1" x14ac:dyDescent="0.3">
      <c r="A988" s="20">
        <v>30</v>
      </c>
      <c r="B988" s="25">
        <v>2100000</v>
      </c>
      <c r="C988" s="25"/>
      <c r="D988" s="56" t="s">
        <v>107</v>
      </c>
      <c r="E988" s="426">
        <v>45012</v>
      </c>
      <c r="F988" s="26" t="s">
        <v>349</v>
      </c>
      <c r="G988" s="426">
        <v>44965</v>
      </c>
      <c r="H988" s="35" t="s">
        <v>1474</v>
      </c>
      <c r="I988" s="21">
        <v>2260000</v>
      </c>
      <c r="J988" s="21"/>
      <c r="K988" s="22">
        <v>0</v>
      </c>
      <c r="L988" s="23"/>
      <c r="M988" s="22">
        <v>0</v>
      </c>
      <c r="N988" s="74">
        <v>0</v>
      </c>
      <c r="O988" s="22">
        <v>0</v>
      </c>
      <c r="P988" s="21">
        <v>2260000</v>
      </c>
      <c r="S988" s="108" t="b">
        <f>OR(COUNTIF(Tabla2[[#This Row],[PROVEEDOR]],"*"&amp;'Palabra no opera'!$A$2&amp;"*"))</f>
        <v>0</v>
      </c>
      <c r="T988" s="139">
        <f>+$W$5-Tabla2[[#This Row],[FECHA DE FACTURACIÓN]]</f>
        <v>326</v>
      </c>
      <c r="U988" t="str">
        <f>+IF(Tabla2[[#This Row],[dias de credito]]&gt;=Tabla2[[#This Row],[PLAZO Días]],"venc", "No venc")</f>
        <v>venc</v>
      </c>
      <c r="V988" t="str">
        <f>+IF(Tabla2[[#This Row],[FECHA DE PAGO]]&gt;0,"pagada","por pagar")</f>
        <v>pagada</v>
      </c>
      <c r="W988" s="141" t="str">
        <f>+IF(AND(Tabla2[[#This Row],[venc]]="venc",Tabla2[[#This Row],[Columna1]]="por pagar"),"vencida","no")</f>
        <v>no</v>
      </c>
    </row>
    <row r="989" spans="1:23" ht="15.6" hidden="1" x14ac:dyDescent="0.3">
      <c r="A989" s="20">
        <v>30</v>
      </c>
      <c r="B989" s="25">
        <v>0</v>
      </c>
      <c r="C989" s="25"/>
      <c r="D989" s="56" t="s">
        <v>107</v>
      </c>
      <c r="E989" s="426">
        <v>45010</v>
      </c>
      <c r="F989" s="26" t="s">
        <v>356</v>
      </c>
      <c r="G989" s="426">
        <v>45009</v>
      </c>
      <c r="H989" s="35" t="s">
        <v>1548</v>
      </c>
      <c r="I989" s="21">
        <v>650000</v>
      </c>
      <c r="J989" s="21"/>
      <c r="K989" s="22">
        <v>0</v>
      </c>
      <c r="L989" s="23"/>
      <c r="M989" s="22">
        <v>0</v>
      </c>
      <c r="N989" s="74">
        <v>0</v>
      </c>
      <c r="O989" s="22">
        <v>0</v>
      </c>
      <c r="P989" s="21">
        <v>650000</v>
      </c>
      <c r="S989" s="108" t="b">
        <f>OR(COUNTIF(Tabla2[[#This Row],[PROVEEDOR]],"*"&amp;'Palabra no opera'!$A$2&amp;"*"))</f>
        <v>0</v>
      </c>
      <c r="T989" s="139">
        <f>+$W$5-Tabla2[[#This Row],[FECHA DE FACTURACIÓN]]</f>
        <v>282</v>
      </c>
      <c r="U989" t="str">
        <f>+IF(Tabla2[[#This Row],[dias de credito]]&gt;=Tabla2[[#This Row],[PLAZO Días]],"venc", "No venc")</f>
        <v>venc</v>
      </c>
      <c r="V989" t="str">
        <f>+IF(Tabla2[[#This Row],[FECHA DE PAGO]]&gt;0,"pagada","por pagar")</f>
        <v>pagada</v>
      </c>
      <c r="W989" s="141" t="str">
        <f>+IF(AND(Tabla2[[#This Row],[venc]]="venc",Tabla2[[#This Row],[Columna1]]="por pagar"),"vencida","no")</f>
        <v>no</v>
      </c>
    </row>
    <row r="990" spans="1:23" ht="15.6" hidden="1" x14ac:dyDescent="0.3">
      <c r="A990" s="20">
        <v>30</v>
      </c>
      <c r="B990" s="25">
        <v>0</v>
      </c>
      <c r="C990" s="25"/>
      <c r="D990" s="56" t="s">
        <v>107</v>
      </c>
      <c r="E990" s="426">
        <v>45010</v>
      </c>
      <c r="F990" s="26" t="s">
        <v>378</v>
      </c>
      <c r="G990" s="426">
        <v>45009</v>
      </c>
      <c r="H990" s="35" t="s">
        <v>1551</v>
      </c>
      <c r="I990" s="21">
        <v>1440000</v>
      </c>
      <c r="J990" s="21"/>
      <c r="K990" s="22">
        <v>0</v>
      </c>
      <c r="L990" s="23"/>
      <c r="M990" s="22">
        <v>0</v>
      </c>
      <c r="N990" s="74">
        <v>0</v>
      </c>
      <c r="O990" s="22">
        <v>0</v>
      </c>
      <c r="P990" s="21">
        <v>1440000</v>
      </c>
      <c r="S990" s="108" t="b">
        <f>OR(COUNTIF(Tabla2[[#This Row],[PROVEEDOR]],"*"&amp;'Palabra no opera'!$A$2&amp;"*"))</f>
        <v>0</v>
      </c>
      <c r="T990" s="139">
        <f>+$W$5-Tabla2[[#This Row],[FECHA DE FACTURACIÓN]]</f>
        <v>282</v>
      </c>
      <c r="U990" t="str">
        <f>+IF(Tabla2[[#This Row],[dias de credito]]&gt;=Tabla2[[#This Row],[PLAZO Días]],"venc", "No venc")</f>
        <v>venc</v>
      </c>
      <c r="V990" t="str">
        <f>+IF(Tabla2[[#This Row],[FECHA DE PAGO]]&gt;0,"pagada","por pagar")</f>
        <v>pagada</v>
      </c>
      <c r="W990" s="141" t="str">
        <f>+IF(AND(Tabla2[[#This Row],[venc]]="venc",Tabla2[[#This Row],[Columna1]]="por pagar"),"vencida","no")</f>
        <v>no</v>
      </c>
    </row>
    <row r="991" spans="1:23" ht="15.6" hidden="1" x14ac:dyDescent="0.3">
      <c r="A991" s="20">
        <v>30</v>
      </c>
      <c r="B991" s="25">
        <v>0</v>
      </c>
      <c r="C991" s="25"/>
      <c r="D991" s="56" t="s">
        <v>659</v>
      </c>
      <c r="E991" s="426">
        <v>45008</v>
      </c>
      <c r="F991" s="26" t="s">
        <v>227</v>
      </c>
      <c r="G991" s="426">
        <v>45008</v>
      </c>
      <c r="H991" s="35" t="s">
        <v>1543</v>
      </c>
      <c r="I991" s="21">
        <v>1690000</v>
      </c>
      <c r="J991" s="21"/>
      <c r="K991" s="22">
        <v>0</v>
      </c>
      <c r="L991" s="23"/>
      <c r="M991" s="22">
        <v>0</v>
      </c>
      <c r="N991" s="74">
        <v>0</v>
      </c>
      <c r="O991" s="22">
        <v>0</v>
      </c>
      <c r="P991" s="21">
        <v>1690000</v>
      </c>
      <c r="S991" s="108" t="b">
        <f>OR(COUNTIF(Tabla2[[#This Row],[PROVEEDOR]],"*"&amp;'Palabra no opera'!$A$2&amp;"*"))</f>
        <v>0</v>
      </c>
      <c r="T991" s="139">
        <f>+$W$5-Tabla2[[#This Row],[FECHA DE FACTURACIÓN]]</f>
        <v>283</v>
      </c>
      <c r="U991" t="str">
        <f>+IF(Tabla2[[#This Row],[dias de credito]]&gt;=Tabla2[[#This Row],[PLAZO Días]],"venc", "No venc")</f>
        <v>venc</v>
      </c>
      <c r="V991" t="str">
        <f>+IF(Tabla2[[#This Row],[FECHA DE PAGO]]&gt;0,"pagada","por pagar")</f>
        <v>pagada</v>
      </c>
      <c r="W991" s="141" t="str">
        <f>+IF(AND(Tabla2[[#This Row],[venc]]="venc",Tabla2[[#This Row],[Columna1]]="por pagar"),"vencida","no")</f>
        <v>no</v>
      </c>
    </row>
    <row r="992" spans="1:23" ht="15.6" hidden="1" x14ac:dyDescent="0.3">
      <c r="A992" s="20">
        <v>30</v>
      </c>
      <c r="B992" s="25">
        <v>5480000</v>
      </c>
      <c r="C992" s="25"/>
      <c r="D992" s="56" t="s">
        <v>107</v>
      </c>
      <c r="E992" s="426">
        <v>45007</v>
      </c>
      <c r="F992" s="26" t="s">
        <v>369</v>
      </c>
      <c r="G992" s="426">
        <v>44897</v>
      </c>
      <c r="H992" s="35">
        <v>7494</v>
      </c>
      <c r="I992" s="21">
        <v>3400000</v>
      </c>
      <c r="J992" s="21"/>
      <c r="K992" s="22">
        <v>0</v>
      </c>
      <c r="L992" s="23"/>
      <c r="M992" s="22">
        <v>0</v>
      </c>
      <c r="N992" s="74">
        <v>0</v>
      </c>
      <c r="O992" s="22">
        <v>0</v>
      </c>
      <c r="P992" s="21">
        <v>3400000</v>
      </c>
      <c r="S992" s="108" t="b">
        <f>OR(COUNTIF(Tabla2[[#This Row],[PROVEEDOR]],"*"&amp;'Palabra no opera'!$A$2&amp;"*"))</f>
        <v>0</v>
      </c>
      <c r="T992" s="139">
        <f>+$W$5-Tabla2[[#This Row],[FECHA DE FACTURACIÓN]]</f>
        <v>394</v>
      </c>
      <c r="U992" t="str">
        <f>+IF(Tabla2[[#This Row],[dias de credito]]&gt;=Tabla2[[#This Row],[PLAZO Días]],"venc", "No venc")</f>
        <v>venc</v>
      </c>
      <c r="V992" t="str">
        <f>+IF(Tabla2[[#This Row],[FECHA DE PAGO]]&gt;0,"pagada","por pagar")</f>
        <v>pagada</v>
      </c>
      <c r="W992" s="141" t="str">
        <f>+IF(AND(Tabla2[[#This Row],[venc]]="venc",Tabla2[[#This Row],[Columna1]]="por pagar"),"vencida","no")</f>
        <v>no</v>
      </c>
    </row>
    <row r="993" spans="1:23" ht="15.6" hidden="1" x14ac:dyDescent="0.3">
      <c r="A993" s="20">
        <v>30</v>
      </c>
      <c r="B993" s="25">
        <v>10321993.199999999</v>
      </c>
      <c r="C993" s="25"/>
      <c r="D993" s="56" t="s">
        <v>189</v>
      </c>
      <c r="E993" s="426">
        <v>45006</v>
      </c>
      <c r="F993" s="26" t="s">
        <v>1068</v>
      </c>
      <c r="G993" s="426">
        <v>45002</v>
      </c>
      <c r="H993" s="35">
        <v>29742</v>
      </c>
      <c r="I993" s="21">
        <v>188000</v>
      </c>
      <c r="J993" s="21"/>
      <c r="K993" s="22">
        <v>35720</v>
      </c>
      <c r="L993" s="23">
        <v>0.04</v>
      </c>
      <c r="M993" s="22">
        <v>7520</v>
      </c>
      <c r="N993" s="74">
        <v>0</v>
      </c>
      <c r="O993" s="22">
        <v>0</v>
      </c>
      <c r="P993" s="21">
        <v>216200</v>
      </c>
      <c r="S993" s="108" t="b">
        <f>OR(COUNTIF(Tabla2[[#This Row],[PROVEEDOR]],"*"&amp;'Palabra no opera'!$A$2&amp;"*"))</f>
        <v>0</v>
      </c>
      <c r="T993" s="139">
        <f>+$W$5-Tabla2[[#This Row],[FECHA DE FACTURACIÓN]]</f>
        <v>289</v>
      </c>
      <c r="U993" t="str">
        <f>+IF(Tabla2[[#This Row],[dias de credito]]&gt;=Tabla2[[#This Row],[PLAZO Días]],"venc", "No venc")</f>
        <v>venc</v>
      </c>
      <c r="V993" t="str">
        <f>+IF(Tabla2[[#This Row],[FECHA DE PAGO]]&gt;0,"pagada","por pagar")</f>
        <v>pagada</v>
      </c>
      <c r="W993" s="141" t="str">
        <f>+IF(AND(Tabla2[[#This Row],[venc]]="venc",Tabla2[[#This Row],[Columna1]]="por pagar"),"vencida","no")</f>
        <v>no</v>
      </c>
    </row>
    <row r="994" spans="1:23" ht="15.6" hidden="1" x14ac:dyDescent="0.3">
      <c r="A994" s="20">
        <v>30</v>
      </c>
      <c r="B994" s="25">
        <v>4248480.9550000001</v>
      </c>
      <c r="C994" s="25"/>
      <c r="D994" s="56" t="s">
        <v>107</v>
      </c>
      <c r="E994" s="426">
        <v>45006</v>
      </c>
      <c r="F994" s="26" t="s">
        <v>78</v>
      </c>
      <c r="G994" s="426">
        <v>44978</v>
      </c>
      <c r="H994" s="35" t="s">
        <v>1468</v>
      </c>
      <c r="I994" s="21">
        <v>346497</v>
      </c>
      <c r="J994" s="21"/>
      <c r="K994" s="22">
        <v>65834.430000000008</v>
      </c>
      <c r="L994" s="23"/>
      <c r="M994" s="22">
        <v>0</v>
      </c>
      <c r="N994" s="74">
        <v>0</v>
      </c>
      <c r="O994" s="22">
        <v>0</v>
      </c>
      <c r="P994" s="21">
        <v>412331.43</v>
      </c>
      <c r="S994" s="108" t="b">
        <f>OR(COUNTIF(Tabla2[[#This Row],[PROVEEDOR]],"*"&amp;'Palabra no opera'!$A$2&amp;"*"))</f>
        <v>0</v>
      </c>
      <c r="T994" s="139">
        <f>+$W$5-Tabla2[[#This Row],[FECHA DE FACTURACIÓN]]</f>
        <v>313</v>
      </c>
      <c r="U994" t="str">
        <f>+IF(Tabla2[[#This Row],[dias de credito]]&gt;=Tabla2[[#This Row],[PLAZO Días]],"venc", "No venc")</f>
        <v>venc</v>
      </c>
      <c r="V994" t="str">
        <f>+IF(Tabla2[[#This Row],[FECHA DE PAGO]]&gt;0,"pagada","por pagar")</f>
        <v>pagada</v>
      </c>
      <c r="W994" s="141" t="str">
        <f>+IF(AND(Tabla2[[#This Row],[venc]]="venc",Tabla2[[#This Row],[Columna1]]="por pagar"),"vencida","no")</f>
        <v>no</v>
      </c>
    </row>
    <row r="995" spans="1:23" ht="15.6" hidden="1" x14ac:dyDescent="0.3">
      <c r="A995" s="20">
        <v>30</v>
      </c>
      <c r="B995" s="25">
        <v>4248480.9550000001</v>
      </c>
      <c r="C995" s="25"/>
      <c r="D995" s="56" t="s">
        <v>107</v>
      </c>
      <c r="E995" s="426">
        <v>45006</v>
      </c>
      <c r="F995" s="26" t="s">
        <v>78</v>
      </c>
      <c r="G995" s="426">
        <v>44964</v>
      </c>
      <c r="H995" s="35" t="s">
        <v>1441</v>
      </c>
      <c r="I995" s="21">
        <v>3909400</v>
      </c>
      <c r="J995" s="21"/>
      <c r="K995" s="22">
        <v>742786</v>
      </c>
      <c r="L995" s="23"/>
      <c r="M995" s="22">
        <v>0</v>
      </c>
      <c r="N995" s="74">
        <v>2.5000000000000001E-2</v>
      </c>
      <c r="O995" s="22">
        <v>97735</v>
      </c>
      <c r="P995" s="21">
        <v>4554451</v>
      </c>
      <c r="S995" s="108" t="b">
        <f>OR(COUNTIF(Tabla2[[#This Row],[PROVEEDOR]],"*"&amp;'Palabra no opera'!$A$2&amp;"*"))</f>
        <v>0</v>
      </c>
      <c r="T995" s="139">
        <f>+$W$5-Tabla2[[#This Row],[FECHA DE FACTURACIÓN]]</f>
        <v>327</v>
      </c>
      <c r="U995" t="str">
        <f>+IF(Tabla2[[#This Row],[dias de credito]]&gt;=Tabla2[[#This Row],[PLAZO Días]],"venc", "No venc")</f>
        <v>venc</v>
      </c>
      <c r="V995" t="str">
        <f>+IF(Tabla2[[#This Row],[FECHA DE PAGO]]&gt;0,"pagada","por pagar")</f>
        <v>pagada</v>
      </c>
      <c r="W995" s="141" t="str">
        <f>+IF(AND(Tabla2[[#This Row],[venc]]="venc",Tabla2[[#This Row],[Columna1]]="por pagar"),"vencida","no")</f>
        <v>no</v>
      </c>
    </row>
    <row r="996" spans="1:23" ht="15.6" hidden="1" x14ac:dyDescent="0.3">
      <c r="A996" s="20">
        <v>30</v>
      </c>
      <c r="B996" s="25">
        <v>429590</v>
      </c>
      <c r="C996" s="25"/>
      <c r="D996" s="56" t="s">
        <v>196</v>
      </c>
      <c r="E996" s="426">
        <v>45006</v>
      </c>
      <c r="F996" s="26" t="s">
        <v>39</v>
      </c>
      <c r="G996" s="426">
        <v>44960</v>
      </c>
      <c r="H996" s="35" t="s">
        <v>1428</v>
      </c>
      <c r="I996" s="21">
        <v>756000</v>
      </c>
      <c r="J996" s="21"/>
      <c r="K996" s="22">
        <v>143640</v>
      </c>
      <c r="L996" s="23"/>
      <c r="M996" s="22">
        <v>0</v>
      </c>
      <c r="N996" s="74">
        <v>0</v>
      </c>
      <c r="O996" s="22">
        <v>0</v>
      </c>
      <c r="P996" s="21">
        <v>899640</v>
      </c>
      <c r="S996" s="108" t="b">
        <f>OR(COUNTIF(Tabla2[[#This Row],[PROVEEDOR]],"*"&amp;'Palabra no opera'!$A$2&amp;"*"))</f>
        <v>0</v>
      </c>
      <c r="T996" s="139">
        <f>+$W$5-Tabla2[[#This Row],[FECHA DE FACTURACIÓN]]</f>
        <v>331</v>
      </c>
      <c r="U996" t="str">
        <f>+IF(Tabla2[[#This Row],[dias de credito]]&gt;=Tabla2[[#This Row],[PLAZO Días]],"venc", "No venc")</f>
        <v>venc</v>
      </c>
      <c r="V996" t="str">
        <f>+IF(Tabla2[[#This Row],[FECHA DE PAGO]]&gt;0,"pagada","por pagar")</f>
        <v>pagada</v>
      </c>
      <c r="W996" s="141" t="str">
        <f>+IF(AND(Tabla2[[#This Row],[venc]]="venc",Tabla2[[#This Row],[Columna1]]="por pagar"),"vencida","no")</f>
        <v>no</v>
      </c>
    </row>
    <row r="997" spans="1:23" ht="15.6" hidden="1" x14ac:dyDescent="0.3">
      <c r="A997" s="20">
        <v>30</v>
      </c>
      <c r="B997" s="25">
        <v>0</v>
      </c>
      <c r="C997" s="25"/>
      <c r="D997" s="56">
        <v>0</v>
      </c>
      <c r="E997" s="426">
        <v>45002</v>
      </c>
      <c r="F997" s="26" t="s">
        <v>262</v>
      </c>
      <c r="G997" s="426">
        <v>45001</v>
      </c>
      <c r="H997" s="35" t="s">
        <v>1547</v>
      </c>
      <c r="I997" s="21">
        <v>428572</v>
      </c>
      <c r="J997" s="21"/>
      <c r="K997" s="22">
        <v>21429</v>
      </c>
      <c r="L997" s="23"/>
      <c r="M997" s="22">
        <v>0</v>
      </c>
      <c r="N997" s="74">
        <v>0</v>
      </c>
      <c r="O997" s="22">
        <v>0</v>
      </c>
      <c r="P997" s="21">
        <v>450001</v>
      </c>
      <c r="S997" s="108" t="b">
        <f>OR(COUNTIF(Tabla2[[#This Row],[PROVEEDOR]],"*"&amp;'Palabra no opera'!$A$2&amp;"*"))</f>
        <v>0</v>
      </c>
      <c r="T997" s="139">
        <f>+$W$5-Tabla2[[#This Row],[FECHA DE FACTURACIÓN]]</f>
        <v>290</v>
      </c>
      <c r="U997" t="str">
        <f>+IF(Tabla2[[#This Row],[dias de credito]]&gt;=Tabla2[[#This Row],[PLAZO Días]],"venc", "No venc")</f>
        <v>venc</v>
      </c>
      <c r="V997" t="str">
        <f>+IF(Tabla2[[#This Row],[FECHA DE PAGO]]&gt;0,"pagada","por pagar")</f>
        <v>pagada</v>
      </c>
      <c r="W997" s="141" t="str">
        <f>+IF(AND(Tabla2[[#This Row],[venc]]="venc",Tabla2[[#This Row],[Columna1]]="por pagar"),"vencida","no")</f>
        <v>no</v>
      </c>
    </row>
    <row r="998" spans="1:23" ht="15.6" hidden="1" x14ac:dyDescent="0.3">
      <c r="A998" s="20">
        <v>30</v>
      </c>
      <c r="B998" s="25">
        <v>0</v>
      </c>
      <c r="C998" s="25"/>
      <c r="D998" s="56" t="s">
        <v>574</v>
      </c>
      <c r="E998" s="426">
        <v>45002</v>
      </c>
      <c r="F998" s="26" t="s">
        <v>352</v>
      </c>
      <c r="G998" s="426">
        <v>44964</v>
      </c>
      <c r="H998" s="35" t="s">
        <v>1472</v>
      </c>
      <c r="I998" s="21">
        <v>2417600</v>
      </c>
      <c r="J998" s="21"/>
      <c r="K998" s="22">
        <v>0</v>
      </c>
      <c r="L998" s="23">
        <v>0.1</v>
      </c>
      <c r="M998" s="22">
        <v>241760</v>
      </c>
      <c r="N998" s="74">
        <v>0</v>
      </c>
      <c r="O998" s="22">
        <v>0</v>
      </c>
      <c r="P998" s="21">
        <v>2175840</v>
      </c>
      <c r="S998" s="108" t="b">
        <f>OR(COUNTIF(Tabla2[[#This Row],[PROVEEDOR]],"*"&amp;'Palabra no opera'!$A$2&amp;"*"))</f>
        <v>0</v>
      </c>
      <c r="T998" s="139">
        <f>+$W$5-Tabla2[[#This Row],[FECHA DE FACTURACIÓN]]</f>
        <v>327</v>
      </c>
      <c r="U998" t="str">
        <f>+IF(Tabla2[[#This Row],[dias de credito]]&gt;=Tabla2[[#This Row],[PLAZO Días]],"venc", "No venc")</f>
        <v>venc</v>
      </c>
      <c r="V998" t="str">
        <f>+IF(Tabla2[[#This Row],[FECHA DE PAGO]]&gt;0,"pagada","por pagar")</f>
        <v>pagada</v>
      </c>
      <c r="W998" s="141" t="str">
        <f>+IF(AND(Tabla2[[#This Row],[venc]]="venc",Tabla2[[#This Row],[Columna1]]="por pagar"),"vencida","no")</f>
        <v>no</v>
      </c>
    </row>
    <row r="999" spans="1:23" ht="15.6" hidden="1" x14ac:dyDescent="0.3">
      <c r="A999" s="20">
        <v>30</v>
      </c>
      <c r="B999" s="25">
        <v>0</v>
      </c>
      <c r="C999" s="25"/>
      <c r="D999" s="56" t="s">
        <v>260</v>
      </c>
      <c r="E999" s="426">
        <v>45001</v>
      </c>
      <c r="F999" s="26" t="s">
        <v>635</v>
      </c>
      <c r="G999" s="426">
        <v>45001</v>
      </c>
      <c r="H999" s="35" t="s">
        <v>1522</v>
      </c>
      <c r="I999" s="21">
        <v>3002200</v>
      </c>
      <c r="J999" s="21"/>
      <c r="K999" s="22">
        <v>0</v>
      </c>
      <c r="L999" s="23"/>
      <c r="M999" s="22">
        <v>0</v>
      </c>
      <c r="N999" s="74">
        <v>3.5000000000000003E-2</v>
      </c>
      <c r="O999" s="22">
        <v>105077.00000000001</v>
      </c>
      <c r="P999" s="21">
        <v>2897123</v>
      </c>
      <c r="S999" s="108" t="b">
        <f>OR(COUNTIF(Tabla2[[#This Row],[PROVEEDOR]],"*"&amp;'Palabra no opera'!$A$2&amp;"*"))</f>
        <v>1</v>
      </c>
      <c r="T999" s="139">
        <f>+$W$5-Tabla2[[#This Row],[FECHA DE FACTURACIÓN]]</f>
        <v>290</v>
      </c>
      <c r="U999" t="str">
        <f>+IF(Tabla2[[#This Row],[dias de credito]]&gt;=Tabla2[[#This Row],[PLAZO Días]],"venc", "No venc")</f>
        <v>venc</v>
      </c>
      <c r="V999" t="str">
        <f>+IF(Tabla2[[#This Row],[FECHA DE PAGO]]&gt;0,"pagada","por pagar")</f>
        <v>pagada</v>
      </c>
      <c r="W999" s="141" t="str">
        <f>+IF(AND(Tabla2[[#This Row],[venc]]="venc",Tabla2[[#This Row],[Columna1]]="por pagar"),"vencida","no")</f>
        <v>no</v>
      </c>
    </row>
    <row r="1000" spans="1:23" ht="15.6" hidden="1" x14ac:dyDescent="0.3">
      <c r="A1000" s="20">
        <v>30</v>
      </c>
      <c r="B1000" s="25">
        <v>5538410</v>
      </c>
      <c r="C1000" s="25"/>
      <c r="D1000" s="56" t="s">
        <v>1461</v>
      </c>
      <c r="E1000" s="426">
        <v>45000</v>
      </c>
      <c r="F1000" s="26" t="s">
        <v>1460</v>
      </c>
      <c r="G1000" s="426">
        <v>44966</v>
      </c>
      <c r="H1000" s="35" t="s">
        <v>1462</v>
      </c>
      <c r="I1000" s="21">
        <v>2906000</v>
      </c>
      <c r="J1000" s="21"/>
      <c r="K1000" s="22">
        <v>552140</v>
      </c>
      <c r="L1000" s="23">
        <v>0.05</v>
      </c>
      <c r="M1000" s="22">
        <v>145300</v>
      </c>
      <c r="N1000" s="74">
        <v>2.5000000000000001E-2</v>
      </c>
      <c r="O1000" s="22">
        <v>72650</v>
      </c>
      <c r="P1000" s="21">
        <v>3240190</v>
      </c>
      <c r="S1000" s="108" t="b">
        <f>OR(COUNTIF(Tabla2[[#This Row],[PROVEEDOR]],"*"&amp;'Palabra no opera'!$A$2&amp;"*"))</f>
        <v>0</v>
      </c>
      <c r="T1000" s="139">
        <f>+$W$5-Tabla2[[#This Row],[FECHA DE FACTURACIÓN]]</f>
        <v>325</v>
      </c>
      <c r="U1000" t="str">
        <f>+IF(Tabla2[[#This Row],[dias de credito]]&gt;=Tabla2[[#This Row],[PLAZO Días]],"venc", "No venc")</f>
        <v>venc</v>
      </c>
      <c r="V1000" t="str">
        <f>+IF(Tabla2[[#This Row],[FECHA DE PAGO]]&gt;0,"pagada","por pagar")</f>
        <v>pagada</v>
      </c>
      <c r="W1000" s="141" t="str">
        <f>+IF(AND(Tabla2[[#This Row],[venc]]="venc",Tabla2[[#This Row],[Columna1]]="por pagar"),"vencida","no")</f>
        <v>no</v>
      </c>
    </row>
    <row r="1001" spans="1:23" ht="15.6" hidden="1" x14ac:dyDescent="0.3">
      <c r="A1001" s="20">
        <v>30</v>
      </c>
      <c r="B1001" s="25">
        <v>0</v>
      </c>
      <c r="C1001" s="25"/>
      <c r="D1001" s="56" t="s">
        <v>843</v>
      </c>
      <c r="E1001" s="426">
        <v>44999</v>
      </c>
      <c r="F1001" s="26" t="s">
        <v>809</v>
      </c>
      <c r="G1001" s="426">
        <v>44999</v>
      </c>
      <c r="H1001" s="35">
        <v>2672</v>
      </c>
      <c r="I1001" s="21">
        <v>858000</v>
      </c>
      <c r="J1001" s="21"/>
      <c r="K1001" s="22">
        <v>163020</v>
      </c>
      <c r="L1001" s="23">
        <v>0.1</v>
      </c>
      <c r="M1001" s="22">
        <v>85800</v>
      </c>
      <c r="N1001" s="74">
        <v>0</v>
      </c>
      <c r="O1001" s="22">
        <v>0</v>
      </c>
      <c r="P1001" s="21">
        <v>935220</v>
      </c>
      <c r="S1001" s="108" t="b">
        <f>OR(COUNTIF(Tabla2[[#This Row],[PROVEEDOR]],"*"&amp;'Palabra no opera'!$A$2&amp;"*"))</f>
        <v>0</v>
      </c>
      <c r="T1001" s="139">
        <f>+$W$5-Tabla2[[#This Row],[FECHA DE FACTURACIÓN]]</f>
        <v>292</v>
      </c>
      <c r="U1001" t="str">
        <f>+IF(Tabla2[[#This Row],[dias de credito]]&gt;=Tabla2[[#This Row],[PLAZO Días]],"venc", "No venc")</f>
        <v>venc</v>
      </c>
      <c r="V1001" t="str">
        <f>+IF(Tabla2[[#This Row],[FECHA DE PAGO]]&gt;0,"pagada","por pagar")</f>
        <v>pagada</v>
      </c>
      <c r="W1001" s="141" t="str">
        <f>+IF(AND(Tabla2[[#This Row],[venc]]="venc",Tabla2[[#This Row],[Columna1]]="por pagar"),"vencida","no")</f>
        <v>no</v>
      </c>
    </row>
    <row r="1002" spans="1:23" ht="15.6" hidden="1" x14ac:dyDescent="0.3">
      <c r="A1002" s="20">
        <v>30</v>
      </c>
      <c r="B1002" s="25">
        <v>0</v>
      </c>
      <c r="C1002" s="25"/>
      <c r="D1002" s="56" t="s">
        <v>210</v>
      </c>
      <c r="E1002" s="426">
        <v>44999</v>
      </c>
      <c r="F1002" s="26" t="s">
        <v>47</v>
      </c>
      <c r="G1002" s="426">
        <v>44965</v>
      </c>
      <c r="H1002" s="35" t="s">
        <v>1442</v>
      </c>
      <c r="I1002" s="21">
        <v>1123137</v>
      </c>
      <c r="J1002" s="21">
        <v>56157</v>
      </c>
      <c r="K1002" s="22">
        <v>202726.2</v>
      </c>
      <c r="L1002" s="23"/>
      <c r="M1002" s="22">
        <v>0</v>
      </c>
      <c r="N1002" s="74">
        <v>0</v>
      </c>
      <c r="O1002" s="22">
        <v>0</v>
      </c>
      <c r="P1002" s="21">
        <v>1269706.2</v>
      </c>
      <c r="S1002" s="108" t="b">
        <f>OR(COUNTIF(Tabla2[[#This Row],[PROVEEDOR]],"*"&amp;'Palabra no opera'!$A$2&amp;"*"))</f>
        <v>0</v>
      </c>
      <c r="T1002" s="139">
        <f>+$W$5-Tabla2[[#This Row],[FECHA DE FACTURACIÓN]]</f>
        <v>326</v>
      </c>
      <c r="U1002" t="str">
        <f>+IF(Tabla2[[#This Row],[dias de credito]]&gt;=Tabla2[[#This Row],[PLAZO Días]],"venc", "No venc")</f>
        <v>venc</v>
      </c>
      <c r="V1002" t="str">
        <f>+IF(Tabla2[[#This Row],[FECHA DE PAGO]]&gt;0,"pagada","por pagar")</f>
        <v>pagada</v>
      </c>
      <c r="W1002" s="141" t="str">
        <f>+IF(AND(Tabla2[[#This Row],[venc]]="venc",Tabla2[[#This Row],[Columna1]]="por pagar"),"vencida","no")</f>
        <v>no</v>
      </c>
    </row>
    <row r="1003" spans="1:23" ht="15.6" hidden="1" x14ac:dyDescent="0.3">
      <c r="A1003" s="20">
        <v>30</v>
      </c>
      <c r="B1003" s="25">
        <v>1316890.8900000001</v>
      </c>
      <c r="C1003" s="25"/>
      <c r="D1003" s="56" t="s">
        <v>188</v>
      </c>
      <c r="E1003" s="426">
        <v>44999</v>
      </c>
      <c r="F1003" s="26" t="s">
        <v>17</v>
      </c>
      <c r="G1003" s="426">
        <v>44959</v>
      </c>
      <c r="H1003" s="35">
        <v>20088404</v>
      </c>
      <c r="I1003" s="21">
        <v>205800</v>
      </c>
      <c r="J1003" s="21"/>
      <c r="K1003" s="22">
        <v>39102</v>
      </c>
      <c r="L1003" s="23"/>
      <c r="M1003" s="22">
        <v>0</v>
      </c>
      <c r="N1003" s="74">
        <v>0</v>
      </c>
      <c r="O1003" s="22">
        <v>0</v>
      </c>
      <c r="P1003" s="21">
        <v>244902</v>
      </c>
      <c r="S1003" s="108" t="b">
        <f>OR(COUNTIF(Tabla2[[#This Row],[PROVEEDOR]],"*"&amp;'Palabra no opera'!$A$2&amp;"*"))</f>
        <v>0</v>
      </c>
      <c r="T1003" s="139">
        <f>+$W$5-Tabla2[[#This Row],[FECHA DE FACTURACIÓN]]</f>
        <v>332</v>
      </c>
      <c r="U1003" t="str">
        <f>+IF(Tabla2[[#This Row],[dias de credito]]&gt;=Tabla2[[#This Row],[PLAZO Días]],"venc", "No venc")</f>
        <v>venc</v>
      </c>
      <c r="V1003" t="str">
        <f>+IF(Tabla2[[#This Row],[FECHA DE PAGO]]&gt;0,"pagada","por pagar")</f>
        <v>pagada</v>
      </c>
      <c r="W1003" s="141" t="str">
        <f>+IF(AND(Tabla2[[#This Row],[venc]]="venc",Tabla2[[#This Row],[Columna1]]="por pagar"),"vencida","no")</f>
        <v>no</v>
      </c>
    </row>
    <row r="1004" spans="1:23" ht="15.6" hidden="1" x14ac:dyDescent="0.3">
      <c r="A1004" s="20">
        <v>30</v>
      </c>
      <c r="B1004" s="25">
        <v>2773899.95</v>
      </c>
      <c r="C1004" s="25"/>
      <c r="D1004" s="56" t="s">
        <v>135</v>
      </c>
      <c r="E1004" s="426">
        <v>44999</v>
      </c>
      <c r="F1004" s="26" t="s">
        <v>20</v>
      </c>
      <c r="G1004" s="426">
        <v>44958</v>
      </c>
      <c r="H1004" s="35" t="s">
        <v>1433</v>
      </c>
      <c r="I1004" s="21">
        <v>1955960</v>
      </c>
      <c r="J1004" s="21"/>
      <c r="K1004" s="22">
        <v>371632.4</v>
      </c>
      <c r="L1004" s="23"/>
      <c r="M1004" s="22">
        <v>0</v>
      </c>
      <c r="N1004" s="74">
        <v>2.5000000000000001E-2</v>
      </c>
      <c r="O1004" s="22">
        <v>48899</v>
      </c>
      <c r="P1004" s="21">
        <v>2278693.4</v>
      </c>
      <c r="S1004" s="108" t="b">
        <f>OR(COUNTIF(Tabla2[[#This Row],[PROVEEDOR]],"*"&amp;'Palabra no opera'!$A$2&amp;"*"))</f>
        <v>0</v>
      </c>
      <c r="T1004" s="139">
        <f>+$W$5-Tabla2[[#This Row],[FECHA DE FACTURACIÓN]]</f>
        <v>333</v>
      </c>
      <c r="U1004" t="str">
        <f>+IF(Tabla2[[#This Row],[dias de credito]]&gt;=Tabla2[[#This Row],[PLAZO Días]],"venc", "No venc")</f>
        <v>venc</v>
      </c>
      <c r="V1004" t="str">
        <f>+IF(Tabla2[[#This Row],[FECHA DE PAGO]]&gt;0,"pagada","por pagar")</f>
        <v>pagada</v>
      </c>
      <c r="W1004" s="141" t="str">
        <f>+IF(AND(Tabla2[[#This Row],[venc]]="venc",Tabla2[[#This Row],[Columna1]]="por pagar"),"vencida","no")</f>
        <v>no</v>
      </c>
    </row>
    <row r="1005" spans="1:23" ht="15.6" hidden="1" x14ac:dyDescent="0.3">
      <c r="A1005" s="20">
        <v>30</v>
      </c>
      <c r="B1005" s="25">
        <v>0</v>
      </c>
      <c r="C1005" s="25"/>
      <c r="D1005" s="56" t="s">
        <v>107</v>
      </c>
      <c r="E1005" s="426">
        <v>44998</v>
      </c>
      <c r="F1005" s="26" t="s">
        <v>356</v>
      </c>
      <c r="G1005" s="426">
        <v>44998</v>
      </c>
      <c r="H1005" s="35" t="s">
        <v>1507</v>
      </c>
      <c r="I1005" s="21">
        <v>2077000</v>
      </c>
      <c r="J1005" s="21"/>
      <c r="K1005" s="22">
        <v>0</v>
      </c>
      <c r="L1005" s="23"/>
      <c r="M1005" s="22">
        <v>0</v>
      </c>
      <c r="N1005" s="74">
        <v>0</v>
      </c>
      <c r="O1005" s="22">
        <v>0</v>
      </c>
      <c r="P1005" s="21">
        <v>2077000</v>
      </c>
      <c r="S1005" s="108" t="b">
        <f>OR(COUNTIF(Tabla2[[#This Row],[PROVEEDOR]],"*"&amp;'Palabra no opera'!$A$2&amp;"*"))</f>
        <v>0</v>
      </c>
      <c r="T1005" s="139">
        <f>+$W$5-Tabla2[[#This Row],[FECHA DE FACTURACIÓN]]</f>
        <v>293</v>
      </c>
      <c r="U1005" t="str">
        <f>+IF(Tabla2[[#This Row],[dias de credito]]&gt;=Tabla2[[#This Row],[PLAZO Días]],"venc", "No venc")</f>
        <v>venc</v>
      </c>
      <c r="V1005" t="str">
        <f>+IF(Tabla2[[#This Row],[FECHA DE PAGO]]&gt;0,"pagada","por pagar")</f>
        <v>pagada</v>
      </c>
      <c r="W1005" s="141" t="str">
        <f>+IF(AND(Tabla2[[#This Row],[venc]]="venc",Tabla2[[#This Row],[Columna1]]="por pagar"),"vencida","no")</f>
        <v>no</v>
      </c>
    </row>
    <row r="1006" spans="1:23" ht="15.6" hidden="1" x14ac:dyDescent="0.3">
      <c r="A1006" s="20">
        <v>30</v>
      </c>
      <c r="B1006" s="25">
        <v>10321993.199999999</v>
      </c>
      <c r="C1006" s="25"/>
      <c r="D1006" s="56" t="s">
        <v>189</v>
      </c>
      <c r="E1006" s="426">
        <v>44998</v>
      </c>
      <c r="F1006" s="26" t="s">
        <v>1068</v>
      </c>
      <c r="G1006" s="426">
        <v>44993</v>
      </c>
      <c r="H1006" s="35">
        <v>29650</v>
      </c>
      <c r="I1006" s="21">
        <v>740000</v>
      </c>
      <c r="J1006" s="21"/>
      <c r="K1006" s="22">
        <v>140600</v>
      </c>
      <c r="L1006" s="23">
        <v>0.04</v>
      </c>
      <c r="M1006" s="22">
        <v>29600</v>
      </c>
      <c r="N1006" s="74">
        <v>0</v>
      </c>
      <c r="O1006" s="22">
        <v>0</v>
      </c>
      <c r="P1006" s="21">
        <v>851000</v>
      </c>
      <c r="S1006" s="108" t="b">
        <f>OR(COUNTIF(Tabla2[[#This Row],[PROVEEDOR]],"*"&amp;'Palabra no opera'!$A$2&amp;"*"))</f>
        <v>0</v>
      </c>
      <c r="T1006" s="139">
        <f>+$W$5-Tabla2[[#This Row],[FECHA DE FACTURACIÓN]]</f>
        <v>298</v>
      </c>
      <c r="U1006" t="str">
        <f>+IF(Tabla2[[#This Row],[dias de credito]]&gt;=Tabla2[[#This Row],[PLAZO Días]],"venc", "No venc")</f>
        <v>venc</v>
      </c>
      <c r="V1006" t="str">
        <f>+IF(Tabla2[[#This Row],[FECHA DE PAGO]]&gt;0,"pagada","por pagar")</f>
        <v>pagada</v>
      </c>
      <c r="W1006" s="141" t="str">
        <f>+IF(AND(Tabla2[[#This Row],[venc]]="venc",Tabla2[[#This Row],[Columna1]]="por pagar"),"vencida","no")</f>
        <v>no</v>
      </c>
    </row>
    <row r="1007" spans="1:23" ht="15.6" hidden="1" x14ac:dyDescent="0.3">
      <c r="A1007" s="20">
        <v>30</v>
      </c>
      <c r="B1007" s="25">
        <v>3669750</v>
      </c>
      <c r="C1007" s="25"/>
      <c r="D1007" s="56" t="s">
        <v>1082</v>
      </c>
      <c r="E1007" s="426">
        <v>44998</v>
      </c>
      <c r="F1007" s="26" t="s">
        <v>24</v>
      </c>
      <c r="G1007" s="426">
        <v>44985</v>
      </c>
      <c r="H1007" s="35" t="s">
        <v>1476</v>
      </c>
      <c r="I1007" s="21">
        <v>-8403361</v>
      </c>
      <c r="J1007" s="21"/>
      <c r="K1007" s="22">
        <v>-1596638.59</v>
      </c>
      <c r="L1007" s="23"/>
      <c r="M1007" s="22">
        <v>0</v>
      </c>
      <c r="N1007" s="74">
        <v>0</v>
      </c>
      <c r="O1007" s="22">
        <v>0</v>
      </c>
      <c r="P1007" s="21">
        <v>-9999999.5899999999</v>
      </c>
      <c r="S1007" s="108" t="b">
        <f>OR(COUNTIF(Tabla2[[#This Row],[PROVEEDOR]],"*"&amp;'Palabra no opera'!$A$2&amp;"*"))</f>
        <v>0</v>
      </c>
      <c r="T1007" s="139">
        <f>+$W$5-Tabla2[[#This Row],[FECHA DE FACTURACIÓN]]</f>
        <v>306</v>
      </c>
      <c r="U1007" t="str">
        <f>+IF(Tabla2[[#This Row],[dias de credito]]&gt;=Tabla2[[#This Row],[PLAZO Días]],"venc", "No venc")</f>
        <v>venc</v>
      </c>
      <c r="V1007" t="str">
        <f>+IF(Tabla2[[#This Row],[FECHA DE PAGO]]&gt;0,"pagada","por pagar")</f>
        <v>pagada</v>
      </c>
      <c r="W1007" s="141" t="str">
        <f>+IF(AND(Tabla2[[#This Row],[venc]]="venc",Tabla2[[#This Row],[Columna1]]="por pagar"),"vencida","no")</f>
        <v>no</v>
      </c>
    </row>
    <row r="1008" spans="1:23" ht="15.6" hidden="1" x14ac:dyDescent="0.3">
      <c r="A1008" s="20">
        <v>30</v>
      </c>
      <c r="B1008" s="25">
        <v>3669750</v>
      </c>
      <c r="C1008" s="25"/>
      <c r="D1008" s="56" t="s">
        <v>1082</v>
      </c>
      <c r="E1008" s="426">
        <v>44998</v>
      </c>
      <c r="F1008" s="26" t="s">
        <v>24</v>
      </c>
      <c r="G1008" s="426">
        <v>44973</v>
      </c>
      <c r="H1008" s="35" t="s">
        <v>1458</v>
      </c>
      <c r="I1008" s="21">
        <v>16645788</v>
      </c>
      <c r="J1008" s="21"/>
      <c r="K1008" s="22">
        <v>3162699.72</v>
      </c>
      <c r="L1008" s="23"/>
      <c r="M1008" s="22">
        <v>0</v>
      </c>
      <c r="N1008" s="74">
        <v>2.5000000000000001E-2</v>
      </c>
      <c r="O1008" s="22">
        <v>416144.7</v>
      </c>
      <c r="P1008" s="21">
        <v>19392343.02</v>
      </c>
      <c r="S1008" s="108" t="b">
        <f>OR(COUNTIF(Tabla2[[#This Row],[PROVEEDOR]],"*"&amp;'Palabra no opera'!$A$2&amp;"*"))</f>
        <v>0</v>
      </c>
      <c r="T1008" s="139">
        <f>+$W$5-Tabla2[[#This Row],[FECHA DE FACTURACIÓN]]</f>
        <v>318</v>
      </c>
      <c r="U1008" t="str">
        <f>+IF(Tabla2[[#This Row],[dias de credito]]&gt;=Tabla2[[#This Row],[PLAZO Días]],"venc", "No venc")</f>
        <v>venc</v>
      </c>
      <c r="V1008" t="str">
        <f>+IF(Tabla2[[#This Row],[FECHA DE PAGO]]&gt;0,"pagada","por pagar")</f>
        <v>pagada</v>
      </c>
      <c r="W1008" s="141" t="str">
        <f>+IF(AND(Tabla2[[#This Row],[venc]]="venc",Tabla2[[#This Row],[Columna1]]="por pagar"),"vencida","no")</f>
        <v>no</v>
      </c>
    </row>
    <row r="1009" spans="1:23" ht="15.6" hidden="1" x14ac:dyDescent="0.3">
      <c r="A1009" s="20">
        <v>30</v>
      </c>
      <c r="B1009" s="25">
        <v>18444236.894999996</v>
      </c>
      <c r="C1009" s="25"/>
      <c r="D1009" s="56" t="s">
        <v>731</v>
      </c>
      <c r="E1009" s="426">
        <v>44998</v>
      </c>
      <c r="F1009" s="26" t="s">
        <v>11</v>
      </c>
      <c r="G1009" s="426">
        <v>44960</v>
      </c>
      <c r="H1009" s="35" t="s">
        <v>1432</v>
      </c>
      <c r="I1009" s="21">
        <v>2102274</v>
      </c>
      <c r="J1009" s="21"/>
      <c r="K1009" s="22">
        <v>399432.06</v>
      </c>
      <c r="L1009" s="23"/>
      <c r="M1009" s="22">
        <v>0</v>
      </c>
      <c r="N1009" s="74">
        <v>2.5000000000000001E-2</v>
      </c>
      <c r="O1009" s="22">
        <v>52556.850000000006</v>
      </c>
      <c r="P1009" s="21">
        <v>2449149.21</v>
      </c>
      <c r="S1009" s="108" t="b">
        <f>OR(COUNTIF(Tabla2[[#This Row],[PROVEEDOR]],"*"&amp;'Palabra no opera'!$A$2&amp;"*"))</f>
        <v>0</v>
      </c>
      <c r="T1009" s="139">
        <f>+$W$5-Tabla2[[#This Row],[FECHA DE FACTURACIÓN]]</f>
        <v>331</v>
      </c>
      <c r="U1009" t="str">
        <f>+IF(Tabla2[[#This Row],[dias de credito]]&gt;=Tabla2[[#This Row],[PLAZO Días]],"venc", "No venc")</f>
        <v>venc</v>
      </c>
      <c r="V1009" t="str">
        <f>+IF(Tabla2[[#This Row],[FECHA DE PAGO]]&gt;0,"pagada","por pagar")</f>
        <v>pagada</v>
      </c>
      <c r="W1009" s="141" t="str">
        <f>+IF(AND(Tabla2[[#This Row],[venc]]="venc",Tabla2[[#This Row],[Columna1]]="por pagar"),"vencida","no")</f>
        <v>no</v>
      </c>
    </row>
    <row r="1010" spans="1:23" ht="15.6" hidden="1" x14ac:dyDescent="0.3">
      <c r="A1010" s="20">
        <v>30</v>
      </c>
      <c r="B1010" s="25">
        <v>18444236.894999996</v>
      </c>
      <c r="C1010" s="25"/>
      <c r="D1010" s="56" t="s">
        <v>731</v>
      </c>
      <c r="E1010" s="426">
        <v>44998</v>
      </c>
      <c r="F1010" s="26" t="s">
        <v>11</v>
      </c>
      <c r="G1010" s="426">
        <v>44958</v>
      </c>
      <c r="H1010" s="35" t="s">
        <v>1431</v>
      </c>
      <c r="I1010" s="21">
        <v>700758</v>
      </c>
      <c r="J1010" s="21"/>
      <c r="K1010" s="22">
        <v>133144.01999999999</v>
      </c>
      <c r="L1010" s="23"/>
      <c r="M1010" s="22">
        <v>0</v>
      </c>
      <c r="N1010" s="74">
        <v>0</v>
      </c>
      <c r="O1010" s="22">
        <v>0</v>
      </c>
      <c r="P1010" s="21">
        <v>833902.02</v>
      </c>
      <c r="S1010" s="108" t="b">
        <f>OR(COUNTIF(Tabla2[[#This Row],[PROVEEDOR]],"*"&amp;'Palabra no opera'!$A$2&amp;"*"))</f>
        <v>0</v>
      </c>
      <c r="T1010" s="139">
        <f>+$W$5-Tabla2[[#This Row],[FECHA DE FACTURACIÓN]]</f>
        <v>333</v>
      </c>
      <c r="U1010" t="str">
        <f>+IF(Tabla2[[#This Row],[dias de credito]]&gt;=Tabla2[[#This Row],[PLAZO Días]],"venc", "No venc")</f>
        <v>venc</v>
      </c>
      <c r="V1010" t="str">
        <f>+IF(Tabla2[[#This Row],[FECHA DE PAGO]]&gt;0,"pagada","por pagar")</f>
        <v>pagada</v>
      </c>
      <c r="W1010" s="141" t="str">
        <f>+IF(AND(Tabla2[[#This Row],[venc]]="venc",Tabla2[[#This Row],[Columna1]]="por pagar"),"vencida","no")</f>
        <v>no</v>
      </c>
    </row>
    <row r="1011" spans="1:23" ht="15.6" hidden="1" x14ac:dyDescent="0.3">
      <c r="A1011" s="20">
        <v>30</v>
      </c>
      <c r="B1011" s="25">
        <v>18444236.894999996</v>
      </c>
      <c r="C1011" s="25"/>
      <c r="D1011" s="56" t="s">
        <v>731</v>
      </c>
      <c r="E1011" s="426">
        <v>44998</v>
      </c>
      <c r="F1011" s="26" t="s">
        <v>11</v>
      </c>
      <c r="G1011" s="426">
        <v>44951</v>
      </c>
      <c r="H1011" s="35" t="s">
        <v>1418</v>
      </c>
      <c r="I1011" s="21">
        <v>2803032</v>
      </c>
      <c r="J1011" s="21"/>
      <c r="K1011" s="22">
        <v>532576.07999999996</v>
      </c>
      <c r="L1011" s="23"/>
      <c r="M1011" s="22">
        <v>0</v>
      </c>
      <c r="N1011" s="74">
        <v>2.5000000000000001E-2</v>
      </c>
      <c r="O1011" s="22">
        <v>70075.8</v>
      </c>
      <c r="P1011" s="21">
        <v>3265532.2800000003</v>
      </c>
      <c r="S1011" s="108" t="b">
        <f>OR(COUNTIF(Tabla2[[#This Row],[PROVEEDOR]],"*"&amp;'Palabra no opera'!$A$2&amp;"*"))</f>
        <v>0</v>
      </c>
      <c r="T1011" s="139">
        <f>+$W$5-Tabla2[[#This Row],[FECHA DE FACTURACIÓN]]</f>
        <v>340</v>
      </c>
      <c r="U1011" t="str">
        <f>+IF(Tabla2[[#This Row],[dias de credito]]&gt;=Tabla2[[#This Row],[PLAZO Días]],"venc", "No venc")</f>
        <v>venc</v>
      </c>
      <c r="V1011" t="str">
        <f>+IF(Tabla2[[#This Row],[FECHA DE PAGO]]&gt;0,"pagada","por pagar")</f>
        <v>pagada</v>
      </c>
      <c r="W1011" s="141" t="str">
        <f>+IF(AND(Tabla2[[#This Row],[venc]]="venc",Tabla2[[#This Row],[Columna1]]="por pagar"),"vencida","no")</f>
        <v>no</v>
      </c>
    </row>
    <row r="1012" spans="1:23" ht="15.6" hidden="1" x14ac:dyDescent="0.3">
      <c r="A1012" s="20">
        <v>30</v>
      </c>
      <c r="B1012" s="25">
        <v>18444236.894999996</v>
      </c>
      <c r="C1012" s="25"/>
      <c r="D1012" s="56" t="s">
        <v>731</v>
      </c>
      <c r="E1012" s="426">
        <v>44998</v>
      </c>
      <c r="F1012" s="26" t="s">
        <v>11</v>
      </c>
      <c r="G1012" s="426">
        <v>44937</v>
      </c>
      <c r="H1012" s="35" t="s">
        <v>1380</v>
      </c>
      <c r="I1012" s="21">
        <v>-153013</v>
      </c>
      <c r="J1012" s="21"/>
      <c r="K1012" s="22">
        <v>-29072.47</v>
      </c>
      <c r="L1012" s="23"/>
      <c r="M1012" s="22">
        <v>0</v>
      </c>
      <c r="N1012" s="74">
        <v>0</v>
      </c>
      <c r="O1012" s="22">
        <v>0</v>
      </c>
      <c r="P1012" s="21">
        <v>-182085.47</v>
      </c>
      <c r="S1012" s="108" t="b">
        <f>OR(COUNTIF(Tabla2[[#This Row],[PROVEEDOR]],"*"&amp;'Palabra no opera'!$A$2&amp;"*"))</f>
        <v>0</v>
      </c>
      <c r="T1012" s="139">
        <f>+$W$5-Tabla2[[#This Row],[FECHA DE FACTURACIÓN]]</f>
        <v>354</v>
      </c>
      <c r="U1012" t="str">
        <f>+IF(Tabla2[[#This Row],[dias de credito]]&gt;=Tabla2[[#This Row],[PLAZO Días]],"venc", "No venc")</f>
        <v>venc</v>
      </c>
      <c r="V1012" t="str">
        <f>+IF(Tabla2[[#This Row],[FECHA DE PAGO]]&gt;0,"pagada","por pagar")</f>
        <v>pagada</v>
      </c>
      <c r="W1012" s="141" t="str">
        <f>+IF(AND(Tabla2[[#This Row],[venc]]="venc",Tabla2[[#This Row],[Columna1]]="por pagar"),"vencida","no")</f>
        <v>no</v>
      </c>
    </row>
    <row r="1013" spans="1:23" ht="15.6" hidden="1" x14ac:dyDescent="0.3">
      <c r="A1013" s="20">
        <v>10</v>
      </c>
      <c r="B1013" s="25">
        <v>0</v>
      </c>
      <c r="C1013" s="25"/>
      <c r="D1013" s="56" t="s">
        <v>1203</v>
      </c>
      <c r="E1013" s="426">
        <v>44995</v>
      </c>
      <c r="F1013" s="26" t="s">
        <v>1202</v>
      </c>
      <c r="G1013" s="426">
        <v>44959</v>
      </c>
      <c r="H1013" s="35" t="s">
        <v>1492</v>
      </c>
      <c r="I1013" s="21">
        <v>4730000</v>
      </c>
      <c r="J1013" s="21"/>
      <c r="K1013" s="22">
        <v>898700</v>
      </c>
      <c r="L1013" s="23"/>
      <c r="M1013" s="22">
        <v>0</v>
      </c>
      <c r="N1013" s="74">
        <v>0</v>
      </c>
      <c r="O1013" s="22">
        <v>0</v>
      </c>
      <c r="P1013" s="21">
        <v>5628700</v>
      </c>
      <c r="S1013" s="108" t="b">
        <f>OR(COUNTIF(Tabla2[[#This Row],[PROVEEDOR]],"*"&amp;'Palabra no opera'!$A$2&amp;"*"))</f>
        <v>1</v>
      </c>
      <c r="T1013" s="139">
        <f>+$W$5-Tabla2[[#This Row],[FECHA DE FACTURACIÓN]]</f>
        <v>332</v>
      </c>
      <c r="U1013" t="str">
        <f>+IF(Tabla2[[#This Row],[dias de credito]]&gt;=Tabla2[[#This Row],[PLAZO Días]],"venc", "No venc")</f>
        <v>venc</v>
      </c>
      <c r="V1013" t="str">
        <f>+IF(Tabla2[[#This Row],[FECHA DE PAGO]]&gt;0,"pagada","por pagar")</f>
        <v>pagada</v>
      </c>
      <c r="W1013" s="141" t="str">
        <f>+IF(AND(Tabla2[[#This Row],[venc]]="venc",Tabla2[[#This Row],[Columna1]]="por pagar"),"vencida","no")</f>
        <v>no</v>
      </c>
    </row>
    <row r="1014" spans="1:23" ht="15.6" hidden="1" x14ac:dyDescent="0.3">
      <c r="A1014" s="20">
        <v>30</v>
      </c>
      <c r="B1014" s="25">
        <v>0</v>
      </c>
      <c r="C1014" s="25"/>
      <c r="D1014" s="56" t="s">
        <v>368</v>
      </c>
      <c r="E1014" s="426">
        <v>44995</v>
      </c>
      <c r="F1014" s="26" t="s">
        <v>623</v>
      </c>
      <c r="G1014" s="426">
        <v>44958</v>
      </c>
      <c r="H1014" s="35" t="s">
        <v>1490</v>
      </c>
      <c r="I1014" s="21">
        <v>3294426</v>
      </c>
      <c r="J1014" s="21"/>
      <c r="K1014" s="22">
        <v>625940.94000000006</v>
      </c>
      <c r="L1014" s="23"/>
      <c r="M1014" s="22">
        <v>0</v>
      </c>
      <c r="N1014" s="74">
        <v>0</v>
      </c>
      <c r="O1014" s="22">
        <v>0</v>
      </c>
      <c r="P1014" s="21">
        <v>3920366.94</v>
      </c>
      <c r="S1014" s="108" t="b">
        <f>OR(COUNTIF(Tabla2[[#This Row],[PROVEEDOR]],"*"&amp;'Palabra no opera'!$A$2&amp;"*"))</f>
        <v>1</v>
      </c>
      <c r="T1014" s="139">
        <f>+$W$5-Tabla2[[#This Row],[FECHA DE FACTURACIÓN]]</f>
        <v>333</v>
      </c>
      <c r="U1014" t="str">
        <f>+IF(Tabla2[[#This Row],[dias de credito]]&gt;=Tabla2[[#This Row],[PLAZO Días]],"venc", "No venc")</f>
        <v>venc</v>
      </c>
      <c r="V1014" t="str">
        <f>+IF(Tabla2[[#This Row],[FECHA DE PAGO]]&gt;0,"pagada","por pagar")</f>
        <v>pagada</v>
      </c>
      <c r="W1014" s="141" t="str">
        <f>+IF(AND(Tabla2[[#This Row],[venc]]="venc",Tabla2[[#This Row],[Columna1]]="por pagar"),"vencida","no")</f>
        <v>no</v>
      </c>
    </row>
    <row r="1015" spans="1:23" ht="15.6" hidden="1" x14ac:dyDescent="0.3">
      <c r="A1015" s="20">
        <v>30</v>
      </c>
      <c r="B1015" s="25">
        <v>0</v>
      </c>
      <c r="C1015" s="25"/>
      <c r="D1015" s="56" t="s">
        <v>260</v>
      </c>
      <c r="E1015" s="426">
        <v>44995</v>
      </c>
      <c r="F1015" s="26" t="s">
        <v>635</v>
      </c>
      <c r="G1015" s="426">
        <v>44958</v>
      </c>
      <c r="H1015" s="35" t="s">
        <v>1491</v>
      </c>
      <c r="I1015" s="21">
        <v>3002200</v>
      </c>
      <c r="J1015" s="21"/>
      <c r="K1015" s="22">
        <v>0</v>
      </c>
      <c r="L1015" s="23"/>
      <c r="M1015" s="22">
        <v>0</v>
      </c>
      <c r="N1015" s="74">
        <v>3.5000000000000003E-2</v>
      </c>
      <c r="O1015" s="22">
        <v>105077.00000000001</v>
      </c>
      <c r="P1015" s="21">
        <v>2897123</v>
      </c>
      <c r="S1015" s="108" t="b">
        <f>OR(COUNTIF(Tabla2[[#This Row],[PROVEEDOR]],"*"&amp;'Palabra no opera'!$A$2&amp;"*"))</f>
        <v>1</v>
      </c>
      <c r="T1015" s="139">
        <f>+$W$5-Tabla2[[#This Row],[FECHA DE FACTURACIÓN]]</f>
        <v>333</v>
      </c>
      <c r="U1015" t="str">
        <f>+IF(Tabla2[[#This Row],[dias de credito]]&gt;=Tabla2[[#This Row],[PLAZO Días]],"venc", "No venc")</f>
        <v>venc</v>
      </c>
      <c r="V1015" t="str">
        <f>+IF(Tabla2[[#This Row],[FECHA DE PAGO]]&gt;0,"pagada","por pagar")</f>
        <v>pagada</v>
      </c>
      <c r="W1015" s="141" t="str">
        <f>+IF(AND(Tabla2[[#This Row],[venc]]="venc",Tabla2[[#This Row],[Columna1]]="por pagar"),"vencida","no")</f>
        <v>no</v>
      </c>
    </row>
    <row r="1016" spans="1:23" ht="15.6" hidden="1" x14ac:dyDescent="0.3">
      <c r="A1016" s="20">
        <v>30</v>
      </c>
      <c r="B1016" s="25">
        <v>0</v>
      </c>
      <c r="C1016" s="25"/>
      <c r="D1016" s="56" t="s">
        <v>107</v>
      </c>
      <c r="E1016" s="426">
        <v>44993</v>
      </c>
      <c r="F1016" s="26" t="s">
        <v>356</v>
      </c>
      <c r="G1016" s="426">
        <v>44993</v>
      </c>
      <c r="H1016" s="35" t="s">
        <v>1506</v>
      </c>
      <c r="I1016" s="21">
        <v>5386000</v>
      </c>
      <c r="J1016" s="21"/>
      <c r="K1016" s="22">
        <v>0</v>
      </c>
      <c r="L1016" s="23"/>
      <c r="M1016" s="22">
        <v>0</v>
      </c>
      <c r="N1016" s="74">
        <v>0</v>
      </c>
      <c r="O1016" s="22">
        <v>0</v>
      </c>
      <c r="P1016" s="21">
        <v>5386000</v>
      </c>
      <c r="S1016" s="108" t="b">
        <f>OR(COUNTIF(Tabla2[[#This Row],[PROVEEDOR]],"*"&amp;'Palabra no opera'!$A$2&amp;"*"))</f>
        <v>0</v>
      </c>
      <c r="T1016" s="139">
        <f>+$W$5-Tabla2[[#This Row],[FECHA DE FACTURACIÓN]]</f>
        <v>298</v>
      </c>
      <c r="U1016" t="str">
        <f>+IF(Tabla2[[#This Row],[dias de credito]]&gt;=Tabla2[[#This Row],[PLAZO Días]],"venc", "No venc")</f>
        <v>venc</v>
      </c>
      <c r="V1016" t="str">
        <f>+IF(Tabla2[[#This Row],[FECHA DE PAGO]]&gt;0,"pagada","por pagar")</f>
        <v>pagada</v>
      </c>
      <c r="W1016" s="141" t="str">
        <f>+IF(AND(Tabla2[[#This Row],[venc]]="venc",Tabla2[[#This Row],[Columna1]]="por pagar"),"vencida","no")</f>
        <v>no</v>
      </c>
    </row>
    <row r="1017" spans="1:23" ht="15.6" hidden="1" x14ac:dyDescent="0.3">
      <c r="A1017" s="20">
        <v>30</v>
      </c>
      <c r="B1017" s="25">
        <v>559000</v>
      </c>
      <c r="C1017" s="25"/>
      <c r="D1017" s="56" t="s">
        <v>107</v>
      </c>
      <c r="E1017" s="426">
        <v>44993</v>
      </c>
      <c r="F1017" s="26" t="s">
        <v>1554</v>
      </c>
      <c r="G1017" s="426">
        <v>44993</v>
      </c>
      <c r="H1017" s="35" t="s">
        <v>1555</v>
      </c>
      <c r="I1017" s="21">
        <v>330000</v>
      </c>
      <c r="J1017" s="21"/>
      <c r="K1017" s="22">
        <v>0</v>
      </c>
      <c r="L1017" s="23"/>
      <c r="M1017" s="22">
        <v>0</v>
      </c>
      <c r="N1017" s="74">
        <v>0</v>
      </c>
      <c r="O1017" s="22">
        <v>0</v>
      </c>
      <c r="P1017" s="21">
        <v>330000</v>
      </c>
      <c r="S1017" s="108" t="b">
        <f>OR(COUNTIF(Tabla2[[#This Row],[PROVEEDOR]],"*"&amp;'Palabra no opera'!$A$2&amp;"*"))</f>
        <v>0</v>
      </c>
      <c r="T1017" s="139">
        <f>+$W$5-Tabla2[[#This Row],[FECHA DE FACTURACIÓN]]</f>
        <v>298</v>
      </c>
      <c r="U1017" t="str">
        <f>+IF(Tabla2[[#This Row],[dias de credito]]&gt;=Tabla2[[#This Row],[PLAZO Días]],"venc", "No venc")</f>
        <v>venc</v>
      </c>
      <c r="V1017" t="str">
        <f>+IF(Tabla2[[#This Row],[FECHA DE PAGO]]&gt;0,"pagada","por pagar")</f>
        <v>pagada</v>
      </c>
      <c r="W1017" s="141" t="str">
        <f>+IF(AND(Tabla2[[#This Row],[venc]]="venc",Tabla2[[#This Row],[Columna1]]="por pagar"),"vencida","no")</f>
        <v>no</v>
      </c>
    </row>
    <row r="1018" spans="1:23" ht="15.6" hidden="1" x14ac:dyDescent="0.3">
      <c r="A1018" s="20">
        <v>60</v>
      </c>
      <c r="B1018" s="25">
        <v>395600</v>
      </c>
      <c r="C1018" s="25"/>
      <c r="D1018" s="56" t="s">
        <v>1482</v>
      </c>
      <c r="E1018" s="426">
        <v>44992</v>
      </c>
      <c r="F1018" s="26" t="s">
        <v>287</v>
      </c>
      <c r="G1018" s="426">
        <v>44963</v>
      </c>
      <c r="H1018" s="35">
        <v>1607</v>
      </c>
      <c r="I1018" s="21">
        <v>191200</v>
      </c>
      <c r="J1018" s="21"/>
      <c r="K1018" s="22">
        <v>0</v>
      </c>
      <c r="L1018" s="23"/>
      <c r="M1018" s="22">
        <v>0</v>
      </c>
      <c r="N1018" s="74">
        <v>0</v>
      </c>
      <c r="O1018" s="22">
        <v>0</v>
      </c>
      <c r="P1018" s="21">
        <v>191200</v>
      </c>
      <c r="S1018" s="108" t="b">
        <f>OR(COUNTIF(Tabla2[[#This Row],[PROVEEDOR]],"*"&amp;'Palabra no opera'!$A$2&amp;"*"))</f>
        <v>0</v>
      </c>
      <c r="T1018" s="139">
        <f>+$W$5-Tabla2[[#This Row],[FECHA DE FACTURACIÓN]]</f>
        <v>328</v>
      </c>
      <c r="U1018" t="str">
        <f>+IF(Tabla2[[#This Row],[dias de credito]]&gt;=Tabla2[[#This Row],[PLAZO Días]],"venc", "No venc")</f>
        <v>venc</v>
      </c>
      <c r="V1018" t="str">
        <f>+IF(Tabla2[[#This Row],[FECHA DE PAGO]]&gt;0,"pagada","por pagar")</f>
        <v>pagada</v>
      </c>
      <c r="W1018" s="141" t="str">
        <f>+IF(AND(Tabla2[[#This Row],[venc]]="venc",Tabla2[[#This Row],[Columna1]]="por pagar"),"vencida","no")</f>
        <v>no</v>
      </c>
    </row>
    <row r="1019" spans="1:23" ht="15.6" hidden="1" x14ac:dyDescent="0.3">
      <c r="A1019" s="20">
        <v>60</v>
      </c>
      <c r="B1019" s="25">
        <v>395600</v>
      </c>
      <c r="C1019" s="25"/>
      <c r="D1019" s="56" t="s">
        <v>1482</v>
      </c>
      <c r="E1019" s="426">
        <v>44992</v>
      </c>
      <c r="F1019" s="26" t="s">
        <v>287</v>
      </c>
      <c r="G1019" s="426">
        <v>44963</v>
      </c>
      <c r="H1019" s="35">
        <v>1608</v>
      </c>
      <c r="I1019" s="21">
        <v>191200</v>
      </c>
      <c r="J1019" s="21"/>
      <c r="K1019" s="22">
        <v>0</v>
      </c>
      <c r="L1019" s="23"/>
      <c r="M1019" s="22">
        <v>0</v>
      </c>
      <c r="N1019" s="74">
        <v>0</v>
      </c>
      <c r="O1019" s="22">
        <v>0</v>
      </c>
      <c r="P1019" s="21">
        <v>191200</v>
      </c>
      <c r="S1019" s="108" t="b">
        <f>OR(COUNTIF(Tabla2[[#This Row],[PROVEEDOR]],"*"&amp;'Palabra no opera'!$A$2&amp;"*"))</f>
        <v>0</v>
      </c>
      <c r="T1019" s="139">
        <f>+$W$5-Tabla2[[#This Row],[FECHA DE FACTURACIÓN]]</f>
        <v>328</v>
      </c>
      <c r="U1019" t="str">
        <f>+IF(Tabla2[[#This Row],[dias de credito]]&gt;=Tabla2[[#This Row],[PLAZO Días]],"venc", "No venc")</f>
        <v>venc</v>
      </c>
      <c r="V1019" t="str">
        <f>+IF(Tabla2[[#This Row],[FECHA DE PAGO]]&gt;0,"pagada","por pagar")</f>
        <v>pagada</v>
      </c>
      <c r="W1019" s="141" t="str">
        <f>+IF(AND(Tabla2[[#This Row],[venc]]="venc",Tabla2[[#This Row],[Columna1]]="por pagar"),"vencida","no")</f>
        <v>no</v>
      </c>
    </row>
    <row r="1020" spans="1:23" ht="15.6" hidden="1" x14ac:dyDescent="0.3">
      <c r="A1020" s="20">
        <v>60</v>
      </c>
      <c r="B1020" s="25">
        <v>395600</v>
      </c>
      <c r="C1020" s="25"/>
      <c r="D1020" s="56" t="s">
        <v>1482</v>
      </c>
      <c r="E1020" s="426">
        <v>44992</v>
      </c>
      <c r="F1020" s="26" t="s">
        <v>287</v>
      </c>
      <c r="G1020" s="426">
        <v>44963</v>
      </c>
      <c r="H1020" s="35">
        <v>1624</v>
      </c>
      <c r="I1020" s="21">
        <v>1178064</v>
      </c>
      <c r="J1020" s="21"/>
      <c r="K1020" s="22">
        <v>0</v>
      </c>
      <c r="L1020" s="23"/>
      <c r="M1020" s="22">
        <v>0</v>
      </c>
      <c r="N1020" s="74">
        <v>0</v>
      </c>
      <c r="O1020" s="22">
        <v>0</v>
      </c>
      <c r="P1020" s="21">
        <v>1178064</v>
      </c>
      <c r="S1020" s="108" t="b">
        <f>OR(COUNTIF(Tabla2[[#This Row],[PROVEEDOR]],"*"&amp;'Palabra no opera'!$A$2&amp;"*"))</f>
        <v>0</v>
      </c>
      <c r="T1020" s="139">
        <f>+$W$5-Tabla2[[#This Row],[FECHA DE FACTURACIÓN]]</f>
        <v>328</v>
      </c>
      <c r="U1020" t="str">
        <f>+IF(Tabla2[[#This Row],[dias de credito]]&gt;=Tabla2[[#This Row],[PLAZO Días]],"venc", "No venc")</f>
        <v>venc</v>
      </c>
      <c r="V1020" t="str">
        <f>+IF(Tabla2[[#This Row],[FECHA DE PAGO]]&gt;0,"pagada","por pagar")</f>
        <v>pagada</v>
      </c>
      <c r="W1020" s="141" t="str">
        <f>+IF(AND(Tabla2[[#This Row],[venc]]="venc",Tabla2[[#This Row],[Columna1]]="por pagar"),"vencida","no")</f>
        <v>no</v>
      </c>
    </row>
    <row r="1021" spans="1:23" ht="15.6" hidden="1" x14ac:dyDescent="0.3">
      <c r="A1021" s="20">
        <v>60</v>
      </c>
      <c r="B1021" s="25">
        <v>395600</v>
      </c>
      <c r="C1021" s="25"/>
      <c r="D1021" s="56" t="s">
        <v>1482</v>
      </c>
      <c r="E1021" s="426">
        <v>44992</v>
      </c>
      <c r="F1021" s="26" t="s">
        <v>287</v>
      </c>
      <c r="G1021" s="426">
        <v>44963</v>
      </c>
      <c r="H1021" s="35">
        <v>1623</v>
      </c>
      <c r="I1021" s="21">
        <v>349920</v>
      </c>
      <c r="J1021" s="21"/>
      <c r="K1021" s="22">
        <v>0</v>
      </c>
      <c r="L1021" s="23"/>
      <c r="M1021" s="22">
        <v>0</v>
      </c>
      <c r="N1021" s="74">
        <v>0</v>
      </c>
      <c r="O1021" s="22">
        <v>0</v>
      </c>
      <c r="P1021" s="21">
        <v>349920</v>
      </c>
      <c r="S1021" s="108" t="b">
        <f>OR(COUNTIF(Tabla2[[#This Row],[PROVEEDOR]],"*"&amp;'Palabra no opera'!$A$2&amp;"*"))</f>
        <v>0</v>
      </c>
      <c r="T1021" s="139">
        <f>+$W$5-Tabla2[[#This Row],[FECHA DE FACTURACIÓN]]</f>
        <v>328</v>
      </c>
      <c r="U1021" t="str">
        <f>+IF(Tabla2[[#This Row],[dias de credito]]&gt;=Tabla2[[#This Row],[PLAZO Días]],"venc", "No venc")</f>
        <v>venc</v>
      </c>
      <c r="V1021" t="str">
        <f>+IF(Tabla2[[#This Row],[FECHA DE PAGO]]&gt;0,"pagada","por pagar")</f>
        <v>pagada</v>
      </c>
      <c r="W1021" s="141" t="str">
        <f>+IF(AND(Tabla2[[#This Row],[venc]]="venc",Tabla2[[#This Row],[Columna1]]="por pagar"),"vencida","no")</f>
        <v>no</v>
      </c>
    </row>
    <row r="1022" spans="1:23" ht="15.6" hidden="1" x14ac:dyDescent="0.3">
      <c r="A1022" s="20">
        <v>60</v>
      </c>
      <c r="B1022" s="25">
        <v>395600</v>
      </c>
      <c r="C1022" s="25"/>
      <c r="D1022" s="56" t="s">
        <v>1482</v>
      </c>
      <c r="E1022" s="426">
        <v>44992</v>
      </c>
      <c r="F1022" s="26" t="s">
        <v>287</v>
      </c>
      <c r="G1022" s="426">
        <v>44949</v>
      </c>
      <c r="H1022" s="35">
        <v>1591</v>
      </c>
      <c r="I1022" s="21">
        <v>519340</v>
      </c>
      <c r="J1022" s="21"/>
      <c r="K1022" s="22">
        <v>0</v>
      </c>
      <c r="L1022" s="23"/>
      <c r="M1022" s="22">
        <v>0</v>
      </c>
      <c r="N1022" s="74">
        <v>0</v>
      </c>
      <c r="O1022" s="22">
        <v>0</v>
      </c>
      <c r="P1022" s="21">
        <v>519340</v>
      </c>
      <c r="S1022" s="108" t="b">
        <f>OR(COUNTIF(Tabla2[[#This Row],[PROVEEDOR]],"*"&amp;'Palabra no opera'!$A$2&amp;"*"))</f>
        <v>0</v>
      </c>
      <c r="T1022" s="139">
        <f>+$W$5-Tabla2[[#This Row],[FECHA DE FACTURACIÓN]]</f>
        <v>342</v>
      </c>
      <c r="U1022" t="str">
        <f>+IF(Tabla2[[#This Row],[dias de credito]]&gt;=Tabla2[[#This Row],[PLAZO Días]],"venc", "No venc")</f>
        <v>venc</v>
      </c>
      <c r="V1022" t="str">
        <f>+IF(Tabla2[[#This Row],[FECHA DE PAGO]]&gt;0,"pagada","por pagar")</f>
        <v>pagada</v>
      </c>
      <c r="W1022" s="141" t="str">
        <f>+IF(AND(Tabla2[[#This Row],[venc]]="venc",Tabla2[[#This Row],[Columna1]]="por pagar"),"vencida","no")</f>
        <v>no</v>
      </c>
    </row>
    <row r="1023" spans="1:23" ht="15.6" hidden="1" x14ac:dyDescent="0.3">
      <c r="A1023" s="20">
        <v>60</v>
      </c>
      <c r="B1023" s="25">
        <v>395600</v>
      </c>
      <c r="C1023" s="25"/>
      <c r="D1023" s="56" t="s">
        <v>1482</v>
      </c>
      <c r="E1023" s="426">
        <v>44992</v>
      </c>
      <c r="F1023" s="26" t="s">
        <v>287</v>
      </c>
      <c r="G1023" s="426">
        <v>44949</v>
      </c>
      <c r="H1023" s="35">
        <v>1598</v>
      </c>
      <c r="I1023" s="21">
        <v>184000</v>
      </c>
      <c r="J1023" s="21"/>
      <c r="K1023" s="22">
        <v>0</v>
      </c>
      <c r="L1023" s="23"/>
      <c r="M1023" s="22">
        <v>0</v>
      </c>
      <c r="N1023" s="74">
        <v>0</v>
      </c>
      <c r="O1023" s="22">
        <v>0</v>
      </c>
      <c r="P1023" s="21">
        <v>184000</v>
      </c>
      <c r="S1023" s="108" t="b">
        <f>OR(COUNTIF(Tabla2[[#This Row],[PROVEEDOR]],"*"&amp;'Palabra no opera'!$A$2&amp;"*"))</f>
        <v>0</v>
      </c>
      <c r="T1023" s="139">
        <f>+$W$5-Tabla2[[#This Row],[FECHA DE FACTURACIÓN]]</f>
        <v>342</v>
      </c>
      <c r="U1023" t="str">
        <f>+IF(Tabla2[[#This Row],[dias de credito]]&gt;=Tabla2[[#This Row],[PLAZO Días]],"venc", "No venc")</f>
        <v>venc</v>
      </c>
      <c r="V1023" t="str">
        <f>+IF(Tabla2[[#This Row],[FECHA DE PAGO]]&gt;0,"pagada","por pagar")</f>
        <v>pagada</v>
      </c>
      <c r="W1023" s="141" t="str">
        <f>+IF(AND(Tabla2[[#This Row],[venc]]="venc",Tabla2[[#This Row],[Columna1]]="por pagar"),"vencida","no")</f>
        <v>no</v>
      </c>
    </row>
    <row r="1024" spans="1:23" ht="15.6" hidden="1" x14ac:dyDescent="0.3">
      <c r="A1024" s="20">
        <v>45</v>
      </c>
      <c r="B1024" s="25">
        <v>3074500</v>
      </c>
      <c r="C1024" s="25"/>
      <c r="D1024" s="56" t="s">
        <v>1482</v>
      </c>
      <c r="E1024" s="426">
        <v>44992</v>
      </c>
      <c r="F1024" s="26" t="s">
        <v>289</v>
      </c>
      <c r="G1024" s="426">
        <v>44949</v>
      </c>
      <c r="H1024" s="35">
        <v>1589</v>
      </c>
      <c r="I1024" s="21">
        <v>2299080</v>
      </c>
      <c r="J1024" s="21"/>
      <c r="K1024" s="22">
        <v>0</v>
      </c>
      <c r="L1024" s="23"/>
      <c r="M1024" s="22">
        <v>0</v>
      </c>
      <c r="N1024" s="74">
        <v>0</v>
      </c>
      <c r="O1024" s="22">
        <v>0</v>
      </c>
      <c r="P1024" s="21">
        <v>2299080</v>
      </c>
      <c r="S1024" s="108" t="b">
        <f>OR(COUNTIF(Tabla2[[#This Row],[PROVEEDOR]],"*"&amp;'Palabra no opera'!$A$2&amp;"*"))</f>
        <v>0</v>
      </c>
      <c r="T1024" s="139">
        <f>+$W$5-Tabla2[[#This Row],[FECHA DE FACTURACIÓN]]</f>
        <v>342</v>
      </c>
      <c r="U1024" t="str">
        <f>+IF(Tabla2[[#This Row],[dias de credito]]&gt;=Tabla2[[#This Row],[PLAZO Días]],"venc", "No venc")</f>
        <v>venc</v>
      </c>
      <c r="V1024" t="str">
        <f>+IF(Tabla2[[#This Row],[FECHA DE PAGO]]&gt;0,"pagada","por pagar")</f>
        <v>pagada</v>
      </c>
      <c r="W1024" s="141" t="str">
        <f>+IF(AND(Tabla2[[#This Row],[venc]]="venc",Tabla2[[#This Row],[Columna1]]="por pagar"),"vencida","no")</f>
        <v>no</v>
      </c>
    </row>
    <row r="1025" spans="1:23" ht="15.6" hidden="1" x14ac:dyDescent="0.3">
      <c r="A1025" s="20">
        <v>60</v>
      </c>
      <c r="B1025" s="25">
        <v>395600</v>
      </c>
      <c r="C1025" s="25"/>
      <c r="D1025" s="56" t="s">
        <v>1482</v>
      </c>
      <c r="E1025" s="426">
        <v>44992</v>
      </c>
      <c r="F1025" s="26" t="s">
        <v>287</v>
      </c>
      <c r="G1025" s="426">
        <v>44927</v>
      </c>
      <c r="H1025" s="35">
        <v>1585</v>
      </c>
      <c r="I1025" s="21">
        <v>192000</v>
      </c>
      <c r="J1025" s="21"/>
      <c r="K1025" s="22">
        <v>0</v>
      </c>
      <c r="L1025" s="23"/>
      <c r="M1025" s="22">
        <v>0</v>
      </c>
      <c r="N1025" s="74">
        <v>0</v>
      </c>
      <c r="O1025" s="22">
        <v>0</v>
      </c>
      <c r="P1025" s="21">
        <v>192000</v>
      </c>
      <c r="S1025" s="108" t="b">
        <f>OR(COUNTIF(Tabla2[[#This Row],[PROVEEDOR]],"*"&amp;'Palabra no opera'!$A$2&amp;"*"))</f>
        <v>0</v>
      </c>
      <c r="T1025" s="139">
        <f>+$W$5-Tabla2[[#This Row],[FECHA DE FACTURACIÓN]]</f>
        <v>364</v>
      </c>
      <c r="U1025" t="str">
        <f>+IF(Tabla2[[#This Row],[dias de credito]]&gt;=Tabla2[[#This Row],[PLAZO Días]],"venc", "No venc")</f>
        <v>venc</v>
      </c>
      <c r="V1025" t="str">
        <f>+IF(Tabla2[[#This Row],[FECHA DE PAGO]]&gt;0,"pagada","por pagar")</f>
        <v>pagada</v>
      </c>
      <c r="W1025" s="141" t="str">
        <f>+IF(AND(Tabla2[[#This Row],[venc]]="venc",Tabla2[[#This Row],[Columna1]]="por pagar"),"vencida","no")</f>
        <v>no</v>
      </c>
    </row>
    <row r="1026" spans="1:23" ht="15.6" hidden="1" x14ac:dyDescent="0.3">
      <c r="A1026" s="20">
        <v>60</v>
      </c>
      <c r="B1026" s="25">
        <v>395600</v>
      </c>
      <c r="C1026" s="25"/>
      <c r="D1026" s="56" t="s">
        <v>1482</v>
      </c>
      <c r="E1026" s="426">
        <v>44992</v>
      </c>
      <c r="F1026" s="26" t="s">
        <v>287</v>
      </c>
      <c r="G1026" s="426">
        <v>44927</v>
      </c>
      <c r="H1026" s="35">
        <v>1586</v>
      </c>
      <c r="I1026" s="21">
        <v>192000</v>
      </c>
      <c r="J1026" s="21"/>
      <c r="K1026" s="22">
        <v>0</v>
      </c>
      <c r="L1026" s="23"/>
      <c r="M1026" s="22">
        <v>0</v>
      </c>
      <c r="N1026" s="74">
        <v>0</v>
      </c>
      <c r="O1026" s="22">
        <v>0</v>
      </c>
      <c r="P1026" s="21">
        <v>192000</v>
      </c>
      <c r="S1026" s="108" t="b">
        <f>OR(COUNTIF(Tabla2[[#This Row],[PROVEEDOR]],"*"&amp;'Palabra no opera'!$A$2&amp;"*"))</f>
        <v>0</v>
      </c>
      <c r="T1026" s="139">
        <f>+$W$5-Tabla2[[#This Row],[FECHA DE FACTURACIÓN]]</f>
        <v>364</v>
      </c>
      <c r="U1026" t="str">
        <f>+IF(Tabla2[[#This Row],[dias de credito]]&gt;=Tabla2[[#This Row],[PLAZO Días]],"venc", "No venc")</f>
        <v>venc</v>
      </c>
      <c r="V1026" t="str">
        <f>+IF(Tabla2[[#This Row],[FECHA DE PAGO]]&gt;0,"pagada","por pagar")</f>
        <v>pagada</v>
      </c>
      <c r="W1026" s="141" t="str">
        <f>+IF(AND(Tabla2[[#This Row],[venc]]="venc",Tabla2[[#This Row],[Columna1]]="por pagar"),"vencida","no")</f>
        <v>no</v>
      </c>
    </row>
    <row r="1027" spans="1:23" ht="15.6" hidden="1" x14ac:dyDescent="0.3">
      <c r="A1027" s="20">
        <v>60</v>
      </c>
      <c r="B1027" s="25">
        <v>395600</v>
      </c>
      <c r="C1027" s="25"/>
      <c r="D1027" s="56" t="s">
        <v>1482</v>
      </c>
      <c r="E1027" s="426">
        <v>44992</v>
      </c>
      <c r="F1027" s="26" t="s">
        <v>287</v>
      </c>
      <c r="G1027" s="426">
        <v>44924</v>
      </c>
      <c r="H1027" s="35">
        <v>1575</v>
      </c>
      <c r="I1027" s="21">
        <v>307200</v>
      </c>
      <c r="J1027" s="21"/>
      <c r="K1027" s="22">
        <v>0</v>
      </c>
      <c r="L1027" s="23"/>
      <c r="M1027" s="22">
        <v>0</v>
      </c>
      <c r="N1027" s="74">
        <v>0</v>
      </c>
      <c r="O1027" s="22">
        <v>0</v>
      </c>
      <c r="P1027" s="21">
        <v>307200</v>
      </c>
      <c r="S1027" s="108" t="b">
        <f>OR(COUNTIF(Tabla2[[#This Row],[PROVEEDOR]],"*"&amp;'Palabra no opera'!$A$2&amp;"*"))</f>
        <v>0</v>
      </c>
      <c r="T1027" s="139">
        <f>+$W$5-Tabla2[[#This Row],[FECHA DE FACTURACIÓN]]</f>
        <v>367</v>
      </c>
      <c r="U1027" t="str">
        <f>+IF(Tabla2[[#This Row],[dias de credito]]&gt;=Tabla2[[#This Row],[PLAZO Días]],"venc", "No venc")</f>
        <v>venc</v>
      </c>
      <c r="V1027" t="str">
        <f>+IF(Tabla2[[#This Row],[FECHA DE PAGO]]&gt;0,"pagada","por pagar")</f>
        <v>pagada</v>
      </c>
      <c r="W1027" s="141" t="str">
        <f>+IF(AND(Tabla2[[#This Row],[venc]]="venc",Tabla2[[#This Row],[Columna1]]="por pagar"),"vencida","no")</f>
        <v>no</v>
      </c>
    </row>
    <row r="1028" spans="1:23" ht="15.6" hidden="1" x14ac:dyDescent="0.3">
      <c r="A1028" s="20">
        <v>60</v>
      </c>
      <c r="B1028" s="25">
        <v>395600</v>
      </c>
      <c r="C1028" s="25"/>
      <c r="D1028" s="56" t="s">
        <v>1482</v>
      </c>
      <c r="E1028" s="426">
        <v>44992</v>
      </c>
      <c r="F1028" s="26" t="s">
        <v>287</v>
      </c>
      <c r="G1028" s="426">
        <v>44924</v>
      </c>
      <c r="H1028" s="35">
        <v>1576</v>
      </c>
      <c r="I1028" s="21">
        <v>249600</v>
      </c>
      <c r="J1028" s="21"/>
      <c r="K1028" s="22">
        <v>0</v>
      </c>
      <c r="L1028" s="23"/>
      <c r="M1028" s="22">
        <v>0</v>
      </c>
      <c r="N1028" s="74">
        <v>0</v>
      </c>
      <c r="O1028" s="22">
        <v>0</v>
      </c>
      <c r="P1028" s="21">
        <v>249600</v>
      </c>
      <c r="S1028" s="108" t="b">
        <f>OR(COUNTIF(Tabla2[[#This Row],[PROVEEDOR]],"*"&amp;'Palabra no opera'!$A$2&amp;"*"))</f>
        <v>0</v>
      </c>
      <c r="T1028" s="139">
        <f>+$W$5-Tabla2[[#This Row],[FECHA DE FACTURACIÓN]]</f>
        <v>367</v>
      </c>
      <c r="U1028" t="str">
        <f>+IF(Tabla2[[#This Row],[dias de credito]]&gt;=Tabla2[[#This Row],[PLAZO Días]],"venc", "No venc")</f>
        <v>venc</v>
      </c>
      <c r="V1028" t="str">
        <f>+IF(Tabla2[[#This Row],[FECHA DE PAGO]]&gt;0,"pagada","por pagar")</f>
        <v>pagada</v>
      </c>
      <c r="W1028" s="141" t="str">
        <f>+IF(AND(Tabla2[[#This Row],[venc]]="venc",Tabla2[[#This Row],[Columna1]]="por pagar"),"vencida","no")</f>
        <v>no</v>
      </c>
    </row>
    <row r="1029" spans="1:23" ht="15.6" hidden="1" x14ac:dyDescent="0.3">
      <c r="A1029" s="20">
        <v>60</v>
      </c>
      <c r="B1029" s="25">
        <v>395600</v>
      </c>
      <c r="C1029" s="25"/>
      <c r="D1029" s="56" t="s">
        <v>1482</v>
      </c>
      <c r="E1029" s="426">
        <v>44992</v>
      </c>
      <c r="F1029" s="26" t="s">
        <v>287</v>
      </c>
      <c r="G1029" s="426">
        <v>44922</v>
      </c>
      <c r="H1029" s="35">
        <v>1567</v>
      </c>
      <c r="I1029" s="21">
        <v>192000</v>
      </c>
      <c r="J1029" s="21"/>
      <c r="K1029" s="22">
        <v>0</v>
      </c>
      <c r="L1029" s="23"/>
      <c r="M1029" s="22">
        <v>0</v>
      </c>
      <c r="N1029" s="74">
        <v>0</v>
      </c>
      <c r="O1029" s="22">
        <v>0</v>
      </c>
      <c r="P1029" s="21">
        <v>192000</v>
      </c>
      <c r="S1029" s="108" t="b">
        <f>OR(COUNTIF(Tabla2[[#This Row],[PROVEEDOR]],"*"&amp;'Palabra no opera'!$A$2&amp;"*"))</f>
        <v>0</v>
      </c>
      <c r="T1029" s="139">
        <f>+$W$5-Tabla2[[#This Row],[FECHA DE FACTURACIÓN]]</f>
        <v>369</v>
      </c>
      <c r="U1029" t="str">
        <f>+IF(Tabla2[[#This Row],[dias de credito]]&gt;=Tabla2[[#This Row],[PLAZO Días]],"venc", "No venc")</f>
        <v>venc</v>
      </c>
      <c r="V1029" t="str">
        <f>+IF(Tabla2[[#This Row],[FECHA DE PAGO]]&gt;0,"pagada","por pagar")</f>
        <v>pagada</v>
      </c>
      <c r="W1029" s="141" t="str">
        <f>+IF(AND(Tabla2[[#This Row],[venc]]="venc",Tabla2[[#This Row],[Columna1]]="por pagar"),"vencida","no")</f>
        <v>no</v>
      </c>
    </row>
    <row r="1030" spans="1:23" ht="15.6" hidden="1" x14ac:dyDescent="0.3">
      <c r="A1030" s="20">
        <v>60</v>
      </c>
      <c r="B1030" s="25">
        <v>395600</v>
      </c>
      <c r="C1030" s="25"/>
      <c r="D1030" s="56" t="s">
        <v>1482</v>
      </c>
      <c r="E1030" s="426">
        <v>44992</v>
      </c>
      <c r="F1030" s="26" t="s">
        <v>287</v>
      </c>
      <c r="G1030" s="426">
        <v>44922</v>
      </c>
      <c r="H1030" s="35">
        <v>1568</v>
      </c>
      <c r="I1030" s="21">
        <v>211200</v>
      </c>
      <c r="J1030" s="21"/>
      <c r="K1030" s="22">
        <v>0</v>
      </c>
      <c r="L1030" s="23"/>
      <c r="M1030" s="22">
        <v>0</v>
      </c>
      <c r="N1030" s="74">
        <v>0</v>
      </c>
      <c r="O1030" s="22">
        <v>0</v>
      </c>
      <c r="P1030" s="21">
        <v>211200</v>
      </c>
      <c r="S1030" s="108" t="b">
        <f>OR(COUNTIF(Tabla2[[#This Row],[PROVEEDOR]],"*"&amp;'Palabra no opera'!$A$2&amp;"*"))</f>
        <v>0</v>
      </c>
      <c r="T1030" s="139">
        <f>+$W$5-Tabla2[[#This Row],[FECHA DE FACTURACIÓN]]</f>
        <v>369</v>
      </c>
      <c r="U1030" t="str">
        <f>+IF(Tabla2[[#This Row],[dias de credito]]&gt;=Tabla2[[#This Row],[PLAZO Días]],"venc", "No venc")</f>
        <v>venc</v>
      </c>
      <c r="V1030" t="str">
        <f>+IF(Tabla2[[#This Row],[FECHA DE PAGO]]&gt;0,"pagada","por pagar")</f>
        <v>pagada</v>
      </c>
      <c r="W1030" s="141" t="str">
        <f>+IF(AND(Tabla2[[#This Row],[venc]]="venc",Tabla2[[#This Row],[Columna1]]="por pagar"),"vencida","no")</f>
        <v>no</v>
      </c>
    </row>
    <row r="1031" spans="1:23" ht="15.6" hidden="1" x14ac:dyDescent="0.3">
      <c r="A1031" s="20">
        <v>60</v>
      </c>
      <c r="B1031" s="25">
        <v>395600</v>
      </c>
      <c r="C1031" s="25"/>
      <c r="D1031" s="56" t="s">
        <v>1482</v>
      </c>
      <c r="E1031" s="426">
        <v>44992</v>
      </c>
      <c r="F1031" s="26" t="s">
        <v>287</v>
      </c>
      <c r="G1031" s="426">
        <v>44922</v>
      </c>
      <c r="H1031" s="35">
        <v>1570</v>
      </c>
      <c r="I1031" s="21">
        <v>192000</v>
      </c>
      <c r="J1031" s="21"/>
      <c r="K1031" s="22">
        <v>0</v>
      </c>
      <c r="L1031" s="23"/>
      <c r="M1031" s="22">
        <v>0</v>
      </c>
      <c r="N1031" s="74">
        <v>0</v>
      </c>
      <c r="O1031" s="22">
        <v>0</v>
      </c>
      <c r="P1031" s="21">
        <v>192000</v>
      </c>
      <c r="S1031" s="108" t="b">
        <f>OR(COUNTIF(Tabla2[[#This Row],[PROVEEDOR]],"*"&amp;'Palabra no opera'!$A$2&amp;"*"))</f>
        <v>0</v>
      </c>
      <c r="T1031" s="139">
        <f>+$W$5-Tabla2[[#This Row],[FECHA DE FACTURACIÓN]]</f>
        <v>369</v>
      </c>
      <c r="U1031" t="str">
        <f>+IF(Tabla2[[#This Row],[dias de credito]]&gt;=Tabla2[[#This Row],[PLAZO Días]],"venc", "No venc")</f>
        <v>venc</v>
      </c>
      <c r="V1031" t="str">
        <f>+IF(Tabla2[[#This Row],[FECHA DE PAGO]]&gt;0,"pagada","por pagar")</f>
        <v>pagada</v>
      </c>
      <c r="W1031" s="141" t="str">
        <f>+IF(AND(Tabla2[[#This Row],[venc]]="venc",Tabla2[[#This Row],[Columna1]]="por pagar"),"vencida","no")</f>
        <v>no</v>
      </c>
    </row>
    <row r="1032" spans="1:23" ht="15.6" hidden="1" x14ac:dyDescent="0.3">
      <c r="A1032" s="20">
        <v>60</v>
      </c>
      <c r="B1032" s="25">
        <v>395600</v>
      </c>
      <c r="C1032" s="25"/>
      <c r="D1032" s="56" t="s">
        <v>1482</v>
      </c>
      <c r="E1032" s="426">
        <v>44992</v>
      </c>
      <c r="F1032" s="26" t="s">
        <v>287</v>
      </c>
      <c r="G1032" s="426">
        <v>44914</v>
      </c>
      <c r="H1032" s="35">
        <v>1566</v>
      </c>
      <c r="I1032" s="21">
        <v>192000</v>
      </c>
      <c r="J1032" s="21"/>
      <c r="K1032" s="22">
        <v>0</v>
      </c>
      <c r="L1032" s="23"/>
      <c r="M1032" s="22">
        <v>0</v>
      </c>
      <c r="N1032" s="74">
        <v>0</v>
      </c>
      <c r="O1032" s="22">
        <v>0</v>
      </c>
      <c r="P1032" s="21">
        <v>192000</v>
      </c>
      <c r="S1032" s="108" t="b">
        <f>OR(COUNTIF(Tabla2[[#This Row],[PROVEEDOR]],"*"&amp;'Palabra no opera'!$A$2&amp;"*"))</f>
        <v>0</v>
      </c>
      <c r="T1032" s="139">
        <f>+$W$5-Tabla2[[#This Row],[FECHA DE FACTURACIÓN]]</f>
        <v>377</v>
      </c>
      <c r="U1032" t="str">
        <f>+IF(Tabla2[[#This Row],[dias de credito]]&gt;=Tabla2[[#This Row],[PLAZO Días]],"venc", "No venc")</f>
        <v>venc</v>
      </c>
      <c r="V1032" t="str">
        <f>+IF(Tabla2[[#This Row],[FECHA DE PAGO]]&gt;0,"pagada","por pagar")</f>
        <v>pagada</v>
      </c>
      <c r="W1032" s="141" t="str">
        <f>+IF(AND(Tabla2[[#This Row],[venc]]="venc",Tabla2[[#This Row],[Columna1]]="por pagar"),"vencida","no")</f>
        <v>no</v>
      </c>
    </row>
    <row r="1033" spans="1:23" ht="15.6" hidden="1" x14ac:dyDescent="0.3">
      <c r="A1033" s="20">
        <v>60</v>
      </c>
      <c r="B1033" s="25">
        <v>0</v>
      </c>
      <c r="C1033" s="25"/>
      <c r="D1033" s="56" t="s">
        <v>376</v>
      </c>
      <c r="E1033" s="426">
        <v>44992</v>
      </c>
      <c r="F1033" s="26" t="s">
        <v>377</v>
      </c>
      <c r="G1033" s="426">
        <v>44877</v>
      </c>
      <c r="H1033" s="35" t="s">
        <v>1289</v>
      </c>
      <c r="I1033" s="21">
        <v>1845000</v>
      </c>
      <c r="J1033" s="21"/>
      <c r="K1033" s="22">
        <v>0</v>
      </c>
      <c r="L1033" s="23"/>
      <c r="M1033" s="22">
        <v>0</v>
      </c>
      <c r="N1033" s="74">
        <v>0</v>
      </c>
      <c r="O1033" s="22">
        <v>0</v>
      </c>
      <c r="P1033" s="21">
        <v>1845000</v>
      </c>
      <c r="S1033" s="108" t="b">
        <f>OR(COUNTIF(Tabla2[[#This Row],[PROVEEDOR]],"*"&amp;'Palabra no opera'!$A$2&amp;"*"))</f>
        <v>0</v>
      </c>
      <c r="T1033" s="139">
        <f>+$W$5-Tabla2[[#This Row],[FECHA DE FACTURACIÓN]]</f>
        <v>414</v>
      </c>
      <c r="U1033" t="str">
        <f>+IF(Tabla2[[#This Row],[dias de credito]]&gt;=Tabla2[[#This Row],[PLAZO Días]],"venc", "No venc")</f>
        <v>venc</v>
      </c>
      <c r="V1033" t="str">
        <f>+IF(Tabla2[[#This Row],[FECHA DE PAGO]]&gt;0,"pagada","por pagar")</f>
        <v>pagada</v>
      </c>
      <c r="W1033" s="141" t="str">
        <f>+IF(AND(Tabla2[[#This Row],[venc]]="venc",Tabla2[[#This Row],[Columna1]]="por pagar"),"vencida","no")</f>
        <v>no</v>
      </c>
    </row>
    <row r="1034" spans="1:23" ht="15.6" hidden="1" x14ac:dyDescent="0.3">
      <c r="A1034" s="20">
        <v>60</v>
      </c>
      <c r="B1034" s="25">
        <v>0</v>
      </c>
      <c r="C1034" s="25"/>
      <c r="D1034" s="56" t="s">
        <v>376</v>
      </c>
      <c r="E1034" s="426">
        <v>44992</v>
      </c>
      <c r="F1034" s="26" t="s">
        <v>377</v>
      </c>
      <c r="G1034" s="426">
        <v>44877</v>
      </c>
      <c r="H1034" s="35" t="s">
        <v>1290</v>
      </c>
      <c r="I1034" s="21">
        <v>3529000</v>
      </c>
      <c r="J1034" s="21"/>
      <c r="K1034" s="22">
        <v>0</v>
      </c>
      <c r="L1034" s="23"/>
      <c r="M1034" s="22">
        <v>0</v>
      </c>
      <c r="N1034" s="74">
        <v>0</v>
      </c>
      <c r="O1034" s="22">
        <v>0</v>
      </c>
      <c r="P1034" s="21">
        <v>3529000</v>
      </c>
      <c r="S1034" s="108" t="b">
        <f>OR(COUNTIF(Tabla2[[#This Row],[PROVEEDOR]],"*"&amp;'Palabra no opera'!$A$2&amp;"*"))</f>
        <v>0</v>
      </c>
      <c r="T1034" s="139">
        <f>+$W$5-Tabla2[[#This Row],[FECHA DE FACTURACIÓN]]</f>
        <v>414</v>
      </c>
      <c r="U1034" t="str">
        <f>+IF(Tabla2[[#This Row],[dias de credito]]&gt;=Tabla2[[#This Row],[PLAZO Días]],"venc", "No venc")</f>
        <v>venc</v>
      </c>
      <c r="V1034" t="str">
        <f>+IF(Tabla2[[#This Row],[FECHA DE PAGO]]&gt;0,"pagada","por pagar")</f>
        <v>pagada</v>
      </c>
      <c r="W1034" s="141" t="str">
        <f>+IF(AND(Tabla2[[#This Row],[venc]]="venc",Tabla2[[#This Row],[Columna1]]="por pagar"),"vencida","no")</f>
        <v>no</v>
      </c>
    </row>
    <row r="1035" spans="1:23" ht="15.6" hidden="1" x14ac:dyDescent="0.3">
      <c r="A1035" s="20">
        <v>30</v>
      </c>
      <c r="B1035" s="25">
        <v>0</v>
      </c>
      <c r="C1035" s="25"/>
      <c r="D1035" s="56" t="s">
        <v>325</v>
      </c>
      <c r="E1035" s="426">
        <v>44991</v>
      </c>
      <c r="F1035" s="26" t="s">
        <v>341</v>
      </c>
      <c r="G1035" s="426">
        <v>44991</v>
      </c>
      <c r="H1035" s="35" t="s">
        <v>1553</v>
      </c>
      <c r="I1035" s="21">
        <v>430000</v>
      </c>
      <c r="J1035" s="21"/>
      <c r="K1035" s="22">
        <v>0</v>
      </c>
      <c r="L1035" s="23"/>
      <c r="M1035" s="22">
        <v>0</v>
      </c>
      <c r="N1035" s="74">
        <v>0</v>
      </c>
      <c r="O1035" s="22">
        <v>0</v>
      </c>
      <c r="P1035" s="21">
        <v>430000</v>
      </c>
      <c r="S1035" s="108" t="b">
        <f>OR(COUNTIF(Tabla2[[#This Row],[PROVEEDOR]],"*"&amp;'Palabra no opera'!$A$2&amp;"*"))</f>
        <v>0</v>
      </c>
      <c r="T1035" s="139">
        <f>+$W$5-Tabla2[[#This Row],[FECHA DE FACTURACIÓN]]</f>
        <v>300</v>
      </c>
      <c r="U1035" t="str">
        <f>+IF(Tabla2[[#This Row],[dias de credito]]&gt;=Tabla2[[#This Row],[PLAZO Días]],"venc", "No venc")</f>
        <v>venc</v>
      </c>
      <c r="V1035" t="str">
        <f>+IF(Tabla2[[#This Row],[FECHA DE PAGO]]&gt;0,"pagada","por pagar")</f>
        <v>pagada</v>
      </c>
      <c r="W1035" s="141" t="str">
        <f>+IF(AND(Tabla2[[#This Row],[venc]]="venc",Tabla2[[#This Row],[Columna1]]="por pagar"),"vencida","no")</f>
        <v>no</v>
      </c>
    </row>
    <row r="1036" spans="1:23" ht="15.6" hidden="1" x14ac:dyDescent="0.3">
      <c r="A1036" s="20">
        <v>30</v>
      </c>
      <c r="B1036" s="25">
        <v>229206</v>
      </c>
      <c r="C1036" s="25"/>
      <c r="D1036" s="56" t="s">
        <v>659</v>
      </c>
      <c r="E1036" s="426">
        <v>44991</v>
      </c>
      <c r="F1036" s="26" t="s">
        <v>95</v>
      </c>
      <c r="G1036" s="426">
        <v>44991</v>
      </c>
      <c r="H1036" s="35" t="s">
        <v>1583</v>
      </c>
      <c r="I1036" s="21">
        <v>1930000</v>
      </c>
      <c r="J1036" s="21"/>
      <c r="K1036" s="22">
        <v>0</v>
      </c>
      <c r="L1036" s="23"/>
      <c r="M1036" s="22">
        <v>0</v>
      </c>
      <c r="N1036" s="74">
        <v>0</v>
      </c>
      <c r="O1036" s="22">
        <v>0</v>
      </c>
      <c r="P1036" s="21">
        <v>1930000</v>
      </c>
      <c r="S1036" s="108" t="b">
        <f>OR(COUNTIF(Tabla2[[#This Row],[PROVEEDOR]],"*"&amp;'Palabra no opera'!$A$2&amp;"*"))</f>
        <v>0</v>
      </c>
      <c r="T1036" s="139">
        <f>+$W$5-Tabla2[[#This Row],[FECHA DE FACTURACIÓN]]</f>
        <v>300</v>
      </c>
      <c r="U1036" t="str">
        <f>+IF(Tabla2[[#This Row],[dias de credito]]&gt;=Tabla2[[#This Row],[PLAZO Días]],"venc", "No venc")</f>
        <v>venc</v>
      </c>
      <c r="V1036" t="str">
        <f>+IF(Tabla2[[#This Row],[FECHA DE PAGO]]&gt;0,"pagada","por pagar")</f>
        <v>pagada</v>
      </c>
      <c r="W1036" s="141" t="str">
        <f>+IF(AND(Tabla2[[#This Row],[venc]]="venc",Tabla2[[#This Row],[Columna1]]="por pagar"),"vencida","no")</f>
        <v>no</v>
      </c>
    </row>
    <row r="1037" spans="1:23" ht="15.6" hidden="1" x14ac:dyDescent="0.3">
      <c r="A1037" s="20">
        <v>30</v>
      </c>
      <c r="B1037" s="25">
        <v>0</v>
      </c>
      <c r="C1037" s="25"/>
      <c r="D1037" s="56">
        <v>0</v>
      </c>
      <c r="E1037" s="426">
        <v>44991</v>
      </c>
      <c r="F1037" s="26" t="s">
        <v>471</v>
      </c>
      <c r="G1037" s="426">
        <v>44991</v>
      </c>
      <c r="H1037" s="35" t="s">
        <v>1480</v>
      </c>
      <c r="I1037" s="21">
        <v>1682849</v>
      </c>
      <c r="J1037" s="21"/>
      <c r="K1037" s="22">
        <v>319741.31</v>
      </c>
      <c r="L1037" s="23"/>
      <c r="M1037" s="22">
        <v>0</v>
      </c>
      <c r="N1037" s="74">
        <v>2.5000000000000001E-2</v>
      </c>
      <c r="O1037" s="22">
        <v>42071.225000000006</v>
      </c>
      <c r="P1037" s="21">
        <v>1960519.085</v>
      </c>
      <c r="S1037" s="108" t="b">
        <f>OR(COUNTIF(Tabla2[[#This Row],[PROVEEDOR]],"*"&amp;'Palabra no opera'!$A$2&amp;"*"))</f>
        <v>0</v>
      </c>
      <c r="T1037" s="139">
        <f>+$W$5-Tabla2[[#This Row],[FECHA DE FACTURACIÓN]]</f>
        <v>300</v>
      </c>
      <c r="U1037" t="str">
        <f>+IF(Tabla2[[#This Row],[dias de credito]]&gt;=Tabla2[[#This Row],[PLAZO Días]],"venc", "No venc")</f>
        <v>venc</v>
      </c>
      <c r="V1037" t="str">
        <f>+IF(Tabla2[[#This Row],[FECHA DE PAGO]]&gt;0,"pagada","por pagar")</f>
        <v>pagada</v>
      </c>
      <c r="W1037" s="141" t="str">
        <f>+IF(AND(Tabla2[[#This Row],[venc]]="venc",Tabla2[[#This Row],[Columna1]]="por pagar"),"vencida","no")</f>
        <v>no</v>
      </c>
    </row>
    <row r="1038" spans="1:23" ht="15.6" hidden="1" x14ac:dyDescent="0.3">
      <c r="A1038" s="20">
        <v>30</v>
      </c>
      <c r="B1038" s="25">
        <v>0</v>
      </c>
      <c r="C1038" s="25"/>
      <c r="D1038" s="56" t="s">
        <v>298</v>
      </c>
      <c r="E1038" s="426">
        <v>44991</v>
      </c>
      <c r="F1038" s="26" t="s">
        <v>253</v>
      </c>
      <c r="G1038" s="426">
        <v>44991</v>
      </c>
      <c r="H1038" s="35">
        <v>6922</v>
      </c>
      <c r="I1038" s="21">
        <v>4100000</v>
      </c>
      <c r="J1038" s="21"/>
      <c r="K1038" s="22">
        <v>779000</v>
      </c>
      <c r="L1038" s="23"/>
      <c r="M1038" s="22">
        <v>0</v>
      </c>
      <c r="N1038" s="74">
        <v>2.5000000000000001E-2</v>
      </c>
      <c r="O1038" s="22">
        <v>102500</v>
      </c>
      <c r="P1038" s="21">
        <v>4776500</v>
      </c>
      <c r="S1038" s="108" t="b">
        <f>OR(COUNTIF(Tabla2[[#This Row],[PROVEEDOR]],"*"&amp;'Palabra no opera'!$A$2&amp;"*"))</f>
        <v>0</v>
      </c>
      <c r="T1038" s="139">
        <f>+$W$5-Tabla2[[#This Row],[FECHA DE FACTURACIÓN]]</f>
        <v>300</v>
      </c>
      <c r="U1038" t="str">
        <f>+IF(Tabla2[[#This Row],[dias de credito]]&gt;=Tabla2[[#This Row],[PLAZO Días]],"venc", "No venc")</f>
        <v>venc</v>
      </c>
      <c r="V1038" t="str">
        <f>+IF(Tabla2[[#This Row],[FECHA DE PAGO]]&gt;0,"pagada","por pagar")</f>
        <v>pagada</v>
      </c>
      <c r="W1038" s="141" t="str">
        <f>+IF(AND(Tabla2[[#This Row],[venc]]="venc",Tabla2[[#This Row],[Columna1]]="por pagar"),"vencida","no")</f>
        <v>no</v>
      </c>
    </row>
    <row r="1039" spans="1:23" ht="15.6" hidden="1" x14ac:dyDescent="0.3">
      <c r="A1039" s="20">
        <v>30</v>
      </c>
      <c r="B1039" s="25">
        <v>18444236.894999996</v>
      </c>
      <c r="C1039" s="25"/>
      <c r="D1039" s="56" t="s">
        <v>731</v>
      </c>
      <c r="E1039" s="426">
        <v>44991</v>
      </c>
      <c r="F1039" s="26" t="s">
        <v>11</v>
      </c>
      <c r="G1039" s="426">
        <v>44991</v>
      </c>
      <c r="H1039" s="35" t="s">
        <v>1496</v>
      </c>
      <c r="I1039" s="21">
        <v>350379</v>
      </c>
      <c r="J1039" s="21"/>
      <c r="K1039" s="22">
        <v>66572.009999999995</v>
      </c>
      <c r="L1039" s="23"/>
      <c r="M1039" s="22">
        <v>0</v>
      </c>
      <c r="N1039" s="74">
        <v>0</v>
      </c>
      <c r="O1039" s="22">
        <v>0</v>
      </c>
      <c r="P1039" s="21">
        <v>416951.01</v>
      </c>
      <c r="S1039" s="108" t="b">
        <f>OR(COUNTIF(Tabla2[[#This Row],[PROVEEDOR]],"*"&amp;'Palabra no opera'!$A$2&amp;"*"))</f>
        <v>0</v>
      </c>
      <c r="T1039" s="139">
        <f>+$W$5-Tabla2[[#This Row],[FECHA DE FACTURACIÓN]]</f>
        <v>300</v>
      </c>
      <c r="U1039" t="str">
        <f>+IF(Tabla2[[#This Row],[dias de credito]]&gt;=Tabla2[[#This Row],[PLAZO Días]],"venc", "No venc")</f>
        <v>venc</v>
      </c>
      <c r="V1039" t="str">
        <f>+IF(Tabla2[[#This Row],[FECHA DE PAGO]]&gt;0,"pagada","por pagar")</f>
        <v>pagada</v>
      </c>
      <c r="W1039" s="141" t="str">
        <f>+IF(AND(Tabla2[[#This Row],[venc]]="venc",Tabla2[[#This Row],[Columna1]]="por pagar"),"vencida","no")</f>
        <v>no</v>
      </c>
    </row>
    <row r="1040" spans="1:23" ht="15.6" hidden="1" x14ac:dyDescent="0.3">
      <c r="A1040" s="20">
        <v>30</v>
      </c>
      <c r="B1040" s="25">
        <v>0</v>
      </c>
      <c r="C1040" s="25"/>
      <c r="D1040" s="56" t="s">
        <v>194</v>
      </c>
      <c r="E1040" s="426">
        <v>44991</v>
      </c>
      <c r="F1040" s="26" t="s">
        <v>640</v>
      </c>
      <c r="G1040" s="426">
        <v>44966</v>
      </c>
      <c r="H1040" s="35" t="s">
        <v>1426</v>
      </c>
      <c r="I1040" s="21">
        <v>1520000</v>
      </c>
      <c r="J1040" s="21"/>
      <c r="K1040" s="22">
        <v>0</v>
      </c>
      <c r="L1040" s="23"/>
      <c r="M1040" s="22">
        <v>0</v>
      </c>
      <c r="N1040" s="74"/>
      <c r="O1040" s="22">
        <v>0</v>
      </c>
      <c r="P1040" s="21">
        <v>1520000</v>
      </c>
      <c r="S1040" s="108" t="b">
        <f>OR(COUNTIF(Tabla2[[#This Row],[PROVEEDOR]],"*"&amp;'Palabra no opera'!$A$2&amp;"*"))</f>
        <v>1</v>
      </c>
      <c r="T1040" s="139">
        <f>+$W$5-Tabla2[[#This Row],[FECHA DE FACTURACIÓN]]</f>
        <v>325</v>
      </c>
      <c r="U1040" t="str">
        <f>+IF(Tabla2[[#This Row],[dias de credito]]&gt;=Tabla2[[#This Row],[PLAZO Días]],"venc", "No venc")</f>
        <v>venc</v>
      </c>
      <c r="V1040" t="str">
        <f>+IF(Tabla2[[#This Row],[FECHA DE PAGO]]&gt;0,"pagada","por pagar")</f>
        <v>pagada</v>
      </c>
      <c r="W1040" s="141" t="str">
        <f>+IF(AND(Tabla2[[#This Row],[venc]]="venc",Tabla2[[#This Row],[Columna1]]="por pagar"),"vencida","no")</f>
        <v>no</v>
      </c>
    </row>
    <row r="1041" spans="1:23" ht="15.6" hidden="1" x14ac:dyDescent="0.3">
      <c r="A1041" s="20">
        <v>30</v>
      </c>
      <c r="B1041" s="25">
        <v>0</v>
      </c>
      <c r="C1041" s="25"/>
      <c r="D1041" s="56">
        <v>0</v>
      </c>
      <c r="E1041" s="426">
        <v>44991</v>
      </c>
      <c r="F1041" s="26" t="s">
        <v>1423</v>
      </c>
      <c r="G1041" s="426">
        <v>44957</v>
      </c>
      <c r="H1041" s="35" t="s">
        <v>1424</v>
      </c>
      <c r="I1041" s="21">
        <v>430000</v>
      </c>
      <c r="J1041" s="21"/>
      <c r="K1041" s="22">
        <v>81700</v>
      </c>
      <c r="L1041" s="23"/>
      <c r="M1041" s="22">
        <v>0</v>
      </c>
      <c r="N1041" s="74">
        <v>0</v>
      </c>
      <c r="O1041" s="22">
        <v>0</v>
      </c>
      <c r="P1041" s="21">
        <v>511700</v>
      </c>
      <c r="S1041" s="108" t="b">
        <f>OR(COUNTIF(Tabla2[[#This Row],[PROVEEDOR]],"*"&amp;'Palabra no opera'!$A$2&amp;"*"))</f>
        <v>0</v>
      </c>
      <c r="T1041" s="139">
        <f>+$W$5-Tabla2[[#This Row],[FECHA DE FACTURACIÓN]]</f>
        <v>334</v>
      </c>
      <c r="U1041" t="str">
        <f>+IF(Tabla2[[#This Row],[dias de credito]]&gt;=Tabla2[[#This Row],[PLAZO Días]],"venc", "No venc")</f>
        <v>venc</v>
      </c>
      <c r="V1041" t="str">
        <f>+IF(Tabla2[[#This Row],[FECHA DE PAGO]]&gt;0,"pagada","por pagar")</f>
        <v>pagada</v>
      </c>
      <c r="W1041" s="141" t="str">
        <f>+IF(AND(Tabla2[[#This Row],[venc]]="venc",Tabla2[[#This Row],[Columna1]]="por pagar"),"vencida","no")</f>
        <v>no</v>
      </c>
    </row>
    <row r="1042" spans="1:23" ht="15.6" hidden="1" x14ac:dyDescent="0.3">
      <c r="A1042" s="20">
        <v>30</v>
      </c>
      <c r="B1042" s="25">
        <v>0</v>
      </c>
      <c r="C1042" s="25"/>
      <c r="D1042" s="56" t="s">
        <v>107</v>
      </c>
      <c r="E1042" s="426">
        <v>44991</v>
      </c>
      <c r="F1042" s="26" t="s">
        <v>1358</v>
      </c>
      <c r="G1042" s="426">
        <v>44902</v>
      </c>
      <c r="H1042" s="35">
        <v>2678</v>
      </c>
      <c r="I1042" s="21">
        <v>7820000</v>
      </c>
      <c r="J1042" s="21"/>
      <c r="K1042" s="22">
        <v>0</v>
      </c>
      <c r="L1042" s="23"/>
      <c r="M1042" s="22">
        <v>0</v>
      </c>
      <c r="N1042" s="74">
        <v>0</v>
      </c>
      <c r="O1042" s="22">
        <v>0</v>
      </c>
      <c r="P1042" s="21">
        <v>7820000</v>
      </c>
      <c r="S1042" s="108" t="b">
        <f>OR(COUNTIF(Tabla2[[#This Row],[PROVEEDOR]],"*"&amp;'Palabra no opera'!$A$2&amp;"*"))</f>
        <v>0</v>
      </c>
      <c r="T1042" s="139">
        <f>+$W$5-Tabla2[[#This Row],[FECHA DE FACTURACIÓN]]</f>
        <v>389</v>
      </c>
      <c r="U1042" t="str">
        <f>+IF(Tabla2[[#This Row],[dias de credito]]&gt;=Tabla2[[#This Row],[PLAZO Días]],"venc", "No venc")</f>
        <v>venc</v>
      </c>
      <c r="V1042" t="str">
        <f>+IF(Tabla2[[#This Row],[FECHA DE PAGO]]&gt;0,"pagada","por pagar")</f>
        <v>pagada</v>
      </c>
      <c r="W1042" s="141" t="str">
        <f>+IF(AND(Tabla2[[#This Row],[venc]]="venc",Tabla2[[#This Row],[Columna1]]="por pagar"),"vencida","no")</f>
        <v>no</v>
      </c>
    </row>
    <row r="1043" spans="1:23" ht="15.6" hidden="1" x14ac:dyDescent="0.3">
      <c r="A1043" s="20">
        <v>30</v>
      </c>
      <c r="B1043" s="25">
        <v>0</v>
      </c>
      <c r="C1043" s="25"/>
      <c r="D1043" s="56" t="s">
        <v>107</v>
      </c>
      <c r="E1043" s="426">
        <v>44988</v>
      </c>
      <c r="F1043" s="26" t="s">
        <v>832</v>
      </c>
      <c r="G1043" s="426">
        <v>44988</v>
      </c>
      <c r="H1043" s="35" t="s">
        <v>1505</v>
      </c>
      <c r="I1043" s="21">
        <v>171400</v>
      </c>
      <c r="J1043" s="21"/>
      <c r="K1043" s="22">
        <v>0</v>
      </c>
      <c r="L1043" s="23"/>
      <c r="M1043" s="22">
        <v>0</v>
      </c>
      <c r="N1043" s="74">
        <v>0</v>
      </c>
      <c r="O1043" s="22">
        <v>0</v>
      </c>
      <c r="P1043" s="21">
        <v>171400</v>
      </c>
      <c r="S1043" s="108" t="b">
        <f>OR(COUNTIF(Tabla2[[#This Row],[PROVEEDOR]],"*"&amp;'Palabra no opera'!$A$2&amp;"*"))</f>
        <v>1</v>
      </c>
      <c r="T1043" s="139">
        <f>+$W$5-Tabla2[[#This Row],[FECHA DE FACTURACIÓN]]</f>
        <v>303</v>
      </c>
      <c r="U1043" t="str">
        <f>+IF(Tabla2[[#This Row],[dias de credito]]&gt;=Tabla2[[#This Row],[PLAZO Días]],"venc", "No venc")</f>
        <v>venc</v>
      </c>
      <c r="V1043" t="str">
        <f>+IF(Tabla2[[#This Row],[FECHA DE PAGO]]&gt;0,"pagada","por pagar")</f>
        <v>pagada</v>
      </c>
      <c r="W1043" s="141" t="str">
        <f>+IF(AND(Tabla2[[#This Row],[venc]]="venc",Tabla2[[#This Row],[Columna1]]="por pagar"),"vencida","no")</f>
        <v>no</v>
      </c>
    </row>
    <row r="1044" spans="1:23" ht="15.6" hidden="1" x14ac:dyDescent="0.3">
      <c r="A1044" s="20">
        <v>30</v>
      </c>
      <c r="B1044" s="25">
        <v>0</v>
      </c>
      <c r="C1044" s="25"/>
      <c r="D1044" s="56">
        <v>0</v>
      </c>
      <c r="E1044" s="426">
        <v>44988</v>
      </c>
      <c r="F1044" s="26" t="s">
        <v>413</v>
      </c>
      <c r="G1044" s="426">
        <v>44977</v>
      </c>
      <c r="H1044" s="35" t="s">
        <v>1469</v>
      </c>
      <c r="I1044" s="21">
        <v>1008000</v>
      </c>
      <c r="J1044" s="21"/>
      <c r="K1044" s="22">
        <v>0</v>
      </c>
      <c r="L1044" s="23"/>
      <c r="M1044" s="22">
        <v>0</v>
      </c>
      <c r="N1044" s="74">
        <v>0</v>
      </c>
      <c r="O1044" s="22">
        <v>0</v>
      </c>
      <c r="P1044" s="21">
        <v>1008000</v>
      </c>
      <c r="S1044" s="108" t="b">
        <f>OR(COUNTIF(Tabla2[[#This Row],[PROVEEDOR]],"*"&amp;'Palabra no opera'!$A$2&amp;"*"))</f>
        <v>0</v>
      </c>
      <c r="T1044" s="139">
        <f>+$W$5-Tabla2[[#This Row],[FECHA DE FACTURACIÓN]]</f>
        <v>314</v>
      </c>
      <c r="U1044" t="str">
        <f>+IF(Tabla2[[#This Row],[dias de credito]]&gt;=Tabla2[[#This Row],[PLAZO Días]],"venc", "No venc")</f>
        <v>venc</v>
      </c>
      <c r="V1044" t="str">
        <f>+IF(Tabla2[[#This Row],[FECHA DE PAGO]]&gt;0,"pagada","por pagar")</f>
        <v>pagada</v>
      </c>
      <c r="W1044" s="141" t="str">
        <f>+IF(AND(Tabla2[[#This Row],[venc]]="venc",Tabla2[[#This Row],[Columna1]]="por pagar"),"vencida","no")</f>
        <v>no</v>
      </c>
    </row>
    <row r="1045" spans="1:23" ht="15.6" hidden="1" x14ac:dyDescent="0.3">
      <c r="A1045" s="20">
        <v>30</v>
      </c>
      <c r="B1045" s="25">
        <v>1316890.8900000001</v>
      </c>
      <c r="C1045" s="25"/>
      <c r="D1045" s="56" t="s">
        <v>188</v>
      </c>
      <c r="E1045" s="426">
        <v>44988</v>
      </c>
      <c r="F1045" s="26" t="s">
        <v>17</v>
      </c>
      <c r="G1045" s="426">
        <v>44960</v>
      </c>
      <c r="H1045" s="35" t="s">
        <v>1440</v>
      </c>
      <c r="I1045" s="21">
        <v>2018990</v>
      </c>
      <c r="J1045" s="21"/>
      <c r="K1045" s="22">
        <v>0</v>
      </c>
      <c r="L1045" s="23"/>
      <c r="M1045" s="22">
        <v>0</v>
      </c>
      <c r="N1045" s="74">
        <v>0</v>
      </c>
      <c r="O1045" s="22">
        <v>0</v>
      </c>
      <c r="P1045" s="21">
        <v>2018990</v>
      </c>
      <c r="S1045" s="108" t="b">
        <f>OR(COUNTIF(Tabla2[[#This Row],[PROVEEDOR]],"*"&amp;'Palabra no opera'!$A$2&amp;"*"))</f>
        <v>0</v>
      </c>
      <c r="T1045" s="139">
        <f>+$W$5-Tabla2[[#This Row],[FECHA DE FACTURACIÓN]]</f>
        <v>331</v>
      </c>
      <c r="U1045" t="str">
        <f>+IF(Tabla2[[#This Row],[dias de credito]]&gt;=Tabla2[[#This Row],[PLAZO Días]],"venc", "No venc")</f>
        <v>venc</v>
      </c>
      <c r="V1045" t="str">
        <f>+IF(Tabla2[[#This Row],[FECHA DE PAGO]]&gt;0,"pagada","por pagar")</f>
        <v>pagada</v>
      </c>
      <c r="W1045" s="141" t="str">
        <f>+IF(AND(Tabla2[[#This Row],[venc]]="venc",Tabla2[[#This Row],[Columna1]]="por pagar"),"vencida","no")</f>
        <v>no</v>
      </c>
    </row>
    <row r="1046" spans="1:23" ht="15.6" hidden="1" x14ac:dyDescent="0.3">
      <c r="A1046" s="20">
        <v>45</v>
      </c>
      <c r="B1046" s="25">
        <v>15770594</v>
      </c>
      <c r="C1046" s="25"/>
      <c r="D1046" s="56" t="s">
        <v>594</v>
      </c>
      <c r="E1046" s="426">
        <v>44988</v>
      </c>
      <c r="F1046" s="26" t="s">
        <v>19</v>
      </c>
      <c r="G1046" s="426">
        <v>44960</v>
      </c>
      <c r="H1046" s="35" t="s">
        <v>1430</v>
      </c>
      <c r="I1046" s="21">
        <v>8219280</v>
      </c>
      <c r="J1046" s="21"/>
      <c r="K1046" s="22">
        <v>1561663.2</v>
      </c>
      <c r="L1046" s="23"/>
      <c r="M1046" s="22">
        <v>0</v>
      </c>
      <c r="N1046" s="74">
        <v>0</v>
      </c>
      <c r="O1046" s="22">
        <v>0</v>
      </c>
      <c r="P1046" s="21">
        <v>9780943.1999999993</v>
      </c>
      <c r="S1046" s="108" t="b">
        <f>OR(COUNTIF(Tabla2[[#This Row],[PROVEEDOR]],"*"&amp;'Palabra no opera'!$A$2&amp;"*"))</f>
        <v>0</v>
      </c>
      <c r="T1046" s="139">
        <f>+$W$5-Tabla2[[#This Row],[FECHA DE FACTURACIÓN]]</f>
        <v>331</v>
      </c>
      <c r="U1046" t="str">
        <f>+IF(Tabla2[[#This Row],[dias de credito]]&gt;=Tabla2[[#This Row],[PLAZO Días]],"venc", "No venc")</f>
        <v>venc</v>
      </c>
      <c r="V1046" t="str">
        <f>+IF(Tabla2[[#This Row],[FECHA DE PAGO]]&gt;0,"pagada","por pagar")</f>
        <v>pagada</v>
      </c>
      <c r="W1046" s="141" t="str">
        <f>+IF(AND(Tabla2[[#This Row],[venc]]="venc",Tabla2[[#This Row],[Columna1]]="por pagar"),"vencida","no")</f>
        <v>no</v>
      </c>
    </row>
    <row r="1047" spans="1:23" ht="15.6" hidden="1" x14ac:dyDescent="0.3">
      <c r="A1047" s="20">
        <v>30</v>
      </c>
      <c r="B1047" s="25">
        <v>1316890.8900000001</v>
      </c>
      <c r="C1047" s="25"/>
      <c r="D1047" s="56" t="s">
        <v>188</v>
      </c>
      <c r="E1047" s="426">
        <v>44988</v>
      </c>
      <c r="F1047" s="26" t="s">
        <v>17</v>
      </c>
      <c r="G1047" s="426">
        <v>44960</v>
      </c>
      <c r="H1047" s="35" t="s">
        <v>1429</v>
      </c>
      <c r="I1047" s="21">
        <v>-14300</v>
      </c>
      <c r="J1047" s="21"/>
      <c r="K1047" s="22">
        <v>-2717</v>
      </c>
      <c r="L1047" s="23"/>
      <c r="M1047" s="22">
        <v>0</v>
      </c>
      <c r="N1047" s="74">
        <v>0</v>
      </c>
      <c r="O1047" s="22">
        <v>0</v>
      </c>
      <c r="P1047" s="21">
        <v>-17017</v>
      </c>
      <c r="S1047" s="108" t="b">
        <f>OR(COUNTIF(Tabla2[[#This Row],[PROVEEDOR]],"*"&amp;'Palabra no opera'!$A$2&amp;"*"))</f>
        <v>0</v>
      </c>
      <c r="T1047" s="139">
        <f>+$W$5-Tabla2[[#This Row],[FECHA DE FACTURACIÓN]]</f>
        <v>331</v>
      </c>
      <c r="U1047" t="str">
        <f>+IF(Tabla2[[#This Row],[dias de credito]]&gt;=Tabla2[[#This Row],[PLAZO Días]],"venc", "No venc")</f>
        <v>venc</v>
      </c>
      <c r="V1047" t="str">
        <f>+IF(Tabla2[[#This Row],[FECHA DE PAGO]]&gt;0,"pagada","por pagar")</f>
        <v>pagada</v>
      </c>
      <c r="W1047" s="141" t="str">
        <f>+IF(AND(Tabla2[[#This Row],[venc]]="venc",Tabla2[[#This Row],[Columna1]]="por pagar"),"vencida","no")</f>
        <v>no</v>
      </c>
    </row>
    <row r="1048" spans="1:23" ht="15.6" hidden="1" x14ac:dyDescent="0.3">
      <c r="A1048" s="20">
        <v>30</v>
      </c>
      <c r="B1048" s="25">
        <v>1316890.8900000001</v>
      </c>
      <c r="C1048" s="25"/>
      <c r="D1048" s="56" t="s">
        <v>188</v>
      </c>
      <c r="E1048" s="426">
        <v>44988</v>
      </c>
      <c r="F1048" s="26" t="s">
        <v>17</v>
      </c>
      <c r="G1048" s="426">
        <v>44957</v>
      </c>
      <c r="H1048" s="35" t="s">
        <v>1439</v>
      </c>
      <c r="I1048" s="21">
        <v>412700</v>
      </c>
      <c r="J1048" s="21"/>
      <c r="K1048" s="22">
        <v>78413</v>
      </c>
      <c r="L1048" s="23"/>
      <c r="M1048" s="22">
        <v>0</v>
      </c>
      <c r="N1048" s="74">
        <v>0</v>
      </c>
      <c r="O1048" s="22">
        <v>0</v>
      </c>
      <c r="P1048" s="21">
        <v>491113</v>
      </c>
      <c r="S1048" s="108" t="b">
        <f>OR(COUNTIF(Tabla2[[#This Row],[PROVEEDOR]],"*"&amp;'Palabra no opera'!$A$2&amp;"*"))</f>
        <v>0</v>
      </c>
      <c r="T1048" s="139">
        <f>+$W$5-Tabla2[[#This Row],[FECHA DE FACTURACIÓN]]</f>
        <v>334</v>
      </c>
      <c r="U1048" t="str">
        <f>+IF(Tabla2[[#This Row],[dias de credito]]&gt;=Tabla2[[#This Row],[PLAZO Días]],"venc", "No venc")</f>
        <v>venc</v>
      </c>
      <c r="V1048" t="str">
        <f>+IF(Tabla2[[#This Row],[FECHA DE PAGO]]&gt;0,"pagada","por pagar")</f>
        <v>pagada</v>
      </c>
      <c r="W1048" s="141" t="str">
        <f>+IF(AND(Tabla2[[#This Row],[venc]]="venc",Tabla2[[#This Row],[Columna1]]="por pagar"),"vencida","no")</f>
        <v>no</v>
      </c>
    </row>
    <row r="1049" spans="1:23" ht="15.6" hidden="1" x14ac:dyDescent="0.3">
      <c r="A1049" s="20">
        <v>30</v>
      </c>
      <c r="B1049" s="25">
        <v>1034000.52</v>
      </c>
      <c r="C1049" s="25"/>
      <c r="D1049" s="56" t="s">
        <v>177</v>
      </c>
      <c r="E1049" s="426">
        <v>44988</v>
      </c>
      <c r="F1049" s="26" t="s">
        <v>168</v>
      </c>
      <c r="G1049" s="426">
        <v>44957</v>
      </c>
      <c r="H1049" s="35" t="s">
        <v>1420</v>
      </c>
      <c r="I1049" s="21">
        <v>262185</v>
      </c>
      <c r="J1049" s="21"/>
      <c r="K1049" s="22">
        <v>49815.15</v>
      </c>
      <c r="L1049" s="23"/>
      <c r="M1049" s="22">
        <v>0</v>
      </c>
      <c r="N1049" s="74">
        <v>0</v>
      </c>
      <c r="O1049" s="22">
        <v>0</v>
      </c>
      <c r="P1049" s="21">
        <v>312000.15000000002</v>
      </c>
      <c r="S1049" s="108" t="b">
        <f>OR(COUNTIF(Tabla2[[#This Row],[PROVEEDOR]],"*"&amp;'Palabra no opera'!$A$2&amp;"*"))</f>
        <v>0</v>
      </c>
      <c r="T1049" s="139">
        <f>+$W$5-Tabla2[[#This Row],[FECHA DE FACTURACIÓN]]</f>
        <v>334</v>
      </c>
      <c r="U1049" t="str">
        <f>+IF(Tabla2[[#This Row],[dias de credito]]&gt;=Tabla2[[#This Row],[PLAZO Días]],"venc", "No venc")</f>
        <v>venc</v>
      </c>
      <c r="V1049" t="str">
        <f>+IF(Tabla2[[#This Row],[FECHA DE PAGO]]&gt;0,"pagada","por pagar")</f>
        <v>pagada</v>
      </c>
      <c r="W1049" s="141" t="str">
        <f>+IF(AND(Tabla2[[#This Row],[venc]]="venc",Tabla2[[#This Row],[Columna1]]="por pagar"),"vencida","no")</f>
        <v>no</v>
      </c>
    </row>
    <row r="1050" spans="1:23" ht="15.6" hidden="1" x14ac:dyDescent="0.3">
      <c r="A1050" s="20">
        <v>30</v>
      </c>
      <c r="B1050" s="25">
        <v>0</v>
      </c>
      <c r="C1050" s="25"/>
      <c r="D1050" s="56" t="s">
        <v>190</v>
      </c>
      <c r="E1050" s="426">
        <v>44988</v>
      </c>
      <c r="F1050" s="26" t="s">
        <v>964</v>
      </c>
      <c r="G1050" s="426">
        <v>44953</v>
      </c>
      <c r="H1050" s="35">
        <v>40466</v>
      </c>
      <c r="I1050" s="21">
        <v>1636800</v>
      </c>
      <c r="J1050" s="21"/>
      <c r="K1050" s="22">
        <v>310992</v>
      </c>
      <c r="L1050" s="23"/>
      <c r="M1050" s="22">
        <v>0</v>
      </c>
      <c r="N1050" s="74">
        <v>0</v>
      </c>
      <c r="O1050" s="22">
        <v>0</v>
      </c>
      <c r="P1050" s="21">
        <v>1947792</v>
      </c>
      <c r="S1050" s="108" t="b">
        <f>OR(COUNTIF(Tabla2[[#This Row],[PROVEEDOR]],"*"&amp;'Palabra no opera'!$A$2&amp;"*"))</f>
        <v>0</v>
      </c>
      <c r="T1050" s="139">
        <f>+$W$5-Tabla2[[#This Row],[FECHA DE FACTURACIÓN]]</f>
        <v>338</v>
      </c>
      <c r="U1050" t="str">
        <f>+IF(Tabla2[[#This Row],[dias de credito]]&gt;=Tabla2[[#This Row],[PLAZO Días]],"venc", "No venc")</f>
        <v>venc</v>
      </c>
      <c r="V1050" t="str">
        <f>+IF(Tabla2[[#This Row],[FECHA DE PAGO]]&gt;0,"pagada","por pagar")</f>
        <v>pagada</v>
      </c>
      <c r="W1050" s="141" t="str">
        <f>+IF(AND(Tabla2[[#This Row],[venc]]="venc",Tabla2[[#This Row],[Columna1]]="por pagar"),"vencida","no")</f>
        <v>no</v>
      </c>
    </row>
    <row r="1051" spans="1:23" ht="15.6" hidden="1" x14ac:dyDescent="0.3">
      <c r="A1051" s="20">
        <v>30</v>
      </c>
      <c r="B1051" s="25">
        <v>3209330.35</v>
      </c>
      <c r="C1051" s="25"/>
      <c r="D1051" s="56" t="s">
        <v>187</v>
      </c>
      <c r="E1051" s="426">
        <v>44988</v>
      </c>
      <c r="F1051" s="26" t="s">
        <v>282</v>
      </c>
      <c r="G1051" s="426">
        <v>44952</v>
      </c>
      <c r="H1051" s="35" t="s">
        <v>1411</v>
      </c>
      <c r="I1051" s="21">
        <v>4892185</v>
      </c>
      <c r="J1051" s="21"/>
      <c r="K1051" s="22">
        <v>929515.15</v>
      </c>
      <c r="L1051" s="23"/>
      <c r="M1051" s="22">
        <v>0</v>
      </c>
      <c r="N1051" s="74">
        <v>2.5000000000000001E-2</v>
      </c>
      <c r="O1051" s="22">
        <v>122304.625</v>
      </c>
      <c r="P1051" s="21">
        <v>5699395.5250000004</v>
      </c>
      <c r="S1051" s="108" t="b">
        <f>OR(COUNTIF(Tabla2[[#This Row],[PROVEEDOR]],"*"&amp;'Palabra no opera'!$A$2&amp;"*"))</f>
        <v>0</v>
      </c>
      <c r="T1051" s="139">
        <f>+$W$5-Tabla2[[#This Row],[FECHA DE FACTURACIÓN]]</f>
        <v>339</v>
      </c>
      <c r="U1051" t="str">
        <f>+IF(Tabla2[[#This Row],[dias de credito]]&gt;=Tabla2[[#This Row],[PLAZO Días]],"venc", "No venc")</f>
        <v>venc</v>
      </c>
      <c r="V1051" t="str">
        <f>+IF(Tabla2[[#This Row],[FECHA DE PAGO]]&gt;0,"pagada","por pagar")</f>
        <v>pagada</v>
      </c>
      <c r="W1051" s="141" t="str">
        <f>+IF(AND(Tabla2[[#This Row],[venc]]="venc",Tabla2[[#This Row],[Columna1]]="por pagar"),"vencida","no")</f>
        <v>no</v>
      </c>
    </row>
    <row r="1052" spans="1:23" ht="15.6" hidden="1" x14ac:dyDescent="0.3">
      <c r="A1052" s="20">
        <v>30</v>
      </c>
      <c r="B1052" s="25">
        <v>0</v>
      </c>
      <c r="C1052" s="25"/>
      <c r="D1052" s="56" t="s">
        <v>199</v>
      </c>
      <c r="E1052" s="426">
        <v>44988</v>
      </c>
      <c r="F1052" s="26" t="s">
        <v>1069</v>
      </c>
      <c r="G1052" s="426">
        <v>44952</v>
      </c>
      <c r="H1052" s="35" t="s">
        <v>1421</v>
      </c>
      <c r="I1052" s="21">
        <v>1278410</v>
      </c>
      <c r="J1052" s="21"/>
      <c r="K1052" s="22">
        <v>242897.9</v>
      </c>
      <c r="L1052" s="23"/>
      <c r="M1052" s="22">
        <v>0</v>
      </c>
      <c r="N1052" s="74">
        <v>2.5000000000000001E-2</v>
      </c>
      <c r="O1052" s="22">
        <v>31960.25</v>
      </c>
      <c r="P1052" s="21">
        <v>1489347.65</v>
      </c>
      <c r="S1052" s="108" t="b">
        <f>OR(COUNTIF(Tabla2[[#This Row],[PROVEEDOR]],"*"&amp;'Palabra no opera'!$A$2&amp;"*"))</f>
        <v>0</v>
      </c>
      <c r="T1052" s="139">
        <f>+$W$5-Tabla2[[#This Row],[FECHA DE FACTURACIÓN]]</f>
        <v>339</v>
      </c>
      <c r="U1052" t="str">
        <f>+IF(Tabla2[[#This Row],[dias de credito]]&gt;=Tabla2[[#This Row],[PLAZO Días]],"venc", "No venc")</f>
        <v>venc</v>
      </c>
      <c r="V1052" t="str">
        <f>+IF(Tabla2[[#This Row],[FECHA DE PAGO]]&gt;0,"pagada","por pagar")</f>
        <v>pagada</v>
      </c>
      <c r="W1052" s="141" t="str">
        <f>+IF(AND(Tabla2[[#This Row],[venc]]="venc",Tabla2[[#This Row],[Columna1]]="por pagar"),"vencida","no")</f>
        <v>no</v>
      </c>
    </row>
    <row r="1053" spans="1:23" ht="15.6" hidden="1" x14ac:dyDescent="0.3">
      <c r="A1053" s="20">
        <v>30</v>
      </c>
      <c r="B1053" s="25">
        <v>1316890.8900000001</v>
      </c>
      <c r="C1053" s="25"/>
      <c r="D1053" s="56" t="s">
        <v>188</v>
      </c>
      <c r="E1053" s="426">
        <v>44988</v>
      </c>
      <c r="F1053" s="26" t="s">
        <v>17</v>
      </c>
      <c r="G1053" s="426">
        <v>44951</v>
      </c>
      <c r="H1053" s="35" t="s">
        <v>1465</v>
      </c>
      <c r="I1053" s="21">
        <v>819316</v>
      </c>
      <c r="J1053" s="21"/>
      <c r="K1053" s="22">
        <v>0</v>
      </c>
      <c r="L1053" s="23"/>
      <c r="M1053" s="22">
        <v>0</v>
      </c>
      <c r="N1053" s="74">
        <v>0</v>
      </c>
      <c r="O1053" s="22">
        <v>0</v>
      </c>
      <c r="P1053" s="21">
        <v>819316</v>
      </c>
      <c r="S1053" s="108" t="b">
        <f>OR(COUNTIF(Tabla2[[#This Row],[PROVEEDOR]],"*"&amp;'Palabra no opera'!$A$2&amp;"*"))</f>
        <v>0</v>
      </c>
      <c r="T1053" s="139">
        <f>+$W$5-Tabla2[[#This Row],[FECHA DE FACTURACIÓN]]</f>
        <v>340</v>
      </c>
      <c r="U1053" t="str">
        <f>+IF(Tabla2[[#This Row],[dias de credito]]&gt;=Tabla2[[#This Row],[PLAZO Días]],"venc", "No venc")</f>
        <v>venc</v>
      </c>
      <c r="V1053" t="str">
        <f>+IF(Tabla2[[#This Row],[FECHA DE PAGO]]&gt;0,"pagada","por pagar")</f>
        <v>pagada</v>
      </c>
      <c r="W1053" s="141" t="str">
        <f>+IF(AND(Tabla2[[#This Row],[venc]]="venc",Tabla2[[#This Row],[Columna1]]="por pagar"),"vencida","no")</f>
        <v>no</v>
      </c>
    </row>
    <row r="1054" spans="1:23" ht="15.6" hidden="1" x14ac:dyDescent="0.3">
      <c r="A1054" s="20">
        <v>30</v>
      </c>
      <c r="B1054" s="25">
        <v>0</v>
      </c>
      <c r="C1054" s="25"/>
      <c r="D1054" s="56" t="s">
        <v>211</v>
      </c>
      <c r="E1054" s="426">
        <v>44988</v>
      </c>
      <c r="F1054" s="26" t="s">
        <v>26</v>
      </c>
      <c r="G1054" s="426">
        <v>44951</v>
      </c>
      <c r="H1054" s="35" t="s">
        <v>1419</v>
      </c>
      <c r="I1054" s="21">
        <v>3088000</v>
      </c>
      <c r="J1054" s="21"/>
      <c r="K1054" s="22">
        <v>586720</v>
      </c>
      <c r="L1054" s="23"/>
      <c r="M1054" s="22">
        <v>0</v>
      </c>
      <c r="N1054" s="74">
        <v>2.5000000000000001E-2</v>
      </c>
      <c r="O1054" s="22">
        <v>77200</v>
      </c>
      <c r="P1054" s="21">
        <v>3597520</v>
      </c>
      <c r="S1054" s="108" t="b">
        <f>OR(COUNTIF(Tabla2[[#This Row],[PROVEEDOR]],"*"&amp;'Palabra no opera'!$A$2&amp;"*"))</f>
        <v>0</v>
      </c>
      <c r="T1054" s="139">
        <f>+$W$5-Tabla2[[#This Row],[FECHA DE FACTURACIÓN]]</f>
        <v>340</v>
      </c>
      <c r="U1054" t="str">
        <f>+IF(Tabla2[[#This Row],[dias de credito]]&gt;=Tabla2[[#This Row],[PLAZO Días]],"venc", "No venc")</f>
        <v>venc</v>
      </c>
      <c r="V1054" t="str">
        <f>+IF(Tabla2[[#This Row],[FECHA DE PAGO]]&gt;0,"pagada","por pagar")</f>
        <v>pagada</v>
      </c>
      <c r="W1054" s="141" t="str">
        <f>+IF(AND(Tabla2[[#This Row],[venc]]="venc",Tabla2[[#This Row],[Columna1]]="por pagar"),"vencida","no")</f>
        <v>no</v>
      </c>
    </row>
    <row r="1055" spans="1:23" ht="15.6" hidden="1" x14ac:dyDescent="0.3">
      <c r="A1055" s="20">
        <v>30</v>
      </c>
      <c r="B1055" s="25">
        <v>1034000.52</v>
      </c>
      <c r="C1055" s="25"/>
      <c r="D1055" s="56" t="s">
        <v>177</v>
      </c>
      <c r="E1055" s="426">
        <v>44988</v>
      </c>
      <c r="F1055" s="26" t="s">
        <v>168</v>
      </c>
      <c r="G1055" s="426">
        <v>44951</v>
      </c>
      <c r="H1055" s="35" t="s">
        <v>1416</v>
      </c>
      <c r="I1055" s="21">
        <v>1216808</v>
      </c>
      <c r="J1055" s="21"/>
      <c r="K1055" s="22">
        <v>231193.52</v>
      </c>
      <c r="L1055" s="23"/>
      <c r="M1055" s="22">
        <v>0</v>
      </c>
      <c r="N1055" s="74">
        <v>2.5000000000000001E-2</v>
      </c>
      <c r="O1055" s="22">
        <v>30420.2</v>
      </c>
      <c r="P1055" s="21">
        <v>1417581.32</v>
      </c>
      <c r="S1055" s="108" t="b">
        <f>OR(COUNTIF(Tabla2[[#This Row],[PROVEEDOR]],"*"&amp;'Palabra no opera'!$A$2&amp;"*"))</f>
        <v>0</v>
      </c>
      <c r="T1055" s="139">
        <f>+$W$5-Tabla2[[#This Row],[FECHA DE FACTURACIÓN]]</f>
        <v>340</v>
      </c>
      <c r="U1055" t="str">
        <f>+IF(Tabla2[[#This Row],[dias de credito]]&gt;=Tabla2[[#This Row],[PLAZO Días]],"venc", "No venc")</f>
        <v>venc</v>
      </c>
      <c r="V1055" t="str">
        <f>+IF(Tabla2[[#This Row],[FECHA DE PAGO]]&gt;0,"pagada","por pagar")</f>
        <v>pagada</v>
      </c>
      <c r="W1055" s="141" t="str">
        <f>+IF(AND(Tabla2[[#This Row],[venc]]="venc",Tabla2[[#This Row],[Columna1]]="por pagar"),"vencida","no")</f>
        <v>no</v>
      </c>
    </row>
    <row r="1056" spans="1:23" ht="15.6" hidden="1" x14ac:dyDescent="0.3">
      <c r="A1056" s="20">
        <v>30</v>
      </c>
      <c r="B1056" s="25">
        <v>0</v>
      </c>
      <c r="C1056" s="25"/>
      <c r="D1056" s="56" t="s">
        <v>296</v>
      </c>
      <c r="E1056" s="426">
        <v>44988</v>
      </c>
      <c r="F1056" s="26" t="s">
        <v>281</v>
      </c>
      <c r="G1056" s="426">
        <v>44950</v>
      </c>
      <c r="H1056" s="35" t="s">
        <v>1410</v>
      </c>
      <c r="I1056" s="21">
        <v>2040000</v>
      </c>
      <c r="J1056" s="21"/>
      <c r="K1056" s="22">
        <v>387600</v>
      </c>
      <c r="L1056" s="23"/>
      <c r="M1056" s="22">
        <v>0</v>
      </c>
      <c r="N1056" s="74">
        <v>0</v>
      </c>
      <c r="O1056" s="22">
        <v>0</v>
      </c>
      <c r="P1056" s="21">
        <v>2427600</v>
      </c>
      <c r="S1056" s="108" t="b">
        <f>OR(COUNTIF(Tabla2[[#This Row],[PROVEEDOR]],"*"&amp;'Palabra no opera'!$A$2&amp;"*"))</f>
        <v>0</v>
      </c>
      <c r="T1056" s="139">
        <f>+$W$5-Tabla2[[#This Row],[FECHA DE FACTURACIÓN]]</f>
        <v>341</v>
      </c>
      <c r="U1056" t="str">
        <f>+IF(Tabla2[[#This Row],[dias de credito]]&gt;=Tabla2[[#This Row],[PLAZO Días]],"venc", "No venc")</f>
        <v>venc</v>
      </c>
      <c r="V1056" t="str">
        <f>+IF(Tabla2[[#This Row],[FECHA DE PAGO]]&gt;0,"pagada","por pagar")</f>
        <v>pagada</v>
      </c>
      <c r="W1056" s="141" t="str">
        <f>+IF(AND(Tabla2[[#This Row],[venc]]="venc",Tabla2[[#This Row],[Columna1]]="por pagar"),"vencida","no")</f>
        <v>no</v>
      </c>
    </row>
    <row r="1057" spans="1:23" ht="15.6" hidden="1" x14ac:dyDescent="0.3">
      <c r="A1057" s="20">
        <v>30</v>
      </c>
      <c r="B1057" s="25">
        <v>5537221.7000000002</v>
      </c>
      <c r="C1057" s="25"/>
      <c r="D1057" s="56" t="s">
        <v>402</v>
      </c>
      <c r="E1057" s="426">
        <v>44988</v>
      </c>
      <c r="F1057" s="26" t="s">
        <v>293</v>
      </c>
      <c r="G1057" s="426">
        <v>44949</v>
      </c>
      <c r="H1057" s="35" t="s">
        <v>1415</v>
      </c>
      <c r="I1057" s="21">
        <v>732750</v>
      </c>
      <c r="J1057" s="21"/>
      <c r="K1057" s="22">
        <v>139222.5</v>
      </c>
      <c r="L1057" s="23"/>
      <c r="M1057" s="22">
        <v>0</v>
      </c>
      <c r="N1057" s="74">
        <v>0</v>
      </c>
      <c r="O1057" s="22">
        <v>0</v>
      </c>
      <c r="P1057" s="21">
        <v>871972.5</v>
      </c>
      <c r="S1057" s="108" t="b">
        <f>OR(COUNTIF(Tabla2[[#This Row],[PROVEEDOR]],"*"&amp;'Palabra no opera'!$A$2&amp;"*"))</f>
        <v>0</v>
      </c>
      <c r="T1057" s="139">
        <f>+$W$5-Tabla2[[#This Row],[FECHA DE FACTURACIÓN]]</f>
        <v>342</v>
      </c>
      <c r="U1057" t="str">
        <f>+IF(Tabla2[[#This Row],[dias de credito]]&gt;=Tabla2[[#This Row],[PLAZO Días]],"venc", "No venc")</f>
        <v>venc</v>
      </c>
      <c r="V1057" t="str">
        <f>+IF(Tabla2[[#This Row],[FECHA DE PAGO]]&gt;0,"pagada","por pagar")</f>
        <v>pagada</v>
      </c>
      <c r="W1057" s="141" t="str">
        <f>+IF(AND(Tabla2[[#This Row],[venc]]="venc",Tabla2[[#This Row],[Columna1]]="por pagar"),"vencida","no")</f>
        <v>no</v>
      </c>
    </row>
    <row r="1058" spans="1:23" ht="15.6" hidden="1" x14ac:dyDescent="0.3">
      <c r="A1058" s="20">
        <v>30</v>
      </c>
      <c r="B1058" s="25">
        <v>17870934.149999999</v>
      </c>
      <c r="C1058" s="25"/>
      <c r="D1058" s="56" t="s">
        <v>182</v>
      </c>
      <c r="E1058" s="426">
        <v>44988</v>
      </c>
      <c r="F1058" s="26" t="s">
        <v>18</v>
      </c>
      <c r="G1058" s="426">
        <v>44938</v>
      </c>
      <c r="H1058" s="35" t="s">
        <v>1412</v>
      </c>
      <c r="I1058" s="21">
        <v>12580881</v>
      </c>
      <c r="J1058" s="21"/>
      <c r="K1058" s="22">
        <v>2390367.39</v>
      </c>
      <c r="L1058" s="23"/>
      <c r="M1058" s="22">
        <v>0</v>
      </c>
      <c r="N1058" s="74">
        <v>2.5000000000000001E-2</v>
      </c>
      <c r="O1058" s="22">
        <v>314522.02500000002</v>
      </c>
      <c r="P1058" s="21">
        <v>14656726.365</v>
      </c>
      <c r="S1058" s="108" t="b">
        <f>OR(COUNTIF(Tabla2[[#This Row],[PROVEEDOR]],"*"&amp;'Palabra no opera'!$A$2&amp;"*"))</f>
        <v>0</v>
      </c>
      <c r="T1058" s="139">
        <f>+$W$5-Tabla2[[#This Row],[FECHA DE FACTURACIÓN]]</f>
        <v>353</v>
      </c>
      <c r="U1058" t="str">
        <f>+IF(Tabla2[[#This Row],[dias de credito]]&gt;=Tabla2[[#This Row],[PLAZO Días]],"venc", "No venc")</f>
        <v>venc</v>
      </c>
      <c r="V1058" t="str">
        <f>+IF(Tabla2[[#This Row],[FECHA DE PAGO]]&gt;0,"pagada","por pagar")</f>
        <v>pagada</v>
      </c>
      <c r="W1058" s="141" t="str">
        <f>+IF(AND(Tabla2[[#This Row],[venc]]="venc",Tabla2[[#This Row],[Columna1]]="por pagar"),"vencida","no")</f>
        <v>no</v>
      </c>
    </row>
    <row r="1059" spans="1:23" ht="15.6" hidden="1" x14ac:dyDescent="0.3">
      <c r="A1059" s="20">
        <v>30</v>
      </c>
      <c r="B1059" s="25">
        <v>17870934.149999999</v>
      </c>
      <c r="C1059" s="25"/>
      <c r="D1059" s="56" t="s">
        <v>182</v>
      </c>
      <c r="E1059" s="426">
        <v>44988</v>
      </c>
      <c r="F1059" s="26" t="s">
        <v>18</v>
      </c>
      <c r="G1059" s="426">
        <v>44937</v>
      </c>
      <c r="H1059" s="35" t="s">
        <v>1414</v>
      </c>
      <c r="I1059" s="21">
        <v>703990</v>
      </c>
      <c r="J1059" s="21"/>
      <c r="K1059" s="22">
        <v>133758.1</v>
      </c>
      <c r="L1059" s="23"/>
      <c r="M1059" s="22">
        <v>0</v>
      </c>
      <c r="N1059" s="74">
        <v>0</v>
      </c>
      <c r="O1059" s="22">
        <v>0</v>
      </c>
      <c r="P1059" s="21">
        <v>837748.1</v>
      </c>
      <c r="S1059" s="108" t="b">
        <f>OR(COUNTIF(Tabla2[[#This Row],[PROVEEDOR]],"*"&amp;'Palabra no opera'!$A$2&amp;"*"))</f>
        <v>0</v>
      </c>
      <c r="T1059" s="139">
        <f>+$W$5-Tabla2[[#This Row],[FECHA DE FACTURACIÓN]]</f>
        <v>354</v>
      </c>
      <c r="U1059" t="str">
        <f>+IF(Tabla2[[#This Row],[dias de credito]]&gt;=Tabla2[[#This Row],[PLAZO Días]],"venc", "No venc")</f>
        <v>venc</v>
      </c>
      <c r="V1059" t="str">
        <f>+IF(Tabla2[[#This Row],[FECHA DE PAGO]]&gt;0,"pagada","por pagar")</f>
        <v>pagada</v>
      </c>
      <c r="W1059" s="141" t="str">
        <f>+IF(AND(Tabla2[[#This Row],[venc]]="venc",Tabla2[[#This Row],[Columna1]]="por pagar"),"vencida","no")</f>
        <v>no</v>
      </c>
    </row>
    <row r="1060" spans="1:23" ht="15.6" hidden="1" x14ac:dyDescent="0.3">
      <c r="A1060" s="20">
        <v>30</v>
      </c>
      <c r="B1060" s="25">
        <v>22881826.27</v>
      </c>
      <c r="C1060" s="25"/>
      <c r="D1060" s="56" t="s">
        <v>197</v>
      </c>
      <c r="E1060" s="426">
        <v>44988</v>
      </c>
      <c r="F1060" s="26" t="s">
        <v>9</v>
      </c>
      <c r="G1060" s="426">
        <v>44937</v>
      </c>
      <c r="H1060" s="35" t="s">
        <v>1417</v>
      </c>
      <c r="I1060" s="21">
        <v>612179</v>
      </c>
      <c r="J1060" s="21"/>
      <c r="K1060" s="22">
        <v>116314.01</v>
      </c>
      <c r="L1060" s="23"/>
      <c r="M1060" s="22">
        <v>0</v>
      </c>
      <c r="N1060" s="74">
        <v>0</v>
      </c>
      <c r="O1060" s="22">
        <v>0</v>
      </c>
      <c r="P1060" s="21">
        <v>728493.01</v>
      </c>
      <c r="S1060" s="108" t="b">
        <f>OR(COUNTIF(Tabla2[[#This Row],[PROVEEDOR]],"*"&amp;'Palabra no opera'!$A$2&amp;"*"))</f>
        <v>0</v>
      </c>
      <c r="T1060" s="139">
        <f>+$W$5-Tabla2[[#This Row],[FECHA DE FACTURACIÓN]]</f>
        <v>354</v>
      </c>
      <c r="U1060" t="str">
        <f>+IF(Tabla2[[#This Row],[dias de credito]]&gt;=Tabla2[[#This Row],[PLAZO Días]],"venc", "No venc")</f>
        <v>venc</v>
      </c>
      <c r="V1060" t="str">
        <f>+IF(Tabla2[[#This Row],[FECHA DE PAGO]]&gt;0,"pagada","por pagar")</f>
        <v>pagada</v>
      </c>
      <c r="W1060" s="141" t="str">
        <f>+IF(AND(Tabla2[[#This Row],[venc]]="venc",Tabla2[[#This Row],[Columna1]]="por pagar"),"vencida","no")</f>
        <v>no</v>
      </c>
    </row>
    <row r="1061" spans="1:23" ht="15.6" hidden="1" x14ac:dyDescent="0.3">
      <c r="A1061" s="20">
        <v>30</v>
      </c>
      <c r="B1061" s="25">
        <v>17870934.149999999</v>
      </c>
      <c r="C1061" s="25"/>
      <c r="D1061" s="56" t="s">
        <v>182</v>
      </c>
      <c r="E1061" s="426">
        <v>44988</v>
      </c>
      <c r="F1061" s="26" t="s">
        <v>18</v>
      </c>
      <c r="G1061" s="426">
        <v>44936</v>
      </c>
      <c r="H1061" s="35" t="s">
        <v>1413</v>
      </c>
      <c r="I1061" s="21">
        <v>2030628</v>
      </c>
      <c r="J1061" s="21"/>
      <c r="K1061" s="22">
        <v>385819.32</v>
      </c>
      <c r="L1061" s="23"/>
      <c r="M1061" s="22">
        <v>0</v>
      </c>
      <c r="N1061" s="74">
        <v>2.5000000000000001E-2</v>
      </c>
      <c r="O1061" s="22">
        <v>50765.700000000004</v>
      </c>
      <c r="P1061" s="21">
        <v>2365681.6199999996</v>
      </c>
      <c r="S1061" s="108" t="b">
        <f>OR(COUNTIF(Tabla2[[#This Row],[PROVEEDOR]],"*"&amp;'Palabra no opera'!$A$2&amp;"*"))</f>
        <v>0</v>
      </c>
      <c r="T1061" s="139">
        <f>+$W$5-Tabla2[[#This Row],[FECHA DE FACTURACIÓN]]</f>
        <v>355</v>
      </c>
      <c r="U1061" t="str">
        <f>+IF(Tabla2[[#This Row],[dias de credito]]&gt;=Tabla2[[#This Row],[PLAZO Días]],"venc", "No venc")</f>
        <v>venc</v>
      </c>
      <c r="V1061" t="str">
        <f>+IF(Tabla2[[#This Row],[FECHA DE PAGO]]&gt;0,"pagada","por pagar")</f>
        <v>pagada</v>
      </c>
      <c r="W1061" s="141" t="str">
        <f>+IF(AND(Tabla2[[#This Row],[venc]]="venc",Tabla2[[#This Row],[Columna1]]="por pagar"),"vencida","no")</f>
        <v>no</v>
      </c>
    </row>
    <row r="1062" spans="1:23" ht="15.6" hidden="1" x14ac:dyDescent="0.3">
      <c r="A1062" s="20">
        <v>30</v>
      </c>
      <c r="B1062" s="25">
        <v>17870934.149999999</v>
      </c>
      <c r="C1062" s="25"/>
      <c r="D1062" s="56" t="s">
        <v>182</v>
      </c>
      <c r="E1062" s="426">
        <v>44988</v>
      </c>
      <c r="F1062" s="26" t="s">
        <v>18</v>
      </c>
      <c r="G1062" s="426">
        <v>44925</v>
      </c>
      <c r="H1062" s="35">
        <v>1064111</v>
      </c>
      <c r="I1062" s="21">
        <v>3954329</v>
      </c>
      <c r="J1062" s="21"/>
      <c r="K1062" s="22">
        <v>751322.51</v>
      </c>
      <c r="L1062" s="23"/>
      <c r="M1062" s="22">
        <v>0</v>
      </c>
      <c r="N1062" s="74">
        <v>2.5000000000000001E-2</v>
      </c>
      <c r="O1062" s="22">
        <v>98858.225000000006</v>
      </c>
      <c r="P1062" s="21">
        <v>4606793.2850000001</v>
      </c>
      <c r="S1062" s="108" t="b">
        <f>OR(COUNTIF(Tabla2[[#This Row],[PROVEEDOR]],"*"&amp;'Palabra no opera'!$A$2&amp;"*"))</f>
        <v>0</v>
      </c>
      <c r="T1062" s="139">
        <f>+$W$5-Tabla2[[#This Row],[FECHA DE FACTURACIÓN]]</f>
        <v>366</v>
      </c>
      <c r="U1062" t="str">
        <f>+IF(Tabla2[[#This Row],[dias de credito]]&gt;=Tabla2[[#This Row],[PLAZO Días]],"venc", "No venc")</f>
        <v>venc</v>
      </c>
      <c r="V1062" t="str">
        <f>+IF(Tabla2[[#This Row],[FECHA DE PAGO]]&gt;0,"pagada","por pagar")</f>
        <v>pagada</v>
      </c>
      <c r="W1062" s="141" t="str">
        <f>+IF(AND(Tabla2[[#This Row],[venc]]="venc",Tabla2[[#This Row],[Columna1]]="por pagar"),"vencida","no")</f>
        <v>no</v>
      </c>
    </row>
    <row r="1063" spans="1:23" ht="15.6" hidden="1" x14ac:dyDescent="0.3">
      <c r="A1063" s="20">
        <v>30</v>
      </c>
      <c r="B1063" s="25">
        <v>17870934.149999999</v>
      </c>
      <c r="C1063" s="25"/>
      <c r="D1063" s="56" t="s">
        <v>182</v>
      </c>
      <c r="E1063" s="426">
        <v>44988</v>
      </c>
      <c r="F1063" s="26" t="s">
        <v>18</v>
      </c>
      <c r="G1063" s="426">
        <v>44924</v>
      </c>
      <c r="H1063" s="35">
        <v>1064080</v>
      </c>
      <c r="I1063" s="21">
        <v>1344593</v>
      </c>
      <c r="J1063" s="21"/>
      <c r="K1063" s="22">
        <v>255472.67</v>
      </c>
      <c r="L1063" s="23"/>
      <c r="M1063" s="22">
        <v>0</v>
      </c>
      <c r="N1063" s="74">
        <v>2.5000000000000001E-2</v>
      </c>
      <c r="O1063" s="22">
        <v>33614.825000000004</v>
      </c>
      <c r="P1063" s="21">
        <v>1566450.845</v>
      </c>
      <c r="S1063" s="108" t="b">
        <f>OR(COUNTIF(Tabla2[[#This Row],[PROVEEDOR]],"*"&amp;'Palabra no opera'!$A$2&amp;"*"))</f>
        <v>0</v>
      </c>
      <c r="T1063" s="139">
        <f>+$W$5-Tabla2[[#This Row],[FECHA DE FACTURACIÓN]]</f>
        <v>367</v>
      </c>
      <c r="U1063" t="str">
        <f>+IF(Tabla2[[#This Row],[dias de credito]]&gt;=Tabla2[[#This Row],[PLAZO Días]],"venc", "No venc")</f>
        <v>venc</v>
      </c>
      <c r="V1063" t="str">
        <f>+IF(Tabla2[[#This Row],[FECHA DE PAGO]]&gt;0,"pagada","por pagar")</f>
        <v>pagada</v>
      </c>
      <c r="W1063" s="141" t="str">
        <f>+IF(AND(Tabla2[[#This Row],[venc]]="venc",Tabla2[[#This Row],[Columna1]]="por pagar"),"vencida","no")</f>
        <v>no</v>
      </c>
    </row>
    <row r="1064" spans="1:23" ht="15.6" hidden="1" x14ac:dyDescent="0.3">
      <c r="A1064" s="20">
        <v>45</v>
      </c>
      <c r="B1064" s="25">
        <v>15770594</v>
      </c>
      <c r="C1064" s="25"/>
      <c r="D1064" s="56" t="s">
        <v>594</v>
      </c>
      <c r="E1064" s="426">
        <v>44988</v>
      </c>
      <c r="F1064" s="26" t="s">
        <v>19</v>
      </c>
      <c r="G1064" s="426">
        <v>44921</v>
      </c>
      <c r="H1064" s="35">
        <v>61245</v>
      </c>
      <c r="I1064" s="21">
        <v>851598</v>
      </c>
      <c r="J1064" s="21"/>
      <c r="K1064" s="22">
        <v>161803.62</v>
      </c>
      <c r="L1064" s="23"/>
      <c r="M1064" s="22">
        <v>0</v>
      </c>
      <c r="N1064" s="74">
        <v>0</v>
      </c>
      <c r="O1064" s="22">
        <v>0</v>
      </c>
      <c r="P1064" s="21">
        <v>1013401.62</v>
      </c>
      <c r="S1064" s="108" t="b">
        <f>OR(COUNTIF(Tabla2[[#This Row],[PROVEEDOR]],"*"&amp;'Palabra no opera'!$A$2&amp;"*"))</f>
        <v>0</v>
      </c>
      <c r="T1064" s="139">
        <f>+$W$5-Tabla2[[#This Row],[FECHA DE FACTURACIÓN]]</f>
        <v>370</v>
      </c>
      <c r="U1064" t="str">
        <f>+IF(Tabla2[[#This Row],[dias de credito]]&gt;=Tabla2[[#This Row],[PLAZO Días]],"venc", "No venc")</f>
        <v>venc</v>
      </c>
      <c r="V1064" t="str">
        <f>+IF(Tabla2[[#This Row],[FECHA DE PAGO]]&gt;0,"pagada","por pagar")</f>
        <v>pagada</v>
      </c>
      <c r="W1064" s="141" t="str">
        <f>+IF(AND(Tabla2[[#This Row],[venc]]="venc",Tabla2[[#This Row],[Columna1]]="por pagar"),"vencida","no")</f>
        <v>no</v>
      </c>
    </row>
    <row r="1065" spans="1:23" ht="15.6" hidden="1" x14ac:dyDescent="0.3">
      <c r="A1065" s="20">
        <v>30</v>
      </c>
      <c r="B1065" s="25">
        <v>17870934.149999999</v>
      </c>
      <c r="C1065" s="25"/>
      <c r="D1065" s="56" t="s">
        <v>182</v>
      </c>
      <c r="E1065" s="426">
        <v>44988</v>
      </c>
      <c r="F1065" s="26" t="s">
        <v>18</v>
      </c>
      <c r="G1065" s="426">
        <v>44918</v>
      </c>
      <c r="H1065" s="35" t="s">
        <v>1360</v>
      </c>
      <c r="I1065" s="21">
        <v>4778698</v>
      </c>
      <c r="J1065" s="21"/>
      <c r="K1065" s="22">
        <v>907952.62</v>
      </c>
      <c r="L1065" s="23"/>
      <c r="M1065" s="22">
        <v>0</v>
      </c>
      <c r="N1065" s="74">
        <v>2.5000000000000001E-2</v>
      </c>
      <c r="O1065" s="22">
        <v>119467.45000000001</v>
      </c>
      <c r="P1065" s="21">
        <v>5567183.1699999999</v>
      </c>
      <c r="S1065" s="108" t="b">
        <f>OR(COUNTIF(Tabla2[[#This Row],[PROVEEDOR]],"*"&amp;'Palabra no opera'!$A$2&amp;"*"))</f>
        <v>0</v>
      </c>
      <c r="T1065" s="139">
        <f>+$W$5-Tabla2[[#This Row],[FECHA DE FACTURACIÓN]]</f>
        <v>373</v>
      </c>
      <c r="U1065" t="str">
        <f>+IF(Tabla2[[#This Row],[dias de credito]]&gt;=Tabla2[[#This Row],[PLAZO Días]],"venc", "No venc")</f>
        <v>venc</v>
      </c>
      <c r="V1065" t="str">
        <f>+IF(Tabla2[[#This Row],[FECHA DE PAGO]]&gt;0,"pagada","por pagar")</f>
        <v>pagada</v>
      </c>
      <c r="W1065" s="141" t="str">
        <f>+IF(AND(Tabla2[[#This Row],[venc]]="venc",Tabla2[[#This Row],[Columna1]]="por pagar"),"vencida","no")</f>
        <v>no</v>
      </c>
    </row>
    <row r="1066" spans="1:23" ht="15.6" hidden="1" x14ac:dyDescent="0.3">
      <c r="A1066" s="20">
        <v>30</v>
      </c>
      <c r="B1066" s="25">
        <v>0</v>
      </c>
      <c r="C1066" s="25"/>
      <c r="D1066" s="56" t="s">
        <v>843</v>
      </c>
      <c r="E1066" s="426">
        <v>44988</v>
      </c>
      <c r="F1066" s="26" t="s">
        <v>809</v>
      </c>
      <c r="G1066" s="426">
        <v>44917</v>
      </c>
      <c r="H1066" s="35">
        <v>2636</v>
      </c>
      <c r="I1066" s="21">
        <v>1123000</v>
      </c>
      <c r="J1066" s="21"/>
      <c r="K1066" s="22">
        <v>213370</v>
      </c>
      <c r="L1066" s="23"/>
      <c r="M1066" s="22">
        <v>0</v>
      </c>
      <c r="N1066" s="74">
        <v>2.5000000000000001E-2</v>
      </c>
      <c r="O1066" s="22">
        <v>28075</v>
      </c>
      <c r="P1066" s="21">
        <v>1308295</v>
      </c>
      <c r="S1066" s="108" t="b">
        <f>OR(COUNTIF(Tabla2[[#This Row],[PROVEEDOR]],"*"&amp;'Palabra no opera'!$A$2&amp;"*"))</f>
        <v>0</v>
      </c>
      <c r="T1066" s="139">
        <f>+$W$5-Tabla2[[#This Row],[FECHA DE FACTURACIÓN]]</f>
        <v>374</v>
      </c>
      <c r="U1066" t="str">
        <f>+IF(Tabla2[[#This Row],[dias de credito]]&gt;=Tabla2[[#This Row],[PLAZO Días]],"venc", "No venc")</f>
        <v>venc</v>
      </c>
      <c r="V1066" t="str">
        <f>+IF(Tabla2[[#This Row],[FECHA DE PAGO]]&gt;0,"pagada","por pagar")</f>
        <v>pagada</v>
      </c>
      <c r="W1066" s="141" t="str">
        <f>+IF(AND(Tabla2[[#This Row],[venc]]="venc",Tabla2[[#This Row],[Columna1]]="por pagar"),"vencida","no")</f>
        <v>no</v>
      </c>
    </row>
    <row r="1067" spans="1:23" ht="15.6" hidden="1" x14ac:dyDescent="0.3">
      <c r="A1067" s="20">
        <v>45</v>
      </c>
      <c r="B1067" s="25">
        <v>15770594</v>
      </c>
      <c r="C1067" s="25"/>
      <c r="D1067" s="56" t="s">
        <v>594</v>
      </c>
      <c r="E1067" s="426">
        <v>44988</v>
      </c>
      <c r="F1067" s="26" t="s">
        <v>19</v>
      </c>
      <c r="G1067" s="426">
        <v>44917</v>
      </c>
      <c r="H1067" s="35">
        <v>61219</v>
      </c>
      <c r="I1067" s="21">
        <v>2249600</v>
      </c>
      <c r="J1067" s="21"/>
      <c r="K1067" s="22">
        <v>427424</v>
      </c>
      <c r="L1067" s="23"/>
      <c r="M1067" s="22">
        <v>0</v>
      </c>
      <c r="N1067" s="74">
        <v>0</v>
      </c>
      <c r="O1067" s="22">
        <v>0</v>
      </c>
      <c r="P1067" s="21">
        <v>2677024</v>
      </c>
      <c r="S1067" s="108" t="b">
        <f>OR(COUNTIF(Tabla2[[#This Row],[PROVEEDOR]],"*"&amp;'Palabra no opera'!$A$2&amp;"*"))</f>
        <v>0</v>
      </c>
      <c r="T1067" s="139">
        <f>+$W$5-Tabla2[[#This Row],[FECHA DE FACTURACIÓN]]</f>
        <v>374</v>
      </c>
      <c r="U1067" t="str">
        <f>+IF(Tabla2[[#This Row],[dias de credito]]&gt;=Tabla2[[#This Row],[PLAZO Días]],"venc", "No venc")</f>
        <v>venc</v>
      </c>
      <c r="V1067" t="str">
        <f>+IF(Tabla2[[#This Row],[FECHA DE PAGO]]&gt;0,"pagada","por pagar")</f>
        <v>pagada</v>
      </c>
      <c r="W1067" s="141" t="str">
        <f>+IF(AND(Tabla2[[#This Row],[venc]]="venc",Tabla2[[#This Row],[Columna1]]="por pagar"),"vencida","no")</f>
        <v>no</v>
      </c>
    </row>
    <row r="1068" spans="1:23" ht="15.6" hidden="1" x14ac:dyDescent="0.3">
      <c r="A1068" s="20">
        <v>30</v>
      </c>
      <c r="B1068" s="25">
        <v>3209330.35</v>
      </c>
      <c r="C1068" s="25"/>
      <c r="D1068" s="56" t="s">
        <v>187</v>
      </c>
      <c r="E1068" s="426">
        <v>44988</v>
      </c>
      <c r="F1068" s="26" t="s">
        <v>282</v>
      </c>
      <c r="G1068" s="426">
        <v>44916</v>
      </c>
      <c r="H1068" s="35">
        <v>1622</v>
      </c>
      <c r="I1068" s="21">
        <v>635294</v>
      </c>
      <c r="J1068" s="21"/>
      <c r="K1068" s="22">
        <v>120705.86</v>
      </c>
      <c r="L1068" s="23"/>
      <c r="M1068" s="22">
        <v>0</v>
      </c>
      <c r="N1068" s="74">
        <v>0</v>
      </c>
      <c r="O1068" s="22">
        <v>0</v>
      </c>
      <c r="P1068" s="21">
        <v>755999.86</v>
      </c>
      <c r="S1068" s="108" t="b">
        <f>OR(COUNTIF(Tabla2[[#This Row],[PROVEEDOR]],"*"&amp;'Palabra no opera'!$A$2&amp;"*"))</f>
        <v>0</v>
      </c>
      <c r="T1068" s="139">
        <f>+$W$5-Tabla2[[#This Row],[FECHA DE FACTURACIÓN]]</f>
        <v>375</v>
      </c>
      <c r="U1068" t="str">
        <f>+IF(Tabla2[[#This Row],[dias de credito]]&gt;=Tabla2[[#This Row],[PLAZO Días]],"venc", "No venc")</f>
        <v>venc</v>
      </c>
      <c r="V1068" t="str">
        <f>+IF(Tabla2[[#This Row],[FECHA DE PAGO]]&gt;0,"pagada","por pagar")</f>
        <v>pagada</v>
      </c>
      <c r="W1068" s="141" t="str">
        <f>+IF(AND(Tabla2[[#This Row],[venc]]="venc",Tabla2[[#This Row],[Columna1]]="por pagar"),"vencida","no")</f>
        <v>no</v>
      </c>
    </row>
    <row r="1069" spans="1:23" ht="15.6" hidden="1" x14ac:dyDescent="0.3">
      <c r="A1069" s="20">
        <v>45</v>
      </c>
      <c r="B1069" s="25">
        <v>8072960</v>
      </c>
      <c r="C1069" s="25"/>
      <c r="D1069" s="56" t="s">
        <v>198</v>
      </c>
      <c r="E1069" s="426">
        <v>44988</v>
      </c>
      <c r="F1069" s="26" t="s">
        <v>10</v>
      </c>
      <c r="G1069" s="426">
        <v>44915</v>
      </c>
      <c r="H1069" s="35" t="s">
        <v>1351</v>
      </c>
      <c r="I1069" s="21">
        <v>1524700</v>
      </c>
      <c r="J1069" s="21"/>
      <c r="K1069" s="22">
        <v>289693</v>
      </c>
      <c r="L1069" s="23"/>
      <c r="M1069" s="22">
        <v>0</v>
      </c>
      <c r="N1069" s="74">
        <v>0</v>
      </c>
      <c r="O1069" s="22">
        <v>0</v>
      </c>
      <c r="P1069" s="21">
        <v>1814393</v>
      </c>
      <c r="S1069" s="108" t="b">
        <f>OR(COUNTIF(Tabla2[[#This Row],[PROVEEDOR]],"*"&amp;'Palabra no opera'!$A$2&amp;"*"))</f>
        <v>0</v>
      </c>
      <c r="T1069" s="139">
        <f>+$W$5-Tabla2[[#This Row],[FECHA DE FACTURACIÓN]]</f>
        <v>376</v>
      </c>
      <c r="U1069" t="str">
        <f>+IF(Tabla2[[#This Row],[dias de credito]]&gt;=Tabla2[[#This Row],[PLAZO Días]],"venc", "No venc")</f>
        <v>venc</v>
      </c>
      <c r="V1069" t="str">
        <f>+IF(Tabla2[[#This Row],[FECHA DE PAGO]]&gt;0,"pagada","por pagar")</f>
        <v>pagada</v>
      </c>
      <c r="W1069" s="141" t="str">
        <f>+IF(AND(Tabla2[[#This Row],[venc]]="venc",Tabla2[[#This Row],[Columna1]]="por pagar"),"vencida","no")</f>
        <v>no</v>
      </c>
    </row>
    <row r="1070" spans="1:23" ht="15.6" hidden="1" x14ac:dyDescent="0.3">
      <c r="A1070" s="20">
        <v>30</v>
      </c>
      <c r="B1070" s="25">
        <v>0</v>
      </c>
      <c r="C1070" s="25"/>
      <c r="D1070" s="56" t="s">
        <v>276</v>
      </c>
      <c r="E1070" s="426">
        <v>44988</v>
      </c>
      <c r="F1070" s="26" t="s">
        <v>239</v>
      </c>
      <c r="G1070" s="426">
        <v>44911</v>
      </c>
      <c r="H1070" s="35" t="s">
        <v>1354</v>
      </c>
      <c r="I1070" s="21">
        <v>5237731</v>
      </c>
      <c r="J1070" s="21"/>
      <c r="K1070" s="22">
        <v>995168.89</v>
      </c>
      <c r="L1070" s="23"/>
      <c r="M1070" s="22">
        <v>0</v>
      </c>
      <c r="N1070" s="74">
        <v>2.5000000000000001E-2</v>
      </c>
      <c r="O1070" s="22">
        <v>130943.27500000001</v>
      </c>
      <c r="P1070" s="21">
        <v>6101956.6149999993</v>
      </c>
      <c r="S1070" s="108" t="b">
        <f>OR(COUNTIF(Tabla2[[#This Row],[PROVEEDOR]],"*"&amp;'Palabra no opera'!$A$2&amp;"*"))</f>
        <v>0</v>
      </c>
      <c r="T1070" s="139">
        <f>+$W$5-Tabla2[[#This Row],[FECHA DE FACTURACIÓN]]</f>
        <v>380</v>
      </c>
      <c r="U1070" t="str">
        <f>+IF(Tabla2[[#This Row],[dias de credito]]&gt;=Tabla2[[#This Row],[PLAZO Días]],"venc", "No venc")</f>
        <v>venc</v>
      </c>
      <c r="V1070" t="str">
        <f>+IF(Tabla2[[#This Row],[FECHA DE PAGO]]&gt;0,"pagada","por pagar")</f>
        <v>pagada</v>
      </c>
      <c r="W1070" s="141" t="str">
        <f>+IF(AND(Tabla2[[#This Row],[venc]]="venc",Tabla2[[#This Row],[Columna1]]="por pagar"),"vencida","no")</f>
        <v>no</v>
      </c>
    </row>
    <row r="1071" spans="1:23" ht="15.6" hidden="1" x14ac:dyDescent="0.3">
      <c r="A1071" s="20">
        <v>30</v>
      </c>
      <c r="B1071" s="25">
        <v>17870934.149999999</v>
      </c>
      <c r="C1071" s="25"/>
      <c r="D1071" s="56" t="s">
        <v>182</v>
      </c>
      <c r="E1071" s="426">
        <v>44988</v>
      </c>
      <c r="F1071" s="26" t="s">
        <v>18</v>
      </c>
      <c r="G1071" s="426">
        <v>44911</v>
      </c>
      <c r="H1071" s="35">
        <v>1063523</v>
      </c>
      <c r="I1071" s="21">
        <v>2174383</v>
      </c>
      <c r="J1071" s="21"/>
      <c r="K1071" s="22">
        <v>413132.77</v>
      </c>
      <c r="L1071" s="23"/>
      <c r="M1071" s="22">
        <v>0</v>
      </c>
      <c r="N1071" s="74">
        <v>2.5000000000000001E-2</v>
      </c>
      <c r="O1071" s="22">
        <v>54359.575000000004</v>
      </c>
      <c r="P1071" s="21">
        <v>2533156.1949999998</v>
      </c>
      <c r="S1071" s="108" t="b">
        <f>OR(COUNTIF(Tabla2[[#This Row],[PROVEEDOR]],"*"&amp;'Palabra no opera'!$A$2&amp;"*"))</f>
        <v>0</v>
      </c>
      <c r="T1071" s="139">
        <f>+$W$5-Tabla2[[#This Row],[FECHA DE FACTURACIÓN]]</f>
        <v>380</v>
      </c>
      <c r="U1071" t="str">
        <f>+IF(Tabla2[[#This Row],[dias de credito]]&gt;=Tabla2[[#This Row],[PLAZO Días]],"venc", "No venc")</f>
        <v>venc</v>
      </c>
      <c r="V1071" t="str">
        <f>+IF(Tabla2[[#This Row],[FECHA DE PAGO]]&gt;0,"pagada","por pagar")</f>
        <v>pagada</v>
      </c>
      <c r="W1071" s="141" t="str">
        <f>+IF(AND(Tabla2[[#This Row],[venc]]="venc",Tabla2[[#This Row],[Columna1]]="por pagar"),"vencida","no")</f>
        <v>no</v>
      </c>
    </row>
    <row r="1072" spans="1:23" ht="15.6" hidden="1" x14ac:dyDescent="0.3">
      <c r="A1072" s="20">
        <v>30</v>
      </c>
      <c r="B1072" s="25">
        <v>0</v>
      </c>
      <c r="C1072" s="25"/>
      <c r="D1072" s="56" t="s">
        <v>296</v>
      </c>
      <c r="E1072" s="426">
        <v>44988</v>
      </c>
      <c r="F1072" s="26" t="s">
        <v>281</v>
      </c>
      <c r="G1072" s="426">
        <v>44910</v>
      </c>
      <c r="H1072" s="35" t="s">
        <v>1349</v>
      </c>
      <c r="I1072" s="21">
        <v>5335156</v>
      </c>
      <c r="J1072" s="21"/>
      <c r="K1072" s="22">
        <v>266758</v>
      </c>
      <c r="L1072" s="23"/>
      <c r="M1072" s="22">
        <v>0</v>
      </c>
      <c r="N1072" s="74">
        <v>0</v>
      </c>
      <c r="O1072" s="22">
        <v>0</v>
      </c>
      <c r="P1072" s="21">
        <v>5601914</v>
      </c>
      <c r="S1072" s="108" t="b">
        <f>OR(COUNTIF(Tabla2[[#This Row],[PROVEEDOR]],"*"&amp;'Palabra no opera'!$A$2&amp;"*"))</f>
        <v>0</v>
      </c>
      <c r="T1072" s="139">
        <f>+$W$5-Tabla2[[#This Row],[FECHA DE FACTURACIÓN]]</f>
        <v>381</v>
      </c>
      <c r="U1072" t="str">
        <f>+IF(Tabla2[[#This Row],[dias de credito]]&gt;=Tabla2[[#This Row],[PLAZO Días]],"venc", "No venc")</f>
        <v>venc</v>
      </c>
      <c r="V1072" t="str">
        <f>+IF(Tabla2[[#This Row],[FECHA DE PAGO]]&gt;0,"pagada","por pagar")</f>
        <v>pagada</v>
      </c>
      <c r="W1072" s="141" t="str">
        <f>+IF(AND(Tabla2[[#This Row],[venc]]="venc",Tabla2[[#This Row],[Columna1]]="por pagar"),"vencida","no")</f>
        <v>no</v>
      </c>
    </row>
    <row r="1073" spans="1:23" ht="15.6" hidden="1" x14ac:dyDescent="0.3">
      <c r="A1073" s="20">
        <v>30</v>
      </c>
      <c r="B1073" s="25">
        <v>0</v>
      </c>
      <c r="C1073" s="25"/>
      <c r="D1073" s="56" t="s">
        <v>296</v>
      </c>
      <c r="E1073" s="426">
        <v>44988</v>
      </c>
      <c r="F1073" s="26" t="s">
        <v>281</v>
      </c>
      <c r="G1073" s="426">
        <v>44910</v>
      </c>
      <c r="H1073" s="35" t="s">
        <v>1349</v>
      </c>
      <c r="I1073" s="21">
        <v>-2109032</v>
      </c>
      <c r="J1073" s="21"/>
      <c r="K1073" s="22">
        <v>-400716.08</v>
      </c>
      <c r="L1073" s="23"/>
      <c r="M1073" s="22">
        <v>0</v>
      </c>
      <c r="N1073" s="74">
        <v>0</v>
      </c>
      <c r="O1073" s="22">
        <v>0</v>
      </c>
      <c r="P1073" s="21">
        <v>-2509748.08</v>
      </c>
      <c r="S1073" s="108" t="b">
        <f>OR(COUNTIF(Tabla2[[#This Row],[PROVEEDOR]],"*"&amp;'Palabra no opera'!$A$2&amp;"*"))</f>
        <v>0</v>
      </c>
      <c r="T1073" s="139">
        <f>+$W$5-Tabla2[[#This Row],[FECHA DE FACTURACIÓN]]</f>
        <v>381</v>
      </c>
      <c r="U1073" t="str">
        <f>+IF(Tabla2[[#This Row],[dias de credito]]&gt;=Tabla2[[#This Row],[PLAZO Días]],"venc", "No venc")</f>
        <v>venc</v>
      </c>
      <c r="V1073" t="str">
        <f>+IF(Tabla2[[#This Row],[FECHA DE PAGO]]&gt;0,"pagada","por pagar")</f>
        <v>pagada</v>
      </c>
      <c r="W1073" s="141" t="str">
        <f>+IF(AND(Tabla2[[#This Row],[venc]]="venc",Tabla2[[#This Row],[Columna1]]="por pagar"),"vencida","no")</f>
        <v>no</v>
      </c>
    </row>
    <row r="1074" spans="1:23" ht="15.6" hidden="1" x14ac:dyDescent="0.3">
      <c r="A1074" s="20">
        <v>30</v>
      </c>
      <c r="B1074" s="25">
        <v>5537221.7000000002</v>
      </c>
      <c r="C1074" s="25"/>
      <c r="D1074" s="56" t="s">
        <v>1363</v>
      </c>
      <c r="E1074" s="426">
        <v>44988</v>
      </c>
      <c r="F1074" s="26" t="s">
        <v>293</v>
      </c>
      <c r="G1074" s="426">
        <v>44909</v>
      </c>
      <c r="H1074" s="35" t="s">
        <v>1353</v>
      </c>
      <c r="I1074" s="21">
        <v>2791822</v>
      </c>
      <c r="J1074" s="21"/>
      <c r="K1074" s="22">
        <v>530446.18000000005</v>
      </c>
      <c r="L1074" s="23"/>
      <c r="M1074" s="22">
        <v>0</v>
      </c>
      <c r="N1074" s="74">
        <v>2.5000000000000001E-2</v>
      </c>
      <c r="O1074" s="22">
        <v>69795.55</v>
      </c>
      <c r="P1074" s="21">
        <v>3252472.6300000004</v>
      </c>
      <c r="S1074" s="108" t="b">
        <f>OR(COUNTIF(Tabla2[[#This Row],[PROVEEDOR]],"*"&amp;'Palabra no opera'!$A$2&amp;"*"))</f>
        <v>0</v>
      </c>
      <c r="T1074" s="139">
        <f>+$W$5-Tabla2[[#This Row],[FECHA DE FACTURACIÓN]]</f>
        <v>382</v>
      </c>
      <c r="U1074" t="str">
        <f>+IF(Tabla2[[#This Row],[dias de credito]]&gt;=Tabla2[[#This Row],[PLAZO Días]],"venc", "No venc")</f>
        <v>venc</v>
      </c>
      <c r="V1074" t="str">
        <f>+IF(Tabla2[[#This Row],[FECHA DE PAGO]]&gt;0,"pagada","por pagar")</f>
        <v>pagada</v>
      </c>
      <c r="W1074" s="141" t="str">
        <f>+IF(AND(Tabla2[[#This Row],[venc]]="venc",Tabla2[[#This Row],[Columna1]]="por pagar"),"vencida","no")</f>
        <v>no</v>
      </c>
    </row>
    <row r="1075" spans="1:23" ht="15.6" hidden="1" x14ac:dyDescent="0.3">
      <c r="A1075" s="20">
        <v>30</v>
      </c>
      <c r="B1075" s="25">
        <v>0</v>
      </c>
      <c r="C1075" s="25"/>
      <c r="D1075" s="56">
        <v>0</v>
      </c>
      <c r="E1075" s="426">
        <v>44988</v>
      </c>
      <c r="F1075" s="26" t="s">
        <v>1356</v>
      </c>
      <c r="G1075" s="426">
        <v>44907</v>
      </c>
      <c r="H1075" s="35">
        <v>7614</v>
      </c>
      <c r="I1075" s="21">
        <v>7600000</v>
      </c>
      <c r="J1075" s="21"/>
      <c r="K1075" s="22">
        <v>1444000</v>
      </c>
      <c r="L1075" s="23"/>
      <c r="M1075" s="22">
        <v>0</v>
      </c>
      <c r="N1075" s="74">
        <v>2.5000000000000001E-2</v>
      </c>
      <c r="O1075" s="22">
        <v>190000</v>
      </c>
      <c r="P1075" s="21">
        <v>8854000</v>
      </c>
      <c r="S1075" s="108" t="b">
        <f>OR(COUNTIF(Tabla2[[#This Row],[PROVEEDOR]],"*"&amp;'Palabra no opera'!$A$2&amp;"*"))</f>
        <v>0</v>
      </c>
      <c r="T1075" s="139">
        <f>+$W$5-Tabla2[[#This Row],[FECHA DE FACTURACIÓN]]</f>
        <v>384</v>
      </c>
      <c r="U1075" t="str">
        <f>+IF(Tabla2[[#This Row],[dias de credito]]&gt;=Tabla2[[#This Row],[PLAZO Días]],"venc", "No venc")</f>
        <v>venc</v>
      </c>
      <c r="V1075" t="str">
        <f>+IF(Tabla2[[#This Row],[FECHA DE PAGO]]&gt;0,"pagada","por pagar")</f>
        <v>pagada</v>
      </c>
      <c r="W1075" s="141" t="str">
        <f>+IF(AND(Tabla2[[#This Row],[venc]]="venc",Tabla2[[#This Row],[Columna1]]="por pagar"),"vencida","no")</f>
        <v>no</v>
      </c>
    </row>
    <row r="1076" spans="1:23" ht="15.6" hidden="1" x14ac:dyDescent="0.3">
      <c r="A1076" s="20">
        <v>30</v>
      </c>
      <c r="B1076" s="25">
        <v>3209330.35</v>
      </c>
      <c r="C1076" s="25"/>
      <c r="D1076" s="56" t="s">
        <v>187</v>
      </c>
      <c r="E1076" s="426">
        <v>44988</v>
      </c>
      <c r="F1076" s="26" t="s">
        <v>282</v>
      </c>
      <c r="G1076" s="426">
        <v>44904</v>
      </c>
      <c r="H1076" s="35">
        <v>1591</v>
      </c>
      <c r="I1076" s="21">
        <v>285714</v>
      </c>
      <c r="J1076" s="21"/>
      <c r="K1076" s="22">
        <v>54285.66</v>
      </c>
      <c r="L1076" s="23"/>
      <c r="M1076" s="22">
        <v>0</v>
      </c>
      <c r="N1076" s="74">
        <v>0</v>
      </c>
      <c r="O1076" s="22">
        <v>0</v>
      </c>
      <c r="P1076" s="21">
        <v>339999.66000000003</v>
      </c>
      <c r="S1076" s="108" t="b">
        <f>OR(COUNTIF(Tabla2[[#This Row],[PROVEEDOR]],"*"&amp;'Palabra no opera'!$A$2&amp;"*"))</f>
        <v>0</v>
      </c>
      <c r="T1076" s="139">
        <f>+$W$5-Tabla2[[#This Row],[FECHA DE FACTURACIÓN]]</f>
        <v>387</v>
      </c>
      <c r="U1076" t="str">
        <f>+IF(Tabla2[[#This Row],[dias de credito]]&gt;=Tabla2[[#This Row],[PLAZO Días]],"venc", "No venc")</f>
        <v>venc</v>
      </c>
      <c r="V1076" t="str">
        <f>+IF(Tabla2[[#This Row],[FECHA DE PAGO]]&gt;0,"pagada","por pagar")</f>
        <v>pagada</v>
      </c>
      <c r="W1076" s="141" t="str">
        <f>+IF(AND(Tabla2[[#This Row],[venc]]="venc",Tabla2[[#This Row],[Columna1]]="por pagar"),"vencida","no")</f>
        <v>no</v>
      </c>
    </row>
    <row r="1077" spans="1:23" ht="15.6" hidden="1" x14ac:dyDescent="0.3">
      <c r="A1077" s="20">
        <v>30</v>
      </c>
      <c r="B1077" s="25">
        <v>1125118.8199999998</v>
      </c>
      <c r="C1077" s="25"/>
      <c r="D1077" s="56" t="s">
        <v>431</v>
      </c>
      <c r="E1077" s="426">
        <v>44988</v>
      </c>
      <c r="F1077" s="26" t="s">
        <v>279</v>
      </c>
      <c r="G1077" s="426">
        <v>44904</v>
      </c>
      <c r="H1077" s="35" t="s">
        <v>1357</v>
      </c>
      <c r="I1077" s="21">
        <v>3376471</v>
      </c>
      <c r="J1077" s="21"/>
      <c r="K1077" s="22">
        <v>641529.49</v>
      </c>
      <c r="L1077" s="23"/>
      <c r="M1077" s="22">
        <v>0</v>
      </c>
      <c r="N1077" s="74">
        <v>2.5000000000000001E-2</v>
      </c>
      <c r="O1077" s="22">
        <v>84411.775000000009</v>
      </c>
      <c r="P1077" s="21">
        <v>3933588.7150000003</v>
      </c>
      <c r="S1077" s="108" t="b">
        <f>OR(COUNTIF(Tabla2[[#This Row],[PROVEEDOR]],"*"&amp;'Palabra no opera'!$A$2&amp;"*"))</f>
        <v>0</v>
      </c>
      <c r="T1077" s="139">
        <f>+$W$5-Tabla2[[#This Row],[FECHA DE FACTURACIÓN]]</f>
        <v>387</v>
      </c>
      <c r="U1077" t="str">
        <f>+IF(Tabla2[[#This Row],[dias de credito]]&gt;=Tabla2[[#This Row],[PLAZO Días]],"venc", "No venc")</f>
        <v>venc</v>
      </c>
      <c r="V1077" t="str">
        <f>+IF(Tabla2[[#This Row],[FECHA DE PAGO]]&gt;0,"pagada","por pagar")</f>
        <v>pagada</v>
      </c>
      <c r="W1077" s="141" t="str">
        <f>+IF(AND(Tabla2[[#This Row],[venc]]="venc",Tabla2[[#This Row],[Columna1]]="por pagar"),"vencida","no")</f>
        <v>no</v>
      </c>
    </row>
    <row r="1078" spans="1:23" ht="15.6" hidden="1" x14ac:dyDescent="0.3">
      <c r="A1078" s="20">
        <v>30</v>
      </c>
      <c r="B1078" s="25">
        <v>10321993.199999999</v>
      </c>
      <c r="C1078" s="25"/>
      <c r="D1078" s="56" t="s">
        <v>189</v>
      </c>
      <c r="E1078" s="426">
        <v>44988</v>
      </c>
      <c r="F1078" s="26" t="s">
        <v>1068</v>
      </c>
      <c r="G1078" s="426">
        <v>44897</v>
      </c>
      <c r="H1078" s="35">
        <v>28558</v>
      </c>
      <c r="I1078" s="21">
        <v>3705000</v>
      </c>
      <c r="J1078" s="21">
        <v>285000</v>
      </c>
      <c r="K1078" s="22">
        <v>649800</v>
      </c>
      <c r="L1078" s="23"/>
      <c r="M1078" s="22">
        <v>0</v>
      </c>
      <c r="N1078" s="74">
        <v>2.5000000000000001E-2</v>
      </c>
      <c r="O1078" s="22">
        <v>85500</v>
      </c>
      <c r="P1078" s="21">
        <v>3984300</v>
      </c>
      <c r="S1078" s="108" t="b">
        <f>OR(COUNTIF(Tabla2[[#This Row],[PROVEEDOR]],"*"&amp;'Palabra no opera'!$A$2&amp;"*"))</f>
        <v>0</v>
      </c>
      <c r="T1078" s="139">
        <f>+$W$5-Tabla2[[#This Row],[FECHA DE FACTURACIÓN]]</f>
        <v>394</v>
      </c>
      <c r="U1078" t="str">
        <f>+IF(Tabla2[[#This Row],[dias de credito]]&gt;=Tabla2[[#This Row],[PLAZO Días]],"venc", "No venc")</f>
        <v>venc</v>
      </c>
      <c r="V1078" t="str">
        <f>+IF(Tabla2[[#This Row],[FECHA DE PAGO]]&gt;0,"pagada","por pagar")</f>
        <v>pagada</v>
      </c>
      <c r="W1078" s="141" t="str">
        <f>+IF(AND(Tabla2[[#This Row],[venc]]="venc",Tabla2[[#This Row],[Columna1]]="por pagar"),"vencida","no")</f>
        <v>no</v>
      </c>
    </row>
    <row r="1079" spans="1:23" ht="15.6" hidden="1" x14ac:dyDescent="0.3">
      <c r="A1079" s="20">
        <v>30</v>
      </c>
      <c r="B1079" s="25">
        <v>22881826.27</v>
      </c>
      <c r="C1079" s="25"/>
      <c r="D1079" s="56" t="s">
        <v>197</v>
      </c>
      <c r="E1079" s="426">
        <v>44988</v>
      </c>
      <c r="F1079" s="26" t="s">
        <v>9</v>
      </c>
      <c r="G1079" s="426">
        <v>44882</v>
      </c>
      <c r="H1079" s="35" t="s">
        <v>1308</v>
      </c>
      <c r="I1079" s="21">
        <v>-64735</v>
      </c>
      <c r="J1079" s="21"/>
      <c r="K1079" s="22">
        <v>-12299.65</v>
      </c>
      <c r="L1079" s="23"/>
      <c r="M1079" s="22">
        <v>0</v>
      </c>
      <c r="N1079" s="74">
        <v>0</v>
      </c>
      <c r="O1079" s="22">
        <v>-1618</v>
      </c>
      <c r="P1079" s="21">
        <v>-75416.649999999994</v>
      </c>
      <c r="S1079" s="108" t="b">
        <f>OR(COUNTIF(Tabla2[[#This Row],[PROVEEDOR]],"*"&amp;'Palabra no opera'!$A$2&amp;"*"))</f>
        <v>0</v>
      </c>
      <c r="T1079" s="139">
        <f>+$W$5-Tabla2[[#This Row],[FECHA DE FACTURACIÓN]]</f>
        <v>409</v>
      </c>
      <c r="U1079" t="str">
        <f>+IF(Tabla2[[#This Row],[dias de credito]]&gt;=Tabla2[[#This Row],[PLAZO Días]],"venc", "No venc")</f>
        <v>venc</v>
      </c>
      <c r="V1079" t="str">
        <f>+IF(Tabla2[[#This Row],[FECHA DE PAGO]]&gt;0,"pagada","por pagar")</f>
        <v>pagada</v>
      </c>
      <c r="W1079" s="141" t="str">
        <f>+IF(AND(Tabla2[[#This Row],[venc]]="venc",Tabla2[[#This Row],[Columna1]]="por pagar"),"vencida","no")</f>
        <v>no</v>
      </c>
    </row>
    <row r="1080" spans="1:23" ht="15.6" hidden="1" x14ac:dyDescent="0.3">
      <c r="A1080" s="20">
        <v>30</v>
      </c>
      <c r="B1080" s="25">
        <v>10321993.199999999</v>
      </c>
      <c r="C1080" s="25"/>
      <c r="D1080" s="56" t="s">
        <v>189</v>
      </c>
      <c r="E1080" s="426">
        <v>44988</v>
      </c>
      <c r="F1080" s="26" t="s">
        <v>1068</v>
      </c>
      <c r="G1080" s="426">
        <v>44881</v>
      </c>
      <c r="H1080" s="35">
        <v>28216</v>
      </c>
      <c r="I1080" s="21">
        <v>312000</v>
      </c>
      <c r="J1080" s="21"/>
      <c r="K1080" s="22">
        <v>59280</v>
      </c>
      <c r="L1080" s="23"/>
      <c r="M1080" s="22">
        <v>0</v>
      </c>
      <c r="N1080" s="74">
        <v>0</v>
      </c>
      <c r="O1080" s="22">
        <v>0</v>
      </c>
      <c r="P1080" s="21">
        <v>371280</v>
      </c>
      <c r="S1080" s="108" t="b">
        <f>OR(COUNTIF(Tabla2[[#This Row],[PROVEEDOR]],"*"&amp;'Palabra no opera'!$A$2&amp;"*"))</f>
        <v>0</v>
      </c>
      <c r="T1080" s="139">
        <f>+$W$5-Tabla2[[#This Row],[FECHA DE FACTURACIÓN]]</f>
        <v>410</v>
      </c>
      <c r="U1080" t="str">
        <f>+IF(Tabla2[[#This Row],[dias de credito]]&gt;=Tabla2[[#This Row],[PLAZO Días]],"venc", "No venc")</f>
        <v>venc</v>
      </c>
      <c r="V1080" t="str">
        <f>+IF(Tabla2[[#This Row],[FECHA DE PAGO]]&gt;0,"pagada","por pagar")</f>
        <v>pagada</v>
      </c>
      <c r="W1080" s="141" t="str">
        <f>+IF(AND(Tabla2[[#This Row],[venc]]="venc",Tabla2[[#This Row],[Columna1]]="por pagar"),"vencida","no")</f>
        <v>no</v>
      </c>
    </row>
    <row r="1081" spans="1:23" ht="15.6" hidden="1" x14ac:dyDescent="0.3">
      <c r="A1081" s="20">
        <v>30</v>
      </c>
      <c r="B1081" s="25">
        <v>12030261.305</v>
      </c>
      <c r="C1081" s="25"/>
      <c r="D1081" s="56" t="s">
        <v>179</v>
      </c>
      <c r="E1081" s="426">
        <v>44988</v>
      </c>
      <c r="F1081" s="26" t="s">
        <v>12</v>
      </c>
      <c r="G1081" s="426">
        <v>44880</v>
      </c>
      <c r="H1081" s="35" t="s">
        <v>1301</v>
      </c>
      <c r="I1081" s="21">
        <v>10424383</v>
      </c>
      <c r="J1081" s="21"/>
      <c r="K1081" s="22">
        <v>1980632.77</v>
      </c>
      <c r="L1081" s="23"/>
      <c r="M1081" s="22">
        <v>0</v>
      </c>
      <c r="N1081" s="74">
        <v>2.5000000000000001E-2</v>
      </c>
      <c r="O1081" s="22">
        <v>260609.57500000001</v>
      </c>
      <c r="P1081" s="21">
        <v>12144406.195</v>
      </c>
      <c r="S1081" s="108" t="b">
        <f>OR(COUNTIF(Tabla2[[#This Row],[PROVEEDOR]],"*"&amp;'Palabra no opera'!$A$2&amp;"*"))</f>
        <v>0</v>
      </c>
      <c r="T1081" s="139">
        <f>+$W$5-Tabla2[[#This Row],[FECHA DE FACTURACIÓN]]</f>
        <v>411</v>
      </c>
      <c r="U1081" t="str">
        <f>+IF(Tabla2[[#This Row],[dias de credito]]&gt;=Tabla2[[#This Row],[PLAZO Días]],"venc", "No venc")</f>
        <v>venc</v>
      </c>
      <c r="V1081" t="str">
        <f>+IF(Tabla2[[#This Row],[FECHA DE PAGO]]&gt;0,"pagada","por pagar")</f>
        <v>pagada</v>
      </c>
      <c r="W1081" s="141" t="str">
        <f>+IF(AND(Tabla2[[#This Row],[venc]]="venc",Tabla2[[#This Row],[Columna1]]="por pagar"),"vencida","no")</f>
        <v>no</v>
      </c>
    </row>
    <row r="1082" spans="1:23" ht="15.6" hidden="1" x14ac:dyDescent="0.3">
      <c r="A1082" s="20">
        <v>30</v>
      </c>
      <c r="B1082" s="25">
        <v>12030261.305</v>
      </c>
      <c r="C1082" s="25"/>
      <c r="D1082" s="56" t="s">
        <v>179</v>
      </c>
      <c r="E1082" s="426">
        <v>44988</v>
      </c>
      <c r="F1082" s="26" t="s">
        <v>12</v>
      </c>
      <c r="G1082" s="426">
        <v>44880</v>
      </c>
      <c r="H1082" s="35" t="s">
        <v>1302</v>
      </c>
      <c r="I1082" s="21">
        <v>11550427</v>
      </c>
      <c r="J1082" s="21"/>
      <c r="K1082" s="22">
        <v>2194581.13</v>
      </c>
      <c r="L1082" s="23"/>
      <c r="M1082" s="22">
        <v>0</v>
      </c>
      <c r="N1082" s="74">
        <v>2.5000000000000001E-2</v>
      </c>
      <c r="O1082" s="22">
        <v>288760.67499999999</v>
      </c>
      <c r="P1082" s="21">
        <v>13456247.454999998</v>
      </c>
      <c r="S1082" s="108" t="b">
        <f>OR(COUNTIF(Tabla2[[#This Row],[PROVEEDOR]],"*"&amp;'Palabra no opera'!$A$2&amp;"*"))</f>
        <v>0</v>
      </c>
      <c r="T1082" s="139">
        <f>+$W$5-Tabla2[[#This Row],[FECHA DE FACTURACIÓN]]</f>
        <v>411</v>
      </c>
      <c r="U1082" t="str">
        <f>+IF(Tabla2[[#This Row],[dias de credito]]&gt;=Tabla2[[#This Row],[PLAZO Días]],"venc", "No venc")</f>
        <v>venc</v>
      </c>
      <c r="V1082" t="str">
        <f>+IF(Tabla2[[#This Row],[FECHA DE PAGO]]&gt;0,"pagada","por pagar")</f>
        <v>pagada</v>
      </c>
      <c r="W1082" s="141" t="str">
        <f>+IF(AND(Tabla2[[#This Row],[venc]]="venc",Tabla2[[#This Row],[Columna1]]="por pagar"),"vencida","no")</f>
        <v>no</v>
      </c>
    </row>
    <row r="1083" spans="1:23" ht="15.6" hidden="1" x14ac:dyDescent="0.3">
      <c r="A1083" s="20">
        <v>30</v>
      </c>
      <c r="B1083" s="25">
        <v>22881826.27</v>
      </c>
      <c r="C1083" s="25"/>
      <c r="D1083" s="56" t="s">
        <v>197</v>
      </c>
      <c r="E1083" s="426">
        <v>44988</v>
      </c>
      <c r="F1083" s="26" t="s">
        <v>9</v>
      </c>
      <c r="G1083" s="426">
        <v>44866</v>
      </c>
      <c r="H1083" s="35" t="s">
        <v>1271</v>
      </c>
      <c r="I1083" s="21">
        <v>2358003</v>
      </c>
      <c r="J1083" s="21"/>
      <c r="K1083" s="22">
        <v>448020.57</v>
      </c>
      <c r="L1083" s="23"/>
      <c r="M1083" s="22">
        <v>0</v>
      </c>
      <c r="N1083" s="74">
        <v>2.5000000000000001E-2</v>
      </c>
      <c r="O1083" s="22">
        <v>58950.075000000004</v>
      </c>
      <c r="P1083" s="21">
        <v>2747073.4949999996</v>
      </c>
      <c r="S1083" s="108" t="b">
        <f>OR(COUNTIF(Tabla2[[#This Row],[PROVEEDOR]],"*"&amp;'Palabra no opera'!$A$2&amp;"*"))</f>
        <v>0</v>
      </c>
      <c r="T1083" s="139">
        <f>+$W$5-Tabla2[[#This Row],[FECHA DE FACTURACIÓN]]</f>
        <v>425</v>
      </c>
      <c r="U1083" t="str">
        <f>+IF(Tabla2[[#This Row],[dias de credito]]&gt;=Tabla2[[#This Row],[PLAZO Días]],"venc", "No venc")</f>
        <v>venc</v>
      </c>
      <c r="V1083" t="str">
        <f>+IF(Tabla2[[#This Row],[FECHA DE PAGO]]&gt;0,"pagada","por pagar")</f>
        <v>pagada</v>
      </c>
      <c r="W1083" s="141" t="str">
        <f>+IF(AND(Tabla2[[#This Row],[venc]]="venc",Tabla2[[#This Row],[Columna1]]="por pagar"),"vencida","no")</f>
        <v>no</v>
      </c>
    </row>
    <row r="1084" spans="1:23" ht="15.6" hidden="1" x14ac:dyDescent="0.3">
      <c r="A1084" s="20">
        <v>30</v>
      </c>
      <c r="B1084" s="25">
        <v>12030261.305</v>
      </c>
      <c r="C1084" s="25"/>
      <c r="D1084" s="56" t="s">
        <v>179</v>
      </c>
      <c r="E1084" s="426">
        <v>44988</v>
      </c>
      <c r="F1084" s="26" t="s">
        <v>12</v>
      </c>
      <c r="G1084" s="426">
        <v>44810</v>
      </c>
      <c r="H1084" s="35" t="s">
        <v>1338</v>
      </c>
      <c r="I1084" s="21">
        <v>-130252</v>
      </c>
      <c r="J1084" s="21"/>
      <c r="K1084" s="22">
        <v>-24747.88</v>
      </c>
      <c r="L1084" s="23"/>
      <c r="M1084" s="22">
        <v>0</v>
      </c>
      <c r="N1084" s="74">
        <v>0</v>
      </c>
      <c r="O1084" s="22">
        <v>0</v>
      </c>
      <c r="P1084" s="21">
        <v>-154999.88</v>
      </c>
      <c r="S1084" s="108" t="b">
        <f>OR(COUNTIF(Tabla2[[#This Row],[PROVEEDOR]],"*"&amp;'Palabra no opera'!$A$2&amp;"*"))</f>
        <v>0</v>
      </c>
      <c r="T1084" s="139">
        <f>+$W$5-Tabla2[[#This Row],[FECHA DE FACTURACIÓN]]</f>
        <v>481</v>
      </c>
      <c r="U1084" t="str">
        <f>+IF(Tabla2[[#This Row],[dias de credito]]&gt;=Tabla2[[#This Row],[PLAZO Días]],"venc", "No venc")</f>
        <v>venc</v>
      </c>
      <c r="V1084" t="str">
        <f>+IF(Tabla2[[#This Row],[FECHA DE PAGO]]&gt;0,"pagada","por pagar")</f>
        <v>pagada</v>
      </c>
      <c r="W1084" s="141" t="str">
        <f>+IF(AND(Tabla2[[#This Row],[venc]]="venc",Tabla2[[#This Row],[Columna1]]="por pagar"),"vencida","no")</f>
        <v>no</v>
      </c>
    </row>
    <row r="1085" spans="1:23" ht="15.6" hidden="1" x14ac:dyDescent="0.3">
      <c r="A1085" s="20">
        <v>30</v>
      </c>
      <c r="B1085" s="25">
        <v>4282200</v>
      </c>
      <c r="C1085" s="25"/>
      <c r="D1085" s="56" t="s">
        <v>244</v>
      </c>
      <c r="E1085" s="426">
        <v>44986</v>
      </c>
      <c r="F1085" s="26" t="s">
        <v>406</v>
      </c>
      <c r="G1085" s="426">
        <v>44972</v>
      </c>
      <c r="H1085" s="35" t="s">
        <v>1470</v>
      </c>
      <c r="I1085" s="21">
        <v>101500</v>
      </c>
      <c r="J1085" s="21"/>
      <c r="K1085" s="22">
        <v>0</v>
      </c>
      <c r="L1085" s="23"/>
      <c r="M1085" s="22">
        <v>0</v>
      </c>
      <c r="N1085" s="74">
        <v>0</v>
      </c>
      <c r="O1085" s="22">
        <v>0</v>
      </c>
      <c r="P1085" s="21">
        <v>101500</v>
      </c>
      <c r="S1085" s="108" t="b">
        <f>OR(COUNTIF(Tabla2[[#This Row],[PROVEEDOR]],"*"&amp;'Palabra no opera'!$A$2&amp;"*"))</f>
        <v>0</v>
      </c>
      <c r="T1085" s="139">
        <f>+$W$5-Tabla2[[#This Row],[FECHA DE FACTURACIÓN]]</f>
        <v>319</v>
      </c>
      <c r="U1085" t="str">
        <f>+IF(Tabla2[[#This Row],[dias de credito]]&gt;=Tabla2[[#This Row],[PLAZO Días]],"venc", "No venc")</f>
        <v>venc</v>
      </c>
      <c r="V1085" t="str">
        <f>+IF(Tabla2[[#This Row],[FECHA DE PAGO]]&gt;0,"pagada","por pagar")</f>
        <v>pagada</v>
      </c>
      <c r="W1085" s="141" t="str">
        <f>+IF(AND(Tabla2[[#This Row],[venc]]="venc",Tabla2[[#This Row],[Columna1]]="por pagar"),"vencida","no")</f>
        <v>no</v>
      </c>
    </row>
    <row r="1086" spans="1:23" ht="15.6" hidden="1" x14ac:dyDescent="0.3">
      <c r="A1086" s="20">
        <v>30</v>
      </c>
      <c r="B1086" s="25">
        <v>2950000</v>
      </c>
      <c r="C1086" s="25"/>
      <c r="D1086" s="56">
        <v>0</v>
      </c>
      <c r="E1086" s="426">
        <v>44986</v>
      </c>
      <c r="F1086" s="26" t="s">
        <v>1152</v>
      </c>
      <c r="G1086" s="426">
        <v>44958</v>
      </c>
      <c r="H1086" s="35" t="s">
        <v>1434</v>
      </c>
      <c r="I1086" s="21">
        <v>1075000</v>
      </c>
      <c r="J1086" s="21"/>
      <c r="K1086" s="22">
        <v>0</v>
      </c>
      <c r="L1086" s="23"/>
      <c r="M1086" s="22">
        <v>0</v>
      </c>
      <c r="N1086" s="74">
        <v>0</v>
      </c>
      <c r="O1086" s="22">
        <v>0</v>
      </c>
      <c r="P1086" s="21">
        <v>1075000</v>
      </c>
      <c r="S1086" s="108" t="b">
        <f>OR(COUNTIF(Tabla2[[#This Row],[PROVEEDOR]],"*"&amp;'Palabra no opera'!$A$2&amp;"*"))</f>
        <v>0</v>
      </c>
      <c r="T1086" s="139">
        <f>+$W$5-Tabla2[[#This Row],[FECHA DE FACTURACIÓN]]</f>
        <v>333</v>
      </c>
      <c r="U1086" t="str">
        <f>+IF(Tabla2[[#This Row],[dias de credito]]&gt;=Tabla2[[#This Row],[PLAZO Días]],"venc", "No venc")</f>
        <v>venc</v>
      </c>
      <c r="V1086" t="str">
        <f>+IF(Tabla2[[#This Row],[FECHA DE PAGO]]&gt;0,"pagada","por pagar")</f>
        <v>pagada</v>
      </c>
      <c r="W1086" s="141" t="str">
        <f>+IF(AND(Tabla2[[#This Row],[venc]]="venc",Tabla2[[#This Row],[Columna1]]="por pagar"),"vencida","no")</f>
        <v>no</v>
      </c>
    </row>
    <row r="1087" spans="1:23" ht="15.6" hidden="1" x14ac:dyDescent="0.3">
      <c r="A1087" s="20">
        <v>30</v>
      </c>
      <c r="B1087" s="25">
        <v>0</v>
      </c>
      <c r="C1087" s="25"/>
      <c r="D1087" s="56" t="s">
        <v>107</v>
      </c>
      <c r="E1087" s="426">
        <v>44985</v>
      </c>
      <c r="F1087" s="26" t="s">
        <v>1401</v>
      </c>
      <c r="G1087" s="426">
        <v>44985</v>
      </c>
      <c r="H1087" s="35" t="s">
        <v>1178</v>
      </c>
      <c r="I1087" s="21">
        <v>203500</v>
      </c>
      <c r="J1087" s="21"/>
      <c r="K1087" s="22">
        <v>0</v>
      </c>
      <c r="L1087" s="23"/>
      <c r="M1087" s="22">
        <v>0</v>
      </c>
      <c r="N1087" s="74">
        <v>0</v>
      </c>
      <c r="O1087" s="22">
        <v>0</v>
      </c>
      <c r="P1087" s="21">
        <v>203500</v>
      </c>
      <c r="S1087" s="108" t="b">
        <f>OR(COUNTIF(Tabla2[[#This Row],[PROVEEDOR]],"*"&amp;'Palabra no opera'!$A$2&amp;"*"))</f>
        <v>0</v>
      </c>
      <c r="T1087" s="139">
        <f>+$W$5-Tabla2[[#This Row],[FECHA DE FACTURACIÓN]]</f>
        <v>306</v>
      </c>
      <c r="U1087" t="str">
        <f>+IF(Tabla2[[#This Row],[dias de credito]]&gt;=Tabla2[[#This Row],[PLAZO Días]],"venc", "No venc")</f>
        <v>venc</v>
      </c>
      <c r="V1087" t="str">
        <f>+IF(Tabla2[[#This Row],[FECHA DE PAGO]]&gt;0,"pagada","por pagar")</f>
        <v>pagada</v>
      </c>
      <c r="W1087" s="141" t="str">
        <f>+IF(AND(Tabla2[[#This Row],[venc]]="venc",Tabla2[[#This Row],[Columna1]]="por pagar"),"vencida","no")</f>
        <v>no</v>
      </c>
    </row>
    <row r="1088" spans="1:23" ht="15.6" hidden="1" x14ac:dyDescent="0.3">
      <c r="A1088" s="20">
        <v>30</v>
      </c>
      <c r="B1088" s="25">
        <v>0</v>
      </c>
      <c r="C1088" s="25"/>
      <c r="D1088" s="56" t="s">
        <v>107</v>
      </c>
      <c r="E1088" s="426">
        <v>44985</v>
      </c>
      <c r="F1088" s="26" t="s">
        <v>362</v>
      </c>
      <c r="G1088" s="426">
        <v>44985</v>
      </c>
      <c r="H1088" s="35" t="s">
        <v>1378</v>
      </c>
      <c r="I1088" s="21">
        <v>976000</v>
      </c>
      <c r="J1088" s="21"/>
      <c r="K1088" s="22">
        <v>0</v>
      </c>
      <c r="L1088" s="23"/>
      <c r="M1088" s="22">
        <v>0</v>
      </c>
      <c r="N1088" s="74">
        <v>0</v>
      </c>
      <c r="O1088" s="22">
        <v>0</v>
      </c>
      <c r="P1088" s="21">
        <v>976000</v>
      </c>
      <c r="S1088" s="108" t="b">
        <f>OR(COUNTIF(Tabla2[[#This Row],[PROVEEDOR]],"*"&amp;'Palabra no opera'!$A$2&amp;"*"))</f>
        <v>0</v>
      </c>
      <c r="T1088" s="139">
        <f>+$W$5-Tabla2[[#This Row],[FECHA DE FACTURACIÓN]]</f>
        <v>306</v>
      </c>
      <c r="U1088" t="str">
        <f>+IF(Tabla2[[#This Row],[dias de credito]]&gt;=Tabla2[[#This Row],[PLAZO Días]],"venc", "No venc")</f>
        <v>venc</v>
      </c>
      <c r="V1088" t="str">
        <f>+IF(Tabla2[[#This Row],[FECHA DE PAGO]]&gt;0,"pagada","por pagar")</f>
        <v>pagada</v>
      </c>
      <c r="W1088" s="141" t="str">
        <f>+IF(AND(Tabla2[[#This Row],[venc]]="venc",Tabla2[[#This Row],[Columna1]]="por pagar"),"vencida","no")</f>
        <v>no</v>
      </c>
    </row>
    <row r="1089" spans="1:23" ht="15.6" hidden="1" x14ac:dyDescent="0.3">
      <c r="A1089" s="20">
        <v>30</v>
      </c>
      <c r="B1089" s="25">
        <v>0</v>
      </c>
      <c r="C1089" s="25"/>
      <c r="D1089" s="56" t="s">
        <v>107</v>
      </c>
      <c r="E1089" s="426">
        <v>44985</v>
      </c>
      <c r="F1089" s="26" t="s">
        <v>362</v>
      </c>
      <c r="G1089" s="426">
        <v>44985</v>
      </c>
      <c r="H1089" s="35" t="s">
        <v>1177</v>
      </c>
      <c r="I1089" s="21">
        <v>1657000</v>
      </c>
      <c r="J1089" s="21"/>
      <c r="K1089" s="22">
        <v>0</v>
      </c>
      <c r="L1089" s="23"/>
      <c r="M1089" s="22">
        <v>0</v>
      </c>
      <c r="N1089" s="74">
        <v>0</v>
      </c>
      <c r="O1089" s="22">
        <v>0</v>
      </c>
      <c r="P1089" s="21">
        <v>1657000</v>
      </c>
      <c r="S1089" s="108" t="b">
        <f>OR(COUNTIF(Tabla2[[#This Row],[PROVEEDOR]],"*"&amp;'Palabra no opera'!$A$2&amp;"*"))</f>
        <v>0</v>
      </c>
      <c r="T1089" s="139">
        <f>+$W$5-Tabla2[[#This Row],[FECHA DE FACTURACIÓN]]</f>
        <v>306</v>
      </c>
      <c r="U1089" t="str">
        <f>+IF(Tabla2[[#This Row],[dias de credito]]&gt;=Tabla2[[#This Row],[PLAZO Días]],"venc", "No venc")</f>
        <v>venc</v>
      </c>
      <c r="V1089" t="str">
        <f>+IF(Tabla2[[#This Row],[FECHA DE PAGO]]&gt;0,"pagada","por pagar")</f>
        <v>pagada</v>
      </c>
      <c r="W1089" s="141" t="str">
        <f>+IF(AND(Tabla2[[#This Row],[venc]]="venc",Tabla2[[#This Row],[Columna1]]="por pagar"),"vencida","no")</f>
        <v>no</v>
      </c>
    </row>
    <row r="1090" spans="1:23" ht="15.6" hidden="1" x14ac:dyDescent="0.3">
      <c r="A1090" s="20">
        <v>30</v>
      </c>
      <c r="B1090" s="25">
        <v>0</v>
      </c>
      <c r="C1090" s="25"/>
      <c r="D1090" s="56" t="s">
        <v>107</v>
      </c>
      <c r="E1090" s="426">
        <v>44985</v>
      </c>
      <c r="F1090" s="26" t="s">
        <v>1401</v>
      </c>
      <c r="G1090" s="426">
        <v>44985</v>
      </c>
      <c r="H1090" s="35" t="s">
        <v>1176</v>
      </c>
      <c r="I1090" s="21">
        <v>385700</v>
      </c>
      <c r="J1090" s="21"/>
      <c r="K1090" s="22">
        <v>0</v>
      </c>
      <c r="L1090" s="23"/>
      <c r="M1090" s="22">
        <v>0</v>
      </c>
      <c r="N1090" s="74">
        <v>0</v>
      </c>
      <c r="O1090" s="22">
        <v>0</v>
      </c>
      <c r="P1090" s="21">
        <v>385700</v>
      </c>
      <c r="S1090" s="108" t="b">
        <f>OR(COUNTIF(Tabla2[[#This Row],[PROVEEDOR]],"*"&amp;'Palabra no opera'!$A$2&amp;"*"))</f>
        <v>0</v>
      </c>
      <c r="T1090" s="139">
        <f>+$W$5-Tabla2[[#This Row],[FECHA DE FACTURACIÓN]]</f>
        <v>306</v>
      </c>
      <c r="U1090" t="str">
        <f>+IF(Tabla2[[#This Row],[dias de credito]]&gt;=Tabla2[[#This Row],[PLAZO Días]],"venc", "No venc")</f>
        <v>venc</v>
      </c>
      <c r="V1090" t="str">
        <f>+IF(Tabla2[[#This Row],[FECHA DE PAGO]]&gt;0,"pagada","por pagar")</f>
        <v>pagada</v>
      </c>
      <c r="W1090" s="141" t="str">
        <f>+IF(AND(Tabla2[[#This Row],[venc]]="venc",Tabla2[[#This Row],[Columna1]]="por pagar"),"vencida","no")</f>
        <v>no</v>
      </c>
    </row>
    <row r="1091" spans="1:23" ht="15.6" hidden="1" x14ac:dyDescent="0.3">
      <c r="A1091" s="20">
        <v>30</v>
      </c>
      <c r="B1091" s="25">
        <v>0</v>
      </c>
      <c r="C1091" s="25"/>
      <c r="D1091" s="56" t="s">
        <v>107</v>
      </c>
      <c r="E1091" s="426">
        <v>44985</v>
      </c>
      <c r="F1091" s="26" t="s">
        <v>1401</v>
      </c>
      <c r="G1091" s="426">
        <v>44985</v>
      </c>
      <c r="H1091" s="35" t="s">
        <v>1377</v>
      </c>
      <c r="I1091" s="21">
        <v>0</v>
      </c>
      <c r="J1091" s="21"/>
      <c r="K1091" s="22">
        <v>0</v>
      </c>
      <c r="L1091" s="23"/>
      <c r="M1091" s="22">
        <v>0</v>
      </c>
      <c r="N1091" s="74">
        <v>0</v>
      </c>
      <c r="O1091" s="22">
        <v>0</v>
      </c>
      <c r="P1091" s="21">
        <v>0</v>
      </c>
      <c r="S1091" s="108" t="b">
        <f>OR(COUNTIF(Tabla2[[#This Row],[PROVEEDOR]],"*"&amp;'Palabra no opera'!$A$2&amp;"*"))</f>
        <v>0</v>
      </c>
      <c r="T1091" s="139">
        <f>+$W$5-Tabla2[[#This Row],[FECHA DE FACTURACIÓN]]</f>
        <v>306</v>
      </c>
      <c r="U1091" t="str">
        <f>+IF(Tabla2[[#This Row],[dias de credito]]&gt;=Tabla2[[#This Row],[PLAZO Días]],"venc", "No venc")</f>
        <v>venc</v>
      </c>
      <c r="V1091" t="str">
        <f>+IF(Tabla2[[#This Row],[FECHA DE PAGO]]&gt;0,"pagada","por pagar")</f>
        <v>pagada</v>
      </c>
      <c r="W1091" s="141" t="str">
        <f>+IF(AND(Tabla2[[#This Row],[venc]]="venc",Tabla2[[#This Row],[Columna1]]="por pagar"),"vencida","no")</f>
        <v>no</v>
      </c>
    </row>
    <row r="1092" spans="1:23" ht="15.6" hidden="1" x14ac:dyDescent="0.3">
      <c r="A1092" s="20">
        <v>30</v>
      </c>
      <c r="B1092" s="25">
        <v>0</v>
      </c>
      <c r="C1092" s="25"/>
      <c r="D1092" s="56" t="s">
        <v>107</v>
      </c>
      <c r="E1092" s="426">
        <v>44985</v>
      </c>
      <c r="F1092" s="26" t="s">
        <v>1401</v>
      </c>
      <c r="G1092" s="426">
        <v>44985</v>
      </c>
      <c r="H1092" s="35" t="s">
        <v>1379</v>
      </c>
      <c r="I1092" s="21">
        <v>0</v>
      </c>
      <c r="J1092" s="21"/>
      <c r="K1092" s="22">
        <v>0</v>
      </c>
      <c r="L1092" s="23"/>
      <c r="M1092" s="22">
        <v>0</v>
      </c>
      <c r="N1092" s="74">
        <v>0</v>
      </c>
      <c r="O1092" s="22">
        <v>0</v>
      </c>
      <c r="P1092" s="21">
        <v>0</v>
      </c>
      <c r="S1092" s="108" t="b">
        <f>OR(COUNTIF(Tabla2[[#This Row],[PROVEEDOR]],"*"&amp;'Palabra no opera'!$A$2&amp;"*"))</f>
        <v>0</v>
      </c>
      <c r="T1092" s="139">
        <f>+$W$5-Tabla2[[#This Row],[FECHA DE FACTURACIÓN]]</f>
        <v>306</v>
      </c>
      <c r="U1092" t="str">
        <f>+IF(Tabla2[[#This Row],[dias de credito]]&gt;=Tabla2[[#This Row],[PLAZO Días]],"venc", "No venc")</f>
        <v>venc</v>
      </c>
      <c r="V1092" t="str">
        <f>+IF(Tabla2[[#This Row],[FECHA DE PAGO]]&gt;0,"pagada","por pagar")</f>
        <v>pagada</v>
      </c>
      <c r="W1092" s="141" t="str">
        <f>+IF(AND(Tabla2[[#This Row],[venc]]="venc",Tabla2[[#This Row],[Columna1]]="por pagar"),"vencida","no")</f>
        <v>no</v>
      </c>
    </row>
    <row r="1093" spans="1:23" ht="15.6" hidden="1" x14ac:dyDescent="0.3">
      <c r="A1093" s="20">
        <v>30</v>
      </c>
      <c r="B1093" s="25">
        <v>0</v>
      </c>
      <c r="C1093" s="25"/>
      <c r="D1093" s="56">
        <v>0</v>
      </c>
      <c r="E1093" s="426">
        <v>44984</v>
      </c>
      <c r="F1093" s="26" t="s">
        <v>1427</v>
      </c>
      <c r="G1093" s="426">
        <v>44965</v>
      </c>
      <c r="H1093" s="35" t="s">
        <v>1437</v>
      </c>
      <c r="I1093" s="21">
        <v>200000</v>
      </c>
      <c r="J1093" s="21"/>
      <c r="K1093" s="22">
        <v>38000</v>
      </c>
      <c r="L1093" s="23"/>
      <c r="M1093" s="22">
        <v>0</v>
      </c>
      <c r="N1093" s="74">
        <v>0</v>
      </c>
      <c r="O1093" s="22">
        <v>0</v>
      </c>
      <c r="P1093" s="21">
        <v>238000</v>
      </c>
      <c r="S1093" s="108" t="b">
        <f>OR(COUNTIF(Tabla2[[#This Row],[PROVEEDOR]],"*"&amp;'Palabra no opera'!$A$2&amp;"*"))</f>
        <v>1</v>
      </c>
      <c r="T1093" s="139">
        <f>+$W$5-Tabla2[[#This Row],[FECHA DE FACTURACIÓN]]</f>
        <v>326</v>
      </c>
      <c r="U1093" t="str">
        <f>+IF(Tabla2[[#This Row],[dias de credito]]&gt;=Tabla2[[#This Row],[PLAZO Días]],"venc", "No venc")</f>
        <v>venc</v>
      </c>
      <c r="V1093" t="str">
        <f>+IF(Tabla2[[#This Row],[FECHA DE PAGO]]&gt;0,"pagada","por pagar")</f>
        <v>pagada</v>
      </c>
      <c r="W1093" s="141" t="str">
        <f>+IF(AND(Tabla2[[#This Row],[venc]]="venc",Tabla2[[#This Row],[Columna1]]="por pagar"),"vencida","no")</f>
        <v>no</v>
      </c>
    </row>
    <row r="1094" spans="1:23" ht="15.6" hidden="1" x14ac:dyDescent="0.3">
      <c r="A1094" s="20">
        <v>30</v>
      </c>
      <c r="B1094" s="25">
        <v>0</v>
      </c>
      <c r="C1094" s="25"/>
      <c r="D1094" s="56" t="s">
        <v>193</v>
      </c>
      <c r="E1094" s="426">
        <v>44984</v>
      </c>
      <c r="F1094" s="26" t="s">
        <v>651</v>
      </c>
      <c r="G1094" s="426">
        <v>44958</v>
      </c>
      <c r="H1094" s="35" t="s">
        <v>1464</v>
      </c>
      <c r="I1094" s="21">
        <v>243611</v>
      </c>
      <c r="J1094" s="21"/>
      <c r="K1094" s="22">
        <v>46286.090000000004</v>
      </c>
      <c r="L1094" s="23"/>
      <c r="M1094" s="22">
        <v>0</v>
      </c>
      <c r="N1094" s="74">
        <v>3.5000000000000003E-2</v>
      </c>
      <c r="O1094" s="22">
        <v>8526.3850000000002</v>
      </c>
      <c r="P1094" s="21">
        <v>281370.70500000002</v>
      </c>
      <c r="S1094" s="108" t="b">
        <f>OR(COUNTIF(Tabla2[[#This Row],[PROVEEDOR]],"*"&amp;'Palabra no opera'!$A$2&amp;"*"))</f>
        <v>1</v>
      </c>
      <c r="T1094" s="139">
        <f>+$W$5-Tabla2[[#This Row],[FECHA DE FACTURACIÓN]]</f>
        <v>333</v>
      </c>
      <c r="U1094" t="str">
        <f>+IF(Tabla2[[#This Row],[dias de credito]]&gt;=Tabla2[[#This Row],[PLAZO Días]],"venc", "No venc")</f>
        <v>venc</v>
      </c>
      <c r="V1094" t="str">
        <f>+IF(Tabla2[[#This Row],[FECHA DE PAGO]]&gt;0,"pagada","por pagar")</f>
        <v>pagada</v>
      </c>
      <c r="W1094" s="141" t="str">
        <f>+IF(AND(Tabla2[[#This Row],[venc]]="venc",Tabla2[[#This Row],[Columna1]]="por pagar"),"vencida","no")</f>
        <v>no</v>
      </c>
    </row>
    <row r="1095" spans="1:23" ht="15.6" hidden="1" x14ac:dyDescent="0.3">
      <c r="A1095" s="20">
        <v>30</v>
      </c>
      <c r="B1095" s="25">
        <v>0</v>
      </c>
      <c r="C1095" s="25"/>
      <c r="D1095" s="56" t="s">
        <v>828</v>
      </c>
      <c r="E1095" s="426">
        <v>44983</v>
      </c>
      <c r="F1095" s="26" t="s">
        <v>827</v>
      </c>
      <c r="G1095" s="426">
        <v>44967</v>
      </c>
      <c r="H1095" s="35" t="s">
        <v>1445</v>
      </c>
      <c r="I1095" s="21">
        <v>425210</v>
      </c>
      <c r="J1095" s="21"/>
      <c r="K1095" s="22">
        <v>80789.899999999994</v>
      </c>
      <c r="L1095" s="23"/>
      <c r="M1095" s="22">
        <v>0</v>
      </c>
      <c r="N1095" s="74">
        <v>0</v>
      </c>
      <c r="O1095" s="22">
        <v>0</v>
      </c>
      <c r="P1095" s="21">
        <v>505999.9</v>
      </c>
      <c r="S1095" s="108" t="b">
        <f>OR(COUNTIF(Tabla2[[#This Row],[PROVEEDOR]],"*"&amp;'Palabra no opera'!$A$2&amp;"*"))</f>
        <v>0</v>
      </c>
      <c r="T1095" s="139">
        <f>+$W$5-Tabla2[[#This Row],[FECHA DE FACTURACIÓN]]</f>
        <v>324</v>
      </c>
      <c r="U1095" t="str">
        <f>+IF(Tabla2[[#This Row],[dias de credito]]&gt;=Tabla2[[#This Row],[PLAZO Días]],"venc", "No venc")</f>
        <v>venc</v>
      </c>
      <c r="V1095" t="str">
        <f>+IF(Tabla2[[#This Row],[FECHA DE PAGO]]&gt;0,"pagada","por pagar")</f>
        <v>pagada</v>
      </c>
      <c r="W1095" s="141" t="str">
        <f>+IF(AND(Tabla2[[#This Row],[venc]]="venc",Tabla2[[#This Row],[Columna1]]="por pagar"),"vencida","no")</f>
        <v>no</v>
      </c>
    </row>
    <row r="1096" spans="1:23" ht="15.6" hidden="1" x14ac:dyDescent="0.3">
      <c r="A1096" s="20">
        <v>30</v>
      </c>
      <c r="B1096" s="25">
        <v>0</v>
      </c>
      <c r="C1096" s="25"/>
      <c r="D1096" s="56" t="s">
        <v>828</v>
      </c>
      <c r="E1096" s="426">
        <v>44983</v>
      </c>
      <c r="F1096" s="26" t="s">
        <v>827</v>
      </c>
      <c r="G1096" s="426">
        <v>44965</v>
      </c>
      <c r="H1096" s="35" t="s">
        <v>1444</v>
      </c>
      <c r="I1096" s="21">
        <v>579832</v>
      </c>
      <c r="J1096" s="21"/>
      <c r="K1096" s="22">
        <v>110168.08</v>
      </c>
      <c r="L1096" s="23"/>
      <c r="M1096" s="22">
        <v>0</v>
      </c>
      <c r="N1096" s="74">
        <v>0</v>
      </c>
      <c r="O1096" s="22">
        <v>0</v>
      </c>
      <c r="P1096" s="21">
        <v>690000.08</v>
      </c>
      <c r="S1096" s="108" t="b">
        <f>OR(COUNTIF(Tabla2[[#This Row],[PROVEEDOR]],"*"&amp;'Palabra no opera'!$A$2&amp;"*"))</f>
        <v>0</v>
      </c>
      <c r="T1096" s="139">
        <f>+$W$5-Tabla2[[#This Row],[FECHA DE FACTURACIÓN]]</f>
        <v>326</v>
      </c>
      <c r="U1096" t="str">
        <f>+IF(Tabla2[[#This Row],[dias de credito]]&gt;=Tabla2[[#This Row],[PLAZO Días]],"venc", "No venc")</f>
        <v>venc</v>
      </c>
      <c r="V1096" t="str">
        <f>+IF(Tabla2[[#This Row],[FECHA DE PAGO]]&gt;0,"pagada","por pagar")</f>
        <v>pagada</v>
      </c>
      <c r="W1096" s="141" t="str">
        <f>+IF(AND(Tabla2[[#This Row],[venc]]="venc",Tabla2[[#This Row],[Columna1]]="por pagar"),"vencida","no")</f>
        <v>no</v>
      </c>
    </row>
    <row r="1097" spans="1:23" ht="15.6" hidden="1" x14ac:dyDescent="0.3">
      <c r="A1097" s="20">
        <v>30</v>
      </c>
      <c r="B1097" s="25">
        <v>380979.69</v>
      </c>
      <c r="C1097" s="25"/>
      <c r="D1097" s="56" t="s">
        <v>296</v>
      </c>
      <c r="E1097" s="426">
        <v>44980</v>
      </c>
      <c r="F1097" s="26" t="s">
        <v>1295</v>
      </c>
      <c r="G1097" s="426">
        <v>44914</v>
      </c>
      <c r="H1097" s="35" t="s">
        <v>1348</v>
      </c>
      <c r="I1097" s="21">
        <v>1305384</v>
      </c>
      <c r="J1097" s="21"/>
      <c r="K1097" s="22">
        <v>248022.96</v>
      </c>
      <c r="L1097" s="23"/>
      <c r="M1097" s="22">
        <v>0</v>
      </c>
      <c r="N1097" s="74">
        <v>0</v>
      </c>
      <c r="O1097" s="22">
        <v>0</v>
      </c>
      <c r="P1097" s="21">
        <v>1553406.96</v>
      </c>
      <c r="S1097" s="108" t="b">
        <f>OR(COUNTIF(Tabla2[[#This Row],[PROVEEDOR]],"*"&amp;'Palabra no opera'!$A$2&amp;"*"))</f>
        <v>1</v>
      </c>
      <c r="T1097" s="139">
        <f>+$W$5-Tabla2[[#This Row],[FECHA DE FACTURACIÓN]]</f>
        <v>377</v>
      </c>
      <c r="U1097" t="str">
        <f>+IF(Tabla2[[#This Row],[dias de credito]]&gt;=Tabla2[[#This Row],[PLAZO Días]],"venc", "No venc")</f>
        <v>venc</v>
      </c>
      <c r="V1097" t="str">
        <f>+IF(Tabla2[[#This Row],[FECHA DE PAGO]]&gt;0,"pagada","por pagar")</f>
        <v>pagada</v>
      </c>
      <c r="W1097" s="141" t="str">
        <f>+IF(AND(Tabla2[[#This Row],[venc]]="venc",Tabla2[[#This Row],[Columna1]]="por pagar"),"vencida","no")</f>
        <v>no</v>
      </c>
    </row>
    <row r="1098" spans="1:23" ht="15.6" hidden="1" x14ac:dyDescent="0.3">
      <c r="A1098" s="20">
        <v>30</v>
      </c>
      <c r="B1098" s="25">
        <v>0</v>
      </c>
      <c r="C1098" s="25"/>
      <c r="D1098" s="56" t="s">
        <v>185</v>
      </c>
      <c r="E1098" s="426">
        <v>44977</v>
      </c>
      <c r="F1098" s="26" t="s">
        <v>628</v>
      </c>
      <c r="G1098" s="426">
        <v>44963</v>
      </c>
      <c r="H1098" s="35" t="s">
        <v>1448</v>
      </c>
      <c r="I1098" s="21">
        <v>1866320</v>
      </c>
      <c r="J1098" s="21"/>
      <c r="K1098" s="22">
        <v>0</v>
      </c>
      <c r="L1098" s="23">
        <v>4.8871499999999998E-2</v>
      </c>
      <c r="M1098" s="22">
        <v>91209.857879999996</v>
      </c>
      <c r="N1098" s="74">
        <v>0</v>
      </c>
      <c r="O1098" s="22">
        <v>0</v>
      </c>
      <c r="P1098" s="21">
        <v>1775110.14212</v>
      </c>
      <c r="S1098" s="108" t="b">
        <f>OR(COUNTIF(Tabla2[[#This Row],[PROVEEDOR]],"*"&amp;'Palabra no opera'!$A$2&amp;"*"))</f>
        <v>1</v>
      </c>
      <c r="T1098" s="139">
        <f>+$W$5-Tabla2[[#This Row],[FECHA DE FACTURACIÓN]]</f>
        <v>328</v>
      </c>
      <c r="U1098" t="str">
        <f>+IF(Tabla2[[#This Row],[dias de credito]]&gt;=Tabla2[[#This Row],[PLAZO Días]],"venc", "No venc")</f>
        <v>venc</v>
      </c>
      <c r="V1098" t="str">
        <f>+IF(Tabla2[[#This Row],[FECHA DE PAGO]]&gt;0,"pagada","por pagar")</f>
        <v>pagada</v>
      </c>
      <c r="W1098" s="141" t="str">
        <f>+IF(AND(Tabla2[[#This Row],[venc]]="venc",Tabla2[[#This Row],[Columna1]]="por pagar"),"vencida","no")</f>
        <v>no</v>
      </c>
    </row>
    <row r="1099" spans="1:23" ht="15.6" hidden="1" x14ac:dyDescent="0.3">
      <c r="A1099" s="20">
        <v>30</v>
      </c>
      <c r="B1099" s="25">
        <v>0</v>
      </c>
      <c r="C1099" s="25"/>
      <c r="D1099" s="56" t="s">
        <v>107</v>
      </c>
      <c r="E1099" s="426">
        <v>44977</v>
      </c>
      <c r="F1099" s="26" t="s">
        <v>409</v>
      </c>
      <c r="G1099" s="426">
        <v>44959</v>
      </c>
      <c r="H1099" s="35">
        <v>25</v>
      </c>
      <c r="I1099" s="21">
        <v>87000</v>
      </c>
      <c r="J1099" s="21"/>
      <c r="K1099" s="22">
        <v>0</v>
      </c>
      <c r="L1099" s="23"/>
      <c r="M1099" s="22">
        <v>0</v>
      </c>
      <c r="N1099" s="74">
        <v>0</v>
      </c>
      <c r="O1099" s="22">
        <v>0</v>
      </c>
      <c r="P1099" s="21">
        <v>87000</v>
      </c>
      <c r="S1099" s="108" t="b">
        <f>OR(COUNTIF(Tabla2[[#This Row],[PROVEEDOR]],"*"&amp;'Palabra no opera'!$A$2&amp;"*"))</f>
        <v>0</v>
      </c>
      <c r="T1099" s="139">
        <f>+$W$5-Tabla2[[#This Row],[FECHA DE FACTURACIÓN]]</f>
        <v>332</v>
      </c>
      <c r="U1099" t="str">
        <f>+IF(Tabla2[[#This Row],[dias de credito]]&gt;=Tabla2[[#This Row],[PLAZO Días]],"venc", "No venc")</f>
        <v>venc</v>
      </c>
      <c r="V1099" t="str">
        <f>+IF(Tabla2[[#This Row],[FECHA DE PAGO]]&gt;0,"pagada","por pagar")</f>
        <v>pagada</v>
      </c>
      <c r="W1099" s="141" t="str">
        <f>+IF(AND(Tabla2[[#This Row],[venc]]="venc",Tabla2[[#This Row],[Columna1]]="por pagar"),"vencida","no")</f>
        <v>no</v>
      </c>
    </row>
    <row r="1100" spans="1:23" ht="15.6" hidden="1" x14ac:dyDescent="0.3">
      <c r="A1100" s="20">
        <v>30</v>
      </c>
      <c r="B1100" s="25">
        <v>0</v>
      </c>
      <c r="C1100" s="25"/>
      <c r="D1100" s="56" t="s">
        <v>107</v>
      </c>
      <c r="E1100" s="426">
        <v>44977</v>
      </c>
      <c r="F1100" s="26" t="s">
        <v>409</v>
      </c>
      <c r="G1100" s="426">
        <v>44959</v>
      </c>
      <c r="H1100" s="35">
        <v>28</v>
      </c>
      <c r="I1100" s="21">
        <v>196500</v>
      </c>
      <c r="J1100" s="21"/>
      <c r="K1100" s="22">
        <v>0</v>
      </c>
      <c r="L1100" s="23"/>
      <c r="M1100" s="22">
        <v>0</v>
      </c>
      <c r="N1100" s="74">
        <v>0</v>
      </c>
      <c r="O1100" s="22">
        <v>0</v>
      </c>
      <c r="P1100" s="21">
        <v>196500</v>
      </c>
      <c r="S1100" s="108" t="b">
        <f>OR(COUNTIF(Tabla2[[#This Row],[PROVEEDOR]],"*"&amp;'Palabra no opera'!$A$2&amp;"*"))</f>
        <v>0</v>
      </c>
      <c r="T1100" s="139">
        <f>+$W$5-Tabla2[[#This Row],[FECHA DE FACTURACIÓN]]</f>
        <v>332</v>
      </c>
      <c r="U1100" t="str">
        <f>+IF(Tabla2[[#This Row],[dias de credito]]&gt;=Tabla2[[#This Row],[PLAZO Días]],"venc", "No venc")</f>
        <v>venc</v>
      </c>
      <c r="V1100" t="str">
        <f>+IF(Tabla2[[#This Row],[FECHA DE PAGO]]&gt;0,"pagada","por pagar")</f>
        <v>pagada</v>
      </c>
      <c r="W1100" s="141" t="str">
        <f>+IF(AND(Tabla2[[#This Row],[venc]]="venc",Tabla2[[#This Row],[Columna1]]="por pagar"),"vencida","no")</f>
        <v>no</v>
      </c>
    </row>
    <row r="1101" spans="1:23" ht="15.6" hidden="1" x14ac:dyDescent="0.3">
      <c r="A1101" s="20">
        <v>30</v>
      </c>
      <c r="B1101" s="25">
        <v>0</v>
      </c>
      <c r="C1101" s="25"/>
      <c r="D1101" s="56" t="s">
        <v>107</v>
      </c>
      <c r="E1101" s="426">
        <v>44977</v>
      </c>
      <c r="F1101" s="26" t="s">
        <v>409</v>
      </c>
      <c r="G1101" s="426">
        <v>44959</v>
      </c>
      <c r="H1101" s="35">
        <v>29</v>
      </c>
      <c r="I1101" s="21">
        <v>33000</v>
      </c>
      <c r="J1101" s="21"/>
      <c r="K1101" s="22">
        <v>0</v>
      </c>
      <c r="L1101" s="23"/>
      <c r="M1101" s="22">
        <v>0</v>
      </c>
      <c r="N1101" s="74">
        <v>0</v>
      </c>
      <c r="O1101" s="22">
        <v>0</v>
      </c>
      <c r="P1101" s="21">
        <v>33000</v>
      </c>
      <c r="S1101" s="108" t="b">
        <f>OR(COUNTIF(Tabla2[[#This Row],[PROVEEDOR]],"*"&amp;'Palabra no opera'!$A$2&amp;"*"))</f>
        <v>0</v>
      </c>
      <c r="T1101" s="139">
        <f>+$W$5-Tabla2[[#This Row],[FECHA DE FACTURACIÓN]]</f>
        <v>332</v>
      </c>
      <c r="U1101" t="str">
        <f>+IF(Tabla2[[#This Row],[dias de credito]]&gt;=Tabla2[[#This Row],[PLAZO Días]],"venc", "No venc")</f>
        <v>venc</v>
      </c>
      <c r="V1101" t="str">
        <f>+IF(Tabla2[[#This Row],[FECHA DE PAGO]]&gt;0,"pagada","por pagar")</f>
        <v>pagada</v>
      </c>
      <c r="W1101" s="141" t="str">
        <f>+IF(AND(Tabla2[[#This Row],[venc]]="venc",Tabla2[[#This Row],[Columna1]]="por pagar"),"vencida","no")</f>
        <v>no</v>
      </c>
    </row>
    <row r="1102" spans="1:23" ht="15.6" hidden="1" x14ac:dyDescent="0.3">
      <c r="A1102" s="20">
        <v>30</v>
      </c>
      <c r="B1102" s="25">
        <v>0</v>
      </c>
      <c r="C1102" s="25"/>
      <c r="D1102" s="56" t="s">
        <v>107</v>
      </c>
      <c r="E1102" s="426">
        <v>44977</v>
      </c>
      <c r="F1102" s="26" t="s">
        <v>409</v>
      </c>
      <c r="G1102" s="426">
        <v>44959</v>
      </c>
      <c r="H1102" s="35">
        <v>30</v>
      </c>
      <c r="I1102" s="21">
        <v>64500</v>
      </c>
      <c r="J1102" s="21"/>
      <c r="K1102" s="22">
        <v>0</v>
      </c>
      <c r="L1102" s="23"/>
      <c r="M1102" s="22">
        <v>0</v>
      </c>
      <c r="N1102" s="74">
        <v>0</v>
      </c>
      <c r="O1102" s="22">
        <v>0</v>
      </c>
      <c r="P1102" s="21">
        <v>64500</v>
      </c>
      <c r="S1102" s="108" t="b">
        <f>OR(COUNTIF(Tabla2[[#This Row],[PROVEEDOR]],"*"&amp;'Palabra no opera'!$A$2&amp;"*"))</f>
        <v>0</v>
      </c>
      <c r="T1102" s="139">
        <f>+$W$5-Tabla2[[#This Row],[FECHA DE FACTURACIÓN]]</f>
        <v>332</v>
      </c>
      <c r="U1102" t="str">
        <f>+IF(Tabla2[[#This Row],[dias de credito]]&gt;=Tabla2[[#This Row],[PLAZO Días]],"venc", "No venc")</f>
        <v>venc</v>
      </c>
      <c r="V1102" t="str">
        <f>+IF(Tabla2[[#This Row],[FECHA DE PAGO]]&gt;0,"pagada","por pagar")</f>
        <v>pagada</v>
      </c>
      <c r="W1102" s="141" t="str">
        <f>+IF(AND(Tabla2[[#This Row],[venc]]="venc",Tabla2[[#This Row],[Columna1]]="por pagar"),"vencida","no")</f>
        <v>no</v>
      </c>
    </row>
    <row r="1103" spans="1:23" ht="15.6" hidden="1" x14ac:dyDescent="0.3">
      <c r="A1103" s="20">
        <v>30</v>
      </c>
      <c r="B1103" s="25">
        <v>0</v>
      </c>
      <c r="C1103" s="25"/>
      <c r="D1103" s="56" t="s">
        <v>107</v>
      </c>
      <c r="E1103" s="426">
        <v>44977</v>
      </c>
      <c r="F1103" s="26" t="s">
        <v>409</v>
      </c>
      <c r="G1103" s="426">
        <v>44959</v>
      </c>
      <c r="H1103" s="35">
        <v>34</v>
      </c>
      <c r="I1103" s="21">
        <v>411500</v>
      </c>
      <c r="J1103" s="21"/>
      <c r="K1103" s="22">
        <v>0</v>
      </c>
      <c r="L1103" s="23"/>
      <c r="M1103" s="22">
        <v>0</v>
      </c>
      <c r="N1103" s="74">
        <v>0</v>
      </c>
      <c r="O1103" s="22">
        <v>0</v>
      </c>
      <c r="P1103" s="21">
        <v>411500</v>
      </c>
      <c r="S1103" s="108" t="b">
        <f>OR(COUNTIF(Tabla2[[#This Row],[PROVEEDOR]],"*"&amp;'Palabra no opera'!$A$2&amp;"*"))</f>
        <v>0</v>
      </c>
      <c r="T1103" s="139">
        <f>+$W$5-Tabla2[[#This Row],[FECHA DE FACTURACIÓN]]</f>
        <v>332</v>
      </c>
      <c r="U1103" t="str">
        <f>+IF(Tabla2[[#This Row],[dias de credito]]&gt;=Tabla2[[#This Row],[PLAZO Días]],"venc", "No venc")</f>
        <v>venc</v>
      </c>
      <c r="V1103" t="str">
        <f>+IF(Tabla2[[#This Row],[FECHA DE PAGO]]&gt;0,"pagada","por pagar")</f>
        <v>pagada</v>
      </c>
      <c r="W1103" s="141" t="str">
        <f>+IF(AND(Tabla2[[#This Row],[venc]]="venc",Tabla2[[#This Row],[Columna1]]="por pagar"),"vencida","no")</f>
        <v>no</v>
      </c>
    </row>
    <row r="1104" spans="1:23" ht="15.6" hidden="1" x14ac:dyDescent="0.3">
      <c r="A1104" s="20">
        <v>30</v>
      </c>
      <c r="B1104" s="25">
        <v>0</v>
      </c>
      <c r="C1104" s="25"/>
      <c r="D1104" s="56" t="s">
        <v>107</v>
      </c>
      <c r="E1104" s="426">
        <v>44977</v>
      </c>
      <c r="F1104" s="26" t="s">
        <v>409</v>
      </c>
      <c r="G1104" s="426">
        <v>44959</v>
      </c>
      <c r="H1104" s="35">
        <v>35</v>
      </c>
      <c r="I1104" s="21">
        <v>207000</v>
      </c>
      <c r="J1104" s="21"/>
      <c r="K1104" s="22">
        <v>0</v>
      </c>
      <c r="L1104" s="23"/>
      <c r="M1104" s="22">
        <v>0</v>
      </c>
      <c r="N1104" s="74">
        <v>0</v>
      </c>
      <c r="O1104" s="22">
        <v>0</v>
      </c>
      <c r="P1104" s="21">
        <v>207000</v>
      </c>
      <c r="S1104" s="108" t="b">
        <f>OR(COUNTIF(Tabla2[[#This Row],[PROVEEDOR]],"*"&amp;'Palabra no opera'!$A$2&amp;"*"))</f>
        <v>0</v>
      </c>
      <c r="T1104" s="139">
        <f>+$W$5-Tabla2[[#This Row],[FECHA DE FACTURACIÓN]]</f>
        <v>332</v>
      </c>
      <c r="U1104" t="str">
        <f>+IF(Tabla2[[#This Row],[dias de credito]]&gt;=Tabla2[[#This Row],[PLAZO Días]],"venc", "No venc")</f>
        <v>venc</v>
      </c>
      <c r="V1104" t="str">
        <f>+IF(Tabla2[[#This Row],[FECHA DE PAGO]]&gt;0,"pagada","por pagar")</f>
        <v>pagada</v>
      </c>
      <c r="W1104" s="141" t="str">
        <f>+IF(AND(Tabla2[[#This Row],[venc]]="venc",Tabla2[[#This Row],[Columna1]]="por pagar"),"vencida","no")</f>
        <v>no</v>
      </c>
    </row>
    <row r="1105" spans="1:23" ht="15.6" hidden="1" x14ac:dyDescent="0.3">
      <c r="A1105" s="20">
        <v>30</v>
      </c>
      <c r="B1105" s="25">
        <v>0</v>
      </c>
      <c r="C1105" s="25"/>
      <c r="D1105" s="56" t="s">
        <v>107</v>
      </c>
      <c r="E1105" s="426">
        <v>44977</v>
      </c>
      <c r="F1105" s="26" t="s">
        <v>1403</v>
      </c>
      <c r="G1105" s="426">
        <v>44958</v>
      </c>
      <c r="H1105" s="35">
        <v>31</v>
      </c>
      <c r="I1105" s="21">
        <v>251000</v>
      </c>
      <c r="J1105" s="21"/>
      <c r="K1105" s="22">
        <v>0</v>
      </c>
      <c r="L1105" s="23"/>
      <c r="M1105" s="22">
        <v>0</v>
      </c>
      <c r="N1105" s="74">
        <v>0</v>
      </c>
      <c r="O1105" s="22">
        <v>0</v>
      </c>
      <c r="P1105" s="21">
        <v>251000</v>
      </c>
      <c r="S1105" s="108" t="b">
        <f>OR(COUNTIF(Tabla2[[#This Row],[PROVEEDOR]],"*"&amp;'Palabra no opera'!$A$2&amp;"*"))</f>
        <v>0</v>
      </c>
      <c r="T1105" s="139">
        <f>+$W$5-Tabla2[[#This Row],[FECHA DE FACTURACIÓN]]</f>
        <v>333</v>
      </c>
      <c r="U1105" t="str">
        <f>+IF(Tabla2[[#This Row],[dias de credito]]&gt;=Tabla2[[#This Row],[PLAZO Días]],"venc", "No venc")</f>
        <v>venc</v>
      </c>
      <c r="V1105" t="str">
        <f>+IF(Tabla2[[#This Row],[FECHA DE PAGO]]&gt;0,"pagada","por pagar")</f>
        <v>pagada</v>
      </c>
      <c r="W1105" s="141" t="str">
        <f>+IF(AND(Tabla2[[#This Row],[venc]]="venc",Tabla2[[#This Row],[Columna1]]="por pagar"),"vencida","no")</f>
        <v>no</v>
      </c>
    </row>
    <row r="1106" spans="1:23" ht="15.6" hidden="1" x14ac:dyDescent="0.3">
      <c r="A1106" s="20">
        <v>30</v>
      </c>
      <c r="B1106" s="25">
        <v>0</v>
      </c>
      <c r="C1106" s="25"/>
      <c r="D1106" s="56" t="s">
        <v>107</v>
      </c>
      <c r="E1106" s="426">
        <v>44977</v>
      </c>
      <c r="F1106" s="26" t="s">
        <v>1403</v>
      </c>
      <c r="G1106" s="426">
        <v>44958</v>
      </c>
      <c r="H1106" s="35">
        <v>32</v>
      </c>
      <c r="I1106" s="21">
        <v>70000</v>
      </c>
      <c r="J1106" s="21"/>
      <c r="K1106" s="22">
        <v>0</v>
      </c>
      <c r="L1106" s="23"/>
      <c r="M1106" s="22">
        <v>0</v>
      </c>
      <c r="N1106" s="74">
        <v>0</v>
      </c>
      <c r="O1106" s="22">
        <v>0</v>
      </c>
      <c r="P1106" s="21">
        <v>70000</v>
      </c>
      <c r="S1106" s="108" t="b">
        <f>OR(COUNTIF(Tabla2[[#This Row],[PROVEEDOR]],"*"&amp;'Palabra no opera'!$A$2&amp;"*"))</f>
        <v>0</v>
      </c>
      <c r="T1106" s="139">
        <f>+$W$5-Tabla2[[#This Row],[FECHA DE FACTURACIÓN]]</f>
        <v>333</v>
      </c>
      <c r="U1106" t="str">
        <f>+IF(Tabla2[[#This Row],[dias de credito]]&gt;=Tabla2[[#This Row],[PLAZO Días]],"venc", "No venc")</f>
        <v>venc</v>
      </c>
      <c r="V1106" t="str">
        <f>+IF(Tabla2[[#This Row],[FECHA DE PAGO]]&gt;0,"pagada","por pagar")</f>
        <v>pagada</v>
      </c>
      <c r="W1106" s="141" t="str">
        <f>+IF(AND(Tabla2[[#This Row],[venc]]="venc",Tabla2[[#This Row],[Columna1]]="por pagar"),"vencida","no")</f>
        <v>no</v>
      </c>
    </row>
    <row r="1107" spans="1:23" ht="15.6" hidden="1" x14ac:dyDescent="0.3">
      <c r="A1107" s="20">
        <v>30</v>
      </c>
      <c r="B1107" s="25">
        <v>0</v>
      </c>
      <c r="C1107" s="25"/>
      <c r="D1107" s="56" t="s">
        <v>107</v>
      </c>
      <c r="E1107" s="426">
        <v>44977</v>
      </c>
      <c r="F1107" s="26" t="s">
        <v>1403</v>
      </c>
      <c r="G1107" s="426">
        <v>44958</v>
      </c>
      <c r="H1107" s="35">
        <v>33</v>
      </c>
      <c r="I1107" s="21">
        <v>339400</v>
      </c>
      <c r="J1107" s="21"/>
      <c r="K1107" s="22">
        <v>0</v>
      </c>
      <c r="L1107" s="23"/>
      <c r="M1107" s="22">
        <v>0</v>
      </c>
      <c r="N1107" s="74">
        <v>0</v>
      </c>
      <c r="O1107" s="22">
        <v>0</v>
      </c>
      <c r="P1107" s="21">
        <v>339400</v>
      </c>
      <c r="S1107" s="108" t="b">
        <f>OR(COUNTIF(Tabla2[[#This Row],[PROVEEDOR]],"*"&amp;'Palabra no opera'!$A$2&amp;"*"))</f>
        <v>0</v>
      </c>
      <c r="T1107" s="139">
        <f>+$W$5-Tabla2[[#This Row],[FECHA DE FACTURACIÓN]]</f>
        <v>333</v>
      </c>
      <c r="U1107" t="str">
        <f>+IF(Tabla2[[#This Row],[dias de credito]]&gt;=Tabla2[[#This Row],[PLAZO Días]],"venc", "No venc")</f>
        <v>venc</v>
      </c>
      <c r="V1107" t="str">
        <f>+IF(Tabla2[[#This Row],[FECHA DE PAGO]]&gt;0,"pagada","por pagar")</f>
        <v>pagada</v>
      </c>
      <c r="W1107" s="141" t="str">
        <f>+IF(AND(Tabla2[[#This Row],[venc]]="venc",Tabla2[[#This Row],[Columna1]]="por pagar"),"vencida","no")</f>
        <v>no</v>
      </c>
    </row>
    <row r="1108" spans="1:23" ht="15.6" hidden="1" x14ac:dyDescent="0.3">
      <c r="A1108" s="20">
        <v>30</v>
      </c>
      <c r="B1108" s="25">
        <v>0</v>
      </c>
      <c r="C1108" s="25"/>
      <c r="D1108" s="56" t="s">
        <v>368</v>
      </c>
      <c r="E1108" s="426">
        <v>44977</v>
      </c>
      <c r="F1108" s="26" t="s">
        <v>623</v>
      </c>
      <c r="G1108" s="426">
        <v>44958</v>
      </c>
      <c r="H1108" s="35" t="s">
        <v>1454</v>
      </c>
      <c r="I1108" s="21">
        <v>895662</v>
      </c>
      <c r="J1108" s="21"/>
      <c r="K1108" s="22">
        <v>170175.78</v>
      </c>
      <c r="L1108" s="23"/>
      <c r="M1108" s="22">
        <v>0</v>
      </c>
      <c r="N1108" s="74">
        <v>0.04</v>
      </c>
      <c r="O1108" s="22">
        <v>35826.480000000003</v>
      </c>
      <c r="P1108" s="21">
        <v>1030011.3</v>
      </c>
      <c r="S1108" s="108" t="b">
        <f>OR(COUNTIF(Tabla2[[#This Row],[PROVEEDOR]],"*"&amp;'Palabra no opera'!$A$2&amp;"*"))</f>
        <v>1</v>
      </c>
      <c r="T1108" s="139">
        <f>+$W$5-Tabla2[[#This Row],[FECHA DE FACTURACIÓN]]</f>
        <v>333</v>
      </c>
      <c r="U1108" t="str">
        <f>+IF(Tabla2[[#This Row],[dias de credito]]&gt;=Tabla2[[#This Row],[PLAZO Días]],"venc", "No venc")</f>
        <v>venc</v>
      </c>
      <c r="V1108" t="str">
        <f>+IF(Tabla2[[#This Row],[FECHA DE PAGO]]&gt;0,"pagada","por pagar")</f>
        <v>pagada</v>
      </c>
      <c r="W1108" s="141" t="str">
        <f>+IF(AND(Tabla2[[#This Row],[venc]]="venc",Tabla2[[#This Row],[Columna1]]="por pagar"),"vencida","no")</f>
        <v>no</v>
      </c>
    </row>
    <row r="1109" spans="1:23" ht="15.6" hidden="1" x14ac:dyDescent="0.3">
      <c r="A1109" s="20">
        <v>30</v>
      </c>
      <c r="B1109" s="25">
        <v>0</v>
      </c>
      <c r="C1109" s="25"/>
      <c r="D1109" s="56" t="s">
        <v>368</v>
      </c>
      <c r="E1109" s="426">
        <v>44977</v>
      </c>
      <c r="F1109" s="26" t="s">
        <v>623</v>
      </c>
      <c r="G1109" s="426">
        <v>44958</v>
      </c>
      <c r="H1109" s="35" t="s">
        <v>1455</v>
      </c>
      <c r="I1109" s="21">
        <v>2196</v>
      </c>
      <c r="J1109" s="21"/>
      <c r="K1109" s="22">
        <v>417.24</v>
      </c>
      <c r="L1109" s="23"/>
      <c r="M1109" s="22">
        <v>0</v>
      </c>
      <c r="N1109" s="74">
        <v>0</v>
      </c>
      <c r="O1109" s="22">
        <v>0</v>
      </c>
      <c r="P1109" s="21">
        <v>2613.2399999999998</v>
      </c>
      <c r="S1109" s="108" t="b">
        <f>OR(COUNTIF(Tabla2[[#This Row],[PROVEEDOR]],"*"&amp;'Palabra no opera'!$A$2&amp;"*"))</f>
        <v>1</v>
      </c>
      <c r="T1109" s="139">
        <f>+$W$5-Tabla2[[#This Row],[FECHA DE FACTURACIÓN]]</f>
        <v>333</v>
      </c>
      <c r="U1109" t="str">
        <f>+IF(Tabla2[[#This Row],[dias de credito]]&gt;=Tabla2[[#This Row],[PLAZO Días]],"venc", "No venc")</f>
        <v>venc</v>
      </c>
      <c r="V1109" t="str">
        <f>+IF(Tabla2[[#This Row],[FECHA DE PAGO]]&gt;0,"pagada","por pagar")</f>
        <v>pagada</v>
      </c>
      <c r="W1109" s="141" t="str">
        <f>+IF(AND(Tabla2[[#This Row],[venc]]="venc",Tabla2[[#This Row],[Columna1]]="por pagar"),"vencida","no")</f>
        <v>no</v>
      </c>
    </row>
    <row r="1110" spans="1:23" ht="15.6" hidden="1" x14ac:dyDescent="0.3">
      <c r="A1110" s="20">
        <v>30</v>
      </c>
      <c r="B1110" s="25">
        <v>0</v>
      </c>
      <c r="C1110" s="25"/>
      <c r="D1110" s="56" t="s">
        <v>368</v>
      </c>
      <c r="E1110" s="426">
        <v>44977</v>
      </c>
      <c r="F1110" s="26" t="s">
        <v>623</v>
      </c>
      <c r="G1110" s="426">
        <v>44958</v>
      </c>
      <c r="H1110" s="35" t="s">
        <v>1456</v>
      </c>
      <c r="I1110" s="21">
        <v>527</v>
      </c>
      <c r="J1110" s="21"/>
      <c r="K1110" s="22">
        <v>100.13</v>
      </c>
      <c r="L1110" s="23"/>
      <c r="M1110" s="22">
        <v>0</v>
      </c>
      <c r="N1110" s="74">
        <v>0</v>
      </c>
      <c r="O1110" s="22">
        <v>0</v>
      </c>
      <c r="P1110" s="21">
        <v>627.13</v>
      </c>
      <c r="S1110" s="108" t="b">
        <f>OR(COUNTIF(Tabla2[[#This Row],[PROVEEDOR]],"*"&amp;'Palabra no opera'!$A$2&amp;"*"))</f>
        <v>1</v>
      </c>
      <c r="T1110" s="139">
        <f>+$W$5-Tabla2[[#This Row],[FECHA DE FACTURACIÓN]]</f>
        <v>333</v>
      </c>
      <c r="U1110" t="str">
        <f>+IF(Tabla2[[#This Row],[dias de credito]]&gt;=Tabla2[[#This Row],[PLAZO Días]],"venc", "No venc")</f>
        <v>venc</v>
      </c>
      <c r="V1110" t="str">
        <f>+IF(Tabla2[[#This Row],[FECHA DE PAGO]]&gt;0,"pagada","por pagar")</f>
        <v>pagada</v>
      </c>
      <c r="W1110" s="141" t="str">
        <f>+IF(AND(Tabla2[[#This Row],[venc]]="venc",Tabla2[[#This Row],[Columna1]]="por pagar"),"vencida","no")</f>
        <v>no</v>
      </c>
    </row>
    <row r="1111" spans="1:23" ht="15.6" hidden="1" x14ac:dyDescent="0.3">
      <c r="A1111" s="20">
        <v>30</v>
      </c>
      <c r="B1111" s="25">
        <v>0</v>
      </c>
      <c r="C1111" s="25"/>
      <c r="D1111" s="56" t="s">
        <v>368</v>
      </c>
      <c r="E1111" s="426">
        <v>44977</v>
      </c>
      <c r="F1111" s="26" t="s">
        <v>623</v>
      </c>
      <c r="G1111" s="426">
        <v>44958</v>
      </c>
      <c r="H1111" s="35" t="s">
        <v>1457</v>
      </c>
      <c r="I1111" s="21">
        <v>37336</v>
      </c>
      <c r="J1111" s="21"/>
      <c r="K1111" s="22">
        <v>7093.84</v>
      </c>
      <c r="L1111" s="23"/>
      <c r="M1111" s="22">
        <v>0</v>
      </c>
      <c r="N1111" s="74">
        <v>0</v>
      </c>
      <c r="O1111" s="22">
        <v>0</v>
      </c>
      <c r="P1111" s="21">
        <v>44429.84</v>
      </c>
      <c r="S1111" s="108" t="b">
        <f>OR(COUNTIF(Tabla2[[#This Row],[PROVEEDOR]],"*"&amp;'Palabra no opera'!$A$2&amp;"*"))</f>
        <v>1</v>
      </c>
      <c r="T1111" s="139">
        <f>+$W$5-Tabla2[[#This Row],[FECHA DE FACTURACIÓN]]</f>
        <v>333</v>
      </c>
      <c r="U1111" t="str">
        <f>+IF(Tabla2[[#This Row],[dias de credito]]&gt;=Tabla2[[#This Row],[PLAZO Días]],"venc", "No venc")</f>
        <v>venc</v>
      </c>
      <c r="V1111" t="str">
        <f>+IF(Tabla2[[#This Row],[FECHA DE PAGO]]&gt;0,"pagada","por pagar")</f>
        <v>pagada</v>
      </c>
      <c r="W1111" s="141" t="str">
        <f>+IF(AND(Tabla2[[#This Row],[venc]]="venc",Tabla2[[#This Row],[Columna1]]="por pagar"),"vencida","no")</f>
        <v>no</v>
      </c>
    </row>
    <row r="1112" spans="1:23" ht="15.6" hidden="1" x14ac:dyDescent="0.3">
      <c r="A1112" s="20">
        <v>30</v>
      </c>
      <c r="B1112" s="25">
        <v>352505.48</v>
      </c>
      <c r="C1112" s="25"/>
      <c r="D1112" s="56" t="s">
        <v>393</v>
      </c>
      <c r="E1112" s="426">
        <v>44977</v>
      </c>
      <c r="F1112" s="26" t="s">
        <v>631</v>
      </c>
      <c r="G1112" s="426">
        <v>44958</v>
      </c>
      <c r="H1112" s="35" t="s">
        <v>1449</v>
      </c>
      <c r="I1112" s="21">
        <v>329981</v>
      </c>
      <c r="J1112" s="21"/>
      <c r="K1112" s="22">
        <v>0</v>
      </c>
      <c r="L1112" s="23"/>
      <c r="M1112" s="22">
        <v>9886</v>
      </c>
      <c r="N1112" s="74">
        <v>0</v>
      </c>
      <c r="O1112" s="22">
        <v>0</v>
      </c>
      <c r="P1112" s="21">
        <v>320095</v>
      </c>
      <c r="S1112" s="108" t="b">
        <f>OR(COUNTIF(Tabla2[[#This Row],[PROVEEDOR]],"*"&amp;'Palabra no opera'!$A$2&amp;"*"))</f>
        <v>1</v>
      </c>
      <c r="T1112" s="139">
        <f>+$W$5-Tabla2[[#This Row],[FECHA DE FACTURACIÓN]]</f>
        <v>333</v>
      </c>
      <c r="U1112" t="str">
        <f>+IF(Tabla2[[#This Row],[dias de credito]]&gt;=Tabla2[[#This Row],[PLAZO Días]],"venc", "No venc")</f>
        <v>venc</v>
      </c>
      <c r="V1112" t="str">
        <f>+IF(Tabla2[[#This Row],[FECHA DE PAGO]]&gt;0,"pagada","por pagar")</f>
        <v>pagada</v>
      </c>
      <c r="W1112" s="141" t="str">
        <f>+IF(AND(Tabla2[[#This Row],[venc]]="venc",Tabla2[[#This Row],[Columna1]]="por pagar"),"vencida","no")</f>
        <v>no</v>
      </c>
    </row>
    <row r="1113" spans="1:23" ht="15.6" hidden="1" x14ac:dyDescent="0.3">
      <c r="A1113" s="20">
        <v>30</v>
      </c>
      <c r="B1113" s="25">
        <v>0</v>
      </c>
      <c r="C1113" s="25"/>
      <c r="D1113" s="56" t="s">
        <v>740</v>
      </c>
      <c r="E1113" s="426">
        <v>44977</v>
      </c>
      <c r="F1113" s="26" t="s">
        <v>637</v>
      </c>
      <c r="G1113" s="426">
        <v>44958</v>
      </c>
      <c r="H1113" s="35" t="s">
        <v>1450</v>
      </c>
      <c r="I1113" s="21">
        <v>928304</v>
      </c>
      <c r="J1113" s="21"/>
      <c r="K1113" s="22">
        <v>0</v>
      </c>
      <c r="L1113" s="23"/>
      <c r="M1113" s="22">
        <v>0</v>
      </c>
      <c r="N1113" s="74">
        <v>0</v>
      </c>
      <c r="O1113" s="22">
        <v>0</v>
      </c>
      <c r="P1113" s="21">
        <v>928304</v>
      </c>
      <c r="S1113" s="108" t="b">
        <f>OR(COUNTIF(Tabla2[[#This Row],[PROVEEDOR]],"*"&amp;'Palabra no opera'!$A$2&amp;"*"))</f>
        <v>1</v>
      </c>
      <c r="T1113" s="139">
        <f>+$W$5-Tabla2[[#This Row],[FECHA DE FACTURACIÓN]]</f>
        <v>333</v>
      </c>
      <c r="U1113" t="str">
        <f>+IF(Tabla2[[#This Row],[dias de credito]]&gt;=Tabla2[[#This Row],[PLAZO Días]],"venc", "No venc")</f>
        <v>venc</v>
      </c>
      <c r="V1113" t="str">
        <f>+IF(Tabla2[[#This Row],[FECHA DE PAGO]]&gt;0,"pagada","por pagar")</f>
        <v>pagada</v>
      </c>
      <c r="W1113" s="141" t="str">
        <f>+IF(AND(Tabla2[[#This Row],[venc]]="venc",Tabla2[[#This Row],[Columna1]]="por pagar"),"vencida","no")</f>
        <v>no</v>
      </c>
    </row>
    <row r="1114" spans="1:23" ht="15.6" hidden="1" x14ac:dyDescent="0.3">
      <c r="A1114" s="20">
        <v>30</v>
      </c>
      <c r="B1114" s="25">
        <v>0</v>
      </c>
      <c r="C1114" s="25"/>
      <c r="D1114" s="56" t="s">
        <v>740</v>
      </c>
      <c r="E1114" s="426">
        <v>44977</v>
      </c>
      <c r="F1114" s="26" t="s">
        <v>637</v>
      </c>
      <c r="G1114" s="426">
        <v>44958</v>
      </c>
      <c r="H1114" s="35" t="s">
        <v>1451</v>
      </c>
      <c r="I1114" s="21">
        <v>949891</v>
      </c>
      <c r="J1114" s="21"/>
      <c r="K1114" s="22">
        <v>0</v>
      </c>
      <c r="L1114" s="23"/>
      <c r="M1114" s="22">
        <v>0</v>
      </c>
      <c r="N1114" s="74">
        <v>0</v>
      </c>
      <c r="O1114" s="22">
        <v>0</v>
      </c>
      <c r="P1114" s="21">
        <v>949891</v>
      </c>
      <c r="S1114" s="108" t="b">
        <f>OR(COUNTIF(Tabla2[[#This Row],[PROVEEDOR]],"*"&amp;'Palabra no opera'!$A$2&amp;"*"))</f>
        <v>1</v>
      </c>
      <c r="T1114" s="139">
        <f>+$W$5-Tabla2[[#This Row],[FECHA DE FACTURACIÓN]]</f>
        <v>333</v>
      </c>
      <c r="U1114" t="str">
        <f>+IF(Tabla2[[#This Row],[dias de credito]]&gt;=Tabla2[[#This Row],[PLAZO Días]],"venc", "No venc")</f>
        <v>venc</v>
      </c>
      <c r="V1114" t="str">
        <f>+IF(Tabla2[[#This Row],[FECHA DE PAGO]]&gt;0,"pagada","por pagar")</f>
        <v>pagada</v>
      </c>
      <c r="W1114" s="141" t="str">
        <f>+IF(AND(Tabla2[[#This Row],[venc]]="venc",Tabla2[[#This Row],[Columna1]]="por pagar"),"vencida","no")</f>
        <v>no</v>
      </c>
    </row>
    <row r="1115" spans="1:23" ht="15.6" hidden="1" x14ac:dyDescent="0.3">
      <c r="A1115" s="20">
        <v>30</v>
      </c>
      <c r="B1115" s="25">
        <v>0</v>
      </c>
      <c r="C1115" s="25"/>
      <c r="D1115" s="56" t="s">
        <v>740</v>
      </c>
      <c r="E1115" s="426">
        <v>44977</v>
      </c>
      <c r="F1115" s="26" t="s">
        <v>637</v>
      </c>
      <c r="G1115" s="426">
        <v>44958</v>
      </c>
      <c r="H1115" s="35" t="s">
        <v>1452</v>
      </c>
      <c r="I1115" s="21">
        <v>59583</v>
      </c>
      <c r="J1115" s="21"/>
      <c r="K1115" s="22">
        <v>0</v>
      </c>
      <c r="L1115" s="23"/>
      <c r="M1115" s="22">
        <v>0</v>
      </c>
      <c r="N1115" s="74">
        <v>0</v>
      </c>
      <c r="O1115" s="22">
        <v>0</v>
      </c>
      <c r="P1115" s="21">
        <v>59583</v>
      </c>
      <c r="S1115" s="108" t="b">
        <f>OR(COUNTIF(Tabla2[[#This Row],[PROVEEDOR]],"*"&amp;'Palabra no opera'!$A$2&amp;"*"))</f>
        <v>1</v>
      </c>
      <c r="T1115" s="139">
        <f>+$W$5-Tabla2[[#This Row],[FECHA DE FACTURACIÓN]]</f>
        <v>333</v>
      </c>
      <c r="U1115" t="str">
        <f>+IF(Tabla2[[#This Row],[dias de credito]]&gt;=Tabla2[[#This Row],[PLAZO Días]],"venc", "No venc")</f>
        <v>venc</v>
      </c>
      <c r="V1115" t="str">
        <f>+IF(Tabla2[[#This Row],[FECHA DE PAGO]]&gt;0,"pagada","por pagar")</f>
        <v>pagada</v>
      </c>
      <c r="W1115" s="141" t="str">
        <f>+IF(AND(Tabla2[[#This Row],[venc]]="venc",Tabla2[[#This Row],[Columna1]]="por pagar"),"vencida","no")</f>
        <v>no</v>
      </c>
    </row>
    <row r="1116" spans="1:23" ht="15.6" hidden="1" x14ac:dyDescent="0.3">
      <c r="A1116" s="20">
        <v>30</v>
      </c>
      <c r="B1116" s="25">
        <v>0</v>
      </c>
      <c r="C1116" s="25"/>
      <c r="D1116" s="56" t="s">
        <v>740</v>
      </c>
      <c r="E1116" s="426">
        <v>44977</v>
      </c>
      <c r="F1116" s="26" t="s">
        <v>637</v>
      </c>
      <c r="G1116" s="426">
        <v>44958</v>
      </c>
      <c r="H1116" s="35" t="s">
        <v>1453</v>
      </c>
      <c r="I1116" s="21">
        <v>68166</v>
      </c>
      <c r="J1116" s="21"/>
      <c r="K1116" s="22">
        <v>0</v>
      </c>
      <c r="L1116" s="23"/>
      <c r="M1116" s="22">
        <v>0</v>
      </c>
      <c r="N1116" s="74">
        <v>0</v>
      </c>
      <c r="O1116" s="22">
        <v>0</v>
      </c>
      <c r="P1116" s="21">
        <v>68166</v>
      </c>
      <c r="S1116" s="108" t="b">
        <f>OR(COUNTIF(Tabla2[[#This Row],[PROVEEDOR]],"*"&amp;'Palabra no opera'!$A$2&amp;"*"))</f>
        <v>1</v>
      </c>
      <c r="T1116" s="139">
        <f>+$W$5-Tabla2[[#This Row],[FECHA DE FACTURACIÓN]]</f>
        <v>333</v>
      </c>
      <c r="U1116" t="str">
        <f>+IF(Tabla2[[#This Row],[dias de credito]]&gt;=Tabla2[[#This Row],[PLAZO Días]],"venc", "No venc")</f>
        <v>venc</v>
      </c>
      <c r="V1116" t="str">
        <f>+IF(Tabla2[[#This Row],[FECHA DE PAGO]]&gt;0,"pagada","por pagar")</f>
        <v>pagada</v>
      </c>
      <c r="W1116" s="141" t="str">
        <f>+IF(AND(Tabla2[[#This Row],[venc]]="venc",Tabla2[[#This Row],[Columna1]]="por pagar"),"vencida","no")</f>
        <v>no</v>
      </c>
    </row>
    <row r="1117" spans="1:23" ht="15.6" hidden="1" x14ac:dyDescent="0.3">
      <c r="A1117" s="20">
        <v>30</v>
      </c>
      <c r="B1117" s="25">
        <v>0</v>
      </c>
      <c r="C1117" s="25"/>
      <c r="D1117" s="56" t="s">
        <v>258</v>
      </c>
      <c r="E1117" s="426">
        <v>44977</v>
      </c>
      <c r="F1117" s="26" t="s">
        <v>394</v>
      </c>
      <c r="G1117" s="426">
        <v>44932</v>
      </c>
      <c r="H1117" s="35" t="s">
        <v>1409</v>
      </c>
      <c r="I1117" s="21">
        <v>2300000</v>
      </c>
      <c r="J1117" s="21"/>
      <c r="K1117" s="22">
        <v>0</v>
      </c>
      <c r="L1117" s="23"/>
      <c r="M1117" s="22">
        <v>0</v>
      </c>
      <c r="N1117" s="74">
        <v>0</v>
      </c>
      <c r="O1117" s="22">
        <v>0</v>
      </c>
      <c r="P1117" s="21">
        <v>2300000</v>
      </c>
      <c r="S1117" s="108" t="b">
        <f>OR(COUNTIF(Tabla2[[#This Row],[PROVEEDOR]],"*"&amp;'Palabra no opera'!$A$2&amp;"*"))</f>
        <v>0</v>
      </c>
      <c r="T1117" s="139">
        <f>+$W$5-Tabla2[[#This Row],[FECHA DE FACTURACIÓN]]</f>
        <v>359</v>
      </c>
      <c r="U1117" t="str">
        <f>+IF(Tabla2[[#This Row],[dias de credito]]&gt;=Tabla2[[#This Row],[PLAZO Días]],"venc", "No venc")</f>
        <v>venc</v>
      </c>
      <c r="V1117" t="str">
        <f>+IF(Tabla2[[#This Row],[FECHA DE PAGO]]&gt;0,"pagada","por pagar")</f>
        <v>pagada</v>
      </c>
      <c r="W1117" s="141" t="str">
        <f>+IF(AND(Tabla2[[#This Row],[venc]]="venc",Tabla2[[#This Row],[Columna1]]="por pagar"),"vencida","no")</f>
        <v>no</v>
      </c>
    </row>
    <row r="1118" spans="1:23" ht="15.6" hidden="1" x14ac:dyDescent="0.3">
      <c r="A1118" s="20">
        <v>30</v>
      </c>
      <c r="B1118" s="25">
        <v>0</v>
      </c>
      <c r="C1118" s="25"/>
      <c r="D1118" s="56" t="s">
        <v>107</v>
      </c>
      <c r="E1118" s="426">
        <v>44977</v>
      </c>
      <c r="F1118" s="26" t="s">
        <v>1403</v>
      </c>
      <c r="G1118" s="426">
        <v>44916</v>
      </c>
      <c r="H1118" s="35">
        <v>27</v>
      </c>
      <c r="I1118" s="21">
        <v>143500</v>
      </c>
      <c r="J1118" s="21"/>
      <c r="K1118" s="22">
        <v>0</v>
      </c>
      <c r="L1118" s="23"/>
      <c r="M1118" s="22">
        <v>0</v>
      </c>
      <c r="N1118" s="74">
        <v>0</v>
      </c>
      <c r="O1118" s="22">
        <v>0</v>
      </c>
      <c r="P1118" s="21">
        <v>143500</v>
      </c>
      <c r="S1118" s="108" t="b">
        <f>OR(COUNTIF(Tabla2[[#This Row],[PROVEEDOR]],"*"&amp;'Palabra no opera'!$A$2&amp;"*"))</f>
        <v>0</v>
      </c>
      <c r="T1118" s="139">
        <f>+$W$5-Tabla2[[#This Row],[FECHA DE FACTURACIÓN]]</f>
        <v>375</v>
      </c>
      <c r="U1118" t="str">
        <f>+IF(Tabla2[[#This Row],[dias de credito]]&gt;=Tabla2[[#This Row],[PLAZO Días]],"venc", "No venc")</f>
        <v>venc</v>
      </c>
      <c r="V1118" t="str">
        <f>+IF(Tabla2[[#This Row],[FECHA DE PAGO]]&gt;0,"pagada","por pagar")</f>
        <v>pagada</v>
      </c>
      <c r="W1118" s="141" t="str">
        <f>+IF(AND(Tabla2[[#This Row],[venc]]="venc",Tabla2[[#This Row],[Columna1]]="por pagar"),"vencida","no")</f>
        <v>no</v>
      </c>
    </row>
    <row r="1119" spans="1:23" ht="15.6" hidden="1" x14ac:dyDescent="0.3">
      <c r="A1119" s="20">
        <v>30</v>
      </c>
      <c r="B1119" s="25">
        <v>0</v>
      </c>
      <c r="C1119" s="25"/>
      <c r="D1119" s="56">
        <v>0</v>
      </c>
      <c r="E1119" s="426">
        <v>44977</v>
      </c>
      <c r="F1119" s="26" t="s">
        <v>1356</v>
      </c>
      <c r="G1119" s="426">
        <v>44904</v>
      </c>
      <c r="H1119" s="35">
        <v>7600</v>
      </c>
      <c r="I1119" s="21">
        <v>3800000</v>
      </c>
      <c r="J1119" s="21"/>
      <c r="K1119" s="22">
        <v>722000</v>
      </c>
      <c r="L1119" s="23"/>
      <c r="M1119" s="22">
        <v>0</v>
      </c>
      <c r="N1119" s="74">
        <v>2.5000000000000001E-2</v>
      </c>
      <c r="O1119" s="22">
        <v>95000</v>
      </c>
      <c r="P1119" s="21">
        <v>4427000</v>
      </c>
      <c r="S1119" s="108" t="b">
        <f>OR(COUNTIF(Tabla2[[#This Row],[PROVEEDOR]],"*"&amp;'Palabra no opera'!$A$2&amp;"*"))</f>
        <v>0</v>
      </c>
      <c r="T1119" s="139">
        <f>+$W$5-Tabla2[[#This Row],[FECHA DE FACTURACIÓN]]</f>
        <v>387</v>
      </c>
      <c r="U1119" t="str">
        <f>+IF(Tabla2[[#This Row],[dias de credito]]&gt;=Tabla2[[#This Row],[PLAZO Días]],"venc", "No venc")</f>
        <v>venc</v>
      </c>
      <c r="V1119" t="str">
        <f>+IF(Tabla2[[#This Row],[FECHA DE PAGO]]&gt;0,"pagada","por pagar")</f>
        <v>pagada</v>
      </c>
      <c r="W1119" s="141" t="str">
        <f>+IF(AND(Tabla2[[#This Row],[venc]]="venc",Tabla2[[#This Row],[Columna1]]="por pagar"),"vencida","no")</f>
        <v>no</v>
      </c>
    </row>
    <row r="1120" spans="1:23" ht="15.6" hidden="1" x14ac:dyDescent="0.3">
      <c r="A1120" s="20">
        <v>30</v>
      </c>
      <c r="B1120" s="25">
        <v>0</v>
      </c>
      <c r="C1120" s="25"/>
      <c r="D1120" s="56" t="s">
        <v>107</v>
      </c>
      <c r="E1120" s="426">
        <v>44977</v>
      </c>
      <c r="F1120" s="26" t="s">
        <v>1403</v>
      </c>
      <c r="G1120" s="426">
        <v>44902</v>
      </c>
      <c r="H1120" s="35">
        <v>26</v>
      </c>
      <c r="I1120" s="21">
        <v>75000</v>
      </c>
      <c r="J1120" s="21"/>
      <c r="K1120" s="22">
        <v>0</v>
      </c>
      <c r="L1120" s="23"/>
      <c r="M1120" s="22">
        <v>0</v>
      </c>
      <c r="N1120" s="74">
        <v>0</v>
      </c>
      <c r="O1120" s="22">
        <v>0</v>
      </c>
      <c r="P1120" s="21">
        <v>75000</v>
      </c>
      <c r="S1120" s="108" t="b">
        <f>OR(COUNTIF(Tabla2[[#This Row],[PROVEEDOR]],"*"&amp;'Palabra no opera'!$A$2&amp;"*"))</f>
        <v>0</v>
      </c>
      <c r="T1120" s="139">
        <f>+$W$5-Tabla2[[#This Row],[FECHA DE FACTURACIÓN]]</f>
        <v>389</v>
      </c>
      <c r="U1120" t="str">
        <f>+IF(Tabla2[[#This Row],[dias de credito]]&gt;=Tabla2[[#This Row],[PLAZO Días]],"venc", "No venc")</f>
        <v>venc</v>
      </c>
      <c r="V1120" t="str">
        <f>+IF(Tabla2[[#This Row],[FECHA DE PAGO]]&gt;0,"pagada","por pagar")</f>
        <v>pagada</v>
      </c>
      <c r="W1120" s="141" t="str">
        <f>+IF(AND(Tabla2[[#This Row],[venc]]="venc",Tabla2[[#This Row],[Columna1]]="por pagar"),"vencida","no")</f>
        <v>no</v>
      </c>
    </row>
    <row r="1121" spans="1:23" ht="15.6" hidden="1" x14ac:dyDescent="0.3">
      <c r="A1121" s="20">
        <v>30</v>
      </c>
      <c r="B1121" s="25">
        <v>0</v>
      </c>
      <c r="C1121" s="25"/>
      <c r="D1121" s="56" t="s">
        <v>107</v>
      </c>
      <c r="E1121" s="426">
        <v>44977</v>
      </c>
      <c r="F1121" s="26" t="s">
        <v>409</v>
      </c>
      <c r="G1121" s="426">
        <v>44891</v>
      </c>
      <c r="H1121" s="35">
        <v>24</v>
      </c>
      <c r="I1121" s="21">
        <v>364000</v>
      </c>
      <c r="J1121" s="21"/>
      <c r="K1121" s="22">
        <v>0</v>
      </c>
      <c r="L1121" s="23"/>
      <c r="M1121" s="22">
        <v>0</v>
      </c>
      <c r="N1121" s="74">
        <v>0</v>
      </c>
      <c r="O1121" s="22">
        <v>0</v>
      </c>
      <c r="P1121" s="21">
        <v>364000</v>
      </c>
      <c r="S1121" s="108" t="b">
        <f>OR(COUNTIF(Tabla2[[#This Row],[PROVEEDOR]],"*"&amp;'Palabra no opera'!$A$2&amp;"*"))</f>
        <v>0</v>
      </c>
      <c r="T1121" s="139">
        <f>+$W$5-Tabla2[[#This Row],[FECHA DE FACTURACIÓN]]</f>
        <v>400</v>
      </c>
      <c r="U1121" t="str">
        <f>+IF(Tabla2[[#This Row],[dias de credito]]&gt;=Tabla2[[#This Row],[PLAZO Días]],"venc", "No venc")</f>
        <v>venc</v>
      </c>
      <c r="V1121" t="str">
        <f>+IF(Tabla2[[#This Row],[FECHA DE PAGO]]&gt;0,"pagada","por pagar")</f>
        <v>pagada</v>
      </c>
      <c r="W1121" s="141" t="str">
        <f>+IF(AND(Tabla2[[#This Row],[venc]]="venc",Tabla2[[#This Row],[Columna1]]="por pagar"),"vencida","no")</f>
        <v>no</v>
      </c>
    </row>
    <row r="1122" spans="1:23" ht="15.6" hidden="1" x14ac:dyDescent="0.3">
      <c r="A1122" s="20">
        <v>30</v>
      </c>
      <c r="B1122" s="25">
        <v>0</v>
      </c>
      <c r="C1122" s="25"/>
      <c r="D1122" s="56" t="s">
        <v>107</v>
      </c>
      <c r="E1122" s="426">
        <v>44974</v>
      </c>
      <c r="F1122" s="26" t="s">
        <v>356</v>
      </c>
      <c r="G1122" s="426">
        <v>44972</v>
      </c>
      <c r="H1122" s="35" t="s">
        <v>1508</v>
      </c>
      <c r="I1122" s="21">
        <v>4760000</v>
      </c>
      <c r="J1122" s="21"/>
      <c r="K1122" s="22">
        <v>0</v>
      </c>
      <c r="L1122" s="23"/>
      <c r="M1122" s="22">
        <v>0</v>
      </c>
      <c r="N1122" s="74">
        <v>0</v>
      </c>
      <c r="O1122" s="22">
        <v>0</v>
      </c>
      <c r="P1122" s="21">
        <v>4760000</v>
      </c>
      <c r="S1122" s="108" t="b">
        <f>OR(COUNTIF(Tabla2[[#This Row],[PROVEEDOR]],"*"&amp;'Palabra no opera'!$A$2&amp;"*"))</f>
        <v>0</v>
      </c>
      <c r="T1122" s="139">
        <f>+$W$5-Tabla2[[#This Row],[FECHA DE FACTURACIÓN]]</f>
        <v>319</v>
      </c>
      <c r="U1122" t="str">
        <f>+IF(Tabla2[[#This Row],[dias de credito]]&gt;=Tabla2[[#This Row],[PLAZO Días]],"venc", "No venc")</f>
        <v>venc</v>
      </c>
      <c r="V1122" t="str">
        <f>+IF(Tabla2[[#This Row],[FECHA DE PAGO]]&gt;0,"pagada","por pagar")</f>
        <v>pagada</v>
      </c>
      <c r="W1122" s="141" t="str">
        <f>+IF(AND(Tabla2[[#This Row],[venc]]="venc",Tabla2[[#This Row],[Columna1]]="por pagar"),"vencida","no")</f>
        <v>no</v>
      </c>
    </row>
    <row r="1123" spans="1:23" ht="15.6" hidden="1" x14ac:dyDescent="0.3">
      <c r="A1123" s="20">
        <v>30</v>
      </c>
      <c r="B1123" s="25">
        <v>380979.69</v>
      </c>
      <c r="C1123" s="25"/>
      <c r="D1123" s="56" t="s">
        <v>296</v>
      </c>
      <c r="E1123" s="426">
        <v>44974</v>
      </c>
      <c r="F1123" s="26" t="s">
        <v>1295</v>
      </c>
      <c r="G1123" s="426">
        <v>44914</v>
      </c>
      <c r="H1123" s="35" t="s">
        <v>1347</v>
      </c>
      <c r="I1123" s="21">
        <v>2274460</v>
      </c>
      <c r="J1123" s="21"/>
      <c r="K1123" s="22">
        <v>432147.4</v>
      </c>
      <c r="L1123" s="23"/>
      <c r="M1123" s="22">
        <v>0</v>
      </c>
      <c r="N1123" s="74">
        <v>0</v>
      </c>
      <c r="O1123" s="22">
        <v>0</v>
      </c>
      <c r="P1123" s="21">
        <v>2706607.4</v>
      </c>
      <c r="S1123" s="108" t="b">
        <f>OR(COUNTIF(Tabla2[[#This Row],[PROVEEDOR]],"*"&amp;'Palabra no opera'!$A$2&amp;"*"))</f>
        <v>1</v>
      </c>
      <c r="T1123" s="139">
        <f>+$W$5-Tabla2[[#This Row],[FECHA DE FACTURACIÓN]]</f>
        <v>377</v>
      </c>
      <c r="U1123" t="str">
        <f>+IF(Tabla2[[#This Row],[dias de credito]]&gt;=Tabla2[[#This Row],[PLAZO Días]],"venc", "No venc")</f>
        <v>venc</v>
      </c>
      <c r="V1123" t="str">
        <f>+IF(Tabla2[[#This Row],[FECHA DE PAGO]]&gt;0,"pagada","por pagar")</f>
        <v>pagada</v>
      </c>
      <c r="W1123" s="141" t="str">
        <f>+IF(AND(Tabla2[[#This Row],[venc]]="venc",Tabla2[[#This Row],[Columna1]]="por pagar"),"vencida","no")</f>
        <v>no</v>
      </c>
    </row>
    <row r="1124" spans="1:23" ht="15.6" hidden="1" x14ac:dyDescent="0.3">
      <c r="A1124" s="20">
        <v>30</v>
      </c>
      <c r="B1124" s="25">
        <v>0</v>
      </c>
      <c r="C1124" s="25"/>
      <c r="D1124" s="56">
        <v>0</v>
      </c>
      <c r="E1124" s="426">
        <v>44973</v>
      </c>
      <c r="F1124" s="26" t="s">
        <v>1337</v>
      </c>
      <c r="G1124" s="426">
        <v>44973</v>
      </c>
      <c r="H1124" s="35">
        <v>1378</v>
      </c>
      <c r="I1124" s="21">
        <v>361345</v>
      </c>
      <c r="J1124" s="21"/>
      <c r="K1124" s="22">
        <v>68655.55</v>
      </c>
      <c r="L1124" s="23"/>
      <c r="M1124" s="22">
        <v>0</v>
      </c>
      <c r="N1124" s="74">
        <v>0</v>
      </c>
      <c r="O1124" s="22">
        <v>0</v>
      </c>
      <c r="P1124" s="21">
        <v>430000.55</v>
      </c>
      <c r="S1124" s="108" t="b">
        <f>OR(COUNTIF(Tabla2[[#This Row],[PROVEEDOR]],"*"&amp;'Palabra no opera'!$A$2&amp;"*"))</f>
        <v>0</v>
      </c>
      <c r="T1124" s="139">
        <f>+$W$5-Tabla2[[#This Row],[FECHA DE FACTURACIÓN]]</f>
        <v>318</v>
      </c>
      <c r="U1124" t="str">
        <f>+IF(Tabla2[[#This Row],[dias de credito]]&gt;=Tabla2[[#This Row],[PLAZO Días]],"venc", "No venc")</f>
        <v>venc</v>
      </c>
      <c r="V1124" t="str">
        <f>+IF(Tabla2[[#This Row],[FECHA DE PAGO]]&gt;0,"pagada","por pagar")</f>
        <v>pagada</v>
      </c>
      <c r="W1124" s="141" t="str">
        <f>+IF(AND(Tabla2[[#This Row],[venc]]="venc",Tabla2[[#This Row],[Columna1]]="por pagar"),"vencida","no")</f>
        <v>no</v>
      </c>
    </row>
    <row r="1125" spans="1:23" ht="15.6" hidden="1" x14ac:dyDescent="0.3">
      <c r="A1125" s="20">
        <v>30</v>
      </c>
      <c r="B1125" s="25">
        <v>0</v>
      </c>
      <c r="C1125" s="25"/>
      <c r="D1125" s="56" t="s">
        <v>942</v>
      </c>
      <c r="E1125" s="426">
        <v>44972</v>
      </c>
      <c r="F1125" s="26" t="s">
        <v>829</v>
      </c>
      <c r="G1125" s="426">
        <v>44972</v>
      </c>
      <c r="H1125" s="35">
        <v>32185</v>
      </c>
      <c r="I1125" s="21">
        <v>1605723</v>
      </c>
      <c r="J1125" s="21"/>
      <c r="K1125" s="22">
        <v>1277</v>
      </c>
      <c r="L1125" s="23"/>
      <c r="M1125" s="22">
        <v>0</v>
      </c>
      <c r="N1125" s="74">
        <v>2.5000000000000001E-2</v>
      </c>
      <c r="O1125" s="22">
        <v>40143.075000000004</v>
      </c>
      <c r="P1125" s="21">
        <v>1566856.925</v>
      </c>
      <c r="S1125" s="108" t="b">
        <f>OR(COUNTIF(Tabla2[[#This Row],[PROVEEDOR]],"*"&amp;'Palabra no opera'!$A$2&amp;"*"))</f>
        <v>1</v>
      </c>
      <c r="T1125" s="139">
        <f>+$W$5-Tabla2[[#This Row],[FECHA DE FACTURACIÓN]]</f>
        <v>319</v>
      </c>
      <c r="U1125" t="str">
        <f>+IF(Tabla2[[#This Row],[dias de credito]]&gt;=Tabla2[[#This Row],[PLAZO Días]],"venc", "No venc")</f>
        <v>venc</v>
      </c>
      <c r="V1125" t="str">
        <f>+IF(Tabla2[[#This Row],[FECHA DE PAGO]]&gt;0,"pagada","por pagar")</f>
        <v>pagada</v>
      </c>
      <c r="W1125" s="141" t="str">
        <f>+IF(AND(Tabla2[[#This Row],[venc]]="venc",Tabla2[[#This Row],[Columna1]]="por pagar"),"vencida","no")</f>
        <v>no</v>
      </c>
    </row>
    <row r="1126" spans="1:23" ht="15.6" hidden="1" x14ac:dyDescent="0.3">
      <c r="A1126" s="20">
        <v>30</v>
      </c>
      <c r="B1126" s="25">
        <v>3669750</v>
      </c>
      <c r="C1126" s="25"/>
      <c r="D1126" s="56" t="s">
        <v>1082</v>
      </c>
      <c r="E1126" s="426">
        <v>44972</v>
      </c>
      <c r="F1126" s="26" t="s">
        <v>24</v>
      </c>
      <c r="G1126" s="426">
        <v>44972</v>
      </c>
      <c r="H1126" s="35" t="s">
        <v>1459</v>
      </c>
      <c r="I1126" s="21">
        <v>2122650</v>
      </c>
      <c r="J1126" s="21"/>
      <c r="K1126" s="22">
        <v>403303.5</v>
      </c>
      <c r="L1126" s="23"/>
      <c r="M1126" s="22">
        <v>0</v>
      </c>
      <c r="N1126" s="74">
        <v>2.5000000000000001E-2</v>
      </c>
      <c r="O1126" s="22">
        <v>53066.25</v>
      </c>
      <c r="P1126" s="21">
        <v>2472887.25</v>
      </c>
      <c r="S1126" s="108" t="b">
        <f>OR(COUNTIF(Tabla2[[#This Row],[PROVEEDOR]],"*"&amp;'Palabra no opera'!$A$2&amp;"*"))</f>
        <v>0</v>
      </c>
      <c r="T1126" s="139">
        <f>+$W$5-Tabla2[[#This Row],[FECHA DE FACTURACIÓN]]</f>
        <v>319</v>
      </c>
      <c r="U1126" t="str">
        <f>+IF(Tabla2[[#This Row],[dias de credito]]&gt;=Tabla2[[#This Row],[PLAZO Días]],"venc", "No venc")</f>
        <v>venc</v>
      </c>
      <c r="V1126" t="str">
        <f>+IF(Tabla2[[#This Row],[FECHA DE PAGO]]&gt;0,"pagada","por pagar")</f>
        <v>pagada</v>
      </c>
      <c r="W1126" s="141" t="str">
        <f>+IF(AND(Tabla2[[#This Row],[venc]]="venc",Tabla2[[#This Row],[Columna1]]="por pagar"),"vencida","no")</f>
        <v>no</v>
      </c>
    </row>
    <row r="1127" spans="1:23" ht="15.6" hidden="1" x14ac:dyDescent="0.3">
      <c r="A1127" s="20">
        <v>30</v>
      </c>
      <c r="B1127" s="25">
        <v>0</v>
      </c>
      <c r="C1127" s="25"/>
      <c r="D1127" s="56">
        <v>0</v>
      </c>
      <c r="E1127" s="426">
        <v>44972</v>
      </c>
      <c r="F1127" s="26" t="s">
        <v>1287</v>
      </c>
      <c r="G1127" s="426">
        <v>44882</v>
      </c>
      <c r="H1127" s="35">
        <v>2654</v>
      </c>
      <c r="I1127" s="21">
        <v>409500</v>
      </c>
      <c r="J1127" s="21"/>
      <c r="K1127" s="22">
        <v>0</v>
      </c>
      <c r="L1127" s="23"/>
      <c r="M1127" s="22">
        <v>0</v>
      </c>
      <c r="N1127" s="74">
        <v>0</v>
      </c>
      <c r="O1127" s="22">
        <v>0</v>
      </c>
      <c r="P1127" s="21">
        <v>409500</v>
      </c>
      <c r="S1127" s="108" t="b">
        <f>OR(COUNTIF(Tabla2[[#This Row],[PROVEEDOR]],"*"&amp;'Palabra no opera'!$A$2&amp;"*"))</f>
        <v>0</v>
      </c>
      <c r="T1127" s="139">
        <f>+$W$5-Tabla2[[#This Row],[FECHA DE FACTURACIÓN]]</f>
        <v>409</v>
      </c>
      <c r="U1127" t="str">
        <f>+IF(Tabla2[[#This Row],[dias de credito]]&gt;=Tabla2[[#This Row],[PLAZO Días]],"venc", "No venc")</f>
        <v>venc</v>
      </c>
      <c r="V1127" t="str">
        <f>+IF(Tabla2[[#This Row],[FECHA DE PAGO]]&gt;0,"pagada","por pagar")</f>
        <v>pagada</v>
      </c>
      <c r="W1127" s="141" t="str">
        <f>+IF(AND(Tabla2[[#This Row],[venc]]="venc",Tabla2[[#This Row],[Columna1]]="por pagar"),"vencida","no")</f>
        <v>no</v>
      </c>
    </row>
    <row r="1128" spans="1:23" ht="15.6" hidden="1" x14ac:dyDescent="0.3">
      <c r="A1128" s="20">
        <v>30</v>
      </c>
      <c r="B1128" s="25">
        <v>121187115</v>
      </c>
      <c r="C1128" s="25"/>
      <c r="D1128" s="56" t="s">
        <v>233</v>
      </c>
      <c r="E1128" s="426">
        <v>44971</v>
      </c>
      <c r="F1128" s="26" t="s">
        <v>31</v>
      </c>
      <c r="G1128" s="426">
        <v>44896</v>
      </c>
      <c r="H1128" s="35">
        <v>58088</v>
      </c>
      <c r="I1128" s="21">
        <v>65380700</v>
      </c>
      <c r="J1128" s="21"/>
      <c r="K1128" s="22">
        <v>0</v>
      </c>
      <c r="L1128" s="23"/>
      <c r="M1128" s="22">
        <v>0</v>
      </c>
      <c r="N1128" s="74">
        <v>0</v>
      </c>
      <c r="O1128" s="22">
        <v>0</v>
      </c>
      <c r="P1128" s="21">
        <v>65380700</v>
      </c>
      <c r="S1128" s="108" t="b">
        <f>OR(COUNTIF(Tabla2[[#This Row],[PROVEEDOR]],"*"&amp;'Palabra no opera'!$A$2&amp;"*"))</f>
        <v>0</v>
      </c>
      <c r="T1128" s="139">
        <f>+$W$5-Tabla2[[#This Row],[FECHA DE FACTURACIÓN]]</f>
        <v>395</v>
      </c>
      <c r="U1128" t="str">
        <f>+IF(Tabla2[[#This Row],[dias de credito]]&gt;=Tabla2[[#This Row],[PLAZO Días]],"venc", "No venc")</f>
        <v>venc</v>
      </c>
      <c r="V1128" t="str">
        <f>+IF(Tabla2[[#This Row],[FECHA DE PAGO]]&gt;0,"pagada","por pagar")</f>
        <v>pagada</v>
      </c>
      <c r="W1128" s="141" t="str">
        <f>+IF(AND(Tabla2[[#This Row],[venc]]="venc",Tabla2[[#This Row],[Columna1]]="por pagar"),"vencida","no")</f>
        <v>no</v>
      </c>
    </row>
    <row r="1129" spans="1:23" ht="15.6" hidden="1" x14ac:dyDescent="0.3">
      <c r="A1129" s="20">
        <v>30</v>
      </c>
      <c r="B1129" s="25">
        <v>17870934.149999999</v>
      </c>
      <c r="C1129" s="25"/>
      <c r="D1129" s="56" t="s">
        <v>182</v>
      </c>
      <c r="E1129" s="426">
        <v>44970</v>
      </c>
      <c r="F1129" s="26" t="s">
        <v>18</v>
      </c>
      <c r="G1129" s="426">
        <v>44907</v>
      </c>
      <c r="H1129" s="35">
        <v>1063196</v>
      </c>
      <c r="I1129" s="21">
        <v>6637080</v>
      </c>
      <c r="J1129" s="21"/>
      <c r="K1129" s="22">
        <v>1261045.2</v>
      </c>
      <c r="L1129" s="23"/>
      <c r="M1129" s="22">
        <v>0</v>
      </c>
      <c r="N1129" s="74">
        <v>2.5000000000000001E-2</v>
      </c>
      <c r="O1129" s="22">
        <v>165927</v>
      </c>
      <c r="P1129" s="21">
        <v>7732198.2000000002</v>
      </c>
      <c r="S1129" s="108" t="b">
        <f>OR(COUNTIF(Tabla2[[#This Row],[PROVEEDOR]],"*"&amp;'Palabra no opera'!$A$2&amp;"*"))</f>
        <v>0</v>
      </c>
      <c r="T1129" s="139">
        <f>+$W$5-Tabla2[[#This Row],[FECHA DE FACTURACIÓN]]</f>
        <v>384</v>
      </c>
      <c r="U1129" t="str">
        <f>+IF(Tabla2[[#This Row],[dias de credito]]&gt;=Tabla2[[#This Row],[PLAZO Días]],"venc", "No venc")</f>
        <v>venc</v>
      </c>
      <c r="V1129" t="str">
        <f>+IF(Tabla2[[#This Row],[FECHA DE PAGO]]&gt;0,"pagada","por pagar")</f>
        <v>pagada</v>
      </c>
      <c r="W1129" s="141" t="str">
        <f>+IF(AND(Tabla2[[#This Row],[venc]]="venc",Tabla2[[#This Row],[Columna1]]="por pagar"),"vencida","no")</f>
        <v>no</v>
      </c>
    </row>
    <row r="1130" spans="1:23" ht="15.6" hidden="1" x14ac:dyDescent="0.3">
      <c r="A1130" s="20">
        <v>30</v>
      </c>
      <c r="B1130" s="25">
        <v>0</v>
      </c>
      <c r="C1130" s="25"/>
      <c r="D1130" s="56">
        <v>0</v>
      </c>
      <c r="E1130" s="426">
        <v>44969</v>
      </c>
      <c r="F1130" s="26" t="s">
        <v>413</v>
      </c>
      <c r="G1130" s="426">
        <v>44938</v>
      </c>
      <c r="H1130" s="35">
        <v>348</v>
      </c>
      <c r="I1130" s="21">
        <v>1044000</v>
      </c>
      <c r="J1130" s="21"/>
      <c r="K1130" s="22">
        <v>0</v>
      </c>
      <c r="L1130" s="23"/>
      <c r="M1130" s="22">
        <v>0</v>
      </c>
      <c r="N1130" s="74">
        <v>0</v>
      </c>
      <c r="O1130" s="22">
        <v>0</v>
      </c>
      <c r="P1130" s="21">
        <v>1044000</v>
      </c>
      <c r="S1130" s="108" t="b">
        <f>OR(COUNTIF(Tabla2[[#This Row],[PROVEEDOR]],"*"&amp;'Palabra no opera'!$A$2&amp;"*"))</f>
        <v>0</v>
      </c>
      <c r="T1130" s="139">
        <f>+$W$5-Tabla2[[#This Row],[FECHA DE FACTURACIÓN]]</f>
        <v>353</v>
      </c>
      <c r="U1130" t="str">
        <f>+IF(Tabla2[[#This Row],[dias de credito]]&gt;=Tabla2[[#This Row],[PLAZO Días]],"venc", "No venc")</f>
        <v>venc</v>
      </c>
      <c r="V1130" t="str">
        <f>+IF(Tabla2[[#This Row],[FECHA DE PAGO]]&gt;0,"pagada","por pagar")</f>
        <v>pagada</v>
      </c>
      <c r="W1130" s="141" t="str">
        <f>+IF(AND(Tabla2[[#This Row],[venc]]="venc",Tabla2[[#This Row],[Columna1]]="por pagar"),"vencida","no")</f>
        <v>no</v>
      </c>
    </row>
    <row r="1131" spans="1:23" ht="15.6" hidden="1" x14ac:dyDescent="0.3">
      <c r="A1131" s="20">
        <v>30</v>
      </c>
      <c r="B1131" s="25">
        <v>0</v>
      </c>
      <c r="C1131" s="25"/>
      <c r="D1131" s="56" t="s">
        <v>107</v>
      </c>
      <c r="E1131" s="426">
        <v>44967</v>
      </c>
      <c r="F1131" s="26" t="s">
        <v>1401</v>
      </c>
      <c r="G1131" s="426">
        <v>44967</v>
      </c>
      <c r="H1131" s="35" t="s">
        <v>1479</v>
      </c>
      <c r="I1131" s="21">
        <v>578000</v>
      </c>
      <c r="J1131" s="21"/>
      <c r="K1131" s="22">
        <v>0</v>
      </c>
      <c r="L1131" s="23"/>
      <c r="M1131" s="22">
        <v>0</v>
      </c>
      <c r="N1131" s="74">
        <v>0</v>
      </c>
      <c r="O1131" s="22">
        <v>0</v>
      </c>
      <c r="P1131" s="21">
        <v>578000</v>
      </c>
      <c r="S1131" s="108" t="b">
        <f>OR(COUNTIF(Tabla2[[#This Row],[PROVEEDOR]],"*"&amp;'Palabra no opera'!$A$2&amp;"*"))</f>
        <v>0</v>
      </c>
      <c r="T1131" s="139">
        <f>+$W$5-Tabla2[[#This Row],[FECHA DE FACTURACIÓN]]</f>
        <v>324</v>
      </c>
      <c r="U1131" t="str">
        <f>+IF(Tabla2[[#This Row],[dias de credito]]&gt;=Tabla2[[#This Row],[PLAZO Días]],"venc", "No venc")</f>
        <v>venc</v>
      </c>
      <c r="V1131" t="str">
        <f>+IF(Tabla2[[#This Row],[FECHA DE PAGO]]&gt;0,"pagada","por pagar")</f>
        <v>pagada</v>
      </c>
      <c r="W1131" s="141" t="str">
        <f>+IF(AND(Tabla2[[#This Row],[venc]]="venc",Tabla2[[#This Row],[Columna1]]="por pagar"),"vencida","no")</f>
        <v>no</v>
      </c>
    </row>
    <row r="1132" spans="1:23" ht="15.6" hidden="1" x14ac:dyDescent="0.3">
      <c r="A1132" s="20">
        <v>30</v>
      </c>
      <c r="B1132" s="25">
        <v>0</v>
      </c>
      <c r="C1132" s="25"/>
      <c r="D1132" s="56" t="s">
        <v>211</v>
      </c>
      <c r="E1132" s="426">
        <v>44967</v>
      </c>
      <c r="F1132" s="26" t="s">
        <v>1371</v>
      </c>
      <c r="G1132" s="426">
        <v>44916</v>
      </c>
      <c r="H1132" s="35" t="s">
        <v>1372</v>
      </c>
      <c r="I1132" s="21">
        <v>906000</v>
      </c>
      <c r="J1132" s="21"/>
      <c r="K1132" s="22">
        <v>0</v>
      </c>
      <c r="L1132" s="23"/>
      <c r="M1132" s="22">
        <v>0</v>
      </c>
      <c r="N1132" s="74">
        <v>0</v>
      </c>
      <c r="O1132" s="22">
        <v>0</v>
      </c>
      <c r="P1132" s="21">
        <v>906000</v>
      </c>
      <c r="S1132" s="108" t="b">
        <f>OR(COUNTIF(Tabla2[[#This Row],[PROVEEDOR]],"*"&amp;'Palabra no opera'!$A$2&amp;"*"))</f>
        <v>0</v>
      </c>
      <c r="T1132" s="139">
        <f>+$W$5-Tabla2[[#This Row],[FECHA DE FACTURACIÓN]]</f>
        <v>375</v>
      </c>
      <c r="U1132" t="str">
        <f>+IF(Tabla2[[#This Row],[dias de credito]]&gt;=Tabla2[[#This Row],[PLAZO Días]],"venc", "No venc")</f>
        <v>venc</v>
      </c>
      <c r="V1132" t="str">
        <f>+IF(Tabla2[[#This Row],[FECHA DE PAGO]]&gt;0,"pagada","por pagar")</f>
        <v>pagada</v>
      </c>
      <c r="W1132" s="141" t="str">
        <f>+IF(AND(Tabla2[[#This Row],[venc]]="venc",Tabla2[[#This Row],[Columna1]]="por pagar"),"vencida","no")</f>
        <v>no</v>
      </c>
    </row>
    <row r="1133" spans="1:23" ht="15.6" hidden="1" x14ac:dyDescent="0.3">
      <c r="A1133" s="20">
        <v>30</v>
      </c>
      <c r="B1133" s="25">
        <v>0</v>
      </c>
      <c r="C1133" s="25"/>
      <c r="D1133" s="56" t="s">
        <v>107</v>
      </c>
      <c r="E1133" s="426">
        <v>44966</v>
      </c>
      <c r="F1133" s="26" t="s">
        <v>356</v>
      </c>
      <c r="G1133" s="426">
        <v>44965</v>
      </c>
      <c r="H1133" s="35" t="s">
        <v>1473</v>
      </c>
      <c r="I1133" s="21">
        <v>2710000</v>
      </c>
      <c r="J1133" s="21"/>
      <c r="K1133" s="22">
        <v>0</v>
      </c>
      <c r="L1133" s="23"/>
      <c r="M1133" s="22">
        <v>0</v>
      </c>
      <c r="N1133" s="74">
        <v>0</v>
      </c>
      <c r="O1133" s="22">
        <v>0</v>
      </c>
      <c r="P1133" s="21">
        <v>2710000</v>
      </c>
      <c r="S1133" s="108" t="b">
        <f>OR(COUNTIF(Tabla2[[#This Row],[PROVEEDOR]],"*"&amp;'Palabra no opera'!$A$2&amp;"*"))</f>
        <v>0</v>
      </c>
      <c r="T1133" s="139">
        <f>+$W$5-Tabla2[[#This Row],[FECHA DE FACTURACIÓN]]</f>
        <v>326</v>
      </c>
      <c r="U1133" t="str">
        <f>+IF(Tabla2[[#This Row],[dias de credito]]&gt;=Tabla2[[#This Row],[PLAZO Días]],"venc", "No venc")</f>
        <v>venc</v>
      </c>
      <c r="V1133" t="str">
        <f>+IF(Tabla2[[#This Row],[FECHA DE PAGO]]&gt;0,"pagada","por pagar")</f>
        <v>pagada</v>
      </c>
      <c r="W1133" s="141" t="str">
        <f>+IF(AND(Tabla2[[#This Row],[venc]]="venc",Tabla2[[#This Row],[Columna1]]="por pagar"),"vencida","no")</f>
        <v>no</v>
      </c>
    </row>
    <row r="1134" spans="1:23" ht="15.6" hidden="1" x14ac:dyDescent="0.3">
      <c r="A1134" s="20">
        <v>0</v>
      </c>
      <c r="B1134" s="25">
        <v>0</v>
      </c>
      <c r="C1134" s="25"/>
      <c r="D1134" s="56" t="s">
        <v>136</v>
      </c>
      <c r="E1134" s="426">
        <v>44966</v>
      </c>
      <c r="F1134" s="26" t="s">
        <v>1438</v>
      </c>
      <c r="G1134" s="426">
        <v>44958</v>
      </c>
      <c r="H1134" s="35">
        <v>1536</v>
      </c>
      <c r="I1134" s="21">
        <v>600000</v>
      </c>
      <c r="J1134" s="21"/>
      <c r="K1134" s="22">
        <v>0</v>
      </c>
      <c r="L1134" s="23"/>
      <c r="M1134" s="22">
        <v>0</v>
      </c>
      <c r="N1134" s="74">
        <v>0</v>
      </c>
      <c r="O1134" s="22">
        <v>0</v>
      </c>
      <c r="P1134" s="21">
        <v>600000</v>
      </c>
      <c r="S1134" s="108" t="b">
        <f>OR(COUNTIF(Tabla2[[#This Row],[PROVEEDOR]],"*"&amp;'Palabra no opera'!$A$2&amp;"*"))</f>
        <v>1</v>
      </c>
      <c r="T1134" s="139">
        <f>+$W$5-Tabla2[[#This Row],[FECHA DE FACTURACIÓN]]</f>
        <v>333</v>
      </c>
      <c r="U1134" t="str">
        <f>+IF(Tabla2[[#This Row],[dias de credito]]&gt;=Tabla2[[#This Row],[PLAZO Días]],"venc", "No venc")</f>
        <v>venc</v>
      </c>
      <c r="V1134" t="str">
        <f>+IF(Tabla2[[#This Row],[FECHA DE PAGO]]&gt;0,"pagada","por pagar")</f>
        <v>pagada</v>
      </c>
      <c r="W1134" s="141" t="str">
        <f>+IF(AND(Tabla2[[#This Row],[venc]]="venc",Tabla2[[#This Row],[Columna1]]="por pagar"),"vencida","no")</f>
        <v>no</v>
      </c>
    </row>
    <row r="1135" spans="1:23" ht="15.6" hidden="1" x14ac:dyDescent="0.3">
      <c r="A1135" s="20">
        <v>30</v>
      </c>
      <c r="B1135" s="25">
        <v>0</v>
      </c>
      <c r="C1135" s="25"/>
      <c r="D1135" s="56" t="s">
        <v>107</v>
      </c>
      <c r="E1135" s="426">
        <v>44964</v>
      </c>
      <c r="F1135" s="26" t="s">
        <v>356</v>
      </c>
      <c r="G1135" s="426">
        <v>44963</v>
      </c>
      <c r="H1135" s="35">
        <v>2791</v>
      </c>
      <c r="I1135" s="21">
        <v>2470000</v>
      </c>
      <c r="J1135" s="21"/>
      <c r="K1135" s="22">
        <v>0</v>
      </c>
      <c r="L1135" s="23"/>
      <c r="M1135" s="22">
        <v>0</v>
      </c>
      <c r="N1135" s="74">
        <v>0</v>
      </c>
      <c r="O1135" s="22">
        <v>0</v>
      </c>
      <c r="P1135" s="21">
        <v>2470000</v>
      </c>
      <c r="S1135" s="108" t="b">
        <f>OR(COUNTIF(Tabla2[[#This Row],[PROVEEDOR]],"*"&amp;'Palabra no opera'!$A$2&amp;"*"))</f>
        <v>0</v>
      </c>
      <c r="T1135" s="139">
        <f>+$W$5-Tabla2[[#This Row],[FECHA DE FACTURACIÓN]]</f>
        <v>328</v>
      </c>
      <c r="U1135" t="str">
        <f>+IF(Tabla2[[#This Row],[dias de credito]]&gt;=Tabla2[[#This Row],[PLAZO Días]],"venc", "No venc")</f>
        <v>venc</v>
      </c>
      <c r="V1135" t="str">
        <f>+IF(Tabla2[[#This Row],[FECHA DE PAGO]]&gt;0,"pagada","por pagar")</f>
        <v>pagada</v>
      </c>
      <c r="W1135" s="141" t="str">
        <f>+IF(AND(Tabla2[[#This Row],[venc]]="venc",Tabla2[[#This Row],[Columna1]]="por pagar"),"vencida","no")</f>
        <v>no</v>
      </c>
    </row>
    <row r="1136" spans="1:23" ht="15.6" hidden="1" x14ac:dyDescent="0.3">
      <c r="A1136" s="20">
        <v>30</v>
      </c>
      <c r="B1136" s="25">
        <v>2100000</v>
      </c>
      <c r="C1136" s="25"/>
      <c r="D1136" s="56" t="s">
        <v>107</v>
      </c>
      <c r="E1136" s="426">
        <v>44963</v>
      </c>
      <c r="F1136" s="26" t="s">
        <v>349</v>
      </c>
      <c r="G1136" s="426">
        <v>44917</v>
      </c>
      <c r="H1136" s="35">
        <v>2710</v>
      </c>
      <c r="I1136" s="21">
        <v>500000</v>
      </c>
      <c r="J1136" s="21"/>
      <c r="K1136" s="22">
        <v>0</v>
      </c>
      <c r="L1136" s="23"/>
      <c r="M1136" s="22">
        <v>0</v>
      </c>
      <c r="N1136" s="74">
        <v>0</v>
      </c>
      <c r="O1136" s="22">
        <v>0</v>
      </c>
      <c r="P1136" s="21">
        <v>500000</v>
      </c>
      <c r="S1136" s="108" t="b">
        <f>OR(COUNTIF(Tabla2[[#This Row],[PROVEEDOR]],"*"&amp;'Palabra no opera'!$A$2&amp;"*"))</f>
        <v>0</v>
      </c>
      <c r="T1136" s="139">
        <f>+$W$5-Tabla2[[#This Row],[FECHA DE FACTURACIÓN]]</f>
        <v>374</v>
      </c>
      <c r="U1136" t="str">
        <f>+IF(Tabla2[[#This Row],[dias de credito]]&gt;=Tabla2[[#This Row],[PLAZO Días]],"venc", "No venc")</f>
        <v>venc</v>
      </c>
      <c r="V1136" t="str">
        <f>+IF(Tabla2[[#This Row],[FECHA DE PAGO]]&gt;0,"pagada","por pagar")</f>
        <v>pagada</v>
      </c>
      <c r="W1136" s="141" t="str">
        <f>+IF(AND(Tabla2[[#This Row],[venc]]="venc",Tabla2[[#This Row],[Columna1]]="por pagar"),"vencida","no")</f>
        <v>no</v>
      </c>
    </row>
    <row r="1137" spans="1:23" ht="15.6" hidden="1" x14ac:dyDescent="0.3">
      <c r="A1137" s="20">
        <v>30</v>
      </c>
      <c r="B1137" s="25">
        <v>0</v>
      </c>
      <c r="C1137" s="25"/>
      <c r="D1137" s="56" t="s">
        <v>107</v>
      </c>
      <c r="E1137" s="426">
        <v>44963</v>
      </c>
      <c r="F1137" s="26" t="s">
        <v>362</v>
      </c>
      <c r="G1137" s="426">
        <v>44914</v>
      </c>
      <c r="H1137" s="35" t="s">
        <v>1361</v>
      </c>
      <c r="I1137" s="21">
        <v>189000</v>
      </c>
      <c r="J1137" s="21"/>
      <c r="K1137" s="22">
        <v>0</v>
      </c>
      <c r="L1137" s="23"/>
      <c r="M1137" s="22">
        <v>0</v>
      </c>
      <c r="N1137" s="74">
        <v>0</v>
      </c>
      <c r="O1137" s="22">
        <v>0</v>
      </c>
      <c r="P1137" s="21">
        <v>189000</v>
      </c>
      <c r="S1137" s="108" t="b">
        <f>OR(COUNTIF(Tabla2[[#This Row],[PROVEEDOR]],"*"&amp;'Palabra no opera'!$A$2&amp;"*"))</f>
        <v>0</v>
      </c>
      <c r="T1137" s="139">
        <f>+$W$5-Tabla2[[#This Row],[FECHA DE FACTURACIÓN]]</f>
        <v>377</v>
      </c>
      <c r="U1137" t="str">
        <f>+IF(Tabla2[[#This Row],[dias de credito]]&gt;=Tabla2[[#This Row],[PLAZO Días]],"venc", "No venc")</f>
        <v>venc</v>
      </c>
      <c r="V1137" t="str">
        <f>+IF(Tabla2[[#This Row],[FECHA DE PAGO]]&gt;0,"pagada","por pagar")</f>
        <v>pagada</v>
      </c>
      <c r="W1137" s="141" t="str">
        <f>+IF(AND(Tabla2[[#This Row],[venc]]="venc",Tabla2[[#This Row],[Columna1]]="por pagar"),"vencida","no")</f>
        <v>no</v>
      </c>
    </row>
    <row r="1138" spans="1:23" ht="15.6" hidden="1" x14ac:dyDescent="0.3">
      <c r="A1138" s="20">
        <v>30</v>
      </c>
      <c r="B1138" s="25">
        <v>0</v>
      </c>
      <c r="C1138" s="25"/>
      <c r="D1138" s="56" t="s">
        <v>107</v>
      </c>
      <c r="E1138" s="426">
        <v>44960</v>
      </c>
      <c r="F1138" s="26" t="s">
        <v>356</v>
      </c>
      <c r="G1138" s="426">
        <v>44959</v>
      </c>
      <c r="H1138" s="35">
        <v>2785</v>
      </c>
      <c r="I1138" s="21">
        <v>1814000</v>
      </c>
      <c r="J1138" s="21"/>
      <c r="K1138" s="22">
        <v>0</v>
      </c>
      <c r="L1138" s="23"/>
      <c r="M1138" s="22">
        <v>0</v>
      </c>
      <c r="N1138" s="74">
        <v>0</v>
      </c>
      <c r="O1138" s="22">
        <v>0</v>
      </c>
      <c r="P1138" s="21">
        <v>1814000</v>
      </c>
      <c r="S1138" s="108" t="b">
        <f>OR(COUNTIF(Tabla2[[#This Row],[PROVEEDOR]],"*"&amp;'Palabra no opera'!$A$2&amp;"*"))</f>
        <v>0</v>
      </c>
      <c r="T1138" s="139">
        <f>+$W$5-Tabla2[[#This Row],[FECHA DE FACTURACIÓN]]</f>
        <v>332</v>
      </c>
      <c r="U1138" t="str">
        <f>+IF(Tabla2[[#This Row],[dias de credito]]&gt;=Tabla2[[#This Row],[PLAZO Días]],"venc", "No venc")</f>
        <v>venc</v>
      </c>
      <c r="V1138" t="str">
        <f>+IF(Tabla2[[#This Row],[FECHA DE PAGO]]&gt;0,"pagada","por pagar")</f>
        <v>pagada</v>
      </c>
      <c r="W1138" s="141" t="str">
        <f>+IF(AND(Tabla2[[#This Row],[venc]]="venc",Tabla2[[#This Row],[Columna1]]="por pagar"),"vencida","no")</f>
        <v>no</v>
      </c>
    </row>
    <row r="1139" spans="1:23" ht="15.6" hidden="1" x14ac:dyDescent="0.3">
      <c r="A1139" s="20">
        <v>30</v>
      </c>
      <c r="B1139" s="25">
        <v>-139600.09</v>
      </c>
      <c r="C1139" s="25"/>
      <c r="D1139" s="56" t="s">
        <v>728</v>
      </c>
      <c r="E1139" s="426">
        <v>44959</v>
      </c>
      <c r="F1139" s="26" t="s">
        <v>32</v>
      </c>
      <c r="G1139" s="426">
        <v>44924</v>
      </c>
      <c r="H1139" s="35">
        <v>11123</v>
      </c>
      <c r="I1139" s="21">
        <v>931512</v>
      </c>
      <c r="J1139" s="21"/>
      <c r="K1139" s="22">
        <v>176987.28</v>
      </c>
      <c r="L1139" s="23"/>
      <c r="M1139" s="22">
        <v>0</v>
      </c>
      <c r="N1139" s="74">
        <v>0</v>
      </c>
      <c r="O1139" s="22">
        <v>0</v>
      </c>
      <c r="P1139" s="21">
        <v>1108499.28</v>
      </c>
      <c r="S1139" s="108" t="b">
        <f>OR(COUNTIF(Tabla2[[#This Row],[PROVEEDOR]],"*"&amp;'Palabra no opera'!$A$2&amp;"*"))</f>
        <v>0</v>
      </c>
      <c r="T1139" s="139">
        <f>+$W$5-Tabla2[[#This Row],[FECHA DE FACTURACIÓN]]</f>
        <v>367</v>
      </c>
      <c r="U1139" t="str">
        <f>+IF(Tabla2[[#This Row],[dias de credito]]&gt;=Tabla2[[#This Row],[PLAZO Días]],"venc", "No venc")</f>
        <v>venc</v>
      </c>
      <c r="V1139" t="str">
        <f>+IF(Tabla2[[#This Row],[FECHA DE PAGO]]&gt;0,"pagada","por pagar")</f>
        <v>pagada</v>
      </c>
      <c r="W1139" s="141" t="str">
        <f>+IF(AND(Tabla2[[#This Row],[venc]]="venc",Tabla2[[#This Row],[Columna1]]="por pagar"),"vencida","no")</f>
        <v>no</v>
      </c>
    </row>
    <row r="1140" spans="1:23" ht="15.6" hidden="1" x14ac:dyDescent="0.3">
      <c r="A1140" s="20">
        <v>45</v>
      </c>
      <c r="B1140" s="25">
        <v>8072960</v>
      </c>
      <c r="C1140" s="25"/>
      <c r="D1140" s="56" t="s">
        <v>198</v>
      </c>
      <c r="E1140" s="426">
        <v>44959</v>
      </c>
      <c r="F1140" s="26" t="s">
        <v>10</v>
      </c>
      <c r="G1140" s="426">
        <v>44915</v>
      </c>
      <c r="H1140" s="35" t="s">
        <v>322</v>
      </c>
      <c r="I1140" s="21">
        <v>-2189000</v>
      </c>
      <c r="J1140" s="21"/>
      <c r="K1140" s="22">
        <v>-415910</v>
      </c>
      <c r="L1140" s="23"/>
      <c r="M1140" s="22">
        <v>0</v>
      </c>
      <c r="N1140" s="74">
        <v>0</v>
      </c>
      <c r="O1140" s="22">
        <v>0</v>
      </c>
      <c r="P1140" s="21">
        <v>-2604910</v>
      </c>
      <c r="S1140" s="108" t="b">
        <f>OR(COUNTIF(Tabla2[[#This Row],[PROVEEDOR]],"*"&amp;'Palabra no opera'!$A$2&amp;"*"))</f>
        <v>0</v>
      </c>
      <c r="T1140" s="139">
        <f>+$W$5-Tabla2[[#This Row],[FECHA DE FACTURACIÓN]]</f>
        <v>376</v>
      </c>
      <c r="U1140" t="str">
        <f>+IF(Tabla2[[#This Row],[dias de credito]]&gt;=Tabla2[[#This Row],[PLAZO Días]],"venc", "No venc")</f>
        <v>venc</v>
      </c>
      <c r="V1140" t="str">
        <f>+IF(Tabla2[[#This Row],[FECHA DE PAGO]]&gt;0,"pagada","por pagar")</f>
        <v>pagada</v>
      </c>
      <c r="W1140" s="141" t="str">
        <f>+IF(AND(Tabla2[[#This Row],[venc]]="venc",Tabla2[[#This Row],[Columna1]]="por pagar"),"vencida","no")</f>
        <v>no</v>
      </c>
    </row>
    <row r="1141" spans="1:23" ht="15.6" hidden="1" x14ac:dyDescent="0.3">
      <c r="A1141" s="20">
        <v>30</v>
      </c>
      <c r="B1141" s="25">
        <v>-139600.09</v>
      </c>
      <c r="C1141" s="25"/>
      <c r="D1141" s="56" t="s">
        <v>728</v>
      </c>
      <c r="E1141" s="426">
        <v>44959</v>
      </c>
      <c r="F1141" s="26" t="s">
        <v>32</v>
      </c>
      <c r="G1141" s="426">
        <v>44902</v>
      </c>
      <c r="H1141" s="35">
        <v>10945</v>
      </c>
      <c r="I1141" s="21">
        <v>1031932</v>
      </c>
      <c r="J1141" s="21"/>
      <c r="K1141" s="22">
        <v>196067.08000000002</v>
      </c>
      <c r="L1141" s="23"/>
      <c r="M1141" s="22">
        <v>0</v>
      </c>
      <c r="N1141" s="74">
        <v>2.5000000000000001E-2</v>
      </c>
      <c r="O1141" s="22">
        <v>25798.300000000003</v>
      </c>
      <c r="P1141" s="21">
        <v>1202200.78</v>
      </c>
      <c r="S1141" s="108" t="b">
        <f>OR(COUNTIF(Tabla2[[#This Row],[PROVEEDOR]],"*"&amp;'Palabra no opera'!$A$2&amp;"*"))</f>
        <v>0</v>
      </c>
      <c r="T1141" s="139">
        <f>+$W$5-Tabla2[[#This Row],[FECHA DE FACTURACIÓN]]</f>
        <v>389</v>
      </c>
      <c r="U1141" t="str">
        <f>+IF(Tabla2[[#This Row],[dias de credito]]&gt;=Tabla2[[#This Row],[PLAZO Días]],"venc", "No venc")</f>
        <v>venc</v>
      </c>
      <c r="V1141" t="str">
        <f>+IF(Tabla2[[#This Row],[FECHA DE PAGO]]&gt;0,"pagada","por pagar")</f>
        <v>pagada</v>
      </c>
      <c r="W1141" s="141" t="str">
        <f>+IF(AND(Tabla2[[#This Row],[venc]]="venc",Tabla2[[#This Row],[Columna1]]="por pagar"),"vencida","no")</f>
        <v>no</v>
      </c>
    </row>
    <row r="1142" spans="1:23" ht="15.6" hidden="1" x14ac:dyDescent="0.3">
      <c r="A1142" s="20">
        <v>45</v>
      </c>
      <c r="B1142" s="25">
        <v>15770594</v>
      </c>
      <c r="C1142" s="25"/>
      <c r="D1142" s="56" t="s">
        <v>594</v>
      </c>
      <c r="E1142" s="426">
        <v>44959</v>
      </c>
      <c r="F1142" s="26" t="s">
        <v>19</v>
      </c>
      <c r="G1142" s="426">
        <v>44901</v>
      </c>
      <c r="H1142" s="35">
        <v>60275</v>
      </c>
      <c r="I1142" s="21">
        <v>11385600</v>
      </c>
      <c r="J1142" s="21"/>
      <c r="K1142" s="22">
        <v>2163264</v>
      </c>
      <c r="L1142" s="23"/>
      <c r="M1142" s="22">
        <v>0</v>
      </c>
      <c r="N1142" s="74">
        <v>0</v>
      </c>
      <c r="O1142" s="22">
        <v>0</v>
      </c>
      <c r="P1142" s="21">
        <v>13548864</v>
      </c>
      <c r="S1142" s="108" t="b">
        <f>OR(COUNTIF(Tabla2[[#This Row],[PROVEEDOR]],"*"&amp;'Palabra no opera'!$A$2&amp;"*"))</f>
        <v>0</v>
      </c>
      <c r="T1142" s="139">
        <f>+$W$5-Tabla2[[#This Row],[FECHA DE FACTURACIÓN]]</f>
        <v>390</v>
      </c>
      <c r="U1142" t="str">
        <f>+IF(Tabla2[[#This Row],[dias de credito]]&gt;=Tabla2[[#This Row],[PLAZO Días]],"venc", "No venc")</f>
        <v>venc</v>
      </c>
      <c r="V1142" t="str">
        <f>+IF(Tabla2[[#This Row],[FECHA DE PAGO]]&gt;0,"pagada","por pagar")</f>
        <v>pagada</v>
      </c>
      <c r="W1142" s="141" t="str">
        <f>+IF(AND(Tabla2[[#This Row],[venc]]="venc",Tabla2[[#This Row],[Columna1]]="por pagar"),"vencida","no")</f>
        <v>no</v>
      </c>
    </row>
    <row r="1143" spans="1:23" ht="15.6" hidden="1" x14ac:dyDescent="0.3">
      <c r="A1143" s="20">
        <v>45</v>
      </c>
      <c r="B1143" s="25">
        <v>8072960</v>
      </c>
      <c r="C1143" s="25"/>
      <c r="D1143" s="56" t="s">
        <v>198</v>
      </c>
      <c r="E1143" s="426">
        <v>44959</v>
      </c>
      <c r="F1143" s="26" t="s">
        <v>10</v>
      </c>
      <c r="G1143" s="426">
        <v>44900</v>
      </c>
      <c r="H1143" s="35" t="s">
        <v>1318</v>
      </c>
      <c r="I1143" s="21">
        <v>757600</v>
      </c>
      <c r="J1143" s="21"/>
      <c r="K1143" s="22">
        <v>143944</v>
      </c>
      <c r="L1143" s="23"/>
      <c r="M1143" s="22">
        <v>0</v>
      </c>
      <c r="N1143" s="74">
        <v>0</v>
      </c>
      <c r="O1143" s="22">
        <v>0</v>
      </c>
      <c r="P1143" s="21">
        <v>901544</v>
      </c>
      <c r="S1143" s="108" t="b">
        <f>OR(COUNTIF(Tabla2[[#This Row],[PROVEEDOR]],"*"&amp;'Palabra no opera'!$A$2&amp;"*"))</f>
        <v>0</v>
      </c>
      <c r="T1143" s="139">
        <f>+$W$5-Tabla2[[#This Row],[FECHA DE FACTURACIÓN]]</f>
        <v>391</v>
      </c>
      <c r="U1143" t="str">
        <f>+IF(Tabla2[[#This Row],[dias de credito]]&gt;=Tabla2[[#This Row],[PLAZO Días]],"venc", "No venc")</f>
        <v>venc</v>
      </c>
      <c r="V1143" t="str">
        <f>+IF(Tabla2[[#This Row],[FECHA DE PAGO]]&gt;0,"pagada","por pagar")</f>
        <v>pagada</v>
      </c>
      <c r="W1143" s="141" t="str">
        <f>+IF(AND(Tabla2[[#This Row],[venc]]="venc",Tabla2[[#This Row],[Columna1]]="por pagar"),"vencida","no")</f>
        <v>no</v>
      </c>
    </row>
    <row r="1144" spans="1:23" ht="15.6" hidden="1" x14ac:dyDescent="0.3">
      <c r="A1144" s="20">
        <v>45</v>
      </c>
      <c r="B1144" s="25">
        <v>8072960</v>
      </c>
      <c r="C1144" s="25"/>
      <c r="D1144" s="56" t="s">
        <v>198</v>
      </c>
      <c r="E1144" s="426">
        <v>44959</v>
      </c>
      <c r="F1144" s="26" t="s">
        <v>10</v>
      </c>
      <c r="G1144" s="426">
        <v>44882</v>
      </c>
      <c r="H1144" s="35" t="s">
        <v>1309</v>
      </c>
      <c r="I1144" s="21">
        <v>1867920</v>
      </c>
      <c r="J1144" s="21"/>
      <c r="K1144" s="22">
        <v>354904.8</v>
      </c>
      <c r="L1144" s="23"/>
      <c r="M1144" s="22">
        <v>0</v>
      </c>
      <c r="N1144" s="74">
        <v>0</v>
      </c>
      <c r="O1144" s="22">
        <v>0</v>
      </c>
      <c r="P1144" s="21">
        <v>2222824.7999999998</v>
      </c>
      <c r="S1144" s="108" t="b">
        <f>OR(COUNTIF(Tabla2[[#This Row],[PROVEEDOR]],"*"&amp;'Palabra no opera'!$A$2&amp;"*"))</f>
        <v>0</v>
      </c>
      <c r="T1144" s="139">
        <f>+$W$5-Tabla2[[#This Row],[FECHA DE FACTURACIÓN]]</f>
        <v>409</v>
      </c>
      <c r="U1144" t="str">
        <f>+IF(Tabla2[[#This Row],[dias de credito]]&gt;=Tabla2[[#This Row],[PLAZO Días]],"venc", "No venc")</f>
        <v>venc</v>
      </c>
      <c r="V1144" t="str">
        <f>+IF(Tabla2[[#This Row],[FECHA DE PAGO]]&gt;0,"pagada","por pagar")</f>
        <v>pagada</v>
      </c>
      <c r="W1144" s="141" t="str">
        <f>+IF(AND(Tabla2[[#This Row],[venc]]="venc",Tabla2[[#This Row],[Columna1]]="por pagar"),"vencida","no")</f>
        <v>no</v>
      </c>
    </row>
    <row r="1145" spans="1:23" ht="15.6" hidden="1" x14ac:dyDescent="0.3">
      <c r="A1145" s="20">
        <v>30</v>
      </c>
      <c r="B1145" s="25">
        <v>27189617.395</v>
      </c>
      <c r="C1145" s="25"/>
      <c r="D1145" s="56" t="s">
        <v>686</v>
      </c>
      <c r="E1145" s="426">
        <v>44959</v>
      </c>
      <c r="F1145" s="26" t="s">
        <v>77</v>
      </c>
      <c r="G1145" s="426">
        <v>44880</v>
      </c>
      <c r="H1145" s="35" t="s">
        <v>1296</v>
      </c>
      <c r="I1145" s="21">
        <v>11208000</v>
      </c>
      <c r="J1145" s="21"/>
      <c r="K1145" s="22">
        <v>2129520</v>
      </c>
      <c r="L1145" s="23"/>
      <c r="M1145" s="22">
        <v>0</v>
      </c>
      <c r="N1145" s="74">
        <v>2.5000000000000001E-2</v>
      </c>
      <c r="O1145" s="22">
        <v>280200</v>
      </c>
      <c r="P1145" s="21">
        <v>13057320</v>
      </c>
      <c r="S1145" s="108" t="b">
        <f>OR(COUNTIF(Tabla2[[#This Row],[PROVEEDOR]],"*"&amp;'Palabra no opera'!$A$2&amp;"*"))</f>
        <v>0</v>
      </c>
      <c r="T1145" s="139">
        <f>+$W$5-Tabla2[[#This Row],[FECHA DE FACTURACIÓN]]</f>
        <v>411</v>
      </c>
      <c r="U1145" t="str">
        <f>+IF(Tabla2[[#This Row],[dias de credito]]&gt;=Tabla2[[#This Row],[PLAZO Días]],"venc", "No venc")</f>
        <v>venc</v>
      </c>
      <c r="V1145" t="str">
        <f>+IF(Tabla2[[#This Row],[FECHA DE PAGO]]&gt;0,"pagada","por pagar")</f>
        <v>pagada</v>
      </c>
      <c r="W1145" s="141" t="str">
        <f>+IF(AND(Tabla2[[#This Row],[venc]]="venc",Tabla2[[#This Row],[Columna1]]="por pagar"),"vencida","no")</f>
        <v>no</v>
      </c>
    </row>
    <row r="1146" spans="1:23" ht="15.6" hidden="1" x14ac:dyDescent="0.3">
      <c r="A1146" s="20">
        <v>30</v>
      </c>
      <c r="B1146" s="25">
        <v>0</v>
      </c>
      <c r="C1146" s="25"/>
      <c r="D1146" s="56" t="s">
        <v>109</v>
      </c>
      <c r="E1146" s="426">
        <v>44958</v>
      </c>
      <c r="F1146" s="26" t="s">
        <v>643</v>
      </c>
      <c r="G1146" s="426">
        <v>44931</v>
      </c>
      <c r="H1146" s="35" t="s">
        <v>1392</v>
      </c>
      <c r="I1146" s="21">
        <v>398800</v>
      </c>
      <c r="J1146" s="21"/>
      <c r="K1146" s="22">
        <v>75772</v>
      </c>
      <c r="L1146" s="23"/>
      <c r="M1146" s="22">
        <v>0</v>
      </c>
      <c r="N1146" s="74">
        <v>0</v>
      </c>
      <c r="O1146" s="22">
        <v>0</v>
      </c>
      <c r="P1146" s="21">
        <v>474572</v>
      </c>
      <c r="S1146" s="108" t="b">
        <f>OR(COUNTIF(Tabla2[[#This Row],[PROVEEDOR]],"*"&amp;'Palabra no opera'!$A$2&amp;"*"))</f>
        <v>1</v>
      </c>
      <c r="T1146" s="139">
        <f>+$W$5-Tabla2[[#This Row],[FECHA DE FACTURACIÓN]]</f>
        <v>360</v>
      </c>
      <c r="U1146" t="str">
        <f>+IF(Tabla2[[#This Row],[dias de credito]]&gt;=Tabla2[[#This Row],[PLAZO Días]],"venc", "No venc")</f>
        <v>venc</v>
      </c>
      <c r="V1146" t="str">
        <f>+IF(Tabla2[[#This Row],[FECHA DE PAGO]]&gt;0,"pagada","por pagar")</f>
        <v>pagada</v>
      </c>
      <c r="W1146" s="141" t="str">
        <f>+IF(AND(Tabla2[[#This Row],[venc]]="venc",Tabla2[[#This Row],[Columna1]]="por pagar"),"vencida","no")</f>
        <v>no</v>
      </c>
    </row>
    <row r="1147" spans="1:23" ht="15.6" hidden="1" x14ac:dyDescent="0.3">
      <c r="A1147" s="20">
        <v>30</v>
      </c>
      <c r="B1147" s="25">
        <v>342000</v>
      </c>
      <c r="C1147" s="25"/>
      <c r="D1147" s="56" t="s">
        <v>107</v>
      </c>
      <c r="E1147" s="426">
        <v>44958</v>
      </c>
      <c r="F1147" s="26" t="s">
        <v>495</v>
      </c>
      <c r="G1147" s="426">
        <v>44916</v>
      </c>
      <c r="H1147" s="35">
        <v>57589</v>
      </c>
      <c r="I1147" s="21">
        <v>370000</v>
      </c>
      <c r="J1147" s="21"/>
      <c r="K1147" s="22">
        <v>0</v>
      </c>
      <c r="L1147" s="23"/>
      <c r="M1147" s="22">
        <v>0</v>
      </c>
      <c r="N1147" s="74">
        <v>0</v>
      </c>
      <c r="O1147" s="22">
        <v>0</v>
      </c>
      <c r="P1147" s="21">
        <v>370000</v>
      </c>
      <c r="S1147" s="108" t="b">
        <f>OR(COUNTIF(Tabla2[[#This Row],[PROVEEDOR]],"*"&amp;'Palabra no opera'!$A$2&amp;"*"))</f>
        <v>0</v>
      </c>
      <c r="T1147" s="139">
        <f>+$W$5-Tabla2[[#This Row],[FECHA DE FACTURACIÓN]]</f>
        <v>375</v>
      </c>
      <c r="U1147" t="str">
        <f>+IF(Tabla2[[#This Row],[dias de credito]]&gt;=Tabla2[[#This Row],[PLAZO Días]],"venc", "No venc")</f>
        <v>venc</v>
      </c>
      <c r="V1147" t="str">
        <f>+IF(Tabla2[[#This Row],[FECHA DE PAGO]]&gt;0,"pagada","por pagar")</f>
        <v>pagada</v>
      </c>
      <c r="W1147" s="141" t="str">
        <f>+IF(AND(Tabla2[[#This Row],[venc]]="venc",Tabla2[[#This Row],[Columna1]]="por pagar"),"vencida","no")</f>
        <v>no</v>
      </c>
    </row>
    <row r="1148" spans="1:23" ht="15.6" hidden="1" x14ac:dyDescent="0.3">
      <c r="A1148" s="20">
        <v>30</v>
      </c>
      <c r="B1148" s="25">
        <v>0</v>
      </c>
      <c r="C1148" s="25"/>
      <c r="D1148" s="56" t="s">
        <v>107</v>
      </c>
      <c r="E1148" s="426">
        <v>44957</v>
      </c>
      <c r="F1148" s="26" t="s">
        <v>362</v>
      </c>
      <c r="G1148" s="426">
        <v>44957</v>
      </c>
      <c r="H1148" s="35" t="s">
        <v>1177</v>
      </c>
      <c r="I1148" s="21">
        <v>1979300</v>
      </c>
      <c r="J1148" s="21"/>
      <c r="K1148" s="22">
        <v>0</v>
      </c>
      <c r="L1148" s="23"/>
      <c r="M1148" s="22">
        <v>0</v>
      </c>
      <c r="N1148" s="74">
        <v>0</v>
      </c>
      <c r="O1148" s="22">
        <v>0</v>
      </c>
      <c r="P1148" s="21">
        <v>1979300</v>
      </c>
      <c r="S1148" s="108" t="b">
        <f>OR(COUNTIF(Tabla2[[#This Row],[PROVEEDOR]],"*"&amp;'Palabra no opera'!$A$2&amp;"*"))</f>
        <v>0</v>
      </c>
      <c r="T1148" s="139">
        <f>+$W$5-Tabla2[[#This Row],[FECHA DE FACTURACIÓN]]</f>
        <v>334</v>
      </c>
      <c r="U1148" t="str">
        <f>+IF(Tabla2[[#This Row],[dias de credito]]&gt;=Tabla2[[#This Row],[PLAZO Días]],"venc", "No venc")</f>
        <v>venc</v>
      </c>
      <c r="V1148" t="str">
        <f>+IF(Tabla2[[#This Row],[FECHA DE PAGO]]&gt;0,"pagada","por pagar")</f>
        <v>pagada</v>
      </c>
      <c r="W1148" s="141" t="str">
        <f>+IF(AND(Tabla2[[#This Row],[venc]]="venc",Tabla2[[#This Row],[Columna1]]="por pagar"),"vencida","no")</f>
        <v>no</v>
      </c>
    </row>
    <row r="1149" spans="1:23" ht="15.6" hidden="1" x14ac:dyDescent="0.3">
      <c r="A1149" s="20">
        <v>30</v>
      </c>
      <c r="B1149" s="25">
        <v>0</v>
      </c>
      <c r="C1149" s="25"/>
      <c r="D1149" s="56" t="s">
        <v>107</v>
      </c>
      <c r="E1149" s="426">
        <v>44957</v>
      </c>
      <c r="F1149" s="26" t="s">
        <v>362</v>
      </c>
      <c r="G1149" s="426">
        <v>44957</v>
      </c>
      <c r="H1149" s="35" t="s">
        <v>1378</v>
      </c>
      <c r="I1149" s="21">
        <v>115930</v>
      </c>
      <c r="J1149" s="21"/>
      <c r="K1149" s="22">
        <v>0</v>
      </c>
      <c r="L1149" s="23"/>
      <c r="M1149" s="22">
        <v>0</v>
      </c>
      <c r="N1149" s="74">
        <v>0</v>
      </c>
      <c r="O1149" s="22">
        <v>0</v>
      </c>
      <c r="P1149" s="21">
        <v>115930</v>
      </c>
      <c r="S1149" s="108" t="b">
        <f>OR(COUNTIF(Tabla2[[#This Row],[PROVEEDOR]],"*"&amp;'Palabra no opera'!$A$2&amp;"*"))</f>
        <v>0</v>
      </c>
      <c r="T1149" s="139">
        <f>+$W$5-Tabla2[[#This Row],[FECHA DE FACTURACIÓN]]</f>
        <v>334</v>
      </c>
      <c r="U1149" t="str">
        <f>+IF(Tabla2[[#This Row],[dias de credito]]&gt;=Tabla2[[#This Row],[PLAZO Días]],"venc", "No venc")</f>
        <v>venc</v>
      </c>
      <c r="V1149" t="str">
        <f>+IF(Tabla2[[#This Row],[FECHA DE PAGO]]&gt;0,"pagada","por pagar")</f>
        <v>pagada</v>
      </c>
      <c r="W1149" s="141" t="str">
        <f>+IF(AND(Tabla2[[#This Row],[venc]]="venc",Tabla2[[#This Row],[Columna1]]="por pagar"),"vencida","no")</f>
        <v>no</v>
      </c>
    </row>
    <row r="1150" spans="1:23" ht="15.6" hidden="1" x14ac:dyDescent="0.3">
      <c r="A1150" s="20">
        <v>30</v>
      </c>
      <c r="B1150" s="25">
        <v>0</v>
      </c>
      <c r="C1150" s="25"/>
      <c r="D1150" s="56" t="s">
        <v>107</v>
      </c>
      <c r="E1150" s="426">
        <v>44957</v>
      </c>
      <c r="F1150" s="26" t="s">
        <v>362</v>
      </c>
      <c r="G1150" s="426">
        <v>44957</v>
      </c>
      <c r="H1150" s="35" t="s">
        <v>1178</v>
      </c>
      <c r="I1150" s="21">
        <v>177600</v>
      </c>
      <c r="J1150" s="21"/>
      <c r="K1150" s="22">
        <v>0</v>
      </c>
      <c r="L1150" s="23"/>
      <c r="M1150" s="22">
        <v>0</v>
      </c>
      <c r="N1150" s="74">
        <v>0</v>
      </c>
      <c r="O1150" s="22">
        <v>0</v>
      </c>
      <c r="P1150" s="21">
        <v>177600</v>
      </c>
      <c r="S1150" s="108" t="b">
        <f>OR(COUNTIF(Tabla2[[#This Row],[PROVEEDOR]],"*"&amp;'Palabra no opera'!$A$2&amp;"*"))</f>
        <v>0</v>
      </c>
      <c r="T1150" s="139">
        <f>+$W$5-Tabla2[[#This Row],[FECHA DE FACTURACIÓN]]</f>
        <v>334</v>
      </c>
      <c r="U1150" t="str">
        <f>+IF(Tabla2[[#This Row],[dias de credito]]&gt;=Tabla2[[#This Row],[PLAZO Días]],"venc", "No venc")</f>
        <v>venc</v>
      </c>
      <c r="V1150" t="str">
        <f>+IF(Tabla2[[#This Row],[FECHA DE PAGO]]&gt;0,"pagada","por pagar")</f>
        <v>pagada</v>
      </c>
      <c r="W1150" s="141" t="str">
        <f>+IF(AND(Tabla2[[#This Row],[venc]]="venc",Tabla2[[#This Row],[Columna1]]="por pagar"),"vencida","no")</f>
        <v>no</v>
      </c>
    </row>
    <row r="1151" spans="1:23" ht="15.6" hidden="1" x14ac:dyDescent="0.3">
      <c r="A1151" s="20">
        <v>30</v>
      </c>
      <c r="B1151" s="25">
        <v>0</v>
      </c>
      <c r="C1151" s="25"/>
      <c r="D1151" s="56" t="s">
        <v>107</v>
      </c>
      <c r="E1151" s="426">
        <v>44957</v>
      </c>
      <c r="F1151" s="26" t="s">
        <v>362</v>
      </c>
      <c r="G1151" s="426">
        <v>44957</v>
      </c>
      <c r="H1151" s="35" t="s">
        <v>1377</v>
      </c>
      <c r="I1151" s="21">
        <v>56000</v>
      </c>
      <c r="J1151" s="21"/>
      <c r="K1151" s="22">
        <v>0</v>
      </c>
      <c r="L1151" s="23"/>
      <c r="M1151" s="22">
        <v>0</v>
      </c>
      <c r="N1151" s="74">
        <v>0</v>
      </c>
      <c r="O1151" s="22">
        <v>0</v>
      </c>
      <c r="P1151" s="21">
        <v>56000</v>
      </c>
      <c r="S1151" s="108" t="b">
        <f>OR(COUNTIF(Tabla2[[#This Row],[PROVEEDOR]],"*"&amp;'Palabra no opera'!$A$2&amp;"*"))</f>
        <v>0</v>
      </c>
      <c r="T1151" s="139">
        <f>+$W$5-Tabla2[[#This Row],[FECHA DE FACTURACIÓN]]</f>
        <v>334</v>
      </c>
      <c r="U1151" t="str">
        <f>+IF(Tabla2[[#This Row],[dias de credito]]&gt;=Tabla2[[#This Row],[PLAZO Días]],"venc", "No venc")</f>
        <v>venc</v>
      </c>
      <c r="V1151" t="str">
        <f>+IF(Tabla2[[#This Row],[FECHA DE PAGO]]&gt;0,"pagada","por pagar")</f>
        <v>pagada</v>
      </c>
      <c r="W1151" s="141" t="str">
        <f>+IF(AND(Tabla2[[#This Row],[venc]]="venc",Tabla2[[#This Row],[Columna1]]="por pagar"),"vencida","no")</f>
        <v>no</v>
      </c>
    </row>
    <row r="1152" spans="1:23" ht="15.6" hidden="1" x14ac:dyDescent="0.3">
      <c r="A1152" s="20">
        <v>30</v>
      </c>
      <c r="B1152" s="25">
        <v>0</v>
      </c>
      <c r="C1152" s="25"/>
      <c r="D1152" s="56" t="s">
        <v>107</v>
      </c>
      <c r="E1152" s="426">
        <v>44957</v>
      </c>
      <c r="F1152" s="26" t="s">
        <v>362</v>
      </c>
      <c r="G1152" s="426">
        <v>44957</v>
      </c>
      <c r="H1152" s="35" t="s">
        <v>1176</v>
      </c>
      <c r="I1152" s="21">
        <v>586500</v>
      </c>
      <c r="J1152" s="21"/>
      <c r="K1152" s="22">
        <v>0</v>
      </c>
      <c r="L1152" s="23"/>
      <c r="M1152" s="22">
        <v>0</v>
      </c>
      <c r="N1152" s="74">
        <v>0</v>
      </c>
      <c r="O1152" s="22">
        <v>0</v>
      </c>
      <c r="P1152" s="21">
        <v>586500</v>
      </c>
      <c r="S1152" s="108" t="b">
        <f>OR(COUNTIF(Tabla2[[#This Row],[PROVEEDOR]],"*"&amp;'Palabra no opera'!$A$2&amp;"*"))</f>
        <v>0</v>
      </c>
      <c r="T1152" s="139">
        <f>+$W$5-Tabla2[[#This Row],[FECHA DE FACTURACIÓN]]</f>
        <v>334</v>
      </c>
      <c r="U1152" t="str">
        <f>+IF(Tabla2[[#This Row],[dias de credito]]&gt;=Tabla2[[#This Row],[PLAZO Días]],"venc", "No venc")</f>
        <v>venc</v>
      </c>
      <c r="V1152" t="str">
        <f>+IF(Tabla2[[#This Row],[FECHA DE PAGO]]&gt;0,"pagada","por pagar")</f>
        <v>pagada</v>
      </c>
      <c r="W1152" s="141" t="str">
        <f>+IF(AND(Tabla2[[#This Row],[venc]]="venc",Tabla2[[#This Row],[Columna1]]="por pagar"),"vencida","no")</f>
        <v>no</v>
      </c>
    </row>
    <row r="1153" spans="1:23" ht="15.6" hidden="1" x14ac:dyDescent="0.3">
      <c r="A1153" s="20">
        <v>30</v>
      </c>
      <c r="B1153" s="25">
        <v>0</v>
      </c>
      <c r="C1153" s="25"/>
      <c r="D1153" s="56" t="s">
        <v>107</v>
      </c>
      <c r="E1153" s="426">
        <v>44957</v>
      </c>
      <c r="F1153" s="26" t="s">
        <v>362</v>
      </c>
      <c r="G1153" s="426">
        <v>44957</v>
      </c>
      <c r="H1153" s="35" t="s">
        <v>1379</v>
      </c>
      <c r="I1153" s="21">
        <v>0</v>
      </c>
      <c r="J1153" s="21"/>
      <c r="K1153" s="22">
        <v>0</v>
      </c>
      <c r="L1153" s="23"/>
      <c r="M1153" s="22">
        <v>0</v>
      </c>
      <c r="N1153" s="74">
        <v>0</v>
      </c>
      <c r="O1153" s="22">
        <v>0</v>
      </c>
      <c r="P1153" s="21">
        <v>0</v>
      </c>
      <c r="S1153" s="108" t="b">
        <f>OR(COUNTIF(Tabla2[[#This Row],[PROVEEDOR]],"*"&amp;'Palabra no opera'!$A$2&amp;"*"))</f>
        <v>0</v>
      </c>
      <c r="T1153" s="139">
        <f>+$W$5-Tabla2[[#This Row],[FECHA DE FACTURACIÓN]]</f>
        <v>334</v>
      </c>
      <c r="U1153" t="str">
        <f>+IF(Tabla2[[#This Row],[dias de credito]]&gt;=Tabla2[[#This Row],[PLAZO Días]],"venc", "No venc")</f>
        <v>venc</v>
      </c>
      <c r="V1153" t="str">
        <f>+IF(Tabla2[[#This Row],[FECHA DE PAGO]]&gt;0,"pagada","por pagar")</f>
        <v>pagada</v>
      </c>
      <c r="W1153" s="141" t="str">
        <f>+IF(AND(Tabla2[[#This Row],[venc]]="venc",Tabla2[[#This Row],[Columna1]]="por pagar"),"vencida","no")</f>
        <v>no</v>
      </c>
    </row>
    <row r="1154" spans="1:23" ht="15.6" hidden="1" x14ac:dyDescent="0.3">
      <c r="A1154" s="20">
        <v>30</v>
      </c>
      <c r="B1154" s="25">
        <v>0</v>
      </c>
      <c r="C1154" s="25"/>
      <c r="D1154" s="56" t="s">
        <v>858</v>
      </c>
      <c r="E1154" s="426">
        <v>44957</v>
      </c>
      <c r="F1154" s="26" t="s">
        <v>857</v>
      </c>
      <c r="G1154" s="426">
        <v>44914</v>
      </c>
      <c r="H1154" s="35" t="s">
        <v>1352</v>
      </c>
      <c r="I1154" s="21">
        <v>1579832</v>
      </c>
      <c r="J1154" s="21"/>
      <c r="K1154" s="22">
        <v>300168.08</v>
      </c>
      <c r="L1154" s="23"/>
      <c r="M1154" s="22">
        <v>0</v>
      </c>
      <c r="N1154" s="74">
        <v>2.5000000000000001E-2</v>
      </c>
      <c r="O1154" s="22">
        <v>39495.800000000003</v>
      </c>
      <c r="P1154" s="21">
        <v>1840504.28</v>
      </c>
      <c r="S1154" s="108" t="b">
        <f>OR(COUNTIF(Tabla2[[#This Row],[PROVEEDOR]],"*"&amp;'Palabra no opera'!$A$2&amp;"*"))</f>
        <v>0</v>
      </c>
      <c r="T1154" s="139">
        <f>+$W$5-Tabla2[[#This Row],[FECHA DE FACTURACIÓN]]</f>
        <v>377</v>
      </c>
      <c r="U1154" t="str">
        <f>+IF(Tabla2[[#This Row],[dias de credito]]&gt;=Tabla2[[#This Row],[PLAZO Días]],"venc", "No venc")</f>
        <v>venc</v>
      </c>
      <c r="V1154" t="str">
        <f>+IF(Tabla2[[#This Row],[FECHA DE PAGO]]&gt;0,"pagada","por pagar")</f>
        <v>pagada</v>
      </c>
      <c r="W1154" s="141" t="str">
        <f>+IF(AND(Tabla2[[#This Row],[venc]]="venc",Tabla2[[#This Row],[Columna1]]="por pagar"),"vencida","no")</f>
        <v>no</v>
      </c>
    </row>
    <row r="1155" spans="1:23" ht="15.6" hidden="1" x14ac:dyDescent="0.3">
      <c r="A1155" s="20">
        <v>30</v>
      </c>
      <c r="B1155" s="25">
        <v>2773899.95</v>
      </c>
      <c r="C1155" s="25"/>
      <c r="D1155" s="56" t="s">
        <v>135</v>
      </c>
      <c r="E1155" s="426">
        <v>44957</v>
      </c>
      <c r="F1155" s="26" t="s">
        <v>20</v>
      </c>
      <c r="G1155" s="426">
        <v>44907</v>
      </c>
      <c r="H1155" s="35" t="s">
        <v>1355</v>
      </c>
      <c r="I1155" s="21">
        <v>607380</v>
      </c>
      <c r="J1155" s="21"/>
      <c r="K1155" s="22">
        <v>115402.2</v>
      </c>
      <c r="L1155" s="23"/>
      <c r="M1155" s="22">
        <v>0</v>
      </c>
      <c r="N1155" s="74">
        <v>0</v>
      </c>
      <c r="O1155" s="22">
        <v>0</v>
      </c>
      <c r="P1155" s="21">
        <v>722782.2</v>
      </c>
      <c r="S1155" s="108" t="b">
        <f>OR(COUNTIF(Tabla2[[#This Row],[PROVEEDOR]],"*"&amp;'Palabra no opera'!$A$2&amp;"*"))</f>
        <v>0</v>
      </c>
      <c r="T1155" s="139">
        <f>+$W$5-Tabla2[[#This Row],[FECHA DE FACTURACIÓN]]</f>
        <v>384</v>
      </c>
      <c r="U1155" t="str">
        <f>+IF(Tabla2[[#This Row],[dias de credito]]&gt;=Tabla2[[#This Row],[PLAZO Días]],"venc", "No venc")</f>
        <v>venc</v>
      </c>
      <c r="V1155" t="str">
        <f>+IF(Tabla2[[#This Row],[FECHA DE PAGO]]&gt;0,"pagada","por pagar")</f>
        <v>pagada</v>
      </c>
      <c r="W1155" s="141" t="str">
        <f>+IF(AND(Tabla2[[#This Row],[venc]]="venc",Tabla2[[#This Row],[Columna1]]="por pagar"),"vencida","no")</f>
        <v>no</v>
      </c>
    </row>
    <row r="1156" spans="1:23" ht="15.6" hidden="1" x14ac:dyDescent="0.3">
      <c r="A1156" s="20">
        <v>30</v>
      </c>
      <c r="B1156" s="25">
        <v>3669750</v>
      </c>
      <c r="C1156" s="25"/>
      <c r="D1156" s="56" t="s">
        <v>1082</v>
      </c>
      <c r="E1156" s="426">
        <v>44957</v>
      </c>
      <c r="F1156" s="26" t="s">
        <v>24</v>
      </c>
      <c r="G1156" s="426">
        <v>44889</v>
      </c>
      <c r="H1156" s="35" t="s">
        <v>1298</v>
      </c>
      <c r="I1156" s="21">
        <v>1364000</v>
      </c>
      <c r="J1156" s="21"/>
      <c r="K1156" s="22">
        <v>259160</v>
      </c>
      <c r="L1156" s="23"/>
      <c r="M1156" s="22">
        <v>0</v>
      </c>
      <c r="N1156" s="74">
        <v>2.5000000000000001E-2</v>
      </c>
      <c r="O1156" s="22">
        <v>34100</v>
      </c>
      <c r="P1156" s="21">
        <v>1589060</v>
      </c>
      <c r="S1156" s="108" t="b">
        <f>OR(COUNTIF(Tabla2[[#This Row],[PROVEEDOR]],"*"&amp;'Palabra no opera'!$A$2&amp;"*"))</f>
        <v>0</v>
      </c>
      <c r="T1156" s="139">
        <f>+$W$5-Tabla2[[#This Row],[FECHA DE FACTURACIÓN]]</f>
        <v>402</v>
      </c>
      <c r="U1156" t="str">
        <f>+IF(Tabla2[[#This Row],[dias de credito]]&gt;=Tabla2[[#This Row],[PLAZO Días]],"venc", "No venc")</f>
        <v>venc</v>
      </c>
      <c r="V1156" t="str">
        <f>+IF(Tabla2[[#This Row],[FECHA DE PAGO]]&gt;0,"pagada","por pagar")</f>
        <v>pagada</v>
      </c>
      <c r="W1156" s="141" t="str">
        <f>+IF(AND(Tabla2[[#This Row],[venc]]="venc",Tabla2[[#This Row],[Columna1]]="por pagar"),"vencida","no")</f>
        <v>no</v>
      </c>
    </row>
    <row r="1157" spans="1:23" ht="15.6" hidden="1" x14ac:dyDescent="0.3">
      <c r="A1157" s="20">
        <v>30</v>
      </c>
      <c r="B1157" s="25">
        <v>3669750</v>
      </c>
      <c r="C1157" s="25"/>
      <c r="D1157" s="56" t="s">
        <v>1082</v>
      </c>
      <c r="E1157" s="426">
        <v>44957</v>
      </c>
      <c r="F1157" s="26" t="s">
        <v>24</v>
      </c>
      <c r="G1157" s="426">
        <v>44889</v>
      </c>
      <c r="H1157" s="35" t="s">
        <v>1299</v>
      </c>
      <c r="I1157" s="21">
        <v>308150</v>
      </c>
      <c r="J1157" s="21"/>
      <c r="K1157" s="22">
        <v>58548.5</v>
      </c>
      <c r="L1157" s="23"/>
      <c r="M1157" s="22">
        <v>0</v>
      </c>
      <c r="N1157" s="74">
        <v>0</v>
      </c>
      <c r="O1157" s="22">
        <v>7703.75</v>
      </c>
      <c r="P1157" s="21">
        <v>358994.75</v>
      </c>
      <c r="S1157" s="108" t="b">
        <f>OR(COUNTIF(Tabla2[[#This Row],[PROVEEDOR]],"*"&amp;'Palabra no opera'!$A$2&amp;"*"))</f>
        <v>0</v>
      </c>
      <c r="T1157" s="139">
        <f>+$W$5-Tabla2[[#This Row],[FECHA DE FACTURACIÓN]]</f>
        <v>402</v>
      </c>
      <c r="U1157" t="str">
        <f>+IF(Tabla2[[#This Row],[dias de credito]]&gt;=Tabla2[[#This Row],[PLAZO Días]],"venc", "No venc")</f>
        <v>venc</v>
      </c>
      <c r="V1157" t="str">
        <f>+IF(Tabla2[[#This Row],[FECHA DE PAGO]]&gt;0,"pagada","por pagar")</f>
        <v>pagada</v>
      </c>
      <c r="W1157" s="141" t="str">
        <f>+IF(AND(Tabla2[[#This Row],[venc]]="venc",Tabla2[[#This Row],[Columna1]]="por pagar"),"vencida","no")</f>
        <v>no</v>
      </c>
    </row>
    <row r="1158" spans="1:23" ht="15.6" hidden="1" x14ac:dyDescent="0.3">
      <c r="A1158" s="20">
        <v>30</v>
      </c>
      <c r="B1158" s="25">
        <v>3669750</v>
      </c>
      <c r="C1158" s="25"/>
      <c r="D1158" s="56" t="s">
        <v>1082</v>
      </c>
      <c r="E1158" s="426">
        <v>44957</v>
      </c>
      <c r="F1158" s="26" t="s">
        <v>24</v>
      </c>
      <c r="G1158" s="426">
        <v>44882</v>
      </c>
      <c r="H1158" s="35" t="s">
        <v>1297</v>
      </c>
      <c r="I1158" s="21">
        <v>6174000</v>
      </c>
      <c r="J1158" s="21"/>
      <c r="K1158" s="22">
        <v>1173060</v>
      </c>
      <c r="L1158" s="23"/>
      <c r="M1158" s="22">
        <v>0</v>
      </c>
      <c r="N1158" s="74">
        <v>2.5000000000000001E-2</v>
      </c>
      <c r="O1158" s="22">
        <v>154350</v>
      </c>
      <c r="P1158" s="21">
        <v>7192710</v>
      </c>
      <c r="S1158" s="108" t="b">
        <f>OR(COUNTIF(Tabla2[[#This Row],[PROVEEDOR]],"*"&amp;'Palabra no opera'!$A$2&amp;"*"))</f>
        <v>0</v>
      </c>
      <c r="T1158" s="139">
        <f>+$W$5-Tabla2[[#This Row],[FECHA DE FACTURACIÓN]]</f>
        <v>409</v>
      </c>
      <c r="U1158" t="str">
        <f>+IF(Tabla2[[#This Row],[dias de credito]]&gt;=Tabla2[[#This Row],[PLAZO Días]],"venc", "No venc")</f>
        <v>venc</v>
      </c>
      <c r="V1158" t="str">
        <f>+IF(Tabla2[[#This Row],[FECHA DE PAGO]]&gt;0,"pagada","por pagar")</f>
        <v>pagada</v>
      </c>
      <c r="W1158" s="141" t="str">
        <f>+IF(AND(Tabla2[[#This Row],[venc]]="venc",Tabla2[[#This Row],[Columna1]]="por pagar"),"vencida","no")</f>
        <v>no</v>
      </c>
    </row>
    <row r="1159" spans="1:23" ht="15.6" hidden="1" x14ac:dyDescent="0.3">
      <c r="A1159" s="20">
        <v>180</v>
      </c>
      <c r="B1159" s="25">
        <v>0</v>
      </c>
      <c r="C1159" s="25"/>
      <c r="D1159" s="56" t="s">
        <v>280</v>
      </c>
      <c r="E1159" s="426">
        <v>44956</v>
      </c>
      <c r="F1159" s="26" t="s">
        <v>625</v>
      </c>
      <c r="G1159" s="426">
        <v>44922</v>
      </c>
      <c r="H1159" s="35">
        <v>309747</v>
      </c>
      <c r="I1159" s="21">
        <v>288144</v>
      </c>
      <c r="J1159" s="21"/>
      <c r="K1159" s="22">
        <v>14407</v>
      </c>
      <c r="L1159" s="23"/>
      <c r="M1159" s="22">
        <v>0</v>
      </c>
      <c r="N1159" s="74">
        <v>0</v>
      </c>
      <c r="O1159" s="22">
        <v>0</v>
      </c>
      <c r="P1159" s="21">
        <v>302551</v>
      </c>
      <c r="S1159" s="108" t="b">
        <f>OR(COUNTIF(Tabla2[[#This Row],[PROVEEDOR]],"*"&amp;'Palabra no opera'!$A$2&amp;"*"))</f>
        <v>1</v>
      </c>
      <c r="T1159" s="139">
        <f>+$W$5-Tabla2[[#This Row],[FECHA DE FACTURACIÓN]]</f>
        <v>369</v>
      </c>
      <c r="U1159" t="str">
        <f>+IF(Tabla2[[#This Row],[dias de credito]]&gt;=Tabla2[[#This Row],[PLAZO Días]],"venc", "No venc")</f>
        <v>venc</v>
      </c>
      <c r="V1159" t="str">
        <f>+IF(Tabla2[[#This Row],[FECHA DE PAGO]]&gt;0,"pagada","por pagar")</f>
        <v>pagada</v>
      </c>
      <c r="W1159" s="141" t="str">
        <f>+IF(AND(Tabla2[[#This Row],[venc]]="venc",Tabla2[[#This Row],[Columna1]]="por pagar"),"vencida","no")</f>
        <v>no</v>
      </c>
    </row>
    <row r="1160" spans="1:23" ht="15.6" hidden="1" x14ac:dyDescent="0.3">
      <c r="A1160" s="20">
        <v>30</v>
      </c>
      <c r="B1160" s="25">
        <v>4248480.9550000001</v>
      </c>
      <c r="C1160" s="25"/>
      <c r="D1160" s="56" t="s">
        <v>107</v>
      </c>
      <c r="E1160" s="426">
        <v>44956</v>
      </c>
      <c r="F1160" s="26" t="s">
        <v>78</v>
      </c>
      <c r="G1160" s="426">
        <v>44916</v>
      </c>
      <c r="H1160" s="35" t="s">
        <v>1346</v>
      </c>
      <c r="I1160" s="21">
        <v>1802000</v>
      </c>
      <c r="J1160" s="21"/>
      <c r="K1160" s="22">
        <v>342380</v>
      </c>
      <c r="L1160" s="23"/>
      <c r="M1160" s="22">
        <v>0</v>
      </c>
      <c r="N1160" s="74">
        <v>2.5000000000000001E-2</v>
      </c>
      <c r="O1160" s="22">
        <v>45050</v>
      </c>
      <c r="P1160" s="21">
        <v>2099330</v>
      </c>
      <c r="S1160" s="108" t="b">
        <f>OR(COUNTIF(Tabla2[[#This Row],[PROVEEDOR]],"*"&amp;'Palabra no opera'!$A$2&amp;"*"))</f>
        <v>0</v>
      </c>
      <c r="T1160" s="139">
        <f>+$W$5-Tabla2[[#This Row],[FECHA DE FACTURACIÓN]]</f>
        <v>375</v>
      </c>
      <c r="U1160" t="str">
        <f>+IF(Tabla2[[#This Row],[dias de credito]]&gt;=Tabla2[[#This Row],[PLAZO Días]],"venc", "No venc")</f>
        <v>venc</v>
      </c>
      <c r="V1160" t="str">
        <f>+IF(Tabla2[[#This Row],[FECHA DE PAGO]]&gt;0,"pagada","por pagar")</f>
        <v>pagada</v>
      </c>
      <c r="W1160" s="141" t="str">
        <f>+IF(AND(Tabla2[[#This Row],[venc]]="venc",Tabla2[[#This Row],[Columna1]]="por pagar"),"vencida","no")</f>
        <v>no</v>
      </c>
    </row>
    <row r="1161" spans="1:23" ht="15.6" hidden="1" x14ac:dyDescent="0.3">
      <c r="A1161" s="20">
        <v>30</v>
      </c>
      <c r="B1161" s="25">
        <v>4248480.9550000001</v>
      </c>
      <c r="C1161" s="25"/>
      <c r="D1161" s="56" t="s">
        <v>107</v>
      </c>
      <c r="E1161" s="426">
        <v>44956</v>
      </c>
      <c r="F1161" s="26" t="s">
        <v>78</v>
      </c>
      <c r="G1161" s="426">
        <v>44916</v>
      </c>
      <c r="H1161" s="35">
        <v>8806</v>
      </c>
      <c r="I1161" s="21">
        <v>2923</v>
      </c>
      <c r="J1161" s="21"/>
      <c r="K1161" s="22">
        <v>555.37</v>
      </c>
      <c r="L1161" s="23"/>
      <c r="M1161" s="22">
        <v>0</v>
      </c>
      <c r="N1161" s="74">
        <v>0</v>
      </c>
      <c r="O1161" s="22">
        <v>0</v>
      </c>
      <c r="P1161" s="21">
        <v>3478.37</v>
      </c>
      <c r="S1161" s="108" t="b">
        <f>OR(COUNTIF(Tabla2[[#This Row],[PROVEEDOR]],"*"&amp;'Palabra no opera'!$A$2&amp;"*"))</f>
        <v>0</v>
      </c>
      <c r="T1161" s="139">
        <f>+$W$5-Tabla2[[#This Row],[FECHA DE FACTURACIÓN]]</f>
        <v>375</v>
      </c>
      <c r="U1161" t="str">
        <f>+IF(Tabla2[[#This Row],[dias de credito]]&gt;=Tabla2[[#This Row],[PLAZO Días]],"venc", "No venc")</f>
        <v>venc</v>
      </c>
      <c r="V1161" t="str">
        <f>+IF(Tabla2[[#This Row],[FECHA DE PAGO]]&gt;0,"pagada","por pagar")</f>
        <v>pagada</v>
      </c>
      <c r="W1161" s="141" t="str">
        <f>+IF(AND(Tabla2[[#This Row],[venc]]="venc",Tabla2[[#This Row],[Columna1]]="por pagar"),"vencida","no")</f>
        <v>no</v>
      </c>
    </row>
    <row r="1162" spans="1:23" ht="15.6" hidden="1" x14ac:dyDescent="0.3">
      <c r="A1162" s="20">
        <v>30</v>
      </c>
      <c r="B1162" s="25">
        <v>4248480.9550000001</v>
      </c>
      <c r="C1162" s="25"/>
      <c r="D1162" s="56" t="s">
        <v>107</v>
      </c>
      <c r="E1162" s="426">
        <v>44956</v>
      </c>
      <c r="F1162" s="26" t="s">
        <v>78</v>
      </c>
      <c r="G1162" s="426">
        <v>44916</v>
      </c>
      <c r="H1162" s="35">
        <v>8803</v>
      </c>
      <c r="I1162" s="21">
        <v>123950</v>
      </c>
      <c r="J1162" s="21"/>
      <c r="K1162" s="22">
        <v>23550.5</v>
      </c>
      <c r="L1162" s="23"/>
      <c r="M1162" s="22">
        <v>0</v>
      </c>
      <c r="N1162" s="74">
        <v>0</v>
      </c>
      <c r="O1162" s="22">
        <v>0</v>
      </c>
      <c r="P1162" s="21">
        <v>147500.5</v>
      </c>
      <c r="S1162" s="108" t="b">
        <f>OR(COUNTIF(Tabla2[[#This Row],[PROVEEDOR]],"*"&amp;'Palabra no opera'!$A$2&amp;"*"))</f>
        <v>0</v>
      </c>
      <c r="T1162" s="139">
        <f>+$W$5-Tabla2[[#This Row],[FECHA DE FACTURACIÓN]]</f>
        <v>375</v>
      </c>
      <c r="U1162" t="str">
        <f>+IF(Tabla2[[#This Row],[dias de credito]]&gt;=Tabla2[[#This Row],[PLAZO Días]],"venc", "No venc")</f>
        <v>venc</v>
      </c>
      <c r="V1162" t="str">
        <f>+IF(Tabla2[[#This Row],[FECHA DE PAGO]]&gt;0,"pagada","por pagar")</f>
        <v>pagada</v>
      </c>
      <c r="W1162" s="141" t="str">
        <f>+IF(AND(Tabla2[[#This Row],[venc]]="venc",Tabla2[[#This Row],[Columna1]]="por pagar"),"vencida","no")</f>
        <v>no</v>
      </c>
    </row>
    <row r="1163" spans="1:23" ht="15.6" hidden="1" x14ac:dyDescent="0.3">
      <c r="A1163" s="20">
        <v>30</v>
      </c>
      <c r="B1163" s="25">
        <v>4248480.9550000001</v>
      </c>
      <c r="C1163" s="25"/>
      <c r="D1163" s="56" t="s">
        <v>107</v>
      </c>
      <c r="E1163" s="426">
        <v>44956</v>
      </c>
      <c r="F1163" s="26" t="s">
        <v>78</v>
      </c>
      <c r="G1163" s="426">
        <v>44880</v>
      </c>
      <c r="H1163" s="35" t="s">
        <v>1374</v>
      </c>
      <c r="I1163" s="21">
        <v>-168066</v>
      </c>
      <c r="J1163" s="21"/>
      <c r="K1163" s="22">
        <v>-31932.54</v>
      </c>
      <c r="L1163" s="23"/>
      <c r="M1163" s="22">
        <v>0</v>
      </c>
      <c r="N1163" s="74">
        <v>0</v>
      </c>
      <c r="O1163" s="22">
        <v>0</v>
      </c>
      <c r="P1163" s="21">
        <v>-199998.54</v>
      </c>
      <c r="S1163" s="108" t="b">
        <f>OR(COUNTIF(Tabla2[[#This Row],[PROVEEDOR]],"*"&amp;'Palabra no opera'!$A$2&amp;"*"))</f>
        <v>0</v>
      </c>
      <c r="T1163" s="139">
        <f>+$W$5-Tabla2[[#This Row],[FECHA DE FACTURACIÓN]]</f>
        <v>411</v>
      </c>
      <c r="U1163" t="str">
        <f>+IF(Tabla2[[#This Row],[dias de credito]]&gt;=Tabla2[[#This Row],[PLAZO Días]],"venc", "No venc")</f>
        <v>venc</v>
      </c>
      <c r="V1163" t="str">
        <f>+IF(Tabla2[[#This Row],[FECHA DE PAGO]]&gt;0,"pagada","por pagar")</f>
        <v>pagada</v>
      </c>
      <c r="W1163" s="141" t="str">
        <f>+IF(AND(Tabla2[[#This Row],[venc]]="venc",Tabla2[[#This Row],[Columna1]]="por pagar"),"vencida","no")</f>
        <v>no</v>
      </c>
    </row>
    <row r="1164" spans="1:23" ht="15.6" hidden="1" x14ac:dyDescent="0.3">
      <c r="A1164" s="20">
        <v>30</v>
      </c>
      <c r="B1164" s="25">
        <v>0</v>
      </c>
      <c r="C1164" s="25"/>
      <c r="D1164" s="56" t="s">
        <v>107</v>
      </c>
      <c r="E1164" s="426">
        <v>44954</v>
      </c>
      <c r="F1164" s="26" t="s">
        <v>362</v>
      </c>
      <c r="G1164" s="426">
        <v>44954</v>
      </c>
      <c r="H1164" s="35" t="s">
        <v>1406</v>
      </c>
      <c r="I1164" s="21">
        <v>771400</v>
      </c>
      <c r="J1164" s="21"/>
      <c r="K1164" s="22">
        <v>0</v>
      </c>
      <c r="L1164" s="23"/>
      <c r="M1164" s="22">
        <v>0</v>
      </c>
      <c r="N1164" s="74">
        <v>0</v>
      </c>
      <c r="O1164" s="22">
        <v>0</v>
      </c>
      <c r="P1164" s="21">
        <v>771400</v>
      </c>
      <c r="S1164" s="108" t="b">
        <f>OR(COUNTIF(Tabla2[[#This Row],[PROVEEDOR]],"*"&amp;'Palabra no opera'!$A$2&amp;"*"))</f>
        <v>0</v>
      </c>
      <c r="T1164" s="139">
        <f>+$W$5-Tabla2[[#This Row],[FECHA DE FACTURACIÓN]]</f>
        <v>337</v>
      </c>
      <c r="U1164" t="str">
        <f>+IF(Tabla2[[#This Row],[dias de credito]]&gt;=Tabla2[[#This Row],[PLAZO Días]],"venc", "No venc")</f>
        <v>venc</v>
      </c>
      <c r="V1164" t="str">
        <f>+IF(Tabla2[[#This Row],[FECHA DE PAGO]]&gt;0,"pagada","por pagar")</f>
        <v>pagada</v>
      </c>
      <c r="W1164" s="141" t="str">
        <f>+IF(AND(Tabla2[[#This Row],[venc]]="venc",Tabla2[[#This Row],[Columna1]]="por pagar"),"vencida","no")</f>
        <v>no</v>
      </c>
    </row>
    <row r="1165" spans="1:23" ht="15.6" hidden="1" x14ac:dyDescent="0.3">
      <c r="A1165" s="20">
        <v>30</v>
      </c>
      <c r="B1165" s="25">
        <v>0</v>
      </c>
      <c r="C1165" s="25"/>
      <c r="D1165" s="56" t="s">
        <v>176</v>
      </c>
      <c r="E1165" s="426">
        <v>44953</v>
      </c>
      <c r="F1165" s="26" t="s">
        <v>966</v>
      </c>
      <c r="G1165" s="426">
        <v>44976</v>
      </c>
      <c r="H1165" s="35">
        <v>402</v>
      </c>
      <c r="I1165" s="21">
        <v>400000</v>
      </c>
      <c r="J1165" s="21"/>
      <c r="K1165" s="22">
        <v>0</v>
      </c>
      <c r="L1165" s="23"/>
      <c r="M1165" s="22">
        <v>0</v>
      </c>
      <c r="N1165" s="74">
        <v>0</v>
      </c>
      <c r="O1165" s="22">
        <v>0</v>
      </c>
      <c r="P1165" s="21">
        <v>400000</v>
      </c>
      <c r="S1165" s="108" t="b">
        <f>OR(COUNTIF(Tabla2[[#This Row],[PROVEEDOR]],"*"&amp;'Palabra no opera'!$A$2&amp;"*"))</f>
        <v>0</v>
      </c>
      <c r="T1165" s="139">
        <f>+$W$5-Tabla2[[#This Row],[FECHA DE FACTURACIÓN]]</f>
        <v>315</v>
      </c>
      <c r="U1165" t="str">
        <f>+IF(Tabla2[[#This Row],[dias de credito]]&gt;=Tabla2[[#This Row],[PLAZO Días]],"venc", "No venc")</f>
        <v>venc</v>
      </c>
      <c r="V1165" t="str">
        <f>+IF(Tabla2[[#This Row],[FECHA DE PAGO]]&gt;0,"pagada","por pagar")</f>
        <v>pagada</v>
      </c>
      <c r="W1165" s="141" t="str">
        <f>+IF(AND(Tabla2[[#This Row],[venc]]="venc",Tabla2[[#This Row],[Columna1]]="por pagar"),"vencida","no")</f>
        <v>no</v>
      </c>
    </row>
    <row r="1166" spans="1:23" ht="15.6" hidden="1" x14ac:dyDescent="0.3">
      <c r="A1166" s="20">
        <v>30</v>
      </c>
      <c r="B1166" s="25">
        <v>0</v>
      </c>
      <c r="C1166" s="25"/>
      <c r="D1166" s="56" t="s">
        <v>176</v>
      </c>
      <c r="E1166" s="426">
        <v>44953</v>
      </c>
      <c r="F1166" s="26" t="s">
        <v>967</v>
      </c>
      <c r="G1166" s="426">
        <v>44976</v>
      </c>
      <c r="H1166" s="35" t="s">
        <v>1463</v>
      </c>
      <c r="I1166" s="21">
        <v>330000</v>
      </c>
      <c r="J1166" s="21"/>
      <c r="K1166" s="22">
        <v>0</v>
      </c>
      <c r="L1166" s="23"/>
      <c r="M1166" s="22">
        <v>0</v>
      </c>
      <c r="N1166" s="74">
        <v>0.01</v>
      </c>
      <c r="O1166" s="22">
        <v>3300</v>
      </c>
      <c r="P1166" s="21">
        <v>326700</v>
      </c>
      <c r="S1166" s="108" t="b">
        <f>OR(COUNTIF(Tabla2[[#This Row],[PROVEEDOR]],"*"&amp;'Palabra no opera'!$A$2&amp;"*"))</f>
        <v>0</v>
      </c>
      <c r="T1166" s="139">
        <f>+$W$5-Tabla2[[#This Row],[FECHA DE FACTURACIÓN]]</f>
        <v>315</v>
      </c>
      <c r="U1166" t="str">
        <f>+IF(Tabla2[[#This Row],[dias de credito]]&gt;=Tabla2[[#This Row],[PLAZO Días]],"venc", "No venc")</f>
        <v>venc</v>
      </c>
      <c r="V1166" t="str">
        <f>+IF(Tabla2[[#This Row],[FECHA DE PAGO]]&gt;0,"pagada","por pagar")</f>
        <v>pagada</v>
      </c>
      <c r="W1166" s="141" t="str">
        <f>+IF(AND(Tabla2[[#This Row],[venc]]="venc",Tabla2[[#This Row],[Columna1]]="por pagar"),"vencida","no")</f>
        <v>no</v>
      </c>
    </row>
    <row r="1167" spans="1:23" ht="15.6" hidden="1" x14ac:dyDescent="0.3">
      <c r="A1167" s="20">
        <v>30</v>
      </c>
      <c r="B1167" s="25">
        <v>0</v>
      </c>
      <c r="C1167" s="25"/>
      <c r="D1167" s="56" t="s">
        <v>1116</v>
      </c>
      <c r="E1167" s="426">
        <v>44953</v>
      </c>
      <c r="F1167" s="26" t="s">
        <v>638</v>
      </c>
      <c r="G1167" s="426">
        <v>44928</v>
      </c>
      <c r="H1167" s="35" t="s">
        <v>1394</v>
      </c>
      <c r="I1167" s="21">
        <v>3891260</v>
      </c>
      <c r="J1167" s="21"/>
      <c r="K1167" s="22">
        <v>739339.4</v>
      </c>
      <c r="L1167" s="23"/>
      <c r="M1167" s="22">
        <v>0</v>
      </c>
      <c r="N1167" s="74">
        <v>3.5000000000000003E-2</v>
      </c>
      <c r="O1167" s="22">
        <v>136194.1</v>
      </c>
      <c r="P1167" s="21">
        <v>4494405.3000000007</v>
      </c>
      <c r="S1167" s="108" t="b">
        <f>OR(COUNTIF(Tabla2[[#This Row],[PROVEEDOR]],"*"&amp;'Palabra no opera'!$A$2&amp;"*"))</f>
        <v>1</v>
      </c>
      <c r="T1167" s="139">
        <f>+$W$5-Tabla2[[#This Row],[FECHA DE FACTURACIÓN]]</f>
        <v>363</v>
      </c>
      <c r="U1167" t="str">
        <f>+IF(Tabla2[[#This Row],[dias de credito]]&gt;=Tabla2[[#This Row],[PLAZO Días]],"venc", "No venc")</f>
        <v>venc</v>
      </c>
      <c r="V1167" t="str">
        <f>+IF(Tabla2[[#This Row],[FECHA DE PAGO]]&gt;0,"pagada","por pagar")</f>
        <v>pagada</v>
      </c>
      <c r="W1167" s="141" t="str">
        <f>+IF(AND(Tabla2[[#This Row],[venc]]="venc",Tabla2[[#This Row],[Columna1]]="por pagar"),"vencida","no")</f>
        <v>no</v>
      </c>
    </row>
    <row r="1168" spans="1:23" ht="15.6" hidden="1" x14ac:dyDescent="0.3">
      <c r="A1168" s="20">
        <v>10</v>
      </c>
      <c r="B1168" s="25">
        <v>0</v>
      </c>
      <c r="C1168" s="25"/>
      <c r="D1168" s="56" t="s">
        <v>1203</v>
      </c>
      <c r="E1168" s="426">
        <v>44953</v>
      </c>
      <c r="F1168" s="26" t="s">
        <v>1202</v>
      </c>
      <c r="G1168" s="426">
        <v>44928</v>
      </c>
      <c r="H1168" s="35" t="s">
        <v>1395</v>
      </c>
      <c r="I1168" s="21">
        <v>4730000</v>
      </c>
      <c r="J1168" s="21"/>
      <c r="K1168" s="22">
        <v>898700</v>
      </c>
      <c r="L1168" s="23"/>
      <c r="M1168" s="22">
        <v>0</v>
      </c>
      <c r="N1168" s="74">
        <v>0</v>
      </c>
      <c r="O1168" s="22">
        <v>0</v>
      </c>
      <c r="P1168" s="21">
        <v>5628700</v>
      </c>
      <c r="S1168" s="108" t="b">
        <f>OR(COUNTIF(Tabla2[[#This Row],[PROVEEDOR]],"*"&amp;'Palabra no opera'!$A$2&amp;"*"))</f>
        <v>1</v>
      </c>
      <c r="T1168" s="139">
        <f>+$W$5-Tabla2[[#This Row],[FECHA DE FACTURACIÓN]]</f>
        <v>363</v>
      </c>
      <c r="U1168" t="str">
        <f>+IF(Tabla2[[#This Row],[dias de credito]]&gt;=Tabla2[[#This Row],[PLAZO Días]],"venc", "No venc")</f>
        <v>venc</v>
      </c>
      <c r="V1168" t="str">
        <f>+IF(Tabla2[[#This Row],[FECHA DE PAGO]]&gt;0,"pagada","por pagar")</f>
        <v>pagada</v>
      </c>
      <c r="W1168" s="141" t="str">
        <f>+IF(AND(Tabla2[[#This Row],[venc]]="venc",Tabla2[[#This Row],[Columna1]]="por pagar"),"vencida","no")</f>
        <v>no</v>
      </c>
    </row>
    <row r="1169" spans="1:23" ht="15.6" hidden="1" x14ac:dyDescent="0.3">
      <c r="A1169" s="20">
        <v>30</v>
      </c>
      <c r="B1169" s="25">
        <v>0</v>
      </c>
      <c r="C1169" s="25"/>
      <c r="D1169" s="56" t="s">
        <v>368</v>
      </c>
      <c r="E1169" s="426">
        <v>44953</v>
      </c>
      <c r="F1169" s="26" t="s">
        <v>623</v>
      </c>
      <c r="G1169" s="426">
        <v>44927</v>
      </c>
      <c r="H1169" s="35" t="s">
        <v>1393</v>
      </c>
      <c r="I1169" s="21">
        <v>3294426</v>
      </c>
      <c r="J1169" s="21"/>
      <c r="K1169" s="22">
        <v>625940.94000000006</v>
      </c>
      <c r="L1169" s="23"/>
      <c r="M1169" s="22">
        <v>0</v>
      </c>
      <c r="N1169" s="74">
        <v>0</v>
      </c>
      <c r="O1169" s="22">
        <v>0</v>
      </c>
      <c r="P1169" s="21">
        <v>3920366.94</v>
      </c>
      <c r="S1169" s="108" t="b">
        <f>OR(COUNTIF(Tabla2[[#This Row],[PROVEEDOR]],"*"&amp;'Palabra no opera'!$A$2&amp;"*"))</f>
        <v>1</v>
      </c>
      <c r="T1169" s="139">
        <f>+$W$5-Tabla2[[#This Row],[FECHA DE FACTURACIÓN]]</f>
        <v>364</v>
      </c>
      <c r="U1169" t="str">
        <f>+IF(Tabla2[[#This Row],[dias de credito]]&gt;=Tabla2[[#This Row],[PLAZO Días]],"venc", "No venc")</f>
        <v>venc</v>
      </c>
      <c r="V1169" t="str">
        <f>+IF(Tabla2[[#This Row],[FECHA DE PAGO]]&gt;0,"pagada","por pagar")</f>
        <v>pagada</v>
      </c>
      <c r="W1169" s="141" t="str">
        <f>+IF(AND(Tabla2[[#This Row],[venc]]="venc",Tabla2[[#This Row],[Columna1]]="por pagar"),"vencida","no")</f>
        <v>no</v>
      </c>
    </row>
    <row r="1170" spans="1:23" ht="15.6" hidden="1" x14ac:dyDescent="0.3">
      <c r="A1170" s="20">
        <v>30</v>
      </c>
      <c r="B1170" s="25">
        <v>0</v>
      </c>
      <c r="C1170" s="25"/>
      <c r="D1170" s="56" t="s">
        <v>107</v>
      </c>
      <c r="E1170" s="426">
        <v>44952</v>
      </c>
      <c r="F1170" s="26" t="s">
        <v>356</v>
      </c>
      <c r="G1170" s="426">
        <v>44952</v>
      </c>
      <c r="H1170" s="35" t="s">
        <v>1398</v>
      </c>
      <c r="I1170" s="21">
        <v>1193000</v>
      </c>
      <c r="J1170" s="21"/>
      <c r="K1170" s="22">
        <v>0</v>
      </c>
      <c r="L1170" s="23"/>
      <c r="M1170" s="22">
        <v>0</v>
      </c>
      <c r="N1170" s="74">
        <v>0</v>
      </c>
      <c r="O1170" s="22">
        <v>0</v>
      </c>
      <c r="P1170" s="21">
        <v>1193000</v>
      </c>
      <c r="S1170" s="108" t="b">
        <f>OR(COUNTIF(Tabla2[[#This Row],[PROVEEDOR]],"*"&amp;'Palabra no opera'!$A$2&amp;"*"))</f>
        <v>0</v>
      </c>
      <c r="T1170" s="139">
        <f>+$W$5-Tabla2[[#This Row],[FECHA DE FACTURACIÓN]]</f>
        <v>339</v>
      </c>
      <c r="U1170" t="str">
        <f>+IF(Tabla2[[#This Row],[dias de credito]]&gt;=Tabla2[[#This Row],[PLAZO Días]],"venc", "No venc")</f>
        <v>venc</v>
      </c>
      <c r="V1170" t="str">
        <f>+IF(Tabla2[[#This Row],[FECHA DE PAGO]]&gt;0,"pagada","por pagar")</f>
        <v>pagada</v>
      </c>
      <c r="W1170" s="141" t="str">
        <f>+IF(AND(Tabla2[[#This Row],[venc]]="venc",Tabla2[[#This Row],[Columna1]]="por pagar"),"vencida","no")</f>
        <v>no</v>
      </c>
    </row>
    <row r="1171" spans="1:23" ht="15.6" hidden="1" x14ac:dyDescent="0.3">
      <c r="A1171" s="20">
        <v>30</v>
      </c>
      <c r="B1171" s="25">
        <v>0</v>
      </c>
      <c r="C1171" s="25"/>
      <c r="D1171" s="56" t="s">
        <v>176</v>
      </c>
      <c r="E1171" s="426">
        <v>44952</v>
      </c>
      <c r="F1171" s="26" t="s">
        <v>966</v>
      </c>
      <c r="G1171" s="426">
        <v>44945</v>
      </c>
      <c r="H1171" s="35">
        <v>394</v>
      </c>
      <c r="I1171" s="21">
        <v>300000</v>
      </c>
      <c r="J1171" s="21"/>
      <c r="K1171" s="22">
        <v>0</v>
      </c>
      <c r="L1171" s="23"/>
      <c r="M1171" s="22">
        <v>0</v>
      </c>
      <c r="N1171" s="74">
        <v>0</v>
      </c>
      <c r="O1171" s="22">
        <v>0</v>
      </c>
      <c r="P1171" s="21">
        <v>300000</v>
      </c>
      <c r="S1171" s="108" t="b">
        <f>OR(COUNTIF(Tabla2[[#This Row],[PROVEEDOR]],"*"&amp;'Palabra no opera'!$A$2&amp;"*"))</f>
        <v>0</v>
      </c>
      <c r="T1171" s="139">
        <f>+$W$5-Tabla2[[#This Row],[FECHA DE FACTURACIÓN]]</f>
        <v>346</v>
      </c>
      <c r="U1171" t="str">
        <f>+IF(Tabla2[[#This Row],[dias de credito]]&gt;=Tabla2[[#This Row],[PLAZO Días]],"venc", "No venc")</f>
        <v>venc</v>
      </c>
      <c r="V1171" t="str">
        <f>+IF(Tabla2[[#This Row],[FECHA DE PAGO]]&gt;0,"pagada","por pagar")</f>
        <v>pagada</v>
      </c>
      <c r="W1171" s="141" t="str">
        <f>+IF(AND(Tabla2[[#This Row],[venc]]="venc",Tabla2[[#This Row],[Columna1]]="por pagar"),"vencida","no")</f>
        <v>no</v>
      </c>
    </row>
    <row r="1172" spans="1:23" ht="15.6" hidden="1" x14ac:dyDescent="0.3">
      <c r="A1172" s="20">
        <v>30</v>
      </c>
      <c r="B1172" s="25">
        <v>0</v>
      </c>
      <c r="C1172" s="25"/>
      <c r="D1172" s="56" t="s">
        <v>176</v>
      </c>
      <c r="E1172" s="426">
        <v>44952</v>
      </c>
      <c r="F1172" s="26" t="s">
        <v>967</v>
      </c>
      <c r="G1172" s="426">
        <v>44945</v>
      </c>
      <c r="H1172" s="35" t="s">
        <v>1390</v>
      </c>
      <c r="I1172" s="21">
        <v>276000</v>
      </c>
      <c r="J1172" s="21"/>
      <c r="K1172" s="22">
        <v>0</v>
      </c>
      <c r="L1172" s="23"/>
      <c r="M1172" s="22">
        <v>0</v>
      </c>
      <c r="N1172" s="74">
        <v>0.01</v>
      </c>
      <c r="O1172" s="22">
        <v>2760</v>
      </c>
      <c r="P1172" s="21">
        <v>273240</v>
      </c>
      <c r="S1172" s="108" t="b">
        <f>OR(COUNTIF(Tabla2[[#This Row],[PROVEEDOR]],"*"&amp;'Palabra no opera'!$A$2&amp;"*"))</f>
        <v>0</v>
      </c>
      <c r="T1172" s="139">
        <f>+$W$5-Tabla2[[#This Row],[FECHA DE FACTURACIÓN]]</f>
        <v>346</v>
      </c>
      <c r="U1172" t="str">
        <f>+IF(Tabla2[[#This Row],[dias de credito]]&gt;=Tabla2[[#This Row],[PLAZO Días]],"venc", "No venc")</f>
        <v>venc</v>
      </c>
      <c r="V1172" t="str">
        <f>+IF(Tabla2[[#This Row],[FECHA DE PAGO]]&gt;0,"pagada","por pagar")</f>
        <v>pagada</v>
      </c>
      <c r="W1172" s="141" t="str">
        <f>+IF(AND(Tabla2[[#This Row],[venc]]="venc",Tabla2[[#This Row],[Columna1]]="por pagar"),"vencida","no")</f>
        <v>no</v>
      </c>
    </row>
    <row r="1173" spans="1:23" ht="15.6" hidden="1" x14ac:dyDescent="0.3">
      <c r="A1173" s="20">
        <v>30</v>
      </c>
      <c r="B1173" s="25">
        <v>0</v>
      </c>
      <c r="C1173" s="25"/>
      <c r="D1173" s="56" t="s">
        <v>260</v>
      </c>
      <c r="E1173" s="426">
        <v>44952</v>
      </c>
      <c r="F1173" s="26" t="s">
        <v>635</v>
      </c>
      <c r="G1173" s="426">
        <v>44944</v>
      </c>
      <c r="H1173" s="35">
        <v>5652</v>
      </c>
      <c r="I1173" s="21">
        <v>3002200</v>
      </c>
      <c r="J1173" s="21"/>
      <c r="K1173" s="22">
        <v>0</v>
      </c>
      <c r="L1173" s="23"/>
      <c r="M1173" s="22">
        <v>0</v>
      </c>
      <c r="N1173" s="74">
        <v>3.5000000000000003E-2</v>
      </c>
      <c r="O1173" s="22">
        <v>105077.00000000001</v>
      </c>
      <c r="P1173" s="21">
        <v>2897123</v>
      </c>
      <c r="S1173" s="108" t="b">
        <f>OR(COUNTIF(Tabla2[[#This Row],[PROVEEDOR]],"*"&amp;'Palabra no opera'!$A$2&amp;"*"))</f>
        <v>1</v>
      </c>
      <c r="T1173" s="139">
        <f>+$W$5-Tabla2[[#This Row],[FECHA DE FACTURACIÓN]]</f>
        <v>347</v>
      </c>
      <c r="U1173" t="str">
        <f>+IF(Tabla2[[#This Row],[dias de credito]]&gt;=Tabla2[[#This Row],[PLAZO Días]],"venc", "No venc")</f>
        <v>venc</v>
      </c>
      <c r="V1173" t="str">
        <f>+IF(Tabla2[[#This Row],[FECHA DE PAGO]]&gt;0,"pagada","por pagar")</f>
        <v>pagada</v>
      </c>
      <c r="W1173" s="141" t="str">
        <f>+IF(AND(Tabla2[[#This Row],[venc]]="venc",Tabla2[[#This Row],[Columna1]]="por pagar"),"vencida","no")</f>
        <v>no</v>
      </c>
    </row>
    <row r="1174" spans="1:23" ht="15.6" hidden="1" x14ac:dyDescent="0.3">
      <c r="A1174" s="20">
        <v>30</v>
      </c>
      <c r="B1174" s="25">
        <v>0</v>
      </c>
      <c r="C1174" s="25"/>
      <c r="D1174" s="56" t="s">
        <v>368</v>
      </c>
      <c r="E1174" s="426">
        <v>44952</v>
      </c>
      <c r="F1174" s="26" t="s">
        <v>623</v>
      </c>
      <c r="G1174" s="426">
        <v>44931</v>
      </c>
      <c r="H1174" s="35" t="s">
        <v>1621</v>
      </c>
      <c r="I1174" s="21">
        <v>895663</v>
      </c>
      <c r="J1174" s="21"/>
      <c r="K1174" s="22">
        <v>170175.97</v>
      </c>
      <c r="L1174" s="23"/>
      <c r="M1174" s="22">
        <v>0</v>
      </c>
      <c r="N1174" s="74">
        <v>0.04</v>
      </c>
      <c r="O1174" s="22">
        <v>35826.520000000004</v>
      </c>
      <c r="P1174" s="21">
        <v>1030012.45</v>
      </c>
      <c r="S1174" s="108" t="b">
        <f>OR(COUNTIF(Tabla2[[#This Row],[PROVEEDOR]],"*"&amp;'Palabra no opera'!$A$2&amp;"*"))</f>
        <v>1</v>
      </c>
      <c r="T1174" s="139">
        <f>+$W$5-Tabla2[[#This Row],[FECHA DE FACTURACIÓN]]</f>
        <v>360</v>
      </c>
      <c r="U1174" t="str">
        <f>+IF(Tabla2[[#This Row],[dias de credito]]&gt;=Tabla2[[#This Row],[PLAZO Días]],"venc", "No venc")</f>
        <v>venc</v>
      </c>
      <c r="V1174" t="str">
        <f>+IF(Tabla2[[#This Row],[FECHA DE PAGO]]&gt;0,"pagada","por pagar")</f>
        <v>pagada</v>
      </c>
      <c r="W1174" s="141" t="str">
        <f>+IF(AND(Tabla2[[#This Row],[venc]]="venc",Tabla2[[#This Row],[Columna1]]="por pagar"),"vencida","no")</f>
        <v>no</v>
      </c>
    </row>
    <row r="1175" spans="1:23" ht="15.6" hidden="1" x14ac:dyDescent="0.3">
      <c r="A1175" s="20">
        <v>30</v>
      </c>
      <c r="B1175" s="25">
        <v>0</v>
      </c>
      <c r="C1175" s="25"/>
      <c r="D1175" s="56" t="s">
        <v>740</v>
      </c>
      <c r="E1175" s="426">
        <v>44952</v>
      </c>
      <c r="F1175" s="26" t="s">
        <v>637</v>
      </c>
      <c r="G1175" s="426">
        <v>44931</v>
      </c>
      <c r="H1175" s="35" t="s">
        <v>1387</v>
      </c>
      <c r="I1175" s="21">
        <v>68166</v>
      </c>
      <c r="J1175" s="21"/>
      <c r="K1175" s="22">
        <v>0</v>
      </c>
      <c r="L1175" s="23"/>
      <c r="M1175" s="22">
        <v>0</v>
      </c>
      <c r="N1175" s="74">
        <v>0</v>
      </c>
      <c r="O1175" s="22">
        <v>0</v>
      </c>
      <c r="P1175" s="21">
        <v>68166</v>
      </c>
      <c r="S1175" s="108" t="b">
        <f>OR(COUNTIF(Tabla2[[#This Row],[PROVEEDOR]],"*"&amp;'Palabra no opera'!$A$2&amp;"*"))</f>
        <v>1</v>
      </c>
      <c r="T1175" s="139">
        <f>+$W$5-Tabla2[[#This Row],[FECHA DE FACTURACIÓN]]</f>
        <v>360</v>
      </c>
      <c r="U1175" t="str">
        <f>+IF(Tabla2[[#This Row],[dias de credito]]&gt;=Tabla2[[#This Row],[PLAZO Días]],"venc", "No venc")</f>
        <v>venc</v>
      </c>
      <c r="V1175" t="str">
        <f>+IF(Tabla2[[#This Row],[FECHA DE PAGO]]&gt;0,"pagada","por pagar")</f>
        <v>pagada</v>
      </c>
      <c r="W1175" s="141" t="str">
        <f>+IF(AND(Tabla2[[#This Row],[venc]]="venc",Tabla2[[#This Row],[Columna1]]="por pagar"),"vencida","no")</f>
        <v>no</v>
      </c>
    </row>
    <row r="1176" spans="1:23" ht="15.6" hidden="1" x14ac:dyDescent="0.3">
      <c r="A1176" s="20">
        <v>30</v>
      </c>
      <c r="B1176" s="25">
        <v>0</v>
      </c>
      <c r="C1176" s="25"/>
      <c r="D1176" s="56" t="s">
        <v>740</v>
      </c>
      <c r="E1176" s="426">
        <v>44952</v>
      </c>
      <c r="F1176" s="26" t="s">
        <v>637</v>
      </c>
      <c r="G1176" s="426">
        <v>44931</v>
      </c>
      <c r="H1176" s="35" t="s">
        <v>1389</v>
      </c>
      <c r="I1176" s="21">
        <v>59583</v>
      </c>
      <c r="J1176" s="21"/>
      <c r="K1176" s="22">
        <v>0</v>
      </c>
      <c r="L1176" s="23"/>
      <c r="M1176" s="22">
        <v>0</v>
      </c>
      <c r="N1176" s="74">
        <v>0</v>
      </c>
      <c r="O1176" s="22">
        <v>0</v>
      </c>
      <c r="P1176" s="21">
        <v>59583</v>
      </c>
      <c r="S1176" s="108" t="b">
        <f>OR(COUNTIF(Tabla2[[#This Row],[PROVEEDOR]],"*"&amp;'Palabra no opera'!$A$2&amp;"*"))</f>
        <v>1</v>
      </c>
      <c r="T1176" s="139">
        <f>+$W$5-Tabla2[[#This Row],[FECHA DE FACTURACIÓN]]</f>
        <v>360</v>
      </c>
      <c r="U1176" t="str">
        <f>+IF(Tabla2[[#This Row],[dias de credito]]&gt;=Tabla2[[#This Row],[PLAZO Días]],"venc", "No venc")</f>
        <v>venc</v>
      </c>
      <c r="V1176" t="str">
        <f>+IF(Tabla2[[#This Row],[FECHA DE PAGO]]&gt;0,"pagada","por pagar")</f>
        <v>pagada</v>
      </c>
      <c r="W1176" s="141" t="str">
        <f>+IF(AND(Tabla2[[#This Row],[venc]]="venc",Tabla2[[#This Row],[Columna1]]="por pagar"),"vencida","no")</f>
        <v>no</v>
      </c>
    </row>
    <row r="1177" spans="1:23" ht="15.6" hidden="1" x14ac:dyDescent="0.3">
      <c r="A1177" s="20">
        <v>30</v>
      </c>
      <c r="B1177" s="25">
        <v>0</v>
      </c>
      <c r="C1177" s="25"/>
      <c r="D1177" s="56" t="s">
        <v>740</v>
      </c>
      <c r="E1177" s="426">
        <v>44952</v>
      </c>
      <c r="F1177" s="26" t="s">
        <v>637</v>
      </c>
      <c r="G1177" s="426">
        <v>44930</v>
      </c>
      <c r="H1177" s="35" t="s">
        <v>1386</v>
      </c>
      <c r="I1177" s="21">
        <v>949891</v>
      </c>
      <c r="J1177" s="21"/>
      <c r="K1177" s="22">
        <v>0</v>
      </c>
      <c r="L1177" s="23"/>
      <c r="M1177" s="22">
        <v>0</v>
      </c>
      <c r="N1177" s="74">
        <v>0</v>
      </c>
      <c r="O1177" s="22">
        <v>0</v>
      </c>
      <c r="P1177" s="21">
        <v>949891</v>
      </c>
      <c r="S1177" s="108" t="b">
        <f>OR(COUNTIF(Tabla2[[#This Row],[PROVEEDOR]],"*"&amp;'Palabra no opera'!$A$2&amp;"*"))</f>
        <v>1</v>
      </c>
      <c r="T1177" s="139">
        <f>+$W$5-Tabla2[[#This Row],[FECHA DE FACTURACIÓN]]</f>
        <v>361</v>
      </c>
      <c r="U1177" t="str">
        <f>+IF(Tabla2[[#This Row],[dias de credito]]&gt;=Tabla2[[#This Row],[PLAZO Días]],"venc", "No venc")</f>
        <v>venc</v>
      </c>
      <c r="V1177" t="str">
        <f>+IF(Tabla2[[#This Row],[FECHA DE PAGO]]&gt;0,"pagada","por pagar")</f>
        <v>pagada</v>
      </c>
      <c r="W1177" s="141" t="str">
        <f>+IF(AND(Tabla2[[#This Row],[venc]]="venc",Tabla2[[#This Row],[Columna1]]="por pagar"),"vencida","no")</f>
        <v>no</v>
      </c>
    </row>
    <row r="1178" spans="1:23" ht="15.6" hidden="1" x14ac:dyDescent="0.3">
      <c r="A1178" s="20">
        <v>30</v>
      </c>
      <c r="B1178" s="25">
        <v>0</v>
      </c>
      <c r="C1178" s="25"/>
      <c r="D1178" s="56" t="s">
        <v>740</v>
      </c>
      <c r="E1178" s="426">
        <v>44952</v>
      </c>
      <c r="F1178" s="26" t="s">
        <v>637</v>
      </c>
      <c r="G1178" s="426">
        <v>44930</v>
      </c>
      <c r="H1178" s="35" t="s">
        <v>1388</v>
      </c>
      <c r="I1178" s="21">
        <v>928304</v>
      </c>
      <c r="J1178" s="21"/>
      <c r="K1178" s="22">
        <v>0</v>
      </c>
      <c r="L1178" s="23"/>
      <c r="M1178" s="22">
        <v>0</v>
      </c>
      <c r="N1178" s="74">
        <v>0</v>
      </c>
      <c r="O1178" s="22">
        <v>0</v>
      </c>
      <c r="P1178" s="21">
        <v>928304</v>
      </c>
      <c r="S1178" s="108" t="b">
        <f>OR(COUNTIF(Tabla2[[#This Row],[PROVEEDOR]],"*"&amp;'Palabra no opera'!$A$2&amp;"*"))</f>
        <v>1</v>
      </c>
      <c r="T1178" s="139">
        <f>+$W$5-Tabla2[[#This Row],[FECHA DE FACTURACIÓN]]</f>
        <v>361</v>
      </c>
      <c r="U1178" t="str">
        <f>+IF(Tabla2[[#This Row],[dias de credito]]&gt;=Tabla2[[#This Row],[PLAZO Días]],"venc", "No venc")</f>
        <v>venc</v>
      </c>
      <c r="V1178" t="str">
        <f>+IF(Tabla2[[#This Row],[FECHA DE PAGO]]&gt;0,"pagada","por pagar")</f>
        <v>pagada</v>
      </c>
      <c r="W1178" s="141" t="str">
        <f>+IF(AND(Tabla2[[#This Row],[venc]]="venc",Tabla2[[#This Row],[Columna1]]="por pagar"),"vencida","no")</f>
        <v>no</v>
      </c>
    </row>
    <row r="1179" spans="1:23" ht="15.6" hidden="1" x14ac:dyDescent="0.3">
      <c r="A1179" s="20">
        <v>30</v>
      </c>
      <c r="B1179" s="25">
        <v>0</v>
      </c>
      <c r="C1179" s="25"/>
      <c r="D1179" s="56" t="s">
        <v>193</v>
      </c>
      <c r="E1179" s="426">
        <v>44952</v>
      </c>
      <c r="F1179" s="26" t="s">
        <v>651</v>
      </c>
      <c r="G1179" s="426">
        <v>44928</v>
      </c>
      <c r="H1179" s="35" t="s">
        <v>1391</v>
      </c>
      <c r="I1179" s="21">
        <v>242340</v>
      </c>
      <c r="J1179" s="21"/>
      <c r="K1179" s="22">
        <v>46044.6</v>
      </c>
      <c r="L1179" s="23"/>
      <c r="M1179" s="22">
        <v>0</v>
      </c>
      <c r="N1179" s="74">
        <v>3.5000000000000003E-2</v>
      </c>
      <c r="O1179" s="22">
        <v>8481.9000000000015</v>
      </c>
      <c r="P1179" s="21">
        <v>279902.69999999995</v>
      </c>
      <c r="S1179" s="108" t="b">
        <f>OR(COUNTIF(Tabla2[[#This Row],[PROVEEDOR]],"*"&amp;'Palabra no opera'!$A$2&amp;"*"))</f>
        <v>1</v>
      </c>
      <c r="T1179" s="139">
        <f>+$W$5-Tabla2[[#This Row],[FECHA DE FACTURACIÓN]]</f>
        <v>363</v>
      </c>
      <c r="U1179" t="str">
        <f>+IF(Tabla2[[#This Row],[dias de credito]]&gt;=Tabla2[[#This Row],[PLAZO Días]],"venc", "No venc")</f>
        <v>venc</v>
      </c>
      <c r="V1179" t="str">
        <f>+IF(Tabla2[[#This Row],[FECHA DE PAGO]]&gt;0,"pagada","por pagar")</f>
        <v>pagada</v>
      </c>
      <c r="W1179" s="141" t="str">
        <f>+IF(AND(Tabla2[[#This Row],[venc]]="venc",Tabla2[[#This Row],[Columna1]]="por pagar"),"vencida","no")</f>
        <v>no</v>
      </c>
    </row>
    <row r="1180" spans="1:23" ht="15.6" hidden="1" x14ac:dyDescent="0.3">
      <c r="A1180" s="20">
        <v>30</v>
      </c>
      <c r="B1180" s="25">
        <v>0</v>
      </c>
      <c r="C1180" s="25"/>
      <c r="D1180" s="56" t="s">
        <v>190</v>
      </c>
      <c r="E1180" s="426">
        <v>44951</v>
      </c>
      <c r="F1180" s="26" t="s">
        <v>964</v>
      </c>
      <c r="G1180" s="426">
        <v>44908</v>
      </c>
      <c r="H1180" s="35">
        <v>39131</v>
      </c>
      <c r="I1180" s="21">
        <v>3980400</v>
      </c>
      <c r="J1180" s="21"/>
      <c r="K1180" s="22">
        <v>756276</v>
      </c>
      <c r="L1180" s="23"/>
      <c r="M1180" s="22">
        <v>0</v>
      </c>
      <c r="N1180" s="74">
        <v>0</v>
      </c>
      <c r="O1180" s="22">
        <v>0</v>
      </c>
      <c r="P1180" s="21">
        <v>4736676</v>
      </c>
      <c r="S1180" s="108" t="b">
        <f>OR(COUNTIF(Tabla2[[#This Row],[PROVEEDOR]],"*"&amp;'Palabra no opera'!$A$2&amp;"*"))</f>
        <v>0</v>
      </c>
      <c r="T1180" s="139">
        <f>+$W$5-Tabla2[[#This Row],[FECHA DE FACTURACIÓN]]</f>
        <v>383</v>
      </c>
      <c r="U1180" t="str">
        <f>+IF(Tabla2[[#This Row],[dias de credito]]&gt;=Tabla2[[#This Row],[PLAZO Días]],"venc", "No venc")</f>
        <v>venc</v>
      </c>
      <c r="V1180" t="str">
        <f>+IF(Tabla2[[#This Row],[FECHA DE PAGO]]&gt;0,"pagada","por pagar")</f>
        <v>pagada</v>
      </c>
      <c r="W1180" s="141" t="str">
        <f>+IF(AND(Tabla2[[#This Row],[venc]]="venc",Tabla2[[#This Row],[Columna1]]="por pagar"),"vencida","no")</f>
        <v>no</v>
      </c>
    </row>
    <row r="1181" spans="1:23" ht="15.6" hidden="1" x14ac:dyDescent="0.3">
      <c r="A1181" s="20">
        <v>30</v>
      </c>
      <c r="B1181" s="25">
        <v>380979.69</v>
      </c>
      <c r="C1181" s="25"/>
      <c r="D1181" s="56" t="s">
        <v>296</v>
      </c>
      <c r="E1181" s="426">
        <v>44950</v>
      </c>
      <c r="F1181" s="26" t="s">
        <v>1295</v>
      </c>
      <c r="G1181" s="426">
        <v>44893</v>
      </c>
      <c r="H1181" s="35" t="s">
        <v>1315</v>
      </c>
      <c r="I1181" s="21">
        <v>3213448</v>
      </c>
      <c r="J1181" s="21"/>
      <c r="K1181" s="22">
        <v>610555.12</v>
      </c>
      <c r="L1181" s="23"/>
      <c r="M1181" s="22">
        <v>0</v>
      </c>
      <c r="N1181" s="74">
        <v>0</v>
      </c>
      <c r="O1181" s="22">
        <v>0</v>
      </c>
      <c r="P1181" s="21">
        <v>3824003.12</v>
      </c>
      <c r="S1181" s="108" t="b">
        <f>OR(COUNTIF(Tabla2[[#This Row],[PROVEEDOR]],"*"&amp;'Palabra no opera'!$A$2&amp;"*"))</f>
        <v>1</v>
      </c>
      <c r="T1181" s="139">
        <f>+$W$5-Tabla2[[#This Row],[FECHA DE FACTURACIÓN]]</f>
        <v>398</v>
      </c>
      <c r="U1181" t="str">
        <f>+IF(Tabla2[[#This Row],[dias de credito]]&gt;=Tabla2[[#This Row],[PLAZO Días]],"venc", "No venc")</f>
        <v>venc</v>
      </c>
      <c r="V1181" t="str">
        <f>+IF(Tabla2[[#This Row],[FECHA DE PAGO]]&gt;0,"pagada","por pagar")</f>
        <v>pagada</v>
      </c>
      <c r="W1181" s="141" t="str">
        <f>+IF(AND(Tabla2[[#This Row],[venc]]="venc",Tabla2[[#This Row],[Columna1]]="por pagar"),"vencida","no")</f>
        <v>no</v>
      </c>
    </row>
    <row r="1182" spans="1:23" ht="15.6" hidden="1" x14ac:dyDescent="0.3">
      <c r="A1182" s="20">
        <v>30</v>
      </c>
      <c r="B1182" s="25">
        <v>380979.69</v>
      </c>
      <c r="C1182" s="25"/>
      <c r="D1182" s="56" t="s">
        <v>296</v>
      </c>
      <c r="E1182" s="426">
        <v>44950</v>
      </c>
      <c r="F1182" s="26" t="s">
        <v>615</v>
      </c>
      <c r="G1182" s="426">
        <v>44888</v>
      </c>
      <c r="H1182" s="35" t="s">
        <v>1314</v>
      </c>
      <c r="I1182" s="21">
        <v>3213448</v>
      </c>
      <c r="J1182" s="21"/>
      <c r="K1182" s="22">
        <v>610555.12</v>
      </c>
      <c r="L1182" s="23"/>
      <c r="M1182" s="22">
        <v>0</v>
      </c>
      <c r="N1182" s="74">
        <v>0</v>
      </c>
      <c r="O1182" s="22">
        <v>0</v>
      </c>
      <c r="P1182" s="21">
        <v>3824003.12</v>
      </c>
      <c r="S1182" s="108" t="b">
        <f>OR(COUNTIF(Tabla2[[#This Row],[PROVEEDOR]],"*"&amp;'Palabra no opera'!$A$2&amp;"*"))</f>
        <v>1</v>
      </c>
      <c r="T1182" s="139">
        <f>+$W$5-Tabla2[[#This Row],[FECHA DE FACTURACIÓN]]</f>
        <v>403</v>
      </c>
      <c r="U1182" t="str">
        <f>+IF(Tabla2[[#This Row],[dias de credito]]&gt;=Tabla2[[#This Row],[PLAZO Días]],"venc", "No venc")</f>
        <v>venc</v>
      </c>
      <c r="V1182" t="str">
        <f>+IF(Tabla2[[#This Row],[FECHA DE PAGO]]&gt;0,"pagada","por pagar")</f>
        <v>pagada</v>
      </c>
      <c r="W1182" s="141" t="str">
        <f>+IF(AND(Tabla2[[#This Row],[venc]]="venc",Tabla2[[#This Row],[Columna1]]="por pagar"),"vencida","no")</f>
        <v>no</v>
      </c>
    </row>
    <row r="1183" spans="1:23" ht="15.6" hidden="1" x14ac:dyDescent="0.3">
      <c r="A1183" s="20">
        <v>30</v>
      </c>
      <c r="B1183" s="25">
        <v>0</v>
      </c>
      <c r="C1183" s="25"/>
      <c r="D1183" s="56" t="s">
        <v>107</v>
      </c>
      <c r="E1183" s="426">
        <v>44949</v>
      </c>
      <c r="F1183" s="26" t="s">
        <v>356</v>
      </c>
      <c r="G1183" s="426">
        <v>44949</v>
      </c>
      <c r="H1183" s="35" t="s">
        <v>1400</v>
      </c>
      <c r="I1183" s="21">
        <v>1883000</v>
      </c>
      <c r="J1183" s="21"/>
      <c r="K1183" s="22">
        <v>0</v>
      </c>
      <c r="L1183" s="23"/>
      <c r="M1183" s="22">
        <v>0</v>
      </c>
      <c r="N1183" s="74">
        <v>0</v>
      </c>
      <c r="O1183" s="22">
        <v>0</v>
      </c>
      <c r="P1183" s="21">
        <v>1883000</v>
      </c>
      <c r="S1183" s="108" t="b">
        <f>OR(COUNTIF(Tabla2[[#This Row],[PROVEEDOR]],"*"&amp;'Palabra no opera'!$A$2&amp;"*"))</f>
        <v>0</v>
      </c>
      <c r="T1183" s="139">
        <f>+$W$5-Tabla2[[#This Row],[FECHA DE FACTURACIÓN]]</f>
        <v>342</v>
      </c>
      <c r="U1183" t="str">
        <f>+IF(Tabla2[[#This Row],[dias de credito]]&gt;=Tabla2[[#This Row],[PLAZO Días]],"venc", "No venc")</f>
        <v>venc</v>
      </c>
      <c r="V1183" t="str">
        <f>+IF(Tabla2[[#This Row],[FECHA DE PAGO]]&gt;0,"pagada","por pagar")</f>
        <v>pagada</v>
      </c>
      <c r="W1183" s="141" t="str">
        <f>+IF(AND(Tabla2[[#This Row],[venc]]="venc",Tabla2[[#This Row],[Columna1]]="por pagar"),"vencida","no")</f>
        <v>no</v>
      </c>
    </row>
    <row r="1184" spans="1:23" ht="15.6" hidden="1" x14ac:dyDescent="0.3">
      <c r="A1184" s="20">
        <v>30</v>
      </c>
      <c r="B1184" s="25">
        <v>0</v>
      </c>
      <c r="C1184" s="25"/>
      <c r="D1184" s="56" t="s">
        <v>659</v>
      </c>
      <c r="E1184" s="426">
        <v>44949</v>
      </c>
      <c r="F1184" s="26" t="s">
        <v>227</v>
      </c>
      <c r="G1184" s="426">
        <v>44949</v>
      </c>
      <c r="H1184" s="35" t="s">
        <v>1396</v>
      </c>
      <c r="I1184" s="21">
        <v>2110000</v>
      </c>
      <c r="J1184" s="21"/>
      <c r="K1184" s="22">
        <v>0</v>
      </c>
      <c r="L1184" s="23"/>
      <c r="M1184" s="22">
        <v>0</v>
      </c>
      <c r="N1184" s="74">
        <v>0</v>
      </c>
      <c r="O1184" s="22">
        <v>0</v>
      </c>
      <c r="P1184" s="21">
        <v>2110000</v>
      </c>
      <c r="S1184" s="108" t="b">
        <f>OR(COUNTIF(Tabla2[[#This Row],[PROVEEDOR]],"*"&amp;'Palabra no opera'!$A$2&amp;"*"))</f>
        <v>0</v>
      </c>
      <c r="T1184" s="139">
        <f>+$W$5-Tabla2[[#This Row],[FECHA DE FACTURACIÓN]]</f>
        <v>342</v>
      </c>
      <c r="U1184" t="str">
        <f>+IF(Tabla2[[#This Row],[dias de credito]]&gt;=Tabla2[[#This Row],[PLAZO Días]],"venc", "No venc")</f>
        <v>venc</v>
      </c>
      <c r="V1184" t="str">
        <f>+IF(Tabla2[[#This Row],[FECHA DE PAGO]]&gt;0,"pagada","por pagar")</f>
        <v>pagada</v>
      </c>
      <c r="W1184" s="141" t="str">
        <f>+IF(AND(Tabla2[[#This Row],[venc]]="venc",Tabla2[[#This Row],[Columna1]]="por pagar"),"vencida","no")</f>
        <v>no</v>
      </c>
    </row>
    <row r="1185" spans="1:23" ht="15.6" hidden="1" x14ac:dyDescent="0.3">
      <c r="A1185" s="20">
        <v>30</v>
      </c>
      <c r="B1185" s="25">
        <v>0</v>
      </c>
      <c r="C1185" s="25"/>
      <c r="D1185" s="56" t="s">
        <v>107</v>
      </c>
      <c r="E1185" s="426">
        <v>44949</v>
      </c>
      <c r="F1185" s="26" t="s">
        <v>401</v>
      </c>
      <c r="G1185" s="426">
        <v>44904</v>
      </c>
      <c r="H1185" s="35">
        <v>2705</v>
      </c>
      <c r="I1185" s="21">
        <v>947500</v>
      </c>
      <c r="J1185" s="21"/>
      <c r="K1185" s="22">
        <v>0</v>
      </c>
      <c r="L1185" s="23"/>
      <c r="M1185" s="22">
        <v>0</v>
      </c>
      <c r="N1185" s="74">
        <v>0</v>
      </c>
      <c r="O1185" s="22">
        <v>0</v>
      </c>
      <c r="P1185" s="21">
        <v>947500</v>
      </c>
      <c r="S1185" s="108" t="b">
        <f>OR(COUNTIF(Tabla2[[#This Row],[PROVEEDOR]],"*"&amp;'Palabra no opera'!$A$2&amp;"*"))</f>
        <v>0</v>
      </c>
      <c r="T1185" s="139">
        <f>+$W$5-Tabla2[[#This Row],[FECHA DE FACTURACIÓN]]</f>
        <v>387</v>
      </c>
      <c r="U1185" t="str">
        <f>+IF(Tabla2[[#This Row],[dias de credito]]&gt;=Tabla2[[#This Row],[PLAZO Días]],"venc", "No venc")</f>
        <v>venc</v>
      </c>
      <c r="V1185" t="str">
        <f>+IF(Tabla2[[#This Row],[FECHA DE PAGO]]&gt;0,"pagada","por pagar")</f>
        <v>pagada</v>
      </c>
      <c r="W1185" s="141" t="str">
        <f>+IF(AND(Tabla2[[#This Row],[venc]]="venc",Tabla2[[#This Row],[Columna1]]="por pagar"),"vencida","no")</f>
        <v>no</v>
      </c>
    </row>
    <row r="1186" spans="1:23" ht="15.6" hidden="1" x14ac:dyDescent="0.3">
      <c r="A1186" s="20">
        <v>30</v>
      </c>
      <c r="B1186" s="25">
        <v>0</v>
      </c>
      <c r="C1186" s="25"/>
      <c r="D1186" s="56" t="s">
        <v>277</v>
      </c>
      <c r="E1186" s="426">
        <v>44949</v>
      </c>
      <c r="F1186" s="26" t="s">
        <v>248</v>
      </c>
      <c r="G1186" s="426">
        <v>44901</v>
      </c>
      <c r="H1186" s="35">
        <v>237697</v>
      </c>
      <c r="I1186" s="21">
        <v>2928624</v>
      </c>
      <c r="J1186" s="21"/>
      <c r="K1186" s="22">
        <v>556438.56000000006</v>
      </c>
      <c r="L1186" s="23"/>
      <c r="M1186" s="22">
        <v>0</v>
      </c>
      <c r="N1186" s="74">
        <v>0</v>
      </c>
      <c r="O1186" s="22">
        <v>0</v>
      </c>
      <c r="P1186" s="21">
        <v>3485062.56</v>
      </c>
      <c r="S1186" s="108" t="b">
        <f>OR(COUNTIF(Tabla2[[#This Row],[PROVEEDOR]],"*"&amp;'Palabra no opera'!$A$2&amp;"*"))</f>
        <v>0</v>
      </c>
      <c r="T1186" s="139">
        <f>+$W$5-Tabla2[[#This Row],[FECHA DE FACTURACIÓN]]</f>
        <v>390</v>
      </c>
      <c r="U1186" t="str">
        <f>+IF(Tabla2[[#This Row],[dias de credito]]&gt;=Tabla2[[#This Row],[PLAZO Días]],"venc", "No venc")</f>
        <v>venc</v>
      </c>
      <c r="V1186" t="str">
        <f>+IF(Tabla2[[#This Row],[FECHA DE PAGO]]&gt;0,"pagada","por pagar")</f>
        <v>pagada</v>
      </c>
      <c r="W1186" s="141" t="str">
        <f>+IF(AND(Tabla2[[#This Row],[venc]]="venc",Tabla2[[#This Row],[Columna1]]="por pagar"),"vencida","no")</f>
        <v>no</v>
      </c>
    </row>
    <row r="1187" spans="1:23" ht="15.6" hidden="1" x14ac:dyDescent="0.3">
      <c r="A1187" s="20">
        <v>30</v>
      </c>
      <c r="B1187" s="25">
        <v>0</v>
      </c>
      <c r="C1187" s="25"/>
      <c r="D1187" s="56" t="s">
        <v>107</v>
      </c>
      <c r="E1187" s="426">
        <v>44947</v>
      </c>
      <c r="F1187" s="26" t="s">
        <v>378</v>
      </c>
      <c r="G1187" s="426">
        <v>44947</v>
      </c>
      <c r="H1187" s="35" t="s">
        <v>1405</v>
      </c>
      <c r="I1187" s="21">
        <v>840000</v>
      </c>
      <c r="J1187" s="21"/>
      <c r="K1187" s="22">
        <v>0</v>
      </c>
      <c r="L1187" s="23"/>
      <c r="M1187" s="22">
        <v>0</v>
      </c>
      <c r="N1187" s="74">
        <v>0</v>
      </c>
      <c r="O1187" s="22">
        <v>0</v>
      </c>
      <c r="P1187" s="21">
        <v>840000</v>
      </c>
      <c r="S1187" s="108" t="b">
        <f>OR(COUNTIF(Tabla2[[#This Row],[PROVEEDOR]],"*"&amp;'Palabra no opera'!$A$2&amp;"*"))</f>
        <v>0</v>
      </c>
      <c r="T1187" s="139">
        <f>+$W$5-Tabla2[[#This Row],[FECHA DE FACTURACIÓN]]</f>
        <v>344</v>
      </c>
      <c r="U1187" t="str">
        <f>+IF(Tabla2[[#This Row],[dias de credito]]&gt;=Tabla2[[#This Row],[PLAZO Días]],"venc", "No venc")</f>
        <v>venc</v>
      </c>
      <c r="V1187" t="str">
        <f>+IF(Tabla2[[#This Row],[FECHA DE PAGO]]&gt;0,"pagada","por pagar")</f>
        <v>pagada</v>
      </c>
      <c r="W1187" s="141" t="str">
        <f>+IF(AND(Tabla2[[#This Row],[venc]]="venc",Tabla2[[#This Row],[Columna1]]="por pagar"),"vencida","no")</f>
        <v>no</v>
      </c>
    </row>
    <row r="1188" spans="1:23" ht="15.6" hidden="1" x14ac:dyDescent="0.3">
      <c r="A1188" s="20">
        <v>30</v>
      </c>
      <c r="B1188" s="25">
        <v>0</v>
      </c>
      <c r="C1188" s="25"/>
      <c r="D1188" s="56" t="s">
        <v>107</v>
      </c>
      <c r="E1188" s="426">
        <v>44946</v>
      </c>
      <c r="F1188" s="26" t="s">
        <v>1401</v>
      </c>
      <c r="G1188" s="426">
        <v>44946</v>
      </c>
      <c r="H1188" s="35" t="s">
        <v>1402</v>
      </c>
      <c r="I1188" s="21">
        <v>69000</v>
      </c>
      <c r="J1188" s="21"/>
      <c r="K1188" s="22">
        <v>0</v>
      </c>
      <c r="L1188" s="23"/>
      <c r="M1188" s="22">
        <v>0</v>
      </c>
      <c r="N1188" s="74">
        <v>0</v>
      </c>
      <c r="O1188" s="22">
        <v>0</v>
      </c>
      <c r="P1188" s="21">
        <v>69000</v>
      </c>
      <c r="S1188" s="108" t="b">
        <f>OR(COUNTIF(Tabla2[[#This Row],[PROVEEDOR]],"*"&amp;'Palabra no opera'!$A$2&amp;"*"))</f>
        <v>0</v>
      </c>
      <c r="T1188" s="139">
        <f>+$W$5-Tabla2[[#This Row],[FECHA DE FACTURACIÓN]]</f>
        <v>345</v>
      </c>
      <c r="U1188" t="str">
        <f>+IF(Tabla2[[#This Row],[dias de credito]]&gt;=Tabla2[[#This Row],[PLAZO Días]],"venc", "No venc")</f>
        <v>venc</v>
      </c>
      <c r="V1188" t="str">
        <f>+IF(Tabla2[[#This Row],[FECHA DE PAGO]]&gt;0,"pagada","por pagar")</f>
        <v>pagada</v>
      </c>
      <c r="W1188" s="141" t="str">
        <f>+IF(AND(Tabla2[[#This Row],[venc]]="venc",Tabla2[[#This Row],[Columna1]]="por pagar"),"vencida","no")</f>
        <v>no</v>
      </c>
    </row>
    <row r="1189" spans="1:23" ht="15.6" hidden="1" x14ac:dyDescent="0.3">
      <c r="A1189" s="20">
        <v>30</v>
      </c>
      <c r="B1189" s="25">
        <v>352505.48</v>
      </c>
      <c r="C1189" s="25"/>
      <c r="D1189" s="56" t="s">
        <v>393</v>
      </c>
      <c r="E1189" s="426">
        <v>44946</v>
      </c>
      <c r="F1189" s="26" t="s">
        <v>631</v>
      </c>
      <c r="G1189" s="426">
        <v>44929</v>
      </c>
      <c r="H1189" s="35" t="s">
        <v>1385</v>
      </c>
      <c r="I1189" s="21">
        <v>337254</v>
      </c>
      <c r="J1189" s="21">
        <v>9886.2900000000009</v>
      </c>
      <c r="K1189" s="22">
        <v>0</v>
      </c>
      <c r="L1189" s="23"/>
      <c r="M1189" s="22">
        <v>0</v>
      </c>
      <c r="N1189" s="74">
        <v>0</v>
      </c>
      <c r="O1189" s="22">
        <v>0</v>
      </c>
      <c r="P1189" s="21">
        <v>327367.71000000002</v>
      </c>
      <c r="S1189" s="108" t="b">
        <f>OR(COUNTIF(Tabla2[[#This Row],[PROVEEDOR]],"*"&amp;'Palabra no opera'!$A$2&amp;"*"))</f>
        <v>1</v>
      </c>
      <c r="T1189" s="139">
        <f>+$W$5-Tabla2[[#This Row],[FECHA DE FACTURACIÓN]]</f>
        <v>362</v>
      </c>
      <c r="U1189" t="str">
        <f>+IF(Tabla2[[#This Row],[dias de credito]]&gt;=Tabla2[[#This Row],[PLAZO Días]],"venc", "No venc")</f>
        <v>venc</v>
      </c>
      <c r="V1189" t="str">
        <f>+IF(Tabla2[[#This Row],[FECHA DE PAGO]]&gt;0,"pagada","por pagar")</f>
        <v>pagada</v>
      </c>
      <c r="W1189" s="141" t="str">
        <f>+IF(AND(Tabla2[[#This Row],[venc]]="venc",Tabla2[[#This Row],[Columna1]]="por pagar"),"vencida","no")</f>
        <v>no</v>
      </c>
    </row>
    <row r="1190" spans="1:23" ht="15.6" hidden="1" x14ac:dyDescent="0.3">
      <c r="A1190" s="20">
        <v>30</v>
      </c>
      <c r="B1190" s="25">
        <v>0</v>
      </c>
      <c r="C1190" s="25"/>
      <c r="D1190" s="56" t="s">
        <v>210</v>
      </c>
      <c r="E1190" s="426">
        <v>44945</v>
      </c>
      <c r="F1190" s="26" t="s">
        <v>47</v>
      </c>
      <c r="G1190" s="426">
        <v>44907</v>
      </c>
      <c r="H1190" s="35">
        <v>43008</v>
      </c>
      <c r="I1190" s="21">
        <v>1255180</v>
      </c>
      <c r="J1190" s="21"/>
      <c r="K1190" s="22">
        <v>238484.2</v>
      </c>
      <c r="L1190" s="23"/>
      <c r="M1190" s="22">
        <v>0</v>
      </c>
      <c r="N1190" s="74">
        <v>2.5000000000000001E-2</v>
      </c>
      <c r="O1190" s="22">
        <v>31379.5</v>
      </c>
      <c r="P1190" s="21">
        <v>1462284.7</v>
      </c>
      <c r="S1190" s="108" t="b">
        <f>OR(COUNTIF(Tabla2[[#This Row],[PROVEEDOR]],"*"&amp;'Palabra no opera'!$A$2&amp;"*"))</f>
        <v>0</v>
      </c>
      <c r="T1190" s="139">
        <f>+$W$5-Tabla2[[#This Row],[FECHA DE FACTURACIÓN]]</f>
        <v>384</v>
      </c>
      <c r="U1190" t="str">
        <f>+IF(Tabla2[[#This Row],[dias de credito]]&gt;=Tabla2[[#This Row],[PLAZO Días]],"venc", "No venc")</f>
        <v>venc</v>
      </c>
      <c r="V1190" t="str">
        <f>+IF(Tabla2[[#This Row],[FECHA DE PAGO]]&gt;0,"pagada","por pagar")</f>
        <v>pagada</v>
      </c>
      <c r="W1190" s="141" t="str">
        <f>+IF(AND(Tabla2[[#This Row],[venc]]="venc",Tabla2[[#This Row],[Columna1]]="por pagar"),"vencida","no")</f>
        <v>no</v>
      </c>
    </row>
    <row r="1191" spans="1:23" ht="15.6" hidden="1" x14ac:dyDescent="0.3">
      <c r="A1191" s="20">
        <v>30</v>
      </c>
      <c r="B1191" s="25">
        <v>0</v>
      </c>
      <c r="C1191" s="25"/>
      <c r="D1191" s="56" t="s">
        <v>210</v>
      </c>
      <c r="E1191" s="426">
        <v>44945</v>
      </c>
      <c r="F1191" s="26" t="s">
        <v>921</v>
      </c>
      <c r="G1191" s="426">
        <v>44889</v>
      </c>
      <c r="H1191" s="35" t="s">
        <v>1285</v>
      </c>
      <c r="I1191" s="21">
        <v>518765</v>
      </c>
      <c r="J1191" s="21"/>
      <c r="K1191" s="22">
        <v>98565.35</v>
      </c>
      <c r="L1191" s="23"/>
      <c r="M1191" s="22">
        <v>0</v>
      </c>
      <c r="N1191" s="74">
        <v>0</v>
      </c>
      <c r="O1191" s="22">
        <v>0</v>
      </c>
      <c r="P1191" s="21">
        <v>617330.35</v>
      </c>
      <c r="S1191" s="108" t="b">
        <f>OR(COUNTIF(Tabla2[[#This Row],[PROVEEDOR]],"*"&amp;'Palabra no opera'!$A$2&amp;"*"))</f>
        <v>1</v>
      </c>
      <c r="T1191" s="139">
        <f>+$W$5-Tabla2[[#This Row],[FECHA DE FACTURACIÓN]]</f>
        <v>402</v>
      </c>
      <c r="U1191" t="str">
        <f>+IF(Tabla2[[#This Row],[dias de credito]]&gt;=Tabla2[[#This Row],[PLAZO Días]],"venc", "No venc")</f>
        <v>venc</v>
      </c>
      <c r="V1191" t="str">
        <f>+IF(Tabla2[[#This Row],[FECHA DE PAGO]]&gt;0,"pagada","por pagar")</f>
        <v>pagada</v>
      </c>
      <c r="W1191" s="141" t="str">
        <f>+IF(AND(Tabla2[[#This Row],[venc]]="venc",Tabla2[[#This Row],[Columna1]]="por pagar"),"vencida","no")</f>
        <v>no</v>
      </c>
    </row>
    <row r="1192" spans="1:23" ht="15.6" hidden="1" x14ac:dyDescent="0.3">
      <c r="A1192" s="20">
        <v>30</v>
      </c>
      <c r="B1192" s="25">
        <v>0</v>
      </c>
      <c r="C1192" s="25"/>
      <c r="D1192" s="56" t="s">
        <v>107</v>
      </c>
      <c r="E1192" s="426">
        <v>44943</v>
      </c>
      <c r="F1192" s="26" t="s">
        <v>362</v>
      </c>
      <c r="G1192" s="426">
        <v>44943</v>
      </c>
      <c r="H1192" s="35" t="s">
        <v>1407</v>
      </c>
      <c r="I1192" s="21">
        <v>1055879</v>
      </c>
      <c r="J1192" s="21"/>
      <c r="K1192" s="22">
        <v>0</v>
      </c>
      <c r="L1192" s="23"/>
      <c r="M1192" s="22">
        <v>0</v>
      </c>
      <c r="N1192" s="74">
        <v>0</v>
      </c>
      <c r="O1192" s="22">
        <v>0</v>
      </c>
      <c r="P1192" s="21">
        <v>1055879</v>
      </c>
      <c r="S1192" s="108" t="b">
        <f>OR(COUNTIF(Tabla2[[#This Row],[PROVEEDOR]],"*"&amp;'Palabra no opera'!$A$2&amp;"*"))</f>
        <v>0</v>
      </c>
      <c r="T1192" s="139">
        <f>+$W$5-Tabla2[[#This Row],[FECHA DE FACTURACIÓN]]</f>
        <v>348</v>
      </c>
      <c r="U1192" t="str">
        <f>+IF(Tabla2[[#This Row],[dias de credito]]&gt;=Tabla2[[#This Row],[PLAZO Días]],"venc", "No venc")</f>
        <v>venc</v>
      </c>
      <c r="V1192" t="str">
        <f>+IF(Tabla2[[#This Row],[FECHA DE PAGO]]&gt;0,"pagada","por pagar")</f>
        <v>pagada</v>
      </c>
      <c r="W1192" s="141" t="str">
        <f>+IF(AND(Tabla2[[#This Row],[venc]]="venc",Tabla2[[#This Row],[Columna1]]="por pagar"),"vencida","no")</f>
        <v>no</v>
      </c>
    </row>
    <row r="1193" spans="1:23" ht="15.6" hidden="1" x14ac:dyDescent="0.3">
      <c r="A1193" s="20">
        <v>30</v>
      </c>
      <c r="B1193" s="25">
        <v>0</v>
      </c>
      <c r="C1193" s="25"/>
      <c r="D1193" s="56" t="s">
        <v>185</v>
      </c>
      <c r="E1193" s="426">
        <v>44942</v>
      </c>
      <c r="F1193" s="26" t="s">
        <v>628</v>
      </c>
      <c r="G1193" s="426">
        <v>44928</v>
      </c>
      <c r="H1193" s="35" t="s">
        <v>1381</v>
      </c>
      <c r="I1193" s="21">
        <v>1866320</v>
      </c>
      <c r="J1193" s="21"/>
      <c r="K1193" s="22">
        <v>0</v>
      </c>
      <c r="L1193" s="23">
        <v>4.8871499999999998E-2</v>
      </c>
      <c r="M1193" s="22">
        <v>91209.857879999996</v>
      </c>
      <c r="N1193" s="74">
        <v>0</v>
      </c>
      <c r="O1193" s="22">
        <v>0</v>
      </c>
      <c r="P1193" s="21">
        <v>1775110.14212</v>
      </c>
      <c r="S1193" s="108" t="b">
        <f>OR(COUNTIF(Tabla2[[#This Row],[PROVEEDOR]],"*"&amp;'Palabra no opera'!$A$2&amp;"*"))</f>
        <v>1</v>
      </c>
      <c r="T1193" s="139">
        <f>+$W$5-Tabla2[[#This Row],[FECHA DE FACTURACIÓN]]</f>
        <v>363</v>
      </c>
      <c r="U1193" t="str">
        <f>+IF(Tabla2[[#This Row],[dias de credito]]&gt;=Tabla2[[#This Row],[PLAZO Días]],"venc", "No venc")</f>
        <v>venc</v>
      </c>
      <c r="V1193" t="str">
        <f>+IF(Tabla2[[#This Row],[FECHA DE PAGO]]&gt;0,"pagada","por pagar")</f>
        <v>pagada</v>
      </c>
      <c r="W1193" s="141" t="str">
        <f>+IF(AND(Tabla2[[#This Row],[venc]]="venc",Tabla2[[#This Row],[Columna1]]="por pagar"),"vencida","no")</f>
        <v>no</v>
      </c>
    </row>
    <row r="1194" spans="1:23" ht="15.6" hidden="1" x14ac:dyDescent="0.3">
      <c r="A1194" s="20">
        <v>30</v>
      </c>
      <c r="B1194" s="25">
        <v>0</v>
      </c>
      <c r="C1194" s="25"/>
      <c r="D1194" s="56" t="s">
        <v>107</v>
      </c>
      <c r="E1194" s="426">
        <v>44940</v>
      </c>
      <c r="F1194" s="26" t="s">
        <v>356</v>
      </c>
      <c r="G1194" s="426">
        <v>44940</v>
      </c>
      <c r="H1194" s="35" t="s">
        <v>1399</v>
      </c>
      <c r="I1194" s="21">
        <v>896000</v>
      </c>
      <c r="J1194" s="21"/>
      <c r="K1194" s="22">
        <v>0</v>
      </c>
      <c r="L1194" s="23"/>
      <c r="M1194" s="22">
        <v>0</v>
      </c>
      <c r="N1194" s="74">
        <v>0</v>
      </c>
      <c r="O1194" s="22">
        <v>0</v>
      </c>
      <c r="P1194" s="21">
        <v>896000</v>
      </c>
      <c r="S1194" s="108" t="b">
        <f>OR(COUNTIF(Tabla2[[#This Row],[PROVEEDOR]],"*"&amp;'Palabra no opera'!$A$2&amp;"*"))</f>
        <v>0</v>
      </c>
      <c r="T1194" s="139">
        <f>+$W$5-Tabla2[[#This Row],[FECHA DE FACTURACIÓN]]</f>
        <v>351</v>
      </c>
      <c r="U1194" t="str">
        <f>+IF(Tabla2[[#This Row],[dias de credito]]&gt;=Tabla2[[#This Row],[PLAZO Días]],"venc", "No venc")</f>
        <v>venc</v>
      </c>
      <c r="V1194" t="str">
        <f>+IF(Tabla2[[#This Row],[FECHA DE PAGO]]&gt;0,"pagada","por pagar")</f>
        <v>pagada</v>
      </c>
      <c r="W1194" s="141" t="str">
        <f>+IF(AND(Tabla2[[#This Row],[venc]]="venc",Tabla2[[#This Row],[Columna1]]="por pagar"),"vencida","no")</f>
        <v>no</v>
      </c>
    </row>
    <row r="1195" spans="1:23" ht="15.6" hidden="1" x14ac:dyDescent="0.3">
      <c r="A1195" s="20">
        <v>30</v>
      </c>
      <c r="B1195" s="25">
        <v>1316890.8900000001</v>
      </c>
      <c r="C1195" s="25"/>
      <c r="D1195" s="56" t="s">
        <v>188</v>
      </c>
      <c r="E1195" s="426">
        <v>44939</v>
      </c>
      <c r="F1195" s="26" t="s">
        <v>17</v>
      </c>
      <c r="G1195" s="426">
        <v>44900</v>
      </c>
      <c r="H1195" s="35">
        <v>1990350</v>
      </c>
      <c r="I1195" s="21">
        <v>432000</v>
      </c>
      <c r="J1195" s="21"/>
      <c r="K1195" s="22">
        <v>82080</v>
      </c>
      <c r="L1195" s="23"/>
      <c r="M1195" s="22">
        <v>0</v>
      </c>
      <c r="N1195" s="74">
        <v>0</v>
      </c>
      <c r="O1195" s="22">
        <v>0</v>
      </c>
      <c r="P1195" s="21">
        <v>514080</v>
      </c>
      <c r="S1195" s="108" t="b">
        <f>OR(COUNTIF(Tabla2[[#This Row],[PROVEEDOR]],"*"&amp;'Palabra no opera'!$A$2&amp;"*"))</f>
        <v>0</v>
      </c>
      <c r="T1195" s="139">
        <f>+$W$5-Tabla2[[#This Row],[FECHA DE FACTURACIÓN]]</f>
        <v>391</v>
      </c>
      <c r="U1195" t="str">
        <f>+IF(Tabla2[[#This Row],[dias de credito]]&gt;=Tabla2[[#This Row],[PLAZO Días]],"venc", "No venc")</f>
        <v>venc</v>
      </c>
      <c r="V1195" t="str">
        <f>+IF(Tabla2[[#This Row],[FECHA DE PAGO]]&gt;0,"pagada","por pagar")</f>
        <v>pagada</v>
      </c>
      <c r="W1195" s="141" t="str">
        <f>+IF(AND(Tabla2[[#This Row],[venc]]="venc",Tabla2[[#This Row],[Columna1]]="por pagar"),"vencida","no")</f>
        <v>no</v>
      </c>
    </row>
    <row r="1196" spans="1:23" ht="15.6" hidden="1" x14ac:dyDescent="0.3">
      <c r="A1196" s="20">
        <v>30</v>
      </c>
      <c r="B1196" s="25">
        <v>121187115</v>
      </c>
      <c r="C1196" s="25"/>
      <c r="D1196" s="56" t="s">
        <v>233</v>
      </c>
      <c r="E1196" s="426">
        <v>44938</v>
      </c>
      <c r="F1196" s="26" t="s">
        <v>31</v>
      </c>
      <c r="G1196" s="426">
        <v>44865</v>
      </c>
      <c r="H1196" s="35">
        <v>57910</v>
      </c>
      <c r="I1196" s="21">
        <v>112030415</v>
      </c>
      <c r="J1196" s="21"/>
      <c r="K1196" s="22">
        <v>0</v>
      </c>
      <c r="L1196" s="23"/>
      <c r="M1196" s="22">
        <v>0</v>
      </c>
      <c r="N1196" s="74">
        <v>0</v>
      </c>
      <c r="O1196" s="22">
        <v>0</v>
      </c>
      <c r="P1196" s="21">
        <v>112030415</v>
      </c>
      <c r="S1196" s="108" t="b">
        <f>OR(COUNTIF(Tabla2[[#This Row],[PROVEEDOR]],"*"&amp;'Palabra no opera'!$A$2&amp;"*"))</f>
        <v>0</v>
      </c>
      <c r="T1196" s="139">
        <f>+$W$5-Tabla2[[#This Row],[FECHA DE FACTURACIÓN]]</f>
        <v>426</v>
      </c>
      <c r="U1196" t="str">
        <f>+IF(Tabla2[[#This Row],[dias de credito]]&gt;=Tabla2[[#This Row],[PLAZO Días]],"venc", "No venc")</f>
        <v>venc</v>
      </c>
      <c r="V1196" t="str">
        <f>+IF(Tabla2[[#This Row],[FECHA DE PAGO]]&gt;0,"pagada","por pagar")</f>
        <v>pagada</v>
      </c>
      <c r="W1196" s="141" t="str">
        <f>+IF(AND(Tabla2[[#This Row],[venc]]="venc",Tabla2[[#This Row],[Columna1]]="por pagar"),"vencida","no")</f>
        <v>no</v>
      </c>
    </row>
    <row r="1197" spans="1:23" ht="15.6" hidden="1" x14ac:dyDescent="0.3">
      <c r="A1197" s="20">
        <v>30</v>
      </c>
      <c r="B1197" s="25">
        <v>18444236.894999996</v>
      </c>
      <c r="C1197" s="25"/>
      <c r="D1197" s="56" t="s">
        <v>731</v>
      </c>
      <c r="E1197" s="426">
        <v>44937</v>
      </c>
      <c r="F1197" s="26" t="s">
        <v>11</v>
      </c>
      <c r="G1197" s="426">
        <v>44916</v>
      </c>
      <c r="H1197" s="35">
        <v>6191</v>
      </c>
      <c r="I1197" s="21">
        <v>4033202</v>
      </c>
      <c r="J1197" s="21"/>
      <c r="K1197" s="22">
        <v>766308.38</v>
      </c>
      <c r="L1197" s="23"/>
      <c r="M1197" s="22">
        <v>0</v>
      </c>
      <c r="N1197" s="74">
        <v>2.5000000000000001E-2</v>
      </c>
      <c r="O1197" s="22">
        <v>100830.05</v>
      </c>
      <c r="P1197" s="21">
        <v>4698680.33</v>
      </c>
      <c r="S1197" s="108" t="b">
        <f>OR(COUNTIF(Tabla2[[#This Row],[PROVEEDOR]],"*"&amp;'Palabra no opera'!$A$2&amp;"*"))</f>
        <v>0</v>
      </c>
      <c r="T1197" s="139">
        <f>+$W$5-Tabla2[[#This Row],[FECHA DE FACTURACIÓN]]</f>
        <v>375</v>
      </c>
      <c r="U1197" t="str">
        <f>+IF(Tabla2[[#This Row],[dias de credito]]&gt;=Tabla2[[#This Row],[PLAZO Días]],"venc", "No venc")</f>
        <v>venc</v>
      </c>
      <c r="V1197" t="str">
        <f>+IF(Tabla2[[#This Row],[FECHA DE PAGO]]&gt;0,"pagada","por pagar")</f>
        <v>pagada</v>
      </c>
      <c r="W1197" s="141" t="str">
        <f>+IF(AND(Tabla2[[#This Row],[venc]]="venc",Tabla2[[#This Row],[Columna1]]="por pagar"),"vencida","no")</f>
        <v>no</v>
      </c>
    </row>
    <row r="1198" spans="1:23" ht="15.6" hidden="1" x14ac:dyDescent="0.3">
      <c r="A1198" s="20">
        <v>30</v>
      </c>
      <c r="B1198" s="25">
        <v>18444236.894999996</v>
      </c>
      <c r="C1198" s="25"/>
      <c r="D1198" s="56" t="s">
        <v>731</v>
      </c>
      <c r="E1198" s="426">
        <v>44937</v>
      </c>
      <c r="F1198" s="26" t="s">
        <v>11</v>
      </c>
      <c r="G1198" s="426">
        <v>44904</v>
      </c>
      <c r="H1198" s="35">
        <v>6064</v>
      </c>
      <c r="I1198" s="21">
        <v>700758</v>
      </c>
      <c r="J1198" s="21"/>
      <c r="K1198" s="22">
        <v>133144.01999999999</v>
      </c>
      <c r="L1198" s="23"/>
      <c r="M1198" s="22">
        <v>0</v>
      </c>
      <c r="N1198" s="74">
        <v>0</v>
      </c>
      <c r="O1198" s="22">
        <v>0</v>
      </c>
      <c r="P1198" s="21">
        <v>833902.02</v>
      </c>
      <c r="S1198" s="108" t="b">
        <f>OR(COUNTIF(Tabla2[[#This Row],[PROVEEDOR]],"*"&amp;'Palabra no opera'!$A$2&amp;"*"))</f>
        <v>0</v>
      </c>
      <c r="T1198" s="139">
        <f>+$W$5-Tabla2[[#This Row],[FECHA DE FACTURACIÓN]]</f>
        <v>387</v>
      </c>
      <c r="U1198" t="str">
        <f>+IF(Tabla2[[#This Row],[dias de credito]]&gt;=Tabla2[[#This Row],[PLAZO Días]],"venc", "No venc")</f>
        <v>venc</v>
      </c>
      <c r="V1198" t="str">
        <f>+IF(Tabla2[[#This Row],[FECHA DE PAGO]]&gt;0,"pagada","por pagar")</f>
        <v>pagada</v>
      </c>
      <c r="W1198" s="141" t="str">
        <f>+IF(AND(Tabla2[[#This Row],[venc]]="venc",Tabla2[[#This Row],[Columna1]]="por pagar"),"vencida","no")</f>
        <v>no</v>
      </c>
    </row>
    <row r="1199" spans="1:23" ht="15.6" hidden="1" x14ac:dyDescent="0.3">
      <c r="A1199" s="20">
        <v>30</v>
      </c>
      <c r="B1199" s="25">
        <v>18444236.894999996</v>
      </c>
      <c r="C1199" s="25"/>
      <c r="D1199" s="56" t="s">
        <v>731</v>
      </c>
      <c r="E1199" s="426">
        <v>44937</v>
      </c>
      <c r="F1199" s="26" t="s">
        <v>11</v>
      </c>
      <c r="G1199" s="426">
        <v>44902</v>
      </c>
      <c r="H1199" s="35">
        <v>6054</v>
      </c>
      <c r="I1199" s="21">
        <v>2102274</v>
      </c>
      <c r="J1199" s="21"/>
      <c r="K1199" s="22">
        <v>399432.06</v>
      </c>
      <c r="L1199" s="23"/>
      <c r="M1199" s="22">
        <v>0</v>
      </c>
      <c r="N1199" s="74">
        <v>2.5000000000000001E-2</v>
      </c>
      <c r="O1199" s="22">
        <v>52556.850000000006</v>
      </c>
      <c r="P1199" s="21">
        <v>2449149.21</v>
      </c>
      <c r="S1199" s="108" t="b">
        <f>OR(COUNTIF(Tabla2[[#This Row],[PROVEEDOR]],"*"&amp;'Palabra no opera'!$A$2&amp;"*"))</f>
        <v>0</v>
      </c>
      <c r="T1199" s="139">
        <f>+$W$5-Tabla2[[#This Row],[FECHA DE FACTURACIÓN]]</f>
        <v>389</v>
      </c>
      <c r="U1199" t="str">
        <f>+IF(Tabla2[[#This Row],[dias de credito]]&gt;=Tabla2[[#This Row],[PLAZO Días]],"venc", "No venc")</f>
        <v>venc</v>
      </c>
      <c r="V1199" t="str">
        <f>+IF(Tabla2[[#This Row],[FECHA DE PAGO]]&gt;0,"pagada","por pagar")</f>
        <v>pagada</v>
      </c>
      <c r="W1199" s="141" t="str">
        <f>+IF(AND(Tabla2[[#This Row],[venc]]="venc",Tabla2[[#This Row],[Columna1]]="por pagar"),"vencida","no")</f>
        <v>no</v>
      </c>
    </row>
    <row r="1200" spans="1:23" ht="15.6" hidden="1" x14ac:dyDescent="0.3">
      <c r="A1200" s="20">
        <v>30</v>
      </c>
      <c r="B1200" s="25">
        <v>17870934.149999999</v>
      </c>
      <c r="C1200" s="25"/>
      <c r="D1200" s="56" t="s">
        <v>182</v>
      </c>
      <c r="E1200" s="426">
        <v>44932</v>
      </c>
      <c r="F1200" s="26" t="s">
        <v>18</v>
      </c>
      <c r="G1200" s="426">
        <v>44896</v>
      </c>
      <c r="H1200" s="35">
        <v>1062806</v>
      </c>
      <c r="I1200" s="21">
        <v>2049044</v>
      </c>
      <c r="J1200" s="21"/>
      <c r="K1200" s="22">
        <v>389318.36</v>
      </c>
      <c r="L1200" s="23"/>
      <c r="M1200" s="22">
        <v>0</v>
      </c>
      <c r="N1200" s="74">
        <v>2.5000000000000001E-2</v>
      </c>
      <c r="O1200" s="22">
        <v>51226.100000000006</v>
      </c>
      <c r="P1200" s="21">
        <v>2387136.2599999998</v>
      </c>
      <c r="S1200" s="108" t="b">
        <f>OR(COUNTIF(Tabla2[[#This Row],[PROVEEDOR]],"*"&amp;'Palabra no opera'!$A$2&amp;"*"))</f>
        <v>0</v>
      </c>
      <c r="T1200" s="139">
        <f>+$W$5-Tabla2[[#This Row],[FECHA DE FACTURACIÓN]]</f>
        <v>395</v>
      </c>
      <c r="U1200" t="str">
        <f>+IF(Tabla2[[#This Row],[dias de credito]]&gt;=Tabla2[[#This Row],[PLAZO Días]],"venc", "No venc")</f>
        <v>venc</v>
      </c>
      <c r="V1200" t="str">
        <f>+IF(Tabla2[[#This Row],[FECHA DE PAGO]]&gt;0,"pagada","por pagar")</f>
        <v>pagada</v>
      </c>
      <c r="W1200" s="141" t="str">
        <f>+IF(AND(Tabla2[[#This Row],[venc]]="venc",Tabla2[[#This Row],[Columna1]]="por pagar"),"vencida","no")</f>
        <v>no</v>
      </c>
    </row>
    <row r="1201" spans="1:23" ht="15.6" hidden="1" x14ac:dyDescent="0.3">
      <c r="A1201" s="20">
        <v>30</v>
      </c>
      <c r="B1201" s="25">
        <v>0</v>
      </c>
      <c r="C1201" s="25"/>
      <c r="D1201" s="56" t="s">
        <v>107</v>
      </c>
      <c r="E1201" s="426">
        <v>44931</v>
      </c>
      <c r="F1201" s="26" t="s">
        <v>404</v>
      </c>
      <c r="G1201" s="426">
        <v>44931</v>
      </c>
      <c r="H1201" s="35" t="s">
        <v>1404</v>
      </c>
      <c r="I1201" s="21">
        <v>3875760</v>
      </c>
      <c r="J1201" s="21"/>
      <c r="K1201" s="22">
        <v>0</v>
      </c>
      <c r="L1201" s="23"/>
      <c r="M1201" s="22">
        <v>0</v>
      </c>
      <c r="N1201" s="74">
        <v>0</v>
      </c>
      <c r="O1201" s="22">
        <v>0</v>
      </c>
      <c r="P1201" s="21">
        <v>3875760</v>
      </c>
      <c r="S1201" s="108" t="b">
        <f>OR(COUNTIF(Tabla2[[#This Row],[PROVEEDOR]],"*"&amp;'Palabra no opera'!$A$2&amp;"*"))</f>
        <v>0</v>
      </c>
      <c r="T1201" s="139">
        <f>+$W$5-Tabla2[[#This Row],[FECHA DE FACTURACIÓN]]</f>
        <v>360</v>
      </c>
      <c r="U1201" t="str">
        <f>+IF(Tabla2[[#This Row],[dias de credito]]&gt;=Tabla2[[#This Row],[PLAZO Días]],"venc", "No venc")</f>
        <v>venc</v>
      </c>
      <c r="V1201" t="str">
        <f>+IF(Tabla2[[#This Row],[FECHA DE PAGO]]&gt;0,"pagada","por pagar")</f>
        <v>pagada</v>
      </c>
      <c r="W1201" s="141" t="str">
        <f>+IF(AND(Tabla2[[#This Row],[venc]]="venc",Tabla2[[#This Row],[Columna1]]="por pagar"),"vencida","no")</f>
        <v>no</v>
      </c>
    </row>
    <row r="1202" spans="1:23" ht="15.6" hidden="1" x14ac:dyDescent="0.3">
      <c r="A1202" s="20">
        <v>30</v>
      </c>
      <c r="B1202" s="25">
        <v>2100000</v>
      </c>
      <c r="C1202" s="25"/>
      <c r="D1202" s="56" t="s">
        <v>107</v>
      </c>
      <c r="E1202" s="426">
        <v>44928</v>
      </c>
      <c r="F1202" s="26" t="s">
        <v>349</v>
      </c>
      <c r="G1202" s="426">
        <v>44909</v>
      </c>
      <c r="H1202" s="35">
        <v>2689</v>
      </c>
      <c r="I1202" s="21">
        <v>1990000</v>
      </c>
      <c r="J1202" s="21"/>
      <c r="K1202" s="22">
        <v>0</v>
      </c>
      <c r="L1202" s="23"/>
      <c r="M1202" s="22">
        <v>0</v>
      </c>
      <c r="N1202" s="74">
        <v>0</v>
      </c>
      <c r="O1202" s="22">
        <v>0</v>
      </c>
      <c r="P1202" s="21">
        <v>1990000</v>
      </c>
      <c r="S1202" s="108" t="b">
        <f>OR(COUNTIF(Tabla2[[#This Row],[PROVEEDOR]],"*"&amp;'Palabra no opera'!$A$2&amp;"*"))</f>
        <v>0</v>
      </c>
      <c r="T1202" s="139">
        <f>+$W$5-Tabla2[[#This Row],[FECHA DE FACTURACIÓN]]</f>
        <v>382</v>
      </c>
      <c r="U1202" t="str">
        <f>+IF(Tabla2[[#This Row],[dias de credito]]&gt;=Tabla2[[#This Row],[PLAZO Días]],"venc", "No venc")</f>
        <v>venc</v>
      </c>
      <c r="V1202" t="str">
        <f>+IF(Tabla2[[#This Row],[FECHA DE PAGO]]&gt;0,"pagada","por pagar")</f>
        <v>pagada</v>
      </c>
      <c r="W1202" s="141" t="str">
        <f>+IF(AND(Tabla2[[#This Row],[venc]]="venc",Tabla2[[#This Row],[Columna1]]="por pagar"),"vencida","no")</f>
        <v>no</v>
      </c>
    </row>
    <row r="1203" spans="1:23" ht="15.6" hidden="1" x14ac:dyDescent="0.3">
      <c r="A1203" s="20">
        <v>30</v>
      </c>
      <c r="B1203" s="25">
        <v>380979.69</v>
      </c>
      <c r="C1203" s="25"/>
      <c r="D1203" s="56" t="s">
        <v>296</v>
      </c>
      <c r="E1203" s="426">
        <v>44928</v>
      </c>
      <c r="F1203" s="26" t="s">
        <v>1295</v>
      </c>
      <c r="G1203" s="426">
        <v>44874</v>
      </c>
      <c r="H1203" s="35" t="s">
        <v>1294</v>
      </c>
      <c r="I1203" s="21">
        <v>1377692</v>
      </c>
      <c r="J1203" s="21">
        <v>124075</v>
      </c>
      <c r="K1203" s="22">
        <v>238187.23</v>
      </c>
      <c r="L1203" s="23"/>
      <c r="M1203" s="22">
        <v>0</v>
      </c>
      <c r="N1203" s="74">
        <v>0</v>
      </c>
      <c r="O1203" s="22">
        <v>0</v>
      </c>
      <c r="P1203" s="21">
        <v>1491804.23</v>
      </c>
      <c r="S1203" s="108" t="b">
        <f>OR(COUNTIF(Tabla2[[#This Row],[PROVEEDOR]],"*"&amp;'Palabra no opera'!$A$2&amp;"*"))</f>
        <v>1</v>
      </c>
      <c r="T1203" s="139">
        <f>+$W$5-Tabla2[[#This Row],[FECHA DE FACTURACIÓN]]</f>
        <v>417</v>
      </c>
      <c r="U1203" t="str">
        <f>+IF(Tabla2[[#This Row],[dias de credito]]&gt;=Tabla2[[#This Row],[PLAZO Días]],"venc", "No venc")</f>
        <v>venc</v>
      </c>
      <c r="V1203" t="str">
        <f>+IF(Tabla2[[#This Row],[FECHA DE PAGO]]&gt;0,"pagada","por pagar")</f>
        <v>pagada</v>
      </c>
      <c r="W1203" s="141" t="str">
        <f>+IF(AND(Tabla2[[#This Row],[venc]]="venc",Tabla2[[#This Row],[Columna1]]="por pagar"),"vencida","no")</f>
        <v>no</v>
      </c>
    </row>
    <row r="1204" spans="1:23" ht="15.6" hidden="1" x14ac:dyDescent="0.3">
      <c r="A1204" s="20">
        <v>30</v>
      </c>
      <c r="B1204" s="25">
        <v>380979.69</v>
      </c>
      <c r="C1204" s="25"/>
      <c r="D1204" s="56" t="s">
        <v>296</v>
      </c>
      <c r="E1204" s="426">
        <v>44928</v>
      </c>
      <c r="F1204" s="26" t="s">
        <v>615</v>
      </c>
      <c r="G1204" s="426">
        <v>44874</v>
      </c>
      <c r="H1204" s="35" t="s">
        <v>1300</v>
      </c>
      <c r="I1204" s="21">
        <v>1112678</v>
      </c>
      <c r="J1204" s="21"/>
      <c r="K1204" s="22">
        <v>211408.82</v>
      </c>
      <c r="L1204" s="23"/>
      <c r="M1204" s="22">
        <v>0</v>
      </c>
      <c r="N1204" s="74">
        <v>0</v>
      </c>
      <c r="O1204" s="22">
        <v>0</v>
      </c>
      <c r="P1204" s="21">
        <v>1324086.82</v>
      </c>
      <c r="S1204" s="108" t="b">
        <f>OR(COUNTIF(Tabla2[[#This Row],[PROVEEDOR]],"*"&amp;'Palabra no opera'!$A$2&amp;"*"))</f>
        <v>1</v>
      </c>
      <c r="T1204" s="139">
        <f>+$W$5-Tabla2[[#This Row],[FECHA DE FACTURACIÓN]]</f>
        <v>417</v>
      </c>
      <c r="U1204" t="str">
        <f>+IF(Tabla2[[#This Row],[dias de credito]]&gt;=Tabla2[[#This Row],[PLAZO Días]],"venc", "No venc")</f>
        <v>venc</v>
      </c>
      <c r="V1204" t="str">
        <f>+IF(Tabla2[[#This Row],[FECHA DE PAGO]]&gt;0,"pagada","por pagar")</f>
        <v>pagada</v>
      </c>
      <c r="W1204" s="141" t="str">
        <f>+IF(AND(Tabla2[[#This Row],[venc]]="venc",Tabla2[[#This Row],[Columna1]]="por pagar"),"vencida","no")</f>
        <v>no</v>
      </c>
    </row>
    <row r="1205" spans="1:23" ht="15.6" hidden="1" x14ac:dyDescent="0.3">
      <c r="A1205" s="20">
        <v>30</v>
      </c>
      <c r="B1205" s="25">
        <v>0</v>
      </c>
      <c r="C1205" s="25"/>
      <c r="D1205" s="56" t="s">
        <v>107</v>
      </c>
      <c r="E1205" s="426">
        <v>44926</v>
      </c>
      <c r="F1205" s="26" t="s">
        <v>362</v>
      </c>
      <c r="G1205" s="426">
        <v>44926</v>
      </c>
      <c r="H1205" s="35" t="s">
        <v>1178</v>
      </c>
      <c r="I1205" s="21">
        <v>963000</v>
      </c>
      <c r="J1205" s="21"/>
      <c r="K1205" s="22">
        <v>0</v>
      </c>
      <c r="L1205" s="23"/>
      <c r="M1205" s="22">
        <v>0</v>
      </c>
      <c r="N1205" s="74">
        <v>0</v>
      </c>
      <c r="O1205" s="22">
        <v>0</v>
      </c>
      <c r="P1205" s="21">
        <v>963000</v>
      </c>
      <c r="S1205" s="108" t="b">
        <f>OR(COUNTIF(Tabla2[[#This Row],[PROVEEDOR]],"*"&amp;'Palabra no opera'!$A$2&amp;"*"))</f>
        <v>0</v>
      </c>
      <c r="T1205" s="139">
        <f>+$W$5-Tabla2[[#This Row],[FECHA DE FACTURACIÓN]]</f>
        <v>365</v>
      </c>
      <c r="U1205" t="str">
        <f>+IF(Tabla2[[#This Row],[dias de credito]]&gt;=Tabla2[[#This Row],[PLAZO Días]],"venc", "No venc")</f>
        <v>venc</v>
      </c>
      <c r="V1205" t="str">
        <f>+IF(Tabla2[[#This Row],[FECHA DE PAGO]]&gt;0,"pagada","por pagar")</f>
        <v>pagada</v>
      </c>
      <c r="W1205" s="141" t="str">
        <f>+IF(AND(Tabla2[[#This Row],[venc]]="venc",Tabla2[[#This Row],[Columna1]]="por pagar"),"vencida","no")</f>
        <v>no</v>
      </c>
    </row>
    <row r="1206" spans="1:23" ht="15.6" hidden="1" x14ac:dyDescent="0.3">
      <c r="A1206" s="20">
        <v>30</v>
      </c>
      <c r="B1206" s="25">
        <v>0</v>
      </c>
      <c r="C1206" s="25"/>
      <c r="D1206" s="56" t="s">
        <v>107</v>
      </c>
      <c r="E1206" s="426">
        <v>44926</v>
      </c>
      <c r="F1206" s="26" t="s">
        <v>362</v>
      </c>
      <c r="G1206" s="426">
        <v>44926</v>
      </c>
      <c r="H1206" s="35" t="s">
        <v>1176</v>
      </c>
      <c r="I1206" s="21">
        <v>469500</v>
      </c>
      <c r="J1206" s="21"/>
      <c r="K1206" s="22">
        <v>0</v>
      </c>
      <c r="L1206" s="23"/>
      <c r="M1206" s="22">
        <v>0</v>
      </c>
      <c r="N1206" s="74">
        <v>0</v>
      </c>
      <c r="O1206" s="22">
        <v>0</v>
      </c>
      <c r="P1206" s="21">
        <v>469500</v>
      </c>
      <c r="S1206" s="108" t="b">
        <f>OR(COUNTIF(Tabla2[[#This Row],[PROVEEDOR]],"*"&amp;'Palabra no opera'!$A$2&amp;"*"))</f>
        <v>0</v>
      </c>
      <c r="T1206" s="139">
        <f>+$W$5-Tabla2[[#This Row],[FECHA DE FACTURACIÓN]]</f>
        <v>365</v>
      </c>
      <c r="U1206" t="str">
        <f>+IF(Tabla2[[#This Row],[dias de credito]]&gt;=Tabla2[[#This Row],[PLAZO Días]],"venc", "No venc")</f>
        <v>venc</v>
      </c>
      <c r="V1206" t="str">
        <f>+IF(Tabla2[[#This Row],[FECHA DE PAGO]]&gt;0,"pagada","por pagar")</f>
        <v>pagada</v>
      </c>
      <c r="W1206" s="141" t="str">
        <f>+IF(AND(Tabla2[[#This Row],[venc]]="venc",Tabla2[[#This Row],[Columna1]]="por pagar"),"vencida","no")</f>
        <v>no</v>
      </c>
    </row>
    <row r="1207" spans="1:23" ht="15.6" hidden="1" x14ac:dyDescent="0.3">
      <c r="A1207" s="20">
        <v>30</v>
      </c>
      <c r="B1207" s="25">
        <v>0</v>
      </c>
      <c r="C1207" s="25"/>
      <c r="D1207" s="56" t="s">
        <v>107</v>
      </c>
      <c r="E1207" s="426">
        <v>44926</v>
      </c>
      <c r="F1207" s="26" t="s">
        <v>362</v>
      </c>
      <c r="G1207" s="426">
        <v>44926</v>
      </c>
      <c r="H1207" s="35" t="s">
        <v>1377</v>
      </c>
      <c r="I1207" s="21">
        <v>0</v>
      </c>
      <c r="J1207" s="21"/>
      <c r="K1207" s="22">
        <v>0</v>
      </c>
      <c r="L1207" s="23"/>
      <c r="M1207" s="22">
        <v>0</v>
      </c>
      <c r="N1207" s="74">
        <v>0</v>
      </c>
      <c r="O1207" s="22">
        <v>0</v>
      </c>
      <c r="P1207" s="21">
        <v>0</v>
      </c>
      <c r="S1207" s="108" t="b">
        <f>OR(COUNTIF(Tabla2[[#This Row],[PROVEEDOR]],"*"&amp;'Palabra no opera'!$A$2&amp;"*"))</f>
        <v>0</v>
      </c>
      <c r="T1207" s="139">
        <f>+$W$5-Tabla2[[#This Row],[FECHA DE FACTURACIÓN]]</f>
        <v>365</v>
      </c>
      <c r="U1207" t="str">
        <f>+IF(Tabla2[[#This Row],[dias de credito]]&gt;=Tabla2[[#This Row],[PLAZO Días]],"venc", "No venc")</f>
        <v>venc</v>
      </c>
      <c r="V1207" t="str">
        <f>+IF(Tabla2[[#This Row],[FECHA DE PAGO]]&gt;0,"pagada","por pagar")</f>
        <v>pagada</v>
      </c>
      <c r="W1207" s="141" t="str">
        <f>+IF(AND(Tabla2[[#This Row],[venc]]="venc",Tabla2[[#This Row],[Columna1]]="por pagar"),"vencida","no")</f>
        <v>no</v>
      </c>
    </row>
    <row r="1208" spans="1:23" ht="15.6" hidden="1" x14ac:dyDescent="0.3">
      <c r="A1208" s="20">
        <v>30</v>
      </c>
      <c r="B1208" s="25">
        <v>0</v>
      </c>
      <c r="C1208" s="25"/>
      <c r="D1208" s="56" t="s">
        <v>107</v>
      </c>
      <c r="E1208" s="426">
        <v>44926</v>
      </c>
      <c r="F1208" s="26" t="s">
        <v>362</v>
      </c>
      <c r="G1208" s="426">
        <v>44926</v>
      </c>
      <c r="H1208" s="35" t="s">
        <v>1378</v>
      </c>
      <c r="I1208" s="21">
        <v>795500</v>
      </c>
      <c r="J1208" s="21"/>
      <c r="K1208" s="22">
        <v>0</v>
      </c>
      <c r="L1208" s="23"/>
      <c r="M1208" s="22">
        <v>0</v>
      </c>
      <c r="N1208" s="74">
        <v>0</v>
      </c>
      <c r="O1208" s="22">
        <v>0</v>
      </c>
      <c r="P1208" s="21">
        <v>795500</v>
      </c>
      <c r="S1208" s="108" t="b">
        <f>OR(COUNTIF(Tabla2[[#This Row],[PROVEEDOR]],"*"&amp;'Palabra no opera'!$A$2&amp;"*"))</f>
        <v>0</v>
      </c>
      <c r="T1208" s="139">
        <f>+$W$5-Tabla2[[#This Row],[FECHA DE FACTURACIÓN]]</f>
        <v>365</v>
      </c>
      <c r="U1208" t="str">
        <f>+IF(Tabla2[[#This Row],[dias de credito]]&gt;=Tabla2[[#This Row],[PLAZO Días]],"venc", "No venc")</f>
        <v>venc</v>
      </c>
      <c r="V1208" t="str">
        <f>+IF(Tabla2[[#This Row],[FECHA DE PAGO]]&gt;0,"pagada","por pagar")</f>
        <v>pagada</v>
      </c>
      <c r="W1208" s="141" t="str">
        <f>+IF(AND(Tabla2[[#This Row],[venc]]="venc",Tabla2[[#This Row],[Columna1]]="por pagar"),"vencida","no")</f>
        <v>no</v>
      </c>
    </row>
    <row r="1209" spans="1:23" ht="15.6" hidden="1" x14ac:dyDescent="0.3">
      <c r="A1209" s="20">
        <v>30</v>
      </c>
      <c r="B1209" s="25">
        <v>0</v>
      </c>
      <c r="C1209" s="25"/>
      <c r="D1209" s="56" t="s">
        <v>107</v>
      </c>
      <c r="E1209" s="426">
        <v>44926</v>
      </c>
      <c r="F1209" s="26" t="s">
        <v>362</v>
      </c>
      <c r="G1209" s="426">
        <v>44926</v>
      </c>
      <c r="H1209" s="35" t="s">
        <v>1379</v>
      </c>
      <c r="I1209" s="21">
        <v>245000</v>
      </c>
      <c r="J1209" s="21"/>
      <c r="K1209" s="22">
        <v>0</v>
      </c>
      <c r="L1209" s="23"/>
      <c r="M1209" s="22">
        <v>0</v>
      </c>
      <c r="N1209" s="74">
        <v>0</v>
      </c>
      <c r="O1209" s="22">
        <v>0</v>
      </c>
      <c r="P1209" s="21">
        <v>245000</v>
      </c>
      <c r="S1209" s="108" t="b">
        <f>OR(COUNTIF(Tabla2[[#This Row],[PROVEEDOR]],"*"&amp;'Palabra no opera'!$A$2&amp;"*"))</f>
        <v>0</v>
      </c>
      <c r="T1209" s="139">
        <f>+$W$5-Tabla2[[#This Row],[FECHA DE FACTURACIÓN]]</f>
        <v>365</v>
      </c>
      <c r="U1209" t="str">
        <f>+IF(Tabla2[[#This Row],[dias de credito]]&gt;=Tabla2[[#This Row],[PLAZO Días]],"venc", "No venc")</f>
        <v>venc</v>
      </c>
      <c r="V1209" t="str">
        <f>+IF(Tabla2[[#This Row],[FECHA DE PAGO]]&gt;0,"pagada","por pagar")</f>
        <v>pagada</v>
      </c>
      <c r="W1209" s="141" t="str">
        <f>+IF(AND(Tabla2[[#This Row],[venc]]="venc",Tabla2[[#This Row],[Columna1]]="por pagar"),"vencida","no")</f>
        <v>no</v>
      </c>
    </row>
    <row r="1210" spans="1:23" ht="15.6" hidden="1" x14ac:dyDescent="0.3">
      <c r="A1210" s="20">
        <v>30</v>
      </c>
      <c r="B1210" s="25">
        <v>0</v>
      </c>
      <c r="C1210" s="25"/>
      <c r="D1210" s="56" t="s">
        <v>107</v>
      </c>
      <c r="E1210" s="426">
        <v>44926</v>
      </c>
      <c r="F1210" s="26" t="s">
        <v>362</v>
      </c>
      <c r="G1210" s="426">
        <v>44926</v>
      </c>
      <c r="H1210" s="35" t="s">
        <v>1177</v>
      </c>
      <c r="I1210" s="21">
        <v>3494200</v>
      </c>
      <c r="J1210" s="21"/>
      <c r="K1210" s="22">
        <v>0</v>
      </c>
      <c r="L1210" s="23"/>
      <c r="M1210" s="22">
        <v>0</v>
      </c>
      <c r="N1210" s="74">
        <v>0</v>
      </c>
      <c r="O1210" s="22">
        <v>0</v>
      </c>
      <c r="P1210" s="21">
        <v>3494200</v>
      </c>
      <c r="S1210" s="108" t="b">
        <f>OR(COUNTIF(Tabla2[[#This Row],[PROVEEDOR]],"*"&amp;'Palabra no opera'!$A$2&amp;"*"))</f>
        <v>0</v>
      </c>
      <c r="T1210" s="139">
        <f>+$W$5-Tabla2[[#This Row],[FECHA DE FACTURACIÓN]]</f>
        <v>365</v>
      </c>
      <c r="U1210" t="str">
        <f>+IF(Tabla2[[#This Row],[dias de credito]]&gt;=Tabla2[[#This Row],[PLAZO Días]],"venc", "No venc")</f>
        <v>venc</v>
      </c>
      <c r="V1210" t="str">
        <f>+IF(Tabla2[[#This Row],[FECHA DE PAGO]]&gt;0,"pagada","por pagar")</f>
        <v>pagada</v>
      </c>
      <c r="W1210" s="141" t="str">
        <f>+IF(AND(Tabla2[[#This Row],[venc]]="venc",Tabla2[[#This Row],[Columna1]]="por pagar"),"vencida","no")</f>
        <v>no</v>
      </c>
    </row>
    <row r="1211" spans="1:23" ht="15.6" hidden="1" x14ac:dyDescent="0.3">
      <c r="A1211" s="20">
        <v>30</v>
      </c>
      <c r="B1211" s="25">
        <v>22881826.27</v>
      </c>
      <c r="C1211" s="25"/>
      <c r="D1211" s="56" t="s">
        <v>197</v>
      </c>
      <c r="E1211" s="426">
        <v>44925</v>
      </c>
      <c r="F1211" s="26" t="s">
        <v>9</v>
      </c>
      <c r="G1211" s="426">
        <v>44896</v>
      </c>
      <c r="H1211" s="35" t="s">
        <v>1317</v>
      </c>
      <c r="I1211" s="21">
        <v>1524625</v>
      </c>
      <c r="J1211" s="21"/>
      <c r="K1211" s="22">
        <v>289678.75</v>
      </c>
      <c r="L1211" s="23">
        <v>7.0000000000000007E-2</v>
      </c>
      <c r="M1211" s="22">
        <v>106723.75000000001</v>
      </c>
      <c r="N1211" s="74">
        <v>2.5000000000000001E-2</v>
      </c>
      <c r="O1211" s="22">
        <v>38115.625</v>
      </c>
      <c r="P1211" s="21">
        <v>1669464.375</v>
      </c>
      <c r="S1211" s="108" t="b">
        <f>OR(COUNTIF(Tabla2[[#This Row],[PROVEEDOR]],"*"&amp;'Palabra no opera'!$A$2&amp;"*"))</f>
        <v>0</v>
      </c>
      <c r="T1211" s="139">
        <f>+$W$5-Tabla2[[#This Row],[FECHA DE FACTURACIÓN]]</f>
        <v>395</v>
      </c>
      <c r="U1211" t="str">
        <f>+IF(Tabla2[[#This Row],[dias de credito]]&gt;=Tabla2[[#This Row],[PLAZO Días]],"venc", "No venc")</f>
        <v>venc</v>
      </c>
      <c r="V1211" t="str">
        <f>+IF(Tabla2[[#This Row],[FECHA DE PAGO]]&gt;0,"pagada","por pagar")</f>
        <v>pagada</v>
      </c>
      <c r="W1211" s="141" t="str">
        <f>+IF(AND(Tabla2[[#This Row],[venc]]="venc",Tabla2[[#This Row],[Columna1]]="por pagar"),"vencida","no")</f>
        <v>no</v>
      </c>
    </row>
    <row r="1212" spans="1:23" ht="15.6" hidden="1" x14ac:dyDescent="0.3">
      <c r="A1212" s="20">
        <v>30</v>
      </c>
      <c r="B1212" s="25">
        <v>22881826.27</v>
      </c>
      <c r="C1212" s="25"/>
      <c r="D1212" s="56" t="s">
        <v>197</v>
      </c>
      <c r="E1212" s="426">
        <v>44925</v>
      </c>
      <c r="F1212" s="26" t="s">
        <v>9</v>
      </c>
      <c r="G1212" s="426">
        <v>44867</v>
      </c>
      <c r="H1212" s="35" t="s">
        <v>1262</v>
      </c>
      <c r="I1212" s="21">
        <v>2894328</v>
      </c>
      <c r="J1212" s="21"/>
      <c r="K1212" s="22">
        <v>549922.31999999995</v>
      </c>
      <c r="L1212" s="23">
        <v>7.0000000000000007E-2</v>
      </c>
      <c r="M1212" s="22">
        <v>202602.96000000002</v>
      </c>
      <c r="N1212" s="74">
        <v>2.5000000000000001E-2</v>
      </c>
      <c r="O1212" s="22">
        <v>72358.2</v>
      </c>
      <c r="P1212" s="21">
        <v>3169289.1599999997</v>
      </c>
      <c r="S1212" s="108" t="b">
        <f>OR(COUNTIF(Tabla2[[#This Row],[PROVEEDOR]],"*"&amp;'Palabra no opera'!$A$2&amp;"*"))</f>
        <v>0</v>
      </c>
      <c r="T1212" s="139">
        <f>+$W$5-Tabla2[[#This Row],[FECHA DE FACTURACIÓN]]</f>
        <v>424</v>
      </c>
      <c r="U1212" t="str">
        <f>+IF(Tabla2[[#This Row],[dias de credito]]&gt;=Tabla2[[#This Row],[PLAZO Días]],"venc", "No venc")</f>
        <v>venc</v>
      </c>
      <c r="V1212" t="str">
        <f>+IF(Tabla2[[#This Row],[FECHA DE PAGO]]&gt;0,"pagada","por pagar")</f>
        <v>pagada</v>
      </c>
      <c r="W1212" s="141" t="str">
        <f>+IF(AND(Tabla2[[#This Row],[venc]]="venc",Tabla2[[#This Row],[Columna1]]="por pagar"),"vencida","no")</f>
        <v>no</v>
      </c>
    </row>
    <row r="1213" spans="1:23" ht="15.6" hidden="1" x14ac:dyDescent="0.3">
      <c r="A1213" s="20">
        <v>30</v>
      </c>
      <c r="B1213" s="25">
        <v>22881826.27</v>
      </c>
      <c r="C1213" s="25"/>
      <c r="D1213" s="56" t="s">
        <v>197</v>
      </c>
      <c r="E1213" s="426">
        <v>44925</v>
      </c>
      <c r="F1213" s="26" t="s">
        <v>9</v>
      </c>
      <c r="G1213" s="426">
        <v>44866</v>
      </c>
      <c r="H1213" s="35" t="s">
        <v>1265</v>
      </c>
      <c r="I1213" s="21">
        <v>31867563</v>
      </c>
      <c r="J1213" s="21"/>
      <c r="K1213" s="22">
        <v>6054836.9699999997</v>
      </c>
      <c r="L1213" s="23">
        <v>7.0000000000000007E-2</v>
      </c>
      <c r="M1213" s="22">
        <v>2230729.41</v>
      </c>
      <c r="N1213" s="74">
        <v>2.5000000000000001E-2</v>
      </c>
      <c r="O1213" s="22">
        <v>796689.07500000007</v>
      </c>
      <c r="P1213" s="21">
        <v>34894981.484999999</v>
      </c>
      <c r="S1213" s="108" t="b">
        <f>OR(COUNTIF(Tabla2[[#This Row],[PROVEEDOR]],"*"&amp;'Palabra no opera'!$A$2&amp;"*"))</f>
        <v>0</v>
      </c>
      <c r="T1213" s="139">
        <f>+$W$5-Tabla2[[#This Row],[FECHA DE FACTURACIÓN]]</f>
        <v>425</v>
      </c>
      <c r="U1213" t="str">
        <f>+IF(Tabla2[[#This Row],[dias de credito]]&gt;=Tabla2[[#This Row],[PLAZO Días]],"venc", "No venc")</f>
        <v>venc</v>
      </c>
      <c r="V1213" t="str">
        <f>+IF(Tabla2[[#This Row],[FECHA DE PAGO]]&gt;0,"pagada","por pagar")</f>
        <v>pagada</v>
      </c>
      <c r="W1213" s="141" t="str">
        <f>+IF(AND(Tabla2[[#This Row],[venc]]="venc",Tabla2[[#This Row],[Columna1]]="por pagar"),"vencida","no")</f>
        <v>no</v>
      </c>
    </row>
    <row r="1214" spans="1:23" ht="15.6" hidden="1" x14ac:dyDescent="0.3">
      <c r="A1214" s="20">
        <v>30</v>
      </c>
      <c r="B1214" s="25">
        <v>0</v>
      </c>
      <c r="C1214" s="25"/>
      <c r="D1214" s="56" t="s">
        <v>342</v>
      </c>
      <c r="E1214" s="426">
        <v>44924</v>
      </c>
      <c r="F1214" s="26" t="s">
        <v>1359</v>
      </c>
      <c r="G1214" s="426">
        <v>44897</v>
      </c>
      <c r="H1214" s="35">
        <v>4071</v>
      </c>
      <c r="I1214" s="21">
        <v>1429000</v>
      </c>
      <c r="J1214" s="21"/>
      <c r="K1214" s="22">
        <v>0</v>
      </c>
      <c r="L1214" s="23"/>
      <c r="M1214" s="22">
        <v>0</v>
      </c>
      <c r="N1214" s="74">
        <v>0</v>
      </c>
      <c r="O1214" s="22">
        <v>0</v>
      </c>
      <c r="P1214" s="21">
        <v>1429000</v>
      </c>
      <c r="S1214" s="108" t="b">
        <f>OR(COUNTIF(Tabla2[[#This Row],[PROVEEDOR]],"*"&amp;'Palabra no opera'!$A$2&amp;"*"))</f>
        <v>0</v>
      </c>
      <c r="T1214" s="139">
        <f>+$W$5-Tabla2[[#This Row],[FECHA DE FACTURACIÓN]]</f>
        <v>394</v>
      </c>
      <c r="U1214" t="str">
        <f>+IF(Tabla2[[#This Row],[dias de credito]]&gt;=Tabla2[[#This Row],[PLAZO Días]],"venc", "No venc")</f>
        <v>venc</v>
      </c>
      <c r="V1214" t="str">
        <f>+IF(Tabla2[[#This Row],[FECHA DE PAGO]]&gt;0,"pagada","por pagar")</f>
        <v>pagada</v>
      </c>
      <c r="W1214" s="141" t="str">
        <f>+IF(AND(Tabla2[[#This Row],[venc]]="venc",Tabla2[[#This Row],[Columna1]]="por pagar"),"vencida","no")</f>
        <v>no</v>
      </c>
    </row>
    <row r="1215" spans="1:23" ht="15.6" hidden="1" x14ac:dyDescent="0.3">
      <c r="A1215" s="20">
        <v>30</v>
      </c>
      <c r="B1215" s="25">
        <v>0</v>
      </c>
      <c r="C1215" s="25"/>
      <c r="D1215" s="56" t="s">
        <v>211</v>
      </c>
      <c r="E1215" s="426">
        <v>44924</v>
      </c>
      <c r="F1215" s="26" t="s">
        <v>26</v>
      </c>
      <c r="G1215" s="426">
        <v>44869</v>
      </c>
      <c r="H1215" s="35" t="s">
        <v>1312</v>
      </c>
      <c r="I1215" s="21">
        <v>222000</v>
      </c>
      <c r="J1215" s="21"/>
      <c r="K1215" s="22">
        <v>42180</v>
      </c>
      <c r="L1215" s="23"/>
      <c r="M1215" s="22">
        <v>0</v>
      </c>
      <c r="N1215" s="74">
        <v>0</v>
      </c>
      <c r="O1215" s="22">
        <v>0</v>
      </c>
      <c r="P1215" s="21">
        <v>264180</v>
      </c>
      <c r="S1215" s="108" t="b">
        <f>OR(COUNTIF(Tabla2[[#This Row],[PROVEEDOR]],"*"&amp;'Palabra no opera'!$A$2&amp;"*"))</f>
        <v>0</v>
      </c>
      <c r="T1215" s="139">
        <f>+$W$5-Tabla2[[#This Row],[FECHA DE FACTURACIÓN]]</f>
        <v>422</v>
      </c>
      <c r="U1215" t="str">
        <f>+IF(Tabla2[[#This Row],[dias de credito]]&gt;=Tabla2[[#This Row],[PLAZO Días]],"venc", "No venc")</f>
        <v>venc</v>
      </c>
      <c r="V1215" t="str">
        <f>+IF(Tabla2[[#This Row],[FECHA DE PAGO]]&gt;0,"pagada","por pagar")</f>
        <v>pagada</v>
      </c>
      <c r="W1215" s="141" t="str">
        <f>+IF(AND(Tabla2[[#This Row],[venc]]="venc",Tabla2[[#This Row],[Columna1]]="por pagar"),"vencida","no")</f>
        <v>no</v>
      </c>
    </row>
    <row r="1216" spans="1:23" ht="15.6" hidden="1" x14ac:dyDescent="0.3">
      <c r="A1216" s="20">
        <v>30</v>
      </c>
      <c r="B1216" s="25">
        <v>0</v>
      </c>
      <c r="C1216" s="25"/>
      <c r="D1216" s="56" t="s">
        <v>211</v>
      </c>
      <c r="E1216" s="426">
        <v>44924</v>
      </c>
      <c r="F1216" s="26" t="s">
        <v>26</v>
      </c>
      <c r="G1216" s="426">
        <v>44869</v>
      </c>
      <c r="H1216" s="35" t="s">
        <v>1313</v>
      </c>
      <c r="I1216" s="21">
        <v>780000</v>
      </c>
      <c r="J1216" s="21"/>
      <c r="K1216" s="22">
        <v>148200</v>
      </c>
      <c r="L1216" s="23"/>
      <c r="M1216" s="22">
        <v>0</v>
      </c>
      <c r="N1216" s="74">
        <v>0</v>
      </c>
      <c r="O1216" s="22">
        <v>0</v>
      </c>
      <c r="P1216" s="21">
        <v>928200</v>
      </c>
      <c r="S1216" s="108" t="b">
        <f>OR(COUNTIF(Tabla2[[#This Row],[PROVEEDOR]],"*"&amp;'Palabra no opera'!$A$2&amp;"*"))</f>
        <v>0</v>
      </c>
      <c r="T1216" s="139">
        <f>+$W$5-Tabla2[[#This Row],[FECHA DE FACTURACIÓN]]</f>
        <v>422</v>
      </c>
      <c r="U1216" t="str">
        <f>+IF(Tabla2[[#This Row],[dias de credito]]&gt;=Tabla2[[#This Row],[PLAZO Días]],"venc", "No venc")</f>
        <v>venc</v>
      </c>
      <c r="V1216" t="str">
        <f>+IF(Tabla2[[#This Row],[FECHA DE PAGO]]&gt;0,"pagada","por pagar")</f>
        <v>pagada</v>
      </c>
      <c r="W1216" s="141" t="str">
        <f>+IF(AND(Tabla2[[#This Row],[venc]]="venc",Tabla2[[#This Row],[Columna1]]="por pagar"),"vencida","no")</f>
        <v>no</v>
      </c>
    </row>
    <row r="1217" spans="1:23" ht="15.6" hidden="1" x14ac:dyDescent="0.3">
      <c r="A1217" s="20">
        <v>30</v>
      </c>
      <c r="B1217" s="25">
        <v>1034000.52</v>
      </c>
      <c r="C1217" s="25"/>
      <c r="D1217" s="56" t="s">
        <v>177</v>
      </c>
      <c r="E1217" s="426">
        <v>44923</v>
      </c>
      <c r="F1217" s="26" t="s">
        <v>168</v>
      </c>
      <c r="G1217" s="426">
        <v>44889</v>
      </c>
      <c r="H1217" s="35" t="s">
        <v>1307</v>
      </c>
      <c r="I1217" s="21">
        <v>2021009</v>
      </c>
      <c r="J1217" s="21"/>
      <c r="K1217" s="22">
        <v>383991.71</v>
      </c>
      <c r="L1217" s="23"/>
      <c r="M1217" s="22">
        <v>0</v>
      </c>
      <c r="N1217" s="74">
        <v>2.5000000000000001E-2</v>
      </c>
      <c r="O1217" s="22">
        <v>50525.225000000006</v>
      </c>
      <c r="P1217" s="21">
        <v>2354475.4849999999</v>
      </c>
      <c r="S1217" s="108" t="b">
        <f>OR(COUNTIF(Tabla2[[#This Row],[PROVEEDOR]],"*"&amp;'Palabra no opera'!$A$2&amp;"*"))</f>
        <v>0</v>
      </c>
      <c r="T1217" s="139">
        <f>+$W$5-Tabla2[[#This Row],[FECHA DE FACTURACIÓN]]</f>
        <v>402</v>
      </c>
      <c r="U1217" t="str">
        <f>+IF(Tabla2[[#This Row],[dias de credito]]&gt;=Tabla2[[#This Row],[PLAZO Días]],"venc", "No venc")</f>
        <v>venc</v>
      </c>
      <c r="V1217" t="str">
        <f>+IF(Tabla2[[#This Row],[FECHA DE PAGO]]&gt;0,"pagada","por pagar")</f>
        <v>pagada</v>
      </c>
      <c r="W1217" s="141" t="str">
        <f>+IF(AND(Tabla2[[#This Row],[venc]]="venc",Tabla2[[#This Row],[Columna1]]="por pagar"),"vencida","no")</f>
        <v>no</v>
      </c>
    </row>
    <row r="1218" spans="1:23" ht="15.6" hidden="1" x14ac:dyDescent="0.3">
      <c r="A1218" s="20">
        <v>30</v>
      </c>
      <c r="B1218" s="25">
        <v>5537221.7000000002</v>
      </c>
      <c r="C1218" s="25"/>
      <c r="D1218" s="56" t="s">
        <v>402</v>
      </c>
      <c r="E1218" s="426">
        <v>44923</v>
      </c>
      <c r="F1218" s="26" t="s">
        <v>293</v>
      </c>
      <c r="G1218" s="426">
        <v>44887</v>
      </c>
      <c r="H1218" s="35" t="s">
        <v>1306</v>
      </c>
      <c r="I1218" s="21">
        <v>686950</v>
      </c>
      <c r="J1218" s="21"/>
      <c r="K1218" s="22">
        <v>130520.5</v>
      </c>
      <c r="L1218" s="23">
        <v>0.05</v>
      </c>
      <c r="M1218" s="22">
        <v>34347.5</v>
      </c>
      <c r="N1218" s="74">
        <v>0</v>
      </c>
      <c r="O1218" s="22">
        <v>0</v>
      </c>
      <c r="P1218" s="21">
        <v>783123</v>
      </c>
      <c r="S1218" s="108" t="b">
        <f>OR(COUNTIF(Tabla2[[#This Row],[PROVEEDOR]],"*"&amp;'Palabra no opera'!$A$2&amp;"*"))</f>
        <v>0</v>
      </c>
      <c r="T1218" s="139">
        <f>+$W$5-Tabla2[[#This Row],[FECHA DE FACTURACIÓN]]</f>
        <v>404</v>
      </c>
      <c r="U1218" t="str">
        <f>+IF(Tabla2[[#This Row],[dias de credito]]&gt;=Tabla2[[#This Row],[PLAZO Días]],"venc", "No venc")</f>
        <v>venc</v>
      </c>
      <c r="V1218" t="str">
        <f>+IF(Tabla2[[#This Row],[FECHA DE PAGO]]&gt;0,"pagada","por pagar")</f>
        <v>pagada</v>
      </c>
      <c r="W1218" s="141" t="str">
        <f>+IF(AND(Tabla2[[#This Row],[venc]]="venc",Tabla2[[#This Row],[Columna1]]="por pagar"),"vencida","no")</f>
        <v>no</v>
      </c>
    </row>
    <row r="1219" spans="1:23" ht="15.6" hidden="1" x14ac:dyDescent="0.3">
      <c r="A1219" s="20">
        <v>30</v>
      </c>
      <c r="B1219" s="25">
        <v>0</v>
      </c>
      <c r="C1219" s="25"/>
      <c r="D1219" s="56" t="s">
        <v>858</v>
      </c>
      <c r="E1219" s="426">
        <v>44923</v>
      </c>
      <c r="F1219" s="26" t="s">
        <v>857</v>
      </c>
      <c r="G1219" s="426">
        <v>44883</v>
      </c>
      <c r="H1219" s="35" t="s">
        <v>1303</v>
      </c>
      <c r="I1219" s="21">
        <v>327731</v>
      </c>
      <c r="J1219" s="21"/>
      <c r="K1219" s="22">
        <v>62268.89</v>
      </c>
      <c r="L1219" s="23"/>
      <c r="M1219" s="22">
        <v>0</v>
      </c>
      <c r="N1219" s="74">
        <v>0</v>
      </c>
      <c r="O1219" s="22">
        <v>0</v>
      </c>
      <c r="P1219" s="21">
        <v>389999.89</v>
      </c>
      <c r="S1219" s="108" t="b">
        <f>OR(COUNTIF(Tabla2[[#This Row],[PROVEEDOR]],"*"&amp;'Palabra no opera'!$A$2&amp;"*"))</f>
        <v>0</v>
      </c>
      <c r="T1219" s="139">
        <f>+$W$5-Tabla2[[#This Row],[FECHA DE FACTURACIÓN]]</f>
        <v>408</v>
      </c>
      <c r="U1219" t="str">
        <f>+IF(Tabla2[[#This Row],[dias de credito]]&gt;=Tabla2[[#This Row],[PLAZO Días]],"venc", "No venc")</f>
        <v>venc</v>
      </c>
      <c r="V1219" t="str">
        <f>+IF(Tabla2[[#This Row],[FECHA DE PAGO]]&gt;0,"pagada","por pagar")</f>
        <v>pagada</v>
      </c>
      <c r="W1219" s="141" t="str">
        <f>+IF(AND(Tabla2[[#This Row],[venc]]="venc",Tabla2[[#This Row],[Columna1]]="por pagar"),"vencida","no")</f>
        <v>no</v>
      </c>
    </row>
    <row r="1220" spans="1:23" ht="15.6" hidden="1" x14ac:dyDescent="0.3">
      <c r="A1220" s="20">
        <v>30</v>
      </c>
      <c r="B1220" s="25">
        <v>5537221.7000000002</v>
      </c>
      <c r="C1220" s="25"/>
      <c r="D1220" s="56" t="s">
        <v>402</v>
      </c>
      <c r="E1220" s="426">
        <v>44923</v>
      </c>
      <c r="F1220" s="26" t="s">
        <v>293</v>
      </c>
      <c r="G1220" s="426">
        <v>44874</v>
      </c>
      <c r="H1220" s="35" t="s">
        <v>1264</v>
      </c>
      <c r="I1220" s="21">
        <v>1615752</v>
      </c>
      <c r="J1220" s="21"/>
      <c r="K1220" s="22">
        <v>306992.88</v>
      </c>
      <c r="L1220" s="23">
        <v>0.05</v>
      </c>
      <c r="M1220" s="22">
        <v>80787.600000000006</v>
      </c>
      <c r="N1220" s="74">
        <v>2.5000000000000001E-2</v>
      </c>
      <c r="O1220" s="22">
        <v>40393.800000000003</v>
      </c>
      <c r="P1220" s="21">
        <v>1801563.4799999997</v>
      </c>
      <c r="S1220" s="108" t="b">
        <f>OR(COUNTIF(Tabla2[[#This Row],[PROVEEDOR]],"*"&amp;'Palabra no opera'!$A$2&amp;"*"))</f>
        <v>0</v>
      </c>
      <c r="T1220" s="139">
        <f>+$W$5-Tabla2[[#This Row],[FECHA DE FACTURACIÓN]]</f>
        <v>417</v>
      </c>
      <c r="U1220" t="str">
        <f>+IF(Tabla2[[#This Row],[dias de credito]]&gt;=Tabla2[[#This Row],[PLAZO Días]],"venc", "No venc")</f>
        <v>venc</v>
      </c>
      <c r="V1220" t="str">
        <f>+IF(Tabla2[[#This Row],[FECHA DE PAGO]]&gt;0,"pagada","por pagar")</f>
        <v>pagada</v>
      </c>
      <c r="W1220" s="141" t="str">
        <f>+IF(AND(Tabla2[[#This Row],[venc]]="venc",Tabla2[[#This Row],[Columna1]]="por pagar"),"vencida","no")</f>
        <v>no</v>
      </c>
    </row>
    <row r="1221" spans="1:23" ht="15.6" hidden="1" x14ac:dyDescent="0.3">
      <c r="A1221" s="20">
        <v>30</v>
      </c>
      <c r="B1221" s="25">
        <v>0</v>
      </c>
      <c r="C1221" s="25"/>
      <c r="D1221" s="56" t="s">
        <v>107</v>
      </c>
      <c r="E1221" s="426">
        <v>44923</v>
      </c>
      <c r="F1221" s="26" t="s">
        <v>396</v>
      </c>
      <c r="G1221" s="426">
        <v>44870</v>
      </c>
      <c r="H1221" s="35" t="s">
        <v>1270</v>
      </c>
      <c r="I1221" s="21">
        <v>1750000</v>
      </c>
      <c r="J1221" s="21"/>
      <c r="K1221" s="22">
        <v>0</v>
      </c>
      <c r="L1221" s="23"/>
      <c r="M1221" s="22">
        <v>0</v>
      </c>
      <c r="N1221" s="74">
        <v>0</v>
      </c>
      <c r="O1221" s="22">
        <v>0</v>
      </c>
      <c r="P1221" s="21">
        <v>1750000</v>
      </c>
      <c r="S1221" s="108" t="b">
        <f>OR(COUNTIF(Tabla2[[#This Row],[PROVEEDOR]],"*"&amp;'Palabra no opera'!$A$2&amp;"*"))</f>
        <v>0</v>
      </c>
      <c r="T1221" s="139">
        <f>+$W$5-Tabla2[[#This Row],[FECHA DE FACTURACIÓN]]</f>
        <v>421</v>
      </c>
      <c r="U1221" t="str">
        <f>+IF(Tabla2[[#This Row],[dias de credito]]&gt;=Tabla2[[#This Row],[PLAZO Días]],"venc", "No venc")</f>
        <v>venc</v>
      </c>
      <c r="V1221" t="str">
        <f>+IF(Tabla2[[#This Row],[FECHA DE PAGO]]&gt;0,"pagada","por pagar")</f>
        <v>pagada</v>
      </c>
      <c r="W1221" s="141" t="str">
        <f>+IF(AND(Tabla2[[#This Row],[venc]]="venc",Tabla2[[#This Row],[Columna1]]="por pagar"),"vencida","no")</f>
        <v>no</v>
      </c>
    </row>
    <row r="1222" spans="1:23" ht="15.6" hidden="1" x14ac:dyDescent="0.3">
      <c r="A1222" s="20">
        <v>30</v>
      </c>
      <c r="B1222" s="25">
        <v>1034000.52</v>
      </c>
      <c r="C1222" s="25"/>
      <c r="D1222" s="56" t="s">
        <v>177</v>
      </c>
      <c r="E1222" s="426">
        <v>44923</v>
      </c>
      <c r="F1222" s="26" t="s">
        <v>168</v>
      </c>
      <c r="G1222" s="426">
        <v>44862</v>
      </c>
      <c r="H1222" s="35" t="s">
        <v>1234</v>
      </c>
      <c r="I1222" s="21">
        <v>291596</v>
      </c>
      <c r="J1222" s="21"/>
      <c r="K1222" s="22">
        <v>55403.24</v>
      </c>
      <c r="L1222" s="23"/>
      <c r="M1222" s="22">
        <v>0</v>
      </c>
      <c r="N1222" s="74">
        <v>0</v>
      </c>
      <c r="O1222" s="22">
        <v>0</v>
      </c>
      <c r="P1222" s="21">
        <v>346999.24</v>
      </c>
      <c r="S1222" s="108" t="b">
        <f>OR(COUNTIF(Tabla2[[#This Row],[PROVEEDOR]],"*"&amp;'Palabra no opera'!$A$2&amp;"*"))</f>
        <v>0</v>
      </c>
      <c r="T1222" s="139">
        <f>+$W$5-Tabla2[[#This Row],[FECHA DE FACTURACIÓN]]</f>
        <v>429</v>
      </c>
      <c r="U1222" t="str">
        <f>+IF(Tabla2[[#This Row],[dias de credito]]&gt;=Tabla2[[#This Row],[PLAZO Días]],"venc", "No venc")</f>
        <v>venc</v>
      </c>
      <c r="V1222" t="str">
        <f>+IF(Tabla2[[#This Row],[FECHA DE PAGO]]&gt;0,"pagada","por pagar")</f>
        <v>pagada</v>
      </c>
      <c r="W1222" s="141" t="str">
        <f>+IF(AND(Tabla2[[#This Row],[venc]]="venc",Tabla2[[#This Row],[Columna1]]="por pagar"),"vencida","no")</f>
        <v>no</v>
      </c>
    </row>
    <row r="1223" spans="1:23" ht="15.6" hidden="1" x14ac:dyDescent="0.3">
      <c r="A1223" s="20">
        <v>30</v>
      </c>
      <c r="B1223" s="25">
        <v>0</v>
      </c>
      <c r="C1223" s="25"/>
      <c r="D1223" s="56" t="s">
        <v>858</v>
      </c>
      <c r="E1223" s="426">
        <v>44923</v>
      </c>
      <c r="F1223" s="26" t="s">
        <v>857</v>
      </c>
      <c r="G1223" s="426">
        <v>44839</v>
      </c>
      <c r="H1223" s="35" t="s">
        <v>1187</v>
      </c>
      <c r="I1223" s="21">
        <v>710085</v>
      </c>
      <c r="J1223" s="21"/>
      <c r="K1223" s="22">
        <v>134916.15</v>
      </c>
      <c r="L1223" s="23"/>
      <c r="M1223" s="22">
        <v>0</v>
      </c>
      <c r="N1223" s="74">
        <v>0</v>
      </c>
      <c r="O1223" s="22">
        <v>0</v>
      </c>
      <c r="P1223" s="21">
        <v>845001.15</v>
      </c>
      <c r="S1223" s="108" t="b">
        <f>OR(COUNTIF(Tabla2[[#This Row],[PROVEEDOR]],"*"&amp;'Palabra no opera'!$A$2&amp;"*"))</f>
        <v>0</v>
      </c>
      <c r="T1223" s="139">
        <f>+$W$5-Tabla2[[#This Row],[FECHA DE FACTURACIÓN]]</f>
        <v>452</v>
      </c>
      <c r="U1223" t="str">
        <f>+IF(Tabla2[[#This Row],[dias de credito]]&gt;=Tabla2[[#This Row],[PLAZO Días]],"venc", "No venc")</f>
        <v>venc</v>
      </c>
      <c r="V1223" t="str">
        <f>+IF(Tabla2[[#This Row],[FECHA DE PAGO]]&gt;0,"pagada","por pagar")</f>
        <v>pagada</v>
      </c>
      <c r="W1223" s="141" t="str">
        <f>+IF(AND(Tabla2[[#This Row],[venc]]="venc",Tabla2[[#This Row],[Columna1]]="por pagar"),"vencida","no")</f>
        <v>no</v>
      </c>
    </row>
    <row r="1224" spans="1:23" ht="15.6" hidden="1" x14ac:dyDescent="0.3">
      <c r="A1224" s="20">
        <v>30</v>
      </c>
      <c r="B1224" s="25">
        <v>0</v>
      </c>
      <c r="C1224" s="25"/>
      <c r="D1224" s="56" t="s">
        <v>107</v>
      </c>
      <c r="E1224" s="426">
        <v>44922</v>
      </c>
      <c r="F1224" s="26" t="s">
        <v>356</v>
      </c>
      <c r="G1224" s="426">
        <v>44922</v>
      </c>
      <c r="H1224" s="35" t="s">
        <v>1373</v>
      </c>
      <c r="I1224" s="21">
        <v>4042000</v>
      </c>
      <c r="J1224" s="21"/>
      <c r="K1224" s="22">
        <v>0</v>
      </c>
      <c r="L1224" s="23"/>
      <c r="M1224" s="22">
        <v>0</v>
      </c>
      <c r="N1224" s="74">
        <v>0</v>
      </c>
      <c r="O1224" s="22">
        <v>0</v>
      </c>
      <c r="P1224" s="21">
        <v>4042000</v>
      </c>
      <c r="S1224" s="108" t="b">
        <f>OR(COUNTIF(Tabla2[[#This Row],[PROVEEDOR]],"*"&amp;'Palabra no opera'!$A$2&amp;"*"))</f>
        <v>0</v>
      </c>
      <c r="T1224" s="139">
        <f>+$W$5-Tabla2[[#This Row],[FECHA DE FACTURACIÓN]]</f>
        <v>369</v>
      </c>
      <c r="U1224" t="str">
        <f>+IF(Tabla2[[#This Row],[dias de credito]]&gt;=Tabla2[[#This Row],[PLAZO Días]],"venc", "No venc")</f>
        <v>venc</v>
      </c>
      <c r="V1224" t="str">
        <f>+IF(Tabla2[[#This Row],[FECHA DE PAGO]]&gt;0,"pagada","por pagar")</f>
        <v>pagada</v>
      </c>
      <c r="W1224" s="141" t="str">
        <f>+IF(AND(Tabla2[[#This Row],[venc]]="venc",Tabla2[[#This Row],[Columna1]]="por pagar"),"vencida","no")</f>
        <v>no</v>
      </c>
    </row>
    <row r="1225" spans="1:23" ht="15.6" hidden="1" x14ac:dyDescent="0.3">
      <c r="A1225" s="20">
        <v>30</v>
      </c>
      <c r="B1225" s="25">
        <v>2950000</v>
      </c>
      <c r="C1225" s="25"/>
      <c r="D1225" s="56">
        <v>0</v>
      </c>
      <c r="E1225" s="426">
        <v>44922</v>
      </c>
      <c r="F1225" s="26" t="s">
        <v>1152</v>
      </c>
      <c r="G1225" s="426">
        <v>44909</v>
      </c>
      <c r="H1225" s="35">
        <v>7217</v>
      </c>
      <c r="I1225" s="21">
        <v>210000</v>
      </c>
      <c r="J1225" s="21"/>
      <c r="K1225" s="22">
        <v>0</v>
      </c>
      <c r="L1225" s="23"/>
      <c r="M1225" s="22">
        <v>0</v>
      </c>
      <c r="N1225" s="74">
        <v>0</v>
      </c>
      <c r="O1225" s="22">
        <v>0</v>
      </c>
      <c r="P1225" s="21">
        <v>210000</v>
      </c>
      <c r="S1225" s="108" t="b">
        <f>OR(COUNTIF(Tabla2[[#This Row],[PROVEEDOR]],"*"&amp;'Palabra no opera'!$A$2&amp;"*"))</f>
        <v>0</v>
      </c>
      <c r="T1225" s="139">
        <f>+$W$5-Tabla2[[#This Row],[FECHA DE FACTURACIÓN]]</f>
        <v>382</v>
      </c>
      <c r="U1225" t="str">
        <f>+IF(Tabla2[[#This Row],[dias de credito]]&gt;=Tabla2[[#This Row],[PLAZO Días]],"venc", "No venc")</f>
        <v>venc</v>
      </c>
      <c r="V1225" t="str">
        <f>+IF(Tabla2[[#This Row],[FECHA DE PAGO]]&gt;0,"pagada","por pagar")</f>
        <v>pagada</v>
      </c>
      <c r="W1225" s="141" t="str">
        <f>+IF(AND(Tabla2[[#This Row],[venc]]="venc",Tabla2[[#This Row],[Columna1]]="por pagar"),"vencida","no")</f>
        <v>no</v>
      </c>
    </row>
    <row r="1226" spans="1:23" ht="15.6" hidden="1" x14ac:dyDescent="0.3">
      <c r="A1226" s="20">
        <v>30</v>
      </c>
      <c r="B1226" s="25">
        <v>2950000</v>
      </c>
      <c r="C1226" s="25"/>
      <c r="D1226" s="56">
        <v>0</v>
      </c>
      <c r="E1226" s="426">
        <v>44922</v>
      </c>
      <c r="F1226" s="26" t="s">
        <v>1152</v>
      </c>
      <c r="G1226" s="426">
        <v>44900</v>
      </c>
      <c r="H1226" s="35">
        <v>6830</v>
      </c>
      <c r="I1226" s="21">
        <v>350000</v>
      </c>
      <c r="J1226" s="21"/>
      <c r="K1226" s="22">
        <v>0</v>
      </c>
      <c r="L1226" s="23"/>
      <c r="M1226" s="22">
        <v>0</v>
      </c>
      <c r="N1226" s="74">
        <v>0</v>
      </c>
      <c r="O1226" s="22">
        <v>0</v>
      </c>
      <c r="P1226" s="21">
        <v>350000</v>
      </c>
      <c r="S1226" s="108" t="b">
        <f>OR(COUNTIF(Tabla2[[#This Row],[PROVEEDOR]],"*"&amp;'Palabra no opera'!$A$2&amp;"*"))</f>
        <v>0</v>
      </c>
      <c r="T1226" s="139">
        <f>+$W$5-Tabla2[[#This Row],[FECHA DE FACTURACIÓN]]</f>
        <v>391</v>
      </c>
      <c r="U1226" t="str">
        <f>+IF(Tabla2[[#This Row],[dias de credito]]&gt;=Tabla2[[#This Row],[PLAZO Días]],"venc", "No venc")</f>
        <v>venc</v>
      </c>
      <c r="V1226" t="str">
        <f>+IF(Tabla2[[#This Row],[FECHA DE PAGO]]&gt;0,"pagada","por pagar")</f>
        <v>pagada</v>
      </c>
      <c r="W1226" s="141" t="str">
        <f>+IF(AND(Tabla2[[#This Row],[venc]]="venc",Tabla2[[#This Row],[Columna1]]="por pagar"),"vencida","no")</f>
        <v>no</v>
      </c>
    </row>
    <row r="1227" spans="1:23" ht="15.6" hidden="1" x14ac:dyDescent="0.3">
      <c r="A1227" s="20">
        <v>30</v>
      </c>
      <c r="B1227" s="25">
        <v>5480000</v>
      </c>
      <c r="C1227" s="25"/>
      <c r="D1227" s="56" t="s">
        <v>107</v>
      </c>
      <c r="E1227" s="426">
        <v>44922</v>
      </c>
      <c r="F1227" s="26" t="s">
        <v>369</v>
      </c>
      <c r="G1227" s="426">
        <v>44893</v>
      </c>
      <c r="H1227" s="35">
        <v>7444</v>
      </c>
      <c r="I1227" s="21">
        <v>3400000</v>
      </c>
      <c r="J1227" s="21"/>
      <c r="K1227" s="22">
        <v>0</v>
      </c>
      <c r="L1227" s="23"/>
      <c r="M1227" s="22">
        <v>0</v>
      </c>
      <c r="N1227" s="74">
        <v>0</v>
      </c>
      <c r="O1227" s="22">
        <v>0</v>
      </c>
      <c r="P1227" s="21">
        <v>3400000</v>
      </c>
      <c r="S1227" s="108" t="b">
        <f>OR(COUNTIF(Tabla2[[#This Row],[PROVEEDOR]],"*"&amp;'Palabra no opera'!$A$2&amp;"*"))</f>
        <v>0</v>
      </c>
      <c r="T1227" s="139">
        <f>+$W$5-Tabla2[[#This Row],[FECHA DE FACTURACIÓN]]</f>
        <v>398</v>
      </c>
      <c r="U1227" t="str">
        <f>+IF(Tabla2[[#This Row],[dias de credito]]&gt;=Tabla2[[#This Row],[PLAZO Días]],"venc", "No venc")</f>
        <v>venc</v>
      </c>
      <c r="V1227" t="str">
        <f>+IF(Tabla2[[#This Row],[FECHA DE PAGO]]&gt;0,"pagada","por pagar")</f>
        <v>pagada</v>
      </c>
      <c r="W1227" s="141" t="str">
        <f>+IF(AND(Tabla2[[#This Row],[venc]]="venc",Tabla2[[#This Row],[Columna1]]="por pagar"),"vencida","no")</f>
        <v>no</v>
      </c>
    </row>
    <row r="1228" spans="1:23" ht="15.6" hidden="1" x14ac:dyDescent="0.3">
      <c r="A1228" s="20">
        <v>30</v>
      </c>
      <c r="B1228" s="25">
        <v>2100000</v>
      </c>
      <c r="C1228" s="25"/>
      <c r="D1228" s="56" t="s">
        <v>107</v>
      </c>
      <c r="E1228" s="426">
        <v>44922</v>
      </c>
      <c r="F1228" s="26" t="s">
        <v>349</v>
      </c>
      <c r="G1228" s="426">
        <v>44891</v>
      </c>
      <c r="H1228" s="35">
        <v>2653</v>
      </c>
      <c r="I1228" s="21">
        <v>3150000</v>
      </c>
      <c r="J1228" s="21"/>
      <c r="K1228" s="22">
        <v>0</v>
      </c>
      <c r="L1228" s="23"/>
      <c r="M1228" s="22">
        <v>0</v>
      </c>
      <c r="N1228" s="74">
        <v>0</v>
      </c>
      <c r="O1228" s="22">
        <v>0</v>
      </c>
      <c r="P1228" s="21">
        <v>3150000</v>
      </c>
      <c r="S1228" s="108" t="b">
        <f>OR(COUNTIF(Tabla2[[#This Row],[PROVEEDOR]],"*"&amp;'Palabra no opera'!$A$2&amp;"*"))</f>
        <v>0</v>
      </c>
      <c r="T1228" s="139">
        <f>+$W$5-Tabla2[[#This Row],[FECHA DE FACTURACIÓN]]</f>
        <v>400</v>
      </c>
      <c r="U1228" t="str">
        <f>+IF(Tabla2[[#This Row],[dias de credito]]&gt;=Tabla2[[#This Row],[PLAZO Días]],"venc", "No venc")</f>
        <v>venc</v>
      </c>
      <c r="V1228" t="str">
        <f>+IF(Tabla2[[#This Row],[FECHA DE PAGO]]&gt;0,"pagada","por pagar")</f>
        <v>pagada</v>
      </c>
      <c r="W1228" s="141" t="str">
        <f>+IF(AND(Tabla2[[#This Row],[venc]]="venc",Tabla2[[#This Row],[Columna1]]="por pagar"),"vencida","no")</f>
        <v>no</v>
      </c>
    </row>
    <row r="1229" spans="1:23" ht="15.6" hidden="1" x14ac:dyDescent="0.3">
      <c r="A1229" s="20">
        <v>30</v>
      </c>
      <c r="B1229" s="25">
        <v>2773899.95</v>
      </c>
      <c r="C1229" s="25"/>
      <c r="D1229" s="56" t="s">
        <v>135</v>
      </c>
      <c r="E1229" s="426">
        <v>44922</v>
      </c>
      <c r="F1229" s="26" t="s">
        <v>20</v>
      </c>
      <c r="G1229" s="426">
        <v>44886</v>
      </c>
      <c r="H1229" s="35" t="s">
        <v>1286</v>
      </c>
      <c r="I1229" s="21">
        <v>-704800</v>
      </c>
      <c r="J1229" s="21"/>
      <c r="K1229" s="22">
        <v>-133912</v>
      </c>
      <c r="L1229" s="23"/>
      <c r="M1229" s="22">
        <v>0</v>
      </c>
      <c r="N1229" s="74">
        <v>0</v>
      </c>
      <c r="O1229" s="22">
        <v>0</v>
      </c>
      <c r="P1229" s="21">
        <v>-838712</v>
      </c>
      <c r="S1229" s="108" t="b">
        <f>OR(COUNTIF(Tabla2[[#This Row],[PROVEEDOR]],"*"&amp;'Palabra no opera'!$A$2&amp;"*"))</f>
        <v>0</v>
      </c>
      <c r="T1229" s="139">
        <f>+$W$5-Tabla2[[#This Row],[FECHA DE FACTURACIÓN]]</f>
        <v>405</v>
      </c>
      <c r="U1229" t="str">
        <f>+IF(Tabla2[[#This Row],[dias de credito]]&gt;=Tabla2[[#This Row],[PLAZO Días]],"venc", "No venc")</f>
        <v>venc</v>
      </c>
      <c r="V1229" t="str">
        <f>+IF(Tabla2[[#This Row],[FECHA DE PAGO]]&gt;0,"pagada","por pagar")</f>
        <v>pagada</v>
      </c>
      <c r="W1229" s="141" t="str">
        <f>+IF(AND(Tabla2[[#This Row],[venc]]="venc",Tabla2[[#This Row],[Columna1]]="por pagar"),"vencida","no")</f>
        <v>no</v>
      </c>
    </row>
    <row r="1230" spans="1:23" ht="15.6" hidden="1" x14ac:dyDescent="0.3">
      <c r="A1230" s="20">
        <v>30</v>
      </c>
      <c r="B1230" s="25">
        <v>2773899.95</v>
      </c>
      <c r="C1230" s="25"/>
      <c r="D1230" s="56" t="s">
        <v>135</v>
      </c>
      <c r="E1230" s="426">
        <v>44922</v>
      </c>
      <c r="F1230" s="26" t="s">
        <v>20</v>
      </c>
      <c r="G1230" s="426">
        <v>44883</v>
      </c>
      <c r="H1230" s="35" t="s">
        <v>1304</v>
      </c>
      <c r="I1230" s="21">
        <v>2161200</v>
      </c>
      <c r="J1230" s="21"/>
      <c r="K1230" s="22">
        <v>410628</v>
      </c>
      <c r="L1230" s="23"/>
      <c r="M1230" s="22">
        <v>0</v>
      </c>
      <c r="N1230" s="74">
        <v>2.5000000000000001E-2</v>
      </c>
      <c r="O1230" s="22">
        <v>54030</v>
      </c>
      <c r="P1230" s="21">
        <v>2517798</v>
      </c>
      <c r="S1230" s="108" t="b">
        <f>OR(COUNTIF(Tabla2[[#This Row],[PROVEEDOR]],"*"&amp;'Palabra no opera'!$A$2&amp;"*"))</f>
        <v>0</v>
      </c>
      <c r="T1230" s="139">
        <f>+$W$5-Tabla2[[#This Row],[FECHA DE FACTURACIÓN]]</f>
        <v>408</v>
      </c>
      <c r="U1230" t="str">
        <f>+IF(Tabla2[[#This Row],[dias de credito]]&gt;=Tabla2[[#This Row],[PLAZO Días]],"venc", "No venc")</f>
        <v>venc</v>
      </c>
      <c r="V1230" t="str">
        <f>+IF(Tabla2[[#This Row],[FECHA DE PAGO]]&gt;0,"pagada","por pagar")</f>
        <v>pagada</v>
      </c>
      <c r="W1230" s="141" t="str">
        <f>+IF(AND(Tabla2[[#This Row],[venc]]="venc",Tabla2[[#This Row],[Columna1]]="por pagar"),"vencida","no")</f>
        <v>no</v>
      </c>
    </row>
    <row r="1231" spans="1:23" ht="15.6" hidden="1" x14ac:dyDescent="0.3">
      <c r="A1231" s="20">
        <v>30</v>
      </c>
      <c r="B1231" s="25">
        <v>4248480.9550000001</v>
      </c>
      <c r="C1231" s="25"/>
      <c r="D1231" s="56" t="s">
        <v>107</v>
      </c>
      <c r="E1231" s="426">
        <v>44922</v>
      </c>
      <c r="F1231" s="26" t="s">
        <v>78</v>
      </c>
      <c r="G1231" s="426">
        <v>44883</v>
      </c>
      <c r="H1231" s="35" t="s">
        <v>1293</v>
      </c>
      <c r="I1231" s="21">
        <v>1105528</v>
      </c>
      <c r="J1231" s="21"/>
      <c r="K1231" s="22">
        <v>210050.32</v>
      </c>
      <c r="L1231" s="23"/>
      <c r="M1231" s="22">
        <v>0</v>
      </c>
      <c r="N1231" s="74">
        <v>2.5000000000000001E-2</v>
      </c>
      <c r="O1231" s="22">
        <v>27638.2</v>
      </c>
      <c r="P1231" s="21">
        <v>1287940.1200000001</v>
      </c>
      <c r="S1231" s="108" t="b">
        <f>OR(COUNTIF(Tabla2[[#This Row],[PROVEEDOR]],"*"&amp;'Palabra no opera'!$A$2&amp;"*"))</f>
        <v>0</v>
      </c>
      <c r="T1231" s="139">
        <f>+$W$5-Tabla2[[#This Row],[FECHA DE FACTURACIÓN]]</f>
        <v>408</v>
      </c>
      <c r="U1231" t="str">
        <f>+IF(Tabla2[[#This Row],[dias de credito]]&gt;=Tabla2[[#This Row],[PLAZO Días]],"venc", "No venc")</f>
        <v>venc</v>
      </c>
      <c r="V1231" t="str">
        <f>+IF(Tabla2[[#This Row],[FECHA DE PAGO]]&gt;0,"pagada","por pagar")</f>
        <v>pagada</v>
      </c>
      <c r="W1231" s="141" t="str">
        <f>+IF(AND(Tabla2[[#This Row],[venc]]="venc",Tabla2[[#This Row],[Columna1]]="por pagar"),"vencida","no")</f>
        <v>no</v>
      </c>
    </row>
    <row r="1232" spans="1:23" ht="15.6" hidden="1" x14ac:dyDescent="0.3">
      <c r="A1232" s="20">
        <v>30</v>
      </c>
      <c r="B1232" s="25">
        <v>2773899.95</v>
      </c>
      <c r="C1232" s="25"/>
      <c r="D1232" s="56" t="s">
        <v>135</v>
      </c>
      <c r="E1232" s="426">
        <v>44922</v>
      </c>
      <c r="F1232" s="26" t="s">
        <v>20</v>
      </c>
      <c r="G1232" s="426">
        <v>44881</v>
      </c>
      <c r="H1232" s="35" t="s">
        <v>1291</v>
      </c>
      <c r="I1232" s="21">
        <v>4642276</v>
      </c>
      <c r="J1232" s="21"/>
      <c r="K1232" s="22">
        <v>882032.44000000006</v>
      </c>
      <c r="L1232" s="23"/>
      <c r="M1232" s="22">
        <v>0</v>
      </c>
      <c r="N1232" s="74">
        <v>2.5000000000000001E-2</v>
      </c>
      <c r="O1232" s="22">
        <v>116056.90000000001</v>
      </c>
      <c r="P1232" s="21">
        <v>5408251.54</v>
      </c>
      <c r="S1232" s="108" t="b">
        <f>OR(COUNTIF(Tabla2[[#This Row],[PROVEEDOR]],"*"&amp;'Palabra no opera'!$A$2&amp;"*"))</f>
        <v>0</v>
      </c>
      <c r="T1232" s="139">
        <f>+$W$5-Tabla2[[#This Row],[FECHA DE FACTURACIÓN]]</f>
        <v>410</v>
      </c>
      <c r="U1232" t="str">
        <f>+IF(Tabla2[[#This Row],[dias de credito]]&gt;=Tabla2[[#This Row],[PLAZO Días]],"venc", "No venc")</f>
        <v>venc</v>
      </c>
      <c r="V1232" t="str">
        <f>+IF(Tabla2[[#This Row],[FECHA DE PAGO]]&gt;0,"pagada","por pagar")</f>
        <v>pagada</v>
      </c>
      <c r="W1232" s="141" t="str">
        <f>+IF(AND(Tabla2[[#This Row],[venc]]="venc",Tabla2[[#This Row],[Columna1]]="por pagar"),"vencida","no")</f>
        <v>no</v>
      </c>
    </row>
    <row r="1233" spans="1:23" ht="15.6" hidden="1" x14ac:dyDescent="0.3">
      <c r="A1233" s="20">
        <v>30</v>
      </c>
      <c r="B1233" s="25">
        <v>4248480.9550000001</v>
      </c>
      <c r="C1233" s="25"/>
      <c r="D1233" s="56" t="s">
        <v>107</v>
      </c>
      <c r="E1233" s="426">
        <v>44922</v>
      </c>
      <c r="F1233" s="26" t="s">
        <v>78</v>
      </c>
      <c r="G1233" s="426">
        <v>44880</v>
      </c>
      <c r="H1233" s="35" t="s">
        <v>1292</v>
      </c>
      <c r="I1233" s="21">
        <v>168066</v>
      </c>
      <c r="J1233" s="21"/>
      <c r="K1233" s="22">
        <v>31932.54</v>
      </c>
      <c r="L1233" s="23"/>
      <c r="M1233" s="22">
        <v>0</v>
      </c>
      <c r="N1233" s="74">
        <v>0</v>
      </c>
      <c r="O1233" s="22">
        <v>0</v>
      </c>
      <c r="P1233" s="21">
        <v>199998.54</v>
      </c>
      <c r="S1233" s="108" t="b">
        <f>OR(COUNTIF(Tabla2[[#This Row],[PROVEEDOR]],"*"&amp;'Palabra no opera'!$A$2&amp;"*"))</f>
        <v>0</v>
      </c>
      <c r="T1233" s="139">
        <f>+$W$5-Tabla2[[#This Row],[FECHA DE FACTURACIÓN]]</f>
        <v>411</v>
      </c>
      <c r="U1233" t="str">
        <f>+IF(Tabla2[[#This Row],[dias de credito]]&gt;=Tabla2[[#This Row],[PLAZO Días]],"venc", "No venc")</f>
        <v>venc</v>
      </c>
      <c r="V1233" t="str">
        <f>+IF(Tabla2[[#This Row],[FECHA DE PAGO]]&gt;0,"pagada","por pagar")</f>
        <v>pagada</v>
      </c>
      <c r="W1233" s="141" t="str">
        <f>+IF(AND(Tabla2[[#This Row],[venc]]="venc",Tabla2[[#This Row],[Columna1]]="por pagar"),"vencida","no")</f>
        <v>no</v>
      </c>
    </row>
    <row r="1234" spans="1:23" ht="15.6" hidden="1" x14ac:dyDescent="0.3">
      <c r="A1234" s="20">
        <v>30</v>
      </c>
      <c r="B1234" s="25">
        <v>0</v>
      </c>
      <c r="C1234" s="25"/>
      <c r="D1234" s="56" t="s">
        <v>190</v>
      </c>
      <c r="E1234" s="426">
        <v>44922</v>
      </c>
      <c r="F1234" s="26" t="s">
        <v>964</v>
      </c>
      <c r="G1234" s="426">
        <v>44877</v>
      </c>
      <c r="H1234" s="35" t="s">
        <v>1305</v>
      </c>
      <c r="I1234" s="21">
        <v>4216000</v>
      </c>
      <c r="J1234" s="21"/>
      <c r="K1234" s="22">
        <v>801040</v>
      </c>
      <c r="L1234" s="23"/>
      <c r="M1234" s="22">
        <v>0</v>
      </c>
      <c r="N1234" s="74">
        <v>0</v>
      </c>
      <c r="O1234" s="22">
        <v>0</v>
      </c>
      <c r="P1234" s="21">
        <v>5017040</v>
      </c>
      <c r="S1234" s="108" t="b">
        <f>OR(COUNTIF(Tabla2[[#This Row],[PROVEEDOR]],"*"&amp;'Palabra no opera'!$A$2&amp;"*"))</f>
        <v>0</v>
      </c>
      <c r="T1234" s="139">
        <f>+$W$5-Tabla2[[#This Row],[FECHA DE FACTURACIÓN]]</f>
        <v>414</v>
      </c>
      <c r="U1234" t="str">
        <f>+IF(Tabla2[[#This Row],[dias de credito]]&gt;=Tabla2[[#This Row],[PLAZO Días]],"venc", "No venc")</f>
        <v>venc</v>
      </c>
      <c r="V1234" t="str">
        <f>+IF(Tabla2[[#This Row],[FECHA DE PAGO]]&gt;0,"pagada","por pagar")</f>
        <v>pagada</v>
      </c>
      <c r="W1234" s="141" t="str">
        <f>+IF(AND(Tabla2[[#This Row],[venc]]="venc",Tabla2[[#This Row],[Columna1]]="por pagar"),"vencida","no")</f>
        <v>no</v>
      </c>
    </row>
    <row r="1235" spans="1:23" ht="15.6" hidden="1" x14ac:dyDescent="0.3">
      <c r="A1235" s="20">
        <v>30</v>
      </c>
      <c r="B1235" s="25">
        <v>12030261.305</v>
      </c>
      <c r="C1235" s="25"/>
      <c r="D1235" s="56" t="s">
        <v>179</v>
      </c>
      <c r="E1235" s="426">
        <v>44922</v>
      </c>
      <c r="F1235" s="26" t="s">
        <v>12</v>
      </c>
      <c r="G1235" s="426">
        <v>44810</v>
      </c>
      <c r="H1235" s="35" t="s">
        <v>1185</v>
      </c>
      <c r="I1235" s="21">
        <v>3283196</v>
      </c>
      <c r="J1235" s="21"/>
      <c r="K1235" s="22">
        <v>623807.24</v>
      </c>
      <c r="L1235" s="23"/>
      <c r="M1235" s="22">
        <v>0</v>
      </c>
      <c r="N1235" s="74">
        <v>2.5000000000000001E-2</v>
      </c>
      <c r="O1235" s="22">
        <v>82079.900000000009</v>
      </c>
      <c r="P1235" s="21">
        <v>3824923.3400000003</v>
      </c>
      <c r="S1235" s="108" t="b">
        <f>OR(COUNTIF(Tabla2[[#This Row],[PROVEEDOR]],"*"&amp;'Palabra no opera'!$A$2&amp;"*"))</f>
        <v>0</v>
      </c>
      <c r="T1235" s="139">
        <f>+$W$5-Tabla2[[#This Row],[FECHA DE FACTURACIÓN]]</f>
        <v>481</v>
      </c>
      <c r="U1235" t="str">
        <f>+IF(Tabla2[[#This Row],[dias de credito]]&gt;=Tabla2[[#This Row],[PLAZO Días]],"venc", "No venc")</f>
        <v>venc</v>
      </c>
      <c r="V1235" t="str">
        <f>+IF(Tabla2[[#This Row],[FECHA DE PAGO]]&gt;0,"pagada","por pagar")</f>
        <v>pagada</v>
      </c>
      <c r="W1235" s="141" t="str">
        <f>+IF(AND(Tabla2[[#This Row],[venc]]="venc",Tabla2[[#This Row],[Columna1]]="por pagar"),"vencida","no")</f>
        <v>no</v>
      </c>
    </row>
    <row r="1236" spans="1:23" ht="15.6" hidden="1" x14ac:dyDescent="0.3">
      <c r="A1236" s="20">
        <v>30</v>
      </c>
      <c r="B1236" s="25">
        <v>0</v>
      </c>
      <c r="C1236" s="25"/>
      <c r="D1236" s="56" t="s">
        <v>107</v>
      </c>
      <c r="E1236" s="426">
        <v>44921</v>
      </c>
      <c r="F1236" s="26" t="s">
        <v>356</v>
      </c>
      <c r="G1236" s="426">
        <v>44919</v>
      </c>
      <c r="H1236" s="35">
        <v>79015</v>
      </c>
      <c r="I1236" s="21">
        <v>1730000</v>
      </c>
      <c r="J1236" s="21"/>
      <c r="K1236" s="22">
        <v>0</v>
      </c>
      <c r="L1236" s="23"/>
      <c r="M1236" s="22">
        <v>0</v>
      </c>
      <c r="N1236" s="74">
        <v>0</v>
      </c>
      <c r="O1236" s="22">
        <v>0</v>
      </c>
      <c r="P1236" s="21">
        <v>1730000</v>
      </c>
      <c r="S1236" s="108" t="b">
        <f>OR(COUNTIF(Tabla2[[#This Row],[PROVEEDOR]],"*"&amp;'Palabra no opera'!$A$2&amp;"*"))</f>
        <v>0</v>
      </c>
      <c r="T1236" s="139">
        <f>+$W$5-Tabla2[[#This Row],[FECHA DE FACTURACIÓN]]</f>
        <v>372</v>
      </c>
      <c r="U1236" t="str">
        <f>+IF(Tabla2[[#This Row],[dias de credito]]&gt;=Tabla2[[#This Row],[PLAZO Días]],"venc", "No venc")</f>
        <v>venc</v>
      </c>
      <c r="V1236" t="str">
        <f>+IF(Tabla2[[#This Row],[FECHA DE PAGO]]&gt;0,"pagada","por pagar")</f>
        <v>pagada</v>
      </c>
      <c r="W1236" s="141" t="str">
        <f>+IF(AND(Tabla2[[#This Row],[venc]]="venc",Tabla2[[#This Row],[Columna1]]="por pagar"),"vencida","no")</f>
        <v>no</v>
      </c>
    </row>
    <row r="1237" spans="1:23" ht="15.6" hidden="1" x14ac:dyDescent="0.3">
      <c r="A1237" s="20">
        <v>30</v>
      </c>
      <c r="B1237" s="25">
        <v>0</v>
      </c>
      <c r="C1237" s="25"/>
      <c r="D1237" s="56" t="s">
        <v>107</v>
      </c>
      <c r="E1237" s="426">
        <v>44921</v>
      </c>
      <c r="F1237" s="26" t="s">
        <v>356</v>
      </c>
      <c r="G1237" s="426">
        <v>44918</v>
      </c>
      <c r="H1237" s="35" t="s">
        <v>1366</v>
      </c>
      <c r="I1237" s="21">
        <v>5592000</v>
      </c>
      <c r="J1237" s="21"/>
      <c r="K1237" s="22">
        <v>0</v>
      </c>
      <c r="L1237" s="23"/>
      <c r="M1237" s="22">
        <v>0</v>
      </c>
      <c r="N1237" s="74">
        <v>0</v>
      </c>
      <c r="O1237" s="22">
        <v>0</v>
      </c>
      <c r="P1237" s="21">
        <v>5592000</v>
      </c>
      <c r="S1237" s="108" t="b">
        <f>OR(COUNTIF(Tabla2[[#This Row],[PROVEEDOR]],"*"&amp;'Palabra no opera'!$A$2&amp;"*"))</f>
        <v>0</v>
      </c>
      <c r="T1237" s="139">
        <f>+$W$5-Tabla2[[#This Row],[FECHA DE FACTURACIÓN]]</f>
        <v>373</v>
      </c>
      <c r="U1237" t="str">
        <f>+IF(Tabla2[[#This Row],[dias de credito]]&gt;=Tabla2[[#This Row],[PLAZO Días]],"venc", "No venc")</f>
        <v>venc</v>
      </c>
      <c r="V1237" t="str">
        <f>+IF(Tabla2[[#This Row],[FECHA DE PAGO]]&gt;0,"pagada","por pagar")</f>
        <v>pagada</v>
      </c>
      <c r="W1237" s="141" t="str">
        <f>+IF(AND(Tabla2[[#This Row],[venc]]="venc",Tabla2[[#This Row],[Columna1]]="por pagar"),"vencida","no")</f>
        <v>no</v>
      </c>
    </row>
    <row r="1238" spans="1:23" ht="15.6" hidden="1" x14ac:dyDescent="0.3">
      <c r="A1238" s="20">
        <v>30</v>
      </c>
      <c r="B1238" s="25">
        <v>0</v>
      </c>
      <c r="C1238" s="25"/>
      <c r="D1238" s="56" t="s">
        <v>186</v>
      </c>
      <c r="E1238" s="426">
        <v>44921</v>
      </c>
      <c r="F1238" s="26" t="s">
        <v>76</v>
      </c>
      <c r="G1238" s="426">
        <v>44918</v>
      </c>
      <c r="H1238" s="35">
        <v>99</v>
      </c>
      <c r="I1238" s="21">
        <v>-1259500</v>
      </c>
      <c r="J1238" s="21"/>
      <c r="K1238" s="22">
        <v>0</v>
      </c>
      <c r="L1238" s="23"/>
      <c r="M1238" s="22">
        <v>0</v>
      </c>
      <c r="N1238" s="74">
        <v>0</v>
      </c>
      <c r="O1238" s="22">
        <v>0</v>
      </c>
      <c r="P1238" s="21">
        <v>-1259500</v>
      </c>
      <c r="S1238" s="108" t="b">
        <f>OR(COUNTIF(Tabla2[[#This Row],[PROVEEDOR]],"*"&amp;'Palabra no opera'!$A$2&amp;"*"))</f>
        <v>0</v>
      </c>
      <c r="T1238" s="139">
        <f>+$W$5-Tabla2[[#This Row],[FECHA DE FACTURACIÓN]]</f>
        <v>373</v>
      </c>
      <c r="U1238" t="str">
        <f>+IF(Tabla2[[#This Row],[dias de credito]]&gt;=Tabla2[[#This Row],[PLAZO Días]],"venc", "No venc")</f>
        <v>venc</v>
      </c>
      <c r="V1238" t="str">
        <f>+IF(Tabla2[[#This Row],[FECHA DE PAGO]]&gt;0,"pagada","por pagar")</f>
        <v>pagada</v>
      </c>
      <c r="W1238" s="141" t="str">
        <f>+IF(AND(Tabla2[[#This Row],[venc]]="venc",Tabla2[[#This Row],[Columna1]]="por pagar"),"vencida","no")</f>
        <v>no</v>
      </c>
    </row>
    <row r="1239" spans="1:23" ht="15.6" hidden="1" x14ac:dyDescent="0.3">
      <c r="A1239" s="20">
        <v>30</v>
      </c>
      <c r="B1239" s="25">
        <v>0</v>
      </c>
      <c r="C1239" s="25"/>
      <c r="D1239" s="56" t="s">
        <v>107</v>
      </c>
      <c r="E1239" s="426">
        <v>44921</v>
      </c>
      <c r="F1239" s="26" t="s">
        <v>356</v>
      </c>
      <c r="G1239" s="426">
        <v>44907</v>
      </c>
      <c r="H1239" s="35" t="s">
        <v>1369</v>
      </c>
      <c r="I1239" s="21">
        <v>2055000</v>
      </c>
      <c r="J1239" s="21"/>
      <c r="K1239" s="22">
        <v>0</v>
      </c>
      <c r="L1239" s="23"/>
      <c r="M1239" s="22">
        <v>0</v>
      </c>
      <c r="N1239" s="74">
        <v>0</v>
      </c>
      <c r="O1239" s="22">
        <v>0</v>
      </c>
      <c r="P1239" s="21">
        <v>2055000</v>
      </c>
      <c r="S1239" s="108" t="b">
        <f>OR(COUNTIF(Tabla2[[#This Row],[PROVEEDOR]],"*"&amp;'Palabra no opera'!$A$2&amp;"*"))</f>
        <v>0</v>
      </c>
      <c r="T1239" s="139">
        <f>+$W$5-Tabla2[[#This Row],[FECHA DE FACTURACIÓN]]</f>
        <v>384</v>
      </c>
      <c r="U1239" t="str">
        <f>+IF(Tabla2[[#This Row],[dias de credito]]&gt;=Tabla2[[#This Row],[PLAZO Días]],"venc", "No venc")</f>
        <v>venc</v>
      </c>
      <c r="V1239" t="str">
        <f>+IF(Tabla2[[#This Row],[FECHA DE PAGO]]&gt;0,"pagada","por pagar")</f>
        <v>pagada</v>
      </c>
      <c r="W1239" s="141" t="str">
        <f>+IF(AND(Tabla2[[#This Row],[venc]]="venc",Tabla2[[#This Row],[Columna1]]="por pagar"),"vencida","no")</f>
        <v>no</v>
      </c>
    </row>
    <row r="1240" spans="1:23" ht="15.6" hidden="1" x14ac:dyDescent="0.3">
      <c r="A1240" s="20">
        <v>30</v>
      </c>
      <c r="B1240" s="25">
        <v>2950000</v>
      </c>
      <c r="C1240" s="25"/>
      <c r="D1240" s="56">
        <v>0</v>
      </c>
      <c r="E1240" s="426">
        <v>44921</v>
      </c>
      <c r="F1240" s="26" t="s">
        <v>1152</v>
      </c>
      <c r="G1240" s="426">
        <v>44904</v>
      </c>
      <c r="H1240" s="35">
        <v>6939</v>
      </c>
      <c r="I1240" s="21">
        <v>1157000</v>
      </c>
      <c r="J1240" s="21"/>
      <c r="K1240" s="22">
        <v>0</v>
      </c>
      <c r="L1240" s="23"/>
      <c r="M1240" s="22">
        <v>0</v>
      </c>
      <c r="N1240" s="74">
        <v>0</v>
      </c>
      <c r="O1240" s="22">
        <v>0</v>
      </c>
      <c r="P1240" s="21">
        <v>1157000</v>
      </c>
      <c r="S1240" s="108" t="b">
        <f>OR(COUNTIF(Tabla2[[#This Row],[PROVEEDOR]],"*"&amp;'Palabra no opera'!$A$2&amp;"*"))</f>
        <v>0</v>
      </c>
      <c r="T1240" s="139">
        <f>+$W$5-Tabla2[[#This Row],[FECHA DE FACTURACIÓN]]</f>
        <v>387</v>
      </c>
      <c r="U1240" t="str">
        <f>+IF(Tabla2[[#This Row],[dias de credito]]&gt;=Tabla2[[#This Row],[PLAZO Días]],"venc", "No venc")</f>
        <v>venc</v>
      </c>
      <c r="V1240" t="str">
        <f>+IF(Tabla2[[#This Row],[FECHA DE PAGO]]&gt;0,"pagada","por pagar")</f>
        <v>pagada</v>
      </c>
      <c r="W1240" s="141" t="str">
        <f>+IF(AND(Tabla2[[#This Row],[venc]]="venc",Tabla2[[#This Row],[Columna1]]="por pagar"),"vencida","no")</f>
        <v>no</v>
      </c>
    </row>
    <row r="1241" spans="1:23" ht="15.6" hidden="1" x14ac:dyDescent="0.3">
      <c r="A1241" s="20">
        <v>30</v>
      </c>
      <c r="B1241" s="25">
        <v>0</v>
      </c>
      <c r="C1241" s="25"/>
      <c r="D1241" s="56" t="s">
        <v>186</v>
      </c>
      <c r="E1241" s="426">
        <v>44921</v>
      </c>
      <c r="F1241" s="26" t="s">
        <v>76</v>
      </c>
      <c r="G1241" s="426">
        <v>44809</v>
      </c>
      <c r="H1241" s="35" t="s">
        <v>1190</v>
      </c>
      <c r="I1241" s="21">
        <v>7849577</v>
      </c>
      <c r="J1241" s="21"/>
      <c r="K1241" s="22">
        <v>1491419.6300000001</v>
      </c>
      <c r="L1241" s="23"/>
      <c r="M1241" s="22">
        <v>0</v>
      </c>
      <c r="N1241" s="74">
        <v>2.5000000000000001E-2</v>
      </c>
      <c r="O1241" s="22">
        <v>196239.42500000002</v>
      </c>
      <c r="P1241" s="21">
        <v>9144757.2050000001</v>
      </c>
      <c r="S1241" s="108" t="b">
        <f>OR(COUNTIF(Tabla2[[#This Row],[PROVEEDOR]],"*"&amp;'Palabra no opera'!$A$2&amp;"*"))</f>
        <v>0</v>
      </c>
      <c r="T1241" s="139">
        <f>+$W$5-Tabla2[[#This Row],[FECHA DE FACTURACIÓN]]</f>
        <v>482</v>
      </c>
      <c r="U1241" t="str">
        <f>+IF(Tabla2[[#This Row],[dias de credito]]&gt;=Tabla2[[#This Row],[PLAZO Días]],"venc", "No venc")</f>
        <v>venc</v>
      </c>
      <c r="V1241" t="str">
        <f>+IF(Tabla2[[#This Row],[FECHA DE PAGO]]&gt;0,"pagada","por pagar")</f>
        <v>pagada</v>
      </c>
      <c r="W1241" s="141" t="str">
        <f>+IF(AND(Tabla2[[#This Row],[venc]]="venc",Tabla2[[#This Row],[Columna1]]="por pagar"),"vencida","no")</f>
        <v>no</v>
      </c>
    </row>
    <row r="1242" spans="1:23" ht="15.6" hidden="1" x14ac:dyDescent="0.3">
      <c r="A1242" s="20">
        <v>30</v>
      </c>
      <c r="B1242" s="25">
        <v>0</v>
      </c>
      <c r="C1242" s="25"/>
      <c r="D1242" s="56" t="s">
        <v>186</v>
      </c>
      <c r="E1242" s="426">
        <v>44921</v>
      </c>
      <c r="F1242" s="26" t="s">
        <v>76</v>
      </c>
      <c r="G1242" s="426">
        <v>44809</v>
      </c>
      <c r="H1242" s="35" t="s">
        <v>1193</v>
      </c>
      <c r="I1242" s="21">
        <v>12912594</v>
      </c>
      <c r="J1242" s="21"/>
      <c r="K1242" s="22">
        <v>2453392.86</v>
      </c>
      <c r="L1242" s="23"/>
      <c r="M1242" s="22">
        <v>0</v>
      </c>
      <c r="N1242" s="74">
        <v>2.5000000000000001E-2</v>
      </c>
      <c r="O1242" s="22">
        <v>322814.85000000003</v>
      </c>
      <c r="P1242" s="21">
        <v>15043172.01</v>
      </c>
      <c r="S1242" s="108" t="b">
        <f>OR(COUNTIF(Tabla2[[#This Row],[PROVEEDOR]],"*"&amp;'Palabra no opera'!$A$2&amp;"*"))</f>
        <v>0</v>
      </c>
      <c r="T1242" s="139">
        <f>+$W$5-Tabla2[[#This Row],[FECHA DE FACTURACIÓN]]</f>
        <v>482</v>
      </c>
      <c r="U1242" t="str">
        <f>+IF(Tabla2[[#This Row],[dias de credito]]&gt;=Tabla2[[#This Row],[PLAZO Días]],"venc", "No venc")</f>
        <v>venc</v>
      </c>
      <c r="V1242" t="str">
        <f>+IF(Tabla2[[#This Row],[FECHA DE PAGO]]&gt;0,"pagada","por pagar")</f>
        <v>pagada</v>
      </c>
      <c r="W1242" s="141" t="str">
        <f>+IF(AND(Tabla2[[#This Row],[venc]]="venc",Tabla2[[#This Row],[Columna1]]="por pagar"),"vencida","no")</f>
        <v>no</v>
      </c>
    </row>
    <row r="1243" spans="1:23" ht="15.6" hidden="1" x14ac:dyDescent="0.3">
      <c r="A1243" s="20">
        <v>30</v>
      </c>
      <c r="B1243" s="25">
        <v>0</v>
      </c>
      <c r="C1243" s="25"/>
      <c r="D1243" s="56" t="s">
        <v>258</v>
      </c>
      <c r="E1243" s="426">
        <v>44918</v>
      </c>
      <c r="F1243" s="26" t="s">
        <v>394</v>
      </c>
      <c r="G1243" s="426">
        <v>44896</v>
      </c>
      <c r="H1243" s="35">
        <v>1801</v>
      </c>
      <c r="I1243" s="21">
        <v>1820000</v>
      </c>
      <c r="J1243" s="21"/>
      <c r="K1243" s="22">
        <v>0</v>
      </c>
      <c r="L1243" s="23"/>
      <c r="M1243" s="22">
        <v>0</v>
      </c>
      <c r="N1243" s="74">
        <v>0</v>
      </c>
      <c r="O1243" s="22">
        <v>0</v>
      </c>
      <c r="P1243" s="21">
        <v>1820000</v>
      </c>
      <c r="S1243" s="108" t="b">
        <f>OR(COUNTIF(Tabla2[[#This Row],[PROVEEDOR]],"*"&amp;'Palabra no opera'!$A$2&amp;"*"))</f>
        <v>0</v>
      </c>
      <c r="T1243" s="139">
        <f>+$W$5-Tabla2[[#This Row],[FECHA DE FACTURACIÓN]]</f>
        <v>395</v>
      </c>
      <c r="U1243" t="str">
        <f>+IF(Tabla2[[#This Row],[dias de credito]]&gt;=Tabla2[[#This Row],[PLAZO Días]],"venc", "No venc")</f>
        <v>venc</v>
      </c>
      <c r="V1243" t="str">
        <f>+IF(Tabla2[[#This Row],[FECHA DE PAGO]]&gt;0,"pagada","por pagar")</f>
        <v>pagada</v>
      </c>
      <c r="W1243" s="141" t="str">
        <f>+IF(AND(Tabla2[[#This Row],[venc]]="venc",Tabla2[[#This Row],[Columna1]]="por pagar"),"vencida","no")</f>
        <v>no</v>
      </c>
    </row>
    <row r="1244" spans="1:23" ht="15.6" hidden="1" x14ac:dyDescent="0.3">
      <c r="A1244" s="20">
        <v>30</v>
      </c>
      <c r="B1244" s="25">
        <v>0</v>
      </c>
      <c r="C1244" s="25"/>
      <c r="D1244" s="56" t="s">
        <v>260</v>
      </c>
      <c r="E1244" s="426">
        <v>44916</v>
      </c>
      <c r="F1244" s="26" t="s">
        <v>635</v>
      </c>
      <c r="G1244" s="426">
        <v>44913</v>
      </c>
      <c r="H1244" s="35">
        <v>5315</v>
      </c>
      <c r="I1244" s="21">
        <v>3002200</v>
      </c>
      <c r="J1244" s="21"/>
      <c r="K1244" s="22">
        <v>0</v>
      </c>
      <c r="L1244" s="23"/>
      <c r="M1244" s="22">
        <v>0</v>
      </c>
      <c r="N1244" s="74">
        <v>3.5000000000000003E-2</v>
      </c>
      <c r="O1244" s="22">
        <v>105077.00000000001</v>
      </c>
      <c r="P1244" s="21">
        <v>2897123</v>
      </c>
      <c r="S1244" s="108" t="b">
        <f>OR(COUNTIF(Tabla2[[#This Row],[PROVEEDOR]],"*"&amp;'Palabra no opera'!$A$2&amp;"*"))</f>
        <v>1</v>
      </c>
      <c r="T1244" s="139">
        <f>+$W$5-Tabla2[[#This Row],[FECHA DE FACTURACIÓN]]</f>
        <v>378</v>
      </c>
      <c r="U1244" t="str">
        <f>+IF(Tabla2[[#This Row],[dias de credito]]&gt;=Tabla2[[#This Row],[PLAZO Días]],"venc", "No venc")</f>
        <v>venc</v>
      </c>
      <c r="V1244" t="str">
        <f>+IF(Tabla2[[#This Row],[FECHA DE PAGO]]&gt;0,"pagada","por pagar")</f>
        <v>pagada</v>
      </c>
      <c r="W1244" s="141" t="str">
        <f>+IF(AND(Tabla2[[#This Row],[venc]]="venc",Tabla2[[#This Row],[Columna1]]="por pagar"),"vencida","no")</f>
        <v>no</v>
      </c>
    </row>
    <row r="1245" spans="1:23" ht="15.6" hidden="1" x14ac:dyDescent="0.3">
      <c r="A1245" s="20">
        <v>30</v>
      </c>
      <c r="B1245" s="25">
        <v>0</v>
      </c>
      <c r="C1245" s="25"/>
      <c r="D1245" s="56" t="s">
        <v>260</v>
      </c>
      <c r="E1245" s="426">
        <v>44916</v>
      </c>
      <c r="F1245" s="26" t="s">
        <v>635</v>
      </c>
      <c r="G1245" s="426">
        <v>44893</v>
      </c>
      <c r="H1245" s="35" t="s">
        <v>1282</v>
      </c>
      <c r="I1245" s="21">
        <v>-105077</v>
      </c>
      <c r="J1245" s="21"/>
      <c r="K1245" s="22">
        <v>0</v>
      </c>
      <c r="L1245" s="23"/>
      <c r="M1245" s="22">
        <v>0</v>
      </c>
      <c r="N1245" s="74">
        <v>0</v>
      </c>
      <c r="O1245" s="22">
        <v>0</v>
      </c>
      <c r="P1245" s="21">
        <v>-105077</v>
      </c>
      <c r="S1245" s="108" t="b">
        <f>OR(COUNTIF(Tabla2[[#This Row],[PROVEEDOR]],"*"&amp;'Palabra no opera'!$A$2&amp;"*"))</f>
        <v>1</v>
      </c>
      <c r="T1245" s="139">
        <f>+$W$5-Tabla2[[#This Row],[FECHA DE FACTURACIÓN]]</f>
        <v>398</v>
      </c>
      <c r="U1245" t="str">
        <f>+IF(Tabla2[[#This Row],[dias de credito]]&gt;=Tabla2[[#This Row],[PLAZO Días]],"venc", "No venc")</f>
        <v>venc</v>
      </c>
      <c r="V1245" t="str">
        <f>+IF(Tabla2[[#This Row],[FECHA DE PAGO]]&gt;0,"pagada","por pagar")</f>
        <v>pagada</v>
      </c>
      <c r="W1245" s="141" t="str">
        <f>+IF(AND(Tabla2[[#This Row],[venc]]="venc",Tabla2[[#This Row],[Columna1]]="por pagar"),"vencida","no")</f>
        <v>no</v>
      </c>
    </row>
    <row r="1246" spans="1:23" ht="15.6" hidden="1" x14ac:dyDescent="0.3">
      <c r="A1246" s="20">
        <v>30</v>
      </c>
      <c r="B1246" s="25">
        <v>18444236.894999996</v>
      </c>
      <c r="C1246" s="25"/>
      <c r="D1246" s="56" t="s">
        <v>731</v>
      </c>
      <c r="E1246" s="426">
        <v>44916</v>
      </c>
      <c r="F1246" s="26" t="s">
        <v>11</v>
      </c>
      <c r="G1246" s="426">
        <v>44887</v>
      </c>
      <c r="H1246" s="35" t="s">
        <v>1311</v>
      </c>
      <c r="I1246" s="21">
        <v>2803032</v>
      </c>
      <c r="J1246" s="21"/>
      <c r="K1246" s="22">
        <v>532576.07999999996</v>
      </c>
      <c r="L1246" s="23"/>
      <c r="M1246" s="22">
        <v>0</v>
      </c>
      <c r="N1246" s="74">
        <v>2.5000000000000001E-2</v>
      </c>
      <c r="O1246" s="22">
        <v>70075.8</v>
      </c>
      <c r="P1246" s="21">
        <v>3265532.2800000003</v>
      </c>
      <c r="S1246" s="108" t="b">
        <f>OR(COUNTIF(Tabla2[[#This Row],[PROVEEDOR]],"*"&amp;'Palabra no opera'!$A$2&amp;"*"))</f>
        <v>0</v>
      </c>
      <c r="T1246" s="139">
        <f>+$W$5-Tabla2[[#This Row],[FECHA DE FACTURACIÓN]]</f>
        <v>404</v>
      </c>
      <c r="U1246" t="str">
        <f>+IF(Tabla2[[#This Row],[dias de credito]]&gt;=Tabla2[[#This Row],[PLAZO Días]],"venc", "No venc")</f>
        <v>venc</v>
      </c>
      <c r="V1246" t="str">
        <f>+IF(Tabla2[[#This Row],[FECHA DE PAGO]]&gt;0,"pagada","por pagar")</f>
        <v>pagada</v>
      </c>
      <c r="W1246" s="141" t="str">
        <f>+IF(AND(Tabla2[[#This Row],[venc]]="venc",Tabla2[[#This Row],[Columna1]]="por pagar"),"vencida","no")</f>
        <v>no</v>
      </c>
    </row>
    <row r="1247" spans="1:23" ht="15.6" hidden="1" x14ac:dyDescent="0.3">
      <c r="A1247" s="20">
        <v>30</v>
      </c>
      <c r="B1247" s="25">
        <v>18444236.894999996</v>
      </c>
      <c r="C1247" s="25"/>
      <c r="D1247" s="56" t="s">
        <v>731</v>
      </c>
      <c r="E1247" s="426">
        <v>44916</v>
      </c>
      <c r="F1247" s="26" t="s">
        <v>11</v>
      </c>
      <c r="G1247" s="426">
        <v>44883</v>
      </c>
      <c r="H1247" s="35" t="s">
        <v>1310</v>
      </c>
      <c r="I1247" s="21">
        <v>1401504</v>
      </c>
      <c r="J1247" s="21"/>
      <c r="K1247" s="22">
        <v>266285.76</v>
      </c>
      <c r="L1247" s="23"/>
      <c r="M1247" s="22">
        <v>0</v>
      </c>
      <c r="N1247" s="74">
        <v>2.5000000000000001E-2</v>
      </c>
      <c r="O1247" s="22">
        <v>35037.599999999999</v>
      </c>
      <c r="P1247" s="21">
        <v>1632752.16</v>
      </c>
      <c r="S1247" s="108" t="b">
        <f>OR(COUNTIF(Tabla2[[#This Row],[PROVEEDOR]],"*"&amp;'Palabra no opera'!$A$2&amp;"*"))</f>
        <v>0</v>
      </c>
      <c r="T1247" s="139">
        <f>+$W$5-Tabla2[[#This Row],[FECHA DE FACTURACIÓN]]</f>
        <v>408</v>
      </c>
      <c r="U1247" t="str">
        <f>+IF(Tabla2[[#This Row],[dias de credito]]&gt;=Tabla2[[#This Row],[PLAZO Días]],"venc", "No venc")</f>
        <v>venc</v>
      </c>
      <c r="V1247" t="str">
        <f>+IF(Tabla2[[#This Row],[FECHA DE PAGO]]&gt;0,"pagada","por pagar")</f>
        <v>pagada</v>
      </c>
      <c r="W1247" s="141" t="str">
        <f>+IF(AND(Tabla2[[#This Row],[venc]]="venc",Tabla2[[#This Row],[Columna1]]="por pagar"),"vencida","no")</f>
        <v>no</v>
      </c>
    </row>
    <row r="1248" spans="1:23" ht="15.6" hidden="1" x14ac:dyDescent="0.3">
      <c r="A1248" s="20">
        <v>30</v>
      </c>
      <c r="B1248" s="25">
        <v>18444236.894999996</v>
      </c>
      <c r="C1248" s="25"/>
      <c r="D1248" s="56" t="s">
        <v>731</v>
      </c>
      <c r="E1248" s="426">
        <v>44916</v>
      </c>
      <c r="F1248" s="26" t="s">
        <v>11</v>
      </c>
      <c r="G1248" s="426">
        <v>44868</v>
      </c>
      <c r="H1248" s="35" t="s">
        <v>1251</v>
      </c>
      <c r="I1248" s="21">
        <v>2803032</v>
      </c>
      <c r="J1248" s="21"/>
      <c r="K1248" s="22">
        <v>532576.07999999996</v>
      </c>
      <c r="L1248" s="23"/>
      <c r="M1248" s="22">
        <v>0</v>
      </c>
      <c r="N1248" s="74">
        <v>2.5000000000000001E-2</v>
      </c>
      <c r="O1248" s="22">
        <v>70075.8</v>
      </c>
      <c r="P1248" s="21">
        <v>3265532.2800000003</v>
      </c>
      <c r="S1248" s="108" t="b">
        <f>OR(COUNTIF(Tabla2[[#This Row],[PROVEEDOR]],"*"&amp;'Palabra no opera'!$A$2&amp;"*"))</f>
        <v>0</v>
      </c>
      <c r="T1248" s="139">
        <f>+$W$5-Tabla2[[#This Row],[FECHA DE FACTURACIÓN]]</f>
        <v>423</v>
      </c>
      <c r="U1248" t="str">
        <f>+IF(Tabla2[[#This Row],[dias de credito]]&gt;=Tabla2[[#This Row],[PLAZO Días]],"venc", "No venc")</f>
        <v>venc</v>
      </c>
      <c r="V1248" t="str">
        <f>+IF(Tabla2[[#This Row],[FECHA DE PAGO]]&gt;0,"pagada","por pagar")</f>
        <v>pagada</v>
      </c>
      <c r="W1248" s="141" t="str">
        <f>+IF(AND(Tabla2[[#This Row],[venc]]="venc",Tabla2[[#This Row],[Columna1]]="por pagar"),"vencida","no")</f>
        <v>no</v>
      </c>
    </row>
    <row r="1249" spans="1:23" ht="15.6" hidden="1" x14ac:dyDescent="0.3">
      <c r="A1249" s="20">
        <v>30</v>
      </c>
      <c r="B1249" s="25">
        <v>0</v>
      </c>
      <c r="C1249" s="25"/>
      <c r="D1249" s="56" t="s">
        <v>211</v>
      </c>
      <c r="E1249" s="426">
        <v>44916</v>
      </c>
      <c r="F1249" s="26" t="s">
        <v>26</v>
      </c>
      <c r="G1249" s="426">
        <v>44855</v>
      </c>
      <c r="H1249" s="35" t="s">
        <v>1339</v>
      </c>
      <c r="I1249" s="21">
        <v>1671000</v>
      </c>
      <c r="J1249" s="21"/>
      <c r="K1249" s="22">
        <v>317490</v>
      </c>
      <c r="L1249" s="23"/>
      <c r="M1249" s="22">
        <v>0</v>
      </c>
      <c r="N1249" s="74">
        <v>2.5000000000000001E-2</v>
      </c>
      <c r="O1249" s="22">
        <v>41775</v>
      </c>
      <c r="P1249" s="21">
        <v>1946715</v>
      </c>
      <c r="S1249" s="108" t="b">
        <f>OR(COUNTIF(Tabla2[[#This Row],[PROVEEDOR]],"*"&amp;'Palabra no opera'!$A$2&amp;"*"))</f>
        <v>0</v>
      </c>
      <c r="T1249" s="139">
        <f>+$W$5-Tabla2[[#This Row],[FECHA DE FACTURACIÓN]]</f>
        <v>436</v>
      </c>
      <c r="U1249" t="str">
        <f>+IF(Tabla2[[#This Row],[dias de credito]]&gt;=Tabla2[[#This Row],[PLAZO Días]],"venc", "No venc")</f>
        <v>venc</v>
      </c>
      <c r="V1249" t="str">
        <f>+IF(Tabla2[[#This Row],[FECHA DE PAGO]]&gt;0,"pagada","por pagar")</f>
        <v>pagada</v>
      </c>
      <c r="W1249" s="141" t="str">
        <f>+IF(AND(Tabla2[[#This Row],[venc]]="venc",Tabla2[[#This Row],[Columna1]]="por pagar"),"vencida","no")</f>
        <v>no</v>
      </c>
    </row>
    <row r="1250" spans="1:23" ht="15.6" hidden="1" x14ac:dyDescent="0.3">
      <c r="A1250" s="20">
        <v>30</v>
      </c>
      <c r="B1250" s="25">
        <v>0</v>
      </c>
      <c r="C1250" s="25"/>
      <c r="D1250" s="56">
        <v>0</v>
      </c>
      <c r="E1250" s="426">
        <v>44916</v>
      </c>
      <c r="F1250" s="26" t="s">
        <v>1162</v>
      </c>
      <c r="G1250" s="426">
        <v>44833</v>
      </c>
      <c r="H1250" s="35" t="s">
        <v>1163</v>
      </c>
      <c r="I1250" s="21">
        <v>146000</v>
      </c>
      <c r="J1250" s="21"/>
      <c r="K1250" s="22">
        <v>0</v>
      </c>
      <c r="L1250" s="23"/>
      <c r="M1250" s="22">
        <v>0</v>
      </c>
      <c r="N1250" s="74">
        <v>0</v>
      </c>
      <c r="O1250" s="22">
        <v>0</v>
      </c>
      <c r="P1250" s="21">
        <v>146000</v>
      </c>
      <c r="S1250" s="108" t="b">
        <f>OR(COUNTIF(Tabla2[[#This Row],[PROVEEDOR]],"*"&amp;'Palabra no opera'!$A$2&amp;"*"))</f>
        <v>0</v>
      </c>
      <c r="T1250" s="139">
        <f>+$W$5-Tabla2[[#This Row],[FECHA DE FACTURACIÓN]]</f>
        <v>458</v>
      </c>
      <c r="U1250" t="str">
        <f>+IF(Tabla2[[#This Row],[dias de credito]]&gt;=Tabla2[[#This Row],[PLAZO Días]],"venc", "No venc")</f>
        <v>venc</v>
      </c>
      <c r="V1250" t="str">
        <f>+IF(Tabla2[[#This Row],[FECHA DE PAGO]]&gt;0,"pagada","por pagar")</f>
        <v>pagada</v>
      </c>
      <c r="W1250" s="141" t="str">
        <f>+IF(AND(Tabla2[[#This Row],[venc]]="venc",Tabla2[[#This Row],[Columna1]]="por pagar"),"vencida","no")</f>
        <v>no</v>
      </c>
    </row>
    <row r="1251" spans="1:23" ht="15.6" hidden="1" x14ac:dyDescent="0.3">
      <c r="A1251" s="20">
        <v>60</v>
      </c>
      <c r="B1251" s="25">
        <v>395600</v>
      </c>
      <c r="C1251" s="25"/>
      <c r="D1251" s="56" t="s">
        <v>1482</v>
      </c>
      <c r="E1251" s="426">
        <v>44915</v>
      </c>
      <c r="F1251" s="26" t="s">
        <v>287</v>
      </c>
      <c r="G1251" s="426">
        <v>44914</v>
      </c>
      <c r="H1251" s="35">
        <v>1561</v>
      </c>
      <c r="I1251" s="21">
        <v>267680</v>
      </c>
      <c r="J1251" s="21"/>
      <c r="K1251" s="22">
        <v>0</v>
      </c>
      <c r="L1251" s="23"/>
      <c r="M1251" s="22">
        <v>0</v>
      </c>
      <c r="N1251" s="74">
        <v>0</v>
      </c>
      <c r="O1251" s="22">
        <v>0</v>
      </c>
      <c r="P1251" s="21">
        <v>267680</v>
      </c>
      <c r="S1251" s="108" t="b">
        <f>OR(COUNTIF(Tabla2[[#This Row],[PROVEEDOR]],"*"&amp;'Palabra no opera'!$A$2&amp;"*"))</f>
        <v>0</v>
      </c>
      <c r="T1251" s="139">
        <f>+$W$5-Tabla2[[#This Row],[FECHA DE FACTURACIÓN]]</f>
        <v>377</v>
      </c>
      <c r="U1251" t="str">
        <f>+IF(Tabla2[[#This Row],[dias de credito]]&gt;=Tabla2[[#This Row],[PLAZO Días]],"venc", "No venc")</f>
        <v>venc</v>
      </c>
      <c r="V1251" t="str">
        <f>+IF(Tabla2[[#This Row],[FECHA DE PAGO]]&gt;0,"pagada","por pagar")</f>
        <v>pagada</v>
      </c>
      <c r="W1251" s="141" t="str">
        <f>+IF(AND(Tabla2[[#This Row],[venc]]="venc",Tabla2[[#This Row],[Columna1]]="por pagar"),"vencida","no")</f>
        <v>no</v>
      </c>
    </row>
    <row r="1252" spans="1:23" ht="15.6" hidden="1" x14ac:dyDescent="0.3">
      <c r="A1252" s="20">
        <v>60</v>
      </c>
      <c r="B1252" s="25">
        <v>395600</v>
      </c>
      <c r="C1252" s="25"/>
      <c r="D1252" s="56" t="s">
        <v>1482</v>
      </c>
      <c r="E1252" s="426">
        <v>44915</v>
      </c>
      <c r="F1252" s="26" t="s">
        <v>287</v>
      </c>
      <c r="G1252" s="426">
        <v>44914</v>
      </c>
      <c r="H1252" s="35">
        <v>1562</v>
      </c>
      <c r="I1252" s="21">
        <v>248560</v>
      </c>
      <c r="J1252" s="21"/>
      <c r="K1252" s="22">
        <v>0</v>
      </c>
      <c r="L1252" s="23"/>
      <c r="M1252" s="22">
        <v>0</v>
      </c>
      <c r="N1252" s="74">
        <v>0</v>
      </c>
      <c r="O1252" s="22">
        <v>0</v>
      </c>
      <c r="P1252" s="21">
        <v>248560</v>
      </c>
      <c r="S1252" s="108" t="b">
        <f>OR(COUNTIF(Tabla2[[#This Row],[PROVEEDOR]],"*"&amp;'Palabra no opera'!$A$2&amp;"*"))</f>
        <v>0</v>
      </c>
      <c r="T1252" s="139">
        <f>+$W$5-Tabla2[[#This Row],[FECHA DE FACTURACIÓN]]</f>
        <v>377</v>
      </c>
      <c r="U1252" t="str">
        <f>+IF(Tabla2[[#This Row],[dias de credito]]&gt;=Tabla2[[#This Row],[PLAZO Días]],"venc", "No venc")</f>
        <v>venc</v>
      </c>
      <c r="V1252" t="str">
        <f>+IF(Tabla2[[#This Row],[FECHA DE PAGO]]&gt;0,"pagada","por pagar")</f>
        <v>pagada</v>
      </c>
      <c r="W1252" s="141" t="str">
        <f>+IF(AND(Tabla2[[#This Row],[venc]]="venc",Tabla2[[#This Row],[Columna1]]="por pagar"),"vencida","no")</f>
        <v>no</v>
      </c>
    </row>
    <row r="1253" spans="1:23" ht="15.6" hidden="1" x14ac:dyDescent="0.3">
      <c r="A1253" s="20">
        <v>60</v>
      </c>
      <c r="B1253" s="25">
        <v>395600</v>
      </c>
      <c r="C1253" s="25"/>
      <c r="D1253" s="56" t="s">
        <v>1482</v>
      </c>
      <c r="E1253" s="426">
        <v>44915</v>
      </c>
      <c r="F1253" s="26" t="s">
        <v>287</v>
      </c>
      <c r="G1253" s="426">
        <v>44909</v>
      </c>
      <c r="H1253" s="35">
        <v>1560</v>
      </c>
      <c r="I1253" s="21">
        <v>702182</v>
      </c>
      <c r="J1253" s="21"/>
      <c r="K1253" s="22">
        <v>0</v>
      </c>
      <c r="L1253" s="23"/>
      <c r="M1253" s="22">
        <v>0</v>
      </c>
      <c r="N1253" s="74">
        <v>0</v>
      </c>
      <c r="O1253" s="22">
        <v>0</v>
      </c>
      <c r="P1253" s="21">
        <v>702182</v>
      </c>
      <c r="S1253" s="108" t="b">
        <f>OR(COUNTIF(Tabla2[[#This Row],[PROVEEDOR]],"*"&amp;'Palabra no opera'!$A$2&amp;"*"))</f>
        <v>0</v>
      </c>
      <c r="T1253" s="139">
        <f>+$W$5-Tabla2[[#This Row],[FECHA DE FACTURACIÓN]]</f>
        <v>382</v>
      </c>
      <c r="U1253" t="str">
        <f>+IF(Tabla2[[#This Row],[dias de credito]]&gt;=Tabla2[[#This Row],[PLAZO Días]],"venc", "No venc")</f>
        <v>venc</v>
      </c>
      <c r="V1253" t="str">
        <f>+IF(Tabla2[[#This Row],[FECHA DE PAGO]]&gt;0,"pagada","por pagar")</f>
        <v>pagada</v>
      </c>
      <c r="W1253" s="141" t="str">
        <f>+IF(AND(Tabla2[[#This Row],[venc]]="venc",Tabla2[[#This Row],[Columna1]]="por pagar"),"vencida","no")</f>
        <v>no</v>
      </c>
    </row>
    <row r="1254" spans="1:23" ht="15.6" hidden="1" x14ac:dyDescent="0.3">
      <c r="A1254" s="20">
        <v>60</v>
      </c>
      <c r="B1254" s="25">
        <v>395600</v>
      </c>
      <c r="C1254" s="25"/>
      <c r="D1254" s="56" t="s">
        <v>1482</v>
      </c>
      <c r="E1254" s="426">
        <v>44915</v>
      </c>
      <c r="F1254" s="26" t="s">
        <v>287</v>
      </c>
      <c r="G1254" s="426">
        <v>44909</v>
      </c>
      <c r="H1254" s="35">
        <v>1559</v>
      </c>
      <c r="I1254" s="21">
        <v>662030</v>
      </c>
      <c r="J1254" s="21"/>
      <c r="K1254" s="22">
        <v>0</v>
      </c>
      <c r="L1254" s="23"/>
      <c r="M1254" s="22">
        <v>0</v>
      </c>
      <c r="N1254" s="74">
        <v>0</v>
      </c>
      <c r="O1254" s="22">
        <v>0</v>
      </c>
      <c r="P1254" s="21">
        <v>662030</v>
      </c>
      <c r="S1254" s="108" t="b">
        <f>OR(COUNTIF(Tabla2[[#This Row],[PROVEEDOR]],"*"&amp;'Palabra no opera'!$A$2&amp;"*"))</f>
        <v>0</v>
      </c>
      <c r="T1254" s="139">
        <f>+$W$5-Tabla2[[#This Row],[FECHA DE FACTURACIÓN]]</f>
        <v>382</v>
      </c>
      <c r="U1254" t="str">
        <f>+IF(Tabla2[[#This Row],[dias de credito]]&gt;=Tabla2[[#This Row],[PLAZO Días]],"venc", "No venc")</f>
        <v>venc</v>
      </c>
      <c r="V1254" t="str">
        <f>+IF(Tabla2[[#This Row],[FECHA DE PAGO]]&gt;0,"pagada","por pagar")</f>
        <v>pagada</v>
      </c>
      <c r="W1254" s="141" t="str">
        <f>+IF(AND(Tabla2[[#This Row],[venc]]="venc",Tabla2[[#This Row],[Columna1]]="por pagar"),"vencida","no")</f>
        <v>no</v>
      </c>
    </row>
    <row r="1255" spans="1:23" ht="15.6" hidden="1" x14ac:dyDescent="0.3">
      <c r="A1255" s="20">
        <v>60</v>
      </c>
      <c r="B1255" s="25">
        <v>395600</v>
      </c>
      <c r="C1255" s="25"/>
      <c r="D1255" s="56" t="s">
        <v>1482</v>
      </c>
      <c r="E1255" s="426">
        <v>44915</v>
      </c>
      <c r="F1255" s="26" t="s">
        <v>287</v>
      </c>
      <c r="G1255" s="426">
        <v>44909</v>
      </c>
      <c r="H1255" s="35">
        <v>1558</v>
      </c>
      <c r="I1255" s="21">
        <v>267680</v>
      </c>
      <c r="J1255" s="21"/>
      <c r="K1255" s="22">
        <v>0</v>
      </c>
      <c r="L1255" s="23"/>
      <c r="M1255" s="22">
        <v>0</v>
      </c>
      <c r="N1255" s="74">
        <v>0</v>
      </c>
      <c r="O1255" s="22">
        <v>0</v>
      </c>
      <c r="P1255" s="21">
        <v>267680</v>
      </c>
      <c r="S1255" s="108" t="b">
        <f>OR(COUNTIF(Tabla2[[#This Row],[PROVEEDOR]],"*"&amp;'Palabra no opera'!$A$2&amp;"*"))</f>
        <v>0</v>
      </c>
      <c r="T1255" s="139">
        <f>+$W$5-Tabla2[[#This Row],[FECHA DE FACTURACIÓN]]</f>
        <v>382</v>
      </c>
      <c r="U1255" t="str">
        <f>+IF(Tabla2[[#This Row],[dias de credito]]&gt;=Tabla2[[#This Row],[PLAZO Días]],"venc", "No venc")</f>
        <v>venc</v>
      </c>
      <c r="V1255" t="str">
        <f>+IF(Tabla2[[#This Row],[FECHA DE PAGO]]&gt;0,"pagada","por pagar")</f>
        <v>pagada</v>
      </c>
      <c r="W1255" s="141" t="str">
        <f>+IF(AND(Tabla2[[#This Row],[venc]]="venc",Tabla2[[#This Row],[Columna1]]="por pagar"),"vencida","no")</f>
        <v>no</v>
      </c>
    </row>
    <row r="1256" spans="1:23" ht="15.6" hidden="1" x14ac:dyDescent="0.3">
      <c r="A1256" s="20">
        <v>45</v>
      </c>
      <c r="B1256" s="25">
        <v>3074500</v>
      </c>
      <c r="C1256" s="25"/>
      <c r="D1256" s="56" t="s">
        <v>1482</v>
      </c>
      <c r="E1256" s="426">
        <v>44915</v>
      </c>
      <c r="F1256" s="26" t="s">
        <v>289</v>
      </c>
      <c r="G1256" s="426">
        <v>44902</v>
      </c>
      <c r="H1256" s="35">
        <v>1549</v>
      </c>
      <c r="I1256" s="21">
        <v>3322100</v>
      </c>
      <c r="J1256" s="21"/>
      <c r="K1256" s="22">
        <v>0</v>
      </c>
      <c r="L1256" s="23"/>
      <c r="M1256" s="22">
        <v>0</v>
      </c>
      <c r="N1256" s="74">
        <v>0</v>
      </c>
      <c r="O1256" s="22">
        <v>0</v>
      </c>
      <c r="P1256" s="21">
        <v>3322100</v>
      </c>
      <c r="S1256" s="108" t="b">
        <f>OR(COUNTIF(Tabla2[[#This Row],[PROVEEDOR]],"*"&amp;'Palabra no opera'!$A$2&amp;"*"))</f>
        <v>0</v>
      </c>
      <c r="T1256" s="139">
        <f>+$W$5-Tabla2[[#This Row],[FECHA DE FACTURACIÓN]]</f>
        <v>389</v>
      </c>
      <c r="U1256" t="str">
        <f>+IF(Tabla2[[#This Row],[dias de credito]]&gt;=Tabla2[[#This Row],[PLAZO Días]],"venc", "No venc")</f>
        <v>venc</v>
      </c>
      <c r="V1256" t="str">
        <f>+IF(Tabla2[[#This Row],[FECHA DE PAGO]]&gt;0,"pagada","por pagar")</f>
        <v>pagada</v>
      </c>
      <c r="W1256" s="141" t="str">
        <f>+IF(AND(Tabla2[[#This Row],[venc]]="venc",Tabla2[[#This Row],[Columna1]]="por pagar"),"vencida","no")</f>
        <v>no</v>
      </c>
    </row>
    <row r="1257" spans="1:23" ht="15.6" hidden="1" x14ac:dyDescent="0.3">
      <c r="A1257" s="20">
        <v>60</v>
      </c>
      <c r="B1257" s="25">
        <v>395600</v>
      </c>
      <c r="C1257" s="25"/>
      <c r="D1257" s="56" t="s">
        <v>1482</v>
      </c>
      <c r="E1257" s="426">
        <v>44915</v>
      </c>
      <c r="F1257" s="26" t="s">
        <v>287</v>
      </c>
      <c r="G1257" s="426">
        <v>44895</v>
      </c>
      <c r="H1257" s="35">
        <v>1543</v>
      </c>
      <c r="I1257" s="21">
        <v>291300</v>
      </c>
      <c r="J1257" s="21"/>
      <c r="K1257" s="22">
        <v>0</v>
      </c>
      <c r="L1257" s="23"/>
      <c r="M1257" s="22">
        <v>0</v>
      </c>
      <c r="N1257" s="74">
        <v>0</v>
      </c>
      <c r="O1257" s="22">
        <v>0</v>
      </c>
      <c r="P1257" s="21">
        <v>291300</v>
      </c>
      <c r="S1257" s="108" t="b">
        <f>OR(COUNTIF(Tabla2[[#This Row],[PROVEEDOR]],"*"&amp;'Palabra no opera'!$A$2&amp;"*"))</f>
        <v>0</v>
      </c>
      <c r="T1257" s="139">
        <f>+$W$5-Tabla2[[#This Row],[FECHA DE FACTURACIÓN]]</f>
        <v>396</v>
      </c>
      <c r="U1257" t="str">
        <f>+IF(Tabla2[[#This Row],[dias de credito]]&gt;=Tabla2[[#This Row],[PLAZO Días]],"venc", "No venc")</f>
        <v>venc</v>
      </c>
      <c r="V1257" t="str">
        <f>+IF(Tabla2[[#This Row],[FECHA DE PAGO]]&gt;0,"pagada","por pagar")</f>
        <v>pagada</v>
      </c>
      <c r="W1257" s="141" t="str">
        <f>+IF(AND(Tabla2[[#This Row],[venc]]="venc",Tabla2[[#This Row],[Columna1]]="por pagar"),"vencida","no")</f>
        <v>no</v>
      </c>
    </row>
    <row r="1258" spans="1:23" ht="15.6" hidden="1" x14ac:dyDescent="0.3">
      <c r="A1258" s="20">
        <v>60</v>
      </c>
      <c r="B1258" s="25">
        <v>395600</v>
      </c>
      <c r="C1258" s="25"/>
      <c r="D1258" s="56" t="s">
        <v>1482</v>
      </c>
      <c r="E1258" s="426">
        <v>44915</v>
      </c>
      <c r="F1258" s="26" t="s">
        <v>287</v>
      </c>
      <c r="G1258" s="426">
        <v>44894</v>
      </c>
      <c r="H1258" s="35">
        <v>1542</v>
      </c>
      <c r="I1258" s="21">
        <v>233040</v>
      </c>
      <c r="J1258" s="21"/>
      <c r="K1258" s="22">
        <v>0</v>
      </c>
      <c r="L1258" s="23"/>
      <c r="M1258" s="22">
        <v>0</v>
      </c>
      <c r="N1258" s="74">
        <v>0</v>
      </c>
      <c r="O1258" s="22">
        <v>0</v>
      </c>
      <c r="P1258" s="21">
        <v>233040</v>
      </c>
      <c r="S1258" s="108" t="b">
        <f>OR(COUNTIF(Tabla2[[#This Row],[PROVEEDOR]],"*"&amp;'Palabra no opera'!$A$2&amp;"*"))</f>
        <v>0</v>
      </c>
      <c r="T1258" s="139">
        <f>+$W$5-Tabla2[[#This Row],[FECHA DE FACTURACIÓN]]</f>
        <v>397</v>
      </c>
      <c r="U1258" t="str">
        <f>+IF(Tabla2[[#This Row],[dias de credito]]&gt;=Tabla2[[#This Row],[PLAZO Días]],"venc", "No venc")</f>
        <v>venc</v>
      </c>
      <c r="V1258" t="str">
        <f>+IF(Tabla2[[#This Row],[FECHA DE PAGO]]&gt;0,"pagada","por pagar")</f>
        <v>pagada</v>
      </c>
      <c r="W1258" s="141" t="str">
        <f>+IF(AND(Tabla2[[#This Row],[venc]]="venc",Tabla2[[#This Row],[Columna1]]="por pagar"),"vencida","no")</f>
        <v>no</v>
      </c>
    </row>
    <row r="1259" spans="1:23" ht="15.6" hidden="1" x14ac:dyDescent="0.3">
      <c r="A1259" s="20">
        <v>60</v>
      </c>
      <c r="B1259" s="25">
        <v>395600</v>
      </c>
      <c r="C1259" s="25"/>
      <c r="D1259" s="56" t="s">
        <v>1482</v>
      </c>
      <c r="E1259" s="426">
        <v>44915</v>
      </c>
      <c r="F1259" s="26" t="s">
        <v>287</v>
      </c>
      <c r="G1259" s="426">
        <v>44868</v>
      </c>
      <c r="H1259" s="35">
        <v>1524</v>
      </c>
      <c r="I1259" s="21">
        <v>750052</v>
      </c>
      <c r="J1259" s="21"/>
      <c r="K1259" s="22">
        <v>0</v>
      </c>
      <c r="L1259" s="23"/>
      <c r="M1259" s="22">
        <v>0</v>
      </c>
      <c r="N1259" s="74">
        <v>0</v>
      </c>
      <c r="O1259" s="22">
        <v>0</v>
      </c>
      <c r="P1259" s="21">
        <v>750052</v>
      </c>
      <c r="S1259" s="108" t="b">
        <f>OR(COUNTIF(Tabla2[[#This Row],[PROVEEDOR]],"*"&amp;'Palabra no opera'!$A$2&amp;"*"))</f>
        <v>0</v>
      </c>
      <c r="T1259" s="139">
        <f>+$W$5-Tabla2[[#This Row],[FECHA DE FACTURACIÓN]]</f>
        <v>423</v>
      </c>
      <c r="U1259" t="str">
        <f>+IF(Tabla2[[#This Row],[dias de credito]]&gt;=Tabla2[[#This Row],[PLAZO Días]],"venc", "No venc")</f>
        <v>venc</v>
      </c>
      <c r="V1259" t="str">
        <f>+IF(Tabla2[[#This Row],[FECHA DE PAGO]]&gt;0,"pagada","por pagar")</f>
        <v>pagada</v>
      </c>
      <c r="W1259" s="141" t="str">
        <f>+IF(AND(Tabla2[[#This Row],[venc]]="venc",Tabla2[[#This Row],[Columna1]]="por pagar"),"vencida","no")</f>
        <v>no</v>
      </c>
    </row>
    <row r="1260" spans="1:23" ht="15.6" hidden="1" x14ac:dyDescent="0.3">
      <c r="A1260" s="20">
        <v>60</v>
      </c>
      <c r="B1260" s="25">
        <v>395600</v>
      </c>
      <c r="C1260" s="25"/>
      <c r="D1260" s="56" t="s">
        <v>1482</v>
      </c>
      <c r="E1260" s="426">
        <v>44915</v>
      </c>
      <c r="F1260" s="26" t="s">
        <v>287</v>
      </c>
      <c r="G1260" s="426">
        <v>44868</v>
      </c>
      <c r="H1260" s="35">
        <v>1525</v>
      </c>
      <c r="I1260" s="21">
        <v>770310</v>
      </c>
      <c r="J1260" s="21"/>
      <c r="K1260" s="22">
        <v>0</v>
      </c>
      <c r="L1260" s="23"/>
      <c r="M1260" s="22">
        <v>0</v>
      </c>
      <c r="N1260" s="74">
        <v>0</v>
      </c>
      <c r="O1260" s="22">
        <v>0</v>
      </c>
      <c r="P1260" s="21">
        <v>770310</v>
      </c>
      <c r="S1260" s="108" t="b">
        <f>OR(COUNTIF(Tabla2[[#This Row],[PROVEEDOR]],"*"&amp;'Palabra no opera'!$A$2&amp;"*"))</f>
        <v>0</v>
      </c>
      <c r="T1260" s="139">
        <f>+$W$5-Tabla2[[#This Row],[FECHA DE FACTURACIÓN]]</f>
        <v>423</v>
      </c>
      <c r="U1260" t="str">
        <f>+IF(Tabla2[[#This Row],[dias de credito]]&gt;=Tabla2[[#This Row],[PLAZO Días]],"venc", "No venc")</f>
        <v>venc</v>
      </c>
      <c r="V1260" t="str">
        <f>+IF(Tabla2[[#This Row],[FECHA DE PAGO]]&gt;0,"pagada","por pagar")</f>
        <v>pagada</v>
      </c>
      <c r="W1260" s="141" t="str">
        <f>+IF(AND(Tabla2[[#This Row],[venc]]="venc",Tabla2[[#This Row],[Columna1]]="por pagar"),"vencida","no")</f>
        <v>no</v>
      </c>
    </row>
    <row r="1261" spans="1:23" ht="15.6" hidden="1" x14ac:dyDescent="0.3">
      <c r="A1261" s="20">
        <v>45</v>
      </c>
      <c r="B1261" s="25">
        <v>8072960</v>
      </c>
      <c r="C1261" s="25"/>
      <c r="D1261" s="56" t="s">
        <v>198</v>
      </c>
      <c r="E1261" s="426">
        <v>44915</v>
      </c>
      <c r="F1261" s="26" t="s">
        <v>10</v>
      </c>
      <c r="G1261" s="426">
        <v>44860</v>
      </c>
      <c r="H1261" s="35">
        <v>524553</v>
      </c>
      <c r="I1261" s="21">
        <v>558000</v>
      </c>
      <c r="J1261" s="21"/>
      <c r="K1261" s="22">
        <v>106020</v>
      </c>
      <c r="L1261" s="23"/>
      <c r="M1261" s="22">
        <v>0</v>
      </c>
      <c r="N1261" s="74">
        <v>0</v>
      </c>
      <c r="O1261" s="22">
        <v>0</v>
      </c>
      <c r="P1261" s="21">
        <v>664020</v>
      </c>
      <c r="S1261" s="108" t="b">
        <f>OR(COUNTIF(Tabla2[[#This Row],[PROVEEDOR]],"*"&amp;'Palabra no opera'!$A$2&amp;"*"))</f>
        <v>0</v>
      </c>
      <c r="T1261" s="139">
        <f>+$W$5-Tabla2[[#This Row],[FECHA DE FACTURACIÓN]]</f>
        <v>431</v>
      </c>
      <c r="U1261" t="str">
        <f>+IF(Tabla2[[#This Row],[dias de credito]]&gt;=Tabla2[[#This Row],[PLAZO Días]],"venc", "No venc")</f>
        <v>venc</v>
      </c>
      <c r="V1261" t="str">
        <f>+IF(Tabla2[[#This Row],[FECHA DE PAGO]]&gt;0,"pagada","por pagar")</f>
        <v>pagada</v>
      </c>
      <c r="W1261" s="141" t="str">
        <f>+IF(AND(Tabla2[[#This Row],[venc]]="venc",Tabla2[[#This Row],[Columna1]]="por pagar"),"vencida","no")</f>
        <v>no</v>
      </c>
    </row>
    <row r="1262" spans="1:23" ht="15.6" hidden="1" x14ac:dyDescent="0.3">
      <c r="A1262" s="20">
        <v>45</v>
      </c>
      <c r="B1262" s="25">
        <v>8072960</v>
      </c>
      <c r="C1262" s="25"/>
      <c r="D1262" s="56" t="s">
        <v>198</v>
      </c>
      <c r="E1262" s="426">
        <v>44915</v>
      </c>
      <c r="F1262" s="26" t="s">
        <v>10</v>
      </c>
      <c r="G1262" s="426">
        <v>44859</v>
      </c>
      <c r="H1262" s="35">
        <v>524514</v>
      </c>
      <c r="I1262" s="21">
        <v>1631000</v>
      </c>
      <c r="J1262" s="21"/>
      <c r="K1262" s="22">
        <v>309890</v>
      </c>
      <c r="L1262" s="23"/>
      <c r="M1262" s="22">
        <v>0</v>
      </c>
      <c r="N1262" s="74">
        <v>0</v>
      </c>
      <c r="O1262" s="22">
        <v>0</v>
      </c>
      <c r="P1262" s="21">
        <v>1940890</v>
      </c>
      <c r="S1262" s="108" t="b">
        <f>OR(COUNTIF(Tabla2[[#This Row],[PROVEEDOR]],"*"&amp;'Palabra no opera'!$A$2&amp;"*"))</f>
        <v>0</v>
      </c>
      <c r="T1262" s="139">
        <f>+$W$5-Tabla2[[#This Row],[FECHA DE FACTURACIÓN]]</f>
        <v>432</v>
      </c>
      <c r="U1262" t="str">
        <f>+IF(Tabla2[[#This Row],[dias de credito]]&gt;=Tabla2[[#This Row],[PLAZO Días]],"venc", "No venc")</f>
        <v>venc</v>
      </c>
      <c r="V1262" t="str">
        <f>+IF(Tabla2[[#This Row],[FECHA DE PAGO]]&gt;0,"pagada","por pagar")</f>
        <v>pagada</v>
      </c>
      <c r="W1262" s="141" t="str">
        <f>+IF(AND(Tabla2[[#This Row],[venc]]="venc",Tabla2[[#This Row],[Columna1]]="por pagar"),"vencida","no")</f>
        <v>no</v>
      </c>
    </row>
    <row r="1263" spans="1:23" ht="15.6" hidden="1" x14ac:dyDescent="0.3">
      <c r="A1263" s="20">
        <v>30</v>
      </c>
      <c r="B1263" s="25">
        <v>12030261.305</v>
      </c>
      <c r="C1263" s="25"/>
      <c r="D1263" s="56" t="s">
        <v>179</v>
      </c>
      <c r="E1263" s="426">
        <v>44915</v>
      </c>
      <c r="F1263" s="26" t="s">
        <v>12</v>
      </c>
      <c r="G1263" s="426">
        <v>44810</v>
      </c>
      <c r="H1263" s="35" t="s">
        <v>1186</v>
      </c>
      <c r="I1263" s="21">
        <v>14578156</v>
      </c>
      <c r="J1263" s="21"/>
      <c r="K1263" s="22">
        <v>2769849.64</v>
      </c>
      <c r="L1263" s="23"/>
      <c r="M1263" s="22">
        <v>0</v>
      </c>
      <c r="N1263" s="74">
        <v>2.5000000000000001E-2</v>
      </c>
      <c r="O1263" s="22">
        <v>364453.9</v>
      </c>
      <c r="P1263" s="21">
        <v>16983551.740000002</v>
      </c>
      <c r="S1263" s="108" t="b">
        <f>OR(COUNTIF(Tabla2[[#This Row],[PROVEEDOR]],"*"&amp;'Palabra no opera'!$A$2&amp;"*"))</f>
        <v>0</v>
      </c>
      <c r="T1263" s="139">
        <f>+$W$5-Tabla2[[#This Row],[FECHA DE FACTURACIÓN]]</f>
        <v>481</v>
      </c>
      <c r="U1263" t="str">
        <f>+IF(Tabla2[[#This Row],[dias de credito]]&gt;=Tabla2[[#This Row],[PLAZO Días]],"venc", "No venc")</f>
        <v>venc</v>
      </c>
      <c r="V1263" t="str">
        <f>+IF(Tabla2[[#This Row],[FECHA DE PAGO]]&gt;0,"pagada","por pagar")</f>
        <v>pagada</v>
      </c>
      <c r="W1263" s="141" t="str">
        <f>+IF(AND(Tabla2[[#This Row],[venc]]="venc",Tabla2[[#This Row],[Columna1]]="por pagar"),"vencida","no")</f>
        <v>no</v>
      </c>
    </row>
    <row r="1264" spans="1:23" ht="15.6" hidden="1" x14ac:dyDescent="0.3">
      <c r="A1264" s="20">
        <v>30</v>
      </c>
      <c r="B1264" s="25">
        <v>0</v>
      </c>
      <c r="C1264" s="25"/>
      <c r="D1264" s="56">
        <v>0</v>
      </c>
      <c r="E1264" s="426">
        <v>44914</v>
      </c>
      <c r="F1264" s="26" t="s">
        <v>1337</v>
      </c>
      <c r="G1264" s="426">
        <v>44911</v>
      </c>
      <c r="H1264" s="35">
        <v>1034</v>
      </c>
      <c r="I1264" s="21">
        <v>548739</v>
      </c>
      <c r="J1264" s="21"/>
      <c r="K1264" s="22">
        <v>104260.41</v>
      </c>
      <c r="L1264" s="23"/>
      <c r="M1264" s="22">
        <v>0</v>
      </c>
      <c r="N1264" s="74">
        <v>0</v>
      </c>
      <c r="O1264" s="22">
        <v>0</v>
      </c>
      <c r="P1264" s="21">
        <v>652999.41</v>
      </c>
      <c r="S1264" s="108" t="b">
        <f>OR(COUNTIF(Tabla2[[#This Row],[PROVEEDOR]],"*"&amp;'Palabra no opera'!$A$2&amp;"*"))</f>
        <v>0</v>
      </c>
      <c r="T1264" s="139">
        <f>+$W$5-Tabla2[[#This Row],[FECHA DE FACTURACIÓN]]</f>
        <v>380</v>
      </c>
      <c r="U1264" t="str">
        <f>+IF(Tabla2[[#This Row],[dias de credito]]&gt;=Tabla2[[#This Row],[PLAZO Días]],"venc", "No venc")</f>
        <v>venc</v>
      </c>
      <c r="V1264" t="str">
        <f>+IF(Tabla2[[#This Row],[FECHA DE PAGO]]&gt;0,"pagada","por pagar")</f>
        <v>pagada</v>
      </c>
      <c r="W1264" s="141" t="str">
        <f>+IF(AND(Tabla2[[#This Row],[venc]]="venc",Tabla2[[#This Row],[Columna1]]="por pagar"),"vencida","no")</f>
        <v>no</v>
      </c>
    </row>
    <row r="1265" spans="1:23" ht="15.6" hidden="1" x14ac:dyDescent="0.3">
      <c r="A1265" s="20">
        <v>30</v>
      </c>
      <c r="B1265" s="25">
        <v>0</v>
      </c>
      <c r="C1265" s="25"/>
      <c r="D1265" s="56" t="s">
        <v>1116</v>
      </c>
      <c r="E1265" s="426">
        <v>44914</v>
      </c>
      <c r="F1265" s="26" t="s">
        <v>638</v>
      </c>
      <c r="G1265" s="426">
        <v>44896</v>
      </c>
      <c r="H1265" s="35">
        <v>186699</v>
      </c>
      <c r="I1265" s="21">
        <v>3891260</v>
      </c>
      <c r="J1265" s="21"/>
      <c r="K1265" s="22">
        <v>739339.4</v>
      </c>
      <c r="L1265" s="23"/>
      <c r="M1265" s="22">
        <v>0</v>
      </c>
      <c r="N1265" s="74">
        <v>3.5000000000000003E-2</v>
      </c>
      <c r="O1265" s="22">
        <v>136194.1</v>
      </c>
      <c r="P1265" s="21">
        <v>4494405.3000000007</v>
      </c>
      <c r="S1265" s="108" t="b">
        <f>OR(COUNTIF(Tabla2[[#This Row],[PROVEEDOR]],"*"&amp;'Palabra no opera'!$A$2&amp;"*"))</f>
        <v>1</v>
      </c>
      <c r="T1265" s="139">
        <f>+$W$5-Tabla2[[#This Row],[FECHA DE FACTURACIÓN]]</f>
        <v>395</v>
      </c>
      <c r="U1265" t="str">
        <f>+IF(Tabla2[[#This Row],[dias de credito]]&gt;=Tabla2[[#This Row],[PLAZO Días]],"venc", "No venc")</f>
        <v>venc</v>
      </c>
      <c r="V1265" t="str">
        <f>+IF(Tabla2[[#This Row],[FECHA DE PAGO]]&gt;0,"pagada","por pagar")</f>
        <v>pagada</v>
      </c>
      <c r="W1265" s="141" t="str">
        <f>+IF(AND(Tabla2[[#This Row],[venc]]="venc",Tabla2[[#This Row],[Columna1]]="por pagar"),"vencida","no")</f>
        <v>no</v>
      </c>
    </row>
    <row r="1266" spans="1:23" ht="15.6" hidden="1" x14ac:dyDescent="0.3">
      <c r="A1266" s="20">
        <v>30</v>
      </c>
      <c r="B1266" s="25">
        <v>680000</v>
      </c>
      <c r="C1266" s="25"/>
      <c r="D1266" s="56" t="s">
        <v>177</v>
      </c>
      <c r="E1266" s="426">
        <v>44914</v>
      </c>
      <c r="F1266" s="26" t="s">
        <v>412</v>
      </c>
      <c r="G1266" s="426">
        <v>44881</v>
      </c>
      <c r="H1266" s="35">
        <v>546865</v>
      </c>
      <c r="I1266" s="21">
        <v>420000</v>
      </c>
      <c r="J1266" s="21"/>
      <c r="K1266" s="22">
        <v>0</v>
      </c>
      <c r="L1266" s="23"/>
      <c r="M1266" s="22">
        <v>0</v>
      </c>
      <c r="N1266" s="74">
        <v>0</v>
      </c>
      <c r="O1266" s="22">
        <v>0</v>
      </c>
      <c r="P1266" s="21">
        <v>420000</v>
      </c>
      <c r="S1266" s="108" t="b">
        <f>OR(COUNTIF(Tabla2[[#This Row],[PROVEEDOR]],"*"&amp;'Palabra no opera'!$A$2&amp;"*"))</f>
        <v>0</v>
      </c>
      <c r="T1266" s="139">
        <f>+$W$5-Tabla2[[#This Row],[FECHA DE FACTURACIÓN]]</f>
        <v>410</v>
      </c>
      <c r="U1266" t="str">
        <f>+IF(Tabla2[[#This Row],[dias de credito]]&gt;=Tabla2[[#This Row],[PLAZO Días]],"venc", "No venc")</f>
        <v>venc</v>
      </c>
      <c r="V1266" t="str">
        <f>+IF(Tabla2[[#This Row],[FECHA DE PAGO]]&gt;0,"pagada","por pagar")</f>
        <v>pagada</v>
      </c>
      <c r="W1266" s="141" t="str">
        <f>+IF(AND(Tabla2[[#This Row],[venc]]="venc",Tabla2[[#This Row],[Columna1]]="por pagar"),"vencida","no")</f>
        <v>no</v>
      </c>
    </row>
    <row r="1267" spans="1:23" ht="15.6" hidden="1" x14ac:dyDescent="0.3">
      <c r="A1267" s="20">
        <v>30</v>
      </c>
      <c r="B1267" s="25">
        <v>680000</v>
      </c>
      <c r="C1267" s="25"/>
      <c r="D1267" s="56" t="s">
        <v>177</v>
      </c>
      <c r="E1267" s="426">
        <v>44914</v>
      </c>
      <c r="F1267" s="26" t="s">
        <v>412</v>
      </c>
      <c r="G1267" s="426">
        <v>44881</v>
      </c>
      <c r="H1267" s="35">
        <v>325698</v>
      </c>
      <c r="I1267" s="21">
        <v>280000</v>
      </c>
      <c r="J1267" s="21"/>
      <c r="K1267" s="22">
        <v>0</v>
      </c>
      <c r="L1267" s="23"/>
      <c r="M1267" s="22">
        <v>0</v>
      </c>
      <c r="N1267" s="74">
        <v>0</v>
      </c>
      <c r="O1267" s="22">
        <v>0</v>
      </c>
      <c r="P1267" s="21">
        <v>280000</v>
      </c>
      <c r="S1267" s="108" t="b">
        <f>OR(COUNTIF(Tabla2[[#This Row],[PROVEEDOR]],"*"&amp;'Palabra no opera'!$A$2&amp;"*"))</f>
        <v>0</v>
      </c>
      <c r="T1267" s="139">
        <f>+$W$5-Tabla2[[#This Row],[FECHA DE FACTURACIÓN]]</f>
        <v>410</v>
      </c>
      <c r="U1267" t="str">
        <f>+IF(Tabla2[[#This Row],[dias de credito]]&gt;=Tabla2[[#This Row],[PLAZO Días]],"venc", "No venc")</f>
        <v>venc</v>
      </c>
      <c r="V1267" t="str">
        <f>+IF(Tabla2[[#This Row],[FECHA DE PAGO]]&gt;0,"pagada","por pagar")</f>
        <v>pagada</v>
      </c>
      <c r="W1267" s="141" t="str">
        <f>+IF(AND(Tabla2[[#This Row],[venc]]="venc",Tabla2[[#This Row],[Columna1]]="por pagar"),"vencida","no")</f>
        <v>no</v>
      </c>
    </row>
    <row r="1268" spans="1:23" ht="15.6" hidden="1" x14ac:dyDescent="0.3">
      <c r="A1268" s="20">
        <v>30</v>
      </c>
      <c r="B1268" s="25">
        <v>680000</v>
      </c>
      <c r="C1268" s="25"/>
      <c r="D1268" s="56" t="s">
        <v>177</v>
      </c>
      <c r="E1268" s="426">
        <v>44914</v>
      </c>
      <c r="F1268" s="26" t="s">
        <v>412</v>
      </c>
      <c r="G1268" s="426">
        <v>44862</v>
      </c>
      <c r="H1268" s="35">
        <v>546708</v>
      </c>
      <c r="I1268" s="21">
        <v>37500</v>
      </c>
      <c r="J1268" s="21"/>
      <c r="K1268" s="22">
        <v>0</v>
      </c>
      <c r="L1268" s="23"/>
      <c r="M1268" s="22">
        <v>0</v>
      </c>
      <c r="N1268" s="74">
        <v>0</v>
      </c>
      <c r="O1268" s="22">
        <v>0</v>
      </c>
      <c r="P1268" s="21">
        <v>37500</v>
      </c>
      <c r="S1268" s="108" t="b">
        <f>OR(COUNTIF(Tabla2[[#This Row],[PROVEEDOR]],"*"&amp;'Palabra no opera'!$A$2&amp;"*"))</f>
        <v>0</v>
      </c>
      <c r="T1268" s="139">
        <f>+$W$5-Tabla2[[#This Row],[FECHA DE FACTURACIÓN]]</f>
        <v>429</v>
      </c>
      <c r="U1268" t="str">
        <f>+IF(Tabla2[[#This Row],[dias de credito]]&gt;=Tabla2[[#This Row],[PLAZO Días]],"venc", "No venc")</f>
        <v>venc</v>
      </c>
      <c r="V1268" t="str">
        <f>+IF(Tabla2[[#This Row],[FECHA DE PAGO]]&gt;0,"pagada","por pagar")</f>
        <v>pagada</v>
      </c>
      <c r="W1268" s="141" t="str">
        <f>+IF(AND(Tabla2[[#This Row],[venc]]="venc",Tabla2[[#This Row],[Columna1]]="por pagar"),"vencida","no")</f>
        <v>no</v>
      </c>
    </row>
    <row r="1269" spans="1:23" ht="15.6" hidden="1" x14ac:dyDescent="0.3">
      <c r="A1269" s="20">
        <v>30</v>
      </c>
      <c r="B1269" s="25">
        <v>680000</v>
      </c>
      <c r="C1269" s="25"/>
      <c r="D1269" s="56" t="s">
        <v>177</v>
      </c>
      <c r="E1269" s="426">
        <v>44914</v>
      </c>
      <c r="F1269" s="26" t="s">
        <v>412</v>
      </c>
      <c r="G1269" s="426">
        <v>44862</v>
      </c>
      <c r="H1269" s="35">
        <v>546704</v>
      </c>
      <c r="I1269" s="21">
        <v>187500</v>
      </c>
      <c r="J1269" s="21"/>
      <c r="K1269" s="22">
        <v>0</v>
      </c>
      <c r="L1269" s="23"/>
      <c r="M1269" s="22">
        <v>0</v>
      </c>
      <c r="N1269" s="74">
        <v>0</v>
      </c>
      <c r="O1269" s="22">
        <v>0</v>
      </c>
      <c r="P1269" s="21">
        <v>187500</v>
      </c>
      <c r="S1269" s="108" t="b">
        <f>OR(COUNTIF(Tabla2[[#This Row],[PROVEEDOR]],"*"&amp;'Palabra no opera'!$A$2&amp;"*"))</f>
        <v>0</v>
      </c>
      <c r="T1269" s="139">
        <f>+$W$5-Tabla2[[#This Row],[FECHA DE FACTURACIÓN]]</f>
        <v>429</v>
      </c>
      <c r="U1269" t="str">
        <f>+IF(Tabla2[[#This Row],[dias de credito]]&gt;=Tabla2[[#This Row],[PLAZO Días]],"venc", "No venc")</f>
        <v>venc</v>
      </c>
      <c r="V1269" t="str">
        <f>+IF(Tabla2[[#This Row],[FECHA DE PAGO]]&gt;0,"pagada","por pagar")</f>
        <v>pagada</v>
      </c>
      <c r="W1269" s="141" t="str">
        <f>+IF(AND(Tabla2[[#This Row],[venc]]="venc",Tabla2[[#This Row],[Columna1]]="por pagar"),"vencida","no")</f>
        <v>no</v>
      </c>
    </row>
    <row r="1270" spans="1:23" ht="15.6" hidden="1" x14ac:dyDescent="0.3">
      <c r="A1270" s="20">
        <v>30</v>
      </c>
      <c r="B1270" s="25">
        <v>680000</v>
      </c>
      <c r="C1270" s="25"/>
      <c r="D1270" s="56" t="s">
        <v>177</v>
      </c>
      <c r="E1270" s="426">
        <v>44914</v>
      </c>
      <c r="F1270" s="26" t="s">
        <v>412</v>
      </c>
      <c r="G1270" s="426">
        <v>44862</v>
      </c>
      <c r="H1270" s="35">
        <v>325476</v>
      </c>
      <c r="I1270" s="21">
        <v>414000</v>
      </c>
      <c r="J1270" s="21"/>
      <c r="K1270" s="22">
        <v>0</v>
      </c>
      <c r="L1270" s="23"/>
      <c r="M1270" s="22">
        <v>0</v>
      </c>
      <c r="N1270" s="74">
        <v>0</v>
      </c>
      <c r="O1270" s="22">
        <v>0</v>
      </c>
      <c r="P1270" s="21">
        <v>414000</v>
      </c>
      <c r="S1270" s="108" t="b">
        <f>OR(COUNTIF(Tabla2[[#This Row],[PROVEEDOR]],"*"&amp;'Palabra no opera'!$A$2&amp;"*"))</f>
        <v>0</v>
      </c>
      <c r="T1270" s="139">
        <f>+$W$5-Tabla2[[#This Row],[FECHA DE FACTURACIÓN]]</f>
        <v>429</v>
      </c>
      <c r="U1270" t="str">
        <f>+IF(Tabla2[[#This Row],[dias de credito]]&gt;=Tabla2[[#This Row],[PLAZO Días]],"venc", "No venc")</f>
        <v>venc</v>
      </c>
      <c r="V1270" t="str">
        <f>+IF(Tabla2[[#This Row],[FECHA DE PAGO]]&gt;0,"pagada","por pagar")</f>
        <v>pagada</v>
      </c>
      <c r="W1270" s="141" t="str">
        <f>+IF(AND(Tabla2[[#This Row],[venc]]="venc",Tabla2[[#This Row],[Columna1]]="por pagar"),"vencida","no")</f>
        <v>no</v>
      </c>
    </row>
    <row r="1271" spans="1:23" ht="15.6" hidden="1" x14ac:dyDescent="0.3">
      <c r="A1271" s="20">
        <v>30</v>
      </c>
      <c r="B1271" s="25">
        <v>680000</v>
      </c>
      <c r="C1271" s="25"/>
      <c r="D1271" s="56" t="s">
        <v>177</v>
      </c>
      <c r="E1271" s="426">
        <v>44914</v>
      </c>
      <c r="F1271" s="26" t="s">
        <v>412</v>
      </c>
      <c r="G1271" s="426">
        <v>44862</v>
      </c>
      <c r="H1271" s="35">
        <v>325475</v>
      </c>
      <c r="I1271" s="21">
        <v>937500</v>
      </c>
      <c r="J1271" s="21"/>
      <c r="K1271" s="22">
        <v>0</v>
      </c>
      <c r="L1271" s="23"/>
      <c r="M1271" s="22">
        <v>0</v>
      </c>
      <c r="N1271" s="74">
        <v>0</v>
      </c>
      <c r="O1271" s="22">
        <v>0</v>
      </c>
      <c r="P1271" s="21">
        <v>937500</v>
      </c>
      <c r="S1271" s="108" t="b">
        <f>OR(COUNTIF(Tabla2[[#This Row],[PROVEEDOR]],"*"&amp;'Palabra no opera'!$A$2&amp;"*"))</f>
        <v>0</v>
      </c>
      <c r="T1271" s="139">
        <f>+$W$5-Tabla2[[#This Row],[FECHA DE FACTURACIÓN]]</f>
        <v>429</v>
      </c>
      <c r="U1271" t="str">
        <f>+IF(Tabla2[[#This Row],[dias de credito]]&gt;=Tabla2[[#This Row],[PLAZO Días]],"venc", "No venc")</f>
        <v>venc</v>
      </c>
      <c r="V1271" t="str">
        <f>+IF(Tabla2[[#This Row],[FECHA DE PAGO]]&gt;0,"pagada","por pagar")</f>
        <v>pagada</v>
      </c>
      <c r="W1271" s="141" t="str">
        <f>+IF(AND(Tabla2[[#This Row],[venc]]="venc",Tabla2[[#This Row],[Columna1]]="por pagar"),"vencida","no")</f>
        <v>no</v>
      </c>
    </row>
    <row r="1272" spans="1:23" ht="15.6" hidden="1" x14ac:dyDescent="0.3">
      <c r="A1272" s="20">
        <v>30</v>
      </c>
      <c r="B1272" s="25">
        <v>680000</v>
      </c>
      <c r="C1272" s="25"/>
      <c r="D1272" s="56" t="s">
        <v>177</v>
      </c>
      <c r="E1272" s="426">
        <v>44914</v>
      </c>
      <c r="F1272" s="26" t="s">
        <v>412</v>
      </c>
      <c r="G1272" s="426">
        <v>44819</v>
      </c>
      <c r="H1272" s="35" t="s">
        <v>1129</v>
      </c>
      <c r="I1272" s="21">
        <v>1354000</v>
      </c>
      <c r="J1272" s="21"/>
      <c r="K1272" s="22">
        <v>0</v>
      </c>
      <c r="L1272" s="23"/>
      <c r="M1272" s="22">
        <v>0</v>
      </c>
      <c r="N1272" s="74">
        <v>0</v>
      </c>
      <c r="O1272" s="22">
        <v>0</v>
      </c>
      <c r="P1272" s="21">
        <v>1354000</v>
      </c>
      <c r="S1272" s="108" t="b">
        <f>OR(COUNTIF(Tabla2[[#This Row],[PROVEEDOR]],"*"&amp;'Palabra no opera'!$A$2&amp;"*"))</f>
        <v>0</v>
      </c>
      <c r="T1272" s="139">
        <f>+$W$5-Tabla2[[#This Row],[FECHA DE FACTURACIÓN]]</f>
        <v>472</v>
      </c>
      <c r="U1272" t="str">
        <f>+IF(Tabla2[[#This Row],[dias de credito]]&gt;=Tabla2[[#This Row],[PLAZO Días]],"venc", "No venc")</f>
        <v>venc</v>
      </c>
      <c r="V1272" t="str">
        <f>+IF(Tabla2[[#This Row],[FECHA DE PAGO]]&gt;0,"pagada","por pagar")</f>
        <v>pagada</v>
      </c>
      <c r="W1272" s="141" t="str">
        <f>+IF(AND(Tabla2[[#This Row],[venc]]="venc",Tabla2[[#This Row],[Columna1]]="por pagar"),"vencida","no")</f>
        <v>no</v>
      </c>
    </row>
    <row r="1273" spans="1:23" ht="15.6" hidden="1" x14ac:dyDescent="0.3">
      <c r="A1273" s="20">
        <v>30</v>
      </c>
      <c r="B1273" s="25">
        <v>0</v>
      </c>
      <c r="C1273" s="25"/>
      <c r="D1273" s="56" t="s">
        <v>186</v>
      </c>
      <c r="E1273" s="426">
        <v>44914</v>
      </c>
      <c r="F1273" s="26" t="s">
        <v>76</v>
      </c>
      <c r="G1273" s="426">
        <v>44809</v>
      </c>
      <c r="H1273" s="35" t="s">
        <v>1189</v>
      </c>
      <c r="I1273" s="21">
        <v>14901668</v>
      </c>
      <c r="J1273" s="21"/>
      <c r="K1273" s="22">
        <v>2831316.92</v>
      </c>
      <c r="L1273" s="23"/>
      <c r="M1273" s="22">
        <v>0</v>
      </c>
      <c r="N1273" s="74">
        <v>2.5000000000000001E-2</v>
      </c>
      <c r="O1273" s="22">
        <v>372541.7</v>
      </c>
      <c r="P1273" s="21">
        <v>17360443.220000003</v>
      </c>
      <c r="S1273" s="108" t="b">
        <f>OR(COUNTIF(Tabla2[[#This Row],[PROVEEDOR]],"*"&amp;'Palabra no opera'!$A$2&amp;"*"))</f>
        <v>0</v>
      </c>
      <c r="T1273" s="139">
        <f>+$W$5-Tabla2[[#This Row],[FECHA DE FACTURACIÓN]]</f>
        <v>482</v>
      </c>
      <c r="U1273" t="str">
        <f>+IF(Tabla2[[#This Row],[dias de credito]]&gt;=Tabla2[[#This Row],[PLAZO Días]],"venc", "No venc")</f>
        <v>venc</v>
      </c>
      <c r="V1273" t="str">
        <f>+IF(Tabla2[[#This Row],[FECHA DE PAGO]]&gt;0,"pagada","por pagar")</f>
        <v>pagada</v>
      </c>
      <c r="W1273" s="141" t="str">
        <f>+IF(AND(Tabla2[[#This Row],[venc]]="venc",Tabla2[[#This Row],[Columna1]]="por pagar"),"vencida","no")</f>
        <v>no</v>
      </c>
    </row>
    <row r="1274" spans="1:23" ht="15.6" hidden="1" x14ac:dyDescent="0.3">
      <c r="A1274" s="20">
        <v>30</v>
      </c>
      <c r="B1274" s="25">
        <v>0</v>
      </c>
      <c r="C1274" s="25"/>
      <c r="D1274" s="56">
        <v>0</v>
      </c>
      <c r="E1274" s="426">
        <v>44912</v>
      </c>
      <c r="F1274" s="26" t="s">
        <v>413</v>
      </c>
      <c r="G1274" s="426">
        <v>44907</v>
      </c>
      <c r="H1274" s="35">
        <v>345</v>
      </c>
      <c r="I1274" s="21">
        <v>1378000</v>
      </c>
      <c r="J1274" s="21"/>
      <c r="K1274" s="22">
        <v>0</v>
      </c>
      <c r="L1274" s="23"/>
      <c r="M1274" s="22">
        <v>0</v>
      </c>
      <c r="N1274" s="74">
        <v>0</v>
      </c>
      <c r="O1274" s="22">
        <v>0</v>
      </c>
      <c r="P1274" s="21">
        <v>1378000</v>
      </c>
      <c r="S1274" s="108" t="b">
        <f>OR(COUNTIF(Tabla2[[#This Row],[PROVEEDOR]],"*"&amp;'Palabra no opera'!$A$2&amp;"*"))</f>
        <v>0</v>
      </c>
      <c r="T1274" s="139">
        <f>+$W$5-Tabla2[[#This Row],[FECHA DE FACTURACIÓN]]</f>
        <v>384</v>
      </c>
      <c r="U1274" t="str">
        <f>+IF(Tabla2[[#This Row],[dias de credito]]&gt;=Tabla2[[#This Row],[PLAZO Días]],"venc", "No venc")</f>
        <v>venc</v>
      </c>
      <c r="V1274" t="str">
        <f>+IF(Tabla2[[#This Row],[FECHA DE PAGO]]&gt;0,"pagada","por pagar")</f>
        <v>pagada</v>
      </c>
      <c r="W1274" s="141" t="str">
        <f>+IF(AND(Tabla2[[#This Row],[venc]]="venc",Tabla2[[#This Row],[Columna1]]="por pagar"),"vencida","no")</f>
        <v>no</v>
      </c>
    </row>
    <row r="1275" spans="1:23" ht="15.6" hidden="1" x14ac:dyDescent="0.3">
      <c r="A1275" s="20">
        <v>30</v>
      </c>
      <c r="B1275" s="25">
        <v>0</v>
      </c>
      <c r="C1275" s="25"/>
      <c r="D1275" s="56" t="s">
        <v>107</v>
      </c>
      <c r="E1275" s="426">
        <v>44911</v>
      </c>
      <c r="F1275" s="26" t="s">
        <v>356</v>
      </c>
      <c r="G1275" s="426">
        <v>44910</v>
      </c>
      <c r="H1275" s="35" t="s">
        <v>1367</v>
      </c>
      <c r="I1275" s="21">
        <v>1573000</v>
      </c>
      <c r="J1275" s="21"/>
      <c r="K1275" s="22">
        <v>0</v>
      </c>
      <c r="L1275" s="23"/>
      <c r="M1275" s="22">
        <v>0</v>
      </c>
      <c r="N1275" s="74">
        <v>0</v>
      </c>
      <c r="O1275" s="22">
        <v>0</v>
      </c>
      <c r="P1275" s="21">
        <v>1573000</v>
      </c>
      <c r="S1275" s="108" t="b">
        <f>OR(COUNTIF(Tabla2[[#This Row],[PROVEEDOR]],"*"&amp;'Palabra no opera'!$A$2&amp;"*"))</f>
        <v>0</v>
      </c>
      <c r="T1275" s="139">
        <f>+$W$5-Tabla2[[#This Row],[FECHA DE FACTURACIÓN]]</f>
        <v>381</v>
      </c>
      <c r="U1275" t="str">
        <f>+IF(Tabla2[[#This Row],[dias de credito]]&gt;=Tabla2[[#This Row],[PLAZO Días]],"venc", "No venc")</f>
        <v>venc</v>
      </c>
      <c r="V1275" t="str">
        <f>+IF(Tabla2[[#This Row],[FECHA DE PAGO]]&gt;0,"pagada","por pagar")</f>
        <v>pagada</v>
      </c>
      <c r="W1275" s="141" t="str">
        <f>+IF(AND(Tabla2[[#This Row],[venc]]="venc",Tabla2[[#This Row],[Columna1]]="por pagar"),"vencida","no")</f>
        <v>no</v>
      </c>
    </row>
    <row r="1276" spans="1:23" ht="15.6" hidden="1" x14ac:dyDescent="0.3">
      <c r="A1276" s="20">
        <v>30</v>
      </c>
      <c r="B1276" s="25">
        <v>0</v>
      </c>
      <c r="C1276" s="25"/>
      <c r="D1276" s="56" t="s">
        <v>107</v>
      </c>
      <c r="E1276" s="426">
        <v>44910</v>
      </c>
      <c r="F1276" s="26" t="s">
        <v>356</v>
      </c>
      <c r="G1276" s="426">
        <v>44907</v>
      </c>
      <c r="H1276" s="35" t="s">
        <v>1365</v>
      </c>
      <c r="I1276" s="21">
        <v>2020000</v>
      </c>
      <c r="J1276" s="21"/>
      <c r="K1276" s="22">
        <v>0</v>
      </c>
      <c r="L1276" s="23"/>
      <c r="M1276" s="22">
        <v>0</v>
      </c>
      <c r="N1276" s="74">
        <v>0</v>
      </c>
      <c r="O1276" s="22">
        <v>0</v>
      </c>
      <c r="P1276" s="21">
        <v>2020000</v>
      </c>
      <c r="S1276" s="108" t="b">
        <f>OR(COUNTIF(Tabla2[[#This Row],[PROVEEDOR]],"*"&amp;'Palabra no opera'!$A$2&amp;"*"))</f>
        <v>0</v>
      </c>
      <c r="T1276" s="139">
        <f>+$W$5-Tabla2[[#This Row],[FECHA DE FACTURACIÓN]]</f>
        <v>384</v>
      </c>
      <c r="U1276" t="str">
        <f>+IF(Tabla2[[#This Row],[dias de credito]]&gt;=Tabla2[[#This Row],[PLAZO Días]],"venc", "No venc")</f>
        <v>venc</v>
      </c>
      <c r="V1276" t="str">
        <f>+IF(Tabla2[[#This Row],[FECHA DE PAGO]]&gt;0,"pagada","por pagar")</f>
        <v>pagada</v>
      </c>
      <c r="W1276" s="141" t="str">
        <f>+IF(AND(Tabla2[[#This Row],[venc]]="venc",Tabla2[[#This Row],[Columna1]]="por pagar"),"vencida","no")</f>
        <v>no</v>
      </c>
    </row>
    <row r="1277" spans="1:23" ht="15.6" hidden="1" x14ac:dyDescent="0.3">
      <c r="A1277" s="20">
        <v>30</v>
      </c>
      <c r="B1277" s="25">
        <v>0</v>
      </c>
      <c r="C1277" s="25"/>
      <c r="D1277" s="56" t="s">
        <v>107</v>
      </c>
      <c r="E1277" s="426">
        <v>44910</v>
      </c>
      <c r="F1277" s="26" t="s">
        <v>356</v>
      </c>
      <c r="G1277" s="426">
        <v>44907</v>
      </c>
      <c r="H1277" s="35" t="s">
        <v>1368</v>
      </c>
      <c r="I1277" s="21">
        <v>3600000</v>
      </c>
      <c r="J1277" s="21"/>
      <c r="K1277" s="22">
        <v>0</v>
      </c>
      <c r="L1277" s="23"/>
      <c r="M1277" s="22">
        <v>0</v>
      </c>
      <c r="N1277" s="74">
        <v>0</v>
      </c>
      <c r="O1277" s="22">
        <v>0</v>
      </c>
      <c r="P1277" s="21">
        <v>3600000</v>
      </c>
      <c r="S1277" s="108" t="b">
        <f>OR(COUNTIF(Tabla2[[#This Row],[PROVEEDOR]],"*"&amp;'Palabra no opera'!$A$2&amp;"*"))</f>
        <v>0</v>
      </c>
      <c r="T1277" s="139">
        <f>+$W$5-Tabla2[[#This Row],[FECHA DE FACTURACIÓN]]</f>
        <v>384</v>
      </c>
      <c r="U1277" t="str">
        <f>+IF(Tabla2[[#This Row],[dias de credito]]&gt;=Tabla2[[#This Row],[PLAZO Días]],"venc", "No venc")</f>
        <v>venc</v>
      </c>
      <c r="V1277" t="str">
        <f>+IF(Tabla2[[#This Row],[FECHA DE PAGO]]&gt;0,"pagada","por pagar")</f>
        <v>pagada</v>
      </c>
      <c r="W1277" s="141" t="str">
        <f>+IF(AND(Tabla2[[#This Row],[venc]]="venc",Tabla2[[#This Row],[Columna1]]="por pagar"),"vencida","no")</f>
        <v>no</v>
      </c>
    </row>
    <row r="1278" spans="1:23" ht="15.6" hidden="1" x14ac:dyDescent="0.3">
      <c r="A1278" s="20">
        <v>30</v>
      </c>
      <c r="B1278" s="25">
        <v>0</v>
      </c>
      <c r="C1278" s="25"/>
      <c r="D1278" s="56" t="s">
        <v>107</v>
      </c>
      <c r="E1278" s="426">
        <v>44909</v>
      </c>
      <c r="F1278" s="26" t="s">
        <v>37</v>
      </c>
      <c r="G1278" s="426">
        <v>44909</v>
      </c>
      <c r="H1278" s="35">
        <v>29448</v>
      </c>
      <c r="I1278" s="21">
        <v>116490</v>
      </c>
      <c r="J1278" s="21"/>
      <c r="K1278" s="22">
        <v>22133.1</v>
      </c>
      <c r="L1278" s="23"/>
      <c r="M1278" s="22">
        <v>0</v>
      </c>
      <c r="N1278" s="74">
        <v>0</v>
      </c>
      <c r="O1278" s="22">
        <v>0</v>
      </c>
      <c r="P1278" s="21">
        <v>138623.1</v>
      </c>
      <c r="S1278" s="108" t="b">
        <f>OR(COUNTIF(Tabla2[[#This Row],[PROVEEDOR]],"*"&amp;'Palabra no opera'!$A$2&amp;"*"))</f>
        <v>0</v>
      </c>
      <c r="T1278" s="139">
        <f>+$W$5-Tabla2[[#This Row],[FECHA DE FACTURACIÓN]]</f>
        <v>382</v>
      </c>
      <c r="U1278" t="str">
        <f>+IF(Tabla2[[#This Row],[dias de credito]]&gt;=Tabla2[[#This Row],[PLAZO Días]],"venc", "No venc")</f>
        <v>venc</v>
      </c>
      <c r="V1278" t="str">
        <f>+IF(Tabla2[[#This Row],[FECHA DE PAGO]]&gt;0,"pagada","por pagar")</f>
        <v>pagada</v>
      </c>
      <c r="W1278" s="141" t="str">
        <f>+IF(AND(Tabla2[[#This Row],[venc]]="venc",Tabla2[[#This Row],[Columna1]]="por pagar"),"vencida","no")</f>
        <v>no</v>
      </c>
    </row>
    <row r="1279" spans="1:23" ht="15.6" hidden="1" x14ac:dyDescent="0.3">
      <c r="A1279" s="20">
        <v>30</v>
      </c>
      <c r="B1279" s="25">
        <v>0</v>
      </c>
      <c r="C1279" s="25"/>
      <c r="D1279" s="56">
        <v>0</v>
      </c>
      <c r="E1279" s="426">
        <v>44909</v>
      </c>
      <c r="F1279" s="26" t="s">
        <v>1350</v>
      </c>
      <c r="G1279" s="426">
        <v>44908</v>
      </c>
      <c r="H1279" s="35">
        <v>1902</v>
      </c>
      <c r="I1279" s="21">
        <v>907500</v>
      </c>
      <c r="J1279" s="21"/>
      <c r="K1279" s="22">
        <v>172425</v>
      </c>
      <c r="L1279" s="23"/>
      <c r="M1279" s="22">
        <v>0</v>
      </c>
      <c r="N1279" s="74">
        <v>0</v>
      </c>
      <c r="O1279" s="22">
        <v>0</v>
      </c>
      <c r="P1279" s="21">
        <v>1079925</v>
      </c>
      <c r="S1279" s="108" t="b">
        <f>OR(COUNTIF(Tabla2[[#This Row],[PROVEEDOR]],"*"&amp;'Palabra no opera'!$A$2&amp;"*"))</f>
        <v>0</v>
      </c>
      <c r="T1279" s="139">
        <f>+$W$5-Tabla2[[#This Row],[FECHA DE FACTURACIÓN]]</f>
        <v>383</v>
      </c>
      <c r="U1279" t="str">
        <f>+IF(Tabla2[[#This Row],[dias de credito]]&gt;=Tabla2[[#This Row],[PLAZO Días]],"venc", "No venc")</f>
        <v>venc</v>
      </c>
      <c r="V1279" t="str">
        <f>+IF(Tabla2[[#This Row],[FECHA DE PAGO]]&gt;0,"pagada","por pagar")</f>
        <v>pagada</v>
      </c>
      <c r="W1279" s="141" t="str">
        <f>+IF(AND(Tabla2[[#This Row],[venc]]="venc",Tabla2[[#This Row],[Columna1]]="por pagar"),"vencida","no")</f>
        <v>no</v>
      </c>
    </row>
    <row r="1280" spans="1:23" ht="15.6" hidden="1" x14ac:dyDescent="0.3">
      <c r="A1280" s="20">
        <v>30</v>
      </c>
      <c r="B1280" s="25">
        <v>2100000</v>
      </c>
      <c r="C1280" s="25"/>
      <c r="D1280" s="56" t="s">
        <v>107</v>
      </c>
      <c r="E1280" s="426">
        <v>44909</v>
      </c>
      <c r="F1280" s="26" t="s">
        <v>349</v>
      </c>
      <c r="G1280" s="426">
        <v>44896</v>
      </c>
      <c r="H1280" s="35">
        <v>2664</v>
      </c>
      <c r="I1280" s="21">
        <v>500000</v>
      </c>
      <c r="J1280" s="21"/>
      <c r="K1280" s="22">
        <v>0</v>
      </c>
      <c r="L1280" s="23"/>
      <c r="M1280" s="22">
        <v>0</v>
      </c>
      <c r="N1280" s="74">
        <v>0</v>
      </c>
      <c r="O1280" s="22">
        <v>0</v>
      </c>
      <c r="P1280" s="21">
        <v>500000</v>
      </c>
      <c r="S1280" s="108" t="b">
        <f>OR(COUNTIF(Tabla2[[#This Row],[PROVEEDOR]],"*"&amp;'Palabra no opera'!$A$2&amp;"*"))</f>
        <v>0</v>
      </c>
      <c r="T1280" s="139">
        <f>+$W$5-Tabla2[[#This Row],[FECHA DE FACTURACIÓN]]</f>
        <v>395</v>
      </c>
      <c r="U1280" t="str">
        <f>+IF(Tabla2[[#This Row],[dias de credito]]&gt;=Tabla2[[#This Row],[PLAZO Días]],"venc", "No venc")</f>
        <v>venc</v>
      </c>
      <c r="V1280" t="str">
        <f>+IF(Tabla2[[#This Row],[FECHA DE PAGO]]&gt;0,"pagada","por pagar")</f>
        <v>pagada</v>
      </c>
      <c r="W1280" s="141" t="str">
        <f>+IF(AND(Tabla2[[#This Row],[venc]]="venc",Tabla2[[#This Row],[Columna1]]="por pagar"),"vencida","no")</f>
        <v>no</v>
      </c>
    </row>
    <row r="1281" spans="1:23" ht="15.6" hidden="1" x14ac:dyDescent="0.3">
      <c r="A1281" s="20">
        <v>30</v>
      </c>
      <c r="B1281" s="25">
        <v>4248480.9550000001</v>
      </c>
      <c r="C1281" s="25"/>
      <c r="D1281" s="56" t="s">
        <v>107</v>
      </c>
      <c r="E1281" s="426">
        <v>44909</v>
      </c>
      <c r="F1281" s="26" t="s">
        <v>78</v>
      </c>
      <c r="G1281" s="426">
        <v>44869</v>
      </c>
      <c r="H1281" s="35" t="s">
        <v>1267</v>
      </c>
      <c r="I1281" s="21">
        <v>901200</v>
      </c>
      <c r="J1281" s="21"/>
      <c r="K1281" s="22">
        <v>171228</v>
      </c>
      <c r="L1281" s="23"/>
      <c r="M1281" s="22">
        <v>0</v>
      </c>
      <c r="N1281" s="74">
        <v>0</v>
      </c>
      <c r="O1281" s="22">
        <v>0</v>
      </c>
      <c r="P1281" s="21">
        <v>1072428</v>
      </c>
      <c r="S1281" s="108" t="b">
        <f>OR(COUNTIF(Tabla2[[#This Row],[PROVEEDOR]],"*"&amp;'Palabra no opera'!$A$2&amp;"*"))</f>
        <v>0</v>
      </c>
      <c r="T1281" s="139">
        <f>+$W$5-Tabla2[[#This Row],[FECHA DE FACTURACIÓN]]</f>
        <v>422</v>
      </c>
      <c r="U1281" t="str">
        <f>+IF(Tabla2[[#This Row],[dias de credito]]&gt;=Tabla2[[#This Row],[PLAZO Días]],"venc", "No venc")</f>
        <v>venc</v>
      </c>
      <c r="V1281" t="str">
        <f>+IF(Tabla2[[#This Row],[FECHA DE PAGO]]&gt;0,"pagada","por pagar")</f>
        <v>pagada</v>
      </c>
      <c r="W1281" s="141" t="str">
        <f>+IF(AND(Tabla2[[#This Row],[venc]]="venc",Tabla2[[#This Row],[Columna1]]="por pagar"),"vencida","no")</f>
        <v>no</v>
      </c>
    </row>
    <row r="1282" spans="1:23" ht="15.6" hidden="1" x14ac:dyDescent="0.3">
      <c r="A1282" s="20">
        <v>30</v>
      </c>
      <c r="B1282" s="25">
        <v>4248480.9550000001</v>
      </c>
      <c r="C1282" s="25"/>
      <c r="D1282" s="56" t="s">
        <v>107</v>
      </c>
      <c r="E1282" s="426">
        <v>44909</v>
      </c>
      <c r="F1282" s="26" t="s">
        <v>78</v>
      </c>
      <c r="G1282" s="426">
        <v>44868</v>
      </c>
      <c r="H1282" s="35" t="s">
        <v>1250</v>
      </c>
      <c r="I1282" s="21">
        <v>3944780</v>
      </c>
      <c r="J1282" s="21"/>
      <c r="K1282" s="22">
        <v>749508.2</v>
      </c>
      <c r="L1282" s="23"/>
      <c r="M1282" s="22">
        <v>0</v>
      </c>
      <c r="N1282" s="74">
        <v>2.5000000000000001E-2</v>
      </c>
      <c r="O1282" s="22">
        <v>98619.5</v>
      </c>
      <c r="P1282" s="21">
        <v>4595668.7</v>
      </c>
      <c r="S1282" s="108" t="b">
        <f>OR(COUNTIF(Tabla2[[#This Row],[PROVEEDOR]],"*"&amp;'Palabra no opera'!$A$2&amp;"*"))</f>
        <v>0</v>
      </c>
      <c r="T1282" s="139">
        <f>+$W$5-Tabla2[[#This Row],[FECHA DE FACTURACIÓN]]</f>
        <v>423</v>
      </c>
      <c r="U1282" t="str">
        <f>+IF(Tabla2[[#This Row],[dias de credito]]&gt;=Tabla2[[#This Row],[PLAZO Días]],"venc", "No venc")</f>
        <v>venc</v>
      </c>
      <c r="V1282" t="str">
        <f>+IF(Tabla2[[#This Row],[FECHA DE PAGO]]&gt;0,"pagada","por pagar")</f>
        <v>pagada</v>
      </c>
      <c r="W1282" s="141" t="str">
        <f>+IF(AND(Tabla2[[#This Row],[venc]]="venc",Tabla2[[#This Row],[Columna1]]="por pagar"),"vencida","no")</f>
        <v>no</v>
      </c>
    </row>
    <row r="1283" spans="1:23" ht="15.6" hidden="1" x14ac:dyDescent="0.3">
      <c r="A1283" s="20">
        <v>30</v>
      </c>
      <c r="B1283" s="25">
        <v>0</v>
      </c>
      <c r="C1283" s="25"/>
      <c r="D1283" s="56" t="s">
        <v>296</v>
      </c>
      <c r="E1283" s="426">
        <v>44909</v>
      </c>
      <c r="F1283" s="26" t="s">
        <v>281</v>
      </c>
      <c r="G1283" s="426">
        <v>44853</v>
      </c>
      <c r="H1283" s="35" t="s">
        <v>1228</v>
      </c>
      <c r="I1283" s="21">
        <v>1120536</v>
      </c>
      <c r="J1283" s="21"/>
      <c r="K1283" s="22">
        <v>212901.84</v>
      </c>
      <c r="L1283" s="23"/>
      <c r="M1283" s="22">
        <v>0</v>
      </c>
      <c r="N1283" s="74">
        <v>0</v>
      </c>
      <c r="O1283" s="22">
        <v>0</v>
      </c>
      <c r="P1283" s="21">
        <v>1333437.8400000001</v>
      </c>
      <c r="S1283" s="108" t="b">
        <f>OR(COUNTIF(Tabla2[[#This Row],[PROVEEDOR]],"*"&amp;'Palabra no opera'!$A$2&amp;"*"))</f>
        <v>0</v>
      </c>
      <c r="T1283" s="139">
        <f>+$W$5-Tabla2[[#This Row],[FECHA DE FACTURACIÓN]]</f>
        <v>438</v>
      </c>
      <c r="U1283" t="str">
        <f>+IF(Tabla2[[#This Row],[dias de credito]]&gt;=Tabla2[[#This Row],[PLAZO Días]],"venc", "No venc")</f>
        <v>venc</v>
      </c>
      <c r="V1283" t="str">
        <f>+IF(Tabla2[[#This Row],[FECHA DE PAGO]]&gt;0,"pagada","por pagar")</f>
        <v>pagada</v>
      </c>
      <c r="W1283" s="141" t="str">
        <f>+IF(AND(Tabla2[[#This Row],[venc]]="venc",Tabla2[[#This Row],[Columna1]]="por pagar"),"vencida","no")</f>
        <v>no</v>
      </c>
    </row>
    <row r="1284" spans="1:23" ht="15.6" hidden="1" x14ac:dyDescent="0.3">
      <c r="A1284" s="20">
        <v>30</v>
      </c>
      <c r="B1284" s="25">
        <v>229206</v>
      </c>
      <c r="C1284" s="25"/>
      <c r="D1284" s="56" t="s">
        <v>659</v>
      </c>
      <c r="E1284" s="426">
        <v>44908</v>
      </c>
      <c r="F1284" s="26" t="s">
        <v>95</v>
      </c>
      <c r="G1284" s="426">
        <v>44908</v>
      </c>
      <c r="H1284" s="35" t="s">
        <v>1344</v>
      </c>
      <c r="I1284" s="21">
        <v>1840000</v>
      </c>
      <c r="J1284" s="21"/>
      <c r="K1284" s="22">
        <v>0</v>
      </c>
      <c r="L1284" s="23"/>
      <c r="M1284" s="22">
        <v>0</v>
      </c>
      <c r="N1284" s="74">
        <v>0</v>
      </c>
      <c r="O1284" s="22">
        <v>0</v>
      </c>
      <c r="P1284" s="21">
        <v>1840000</v>
      </c>
      <c r="S1284" s="108" t="b">
        <f>OR(COUNTIF(Tabla2[[#This Row],[PROVEEDOR]],"*"&amp;'Palabra no opera'!$A$2&amp;"*"))</f>
        <v>0</v>
      </c>
      <c r="T1284" s="139">
        <f>+$W$5-Tabla2[[#This Row],[FECHA DE FACTURACIÓN]]</f>
        <v>383</v>
      </c>
      <c r="U1284" t="str">
        <f>+IF(Tabla2[[#This Row],[dias de credito]]&gt;=Tabla2[[#This Row],[PLAZO Días]],"venc", "No venc")</f>
        <v>venc</v>
      </c>
      <c r="V1284" t="str">
        <f>+IF(Tabla2[[#This Row],[FECHA DE PAGO]]&gt;0,"pagada","por pagar")</f>
        <v>pagada</v>
      </c>
      <c r="W1284" s="141" t="str">
        <f>+IF(AND(Tabla2[[#This Row],[venc]]="venc",Tabla2[[#This Row],[Columna1]]="por pagar"),"vencida","no")</f>
        <v>no</v>
      </c>
    </row>
    <row r="1285" spans="1:23" ht="15.6" hidden="1" x14ac:dyDescent="0.3">
      <c r="A1285" s="20">
        <v>0</v>
      </c>
      <c r="B1285" s="25">
        <v>0</v>
      </c>
      <c r="C1285" s="25"/>
      <c r="D1285" s="56" t="s">
        <v>136</v>
      </c>
      <c r="E1285" s="426">
        <v>44908</v>
      </c>
      <c r="F1285" s="26" t="s">
        <v>649</v>
      </c>
      <c r="G1285" s="426">
        <v>44907</v>
      </c>
      <c r="H1285" s="35">
        <v>1461</v>
      </c>
      <c r="I1285" s="21">
        <v>600000</v>
      </c>
      <c r="J1285" s="21"/>
      <c r="K1285" s="22">
        <v>0</v>
      </c>
      <c r="L1285" s="23"/>
      <c r="M1285" s="22">
        <v>0</v>
      </c>
      <c r="N1285" s="74">
        <v>0</v>
      </c>
      <c r="O1285" s="22">
        <v>0</v>
      </c>
      <c r="P1285" s="21">
        <v>600000</v>
      </c>
      <c r="S1285" s="108" t="b">
        <f>OR(COUNTIF(Tabla2[[#This Row],[PROVEEDOR]],"*"&amp;'Palabra no opera'!$A$2&amp;"*"))</f>
        <v>1</v>
      </c>
      <c r="T1285" s="139">
        <f>+$W$5-Tabla2[[#This Row],[FECHA DE FACTURACIÓN]]</f>
        <v>384</v>
      </c>
      <c r="U1285" t="str">
        <f>+IF(Tabla2[[#This Row],[dias de credito]]&gt;=Tabla2[[#This Row],[PLAZO Días]],"venc", "No venc")</f>
        <v>venc</v>
      </c>
      <c r="V1285" t="str">
        <f>+IF(Tabla2[[#This Row],[FECHA DE PAGO]]&gt;0,"pagada","por pagar")</f>
        <v>pagada</v>
      </c>
      <c r="W1285" s="141" t="str">
        <f>+IF(AND(Tabla2[[#This Row],[venc]]="venc",Tabla2[[#This Row],[Columna1]]="por pagar"),"vencida","no")</f>
        <v>no</v>
      </c>
    </row>
    <row r="1286" spans="1:23" ht="15.6" hidden="1" x14ac:dyDescent="0.3">
      <c r="A1286" s="20">
        <v>30</v>
      </c>
      <c r="B1286" s="25">
        <v>0</v>
      </c>
      <c r="C1286" s="25"/>
      <c r="D1286" s="56" t="s">
        <v>942</v>
      </c>
      <c r="E1286" s="426">
        <v>44907</v>
      </c>
      <c r="F1286" s="26" t="s">
        <v>21</v>
      </c>
      <c r="G1286" s="426">
        <v>44907</v>
      </c>
      <c r="H1286" s="35">
        <v>27301</v>
      </c>
      <c r="I1286" s="21">
        <v>466387</v>
      </c>
      <c r="J1286" s="21"/>
      <c r="K1286" s="22">
        <v>88613.53</v>
      </c>
      <c r="L1286" s="23"/>
      <c r="M1286" s="22">
        <v>0</v>
      </c>
      <c r="N1286" s="74">
        <v>0</v>
      </c>
      <c r="O1286" s="22">
        <v>0</v>
      </c>
      <c r="P1286" s="21">
        <v>555000.53</v>
      </c>
      <c r="S1286" s="108" t="b">
        <f>OR(COUNTIF(Tabla2[[#This Row],[PROVEEDOR]],"*"&amp;'Palabra no opera'!$A$2&amp;"*"))</f>
        <v>0</v>
      </c>
      <c r="T1286" s="139">
        <f>+$W$5-Tabla2[[#This Row],[FECHA DE FACTURACIÓN]]</f>
        <v>384</v>
      </c>
      <c r="U1286" t="str">
        <f>+IF(Tabla2[[#This Row],[dias de credito]]&gt;=Tabla2[[#This Row],[PLAZO Días]],"venc", "No venc")</f>
        <v>venc</v>
      </c>
      <c r="V1286" t="str">
        <f>+IF(Tabla2[[#This Row],[FECHA DE PAGO]]&gt;0,"pagada","por pagar")</f>
        <v>pagada</v>
      </c>
      <c r="W1286" s="141" t="str">
        <f>+IF(AND(Tabla2[[#This Row],[venc]]="venc",Tabla2[[#This Row],[Columna1]]="por pagar"),"vencida","no")</f>
        <v>no</v>
      </c>
    </row>
    <row r="1287" spans="1:23" ht="15.6" hidden="1" x14ac:dyDescent="0.3">
      <c r="A1287" s="20">
        <v>30</v>
      </c>
      <c r="B1287" s="25">
        <v>0</v>
      </c>
      <c r="C1287" s="25"/>
      <c r="D1287" s="56" t="s">
        <v>659</v>
      </c>
      <c r="E1287" s="426">
        <v>44907</v>
      </c>
      <c r="F1287" s="26" t="s">
        <v>227</v>
      </c>
      <c r="G1287" s="426">
        <v>44907</v>
      </c>
      <c r="H1287" s="35" t="s">
        <v>1340</v>
      </c>
      <c r="I1287" s="21">
        <v>1640000</v>
      </c>
      <c r="J1287" s="21"/>
      <c r="K1287" s="22">
        <v>0</v>
      </c>
      <c r="L1287" s="23"/>
      <c r="M1287" s="22">
        <v>0</v>
      </c>
      <c r="N1287" s="74">
        <v>0</v>
      </c>
      <c r="O1287" s="22">
        <v>0</v>
      </c>
      <c r="P1287" s="21">
        <v>1640000</v>
      </c>
      <c r="S1287" s="108" t="b">
        <f>OR(COUNTIF(Tabla2[[#This Row],[PROVEEDOR]],"*"&amp;'Palabra no opera'!$A$2&amp;"*"))</f>
        <v>0</v>
      </c>
      <c r="T1287" s="139">
        <f>+$W$5-Tabla2[[#This Row],[FECHA DE FACTURACIÓN]]</f>
        <v>384</v>
      </c>
      <c r="U1287" t="str">
        <f>+IF(Tabla2[[#This Row],[dias de credito]]&gt;=Tabla2[[#This Row],[PLAZO Días]],"venc", "No venc")</f>
        <v>venc</v>
      </c>
      <c r="V1287" t="str">
        <f>+IF(Tabla2[[#This Row],[FECHA DE PAGO]]&gt;0,"pagada","por pagar")</f>
        <v>pagada</v>
      </c>
      <c r="W1287" s="141" t="str">
        <f>+IF(AND(Tabla2[[#This Row],[venc]]="venc",Tabla2[[#This Row],[Columna1]]="por pagar"),"vencida","no")</f>
        <v>no</v>
      </c>
    </row>
    <row r="1288" spans="1:23" ht="15.6" hidden="1" x14ac:dyDescent="0.3">
      <c r="A1288" s="20">
        <v>30</v>
      </c>
      <c r="B1288" s="25">
        <v>0</v>
      </c>
      <c r="C1288" s="25"/>
      <c r="D1288" s="56" t="s">
        <v>176</v>
      </c>
      <c r="E1288" s="426">
        <v>44907</v>
      </c>
      <c r="F1288" s="26" t="s">
        <v>966</v>
      </c>
      <c r="G1288" s="426">
        <v>44900</v>
      </c>
      <c r="H1288" s="35">
        <v>386</v>
      </c>
      <c r="I1288" s="21">
        <v>400000</v>
      </c>
      <c r="J1288" s="21"/>
      <c r="K1288" s="22">
        <v>0</v>
      </c>
      <c r="L1288" s="23"/>
      <c r="M1288" s="22">
        <v>0</v>
      </c>
      <c r="N1288" s="74">
        <v>0</v>
      </c>
      <c r="O1288" s="22">
        <v>0</v>
      </c>
      <c r="P1288" s="21">
        <v>400000</v>
      </c>
      <c r="S1288" s="108" t="b">
        <f>OR(COUNTIF(Tabla2[[#This Row],[PROVEEDOR]],"*"&amp;'Palabra no opera'!$A$2&amp;"*"))</f>
        <v>0</v>
      </c>
      <c r="T1288" s="139">
        <f>+$W$5-Tabla2[[#This Row],[FECHA DE FACTURACIÓN]]</f>
        <v>391</v>
      </c>
      <c r="U1288" t="str">
        <f>+IF(Tabla2[[#This Row],[dias de credito]]&gt;=Tabla2[[#This Row],[PLAZO Días]],"venc", "No venc")</f>
        <v>venc</v>
      </c>
      <c r="V1288" t="str">
        <f>+IF(Tabla2[[#This Row],[FECHA DE PAGO]]&gt;0,"pagada","por pagar")</f>
        <v>pagada</v>
      </c>
      <c r="W1288" s="141" t="str">
        <f>+IF(AND(Tabla2[[#This Row],[venc]]="venc",Tabla2[[#This Row],[Columna1]]="por pagar"),"vencida","no")</f>
        <v>no</v>
      </c>
    </row>
    <row r="1289" spans="1:23" ht="15.6" hidden="1" x14ac:dyDescent="0.3">
      <c r="A1289" s="20">
        <v>30</v>
      </c>
      <c r="B1289" s="25">
        <v>0</v>
      </c>
      <c r="C1289" s="25"/>
      <c r="D1289" s="56" t="s">
        <v>176</v>
      </c>
      <c r="E1289" s="426">
        <v>44907</v>
      </c>
      <c r="F1289" s="26" t="s">
        <v>967</v>
      </c>
      <c r="G1289" s="426">
        <v>44900</v>
      </c>
      <c r="H1289" s="35" t="s">
        <v>1336</v>
      </c>
      <c r="I1289" s="21">
        <v>327000</v>
      </c>
      <c r="J1289" s="21"/>
      <c r="K1289" s="22">
        <v>0</v>
      </c>
      <c r="L1289" s="23"/>
      <c r="M1289" s="22">
        <v>0</v>
      </c>
      <c r="N1289" s="74">
        <v>0.01</v>
      </c>
      <c r="O1289" s="22">
        <v>3270</v>
      </c>
      <c r="P1289" s="21">
        <v>323730</v>
      </c>
      <c r="S1289" s="108" t="b">
        <f>OR(COUNTIF(Tabla2[[#This Row],[PROVEEDOR]],"*"&amp;'Palabra no opera'!$A$2&amp;"*"))</f>
        <v>0</v>
      </c>
      <c r="T1289" s="139">
        <f>+$W$5-Tabla2[[#This Row],[FECHA DE FACTURACIÓN]]</f>
        <v>391</v>
      </c>
      <c r="U1289" t="str">
        <f>+IF(Tabla2[[#This Row],[dias de credito]]&gt;=Tabla2[[#This Row],[PLAZO Días]],"venc", "No venc")</f>
        <v>venc</v>
      </c>
      <c r="V1289" t="str">
        <f>+IF(Tabla2[[#This Row],[FECHA DE PAGO]]&gt;0,"pagada","por pagar")</f>
        <v>pagada</v>
      </c>
      <c r="W1289" s="141" t="str">
        <f>+IF(AND(Tabla2[[#This Row],[venc]]="venc",Tabla2[[#This Row],[Columna1]]="por pagar"),"vencida","no")</f>
        <v>no</v>
      </c>
    </row>
    <row r="1290" spans="1:23" ht="15.6" hidden="1" x14ac:dyDescent="0.3">
      <c r="A1290" s="20">
        <v>30</v>
      </c>
      <c r="B1290" s="25">
        <v>0</v>
      </c>
      <c r="C1290" s="25"/>
      <c r="D1290" s="56" t="s">
        <v>368</v>
      </c>
      <c r="E1290" s="426">
        <v>44907</v>
      </c>
      <c r="F1290" s="26" t="s">
        <v>623</v>
      </c>
      <c r="G1290" s="426">
        <v>44896</v>
      </c>
      <c r="H1290" s="35" t="s">
        <v>1334</v>
      </c>
      <c r="I1290" s="21">
        <v>791781</v>
      </c>
      <c r="J1290" s="21"/>
      <c r="K1290" s="22">
        <v>150438.39000000001</v>
      </c>
      <c r="L1290" s="23"/>
      <c r="M1290" s="22">
        <v>0</v>
      </c>
      <c r="N1290" s="74">
        <v>0</v>
      </c>
      <c r="O1290" s="22">
        <v>0</v>
      </c>
      <c r="P1290" s="21">
        <v>942219.39</v>
      </c>
      <c r="S1290" s="108" t="b">
        <f>OR(COUNTIF(Tabla2[[#This Row],[PROVEEDOR]],"*"&amp;'Palabra no opera'!$A$2&amp;"*"))</f>
        <v>1</v>
      </c>
      <c r="T1290" s="139">
        <f>+$W$5-Tabla2[[#This Row],[FECHA DE FACTURACIÓN]]</f>
        <v>395</v>
      </c>
      <c r="U1290" t="str">
        <f>+IF(Tabla2[[#This Row],[dias de credito]]&gt;=Tabla2[[#This Row],[PLAZO Días]],"venc", "No venc")</f>
        <v>venc</v>
      </c>
      <c r="V1290" t="str">
        <f>+IF(Tabla2[[#This Row],[FECHA DE PAGO]]&gt;0,"pagada","por pagar")</f>
        <v>pagada</v>
      </c>
      <c r="W1290" s="141" t="str">
        <f>+IF(AND(Tabla2[[#This Row],[venc]]="venc",Tabla2[[#This Row],[Columna1]]="por pagar"),"vencida","no")</f>
        <v>no</v>
      </c>
    </row>
    <row r="1291" spans="1:23" ht="15.6" hidden="1" x14ac:dyDescent="0.3">
      <c r="A1291" s="20">
        <v>30</v>
      </c>
      <c r="B1291" s="25">
        <v>0</v>
      </c>
      <c r="C1291" s="25"/>
      <c r="D1291" s="56" t="s">
        <v>368</v>
      </c>
      <c r="E1291" s="426">
        <v>44907</v>
      </c>
      <c r="F1291" s="26" t="s">
        <v>623</v>
      </c>
      <c r="G1291" s="426">
        <v>44896</v>
      </c>
      <c r="H1291" s="35" t="s">
        <v>1335</v>
      </c>
      <c r="I1291" s="21">
        <v>3294426</v>
      </c>
      <c r="J1291" s="21"/>
      <c r="K1291" s="22">
        <v>625940.94000000006</v>
      </c>
      <c r="L1291" s="23"/>
      <c r="M1291" s="22">
        <v>0</v>
      </c>
      <c r="N1291" s="74">
        <v>0</v>
      </c>
      <c r="O1291" s="22">
        <v>0</v>
      </c>
      <c r="P1291" s="21">
        <v>3920366.94</v>
      </c>
      <c r="S1291" s="108" t="b">
        <f>OR(COUNTIF(Tabla2[[#This Row],[PROVEEDOR]],"*"&amp;'Palabra no opera'!$A$2&amp;"*"))</f>
        <v>1</v>
      </c>
      <c r="T1291" s="139">
        <f>+$W$5-Tabla2[[#This Row],[FECHA DE FACTURACIÓN]]</f>
        <v>395</v>
      </c>
      <c r="U1291" t="str">
        <f>+IF(Tabla2[[#This Row],[dias de credito]]&gt;=Tabla2[[#This Row],[PLAZO Días]],"venc", "No venc")</f>
        <v>venc</v>
      </c>
      <c r="V1291" t="str">
        <f>+IF(Tabla2[[#This Row],[FECHA DE PAGO]]&gt;0,"pagada","por pagar")</f>
        <v>pagada</v>
      </c>
      <c r="W1291" s="141" t="str">
        <f>+IF(AND(Tabla2[[#This Row],[venc]]="venc",Tabla2[[#This Row],[Columna1]]="por pagar"),"vencida","no")</f>
        <v>no</v>
      </c>
    </row>
    <row r="1292" spans="1:23" ht="15.6" hidden="1" x14ac:dyDescent="0.3">
      <c r="A1292" s="20">
        <v>30</v>
      </c>
      <c r="B1292" s="25">
        <v>0</v>
      </c>
      <c r="C1292" s="25"/>
      <c r="D1292" s="56" t="s">
        <v>185</v>
      </c>
      <c r="E1292" s="426">
        <v>44907</v>
      </c>
      <c r="F1292" s="26" t="s">
        <v>628</v>
      </c>
      <c r="G1292" s="426">
        <v>44896</v>
      </c>
      <c r="H1292" s="35" t="s">
        <v>1333</v>
      </c>
      <c r="I1292" s="21">
        <v>1649859</v>
      </c>
      <c r="J1292" s="21"/>
      <c r="K1292" s="22">
        <v>0</v>
      </c>
      <c r="L1292" s="23"/>
      <c r="M1292" s="22">
        <v>80632</v>
      </c>
      <c r="N1292" s="74">
        <v>0</v>
      </c>
      <c r="O1292" s="22">
        <v>0</v>
      </c>
      <c r="P1292" s="21">
        <v>1569227</v>
      </c>
      <c r="S1292" s="108" t="b">
        <f>OR(COUNTIF(Tabla2[[#This Row],[PROVEEDOR]],"*"&amp;'Palabra no opera'!$A$2&amp;"*"))</f>
        <v>1</v>
      </c>
      <c r="T1292" s="139">
        <f>+$W$5-Tabla2[[#This Row],[FECHA DE FACTURACIÓN]]</f>
        <v>395</v>
      </c>
      <c r="U1292" t="str">
        <f>+IF(Tabla2[[#This Row],[dias de credito]]&gt;=Tabla2[[#This Row],[PLAZO Días]],"venc", "No venc")</f>
        <v>venc</v>
      </c>
      <c r="V1292" t="str">
        <f>+IF(Tabla2[[#This Row],[FECHA DE PAGO]]&gt;0,"pagada","por pagar")</f>
        <v>pagada</v>
      </c>
      <c r="W1292" s="141" t="str">
        <f>+IF(AND(Tabla2[[#This Row],[venc]]="venc",Tabla2[[#This Row],[Columna1]]="por pagar"),"vencida","no")</f>
        <v>no</v>
      </c>
    </row>
    <row r="1293" spans="1:23" ht="15.6" hidden="1" x14ac:dyDescent="0.3">
      <c r="A1293" s="20">
        <v>30</v>
      </c>
      <c r="B1293" s="25">
        <v>352505.48</v>
      </c>
      <c r="C1293" s="25"/>
      <c r="D1293" s="56" t="s">
        <v>393</v>
      </c>
      <c r="E1293" s="426">
        <v>44907</v>
      </c>
      <c r="F1293" s="26" t="s">
        <v>650</v>
      </c>
      <c r="G1293" s="426">
        <v>44896</v>
      </c>
      <c r="H1293" s="35">
        <v>70025</v>
      </c>
      <c r="I1293" s="21">
        <v>284467</v>
      </c>
      <c r="J1293" s="21">
        <v>8523</v>
      </c>
      <c r="K1293" s="22">
        <v>0</v>
      </c>
      <c r="L1293" s="23"/>
      <c r="M1293" s="22">
        <v>0</v>
      </c>
      <c r="N1293" s="74">
        <v>0</v>
      </c>
      <c r="O1293" s="22">
        <v>0</v>
      </c>
      <c r="P1293" s="21">
        <v>275944</v>
      </c>
      <c r="S1293" s="108" t="b">
        <f>OR(COUNTIF(Tabla2[[#This Row],[PROVEEDOR]],"*"&amp;'Palabra no opera'!$A$2&amp;"*"))</f>
        <v>1</v>
      </c>
      <c r="T1293" s="139">
        <f>+$W$5-Tabla2[[#This Row],[FECHA DE FACTURACIÓN]]</f>
        <v>395</v>
      </c>
      <c r="U1293" t="str">
        <f>+IF(Tabla2[[#This Row],[dias de credito]]&gt;=Tabla2[[#This Row],[PLAZO Días]],"venc", "No venc")</f>
        <v>venc</v>
      </c>
      <c r="V1293" t="str">
        <f>+IF(Tabla2[[#This Row],[FECHA DE PAGO]]&gt;0,"pagada","por pagar")</f>
        <v>pagada</v>
      </c>
      <c r="W1293" s="141" t="str">
        <f>+IF(AND(Tabla2[[#This Row],[venc]]="venc",Tabla2[[#This Row],[Columna1]]="por pagar"),"vencida","no")</f>
        <v>no</v>
      </c>
    </row>
    <row r="1294" spans="1:23" ht="15.6" hidden="1" x14ac:dyDescent="0.3">
      <c r="A1294" s="20">
        <v>30</v>
      </c>
      <c r="B1294" s="25">
        <v>0</v>
      </c>
      <c r="C1294" s="25"/>
      <c r="D1294" s="56" t="s">
        <v>740</v>
      </c>
      <c r="E1294" s="426">
        <v>44907</v>
      </c>
      <c r="F1294" s="26" t="s">
        <v>637</v>
      </c>
      <c r="G1294" s="426">
        <v>44896</v>
      </c>
      <c r="H1294" s="35" t="s">
        <v>1328</v>
      </c>
      <c r="I1294" s="21">
        <v>825349</v>
      </c>
      <c r="J1294" s="21"/>
      <c r="K1294" s="22">
        <v>0</v>
      </c>
      <c r="L1294" s="23"/>
      <c r="M1294" s="22">
        <v>0</v>
      </c>
      <c r="N1294" s="74">
        <v>0</v>
      </c>
      <c r="O1294" s="22">
        <v>0</v>
      </c>
      <c r="P1294" s="21">
        <v>825349</v>
      </c>
      <c r="S1294" s="108" t="b">
        <f>OR(COUNTIF(Tabla2[[#This Row],[PROVEEDOR]],"*"&amp;'Palabra no opera'!$A$2&amp;"*"))</f>
        <v>1</v>
      </c>
      <c r="T1294" s="139">
        <f>+$W$5-Tabla2[[#This Row],[FECHA DE FACTURACIÓN]]</f>
        <v>395</v>
      </c>
      <c r="U1294" t="str">
        <f>+IF(Tabla2[[#This Row],[dias de credito]]&gt;=Tabla2[[#This Row],[PLAZO Días]],"venc", "No venc")</f>
        <v>venc</v>
      </c>
      <c r="V1294" t="str">
        <f>+IF(Tabla2[[#This Row],[FECHA DE PAGO]]&gt;0,"pagada","por pagar")</f>
        <v>pagada</v>
      </c>
      <c r="W1294" s="141" t="str">
        <f>+IF(AND(Tabla2[[#This Row],[venc]]="venc",Tabla2[[#This Row],[Columna1]]="por pagar"),"vencida","no")</f>
        <v>no</v>
      </c>
    </row>
    <row r="1295" spans="1:23" ht="15.6" hidden="1" x14ac:dyDescent="0.3">
      <c r="A1295" s="20">
        <v>30</v>
      </c>
      <c r="B1295" s="25">
        <v>0</v>
      </c>
      <c r="C1295" s="25"/>
      <c r="D1295" s="56" t="s">
        <v>740</v>
      </c>
      <c r="E1295" s="426">
        <v>44907</v>
      </c>
      <c r="F1295" s="26" t="s">
        <v>637</v>
      </c>
      <c r="G1295" s="426">
        <v>44896</v>
      </c>
      <c r="H1295" s="35" t="s">
        <v>1329</v>
      </c>
      <c r="I1295" s="21">
        <v>818875</v>
      </c>
      <c r="J1295" s="21"/>
      <c r="K1295" s="22">
        <v>0</v>
      </c>
      <c r="L1295" s="23"/>
      <c r="M1295" s="22">
        <v>0</v>
      </c>
      <c r="N1295" s="74">
        <v>0</v>
      </c>
      <c r="O1295" s="22">
        <v>0</v>
      </c>
      <c r="P1295" s="21">
        <v>818875</v>
      </c>
      <c r="S1295" s="108" t="b">
        <f>OR(COUNTIF(Tabla2[[#This Row],[PROVEEDOR]],"*"&amp;'Palabra no opera'!$A$2&amp;"*"))</f>
        <v>1</v>
      </c>
      <c r="T1295" s="139">
        <f>+$W$5-Tabla2[[#This Row],[FECHA DE FACTURACIÓN]]</f>
        <v>395</v>
      </c>
      <c r="U1295" t="str">
        <f>+IF(Tabla2[[#This Row],[dias de credito]]&gt;=Tabla2[[#This Row],[PLAZO Días]],"venc", "No venc")</f>
        <v>venc</v>
      </c>
      <c r="V1295" t="str">
        <f>+IF(Tabla2[[#This Row],[FECHA DE PAGO]]&gt;0,"pagada","por pagar")</f>
        <v>pagada</v>
      </c>
      <c r="W1295" s="141" t="str">
        <f>+IF(AND(Tabla2[[#This Row],[venc]]="venc",Tabla2[[#This Row],[Columna1]]="por pagar"),"vencida","no")</f>
        <v>no</v>
      </c>
    </row>
    <row r="1296" spans="1:23" ht="15.6" hidden="1" x14ac:dyDescent="0.3">
      <c r="A1296" s="20">
        <v>30</v>
      </c>
      <c r="B1296" s="25">
        <v>0</v>
      </c>
      <c r="C1296" s="25"/>
      <c r="D1296" s="56" t="s">
        <v>740</v>
      </c>
      <c r="E1296" s="426">
        <v>44907</v>
      </c>
      <c r="F1296" s="26" t="s">
        <v>637</v>
      </c>
      <c r="G1296" s="426">
        <v>44896</v>
      </c>
      <c r="H1296" s="35" t="s">
        <v>1330</v>
      </c>
      <c r="I1296" s="21">
        <v>68166</v>
      </c>
      <c r="J1296" s="21"/>
      <c r="K1296" s="22">
        <v>0</v>
      </c>
      <c r="L1296" s="23"/>
      <c r="M1296" s="22">
        <v>0</v>
      </c>
      <c r="N1296" s="74">
        <v>0</v>
      </c>
      <c r="O1296" s="22">
        <v>0</v>
      </c>
      <c r="P1296" s="21">
        <v>68166</v>
      </c>
      <c r="S1296" s="108" t="b">
        <f>OR(COUNTIF(Tabla2[[#This Row],[PROVEEDOR]],"*"&amp;'Palabra no opera'!$A$2&amp;"*"))</f>
        <v>1</v>
      </c>
      <c r="T1296" s="139">
        <f>+$W$5-Tabla2[[#This Row],[FECHA DE FACTURACIÓN]]</f>
        <v>395</v>
      </c>
      <c r="U1296" t="str">
        <f>+IF(Tabla2[[#This Row],[dias de credito]]&gt;=Tabla2[[#This Row],[PLAZO Días]],"venc", "No venc")</f>
        <v>venc</v>
      </c>
      <c r="V1296" t="str">
        <f>+IF(Tabla2[[#This Row],[FECHA DE PAGO]]&gt;0,"pagada","por pagar")</f>
        <v>pagada</v>
      </c>
      <c r="W1296" s="141" t="str">
        <f>+IF(AND(Tabla2[[#This Row],[venc]]="venc",Tabla2[[#This Row],[Columna1]]="por pagar"),"vencida","no")</f>
        <v>no</v>
      </c>
    </row>
    <row r="1297" spans="1:23" ht="15.6" hidden="1" x14ac:dyDescent="0.3">
      <c r="A1297" s="20">
        <v>30</v>
      </c>
      <c r="B1297" s="25">
        <v>0</v>
      </c>
      <c r="C1297" s="25"/>
      <c r="D1297" s="56" t="s">
        <v>740</v>
      </c>
      <c r="E1297" s="426">
        <v>44907</v>
      </c>
      <c r="F1297" s="26" t="s">
        <v>637</v>
      </c>
      <c r="G1297" s="426">
        <v>44896</v>
      </c>
      <c r="H1297" s="35" t="s">
        <v>1331</v>
      </c>
      <c r="I1297" s="21">
        <v>59583</v>
      </c>
      <c r="J1297" s="21"/>
      <c r="K1297" s="22">
        <v>0</v>
      </c>
      <c r="L1297" s="23"/>
      <c r="M1297" s="22">
        <v>0</v>
      </c>
      <c r="N1297" s="74">
        <v>0</v>
      </c>
      <c r="O1297" s="22">
        <v>0</v>
      </c>
      <c r="P1297" s="21">
        <v>59583</v>
      </c>
      <c r="S1297" s="108" t="b">
        <f>OR(COUNTIF(Tabla2[[#This Row],[PROVEEDOR]],"*"&amp;'Palabra no opera'!$A$2&amp;"*"))</f>
        <v>1</v>
      </c>
      <c r="T1297" s="139">
        <f>+$W$5-Tabla2[[#This Row],[FECHA DE FACTURACIÓN]]</f>
        <v>395</v>
      </c>
      <c r="U1297" t="str">
        <f>+IF(Tabla2[[#This Row],[dias de credito]]&gt;=Tabla2[[#This Row],[PLAZO Días]],"venc", "No venc")</f>
        <v>venc</v>
      </c>
      <c r="V1297" t="str">
        <f>+IF(Tabla2[[#This Row],[FECHA DE PAGO]]&gt;0,"pagada","por pagar")</f>
        <v>pagada</v>
      </c>
      <c r="W1297" s="141" t="str">
        <f>+IF(AND(Tabla2[[#This Row],[venc]]="venc",Tabla2[[#This Row],[Columna1]]="por pagar"),"vencida","no")</f>
        <v>no</v>
      </c>
    </row>
    <row r="1298" spans="1:23" ht="15.6" hidden="1" x14ac:dyDescent="0.3">
      <c r="A1298" s="20">
        <v>30</v>
      </c>
      <c r="B1298" s="25">
        <v>0</v>
      </c>
      <c r="C1298" s="25"/>
      <c r="D1298" s="56" t="s">
        <v>193</v>
      </c>
      <c r="E1298" s="426">
        <v>44907</v>
      </c>
      <c r="F1298" s="26" t="s">
        <v>651</v>
      </c>
      <c r="G1298" s="426">
        <v>44896</v>
      </c>
      <c r="H1298" s="35" t="s">
        <v>1332</v>
      </c>
      <c r="I1298" s="21">
        <v>215356</v>
      </c>
      <c r="J1298" s="21"/>
      <c r="K1298" s="22">
        <v>40917.64</v>
      </c>
      <c r="L1298" s="23"/>
      <c r="M1298" s="22">
        <v>0</v>
      </c>
      <c r="N1298" s="74">
        <v>3.5000000000000003E-2</v>
      </c>
      <c r="O1298" s="22">
        <v>7537.4600000000009</v>
      </c>
      <c r="P1298" s="21">
        <v>248736.18000000002</v>
      </c>
      <c r="S1298" s="108" t="b">
        <f>OR(COUNTIF(Tabla2[[#This Row],[PROVEEDOR]],"*"&amp;'Palabra no opera'!$A$2&amp;"*"))</f>
        <v>1</v>
      </c>
      <c r="T1298" s="139">
        <f>+$W$5-Tabla2[[#This Row],[FECHA DE FACTURACIÓN]]</f>
        <v>395</v>
      </c>
      <c r="U1298" t="str">
        <f>+IF(Tabla2[[#This Row],[dias de credito]]&gt;=Tabla2[[#This Row],[PLAZO Días]],"venc", "No venc")</f>
        <v>venc</v>
      </c>
      <c r="V1298" t="str">
        <f>+IF(Tabla2[[#This Row],[FECHA DE PAGO]]&gt;0,"pagada","por pagar")</f>
        <v>pagada</v>
      </c>
      <c r="W1298" s="141" t="str">
        <f>+IF(AND(Tabla2[[#This Row],[venc]]="venc",Tabla2[[#This Row],[Columna1]]="por pagar"),"vencida","no")</f>
        <v>no</v>
      </c>
    </row>
    <row r="1299" spans="1:23" ht="15.6" hidden="1" x14ac:dyDescent="0.3">
      <c r="A1299" s="20">
        <v>10</v>
      </c>
      <c r="B1299" s="25">
        <v>0</v>
      </c>
      <c r="C1299" s="25"/>
      <c r="D1299" s="56" t="s">
        <v>1203</v>
      </c>
      <c r="E1299" s="426">
        <v>44907</v>
      </c>
      <c r="F1299" s="26" t="s">
        <v>1202</v>
      </c>
      <c r="G1299" s="426">
        <v>44896</v>
      </c>
      <c r="H1299" s="35">
        <v>282</v>
      </c>
      <c r="I1299" s="21">
        <v>5628700</v>
      </c>
      <c r="J1299" s="21"/>
      <c r="K1299" s="22">
        <v>0</v>
      </c>
      <c r="L1299" s="23"/>
      <c r="M1299" s="22">
        <v>0</v>
      </c>
      <c r="N1299" s="74">
        <v>0</v>
      </c>
      <c r="O1299" s="22">
        <v>0</v>
      </c>
      <c r="P1299" s="21">
        <v>5628700</v>
      </c>
      <c r="S1299" s="108" t="b">
        <f>OR(COUNTIF(Tabla2[[#This Row],[PROVEEDOR]],"*"&amp;'Palabra no opera'!$A$2&amp;"*"))</f>
        <v>1</v>
      </c>
      <c r="T1299" s="139">
        <f>+$W$5-Tabla2[[#This Row],[FECHA DE FACTURACIÓN]]</f>
        <v>395</v>
      </c>
      <c r="U1299" t="str">
        <f>+IF(Tabla2[[#This Row],[dias de credito]]&gt;=Tabla2[[#This Row],[PLAZO Días]],"venc", "No venc")</f>
        <v>venc</v>
      </c>
      <c r="V1299" t="str">
        <f>+IF(Tabla2[[#This Row],[FECHA DE PAGO]]&gt;0,"pagada","por pagar")</f>
        <v>pagada</v>
      </c>
      <c r="W1299" s="141" t="str">
        <f>+IF(AND(Tabla2[[#This Row],[venc]]="venc",Tabla2[[#This Row],[Columna1]]="por pagar"),"vencida","no")</f>
        <v>no</v>
      </c>
    </row>
    <row r="1300" spans="1:23" ht="15.6" hidden="1" x14ac:dyDescent="0.3">
      <c r="A1300" s="20">
        <v>30</v>
      </c>
      <c r="B1300" s="25">
        <v>0</v>
      </c>
      <c r="C1300" s="25"/>
      <c r="D1300" s="56" t="s">
        <v>210</v>
      </c>
      <c r="E1300" s="426">
        <v>44907</v>
      </c>
      <c r="F1300" s="26" t="s">
        <v>47</v>
      </c>
      <c r="G1300" s="426">
        <v>44867</v>
      </c>
      <c r="H1300" s="35" t="s">
        <v>1247</v>
      </c>
      <c r="I1300" s="21">
        <v>947395</v>
      </c>
      <c r="J1300" s="21"/>
      <c r="K1300" s="22">
        <v>180005.05</v>
      </c>
      <c r="L1300" s="23"/>
      <c r="M1300" s="22">
        <v>0</v>
      </c>
      <c r="N1300" s="74">
        <v>0</v>
      </c>
      <c r="O1300" s="22">
        <v>0</v>
      </c>
      <c r="P1300" s="21">
        <v>1127400.05</v>
      </c>
      <c r="S1300" s="108" t="b">
        <f>OR(COUNTIF(Tabla2[[#This Row],[PROVEEDOR]],"*"&amp;'Palabra no opera'!$A$2&amp;"*"))</f>
        <v>0</v>
      </c>
      <c r="T1300" s="139">
        <f>+$W$5-Tabla2[[#This Row],[FECHA DE FACTURACIÓN]]</f>
        <v>424</v>
      </c>
      <c r="U1300" t="str">
        <f>+IF(Tabla2[[#This Row],[dias de credito]]&gt;=Tabla2[[#This Row],[PLAZO Días]],"venc", "No venc")</f>
        <v>venc</v>
      </c>
      <c r="V1300" t="str">
        <f>+IF(Tabla2[[#This Row],[FECHA DE PAGO]]&gt;0,"pagada","por pagar")</f>
        <v>pagada</v>
      </c>
      <c r="W1300" s="141" t="str">
        <f>+IF(AND(Tabla2[[#This Row],[venc]]="venc",Tabla2[[#This Row],[Columna1]]="por pagar"),"vencida","no")</f>
        <v>no</v>
      </c>
    </row>
    <row r="1301" spans="1:23" ht="15.6" hidden="1" x14ac:dyDescent="0.3">
      <c r="A1301" s="20">
        <v>30</v>
      </c>
      <c r="B1301" s="25">
        <v>3209330.35</v>
      </c>
      <c r="C1301" s="25"/>
      <c r="D1301" s="56" t="s">
        <v>187</v>
      </c>
      <c r="E1301" s="426">
        <v>44907</v>
      </c>
      <c r="F1301" s="26" t="s">
        <v>282</v>
      </c>
      <c r="G1301" s="426">
        <v>44834</v>
      </c>
      <c r="H1301" s="35" t="s">
        <v>1155</v>
      </c>
      <c r="I1301" s="21">
        <v>1087142.8600000001</v>
      </c>
      <c r="J1301" s="21"/>
      <c r="K1301" s="22">
        <v>206557.14340000003</v>
      </c>
      <c r="L1301" s="23"/>
      <c r="M1301" s="22">
        <v>0</v>
      </c>
      <c r="N1301" s="74">
        <v>2.5000000000000001E-2</v>
      </c>
      <c r="O1301" s="22">
        <v>27178.571500000005</v>
      </c>
      <c r="P1301" s="21">
        <v>1266521.4319</v>
      </c>
      <c r="S1301" s="108" t="b">
        <f>OR(COUNTIF(Tabla2[[#This Row],[PROVEEDOR]],"*"&amp;'Palabra no opera'!$A$2&amp;"*"))</f>
        <v>0</v>
      </c>
      <c r="T1301" s="139">
        <f>+$W$5-Tabla2[[#This Row],[FECHA DE FACTURACIÓN]]</f>
        <v>457</v>
      </c>
      <c r="U1301" t="str">
        <f>+IF(Tabla2[[#This Row],[dias de credito]]&gt;=Tabla2[[#This Row],[PLAZO Días]],"venc", "No venc")</f>
        <v>venc</v>
      </c>
      <c r="V1301" t="str">
        <f>+IF(Tabla2[[#This Row],[FECHA DE PAGO]]&gt;0,"pagada","por pagar")</f>
        <v>pagada</v>
      </c>
      <c r="W1301" s="141" t="str">
        <f>+IF(AND(Tabla2[[#This Row],[venc]]="venc",Tabla2[[#This Row],[Columna1]]="por pagar"),"vencida","no")</f>
        <v>no</v>
      </c>
    </row>
    <row r="1302" spans="1:23" ht="15.6" hidden="1" x14ac:dyDescent="0.3">
      <c r="A1302" s="20">
        <v>30</v>
      </c>
      <c r="B1302" s="25">
        <v>0</v>
      </c>
      <c r="C1302" s="25"/>
      <c r="D1302" s="56" t="s">
        <v>186</v>
      </c>
      <c r="E1302" s="426">
        <v>44907</v>
      </c>
      <c r="F1302" s="26" t="s">
        <v>76</v>
      </c>
      <c r="G1302" s="426">
        <v>44809</v>
      </c>
      <c r="H1302" s="35" t="s">
        <v>1191</v>
      </c>
      <c r="I1302" s="21">
        <v>9538645</v>
      </c>
      <c r="J1302" s="21"/>
      <c r="K1302" s="22">
        <v>1812342.55</v>
      </c>
      <c r="L1302" s="23"/>
      <c r="M1302" s="22">
        <v>0</v>
      </c>
      <c r="N1302" s="74">
        <v>2.5000000000000001E-2</v>
      </c>
      <c r="O1302" s="22">
        <v>238466.125</v>
      </c>
      <c r="P1302" s="21">
        <v>11112521.425000001</v>
      </c>
      <c r="S1302" s="108" t="b">
        <f>OR(COUNTIF(Tabla2[[#This Row],[PROVEEDOR]],"*"&amp;'Palabra no opera'!$A$2&amp;"*"))</f>
        <v>0</v>
      </c>
      <c r="T1302" s="139">
        <f>+$W$5-Tabla2[[#This Row],[FECHA DE FACTURACIÓN]]</f>
        <v>482</v>
      </c>
      <c r="U1302" t="str">
        <f>+IF(Tabla2[[#This Row],[dias de credito]]&gt;=Tabla2[[#This Row],[PLAZO Días]],"venc", "No venc")</f>
        <v>venc</v>
      </c>
      <c r="V1302" t="str">
        <f>+IF(Tabla2[[#This Row],[FECHA DE PAGO]]&gt;0,"pagada","por pagar")</f>
        <v>pagada</v>
      </c>
      <c r="W1302" s="141" t="str">
        <f>+IF(AND(Tabla2[[#This Row],[venc]]="venc",Tabla2[[#This Row],[Columna1]]="por pagar"),"vencida","no")</f>
        <v>no</v>
      </c>
    </row>
    <row r="1303" spans="1:23" ht="15.6" hidden="1" x14ac:dyDescent="0.3">
      <c r="A1303" s="20">
        <v>30</v>
      </c>
      <c r="B1303" s="25">
        <v>0</v>
      </c>
      <c r="C1303" s="25"/>
      <c r="D1303" s="56" t="s">
        <v>107</v>
      </c>
      <c r="E1303" s="426">
        <v>44907</v>
      </c>
      <c r="F1303" s="26" t="s">
        <v>409</v>
      </c>
      <c r="G1303" s="426">
        <v>44804</v>
      </c>
      <c r="H1303" s="35">
        <v>16</v>
      </c>
      <c r="I1303" s="21">
        <v>38000</v>
      </c>
      <c r="J1303" s="21"/>
      <c r="K1303" s="22">
        <v>0</v>
      </c>
      <c r="L1303" s="23"/>
      <c r="M1303" s="22">
        <v>0</v>
      </c>
      <c r="N1303" s="74">
        <v>0</v>
      </c>
      <c r="O1303" s="22">
        <v>0</v>
      </c>
      <c r="P1303" s="21">
        <v>38000</v>
      </c>
      <c r="S1303" s="108" t="b">
        <f>OR(COUNTIF(Tabla2[[#This Row],[PROVEEDOR]],"*"&amp;'Palabra no opera'!$A$2&amp;"*"))</f>
        <v>0</v>
      </c>
      <c r="T1303" s="139">
        <f>+$W$5-Tabla2[[#This Row],[FECHA DE FACTURACIÓN]]</f>
        <v>487</v>
      </c>
      <c r="U1303" t="str">
        <f>+IF(Tabla2[[#This Row],[dias de credito]]&gt;=Tabla2[[#This Row],[PLAZO Días]],"venc", "No venc")</f>
        <v>venc</v>
      </c>
      <c r="V1303" t="str">
        <f>+IF(Tabla2[[#This Row],[FECHA DE PAGO]]&gt;0,"pagada","por pagar")</f>
        <v>pagada</v>
      </c>
      <c r="W1303" s="141" t="str">
        <f>+IF(AND(Tabla2[[#This Row],[venc]]="venc",Tabla2[[#This Row],[Columna1]]="por pagar"),"vencida","no")</f>
        <v>no</v>
      </c>
    </row>
    <row r="1304" spans="1:23" ht="15.6" hidden="1" x14ac:dyDescent="0.3">
      <c r="A1304" s="20">
        <v>30</v>
      </c>
      <c r="B1304" s="25">
        <v>0</v>
      </c>
      <c r="C1304" s="25"/>
      <c r="D1304" s="56" t="s">
        <v>107</v>
      </c>
      <c r="E1304" s="426">
        <v>44907</v>
      </c>
      <c r="F1304" s="26" t="s">
        <v>409</v>
      </c>
      <c r="G1304" s="426">
        <v>44797</v>
      </c>
      <c r="H1304" s="35">
        <v>15</v>
      </c>
      <c r="I1304" s="21">
        <v>230000</v>
      </c>
      <c r="J1304" s="21"/>
      <c r="K1304" s="22">
        <v>0</v>
      </c>
      <c r="L1304" s="23"/>
      <c r="M1304" s="22">
        <v>0</v>
      </c>
      <c r="N1304" s="74">
        <v>0</v>
      </c>
      <c r="O1304" s="22">
        <v>0</v>
      </c>
      <c r="P1304" s="21">
        <v>230000</v>
      </c>
      <c r="S1304" s="108" t="b">
        <f>OR(COUNTIF(Tabla2[[#This Row],[PROVEEDOR]],"*"&amp;'Palabra no opera'!$A$2&amp;"*"))</f>
        <v>0</v>
      </c>
      <c r="T1304" s="139">
        <f>+$W$5-Tabla2[[#This Row],[FECHA DE FACTURACIÓN]]</f>
        <v>494</v>
      </c>
      <c r="U1304" t="str">
        <f>+IF(Tabla2[[#This Row],[dias de credito]]&gt;=Tabla2[[#This Row],[PLAZO Días]],"venc", "No venc")</f>
        <v>venc</v>
      </c>
      <c r="V1304" t="str">
        <f>+IF(Tabla2[[#This Row],[FECHA DE PAGO]]&gt;0,"pagada","por pagar")</f>
        <v>pagada</v>
      </c>
      <c r="W1304" s="141" t="str">
        <f>+IF(AND(Tabla2[[#This Row],[venc]]="venc",Tabla2[[#This Row],[Columna1]]="por pagar"),"vencida","no")</f>
        <v>no</v>
      </c>
    </row>
    <row r="1305" spans="1:23" ht="15.6" hidden="1" x14ac:dyDescent="0.3">
      <c r="A1305" s="20">
        <v>30</v>
      </c>
      <c r="B1305" s="25">
        <v>0</v>
      </c>
      <c r="C1305" s="25"/>
      <c r="D1305" s="56">
        <v>0</v>
      </c>
      <c r="E1305" s="426">
        <v>44902</v>
      </c>
      <c r="F1305" s="26" t="s">
        <v>262</v>
      </c>
      <c r="G1305" s="426">
        <v>44902</v>
      </c>
      <c r="H1305" s="35" t="s">
        <v>1316</v>
      </c>
      <c r="I1305" s="21">
        <v>1785000</v>
      </c>
      <c r="J1305" s="21"/>
      <c r="K1305" s="22">
        <v>339150</v>
      </c>
      <c r="L1305" s="23"/>
      <c r="M1305" s="22">
        <v>0</v>
      </c>
      <c r="N1305" s="74">
        <v>2.5000000000000001E-2</v>
      </c>
      <c r="O1305" s="22">
        <v>44625</v>
      </c>
      <c r="P1305" s="21">
        <v>2079525</v>
      </c>
      <c r="S1305" s="108" t="b">
        <f>OR(COUNTIF(Tabla2[[#This Row],[PROVEEDOR]],"*"&amp;'Palabra no opera'!$A$2&amp;"*"))</f>
        <v>0</v>
      </c>
      <c r="T1305" s="139">
        <f>+$W$5-Tabla2[[#This Row],[FECHA DE FACTURACIÓN]]</f>
        <v>389</v>
      </c>
      <c r="U1305" t="str">
        <f>+IF(Tabla2[[#This Row],[dias de credito]]&gt;=Tabla2[[#This Row],[PLAZO Días]],"venc", "No venc")</f>
        <v>venc</v>
      </c>
      <c r="V1305" t="str">
        <f>+IF(Tabla2[[#This Row],[FECHA DE PAGO]]&gt;0,"pagada","por pagar")</f>
        <v>pagada</v>
      </c>
      <c r="W1305" s="141" t="str">
        <f>+IF(AND(Tabla2[[#This Row],[venc]]="venc",Tabla2[[#This Row],[Columna1]]="por pagar"),"vencida","no")</f>
        <v>no</v>
      </c>
    </row>
    <row r="1306" spans="1:23" ht="15.6" hidden="1" x14ac:dyDescent="0.3">
      <c r="A1306" s="20">
        <v>30</v>
      </c>
      <c r="B1306" s="25">
        <v>0</v>
      </c>
      <c r="C1306" s="25"/>
      <c r="D1306" s="56" t="s">
        <v>107</v>
      </c>
      <c r="E1306" s="426">
        <v>44901</v>
      </c>
      <c r="F1306" s="26" t="s">
        <v>404</v>
      </c>
      <c r="G1306" s="426">
        <v>44901</v>
      </c>
      <c r="H1306" s="35" t="s">
        <v>1370</v>
      </c>
      <c r="I1306" s="21">
        <v>3781596</v>
      </c>
      <c r="J1306" s="21"/>
      <c r="K1306" s="22">
        <v>0</v>
      </c>
      <c r="L1306" s="23"/>
      <c r="M1306" s="22">
        <v>0</v>
      </c>
      <c r="N1306" s="74">
        <v>0</v>
      </c>
      <c r="O1306" s="22">
        <v>0</v>
      </c>
      <c r="P1306" s="21">
        <v>3781596</v>
      </c>
      <c r="S1306" s="108" t="b">
        <f>OR(COUNTIF(Tabla2[[#This Row],[PROVEEDOR]],"*"&amp;'Palabra no opera'!$A$2&amp;"*"))</f>
        <v>0</v>
      </c>
      <c r="T1306" s="139">
        <f>+$W$5-Tabla2[[#This Row],[FECHA DE FACTURACIÓN]]</f>
        <v>390</v>
      </c>
      <c r="U1306" t="str">
        <f>+IF(Tabla2[[#This Row],[dias de credito]]&gt;=Tabla2[[#This Row],[PLAZO Días]],"venc", "No venc")</f>
        <v>venc</v>
      </c>
      <c r="V1306" t="str">
        <f>+IF(Tabla2[[#This Row],[FECHA DE PAGO]]&gt;0,"pagada","por pagar")</f>
        <v>pagada</v>
      </c>
      <c r="W1306" s="141" t="str">
        <f>+IF(AND(Tabla2[[#This Row],[venc]]="venc",Tabla2[[#This Row],[Columna1]]="por pagar"),"vencida","no")</f>
        <v>no</v>
      </c>
    </row>
    <row r="1307" spans="1:23" ht="15.6" hidden="1" x14ac:dyDescent="0.3">
      <c r="A1307" s="20">
        <v>30</v>
      </c>
      <c r="B1307" s="25">
        <v>0</v>
      </c>
      <c r="C1307" s="25"/>
      <c r="D1307" s="56" t="s">
        <v>107</v>
      </c>
      <c r="E1307" s="426">
        <v>44901</v>
      </c>
      <c r="F1307" s="26" t="s">
        <v>388</v>
      </c>
      <c r="G1307" s="426">
        <v>44841</v>
      </c>
      <c r="H1307" s="35" t="s">
        <v>1222</v>
      </c>
      <c r="I1307" s="21">
        <v>3215000</v>
      </c>
      <c r="J1307" s="21"/>
      <c r="K1307" s="22">
        <v>0</v>
      </c>
      <c r="L1307" s="23"/>
      <c r="M1307" s="22">
        <v>0</v>
      </c>
      <c r="N1307" s="74">
        <v>0</v>
      </c>
      <c r="O1307" s="22">
        <v>0</v>
      </c>
      <c r="P1307" s="21">
        <v>3215000</v>
      </c>
      <c r="S1307" s="108" t="b">
        <f>OR(COUNTIF(Tabla2[[#This Row],[PROVEEDOR]],"*"&amp;'Palabra no opera'!$A$2&amp;"*"))</f>
        <v>0</v>
      </c>
      <c r="T1307" s="139">
        <f>+$W$5-Tabla2[[#This Row],[FECHA DE FACTURACIÓN]]</f>
        <v>450</v>
      </c>
      <c r="U1307" t="str">
        <f>+IF(Tabla2[[#This Row],[dias de credito]]&gt;=Tabla2[[#This Row],[PLAZO Días]],"venc", "No venc")</f>
        <v>venc</v>
      </c>
      <c r="V1307" t="str">
        <f>+IF(Tabla2[[#This Row],[FECHA DE PAGO]]&gt;0,"pagada","por pagar")</f>
        <v>pagada</v>
      </c>
      <c r="W1307" s="141" t="str">
        <f>+IF(AND(Tabla2[[#This Row],[venc]]="venc",Tabla2[[#This Row],[Columna1]]="por pagar"),"vencida","no")</f>
        <v>no</v>
      </c>
    </row>
    <row r="1308" spans="1:23" ht="15.6" hidden="1" x14ac:dyDescent="0.3">
      <c r="A1308" s="20">
        <v>8</v>
      </c>
      <c r="B1308" s="25">
        <v>0</v>
      </c>
      <c r="C1308" s="25"/>
      <c r="D1308" s="56">
        <v>0</v>
      </c>
      <c r="E1308" s="426">
        <v>44901</v>
      </c>
      <c r="F1308" s="26" t="s">
        <v>676</v>
      </c>
      <c r="G1308" s="426">
        <v>44833</v>
      </c>
      <c r="H1308" s="35" t="s">
        <v>1156</v>
      </c>
      <c r="I1308" s="21">
        <v>1814000</v>
      </c>
      <c r="J1308" s="21"/>
      <c r="K1308" s="22">
        <v>0</v>
      </c>
      <c r="L1308" s="23"/>
      <c r="M1308" s="22">
        <v>0</v>
      </c>
      <c r="N1308" s="74">
        <v>0</v>
      </c>
      <c r="O1308" s="22">
        <v>0</v>
      </c>
      <c r="P1308" s="21">
        <v>1814000</v>
      </c>
      <c r="S1308" s="108" t="b">
        <f>OR(COUNTIF(Tabla2[[#This Row],[PROVEEDOR]],"*"&amp;'Palabra no opera'!$A$2&amp;"*"))</f>
        <v>0</v>
      </c>
      <c r="T1308" s="139">
        <f>+$W$5-Tabla2[[#This Row],[FECHA DE FACTURACIÓN]]</f>
        <v>458</v>
      </c>
      <c r="U1308" t="str">
        <f>+IF(Tabla2[[#This Row],[dias de credito]]&gt;=Tabla2[[#This Row],[PLAZO Días]],"venc", "No venc")</f>
        <v>venc</v>
      </c>
      <c r="V1308" t="str">
        <f>+IF(Tabla2[[#This Row],[FECHA DE PAGO]]&gt;0,"pagada","por pagar")</f>
        <v>pagada</v>
      </c>
      <c r="W1308" s="141" t="str">
        <f>+IF(AND(Tabla2[[#This Row],[venc]]="venc",Tabla2[[#This Row],[Columna1]]="por pagar"),"vencida","no")</f>
        <v>no</v>
      </c>
    </row>
    <row r="1309" spans="1:23" ht="15.6" hidden="1" x14ac:dyDescent="0.3">
      <c r="A1309" s="20">
        <v>30</v>
      </c>
      <c r="B1309" s="25">
        <v>0</v>
      </c>
      <c r="C1309" s="25"/>
      <c r="D1309" s="56" t="s">
        <v>107</v>
      </c>
      <c r="E1309" s="426">
        <v>44900</v>
      </c>
      <c r="F1309" s="26" t="s">
        <v>397</v>
      </c>
      <c r="G1309" s="426">
        <v>44883</v>
      </c>
      <c r="H1309" s="35">
        <v>1468</v>
      </c>
      <c r="I1309" s="21">
        <v>1321000</v>
      </c>
      <c r="J1309" s="21"/>
      <c r="K1309" s="22">
        <v>0</v>
      </c>
      <c r="L1309" s="23"/>
      <c r="M1309" s="22">
        <v>0</v>
      </c>
      <c r="N1309" s="74">
        <v>0</v>
      </c>
      <c r="O1309" s="22">
        <v>0</v>
      </c>
      <c r="P1309" s="21">
        <v>1321000</v>
      </c>
      <c r="S1309" s="108" t="b">
        <f>OR(COUNTIF(Tabla2[[#This Row],[PROVEEDOR]],"*"&amp;'Palabra no opera'!$A$2&amp;"*"))</f>
        <v>0</v>
      </c>
      <c r="T1309" s="139">
        <f>+$W$5-Tabla2[[#This Row],[FECHA DE FACTURACIÓN]]</f>
        <v>408</v>
      </c>
      <c r="U1309" t="str">
        <f>+IF(Tabla2[[#This Row],[dias de credito]]&gt;=Tabla2[[#This Row],[PLAZO Días]],"venc", "No venc")</f>
        <v>venc</v>
      </c>
      <c r="V1309" t="str">
        <f>+IF(Tabla2[[#This Row],[FECHA DE PAGO]]&gt;0,"pagada","por pagar")</f>
        <v>pagada</v>
      </c>
      <c r="W1309" s="141" t="str">
        <f>+IF(AND(Tabla2[[#This Row],[venc]]="venc",Tabla2[[#This Row],[Columna1]]="por pagar"),"vencida","no")</f>
        <v>no</v>
      </c>
    </row>
    <row r="1310" spans="1:23" ht="15.6" hidden="1" x14ac:dyDescent="0.3">
      <c r="A1310" s="20">
        <v>30</v>
      </c>
      <c r="B1310" s="25">
        <v>10321993.199999999</v>
      </c>
      <c r="C1310" s="25"/>
      <c r="D1310" s="56" t="s">
        <v>189</v>
      </c>
      <c r="E1310" s="426">
        <v>44900</v>
      </c>
      <c r="F1310" s="26" t="s">
        <v>1068</v>
      </c>
      <c r="G1310" s="426">
        <v>44869</v>
      </c>
      <c r="H1310" s="35">
        <v>28082</v>
      </c>
      <c r="I1310" s="21">
        <v>3600000</v>
      </c>
      <c r="J1310" s="21"/>
      <c r="K1310" s="22">
        <v>684000</v>
      </c>
      <c r="L1310" s="23"/>
      <c r="M1310" s="22">
        <v>0</v>
      </c>
      <c r="N1310" s="74">
        <v>2.5000000000000001E-2</v>
      </c>
      <c r="O1310" s="22">
        <v>90000</v>
      </c>
      <c r="P1310" s="21">
        <v>4194000</v>
      </c>
      <c r="S1310" s="108" t="b">
        <f>OR(COUNTIF(Tabla2[[#This Row],[PROVEEDOR]],"*"&amp;'Palabra no opera'!$A$2&amp;"*"))</f>
        <v>0</v>
      </c>
      <c r="T1310" s="139">
        <f>+$W$5-Tabla2[[#This Row],[FECHA DE FACTURACIÓN]]</f>
        <v>422</v>
      </c>
      <c r="U1310" t="str">
        <f>+IF(Tabla2[[#This Row],[dias de credito]]&gt;=Tabla2[[#This Row],[PLAZO Días]],"venc", "No venc")</f>
        <v>venc</v>
      </c>
      <c r="V1310" t="str">
        <f>+IF(Tabla2[[#This Row],[FECHA DE PAGO]]&gt;0,"pagada","por pagar")</f>
        <v>pagada</v>
      </c>
      <c r="W1310" s="141" t="str">
        <f>+IF(AND(Tabla2[[#This Row],[venc]]="venc",Tabla2[[#This Row],[Columna1]]="por pagar"),"vencida","no")</f>
        <v>no</v>
      </c>
    </row>
    <row r="1311" spans="1:23" ht="15.6" hidden="1" x14ac:dyDescent="0.3">
      <c r="A1311" s="20">
        <v>30</v>
      </c>
      <c r="B1311" s="25">
        <v>18444236.894999996</v>
      </c>
      <c r="C1311" s="25"/>
      <c r="D1311" s="56" t="s">
        <v>731</v>
      </c>
      <c r="E1311" s="426">
        <v>44900</v>
      </c>
      <c r="F1311" s="26" t="s">
        <v>11</v>
      </c>
      <c r="G1311" s="426">
        <v>44866</v>
      </c>
      <c r="H1311" s="35" t="s">
        <v>1249</v>
      </c>
      <c r="I1311" s="21">
        <v>1722945</v>
      </c>
      <c r="J1311" s="21"/>
      <c r="K1311" s="22">
        <v>327359.55</v>
      </c>
      <c r="L1311" s="23"/>
      <c r="M1311" s="22">
        <v>0</v>
      </c>
      <c r="N1311" s="74">
        <v>2.5000000000000001E-2</v>
      </c>
      <c r="O1311" s="22">
        <v>43073.625</v>
      </c>
      <c r="P1311" s="21">
        <v>2007230.925</v>
      </c>
      <c r="S1311" s="108" t="b">
        <f>OR(COUNTIF(Tabla2[[#This Row],[PROVEEDOR]],"*"&amp;'Palabra no opera'!$A$2&amp;"*"))</f>
        <v>0</v>
      </c>
      <c r="T1311" s="139">
        <f>+$W$5-Tabla2[[#This Row],[FECHA DE FACTURACIÓN]]</f>
        <v>425</v>
      </c>
      <c r="U1311" t="str">
        <f>+IF(Tabla2[[#This Row],[dias de credito]]&gt;=Tabla2[[#This Row],[PLAZO Días]],"venc", "No venc")</f>
        <v>venc</v>
      </c>
      <c r="V1311" t="str">
        <f>+IF(Tabla2[[#This Row],[FECHA DE PAGO]]&gt;0,"pagada","por pagar")</f>
        <v>pagada</v>
      </c>
      <c r="W1311" s="141" t="str">
        <f>+IF(AND(Tabla2[[#This Row],[venc]]="venc",Tabla2[[#This Row],[Columna1]]="por pagar"),"vencida","no")</f>
        <v>no</v>
      </c>
    </row>
    <row r="1312" spans="1:23" ht="15.6" hidden="1" x14ac:dyDescent="0.3">
      <c r="A1312" s="20">
        <v>30</v>
      </c>
      <c r="B1312" s="25">
        <v>1125118.8199999998</v>
      </c>
      <c r="C1312" s="25"/>
      <c r="D1312" s="56" t="s">
        <v>431</v>
      </c>
      <c r="E1312" s="426">
        <v>44900</v>
      </c>
      <c r="F1312" s="26" t="s">
        <v>279</v>
      </c>
      <c r="G1312" s="426">
        <v>44865</v>
      </c>
      <c r="H1312" s="35" t="s">
        <v>1238</v>
      </c>
      <c r="I1312" s="21">
        <v>337647</v>
      </c>
      <c r="J1312" s="21"/>
      <c r="K1312" s="22">
        <v>64152.93</v>
      </c>
      <c r="L1312" s="23"/>
      <c r="M1312" s="22">
        <v>0</v>
      </c>
      <c r="N1312" s="74">
        <v>0</v>
      </c>
      <c r="O1312" s="22">
        <v>0</v>
      </c>
      <c r="P1312" s="21">
        <v>401799.93</v>
      </c>
      <c r="S1312" s="108" t="b">
        <f>OR(COUNTIF(Tabla2[[#This Row],[PROVEEDOR]],"*"&amp;'Palabra no opera'!$A$2&amp;"*"))</f>
        <v>0</v>
      </c>
      <c r="T1312" s="139">
        <f>+$W$5-Tabla2[[#This Row],[FECHA DE FACTURACIÓN]]</f>
        <v>426</v>
      </c>
      <c r="U1312" t="str">
        <f>+IF(Tabla2[[#This Row],[dias de credito]]&gt;=Tabla2[[#This Row],[PLAZO Días]],"venc", "No venc")</f>
        <v>venc</v>
      </c>
      <c r="V1312" t="str">
        <f>+IF(Tabla2[[#This Row],[FECHA DE PAGO]]&gt;0,"pagada","por pagar")</f>
        <v>pagada</v>
      </c>
      <c r="W1312" s="141" t="str">
        <f>+IF(AND(Tabla2[[#This Row],[venc]]="venc",Tabla2[[#This Row],[Columna1]]="por pagar"),"vencida","no")</f>
        <v>no</v>
      </c>
    </row>
    <row r="1313" spans="1:23" ht="15.6" hidden="1" x14ac:dyDescent="0.3">
      <c r="A1313" s="20">
        <v>30</v>
      </c>
      <c r="B1313" s="25">
        <v>0</v>
      </c>
      <c r="C1313" s="25"/>
      <c r="D1313" s="56" t="s">
        <v>277</v>
      </c>
      <c r="E1313" s="426">
        <v>44900</v>
      </c>
      <c r="F1313" s="26" t="s">
        <v>248</v>
      </c>
      <c r="G1313" s="426">
        <v>44863</v>
      </c>
      <c r="H1313" s="35" t="s">
        <v>1233</v>
      </c>
      <c r="I1313" s="21">
        <v>4563742</v>
      </c>
      <c r="J1313" s="21"/>
      <c r="K1313" s="22">
        <v>867110.98</v>
      </c>
      <c r="L1313" s="23"/>
      <c r="M1313" s="22">
        <v>0</v>
      </c>
      <c r="N1313" s="74">
        <v>0</v>
      </c>
      <c r="O1313" s="22">
        <v>0</v>
      </c>
      <c r="P1313" s="21">
        <v>5430852.9800000004</v>
      </c>
      <c r="S1313" s="108" t="b">
        <f>OR(COUNTIF(Tabla2[[#This Row],[PROVEEDOR]],"*"&amp;'Palabra no opera'!$A$2&amp;"*"))</f>
        <v>0</v>
      </c>
      <c r="T1313" s="139">
        <f>+$W$5-Tabla2[[#This Row],[FECHA DE FACTURACIÓN]]</f>
        <v>428</v>
      </c>
      <c r="U1313" t="str">
        <f>+IF(Tabla2[[#This Row],[dias de credito]]&gt;=Tabla2[[#This Row],[PLAZO Días]],"venc", "No venc")</f>
        <v>venc</v>
      </c>
      <c r="V1313" t="str">
        <f>+IF(Tabla2[[#This Row],[FECHA DE PAGO]]&gt;0,"pagada","por pagar")</f>
        <v>pagada</v>
      </c>
      <c r="W1313" s="141" t="str">
        <f>+IF(AND(Tabla2[[#This Row],[venc]]="venc",Tabla2[[#This Row],[Columna1]]="por pagar"),"vencida","no")</f>
        <v>no</v>
      </c>
    </row>
    <row r="1314" spans="1:23" ht="15.6" hidden="1" x14ac:dyDescent="0.3">
      <c r="A1314" s="20">
        <v>30</v>
      </c>
      <c r="B1314" s="25">
        <v>17870934.149999999</v>
      </c>
      <c r="C1314" s="25"/>
      <c r="D1314" s="56" t="s">
        <v>182</v>
      </c>
      <c r="E1314" s="426">
        <v>44900</v>
      </c>
      <c r="F1314" s="26" t="s">
        <v>18</v>
      </c>
      <c r="G1314" s="426">
        <v>44860</v>
      </c>
      <c r="H1314" s="35" t="s">
        <v>1237</v>
      </c>
      <c r="I1314" s="21">
        <v>10592433</v>
      </c>
      <c r="J1314" s="21"/>
      <c r="K1314" s="22">
        <v>2012562.27</v>
      </c>
      <c r="L1314" s="23"/>
      <c r="M1314" s="22">
        <v>0</v>
      </c>
      <c r="N1314" s="74">
        <v>2.5000000000000001E-2</v>
      </c>
      <c r="O1314" s="22">
        <v>264810.82500000001</v>
      </c>
      <c r="P1314" s="21">
        <v>12340184.445</v>
      </c>
      <c r="S1314" s="108" t="b">
        <f>OR(COUNTIF(Tabla2[[#This Row],[PROVEEDOR]],"*"&amp;'Palabra no opera'!$A$2&amp;"*"))</f>
        <v>0</v>
      </c>
      <c r="T1314" s="139">
        <f>+$W$5-Tabla2[[#This Row],[FECHA DE FACTURACIÓN]]</f>
        <v>431</v>
      </c>
      <c r="U1314" t="str">
        <f>+IF(Tabla2[[#This Row],[dias de credito]]&gt;=Tabla2[[#This Row],[PLAZO Días]],"venc", "No venc")</f>
        <v>venc</v>
      </c>
      <c r="V1314" t="str">
        <f>+IF(Tabla2[[#This Row],[FECHA DE PAGO]]&gt;0,"pagada","por pagar")</f>
        <v>pagada</v>
      </c>
      <c r="W1314" s="141" t="str">
        <f>+IF(AND(Tabla2[[#This Row],[venc]]="venc",Tabla2[[#This Row],[Columna1]]="por pagar"),"vencida","no")</f>
        <v>no</v>
      </c>
    </row>
    <row r="1315" spans="1:23" ht="15.6" hidden="1" x14ac:dyDescent="0.3">
      <c r="A1315" s="20">
        <v>30</v>
      </c>
      <c r="B1315" s="25">
        <v>-139600.09</v>
      </c>
      <c r="C1315" s="25"/>
      <c r="D1315" s="56" t="s">
        <v>728</v>
      </c>
      <c r="E1315" s="426">
        <v>44900</v>
      </c>
      <c r="F1315" s="26" t="s">
        <v>32</v>
      </c>
      <c r="G1315" s="426">
        <v>44860</v>
      </c>
      <c r="H1315" s="35" t="s">
        <v>1236</v>
      </c>
      <c r="I1315" s="21">
        <v>775504</v>
      </c>
      <c r="J1315" s="21"/>
      <c r="K1315" s="22">
        <v>147345.76</v>
      </c>
      <c r="L1315" s="23"/>
      <c r="M1315" s="22">
        <v>0</v>
      </c>
      <c r="N1315" s="74">
        <v>0</v>
      </c>
      <c r="O1315" s="22">
        <v>0</v>
      </c>
      <c r="P1315" s="21">
        <v>922849.76</v>
      </c>
      <c r="S1315" s="108" t="b">
        <f>OR(COUNTIF(Tabla2[[#This Row],[PROVEEDOR]],"*"&amp;'Palabra no opera'!$A$2&amp;"*"))</f>
        <v>0</v>
      </c>
      <c r="T1315" s="139">
        <f>+$W$5-Tabla2[[#This Row],[FECHA DE FACTURACIÓN]]</f>
        <v>431</v>
      </c>
      <c r="U1315" t="str">
        <f>+IF(Tabla2[[#This Row],[dias de credito]]&gt;=Tabla2[[#This Row],[PLAZO Días]],"venc", "No venc")</f>
        <v>venc</v>
      </c>
      <c r="V1315" t="str">
        <f>+IF(Tabla2[[#This Row],[FECHA DE PAGO]]&gt;0,"pagada","por pagar")</f>
        <v>pagada</v>
      </c>
      <c r="W1315" s="141" t="str">
        <f>+IF(AND(Tabla2[[#This Row],[venc]]="venc",Tabla2[[#This Row],[Columna1]]="por pagar"),"vencida","no")</f>
        <v>no</v>
      </c>
    </row>
    <row r="1316" spans="1:23" ht="15.6" hidden="1" x14ac:dyDescent="0.3">
      <c r="A1316" s="20">
        <v>30</v>
      </c>
      <c r="B1316" s="25">
        <v>0</v>
      </c>
      <c r="C1316" s="25"/>
      <c r="D1316" s="56" t="s">
        <v>190</v>
      </c>
      <c r="E1316" s="426">
        <v>44900</v>
      </c>
      <c r="F1316" s="26" t="s">
        <v>964</v>
      </c>
      <c r="G1316" s="426">
        <v>44853</v>
      </c>
      <c r="H1316" s="35">
        <v>37181</v>
      </c>
      <c r="I1316" s="21">
        <v>2883000</v>
      </c>
      <c r="J1316" s="21"/>
      <c r="K1316" s="22">
        <v>547770</v>
      </c>
      <c r="L1316" s="23"/>
      <c r="M1316" s="22">
        <v>0</v>
      </c>
      <c r="N1316" s="74">
        <v>0</v>
      </c>
      <c r="O1316" s="22">
        <v>0</v>
      </c>
      <c r="P1316" s="21">
        <v>3430770</v>
      </c>
      <c r="S1316" s="108" t="b">
        <f>OR(COUNTIF(Tabla2[[#This Row],[PROVEEDOR]],"*"&amp;'Palabra no opera'!$A$2&amp;"*"))</f>
        <v>0</v>
      </c>
      <c r="T1316" s="139">
        <f>+$W$5-Tabla2[[#This Row],[FECHA DE FACTURACIÓN]]</f>
        <v>438</v>
      </c>
      <c r="U1316" t="str">
        <f>+IF(Tabla2[[#This Row],[dias de credito]]&gt;=Tabla2[[#This Row],[PLAZO Días]],"venc", "No venc")</f>
        <v>venc</v>
      </c>
      <c r="V1316" t="str">
        <f>+IF(Tabla2[[#This Row],[FECHA DE PAGO]]&gt;0,"pagada","por pagar")</f>
        <v>pagada</v>
      </c>
      <c r="W1316" s="141" t="str">
        <f>+IF(AND(Tabla2[[#This Row],[venc]]="venc",Tabla2[[#This Row],[Columna1]]="por pagar"),"vencida","no")</f>
        <v>no</v>
      </c>
    </row>
    <row r="1317" spans="1:23" ht="15.6" hidden="1" x14ac:dyDescent="0.3">
      <c r="A1317" s="20">
        <v>30</v>
      </c>
      <c r="B1317" s="25">
        <v>-139600.09</v>
      </c>
      <c r="C1317" s="25"/>
      <c r="D1317" s="56" t="s">
        <v>728</v>
      </c>
      <c r="E1317" s="426">
        <v>44900</v>
      </c>
      <c r="F1317" s="26" t="s">
        <v>32</v>
      </c>
      <c r="G1317" s="426">
        <v>44848</v>
      </c>
      <c r="H1317" s="35" t="s">
        <v>1220</v>
      </c>
      <c r="I1317" s="21">
        <v>228571</v>
      </c>
      <c r="J1317" s="21"/>
      <c r="K1317" s="22">
        <v>43428.49</v>
      </c>
      <c r="L1317" s="23"/>
      <c r="M1317" s="22">
        <v>0</v>
      </c>
      <c r="N1317" s="74">
        <v>0</v>
      </c>
      <c r="O1317" s="22">
        <v>0</v>
      </c>
      <c r="P1317" s="21">
        <v>271999.49</v>
      </c>
      <c r="S1317" s="108" t="b">
        <f>OR(COUNTIF(Tabla2[[#This Row],[PROVEEDOR]],"*"&amp;'Palabra no opera'!$A$2&amp;"*"))</f>
        <v>0</v>
      </c>
      <c r="T1317" s="139">
        <f>+$W$5-Tabla2[[#This Row],[FECHA DE FACTURACIÓN]]</f>
        <v>443</v>
      </c>
      <c r="U1317" t="str">
        <f>+IF(Tabla2[[#This Row],[dias de credito]]&gt;=Tabla2[[#This Row],[PLAZO Días]],"venc", "No venc")</f>
        <v>venc</v>
      </c>
      <c r="V1317" t="str">
        <f>+IF(Tabla2[[#This Row],[FECHA DE PAGO]]&gt;0,"pagada","por pagar")</f>
        <v>pagada</v>
      </c>
      <c r="W1317" s="141" t="str">
        <f>+IF(AND(Tabla2[[#This Row],[venc]]="venc",Tabla2[[#This Row],[Columna1]]="por pagar"),"vencida","no")</f>
        <v>no</v>
      </c>
    </row>
    <row r="1318" spans="1:23" ht="15.6" hidden="1" x14ac:dyDescent="0.3">
      <c r="A1318" s="20">
        <v>60</v>
      </c>
      <c r="B1318" s="25">
        <v>0</v>
      </c>
      <c r="C1318" s="25"/>
      <c r="D1318" s="56">
        <v>0</v>
      </c>
      <c r="E1318" s="426">
        <v>44900</v>
      </c>
      <c r="F1318" s="26" t="s">
        <v>951</v>
      </c>
      <c r="G1318" s="426">
        <v>44834</v>
      </c>
      <c r="H1318" s="35" t="s">
        <v>1141</v>
      </c>
      <c r="I1318" s="21">
        <v>7050000</v>
      </c>
      <c r="J1318" s="21"/>
      <c r="K1318" s="22">
        <v>1339500</v>
      </c>
      <c r="L1318" s="23"/>
      <c r="M1318" s="22">
        <v>0</v>
      </c>
      <c r="N1318" s="74">
        <v>0</v>
      </c>
      <c r="O1318" s="22">
        <v>0</v>
      </c>
      <c r="P1318" s="21">
        <v>8389500</v>
      </c>
      <c r="S1318" s="108" t="b">
        <f>OR(COUNTIF(Tabla2[[#This Row],[PROVEEDOR]],"*"&amp;'Palabra no opera'!$A$2&amp;"*"))</f>
        <v>1</v>
      </c>
      <c r="T1318" s="139">
        <f>+$W$5-Tabla2[[#This Row],[FECHA DE FACTURACIÓN]]</f>
        <v>457</v>
      </c>
      <c r="U1318" t="str">
        <f>+IF(Tabla2[[#This Row],[dias de credito]]&gt;=Tabla2[[#This Row],[PLAZO Días]],"venc", "No venc")</f>
        <v>venc</v>
      </c>
      <c r="V1318" t="str">
        <f>+IF(Tabla2[[#This Row],[FECHA DE PAGO]]&gt;0,"pagada","por pagar")</f>
        <v>pagada</v>
      </c>
      <c r="W1318" s="141" t="str">
        <f>+IF(AND(Tabla2[[#This Row],[venc]]="venc",Tabla2[[#This Row],[Columna1]]="por pagar"),"vencida","no")</f>
        <v>no</v>
      </c>
    </row>
    <row r="1319" spans="1:23" ht="15.6" hidden="1" x14ac:dyDescent="0.3">
      <c r="A1319" s="20">
        <v>30</v>
      </c>
      <c r="B1319" s="25">
        <v>0</v>
      </c>
      <c r="C1319" s="25"/>
      <c r="D1319" s="56" t="s">
        <v>186</v>
      </c>
      <c r="E1319" s="426">
        <v>44900</v>
      </c>
      <c r="F1319" s="26" t="s">
        <v>76</v>
      </c>
      <c r="G1319" s="426">
        <v>44809</v>
      </c>
      <c r="H1319" s="35" t="s">
        <v>1192</v>
      </c>
      <c r="I1319" s="21">
        <v>19274773</v>
      </c>
      <c r="J1319" s="21"/>
      <c r="K1319" s="22">
        <v>3662206.87</v>
      </c>
      <c r="L1319" s="23"/>
      <c r="M1319" s="22">
        <v>0</v>
      </c>
      <c r="N1319" s="74">
        <v>2.5000000000000001E-2</v>
      </c>
      <c r="O1319" s="22">
        <v>481869.32500000001</v>
      </c>
      <c r="P1319" s="21">
        <v>22455110.545000002</v>
      </c>
      <c r="S1319" s="108" t="b">
        <f>OR(COUNTIF(Tabla2[[#This Row],[PROVEEDOR]],"*"&amp;'Palabra no opera'!$A$2&amp;"*"))</f>
        <v>0</v>
      </c>
      <c r="T1319" s="139">
        <f>+$W$5-Tabla2[[#This Row],[FECHA DE FACTURACIÓN]]</f>
        <v>482</v>
      </c>
      <c r="U1319" t="str">
        <f>+IF(Tabla2[[#This Row],[dias de credito]]&gt;=Tabla2[[#This Row],[PLAZO Días]],"venc", "No venc")</f>
        <v>venc</v>
      </c>
      <c r="V1319" t="str">
        <f>+IF(Tabla2[[#This Row],[FECHA DE PAGO]]&gt;0,"pagada","por pagar")</f>
        <v>pagada</v>
      </c>
      <c r="W1319" s="141" t="str">
        <f>+IF(AND(Tabla2[[#This Row],[venc]]="venc",Tabla2[[#This Row],[Columna1]]="por pagar"),"vencida","no")</f>
        <v>no</v>
      </c>
    </row>
    <row r="1320" spans="1:23" ht="15.6" hidden="1" x14ac:dyDescent="0.3">
      <c r="A1320" s="20">
        <v>30</v>
      </c>
      <c r="B1320" s="25">
        <v>0</v>
      </c>
      <c r="C1320" s="25"/>
      <c r="D1320" s="56" t="s">
        <v>186</v>
      </c>
      <c r="E1320" s="426">
        <v>44900</v>
      </c>
      <c r="F1320" s="26" t="s">
        <v>76</v>
      </c>
      <c r="G1320" s="426">
        <v>44729</v>
      </c>
      <c r="H1320" s="35" t="s">
        <v>766</v>
      </c>
      <c r="I1320" s="21">
        <v>105042</v>
      </c>
      <c r="J1320" s="21"/>
      <c r="K1320" s="22">
        <v>19957.98</v>
      </c>
      <c r="L1320" s="23"/>
      <c r="M1320" s="22">
        <v>0</v>
      </c>
      <c r="N1320" s="74">
        <v>0</v>
      </c>
      <c r="O1320" s="22">
        <v>0</v>
      </c>
      <c r="P1320" s="21">
        <v>124999.98</v>
      </c>
      <c r="S1320" s="108" t="b">
        <f>OR(COUNTIF(Tabla2[[#This Row],[PROVEEDOR]],"*"&amp;'Palabra no opera'!$A$2&amp;"*"))</f>
        <v>0</v>
      </c>
      <c r="T1320" s="139">
        <f>+$W$5-Tabla2[[#This Row],[FECHA DE FACTURACIÓN]]</f>
        <v>562</v>
      </c>
      <c r="U1320" t="str">
        <f>+IF(Tabla2[[#This Row],[dias de credito]]&gt;=Tabla2[[#This Row],[PLAZO Días]],"venc", "No venc")</f>
        <v>venc</v>
      </c>
      <c r="V1320" t="str">
        <f>+IF(Tabla2[[#This Row],[FECHA DE PAGO]]&gt;0,"pagada","por pagar")</f>
        <v>pagada</v>
      </c>
      <c r="W1320" s="141" t="str">
        <f>+IF(AND(Tabla2[[#This Row],[venc]]="venc",Tabla2[[#This Row],[Columna1]]="por pagar"),"vencida","no")</f>
        <v>no</v>
      </c>
    </row>
    <row r="1321" spans="1:23" ht="15.6" hidden="1" x14ac:dyDescent="0.3">
      <c r="A1321" s="20">
        <v>30</v>
      </c>
      <c r="B1321" s="25">
        <v>342000</v>
      </c>
      <c r="C1321" s="25"/>
      <c r="D1321" s="56" t="s">
        <v>107</v>
      </c>
      <c r="E1321" s="426">
        <v>44897</v>
      </c>
      <c r="F1321" s="26" t="s">
        <v>495</v>
      </c>
      <c r="G1321" s="426">
        <v>44877</v>
      </c>
      <c r="H1321" s="35">
        <v>56099</v>
      </c>
      <c r="I1321" s="21">
        <v>307500</v>
      </c>
      <c r="J1321" s="21"/>
      <c r="K1321" s="22">
        <v>0</v>
      </c>
      <c r="L1321" s="23"/>
      <c r="M1321" s="22">
        <v>0</v>
      </c>
      <c r="N1321" s="74">
        <v>0</v>
      </c>
      <c r="O1321" s="22">
        <v>0</v>
      </c>
      <c r="P1321" s="21">
        <v>307500</v>
      </c>
      <c r="S1321" s="108" t="b">
        <f>OR(COUNTIF(Tabla2[[#This Row],[PROVEEDOR]],"*"&amp;'Palabra no opera'!$A$2&amp;"*"))</f>
        <v>0</v>
      </c>
      <c r="T1321" s="139">
        <f>+$W$5-Tabla2[[#This Row],[FECHA DE FACTURACIÓN]]</f>
        <v>414</v>
      </c>
      <c r="U1321" t="str">
        <f>+IF(Tabla2[[#This Row],[dias de credito]]&gt;=Tabla2[[#This Row],[PLAZO Días]],"venc", "No venc")</f>
        <v>venc</v>
      </c>
      <c r="V1321" t="str">
        <f>+IF(Tabla2[[#This Row],[FECHA DE PAGO]]&gt;0,"pagada","por pagar")</f>
        <v>pagada</v>
      </c>
      <c r="W1321" s="141" t="str">
        <f>+IF(AND(Tabla2[[#This Row],[venc]]="venc",Tabla2[[#This Row],[Columna1]]="por pagar"),"vencida","no")</f>
        <v>no</v>
      </c>
    </row>
    <row r="1322" spans="1:23" ht="15.6" hidden="1" x14ac:dyDescent="0.3">
      <c r="A1322" s="20">
        <v>30</v>
      </c>
      <c r="B1322" s="25">
        <v>0</v>
      </c>
      <c r="C1322" s="25"/>
      <c r="D1322" s="56" t="s">
        <v>342</v>
      </c>
      <c r="E1322" s="426">
        <v>44897</v>
      </c>
      <c r="F1322" s="26" t="s">
        <v>343</v>
      </c>
      <c r="G1322" s="426">
        <v>44839</v>
      </c>
      <c r="H1322" s="35">
        <v>3851</v>
      </c>
      <c r="I1322" s="21">
        <v>2456000</v>
      </c>
      <c r="J1322" s="21"/>
      <c r="K1322" s="22">
        <v>0</v>
      </c>
      <c r="L1322" s="23"/>
      <c r="M1322" s="22">
        <v>0</v>
      </c>
      <c r="N1322" s="74">
        <v>0</v>
      </c>
      <c r="O1322" s="22">
        <v>0</v>
      </c>
      <c r="P1322" s="21">
        <v>2456000</v>
      </c>
      <c r="S1322" s="108" t="b">
        <f>OR(COUNTIF(Tabla2[[#This Row],[PROVEEDOR]],"*"&amp;'Palabra no opera'!$A$2&amp;"*"))</f>
        <v>0</v>
      </c>
      <c r="T1322" s="139">
        <f>+$W$5-Tabla2[[#This Row],[FECHA DE FACTURACIÓN]]</f>
        <v>452</v>
      </c>
      <c r="U1322" t="str">
        <f>+IF(Tabla2[[#This Row],[dias de credito]]&gt;=Tabla2[[#This Row],[PLAZO Días]],"venc", "No venc")</f>
        <v>venc</v>
      </c>
      <c r="V1322" t="str">
        <f>+IF(Tabla2[[#This Row],[FECHA DE PAGO]]&gt;0,"pagada","por pagar")</f>
        <v>pagada</v>
      </c>
      <c r="W1322" s="141" t="str">
        <f>+IF(AND(Tabla2[[#This Row],[venc]]="venc",Tabla2[[#This Row],[Columna1]]="por pagar"),"vencida","no")</f>
        <v>no</v>
      </c>
    </row>
    <row r="1323" spans="1:23" ht="15.6" hidden="1" x14ac:dyDescent="0.3">
      <c r="A1323" s="20">
        <v>30</v>
      </c>
      <c r="B1323" s="25">
        <v>5480000</v>
      </c>
      <c r="C1323" s="25"/>
      <c r="D1323" s="56" t="s">
        <v>107</v>
      </c>
      <c r="E1323" s="426">
        <v>44897</v>
      </c>
      <c r="F1323" s="26" t="s">
        <v>369</v>
      </c>
      <c r="G1323" s="426">
        <v>44838</v>
      </c>
      <c r="H1323" s="35">
        <v>6986</v>
      </c>
      <c r="I1323" s="21">
        <v>2410000</v>
      </c>
      <c r="J1323" s="21"/>
      <c r="K1323" s="22">
        <v>0</v>
      </c>
      <c r="L1323" s="23"/>
      <c r="M1323" s="22">
        <v>0</v>
      </c>
      <c r="N1323" s="74">
        <v>0</v>
      </c>
      <c r="O1323" s="22">
        <v>0</v>
      </c>
      <c r="P1323" s="21">
        <v>2410000</v>
      </c>
      <c r="S1323" s="108" t="b">
        <f>OR(COUNTIF(Tabla2[[#This Row],[PROVEEDOR]],"*"&amp;'Palabra no opera'!$A$2&amp;"*"))</f>
        <v>0</v>
      </c>
      <c r="T1323" s="139">
        <f>+$W$5-Tabla2[[#This Row],[FECHA DE FACTURACIÓN]]</f>
        <v>453</v>
      </c>
      <c r="U1323" t="str">
        <f>+IF(Tabla2[[#This Row],[dias de credito]]&gt;=Tabla2[[#This Row],[PLAZO Días]],"venc", "No venc")</f>
        <v>venc</v>
      </c>
      <c r="V1323" t="str">
        <f>+IF(Tabla2[[#This Row],[FECHA DE PAGO]]&gt;0,"pagada","por pagar")</f>
        <v>pagada</v>
      </c>
      <c r="W1323" s="141" t="str">
        <f>+IF(AND(Tabla2[[#This Row],[venc]]="venc",Tabla2[[#This Row],[Columna1]]="por pagar"),"vencida","no")</f>
        <v>no</v>
      </c>
    </row>
    <row r="1324" spans="1:23" ht="15.6" hidden="1" x14ac:dyDescent="0.3">
      <c r="A1324" s="20">
        <v>30</v>
      </c>
      <c r="B1324" s="25">
        <v>2950000</v>
      </c>
      <c r="C1324" s="25"/>
      <c r="D1324" s="56">
        <v>0</v>
      </c>
      <c r="E1324" s="426">
        <v>44897</v>
      </c>
      <c r="F1324" s="26" t="s">
        <v>1152</v>
      </c>
      <c r="G1324" s="426">
        <v>44834</v>
      </c>
      <c r="H1324" s="35" t="s">
        <v>1153</v>
      </c>
      <c r="I1324" s="21">
        <v>1957800</v>
      </c>
      <c r="J1324" s="21"/>
      <c r="K1324" s="22">
        <v>0</v>
      </c>
      <c r="L1324" s="23"/>
      <c r="M1324" s="22">
        <v>0</v>
      </c>
      <c r="N1324" s="74">
        <v>0</v>
      </c>
      <c r="O1324" s="22">
        <v>0</v>
      </c>
      <c r="P1324" s="21">
        <v>1957800</v>
      </c>
      <c r="S1324" s="108" t="b">
        <f>OR(COUNTIF(Tabla2[[#This Row],[PROVEEDOR]],"*"&amp;'Palabra no opera'!$A$2&amp;"*"))</f>
        <v>0</v>
      </c>
      <c r="T1324" s="139">
        <f>+$W$5-Tabla2[[#This Row],[FECHA DE FACTURACIÓN]]</f>
        <v>457</v>
      </c>
      <c r="U1324" t="str">
        <f>+IF(Tabla2[[#This Row],[dias de credito]]&gt;=Tabla2[[#This Row],[PLAZO Días]],"venc", "No venc")</f>
        <v>venc</v>
      </c>
      <c r="V1324" t="str">
        <f>+IF(Tabla2[[#This Row],[FECHA DE PAGO]]&gt;0,"pagada","por pagar")</f>
        <v>pagada</v>
      </c>
      <c r="W1324" s="141" t="str">
        <f>+IF(AND(Tabla2[[#This Row],[venc]]="venc",Tabla2[[#This Row],[Columna1]]="por pagar"),"vencida","no")</f>
        <v>no</v>
      </c>
    </row>
    <row r="1325" spans="1:23" ht="15.6" hidden="1" x14ac:dyDescent="0.3">
      <c r="A1325" s="20">
        <v>30</v>
      </c>
      <c r="B1325" s="25">
        <v>559000</v>
      </c>
      <c r="C1325" s="25"/>
      <c r="D1325" s="56" t="s">
        <v>107</v>
      </c>
      <c r="E1325" s="426">
        <v>44896</v>
      </c>
      <c r="F1325" s="26" t="s">
        <v>399</v>
      </c>
      <c r="G1325" s="426">
        <v>44896</v>
      </c>
      <c r="H1325" s="35" t="s">
        <v>1362</v>
      </c>
      <c r="I1325" s="21">
        <v>1669000</v>
      </c>
      <c r="J1325" s="21"/>
      <c r="K1325" s="22">
        <v>0</v>
      </c>
      <c r="L1325" s="23"/>
      <c r="M1325" s="22">
        <v>0</v>
      </c>
      <c r="N1325" s="74">
        <v>0</v>
      </c>
      <c r="O1325" s="22">
        <v>0</v>
      </c>
      <c r="P1325" s="21">
        <v>1669000</v>
      </c>
      <c r="S1325" s="108" t="b">
        <f>OR(COUNTIF(Tabla2[[#This Row],[PROVEEDOR]],"*"&amp;'Palabra no opera'!$A$2&amp;"*"))</f>
        <v>0</v>
      </c>
      <c r="T1325" s="139">
        <f>+$W$5-Tabla2[[#This Row],[FECHA DE FACTURACIÓN]]</f>
        <v>395</v>
      </c>
      <c r="U1325" t="str">
        <f>+IF(Tabla2[[#This Row],[dias de credito]]&gt;=Tabla2[[#This Row],[PLAZO Días]],"venc", "No venc")</f>
        <v>venc</v>
      </c>
      <c r="V1325" t="str">
        <f>+IF(Tabla2[[#This Row],[FECHA DE PAGO]]&gt;0,"pagada","por pagar")</f>
        <v>pagada</v>
      </c>
      <c r="W1325" s="141" t="str">
        <f>+IF(AND(Tabla2[[#This Row],[venc]]="venc",Tabla2[[#This Row],[Columna1]]="por pagar"),"vencida","no")</f>
        <v>no</v>
      </c>
    </row>
    <row r="1326" spans="1:23" ht="15.6" hidden="1" x14ac:dyDescent="0.3">
      <c r="A1326" s="20">
        <v>30</v>
      </c>
      <c r="B1326" s="25">
        <v>2100000</v>
      </c>
      <c r="C1326" s="25"/>
      <c r="D1326" s="56" t="s">
        <v>107</v>
      </c>
      <c r="E1326" s="426">
        <v>44896</v>
      </c>
      <c r="F1326" s="26" t="s">
        <v>349</v>
      </c>
      <c r="G1326" s="426">
        <v>44865</v>
      </c>
      <c r="H1326" s="35" t="s">
        <v>1241</v>
      </c>
      <c r="I1326" s="21">
        <v>2318500</v>
      </c>
      <c r="J1326" s="21"/>
      <c r="K1326" s="22">
        <v>0</v>
      </c>
      <c r="L1326" s="23"/>
      <c r="M1326" s="22">
        <v>0</v>
      </c>
      <c r="N1326" s="74">
        <v>0</v>
      </c>
      <c r="O1326" s="22">
        <v>0</v>
      </c>
      <c r="P1326" s="21">
        <v>2318500</v>
      </c>
      <c r="S1326" s="108" t="b">
        <f>OR(COUNTIF(Tabla2[[#This Row],[PROVEEDOR]],"*"&amp;'Palabra no opera'!$A$2&amp;"*"))</f>
        <v>0</v>
      </c>
      <c r="T1326" s="139">
        <f>+$W$5-Tabla2[[#This Row],[FECHA DE FACTURACIÓN]]</f>
        <v>426</v>
      </c>
      <c r="U1326" t="str">
        <f>+IF(Tabla2[[#This Row],[dias de credito]]&gt;=Tabla2[[#This Row],[PLAZO Días]],"venc", "No venc")</f>
        <v>venc</v>
      </c>
      <c r="V1326" t="str">
        <f>+IF(Tabla2[[#This Row],[FECHA DE PAGO]]&gt;0,"pagada","por pagar")</f>
        <v>pagada</v>
      </c>
      <c r="W1326" s="141" t="str">
        <f>+IF(AND(Tabla2[[#This Row],[venc]]="venc",Tabla2[[#This Row],[Columna1]]="por pagar"),"vencida","no")</f>
        <v>no</v>
      </c>
    </row>
    <row r="1327" spans="1:23" ht="15.6" hidden="1" x14ac:dyDescent="0.3">
      <c r="A1327" s="20">
        <v>30</v>
      </c>
      <c r="B1327" s="25">
        <v>0</v>
      </c>
      <c r="C1327" s="25"/>
      <c r="D1327" s="56" t="s">
        <v>107</v>
      </c>
      <c r="E1327" s="426">
        <v>44896</v>
      </c>
      <c r="F1327" s="26" t="s">
        <v>409</v>
      </c>
      <c r="G1327" s="426">
        <v>44813</v>
      </c>
      <c r="H1327" s="35">
        <v>17</v>
      </c>
      <c r="I1327" s="21">
        <v>42000</v>
      </c>
      <c r="J1327" s="21"/>
      <c r="K1327" s="22">
        <v>0</v>
      </c>
      <c r="L1327" s="23"/>
      <c r="M1327" s="22">
        <v>0</v>
      </c>
      <c r="N1327" s="74">
        <v>0</v>
      </c>
      <c r="O1327" s="22">
        <v>0</v>
      </c>
      <c r="P1327" s="21">
        <v>42000</v>
      </c>
      <c r="S1327" s="108" t="b">
        <f>OR(COUNTIF(Tabla2[[#This Row],[PROVEEDOR]],"*"&amp;'Palabra no opera'!$A$2&amp;"*"))</f>
        <v>0</v>
      </c>
      <c r="T1327" s="139">
        <f>+$W$5-Tabla2[[#This Row],[FECHA DE FACTURACIÓN]]</f>
        <v>478</v>
      </c>
      <c r="U1327" t="str">
        <f>+IF(Tabla2[[#This Row],[dias de credito]]&gt;=Tabla2[[#This Row],[PLAZO Días]],"venc", "No venc")</f>
        <v>venc</v>
      </c>
      <c r="V1327" t="str">
        <f>+IF(Tabla2[[#This Row],[FECHA DE PAGO]]&gt;0,"pagada","por pagar")</f>
        <v>pagada</v>
      </c>
      <c r="W1327" s="141" t="str">
        <f>+IF(AND(Tabla2[[#This Row],[venc]]="venc",Tabla2[[#This Row],[Columna1]]="por pagar"),"vencida","no")</f>
        <v>no</v>
      </c>
    </row>
    <row r="1328" spans="1:23" ht="15.6" hidden="1" x14ac:dyDescent="0.3">
      <c r="A1328" s="20">
        <v>30</v>
      </c>
      <c r="B1328" s="25">
        <v>0</v>
      </c>
      <c r="C1328" s="25"/>
      <c r="D1328" s="56" t="s">
        <v>107</v>
      </c>
      <c r="E1328" s="426">
        <v>44896</v>
      </c>
      <c r="F1328" s="26" t="s">
        <v>409</v>
      </c>
      <c r="G1328" s="426">
        <v>44813</v>
      </c>
      <c r="H1328" s="35">
        <v>18</v>
      </c>
      <c r="I1328" s="21">
        <v>120000</v>
      </c>
      <c r="J1328" s="21"/>
      <c r="K1328" s="22">
        <v>0</v>
      </c>
      <c r="L1328" s="23"/>
      <c r="M1328" s="22">
        <v>0</v>
      </c>
      <c r="N1328" s="74">
        <v>0</v>
      </c>
      <c r="O1328" s="22">
        <v>0</v>
      </c>
      <c r="P1328" s="21">
        <v>120000</v>
      </c>
      <c r="S1328" s="108" t="b">
        <f>OR(COUNTIF(Tabla2[[#This Row],[PROVEEDOR]],"*"&amp;'Palabra no opera'!$A$2&amp;"*"))</f>
        <v>0</v>
      </c>
      <c r="T1328" s="139">
        <f>+$W$5-Tabla2[[#This Row],[FECHA DE FACTURACIÓN]]</f>
        <v>478</v>
      </c>
      <c r="U1328" t="str">
        <f>+IF(Tabla2[[#This Row],[dias de credito]]&gt;=Tabla2[[#This Row],[PLAZO Días]],"venc", "No venc")</f>
        <v>venc</v>
      </c>
      <c r="V1328" t="str">
        <f>+IF(Tabla2[[#This Row],[FECHA DE PAGO]]&gt;0,"pagada","por pagar")</f>
        <v>pagada</v>
      </c>
      <c r="W1328" s="141" t="str">
        <f>+IF(AND(Tabla2[[#This Row],[venc]]="venc",Tabla2[[#This Row],[Columna1]]="por pagar"),"vencida","no")</f>
        <v>no</v>
      </c>
    </row>
    <row r="1329" spans="1:23" ht="15.6" hidden="1" x14ac:dyDescent="0.3">
      <c r="A1329" s="20">
        <v>30</v>
      </c>
      <c r="B1329" s="25">
        <v>0</v>
      </c>
      <c r="C1329" s="25"/>
      <c r="D1329" s="56" t="s">
        <v>107</v>
      </c>
      <c r="E1329" s="426">
        <v>44895</v>
      </c>
      <c r="F1329" s="26" t="s">
        <v>362</v>
      </c>
      <c r="G1329" s="426">
        <v>44895</v>
      </c>
      <c r="H1329" s="35" t="s">
        <v>1321</v>
      </c>
      <c r="I1329" s="21">
        <v>56000</v>
      </c>
      <c r="J1329" s="21"/>
      <c r="K1329" s="22">
        <v>0</v>
      </c>
      <c r="L1329" s="23"/>
      <c r="M1329" s="22">
        <v>0</v>
      </c>
      <c r="N1329" s="74">
        <v>0</v>
      </c>
      <c r="O1329" s="22">
        <v>0</v>
      </c>
      <c r="P1329" s="21">
        <v>56000</v>
      </c>
      <c r="S1329" s="108" t="b">
        <f>OR(COUNTIF(Tabla2[[#This Row],[PROVEEDOR]],"*"&amp;'Palabra no opera'!$A$2&amp;"*"))</f>
        <v>0</v>
      </c>
      <c r="T1329" s="139">
        <f>+$W$5-Tabla2[[#This Row],[FECHA DE FACTURACIÓN]]</f>
        <v>396</v>
      </c>
      <c r="U1329" t="str">
        <f>+IF(Tabla2[[#This Row],[dias de credito]]&gt;=Tabla2[[#This Row],[PLAZO Días]],"venc", "No venc")</f>
        <v>venc</v>
      </c>
      <c r="V1329" t="str">
        <f>+IF(Tabla2[[#This Row],[FECHA DE PAGO]]&gt;0,"pagada","por pagar")</f>
        <v>pagada</v>
      </c>
      <c r="W1329" s="141" t="str">
        <f>+IF(AND(Tabla2[[#This Row],[venc]]="venc",Tabla2[[#This Row],[Columna1]]="por pagar"),"vencida","no")</f>
        <v>no</v>
      </c>
    </row>
    <row r="1330" spans="1:23" ht="15.6" hidden="1" x14ac:dyDescent="0.3">
      <c r="A1330" s="20">
        <v>30</v>
      </c>
      <c r="B1330" s="25">
        <v>0</v>
      </c>
      <c r="C1330" s="25"/>
      <c r="D1330" s="56" t="s">
        <v>107</v>
      </c>
      <c r="E1330" s="426">
        <v>44895</v>
      </c>
      <c r="F1330" s="26" t="s">
        <v>362</v>
      </c>
      <c r="G1330" s="426">
        <v>44895</v>
      </c>
      <c r="H1330" s="35" t="s">
        <v>1322</v>
      </c>
      <c r="I1330" s="21">
        <v>35000</v>
      </c>
      <c r="J1330" s="21"/>
      <c r="K1330" s="22">
        <v>0</v>
      </c>
      <c r="L1330" s="23"/>
      <c r="M1330" s="22">
        <v>0</v>
      </c>
      <c r="N1330" s="74">
        <v>0</v>
      </c>
      <c r="O1330" s="22">
        <v>0</v>
      </c>
      <c r="P1330" s="21">
        <v>35000</v>
      </c>
      <c r="S1330" s="108" t="b">
        <f>OR(COUNTIF(Tabla2[[#This Row],[PROVEEDOR]],"*"&amp;'Palabra no opera'!$A$2&amp;"*"))</f>
        <v>0</v>
      </c>
      <c r="T1330" s="139">
        <f>+$W$5-Tabla2[[#This Row],[FECHA DE FACTURACIÓN]]</f>
        <v>396</v>
      </c>
      <c r="U1330" t="str">
        <f>+IF(Tabla2[[#This Row],[dias de credito]]&gt;=Tabla2[[#This Row],[PLAZO Días]],"venc", "No venc")</f>
        <v>venc</v>
      </c>
      <c r="V1330" t="str">
        <f>+IF(Tabla2[[#This Row],[FECHA DE PAGO]]&gt;0,"pagada","por pagar")</f>
        <v>pagada</v>
      </c>
      <c r="W1330" s="141" t="str">
        <f>+IF(AND(Tabla2[[#This Row],[venc]]="venc",Tabla2[[#This Row],[Columna1]]="por pagar"),"vencida","no")</f>
        <v>no</v>
      </c>
    </row>
    <row r="1331" spans="1:23" ht="15.6" hidden="1" x14ac:dyDescent="0.3">
      <c r="A1331" s="20">
        <v>30</v>
      </c>
      <c r="B1331" s="25">
        <v>0</v>
      </c>
      <c r="C1331" s="25"/>
      <c r="D1331" s="56" t="s">
        <v>107</v>
      </c>
      <c r="E1331" s="426">
        <v>44895</v>
      </c>
      <c r="F1331" s="26" t="s">
        <v>362</v>
      </c>
      <c r="G1331" s="426">
        <v>44895</v>
      </c>
      <c r="H1331" s="35" t="s">
        <v>1323</v>
      </c>
      <c r="I1331" s="21">
        <v>2344000</v>
      </c>
      <c r="J1331" s="21"/>
      <c r="K1331" s="22">
        <v>0</v>
      </c>
      <c r="L1331" s="23"/>
      <c r="M1331" s="22">
        <v>0</v>
      </c>
      <c r="N1331" s="74">
        <v>0</v>
      </c>
      <c r="O1331" s="22">
        <v>0</v>
      </c>
      <c r="P1331" s="21">
        <v>2344000</v>
      </c>
      <c r="S1331" s="108" t="b">
        <f>OR(COUNTIF(Tabla2[[#This Row],[PROVEEDOR]],"*"&amp;'Palabra no opera'!$A$2&amp;"*"))</f>
        <v>0</v>
      </c>
      <c r="T1331" s="139">
        <f>+$W$5-Tabla2[[#This Row],[FECHA DE FACTURACIÓN]]</f>
        <v>396</v>
      </c>
      <c r="U1331" t="str">
        <f>+IF(Tabla2[[#This Row],[dias de credito]]&gt;=Tabla2[[#This Row],[PLAZO Días]],"venc", "No venc")</f>
        <v>venc</v>
      </c>
      <c r="V1331" t="str">
        <f>+IF(Tabla2[[#This Row],[FECHA DE PAGO]]&gt;0,"pagada","por pagar")</f>
        <v>pagada</v>
      </c>
      <c r="W1331" s="141" t="str">
        <f>+IF(AND(Tabla2[[#This Row],[venc]]="venc",Tabla2[[#This Row],[Columna1]]="por pagar"),"vencida","no")</f>
        <v>no</v>
      </c>
    </row>
    <row r="1332" spans="1:23" ht="15.6" hidden="1" x14ac:dyDescent="0.3">
      <c r="A1332" s="20">
        <v>30</v>
      </c>
      <c r="B1332" s="25">
        <v>0</v>
      </c>
      <c r="C1332" s="25"/>
      <c r="D1332" s="56" t="s">
        <v>107</v>
      </c>
      <c r="E1332" s="426">
        <v>44895</v>
      </c>
      <c r="F1332" s="26" t="s">
        <v>362</v>
      </c>
      <c r="G1332" s="426">
        <v>44895</v>
      </c>
      <c r="H1332" s="35" t="s">
        <v>1324</v>
      </c>
      <c r="I1332" s="21">
        <v>537000</v>
      </c>
      <c r="J1332" s="21"/>
      <c r="K1332" s="22">
        <v>0</v>
      </c>
      <c r="L1332" s="23"/>
      <c r="M1332" s="22">
        <v>0</v>
      </c>
      <c r="N1332" s="74">
        <v>0</v>
      </c>
      <c r="O1332" s="22">
        <v>0</v>
      </c>
      <c r="P1332" s="21">
        <v>537000</v>
      </c>
      <c r="S1332" s="108" t="b">
        <f>OR(COUNTIF(Tabla2[[#This Row],[PROVEEDOR]],"*"&amp;'Palabra no opera'!$A$2&amp;"*"))</f>
        <v>0</v>
      </c>
      <c r="T1332" s="139">
        <f>+$W$5-Tabla2[[#This Row],[FECHA DE FACTURACIÓN]]</f>
        <v>396</v>
      </c>
      <c r="U1332" t="str">
        <f>+IF(Tabla2[[#This Row],[dias de credito]]&gt;=Tabla2[[#This Row],[PLAZO Días]],"venc", "No venc")</f>
        <v>venc</v>
      </c>
      <c r="V1332" t="str">
        <f>+IF(Tabla2[[#This Row],[FECHA DE PAGO]]&gt;0,"pagada","por pagar")</f>
        <v>pagada</v>
      </c>
      <c r="W1332" s="141" t="str">
        <f>+IF(AND(Tabla2[[#This Row],[venc]]="venc",Tabla2[[#This Row],[Columna1]]="por pagar"),"vencida","no")</f>
        <v>no</v>
      </c>
    </row>
    <row r="1333" spans="1:23" ht="15.6" hidden="1" x14ac:dyDescent="0.3">
      <c r="A1333" s="20">
        <v>30</v>
      </c>
      <c r="B1333" s="25">
        <v>0</v>
      </c>
      <c r="C1333" s="25"/>
      <c r="D1333" s="56" t="s">
        <v>107</v>
      </c>
      <c r="E1333" s="426">
        <v>44895</v>
      </c>
      <c r="F1333" s="26" t="s">
        <v>362</v>
      </c>
      <c r="G1333" s="426">
        <v>44895</v>
      </c>
      <c r="H1333" s="35" t="s">
        <v>1325</v>
      </c>
      <c r="I1333" s="21">
        <v>825100</v>
      </c>
      <c r="J1333" s="21"/>
      <c r="K1333" s="22">
        <v>0</v>
      </c>
      <c r="L1333" s="23"/>
      <c r="M1333" s="22">
        <v>0</v>
      </c>
      <c r="N1333" s="74">
        <v>0</v>
      </c>
      <c r="O1333" s="22">
        <v>0</v>
      </c>
      <c r="P1333" s="21">
        <v>825100</v>
      </c>
      <c r="S1333" s="108" t="b">
        <f>OR(COUNTIF(Tabla2[[#This Row],[PROVEEDOR]],"*"&amp;'Palabra no opera'!$A$2&amp;"*"))</f>
        <v>0</v>
      </c>
      <c r="T1333" s="139">
        <f>+$W$5-Tabla2[[#This Row],[FECHA DE FACTURACIÓN]]</f>
        <v>396</v>
      </c>
      <c r="U1333" t="str">
        <f>+IF(Tabla2[[#This Row],[dias de credito]]&gt;=Tabla2[[#This Row],[PLAZO Días]],"venc", "No venc")</f>
        <v>venc</v>
      </c>
      <c r="V1333" t="str">
        <f>+IF(Tabla2[[#This Row],[FECHA DE PAGO]]&gt;0,"pagada","por pagar")</f>
        <v>pagada</v>
      </c>
      <c r="W1333" s="141" t="str">
        <f>+IF(AND(Tabla2[[#This Row],[venc]]="venc",Tabla2[[#This Row],[Columna1]]="por pagar"),"vencida","no")</f>
        <v>no</v>
      </c>
    </row>
    <row r="1334" spans="1:23" ht="15.6" hidden="1" x14ac:dyDescent="0.3">
      <c r="A1334" s="20">
        <v>30</v>
      </c>
      <c r="B1334" s="25">
        <v>0</v>
      </c>
      <c r="C1334" s="25"/>
      <c r="D1334" s="56" t="s">
        <v>199</v>
      </c>
      <c r="E1334" s="426">
        <v>44895</v>
      </c>
      <c r="F1334" s="26" t="s">
        <v>1069</v>
      </c>
      <c r="G1334" s="426">
        <v>44858</v>
      </c>
      <c r="H1334" s="35" t="s">
        <v>1219</v>
      </c>
      <c r="I1334" s="21">
        <v>1260508</v>
      </c>
      <c r="J1334" s="21"/>
      <c r="K1334" s="22">
        <v>239496.52</v>
      </c>
      <c r="L1334" s="23"/>
      <c r="M1334" s="22">
        <v>0</v>
      </c>
      <c r="N1334" s="74">
        <v>2.5000000000000001E-2</v>
      </c>
      <c r="O1334" s="22">
        <v>31512.7</v>
      </c>
      <c r="P1334" s="21">
        <v>1468491.82</v>
      </c>
      <c r="S1334" s="108" t="b">
        <f>OR(COUNTIF(Tabla2[[#This Row],[PROVEEDOR]],"*"&amp;'Palabra no opera'!$A$2&amp;"*"))</f>
        <v>0</v>
      </c>
      <c r="T1334" s="139">
        <f>+$W$5-Tabla2[[#This Row],[FECHA DE FACTURACIÓN]]</f>
        <v>433</v>
      </c>
      <c r="U1334" t="str">
        <f>+IF(Tabla2[[#This Row],[dias de credito]]&gt;=Tabla2[[#This Row],[PLAZO Días]],"venc", "No venc")</f>
        <v>venc</v>
      </c>
      <c r="V1334" t="str">
        <f>+IF(Tabla2[[#This Row],[FECHA DE PAGO]]&gt;0,"pagada","por pagar")</f>
        <v>pagada</v>
      </c>
      <c r="W1334" s="141" t="str">
        <f>+IF(AND(Tabla2[[#This Row],[venc]]="venc",Tabla2[[#This Row],[Columna1]]="por pagar"),"vencida","no")</f>
        <v>no</v>
      </c>
    </row>
    <row r="1335" spans="1:23" ht="15.6" hidden="1" x14ac:dyDescent="0.3">
      <c r="A1335" s="20">
        <v>30</v>
      </c>
      <c r="B1335" s="25">
        <v>17870934.149999999</v>
      </c>
      <c r="C1335" s="25"/>
      <c r="D1335" s="56" t="s">
        <v>182</v>
      </c>
      <c r="E1335" s="426">
        <v>44895</v>
      </c>
      <c r="F1335" s="26" t="s">
        <v>18</v>
      </c>
      <c r="G1335" s="426">
        <v>44855</v>
      </c>
      <c r="H1335" s="35" t="s">
        <v>1229</v>
      </c>
      <c r="I1335" s="21">
        <v>4447562</v>
      </c>
      <c r="J1335" s="21"/>
      <c r="K1335" s="22">
        <v>845036.78</v>
      </c>
      <c r="L1335" s="23"/>
      <c r="M1335" s="22">
        <v>0</v>
      </c>
      <c r="N1335" s="74">
        <v>2.5000000000000001E-2</v>
      </c>
      <c r="O1335" s="22">
        <v>111189.05</v>
      </c>
      <c r="P1335" s="21">
        <v>5181409.7300000004</v>
      </c>
      <c r="S1335" s="108" t="b">
        <f>OR(COUNTIF(Tabla2[[#This Row],[PROVEEDOR]],"*"&amp;'Palabra no opera'!$A$2&amp;"*"))</f>
        <v>0</v>
      </c>
      <c r="T1335" s="139">
        <f>+$W$5-Tabla2[[#This Row],[FECHA DE FACTURACIÓN]]</f>
        <v>436</v>
      </c>
      <c r="U1335" t="str">
        <f>+IF(Tabla2[[#This Row],[dias de credito]]&gt;=Tabla2[[#This Row],[PLAZO Días]],"venc", "No venc")</f>
        <v>venc</v>
      </c>
      <c r="V1335" t="str">
        <f>+IF(Tabla2[[#This Row],[FECHA DE PAGO]]&gt;0,"pagada","por pagar")</f>
        <v>pagada</v>
      </c>
      <c r="W1335" s="141" t="str">
        <f>+IF(AND(Tabla2[[#This Row],[venc]]="venc",Tabla2[[#This Row],[Columna1]]="por pagar"),"vencida","no")</f>
        <v>no</v>
      </c>
    </row>
    <row r="1336" spans="1:23" ht="15.6" hidden="1" x14ac:dyDescent="0.3">
      <c r="A1336" s="20">
        <v>30</v>
      </c>
      <c r="B1336" s="25">
        <v>17870934.149999999</v>
      </c>
      <c r="C1336" s="25"/>
      <c r="D1336" s="56" t="s">
        <v>182</v>
      </c>
      <c r="E1336" s="426">
        <v>44895</v>
      </c>
      <c r="F1336" s="26" t="s">
        <v>18</v>
      </c>
      <c r="G1336" s="426">
        <v>44847</v>
      </c>
      <c r="H1336" s="35" t="s">
        <v>1217</v>
      </c>
      <c r="I1336" s="21">
        <v>4809073</v>
      </c>
      <c r="J1336" s="21"/>
      <c r="K1336" s="22">
        <v>913723.87</v>
      </c>
      <c r="L1336" s="23"/>
      <c r="M1336" s="22">
        <v>0</v>
      </c>
      <c r="N1336" s="74">
        <v>2.5000000000000001E-2</v>
      </c>
      <c r="O1336" s="22">
        <v>120226.82500000001</v>
      </c>
      <c r="P1336" s="21">
        <v>5602570.0449999999</v>
      </c>
      <c r="S1336" s="108" t="b">
        <f>OR(COUNTIF(Tabla2[[#This Row],[PROVEEDOR]],"*"&amp;'Palabra no opera'!$A$2&amp;"*"))</f>
        <v>0</v>
      </c>
      <c r="T1336" s="139">
        <f>+$W$5-Tabla2[[#This Row],[FECHA DE FACTURACIÓN]]</f>
        <v>444</v>
      </c>
      <c r="U1336" t="str">
        <f>+IF(Tabla2[[#This Row],[dias de credito]]&gt;=Tabla2[[#This Row],[PLAZO Días]],"venc", "No venc")</f>
        <v>venc</v>
      </c>
      <c r="V1336" t="str">
        <f>+IF(Tabla2[[#This Row],[FECHA DE PAGO]]&gt;0,"pagada","por pagar")</f>
        <v>pagada</v>
      </c>
      <c r="W1336" s="141" t="str">
        <f>+IF(AND(Tabla2[[#This Row],[venc]]="venc",Tabla2[[#This Row],[Columna1]]="por pagar"),"vencida","no")</f>
        <v>no</v>
      </c>
    </row>
    <row r="1337" spans="1:23" ht="15.6" hidden="1" x14ac:dyDescent="0.3">
      <c r="A1337" s="20">
        <v>30</v>
      </c>
      <c r="B1337" s="25">
        <v>2950000</v>
      </c>
      <c r="C1337" s="25"/>
      <c r="D1337" s="56">
        <v>0</v>
      </c>
      <c r="E1337" s="426">
        <v>44893</v>
      </c>
      <c r="F1337" s="26" t="s">
        <v>1152</v>
      </c>
      <c r="G1337" s="426">
        <v>44887</v>
      </c>
      <c r="H1337" s="35">
        <v>6232</v>
      </c>
      <c r="I1337" s="21">
        <v>2035000</v>
      </c>
      <c r="J1337" s="21"/>
      <c r="K1337" s="22">
        <v>0</v>
      </c>
      <c r="L1337" s="23"/>
      <c r="M1337" s="22">
        <v>0</v>
      </c>
      <c r="N1337" s="74">
        <v>0</v>
      </c>
      <c r="O1337" s="22">
        <v>0</v>
      </c>
      <c r="P1337" s="21">
        <v>2035000</v>
      </c>
      <c r="S1337" s="108" t="b">
        <f>OR(COUNTIF(Tabla2[[#This Row],[PROVEEDOR]],"*"&amp;'Palabra no opera'!$A$2&amp;"*"))</f>
        <v>0</v>
      </c>
      <c r="T1337" s="139">
        <f>+$W$5-Tabla2[[#This Row],[FECHA DE FACTURACIÓN]]</f>
        <v>404</v>
      </c>
      <c r="U1337" t="str">
        <f>+IF(Tabla2[[#This Row],[dias de credito]]&gt;=Tabla2[[#This Row],[PLAZO Días]],"venc", "No venc")</f>
        <v>venc</v>
      </c>
      <c r="V1337" t="str">
        <f>+IF(Tabla2[[#This Row],[FECHA DE PAGO]]&gt;0,"pagada","por pagar")</f>
        <v>pagada</v>
      </c>
      <c r="W1337" s="141" t="str">
        <f>+IF(AND(Tabla2[[#This Row],[venc]]="venc",Tabla2[[#This Row],[Columna1]]="por pagar"),"vencida","no")</f>
        <v>no</v>
      </c>
    </row>
    <row r="1338" spans="1:23" ht="15.6" hidden="1" x14ac:dyDescent="0.3">
      <c r="A1338" s="20">
        <v>30</v>
      </c>
      <c r="B1338" s="25">
        <v>0</v>
      </c>
      <c r="C1338" s="25"/>
      <c r="D1338" s="56" t="s">
        <v>260</v>
      </c>
      <c r="E1338" s="426">
        <v>44893</v>
      </c>
      <c r="F1338" s="26" t="s">
        <v>635</v>
      </c>
      <c r="G1338" s="426">
        <v>44883</v>
      </c>
      <c r="H1338" s="35">
        <v>4976</v>
      </c>
      <c r="I1338" s="21">
        <v>3002200</v>
      </c>
      <c r="J1338" s="21"/>
      <c r="K1338" s="22">
        <v>0</v>
      </c>
      <c r="L1338" s="23"/>
      <c r="M1338" s="22">
        <v>0</v>
      </c>
      <c r="N1338" s="74">
        <v>0</v>
      </c>
      <c r="O1338" s="22">
        <v>0</v>
      </c>
      <c r="P1338" s="21">
        <v>3002200</v>
      </c>
      <c r="S1338" s="108" t="b">
        <f>OR(COUNTIF(Tabla2[[#This Row],[PROVEEDOR]],"*"&amp;'Palabra no opera'!$A$2&amp;"*"))</f>
        <v>1</v>
      </c>
      <c r="T1338" s="139">
        <f>+$W$5-Tabla2[[#This Row],[FECHA DE FACTURACIÓN]]</f>
        <v>408</v>
      </c>
      <c r="U1338" t="str">
        <f>+IF(Tabla2[[#This Row],[dias de credito]]&gt;=Tabla2[[#This Row],[PLAZO Días]],"venc", "No venc")</f>
        <v>venc</v>
      </c>
      <c r="V1338" t="str">
        <f>+IF(Tabla2[[#This Row],[FECHA DE PAGO]]&gt;0,"pagada","por pagar")</f>
        <v>pagada</v>
      </c>
      <c r="W1338" s="141" t="str">
        <f>+IF(AND(Tabla2[[#This Row],[venc]]="venc",Tabla2[[#This Row],[Columna1]]="por pagar"),"vencida","no")</f>
        <v>no</v>
      </c>
    </row>
    <row r="1339" spans="1:23" ht="15.6" hidden="1" x14ac:dyDescent="0.3">
      <c r="A1339" s="20">
        <v>30</v>
      </c>
      <c r="B1339" s="25">
        <v>0</v>
      </c>
      <c r="C1339" s="25"/>
      <c r="D1339" s="56" t="s">
        <v>193</v>
      </c>
      <c r="E1339" s="426">
        <v>44893</v>
      </c>
      <c r="F1339" s="26" t="s">
        <v>651</v>
      </c>
      <c r="G1339" s="426">
        <v>44869</v>
      </c>
      <c r="H1339" s="35" t="s">
        <v>1284</v>
      </c>
      <c r="I1339" s="21">
        <v>215356</v>
      </c>
      <c r="J1339" s="21"/>
      <c r="K1339" s="22">
        <v>40917.64</v>
      </c>
      <c r="L1339" s="23"/>
      <c r="M1339" s="22">
        <v>0</v>
      </c>
      <c r="N1339" s="74">
        <v>3.5000000000000003E-2</v>
      </c>
      <c r="O1339" s="22">
        <v>7537.4600000000009</v>
      </c>
      <c r="P1339" s="21">
        <v>248736.18000000002</v>
      </c>
      <c r="S1339" s="108" t="b">
        <f>OR(COUNTIF(Tabla2[[#This Row],[PROVEEDOR]],"*"&amp;'Palabra no opera'!$A$2&amp;"*"))</f>
        <v>1</v>
      </c>
      <c r="T1339" s="139">
        <f>+$W$5-Tabla2[[#This Row],[FECHA DE FACTURACIÓN]]</f>
        <v>422</v>
      </c>
      <c r="U1339" t="str">
        <f>+IF(Tabla2[[#This Row],[dias de credito]]&gt;=Tabla2[[#This Row],[PLAZO Días]],"venc", "No venc")</f>
        <v>venc</v>
      </c>
      <c r="V1339" t="str">
        <f>+IF(Tabla2[[#This Row],[FECHA DE PAGO]]&gt;0,"pagada","por pagar")</f>
        <v>pagada</v>
      </c>
      <c r="W1339" s="141" t="str">
        <f>+IF(AND(Tabla2[[#This Row],[venc]]="venc",Tabla2[[#This Row],[Columna1]]="por pagar"),"vencida","no")</f>
        <v>no</v>
      </c>
    </row>
    <row r="1340" spans="1:23" ht="15.6" hidden="1" x14ac:dyDescent="0.3">
      <c r="A1340" s="20">
        <v>30</v>
      </c>
      <c r="B1340" s="25">
        <v>352505.48</v>
      </c>
      <c r="C1340" s="25"/>
      <c r="D1340" s="56" t="s">
        <v>393</v>
      </c>
      <c r="E1340" s="426">
        <v>44893</v>
      </c>
      <c r="F1340" s="26" t="s">
        <v>650</v>
      </c>
      <c r="G1340" s="426">
        <v>44868</v>
      </c>
      <c r="H1340" s="35" t="s">
        <v>1281</v>
      </c>
      <c r="I1340" s="21">
        <v>284467</v>
      </c>
      <c r="J1340" s="21"/>
      <c r="K1340" s="22">
        <v>0</v>
      </c>
      <c r="L1340" s="23"/>
      <c r="M1340" s="22">
        <v>0</v>
      </c>
      <c r="N1340" s="74">
        <v>0</v>
      </c>
      <c r="O1340" s="22">
        <v>0</v>
      </c>
      <c r="P1340" s="21">
        <v>284467</v>
      </c>
      <c r="S1340" s="108" t="b">
        <f>OR(COUNTIF(Tabla2[[#This Row],[PROVEEDOR]],"*"&amp;'Palabra no opera'!$A$2&amp;"*"))</f>
        <v>1</v>
      </c>
      <c r="T1340" s="139">
        <f>+$W$5-Tabla2[[#This Row],[FECHA DE FACTURACIÓN]]</f>
        <v>423</v>
      </c>
      <c r="U1340" t="str">
        <f>+IF(Tabla2[[#This Row],[dias de credito]]&gt;=Tabla2[[#This Row],[PLAZO Días]],"venc", "No venc")</f>
        <v>venc</v>
      </c>
      <c r="V1340" t="str">
        <f>+IF(Tabla2[[#This Row],[FECHA DE PAGO]]&gt;0,"pagada","por pagar")</f>
        <v>pagada</v>
      </c>
      <c r="W1340" s="141" t="str">
        <f>+IF(AND(Tabla2[[#This Row],[venc]]="venc",Tabla2[[#This Row],[Columna1]]="por pagar"),"vencida","no")</f>
        <v>no</v>
      </c>
    </row>
    <row r="1341" spans="1:23" ht="15.6" hidden="1" x14ac:dyDescent="0.3">
      <c r="A1341" s="20">
        <v>30</v>
      </c>
      <c r="B1341" s="25">
        <v>0</v>
      </c>
      <c r="C1341" s="25"/>
      <c r="D1341" s="56" t="s">
        <v>740</v>
      </c>
      <c r="E1341" s="426">
        <v>44893</v>
      </c>
      <c r="F1341" s="26" t="s">
        <v>637</v>
      </c>
      <c r="G1341" s="426">
        <v>44868</v>
      </c>
      <c r="H1341" s="35" t="s">
        <v>1277</v>
      </c>
      <c r="I1341" s="21">
        <v>818875</v>
      </c>
      <c r="J1341" s="21"/>
      <c r="K1341" s="22">
        <v>0</v>
      </c>
      <c r="L1341" s="23"/>
      <c r="M1341" s="22">
        <v>0</v>
      </c>
      <c r="N1341" s="74">
        <v>0</v>
      </c>
      <c r="O1341" s="22">
        <v>0</v>
      </c>
      <c r="P1341" s="21">
        <v>818875</v>
      </c>
      <c r="S1341" s="108" t="b">
        <f>OR(COUNTIF(Tabla2[[#This Row],[PROVEEDOR]],"*"&amp;'Palabra no opera'!$A$2&amp;"*"))</f>
        <v>1</v>
      </c>
      <c r="T1341" s="139">
        <f>+$W$5-Tabla2[[#This Row],[FECHA DE FACTURACIÓN]]</f>
        <v>423</v>
      </c>
      <c r="U1341" t="str">
        <f>+IF(Tabla2[[#This Row],[dias de credito]]&gt;=Tabla2[[#This Row],[PLAZO Días]],"venc", "No venc")</f>
        <v>venc</v>
      </c>
      <c r="V1341" t="str">
        <f>+IF(Tabla2[[#This Row],[FECHA DE PAGO]]&gt;0,"pagada","por pagar")</f>
        <v>pagada</v>
      </c>
      <c r="W1341" s="141" t="str">
        <f>+IF(AND(Tabla2[[#This Row],[venc]]="venc",Tabla2[[#This Row],[Columna1]]="por pagar"),"vencida","no")</f>
        <v>no</v>
      </c>
    </row>
    <row r="1342" spans="1:23" ht="15.6" hidden="1" x14ac:dyDescent="0.3">
      <c r="A1342" s="20">
        <v>30</v>
      </c>
      <c r="B1342" s="25">
        <v>0</v>
      </c>
      <c r="C1342" s="25"/>
      <c r="D1342" s="56" t="s">
        <v>740</v>
      </c>
      <c r="E1342" s="426">
        <v>44893</v>
      </c>
      <c r="F1342" s="26" t="s">
        <v>637</v>
      </c>
      <c r="G1342" s="426">
        <v>44868</v>
      </c>
      <c r="H1342" s="35" t="s">
        <v>1278</v>
      </c>
      <c r="I1342" s="21">
        <v>825349</v>
      </c>
      <c r="J1342" s="21"/>
      <c r="K1342" s="22">
        <v>0</v>
      </c>
      <c r="L1342" s="23"/>
      <c r="M1342" s="22">
        <v>0</v>
      </c>
      <c r="N1342" s="74">
        <v>0</v>
      </c>
      <c r="O1342" s="22">
        <v>0</v>
      </c>
      <c r="P1342" s="21">
        <v>825349</v>
      </c>
      <c r="S1342" s="108" t="b">
        <f>OR(COUNTIF(Tabla2[[#This Row],[PROVEEDOR]],"*"&amp;'Palabra no opera'!$A$2&amp;"*"))</f>
        <v>1</v>
      </c>
      <c r="T1342" s="139">
        <f>+$W$5-Tabla2[[#This Row],[FECHA DE FACTURACIÓN]]</f>
        <v>423</v>
      </c>
      <c r="U1342" t="str">
        <f>+IF(Tabla2[[#This Row],[dias de credito]]&gt;=Tabla2[[#This Row],[PLAZO Días]],"venc", "No venc")</f>
        <v>venc</v>
      </c>
      <c r="V1342" t="str">
        <f>+IF(Tabla2[[#This Row],[FECHA DE PAGO]]&gt;0,"pagada","por pagar")</f>
        <v>pagada</v>
      </c>
      <c r="W1342" s="141" t="str">
        <f>+IF(AND(Tabla2[[#This Row],[venc]]="venc",Tabla2[[#This Row],[Columna1]]="por pagar"),"vencida","no")</f>
        <v>no</v>
      </c>
    </row>
    <row r="1343" spans="1:23" ht="15.6" hidden="1" x14ac:dyDescent="0.3">
      <c r="A1343" s="20">
        <v>30</v>
      </c>
      <c r="B1343" s="25">
        <v>0</v>
      </c>
      <c r="C1343" s="25"/>
      <c r="D1343" s="56" t="s">
        <v>740</v>
      </c>
      <c r="E1343" s="426">
        <v>44893</v>
      </c>
      <c r="F1343" s="26" t="s">
        <v>637</v>
      </c>
      <c r="G1343" s="426">
        <v>44868</v>
      </c>
      <c r="H1343" s="35" t="s">
        <v>1279</v>
      </c>
      <c r="I1343" s="21">
        <v>59583</v>
      </c>
      <c r="J1343" s="21"/>
      <c r="K1343" s="22">
        <v>0</v>
      </c>
      <c r="L1343" s="23"/>
      <c r="M1343" s="22">
        <v>0</v>
      </c>
      <c r="N1343" s="74">
        <v>0</v>
      </c>
      <c r="O1343" s="22">
        <v>0</v>
      </c>
      <c r="P1343" s="21">
        <v>59583</v>
      </c>
      <c r="S1343" s="108" t="b">
        <f>OR(COUNTIF(Tabla2[[#This Row],[PROVEEDOR]],"*"&amp;'Palabra no opera'!$A$2&amp;"*"))</f>
        <v>1</v>
      </c>
      <c r="T1343" s="139">
        <f>+$W$5-Tabla2[[#This Row],[FECHA DE FACTURACIÓN]]</f>
        <v>423</v>
      </c>
      <c r="U1343" t="str">
        <f>+IF(Tabla2[[#This Row],[dias de credito]]&gt;=Tabla2[[#This Row],[PLAZO Días]],"venc", "No venc")</f>
        <v>venc</v>
      </c>
      <c r="V1343" t="str">
        <f>+IF(Tabla2[[#This Row],[FECHA DE PAGO]]&gt;0,"pagada","por pagar")</f>
        <v>pagada</v>
      </c>
      <c r="W1343" s="141" t="str">
        <f>+IF(AND(Tabla2[[#This Row],[venc]]="venc",Tabla2[[#This Row],[Columna1]]="por pagar"),"vencida","no")</f>
        <v>no</v>
      </c>
    </row>
    <row r="1344" spans="1:23" ht="15.6" hidden="1" x14ac:dyDescent="0.3">
      <c r="A1344" s="20">
        <v>30</v>
      </c>
      <c r="B1344" s="25">
        <v>0</v>
      </c>
      <c r="C1344" s="25"/>
      <c r="D1344" s="56" t="s">
        <v>740</v>
      </c>
      <c r="E1344" s="426">
        <v>44893</v>
      </c>
      <c r="F1344" s="26" t="s">
        <v>637</v>
      </c>
      <c r="G1344" s="426">
        <v>44868</v>
      </c>
      <c r="H1344" s="35" t="s">
        <v>1280</v>
      </c>
      <c r="I1344" s="21">
        <v>68166</v>
      </c>
      <c r="J1344" s="21"/>
      <c r="K1344" s="22">
        <v>0</v>
      </c>
      <c r="L1344" s="23"/>
      <c r="M1344" s="22">
        <v>0</v>
      </c>
      <c r="N1344" s="74">
        <v>0</v>
      </c>
      <c r="O1344" s="22">
        <v>0</v>
      </c>
      <c r="P1344" s="21">
        <v>68166</v>
      </c>
      <c r="S1344" s="108" t="b">
        <f>OR(COUNTIF(Tabla2[[#This Row],[PROVEEDOR]],"*"&amp;'Palabra no opera'!$A$2&amp;"*"))</f>
        <v>1</v>
      </c>
      <c r="T1344" s="139">
        <f>+$W$5-Tabla2[[#This Row],[FECHA DE FACTURACIÓN]]</f>
        <v>423</v>
      </c>
      <c r="U1344" t="str">
        <f>+IF(Tabla2[[#This Row],[dias de credito]]&gt;=Tabla2[[#This Row],[PLAZO Días]],"venc", "No venc")</f>
        <v>venc</v>
      </c>
      <c r="V1344" t="str">
        <f>+IF(Tabla2[[#This Row],[FECHA DE PAGO]]&gt;0,"pagada","por pagar")</f>
        <v>pagada</v>
      </c>
      <c r="W1344" s="141" t="str">
        <f>+IF(AND(Tabla2[[#This Row],[venc]]="venc",Tabla2[[#This Row],[Columna1]]="por pagar"),"vencida","no")</f>
        <v>no</v>
      </c>
    </row>
    <row r="1345" spans="1:23" ht="15.6" hidden="1" x14ac:dyDescent="0.3">
      <c r="A1345" s="20">
        <v>30</v>
      </c>
      <c r="B1345" s="25">
        <v>0</v>
      </c>
      <c r="C1345" s="25"/>
      <c r="D1345" s="56" t="s">
        <v>1116</v>
      </c>
      <c r="E1345" s="426">
        <v>44893</v>
      </c>
      <c r="F1345" s="26" t="s">
        <v>638</v>
      </c>
      <c r="G1345" s="426">
        <v>44868</v>
      </c>
      <c r="H1345" s="35" t="s">
        <v>1276</v>
      </c>
      <c r="I1345" s="21">
        <v>3961260</v>
      </c>
      <c r="J1345" s="21"/>
      <c r="K1345" s="22">
        <v>752639.4</v>
      </c>
      <c r="L1345" s="23"/>
      <c r="M1345" s="22">
        <v>0</v>
      </c>
      <c r="N1345" s="74">
        <v>3.5000000000000003E-2</v>
      </c>
      <c r="O1345" s="22">
        <v>138644.1</v>
      </c>
      <c r="P1345" s="21">
        <v>4575255.3000000007</v>
      </c>
      <c r="S1345" s="108" t="b">
        <f>OR(COUNTIF(Tabla2[[#This Row],[PROVEEDOR]],"*"&amp;'Palabra no opera'!$A$2&amp;"*"))</f>
        <v>1</v>
      </c>
      <c r="T1345" s="139">
        <f>+$W$5-Tabla2[[#This Row],[FECHA DE FACTURACIÓN]]</f>
        <v>423</v>
      </c>
      <c r="U1345" t="str">
        <f>+IF(Tabla2[[#This Row],[dias de credito]]&gt;=Tabla2[[#This Row],[PLAZO Días]],"venc", "No venc")</f>
        <v>venc</v>
      </c>
      <c r="V1345" t="str">
        <f>+IF(Tabla2[[#This Row],[FECHA DE PAGO]]&gt;0,"pagada","por pagar")</f>
        <v>pagada</v>
      </c>
      <c r="W1345" s="141" t="str">
        <f>+IF(AND(Tabla2[[#This Row],[venc]]="venc",Tabla2[[#This Row],[Columna1]]="por pagar"),"vencida","no")</f>
        <v>no</v>
      </c>
    </row>
    <row r="1346" spans="1:23" ht="15.6" hidden="1" x14ac:dyDescent="0.3">
      <c r="A1346" s="20">
        <v>30</v>
      </c>
      <c r="B1346" s="25">
        <v>0</v>
      </c>
      <c r="C1346" s="25"/>
      <c r="D1346" s="56" t="s">
        <v>185</v>
      </c>
      <c r="E1346" s="426">
        <v>44893</v>
      </c>
      <c r="F1346" s="26" t="s">
        <v>628</v>
      </c>
      <c r="G1346" s="426">
        <v>44866</v>
      </c>
      <c r="H1346" s="35" t="s">
        <v>1283</v>
      </c>
      <c r="I1346" s="21">
        <v>1649859</v>
      </c>
      <c r="J1346" s="21"/>
      <c r="K1346" s="22">
        <v>0</v>
      </c>
      <c r="L1346" s="23"/>
      <c r="M1346" s="22">
        <v>0</v>
      </c>
      <c r="N1346" s="74">
        <v>0</v>
      </c>
      <c r="O1346" s="22">
        <v>0</v>
      </c>
      <c r="P1346" s="21">
        <v>1649859</v>
      </c>
      <c r="S1346" s="108" t="b">
        <f>OR(COUNTIF(Tabla2[[#This Row],[PROVEEDOR]],"*"&amp;'Palabra no opera'!$A$2&amp;"*"))</f>
        <v>1</v>
      </c>
      <c r="T1346" s="139">
        <f>+$W$5-Tabla2[[#This Row],[FECHA DE FACTURACIÓN]]</f>
        <v>425</v>
      </c>
      <c r="U1346" t="str">
        <f>+IF(Tabla2[[#This Row],[dias de credito]]&gt;=Tabla2[[#This Row],[PLAZO Días]],"venc", "No venc")</f>
        <v>venc</v>
      </c>
      <c r="V1346" t="str">
        <f>+IF(Tabla2[[#This Row],[FECHA DE PAGO]]&gt;0,"pagada","por pagar")</f>
        <v>pagada</v>
      </c>
      <c r="W1346" s="141" t="str">
        <f>+IF(AND(Tabla2[[#This Row],[venc]]="venc",Tabla2[[#This Row],[Columna1]]="por pagar"),"vencida","no")</f>
        <v>no</v>
      </c>
    </row>
    <row r="1347" spans="1:23" ht="15.6" hidden="1" x14ac:dyDescent="0.3">
      <c r="A1347" s="20">
        <v>45</v>
      </c>
      <c r="B1347" s="25">
        <v>15770594</v>
      </c>
      <c r="C1347" s="25"/>
      <c r="D1347" s="56" t="s">
        <v>594</v>
      </c>
      <c r="E1347" s="426">
        <v>44893</v>
      </c>
      <c r="F1347" s="26" t="s">
        <v>19</v>
      </c>
      <c r="G1347" s="426">
        <v>44860</v>
      </c>
      <c r="H1347" s="35" t="s">
        <v>1235</v>
      </c>
      <c r="I1347" s="21">
        <v>1520740</v>
      </c>
      <c r="J1347" s="21"/>
      <c r="K1347" s="22">
        <v>288940.59999999998</v>
      </c>
      <c r="L1347" s="23"/>
      <c r="M1347" s="22">
        <v>0</v>
      </c>
      <c r="N1347" s="74">
        <v>0</v>
      </c>
      <c r="O1347" s="22">
        <v>0</v>
      </c>
      <c r="P1347" s="21">
        <v>1809680.6</v>
      </c>
      <c r="S1347" s="108" t="b">
        <f>OR(COUNTIF(Tabla2[[#This Row],[PROVEEDOR]],"*"&amp;'Palabra no opera'!$A$2&amp;"*"))</f>
        <v>0</v>
      </c>
      <c r="T1347" s="139">
        <f>+$W$5-Tabla2[[#This Row],[FECHA DE FACTURACIÓN]]</f>
        <v>431</v>
      </c>
      <c r="U1347" t="str">
        <f>+IF(Tabla2[[#This Row],[dias de credito]]&gt;=Tabla2[[#This Row],[PLAZO Días]],"venc", "No venc")</f>
        <v>venc</v>
      </c>
      <c r="V1347" t="str">
        <f>+IF(Tabla2[[#This Row],[FECHA DE PAGO]]&gt;0,"pagada","por pagar")</f>
        <v>pagada</v>
      </c>
      <c r="W1347" s="141" t="str">
        <f>+IF(AND(Tabla2[[#This Row],[venc]]="venc",Tabla2[[#This Row],[Columna1]]="por pagar"),"vencida","no")</f>
        <v>no</v>
      </c>
    </row>
    <row r="1348" spans="1:23" ht="15.6" hidden="1" x14ac:dyDescent="0.3">
      <c r="A1348" s="20">
        <v>180</v>
      </c>
      <c r="B1348" s="25">
        <v>0</v>
      </c>
      <c r="C1348" s="25"/>
      <c r="D1348" s="56" t="s">
        <v>280</v>
      </c>
      <c r="E1348" s="426">
        <v>44893</v>
      </c>
      <c r="F1348" s="26" t="s">
        <v>625</v>
      </c>
      <c r="G1348" s="426">
        <v>44859</v>
      </c>
      <c r="H1348" s="35" t="s">
        <v>1216</v>
      </c>
      <c r="I1348" s="21">
        <v>773248</v>
      </c>
      <c r="J1348" s="21"/>
      <c r="K1348" s="22">
        <v>146917.12</v>
      </c>
      <c r="L1348" s="23"/>
      <c r="M1348" s="22">
        <v>0</v>
      </c>
      <c r="N1348" s="74">
        <v>0</v>
      </c>
      <c r="O1348" s="22">
        <v>0</v>
      </c>
      <c r="P1348" s="21">
        <v>920165.12</v>
      </c>
      <c r="S1348" s="108" t="b">
        <f>OR(COUNTIF(Tabla2[[#This Row],[PROVEEDOR]],"*"&amp;'Palabra no opera'!$A$2&amp;"*"))</f>
        <v>1</v>
      </c>
      <c r="T1348" s="139">
        <f>+$W$5-Tabla2[[#This Row],[FECHA DE FACTURACIÓN]]</f>
        <v>432</v>
      </c>
      <c r="U1348" t="str">
        <f>+IF(Tabla2[[#This Row],[dias de credito]]&gt;=Tabla2[[#This Row],[PLAZO Días]],"venc", "No venc")</f>
        <v>venc</v>
      </c>
      <c r="V1348" t="str">
        <f>+IF(Tabla2[[#This Row],[FECHA DE PAGO]]&gt;0,"pagada","por pagar")</f>
        <v>pagada</v>
      </c>
      <c r="W1348" s="141" t="str">
        <f>+IF(AND(Tabla2[[#This Row],[venc]]="venc",Tabla2[[#This Row],[Columna1]]="por pagar"),"vencida","no")</f>
        <v>no</v>
      </c>
    </row>
    <row r="1349" spans="1:23" ht="15.6" hidden="1" x14ac:dyDescent="0.3">
      <c r="A1349" s="20">
        <v>45</v>
      </c>
      <c r="B1349" s="25">
        <v>15770594</v>
      </c>
      <c r="C1349" s="25"/>
      <c r="D1349" s="56" t="s">
        <v>594</v>
      </c>
      <c r="E1349" s="426">
        <v>44893</v>
      </c>
      <c r="F1349" s="26" t="s">
        <v>19</v>
      </c>
      <c r="G1349" s="426">
        <v>44858</v>
      </c>
      <c r="H1349" s="35">
        <v>57889</v>
      </c>
      <c r="I1349" s="21">
        <v>10709440</v>
      </c>
      <c r="J1349" s="21"/>
      <c r="K1349" s="22">
        <v>2034793.6</v>
      </c>
      <c r="L1349" s="23"/>
      <c r="M1349" s="22">
        <v>0</v>
      </c>
      <c r="N1349" s="74">
        <v>0</v>
      </c>
      <c r="O1349" s="22">
        <v>0</v>
      </c>
      <c r="P1349" s="21">
        <v>12744233.6</v>
      </c>
      <c r="S1349" s="108" t="b">
        <f>OR(COUNTIF(Tabla2[[#This Row],[PROVEEDOR]],"*"&amp;'Palabra no opera'!$A$2&amp;"*"))</f>
        <v>0</v>
      </c>
      <c r="T1349" s="139">
        <f>+$W$5-Tabla2[[#This Row],[FECHA DE FACTURACIÓN]]</f>
        <v>433</v>
      </c>
      <c r="U1349" t="str">
        <f>+IF(Tabla2[[#This Row],[dias de credito]]&gt;=Tabla2[[#This Row],[PLAZO Días]],"venc", "No venc")</f>
        <v>venc</v>
      </c>
      <c r="V1349" t="str">
        <f>+IF(Tabla2[[#This Row],[FECHA DE PAGO]]&gt;0,"pagada","por pagar")</f>
        <v>pagada</v>
      </c>
      <c r="W1349" s="141" t="str">
        <f>+IF(AND(Tabla2[[#This Row],[venc]]="venc",Tabla2[[#This Row],[Columna1]]="por pagar"),"vencida","no")</f>
        <v>no</v>
      </c>
    </row>
    <row r="1350" spans="1:23" ht="15.6" hidden="1" x14ac:dyDescent="0.3">
      <c r="A1350" s="20">
        <v>30</v>
      </c>
      <c r="B1350" s="25">
        <v>27189617.395</v>
      </c>
      <c r="C1350" s="25"/>
      <c r="D1350" s="56" t="s">
        <v>686</v>
      </c>
      <c r="E1350" s="426">
        <v>44893</v>
      </c>
      <c r="F1350" s="26" t="s">
        <v>77</v>
      </c>
      <c r="G1350" s="426">
        <v>44831</v>
      </c>
      <c r="H1350" s="35" t="s">
        <v>1142</v>
      </c>
      <c r="I1350" s="21">
        <v>64000</v>
      </c>
      <c r="J1350" s="21"/>
      <c r="K1350" s="22">
        <v>12160</v>
      </c>
      <c r="L1350" s="23"/>
      <c r="M1350" s="22">
        <v>0</v>
      </c>
      <c r="N1350" s="74">
        <v>0</v>
      </c>
      <c r="O1350" s="22">
        <v>0</v>
      </c>
      <c r="P1350" s="21">
        <v>76160</v>
      </c>
      <c r="S1350" s="108" t="b">
        <f>OR(COUNTIF(Tabla2[[#This Row],[PROVEEDOR]],"*"&amp;'Palabra no opera'!$A$2&amp;"*"))</f>
        <v>0</v>
      </c>
      <c r="T1350" s="139">
        <f>+$W$5-Tabla2[[#This Row],[FECHA DE FACTURACIÓN]]</f>
        <v>460</v>
      </c>
      <c r="U1350" t="str">
        <f>+IF(Tabla2[[#This Row],[dias de credito]]&gt;=Tabla2[[#This Row],[PLAZO Días]],"venc", "No venc")</f>
        <v>venc</v>
      </c>
      <c r="V1350" t="str">
        <f>+IF(Tabla2[[#This Row],[FECHA DE PAGO]]&gt;0,"pagada","por pagar")</f>
        <v>pagada</v>
      </c>
      <c r="W1350" s="141" t="str">
        <f>+IF(AND(Tabla2[[#This Row],[venc]]="venc",Tabla2[[#This Row],[Columna1]]="por pagar"),"vencida","no")</f>
        <v>no</v>
      </c>
    </row>
    <row r="1351" spans="1:23" ht="15.6" hidden="1" x14ac:dyDescent="0.3">
      <c r="A1351" s="20">
        <v>30</v>
      </c>
      <c r="B1351" s="25">
        <v>27189617.395</v>
      </c>
      <c r="C1351" s="25"/>
      <c r="D1351" s="56" t="s">
        <v>686</v>
      </c>
      <c r="E1351" s="426">
        <v>44893</v>
      </c>
      <c r="F1351" s="26" t="s">
        <v>77</v>
      </c>
      <c r="G1351" s="426">
        <v>44831</v>
      </c>
      <c r="H1351" s="35" t="s">
        <v>1143</v>
      </c>
      <c r="I1351" s="21">
        <v>420800</v>
      </c>
      <c r="J1351" s="21"/>
      <c r="K1351" s="22">
        <v>79952</v>
      </c>
      <c r="L1351" s="23"/>
      <c r="M1351" s="22">
        <v>0</v>
      </c>
      <c r="N1351" s="74">
        <v>0</v>
      </c>
      <c r="O1351" s="22">
        <v>0</v>
      </c>
      <c r="P1351" s="21">
        <v>500752</v>
      </c>
      <c r="S1351" s="108" t="b">
        <f>OR(COUNTIF(Tabla2[[#This Row],[PROVEEDOR]],"*"&amp;'Palabra no opera'!$A$2&amp;"*"))</f>
        <v>0</v>
      </c>
      <c r="T1351" s="139">
        <f>+$W$5-Tabla2[[#This Row],[FECHA DE FACTURACIÓN]]</f>
        <v>460</v>
      </c>
      <c r="U1351" t="str">
        <f>+IF(Tabla2[[#This Row],[dias de credito]]&gt;=Tabla2[[#This Row],[PLAZO Días]],"venc", "No venc")</f>
        <v>venc</v>
      </c>
      <c r="V1351" t="str">
        <f>+IF(Tabla2[[#This Row],[FECHA DE PAGO]]&gt;0,"pagada","por pagar")</f>
        <v>pagada</v>
      </c>
      <c r="W1351" s="141" t="str">
        <f>+IF(AND(Tabla2[[#This Row],[venc]]="venc",Tabla2[[#This Row],[Columna1]]="por pagar"),"vencida","no")</f>
        <v>no</v>
      </c>
    </row>
    <row r="1352" spans="1:23" ht="15.6" hidden="1" x14ac:dyDescent="0.3">
      <c r="A1352" s="20">
        <v>30</v>
      </c>
      <c r="B1352" s="25">
        <v>27189617.395</v>
      </c>
      <c r="C1352" s="25"/>
      <c r="D1352" s="56" t="s">
        <v>686</v>
      </c>
      <c r="E1352" s="426">
        <v>44893</v>
      </c>
      <c r="F1352" s="26" t="s">
        <v>77</v>
      </c>
      <c r="G1352" s="426">
        <v>44824</v>
      </c>
      <c r="H1352" s="35" t="s">
        <v>1139</v>
      </c>
      <c r="I1352" s="21">
        <v>5477600</v>
      </c>
      <c r="J1352" s="21"/>
      <c r="K1352" s="22">
        <v>1040744</v>
      </c>
      <c r="L1352" s="23"/>
      <c r="M1352" s="22">
        <v>0</v>
      </c>
      <c r="N1352" s="74">
        <v>2.5000000000000001E-2</v>
      </c>
      <c r="O1352" s="22">
        <v>136940</v>
      </c>
      <c r="P1352" s="21">
        <v>6381404</v>
      </c>
      <c r="S1352" s="108" t="b">
        <f>OR(COUNTIF(Tabla2[[#This Row],[PROVEEDOR]],"*"&amp;'Palabra no opera'!$A$2&amp;"*"))</f>
        <v>0</v>
      </c>
      <c r="T1352" s="139">
        <f>+$W$5-Tabla2[[#This Row],[FECHA DE FACTURACIÓN]]</f>
        <v>467</v>
      </c>
      <c r="U1352" t="str">
        <f>+IF(Tabla2[[#This Row],[dias de credito]]&gt;=Tabla2[[#This Row],[PLAZO Días]],"venc", "No venc")</f>
        <v>venc</v>
      </c>
      <c r="V1352" t="str">
        <f>+IF(Tabla2[[#This Row],[FECHA DE PAGO]]&gt;0,"pagada","por pagar")</f>
        <v>pagada</v>
      </c>
      <c r="W1352" s="141" t="str">
        <f>+IF(AND(Tabla2[[#This Row],[venc]]="venc",Tabla2[[#This Row],[Columna1]]="por pagar"),"vencida","no")</f>
        <v>no</v>
      </c>
    </row>
    <row r="1353" spans="1:23" ht="15.6" hidden="1" x14ac:dyDescent="0.3">
      <c r="A1353" s="20">
        <v>30</v>
      </c>
      <c r="B1353" s="25">
        <v>27189617.395</v>
      </c>
      <c r="C1353" s="25"/>
      <c r="D1353" s="56" t="s">
        <v>686</v>
      </c>
      <c r="E1353" s="426">
        <v>44893</v>
      </c>
      <c r="F1353" s="26" t="s">
        <v>77</v>
      </c>
      <c r="G1353" s="426">
        <v>44824</v>
      </c>
      <c r="H1353" s="35" t="s">
        <v>1138</v>
      </c>
      <c r="I1353" s="21">
        <v>3943200</v>
      </c>
      <c r="J1353" s="21"/>
      <c r="K1353" s="22">
        <v>749208</v>
      </c>
      <c r="L1353" s="23"/>
      <c r="M1353" s="22">
        <v>0</v>
      </c>
      <c r="N1353" s="74">
        <v>2.5000000000000001E-2</v>
      </c>
      <c r="O1353" s="22">
        <v>98580</v>
      </c>
      <c r="P1353" s="21">
        <v>4593828</v>
      </c>
      <c r="S1353" s="108" t="b">
        <f>OR(COUNTIF(Tabla2[[#This Row],[PROVEEDOR]],"*"&amp;'Palabra no opera'!$A$2&amp;"*"))</f>
        <v>0</v>
      </c>
      <c r="T1353" s="139">
        <f>+$W$5-Tabla2[[#This Row],[FECHA DE FACTURACIÓN]]</f>
        <v>467</v>
      </c>
      <c r="U1353" t="str">
        <f>+IF(Tabla2[[#This Row],[dias de credito]]&gt;=Tabla2[[#This Row],[PLAZO Días]],"venc", "No venc")</f>
        <v>venc</v>
      </c>
      <c r="V1353" t="str">
        <f>+IF(Tabla2[[#This Row],[FECHA DE PAGO]]&gt;0,"pagada","por pagar")</f>
        <v>pagada</v>
      </c>
      <c r="W1353" s="141" t="str">
        <f>+IF(AND(Tabla2[[#This Row],[venc]]="venc",Tabla2[[#This Row],[Columna1]]="por pagar"),"vencida","no")</f>
        <v>no</v>
      </c>
    </row>
    <row r="1354" spans="1:23" ht="15.6" hidden="1" x14ac:dyDescent="0.3">
      <c r="A1354" s="20">
        <v>45</v>
      </c>
      <c r="B1354" s="25">
        <v>15770594</v>
      </c>
      <c r="C1354" s="25"/>
      <c r="D1354" s="56" t="s">
        <v>594</v>
      </c>
      <c r="E1354" s="426">
        <v>44893</v>
      </c>
      <c r="F1354" s="26" t="s">
        <v>19</v>
      </c>
      <c r="G1354" s="426">
        <v>44824</v>
      </c>
      <c r="H1354" s="35" t="s">
        <v>1107</v>
      </c>
      <c r="I1354" s="21">
        <v>2184384</v>
      </c>
      <c r="J1354" s="21"/>
      <c r="K1354" s="22">
        <v>415032.96</v>
      </c>
      <c r="L1354" s="23"/>
      <c r="M1354" s="22">
        <v>0</v>
      </c>
      <c r="N1354" s="74">
        <v>0</v>
      </c>
      <c r="O1354" s="22">
        <v>0</v>
      </c>
      <c r="P1354" s="21">
        <v>2599416.96</v>
      </c>
      <c r="S1354" s="108" t="b">
        <f>OR(COUNTIF(Tabla2[[#This Row],[PROVEEDOR]],"*"&amp;'Palabra no opera'!$A$2&amp;"*"))</f>
        <v>0</v>
      </c>
      <c r="T1354" s="139">
        <f>+$W$5-Tabla2[[#This Row],[FECHA DE FACTURACIÓN]]</f>
        <v>467</v>
      </c>
      <c r="U1354" t="str">
        <f>+IF(Tabla2[[#This Row],[dias de credito]]&gt;=Tabla2[[#This Row],[PLAZO Días]],"venc", "No venc")</f>
        <v>venc</v>
      </c>
      <c r="V1354" t="str">
        <f>+IF(Tabla2[[#This Row],[FECHA DE PAGO]]&gt;0,"pagada","por pagar")</f>
        <v>pagada</v>
      </c>
      <c r="W1354" s="141" t="str">
        <f>+IF(AND(Tabla2[[#This Row],[venc]]="venc",Tabla2[[#This Row],[Columna1]]="por pagar"),"vencida","no")</f>
        <v>no</v>
      </c>
    </row>
    <row r="1355" spans="1:23" ht="15.6" hidden="1" x14ac:dyDescent="0.3">
      <c r="A1355" s="20">
        <v>30</v>
      </c>
      <c r="B1355" s="25">
        <v>0</v>
      </c>
      <c r="C1355" s="25"/>
      <c r="D1355" s="56">
        <v>0</v>
      </c>
      <c r="E1355" s="426">
        <v>44893</v>
      </c>
      <c r="F1355" s="26" t="s">
        <v>367</v>
      </c>
      <c r="G1355" s="426">
        <v>44819</v>
      </c>
      <c r="H1355" s="35" t="s">
        <v>1124</v>
      </c>
      <c r="I1355" s="21">
        <v>2749000</v>
      </c>
      <c r="J1355" s="21"/>
      <c r="K1355" s="22">
        <v>0</v>
      </c>
      <c r="L1355" s="23"/>
      <c r="M1355" s="22">
        <v>0</v>
      </c>
      <c r="N1355" s="74">
        <v>0</v>
      </c>
      <c r="O1355" s="22">
        <v>0</v>
      </c>
      <c r="P1355" s="21">
        <v>2749000</v>
      </c>
      <c r="S1355" s="108" t="b">
        <f>OR(COUNTIF(Tabla2[[#This Row],[PROVEEDOR]],"*"&amp;'Palabra no opera'!$A$2&amp;"*"))</f>
        <v>0</v>
      </c>
      <c r="T1355" s="139">
        <f>+$W$5-Tabla2[[#This Row],[FECHA DE FACTURACIÓN]]</f>
        <v>472</v>
      </c>
      <c r="U1355" t="str">
        <f>+IF(Tabla2[[#This Row],[dias de credito]]&gt;=Tabla2[[#This Row],[PLAZO Días]],"venc", "No venc")</f>
        <v>venc</v>
      </c>
      <c r="V1355" t="str">
        <f>+IF(Tabla2[[#This Row],[FECHA DE PAGO]]&gt;0,"pagada","por pagar")</f>
        <v>pagada</v>
      </c>
      <c r="W1355" s="141" t="str">
        <f>+IF(AND(Tabla2[[#This Row],[venc]]="venc",Tabla2[[#This Row],[Columna1]]="por pagar"),"vencida","no")</f>
        <v>no</v>
      </c>
    </row>
    <row r="1356" spans="1:23" ht="15.6" hidden="1" x14ac:dyDescent="0.3">
      <c r="A1356" s="20">
        <v>30</v>
      </c>
      <c r="B1356" s="25">
        <v>12030261.305</v>
      </c>
      <c r="C1356" s="25"/>
      <c r="D1356" s="56" t="s">
        <v>179</v>
      </c>
      <c r="E1356" s="426">
        <v>44893</v>
      </c>
      <c r="F1356" s="26" t="s">
        <v>12</v>
      </c>
      <c r="G1356" s="426">
        <v>44795</v>
      </c>
      <c r="H1356" s="35" t="s">
        <v>962</v>
      </c>
      <c r="I1356" s="21">
        <v>856305</v>
      </c>
      <c r="J1356" s="21"/>
      <c r="K1356" s="22">
        <v>162697.95000000001</v>
      </c>
      <c r="L1356" s="23"/>
      <c r="M1356" s="22">
        <v>0</v>
      </c>
      <c r="N1356" s="74">
        <v>0</v>
      </c>
      <c r="O1356" s="22">
        <v>0</v>
      </c>
      <c r="P1356" s="21">
        <v>1019002.95</v>
      </c>
      <c r="S1356" s="108" t="b">
        <f>OR(COUNTIF(Tabla2[[#This Row],[PROVEEDOR]],"*"&amp;'Palabra no opera'!$A$2&amp;"*"))</f>
        <v>0</v>
      </c>
      <c r="T1356" s="139">
        <f>+$W$5-Tabla2[[#This Row],[FECHA DE FACTURACIÓN]]</f>
        <v>496</v>
      </c>
      <c r="U1356" t="str">
        <f>+IF(Tabla2[[#This Row],[dias de credito]]&gt;=Tabla2[[#This Row],[PLAZO Días]],"venc", "No venc")</f>
        <v>venc</v>
      </c>
      <c r="V1356" t="str">
        <f>+IF(Tabla2[[#This Row],[FECHA DE PAGO]]&gt;0,"pagada","por pagar")</f>
        <v>pagada</v>
      </c>
      <c r="W1356" s="141" t="str">
        <f>+IF(AND(Tabla2[[#This Row],[venc]]="venc",Tabla2[[#This Row],[Columna1]]="por pagar"),"vencida","no")</f>
        <v>no</v>
      </c>
    </row>
    <row r="1357" spans="1:23" ht="15.6" hidden="1" x14ac:dyDescent="0.3">
      <c r="A1357" s="20">
        <v>30</v>
      </c>
      <c r="B1357" s="25">
        <v>12030261.305</v>
      </c>
      <c r="C1357" s="25"/>
      <c r="D1357" s="56" t="s">
        <v>179</v>
      </c>
      <c r="E1357" s="426">
        <v>44893</v>
      </c>
      <c r="F1357" s="26" t="s">
        <v>12</v>
      </c>
      <c r="G1357" s="426">
        <v>44795</v>
      </c>
      <c r="H1357" s="35" t="s">
        <v>963</v>
      </c>
      <c r="I1357" s="21">
        <v>3882356</v>
      </c>
      <c r="J1357" s="21"/>
      <c r="K1357" s="22">
        <v>737647.64</v>
      </c>
      <c r="L1357" s="23"/>
      <c r="M1357" s="22">
        <v>0</v>
      </c>
      <c r="N1357" s="74">
        <v>2.5000000000000001E-2</v>
      </c>
      <c r="O1357" s="22">
        <v>97058.900000000009</v>
      </c>
      <c r="P1357" s="21">
        <v>4522944.7399999993</v>
      </c>
      <c r="S1357" s="108" t="b">
        <f>OR(COUNTIF(Tabla2[[#This Row],[PROVEEDOR]],"*"&amp;'Palabra no opera'!$A$2&amp;"*"))</f>
        <v>0</v>
      </c>
      <c r="T1357" s="139">
        <f>+$W$5-Tabla2[[#This Row],[FECHA DE FACTURACIÓN]]</f>
        <v>496</v>
      </c>
      <c r="U1357" t="str">
        <f>+IF(Tabla2[[#This Row],[dias de credito]]&gt;=Tabla2[[#This Row],[PLAZO Días]],"venc", "No venc")</f>
        <v>venc</v>
      </c>
      <c r="V1357" t="str">
        <f>+IF(Tabla2[[#This Row],[FECHA DE PAGO]]&gt;0,"pagada","por pagar")</f>
        <v>pagada</v>
      </c>
      <c r="W1357" s="141" t="str">
        <f>+IF(AND(Tabla2[[#This Row],[venc]]="venc",Tabla2[[#This Row],[Columna1]]="por pagar"),"vencida","no")</f>
        <v>no</v>
      </c>
    </row>
    <row r="1358" spans="1:23" ht="15.6" hidden="1" x14ac:dyDescent="0.3">
      <c r="A1358" s="20">
        <v>30</v>
      </c>
      <c r="B1358" s="25">
        <v>0</v>
      </c>
      <c r="C1358" s="25"/>
      <c r="D1358" s="56" t="s">
        <v>176</v>
      </c>
      <c r="E1358" s="426">
        <v>44886</v>
      </c>
      <c r="F1358" s="26" t="s">
        <v>966</v>
      </c>
      <c r="G1358" s="426">
        <v>44880</v>
      </c>
      <c r="H1358" s="35">
        <v>378</v>
      </c>
      <c r="I1358" s="21">
        <v>361000</v>
      </c>
      <c r="J1358" s="21"/>
      <c r="K1358" s="22">
        <v>0</v>
      </c>
      <c r="L1358" s="23"/>
      <c r="M1358" s="22">
        <v>0</v>
      </c>
      <c r="N1358" s="74">
        <v>0</v>
      </c>
      <c r="O1358" s="22">
        <v>0</v>
      </c>
      <c r="P1358" s="21">
        <v>361000</v>
      </c>
      <c r="S1358" s="108" t="b">
        <f>OR(COUNTIF(Tabla2[[#This Row],[PROVEEDOR]],"*"&amp;'Palabra no opera'!$A$2&amp;"*"))</f>
        <v>0</v>
      </c>
      <c r="T1358" s="139">
        <f>+$W$5-Tabla2[[#This Row],[FECHA DE FACTURACIÓN]]</f>
        <v>411</v>
      </c>
      <c r="U1358" t="str">
        <f>+IF(Tabla2[[#This Row],[dias de credito]]&gt;=Tabla2[[#This Row],[PLAZO Días]],"venc", "No venc")</f>
        <v>venc</v>
      </c>
      <c r="V1358" t="str">
        <f>+IF(Tabla2[[#This Row],[FECHA DE PAGO]]&gt;0,"pagada","por pagar")</f>
        <v>pagada</v>
      </c>
      <c r="W1358" s="141" t="str">
        <f>+IF(AND(Tabla2[[#This Row],[venc]]="venc",Tabla2[[#This Row],[Columna1]]="por pagar"),"vencida","no")</f>
        <v>no</v>
      </c>
    </row>
    <row r="1359" spans="1:23" ht="15.6" hidden="1" x14ac:dyDescent="0.3">
      <c r="A1359" s="20">
        <v>30</v>
      </c>
      <c r="B1359" s="25">
        <v>0</v>
      </c>
      <c r="C1359" s="25"/>
      <c r="D1359" s="56" t="s">
        <v>176</v>
      </c>
      <c r="E1359" s="426">
        <v>44886</v>
      </c>
      <c r="F1359" s="26" t="s">
        <v>1274</v>
      </c>
      <c r="G1359" s="426">
        <v>44880</v>
      </c>
      <c r="H1359" s="35" t="s">
        <v>1275</v>
      </c>
      <c r="I1359" s="21">
        <v>350000</v>
      </c>
      <c r="J1359" s="21"/>
      <c r="K1359" s="22">
        <v>0</v>
      </c>
      <c r="L1359" s="23"/>
      <c r="M1359" s="22">
        <v>0</v>
      </c>
      <c r="N1359" s="74">
        <v>0.01</v>
      </c>
      <c r="O1359" s="22">
        <v>3500</v>
      </c>
      <c r="P1359" s="21">
        <v>346500</v>
      </c>
      <c r="S1359" s="108" t="b">
        <f>OR(COUNTIF(Tabla2[[#This Row],[PROVEEDOR]],"*"&amp;'Palabra no opera'!$A$2&amp;"*"))</f>
        <v>0</v>
      </c>
      <c r="T1359" s="139">
        <f>+$W$5-Tabla2[[#This Row],[FECHA DE FACTURACIÓN]]</f>
        <v>411</v>
      </c>
      <c r="U1359" t="str">
        <f>+IF(Tabla2[[#This Row],[dias de credito]]&gt;=Tabla2[[#This Row],[PLAZO Días]],"venc", "No venc")</f>
        <v>venc</v>
      </c>
      <c r="V1359" t="str">
        <f>+IF(Tabla2[[#This Row],[FECHA DE PAGO]]&gt;0,"pagada","por pagar")</f>
        <v>pagada</v>
      </c>
      <c r="W1359" s="141" t="str">
        <f>+IF(AND(Tabla2[[#This Row],[venc]]="venc",Tabla2[[#This Row],[Columna1]]="por pagar"),"vencida","no")</f>
        <v>no</v>
      </c>
    </row>
    <row r="1360" spans="1:23" ht="15.6" hidden="1" x14ac:dyDescent="0.3">
      <c r="A1360" s="20">
        <v>30</v>
      </c>
      <c r="B1360" s="25">
        <v>1316890.8900000001</v>
      </c>
      <c r="C1360" s="25"/>
      <c r="D1360" s="56" t="s">
        <v>188</v>
      </c>
      <c r="E1360" s="426">
        <v>44886</v>
      </c>
      <c r="F1360" s="26" t="s">
        <v>17</v>
      </c>
      <c r="G1360" s="426">
        <v>44855</v>
      </c>
      <c r="H1360" s="35">
        <v>1974445</v>
      </c>
      <c r="I1360" s="21">
        <v>3234201</v>
      </c>
      <c r="J1360" s="21"/>
      <c r="K1360" s="22">
        <v>614498.19000000006</v>
      </c>
      <c r="L1360" s="23"/>
      <c r="M1360" s="22">
        <v>0</v>
      </c>
      <c r="N1360" s="74">
        <v>0</v>
      </c>
      <c r="O1360" s="22">
        <v>0</v>
      </c>
      <c r="P1360" s="21">
        <v>3848699.19</v>
      </c>
      <c r="S1360" s="108" t="b">
        <f>OR(COUNTIF(Tabla2[[#This Row],[PROVEEDOR]],"*"&amp;'Palabra no opera'!$A$2&amp;"*"))</f>
        <v>0</v>
      </c>
      <c r="T1360" s="139">
        <f>+$W$5-Tabla2[[#This Row],[FECHA DE FACTURACIÓN]]</f>
        <v>436</v>
      </c>
      <c r="U1360" t="str">
        <f>+IF(Tabla2[[#This Row],[dias de credito]]&gt;=Tabla2[[#This Row],[PLAZO Días]],"venc", "No venc")</f>
        <v>venc</v>
      </c>
      <c r="V1360" t="str">
        <f>+IF(Tabla2[[#This Row],[FECHA DE PAGO]]&gt;0,"pagada","por pagar")</f>
        <v>pagada</v>
      </c>
      <c r="W1360" s="141" t="str">
        <f>+IF(AND(Tabla2[[#This Row],[venc]]="venc",Tabla2[[#This Row],[Columna1]]="por pagar"),"vencida","no")</f>
        <v>no</v>
      </c>
    </row>
    <row r="1361" spans="1:23" ht="15.6" hidden="1" x14ac:dyDescent="0.3">
      <c r="A1361" s="20">
        <v>30</v>
      </c>
      <c r="B1361" s="25">
        <v>1316890.8900000001</v>
      </c>
      <c r="C1361" s="25"/>
      <c r="D1361" s="56" t="s">
        <v>188</v>
      </c>
      <c r="E1361" s="426">
        <v>44886</v>
      </c>
      <c r="F1361" s="26" t="s">
        <v>17</v>
      </c>
      <c r="G1361" s="426">
        <v>44852</v>
      </c>
      <c r="H1361" s="35">
        <v>1972877</v>
      </c>
      <c r="I1361" s="21">
        <v>428481</v>
      </c>
      <c r="J1361" s="21"/>
      <c r="K1361" s="22">
        <v>81411.39</v>
      </c>
      <c r="L1361" s="23"/>
      <c r="M1361" s="22">
        <v>0</v>
      </c>
      <c r="N1361" s="74">
        <v>0</v>
      </c>
      <c r="O1361" s="22">
        <v>0</v>
      </c>
      <c r="P1361" s="21">
        <v>509892.39</v>
      </c>
      <c r="S1361" s="108" t="b">
        <f>OR(COUNTIF(Tabla2[[#This Row],[PROVEEDOR]],"*"&amp;'Palabra no opera'!$A$2&amp;"*"))</f>
        <v>0</v>
      </c>
      <c r="T1361" s="139">
        <f>+$W$5-Tabla2[[#This Row],[FECHA DE FACTURACIÓN]]</f>
        <v>439</v>
      </c>
      <c r="U1361" t="str">
        <f>+IF(Tabla2[[#This Row],[dias de credito]]&gt;=Tabla2[[#This Row],[PLAZO Días]],"venc", "No venc")</f>
        <v>venc</v>
      </c>
      <c r="V1361" t="str">
        <f>+IF(Tabla2[[#This Row],[FECHA DE PAGO]]&gt;0,"pagada","por pagar")</f>
        <v>pagada</v>
      </c>
      <c r="W1361" s="141" t="str">
        <f>+IF(AND(Tabla2[[#This Row],[venc]]="venc",Tabla2[[#This Row],[Columna1]]="por pagar"),"vencida","no")</f>
        <v>no</v>
      </c>
    </row>
    <row r="1362" spans="1:23" ht="15.6" hidden="1" x14ac:dyDescent="0.3">
      <c r="A1362" s="20">
        <v>30</v>
      </c>
      <c r="B1362" s="25">
        <v>1316890.8900000001</v>
      </c>
      <c r="C1362" s="25"/>
      <c r="D1362" s="56" t="s">
        <v>188</v>
      </c>
      <c r="E1362" s="426">
        <v>44886</v>
      </c>
      <c r="F1362" s="26" t="s">
        <v>17</v>
      </c>
      <c r="G1362" s="426">
        <v>44846</v>
      </c>
      <c r="H1362" s="35" t="s">
        <v>1218</v>
      </c>
      <c r="I1362" s="21">
        <v>297000</v>
      </c>
      <c r="J1362" s="21"/>
      <c r="K1362" s="22">
        <v>56430</v>
      </c>
      <c r="L1362" s="23"/>
      <c r="M1362" s="22">
        <v>0</v>
      </c>
      <c r="N1362" s="74">
        <v>0</v>
      </c>
      <c r="O1362" s="22">
        <v>0</v>
      </c>
      <c r="P1362" s="21">
        <v>353430</v>
      </c>
      <c r="S1362" s="108" t="b">
        <f>OR(COUNTIF(Tabla2[[#This Row],[PROVEEDOR]],"*"&amp;'Palabra no opera'!$A$2&amp;"*"))</f>
        <v>0</v>
      </c>
      <c r="T1362" s="139">
        <f>+$W$5-Tabla2[[#This Row],[FECHA DE FACTURACIÓN]]</f>
        <v>445</v>
      </c>
      <c r="U1362" t="str">
        <f>+IF(Tabla2[[#This Row],[dias de credito]]&gt;=Tabla2[[#This Row],[PLAZO Días]],"venc", "No venc")</f>
        <v>venc</v>
      </c>
      <c r="V1362" t="str">
        <f>+IF(Tabla2[[#This Row],[FECHA DE PAGO]]&gt;0,"pagada","por pagar")</f>
        <v>pagada</v>
      </c>
      <c r="W1362" s="141" t="str">
        <f>+IF(AND(Tabla2[[#This Row],[venc]]="venc",Tabla2[[#This Row],[Columna1]]="por pagar"),"vencida","no")</f>
        <v>no</v>
      </c>
    </row>
    <row r="1363" spans="1:23" ht="15.6" hidden="1" x14ac:dyDescent="0.3">
      <c r="A1363" s="20">
        <v>30</v>
      </c>
      <c r="B1363" s="25">
        <v>0</v>
      </c>
      <c r="C1363" s="25"/>
      <c r="D1363" s="56" t="s">
        <v>258</v>
      </c>
      <c r="E1363" s="426">
        <v>44883</v>
      </c>
      <c r="F1363" s="26" t="s">
        <v>394</v>
      </c>
      <c r="G1363" s="426">
        <v>44852</v>
      </c>
      <c r="H1363" s="35">
        <v>1741</v>
      </c>
      <c r="I1363" s="21">
        <v>3236000</v>
      </c>
      <c r="J1363" s="21"/>
      <c r="K1363" s="22">
        <v>0</v>
      </c>
      <c r="L1363" s="23"/>
      <c r="M1363" s="22">
        <v>0</v>
      </c>
      <c r="N1363" s="74">
        <v>0</v>
      </c>
      <c r="O1363" s="22">
        <v>0</v>
      </c>
      <c r="P1363" s="21">
        <v>3236000</v>
      </c>
      <c r="S1363" s="108" t="b">
        <f>OR(COUNTIF(Tabla2[[#This Row],[PROVEEDOR]],"*"&amp;'Palabra no opera'!$A$2&amp;"*"))</f>
        <v>0</v>
      </c>
      <c r="T1363" s="139">
        <f>+$W$5-Tabla2[[#This Row],[FECHA DE FACTURACIÓN]]</f>
        <v>439</v>
      </c>
      <c r="U1363" t="str">
        <f>+IF(Tabla2[[#This Row],[dias de credito]]&gt;=Tabla2[[#This Row],[PLAZO Días]],"venc", "No venc")</f>
        <v>venc</v>
      </c>
      <c r="V1363" t="str">
        <f>+IF(Tabla2[[#This Row],[FECHA DE PAGO]]&gt;0,"pagada","por pagar")</f>
        <v>pagada</v>
      </c>
      <c r="W1363" s="141" t="str">
        <f>+IF(AND(Tabla2[[#This Row],[venc]]="venc",Tabla2[[#This Row],[Columna1]]="por pagar"),"vencida","no")</f>
        <v>no</v>
      </c>
    </row>
    <row r="1364" spans="1:23" ht="15.6" hidden="1" x14ac:dyDescent="0.3">
      <c r="A1364" s="20">
        <v>45</v>
      </c>
      <c r="B1364" s="25">
        <v>15770594</v>
      </c>
      <c r="C1364" s="25"/>
      <c r="D1364" s="56" t="s">
        <v>594</v>
      </c>
      <c r="E1364" s="426">
        <v>44883</v>
      </c>
      <c r="F1364" s="26" t="s">
        <v>19</v>
      </c>
      <c r="G1364" s="426">
        <v>44824</v>
      </c>
      <c r="H1364" s="35" t="s">
        <v>1106</v>
      </c>
      <c r="I1364" s="21">
        <v>7481600</v>
      </c>
      <c r="J1364" s="21"/>
      <c r="K1364" s="22">
        <v>1421504</v>
      </c>
      <c r="L1364" s="23"/>
      <c r="M1364" s="22">
        <v>0</v>
      </c>
      <c r="N1364" s="74">
        <v>0</v>
      </c>
      <c r="O1364" s="22">
        <v>0</v>
      </c>
      <c r="P1364" s="21">
        <v>8903104</v>
      </c>
      <c r="S1364" s="108" t="b">
        <f>OR(COUNTIF(Tabla2[[#This Row],[PROVEEDOR]],"*"&amp;'Palabra no opera'!$A$2&amp;"*"))</f>
        <v>0</v>
      </c>
      <c r="T1364" s="139">
        <f>+$W$5-Tabla2[[#This Row],[FECHA DE FACTURACIÓN]]</f>
        <v>467</v>
      </c>
      <c r="U1364" t="str">
        <f>+IF(Tabla2[[#This Row],[dias de credito]]&gt;=Tabla2[[#This Row],[PLAZO Días]],"venc", "No venc")</f>
        <v>venc</v>
      </c>
      <c r="V1364" t="str">
        <f>+IF(Tabla2[[#This Row],[FECHA DE PAGO]]&gt;0,"pagada","por pagar")</f>
        <v>pagada</v>
      </c>
      <c r="W1364" s="141" t="str">
        <f>+IF(AND(Tabla2[[#This Row],[venc]]="venc",Tabla2[[#This Row],[Columna1]]="por pagar"),"vencida","no")</f>
        <v>no</v>
      </c>
    </row>
    <row r="1365" spans="1:23" ht="15.6" hidden="1" x14ac:dyDescent="0.3">
      <c r="A1365" s="20">
        <v>45</v>
      </c>
      <c r="B1365" s="25">
        <v>15770594</v>
      </c>
      <c r="C1365" s="25"/>
      <c r="D1365" s="56" t="s">
        <v>594</v>
      </c>
      <c r="E1365" s="426">
        <v>44883</v>
      </c>
      <c r="F1365" s="26" t="s">
        <v>19</v>
      </c>
      <c r="G1365" s="426">
        <v>44823</v>
      </c>
      <c r="H1365" s="35" t="s">
        <v>1103</v>
      </c>
      <c r="I1365" s="21">
        <v>4903680</v>
      </c>
      <c r="J1365" s="21"/>
      <c r="K1365" s="22">
        <v>931699.19999999995</v>
      </c>
      <c r="L1365" s="23"/>
      <c r="M1365" s="22">
        <v>0</v>
      </c>
      <c r="N1365" s="74">
        <v>0</v>
      </c>
      <c r="O1365" s="22">
        <v>0</v>
      </c>
      <c r="P1365" s="21">
        <v>5835379.2000000002</v>
      </c>
      <c r="S1365" s="108" t="b">
        <f>OR(COUNTIF(Tabla2[[#This Row],[PROVEEDOR]],"*"&amp;'Palabra no opera'!$A$2&amp;"*"))</f>
        <v>0</v>
      </c>
      <c r="T1365" s="139">
        <f>+$W$5-Tabla2[[#This Row],[FECHA DE FACTURACIÓN]]</f>
        <v>468</v>
      </c>
      <c r="U1365" t="str">
        <f>+IF(Tabla2[[#This Row],[dias de credito]]&gt;=Tabla2[[#This Row],[PLAZO Días]],"venc", "No venc")</f>
        <v>venc</v>
      </c>
      <c r="V1365" t="str">
        <f>+IF(Tabla2[[#This Row],[FECHA DE PAGO]]&gt;0,"pagada","por pagar")</f>
        <v>pagada</v>
      </c>
      <c r="W1365" s="141" t="str">
        <f>+IF(AND(Tabla2[[#This Row],[venc]]="venc",Tabla2[[#This Row],[Columna1]]="por pagar"),"vencida","no")</f>
        <v>no</v>
      </c>
    </row>
    <row r="1366" spans="1:23" ht="15.6" hidden="1" x14ac:dyDescent="0.3">
      <c r="A1366" s="20">
        <v>30</v>
      </c>
      <c r="B1366" s="25">
        <v>229206</v>
      </c>
      <c r="C1366" s="25"/>
      <c r="D1366" s="56" t="s">
        <v>659</v>
      </c>
      <c r="E1366" s="426">
        <v>44881</v>
      </c>
      <c r="F1366" s="26" t="s">
        <v>95</v>
      </c>
      <c r="G1366" s="426">
        <v>44881</v>
      </c>
      <c r="H1366" s="35" t="s">
        <v>1345</v>
      </c>
      <c r="I1366" s="21">
        <v>2150000</v>
      </c>
      <c r="J1366" s="21"/>
      <c r="K1366" s="22">
        <v>0</v>
      </c>
      <c r="L1366" s="23"/>
      <c r="M1366" s="22">
        <v>0</v>
      </c>
      <c r="N1366" s="74">
        <v>0</v>
      </c>
      <c r="O1366" s="22">
        <v>0</v>
      </c>
      <c r="P1366" s="21">
        <v>2150000</v>
      </c>
      <c r="S1366" s="108" t="b">
        <f>OR(COUNTIF(Tabla2[[#This Row],[PROVEEDOR]],"*"&amp;'Palabra no opera'!$A$2&amp;"*"))</f>
        <v>0</v>
      </c>
      <c r="T1366" s="139">
        <f>+$W$5-Tabla2[[#This Row],[FECHA DE FACTURACIÓN]]</f>
        <v>410</v>
      </c>
      <c r="U1366" t="str">
        <f>+IF(Tabla2[[#This Row],[dias de credito]]&gt;=Tabla2[[#This Row],[PLAZO Días]],"venc", "No venc")</f>
        <v>venc</v>
      </c>
      <c r="V1366" t="str">
        <f>+IF(Tabla2[[#This Row],[FECHA DE PAGO]]&gt;0,"pagada","por pagar")</f>
        <v>pagada</v>
      </c>
      <c r="W1366" s="141" t="str">
        <f>+IF(AND(Tabla2[[#This Row],[venc]]="venc",Tabla2[[#This Row],[Columna1]]="por pagar"),"vencida","no")</f>
        <v>no</v>
      </c>
    </row>
    <row r="1367" spans="1:23" ht="15.6" hidden="1" x14ac:dyDescent="0.3">
      <c r="A1367" s="20">
        <v>30</v>
      </c>
      <c r="B1367" s="25">
        <v>0</v>
      </c>
      <c r="C1367" s="25"/>
      <c r="D1367" s="56" t="s">
        <v>107</v>
      </c>
      <c r="E1367" s="426">
        <v>44880</v>
      </c>
      <c r="F1367" s="26" t="s">
        <v>23</v>
      </c>
      <c r="G1367" s="426">
        <v>44880</v>
      </c>
      <c r="H1367" s="35">
        <v>255561</v>
      </c>
      <c r="I1367" s="21">
        <v>12733708</v>
      </c>
      <c r="J1367" s="21"/>
      <c r="K1367" s="22">
        <v>0</v>
      </c>
      <c r="L1367" s="23"/>
      <c r="M1367" s="22">
        <v>0</v>
      </c>
      <c r="N1367" s="74">
        <v>0</v>
      </c>
      <c r="O1367" s="22">
        <v>0</v>
      </c>
      <c r="P1367" s="21">
        <v>12733708</v>
      </c>
      <c r="S1367" s="108" t="b">
        <f>OR(COUNTIF(Tabla2[[#This Row],[PROVEEDOR]],"*"&amp;'Palabra no opera'!$A$2&amp;"*"))</f>
        <v>0</v>
      </c>
      <c r="T1367" s="139">
        <f>+$W$5-Tabla2[[#This Row],[FECHA DE FACTURACIÓN]]</f>
        <v>411</v>
      </c>
      <c r="U1367" t="str">
        <f>+IF(Tabla2[[#This Row],[dias de credito]]&gt;=Tabla2[[#This Row],[PLAZO Días]],"venc", "No venc")</f>
        <v>venc</v>
      </c>
      <c r="V1367" t="str">
        <f>+IF(Tabla2[[#This Row],[FECHA DE PAGO]]&gt;0,"pagada","por pagar")</f>
        <v>pagada</v>
      </c>
      <c r="W1367" s="141" t="str">
        <f>+IF(AND(Tabla2[[#This Row],[venc]]="venc",Tabla2[[#This Row],[Columna1]]="por pagar"),"vencida","no")</f>
        <v>no</v>
      </c>
    </row>
    <row r="1368" spans="1:23" ht="15.6" hidden="1" x14ac:dyDescent="0.3">
      <c r="A1368" s="20">
        <v>30</v>
      </c>
      <c r="B1368" s="25">
        <v>0</v>
      </c>
      <c r="C1368" s="25"/>
      <c r="D1368" s="56" t="s">
        <v>858</v>
      </c>
      <c r="E1368" s="426">
        <v>44876</v>
      </c>
      <c r="F1368" s="26" t="s">
        <v>857</v>
      </c>
      <c r="G1368" s="426">
        <v>44873</v>
      </c>
      <c r="H1368" s="35" t="s">
        <v>1261</v>
      </c>
      <c r="I1368" s="21">
        <v>1218488</v>
      </c>
      <c r="J1368" s="21"/>
      <c r="K1368" s="22">
        <v>231512.72</v>
      </c>
      <c r="L1368" s="23">
        <v>0</v>
      </c>
      <c r="M1368" s="22">
        <v>0</v>
      </c>
      <c r="N1368" s="74">
        <v>0</v>
      </c>
      <c r="O1368" s="22">
        <v>0</v>
      </c>
      <c r="P1368" s="21">
        <v>1450000.72</v>
      </c>
      <c r="S1368" s="108" t="b">
        <f>OR(COUNTIF(Tabla2[[#This Row],[PROVEEDOR]],"*"&amp;'Palabra no opera'!$A$2&amp;"*"))</f>
        <v>0</v>
      </c>
      <c r="T1368" s="139">
        <f>+$W$5-Tabla2[[#This Row],[FECHA DE FACTURACIÓN]]</f>
        <v>418</v>
      </c>
      <c r="U1368" t="str">
        <f>+IF(Tabla2[[#This Row],[dias de credito]]&gt;=Tabla2[[#This Row],[PLAZO Días]],"venc", "No venc")</f>
        <v>venc</v>
      </c>
      <c r="V1368" t="str">
        <f>+IF(Tabla2[[#This Row],[FECHA DE PAGO]]&gt;0,"pagada","por pagar")</f>
        <v>pagada</v>
      </c>
      <c r="W1368" s="141" t="str">
        <f>+IF(AND(Tabla2[[#This Row],[venc]]="venc",Tabla2[[#This Row],[Columna1]]="por pagar"),"vencida","no")</f>
        <v>no</v>
      </c>
    </row>
    <row r="1369" spans="1:23" ht="15.6" hidden="1" x14ac:dyDescent="0.3">
      <c r="A1369" s="20">
        <v>30</v>
      </c>
      <c r="B1369" s="25">
        <v>0</v>
      </c>
      <c r="C1369" s="25"/>
      <c r="D1369" s="56" t="s">
        <v>368</v>
      </c>
      <c r="E1369" s="426">
        <v>44875</v>
      </c>
      <c r="F1369" s="26" t="s">
        <v>623</v>
      </c>
      <c r="G1369" s="426">
        <v>44866</v>
      </c>
      <c r="H1369" s="35" t="s">
        <v>1258</v>
      </c>
      <c r="I1369" s="21">
        <v>791781</v>
      </c>
      <c r="J1369" s="21"/>
      <c r="K1369" s="22">
        <v>150438.39000000001</v>
      </c>
      <c r="L1369" s="23"/>
      <c r="M1369" s="22">
        <v>0</v>
      </c>
      <c r="N1369" s="74">
        <v>0</v>
      </c>
      <c r="O1369" s="22">
        <v>0</v>
      </c>
      <c r="P1369" s="21">
        <v>942219.39</v>
      </c>
      <c r="S1369" s="108" t="b">
        <f>OR(COUNTIF(Tabla2[[#This Row],[PROVEEDOR]],"*"&amp;'Palabra no opera'!$A$2&amp;"*"))</f>
        <v>1</v>
      </c>
      <c r="T1369" s="139">
        <f>+$W$5-Tabla2[[#This Row],[FECHA DE FACTURACIÓN]]</f>
        <v>425</v>
      </c>
      <c r="U1369" t="str">
        <f>+IF(Tabla2[[#This Row],[dias de credito]]&gt;=Tabla2[[#This Row],[PLAZO Días]],"venc", "No venc")</f>
        <v>venc</v>
      </c>
      <c r="V1369" t="str">
        <f>+IF(Tabla2[[#This Row],[FECHA DE PAGO]]&gt;0,"pagada","por pagar")</f>
        <v>pagada</v>
      </c>
      <c r="W1369" s="141" t="str">
        <f>+IF(AND(Tabla2[[#This Row],[venc]]="venc",Tabla2[[#This Row],[Columna1]]="por pagar"),"vencida","no")</f>
        <v>no</v>
      </c>
    </row>
    <row r="1370" spans="1:23" ht="15.6" hidden="1" x14ac:dyDescent="0.3">
      <c r="A1370" s="20">
        <v>30</v>
      </c>
      <c r="B1370" s="25">
        <v>0</v>
      </c>
      <c r="C1370" s="25"/>
      <c r="D1370" s="56" t="s">
        <v>368</v>
      </c>
      <c r="E1370" s="426">
        <v>44875</v>
      </c>
      <c r="F1370" s="26" t="s">
        <v>623</v>
      </c>
      <c r="G1370" s="426">
        <v>44866</v>
      </c>
      <c r="H1370" s="35" t="s">
        <v>1259</v>
      </c>
      <c r="I1370" s="21">
        <v>3294426</v>
      </c>
      <c r="J1370" s="21"/>
      <c r="K1370" s="22">
        <v>625940.94000000006</v>
      </c>
      <c r="L1370" s="23"/>
      <c r="M1370" s="22">
        <v>0</v>
      </c>
      <c r="N1370" s="74">
        <v>0</v>
      </c>
      <c r="O1370" s="22">
        <v>0</v>
      </c>
      <c r="P1370" s="21">
        <v>3920366.94</v>
      </c>
      <c r="S1370" s="108" t="b">
        <f>OR(COUNTIF(Tabla2[[#This Row],[PROVEEDOR]],"*"&amp;'Palabra no opera'!$A$2&amp;"*"))</f>
        <v>1</v>
      </c>
      <c r="T1370" s="139">
        <f>+$W$5-Tabla2[[#This Row],[FECHA DE FACTURACIÓN]]</f>
        <v>425</v>
      </c>
      <c r="U1370" t="str">
        <f>+IF(Tabla2[[#This Row],[dias de credito]]&gt;=Tabla2[[#This Row],[PLAZO Días]],"venc", "No venc")</f>
        <v>venc</v>
      </c>
      <c r="V1370" t="str">
        <f>+IF(Tabla2[[#This Row],[FECHA DE PAGO]]&gt;0,"pagada","por pagar")</f>
        <v>pagada</v>
      </c>
      <c r="W1370" s="141" t="str">
        <f>+IF(AND(Tabla2[[#This Row],[venc]]="venc",Tabla2[[#This Row],[Columna1]]="por pagar"),"vencida","no")</f>
        <v>no</v>
      </c>
    </row>
    <row r="1371" spans="1:23" ht="15.6" hidden="1" x14ac:dyDescent="0.3">
      <c r="A1371" s="20">
        <v>10</v>
      </c>
      <c r="B1371" s="25">
        <v>0</v>
      </c>
      <c r="C1371" s="25"/>
      <c r="D1371" s="56" t="s">
        <v>1203</v>
      </c>
      <c r="E1371" s="426">
        <v>44875</v>
      </c>
      <c r="F1371" s="26" t="s">
        <v>1202</v>
      </c>
      <c r="G1371" s="426">
        <v>44866</v>
      </c>
      <c r="H1371" s="35" t="s">
        <v>1260</v>
      </c>
      <c r="I1371" s="21">
        <v>5628700</v>
      </c>
      <c r="J1371" s="21"/>
      <c r="K1371" s="22">
        <v>0</v>
      </c>
      <c r="L1371" s="23"/>
      <c r="M1371" s="22">
        <v>0</v>
      </c>
      <c r="N1371" s="74">
        <v>0</v>
      </c>
      <c r="O1371" s="22">
        <v>0</v>
      </c>
      <c r="P1371" s="21">
        <v>5628700</v>
      </c>
      <c r="S1371" s="108" t="b">
        <f>OR(COUNTIF(Tabla2[[#This Row],[PROVEEDOR]],"*"&amp;'Palabra no opera'!$A$2&amp;"*"))</f>
        <v>1</v>
      </c>
      <c r="T1371" s="139">
        <f>+$W$5-Tabla2[[#This Row],[FECHA DE FACTURACIÓN]]</f>
        <v>425</v>
      </c>
      <c r="U1371" t="str">
        <f>+IF(Tabla2[[#This Row],[dias de credito]]&gt;=Tabla2[[#This Row],[PLAZO Días]],"venc", "No venc")</f>
        <v>venc</v>
      </c>
      <c r="V1371" t="str">
        <f>+IF(Tabla2[[#This Row],[FECHA DE PAGO]]&gt;0,"pagada","por pagar")</f>
        <v>pagada</v>
      </c>
      <c r="W1371" s="141" t="str">
        <f>+IF(AND(Tabla2[[#This Row],[venc]]="venc",Tabla2[[#This Row],[Columna1]]="por pagar"),"vencida","no")</f>
        <v>no</v>
      </c>
    </row>
    <row r="1372" spans="1:23" ht="15.6" hidden="1" x14ac:dyDescent="0.3">
      <c r="A1372" s="20">
        <v>30</v>
      </c>
      <c r="B1372" s="25">
        <v>0</v>
      </c>
      <c r="C1372" s="25"/>
      <c r="D1372" s="56" t="s">
        <v>211</v>
      </c>
      <c r="E1372" s="426">
        <v>44874</v>
      </c>
      <c r="F1372" s="26" t="s">
        <v>400</v>
      </c>
      <c r="G1372" s="426">
        <v>44832</v>
      </c>
      <c r="H1372" s="35" t="s">
        <v>1154</v>
      </c>
      <c r="I1372" s="21">
        <v>450000</v>
      </c>
      <c r="J1372" s="21"/>
      <c r="K1372" s="22">
        <v>0</v>
      </c>
      <c r="L1372" s="23"/>
      <c r="M1372" s="22">
        <v>0</v>
      </c>
      <c r="N1372" s="74">
        <v>0</v>
      </c>
      <c r="O1372" s="22">
        <v>0</v>
      </c>
      <c r="P1372" s="21">
        <v>450000</v>
      </c>
      <c r="S1372" s="108" t="b">
        <f>OR(COUNTIF(Tabla2[[#This Row],[PROVEEDOR]],"*"&amp;'Palabra no opera'!$A$2&amp;"*"))</f>
        <v>0</v>
      </c>
      <c r="T1372" s="139">
        <f>+$W$5-Tabla2[[#This Row],[FECHA DE FACTURACIÓN]]</f>
        <v>459</v>
      </c>
      <c r="U1372" t="str">
        <f>+IF(Tabla2[[#This Row],[dias de credito]]&gt;=Tabla2[[#This Row],[PLAZO Días]],"venc", "No venc")</f>
        <v>venc</v>
      </c>
      <c r="V1372" t="str">
        <f>+IF(Tabla2[[#This Row],[FECHA DE PAGO]]&gt;0,"pagada","por pagar")</f>
        <v>pagada</v>
      </c>
      <c r="W1372" s="141" t="str">
        <f>+IF(AND(Tabla2[[#This Row],[venc]]="venc",Tabla2[[#This Row],[Columna1]]="por pagar"),"vencida","no")</f>
        <v>no</v>
      </c>
    </row>
    <row r="1373" spans="1:23" ht="15.6" hidden="1" x14ac:dyDescent="0.3">
      <c r="A1373" s="20">
        <v>30</v>
      </c>
      <c r="B1373" s="25">
        <v>559000</v>
      </c>
      <c r="C1373" s="25"/>
      <c r="D1373" s="56" t="s">
        <v>107</v>
      </c>
      <c r="E1373" s="426">
        <v>44870</v>
      </c>
      <c r="F1373" s="26" t="s">
        <v>1133</v>
      </c>
      <c r="G1373" s="426">
        <v>44870</v>
      </c>
      <c r="H1373" s="35" t="s">
        <v>1269</v>
      </c>
      <c r="I1373" s="21">
        <v>432000</v>
      </c>
      <c r="J1373" s="21"/>
      <c r="K1373" s="22">
        <v>0</v>
      </c>
      <c r="L1373" s="23"/>
      <c r="M1373" s="22">
        <v>0</v>
      </c>
      <c r="N1373" s="74">
        <v>0</v>
      </c>
      <c r="O1373" s="22">
        <v>0</v>
      </c>
      <c r="P1373" s="21">
        <v>432000</v>
      </c>
      <c r="S1373" s="108" t="b">
        <f>OR(COUNTIF(Tabla2[[#This Row],[PROVEEDOR]],"*"&amp;'Palabra no opera'!$A$2&amp;"*"))</f>
        <v>0</v>
      </c>
      <c r="T1373" s="139">
        <f>+$W$5-Tabla2[[#This Row],[FECHA DE FACTURACIÓN]]</f>
        <v>421</v>
      </c>
      <c r="U1373" t="str">
        <f>+IF(Tabla2[[#This Row],[dias de credito]]&gt;=Tabla2[[#This Row],[PLAZO Días]],"venc", "No venc")</f>
        <v>venc</v>
      </c>
      <c r="V1373" t="str">
        <f>+IF(Tabla2[[#This Row],[FECHA DE PAGO]]&gt;0,"pagada","por pagar")</f>
        <v>pagada</v>
      </c>
      <c r="W1373" s="141" t="str">
        <f>+IF(AND(Tabla2[[#This Row],[venc]]="venc",Tabla2[[#This Row],[Columna1]]="por pagar"),"vencida","no")</f>
        <v>no</v>
      </c>
    </row>
    <row r="1374" spans="1:23" ht="15.6" hidden="1" x14ac:dyDescent="0.3">
      <c r="A1374" s="20">
        <v>30</v>
      </c>
      <c r="B1374" s="25">
        <v>0</v>
      </c>
      <c r="C1374" s="25"/>
      <c r="D1374" s="56" t="s">
        <v>258</v>
      </c>
      <c r="E1374" s="426">
        <v>44870</v>
      </c>
      <c r="F1374" s="26" t="s">
        <v>394</v>
      </c>
      <c r="G1374" s="426">
        <v>44866</v>
      </c>
      <c r="H1374" s="35" t="s">
        <v>1248</v>
      </c>
      <c r="I1374" s="21">
        <v>1150000</v>
      </c>
      <c r="J1374" s="21"/>
      <c r="K1374" s="22">
        <v>0</v>
      </c>
      <c r="L1374" s="23"/>
      <c r="M1374" s="22">
        <v>0</v>
      </c>
      <c r="N1374" s="74">
        <v>0</v>
      </c>
      <c r="O1374" s="22">
        <v>0</v>
      </c>
      <c r="P1374" s="21">
        <v>1150000</v>
      </c>
      <c r="S1374" s="108" t="b">
        <f>OR(COUNTIF(Tabla2[[#This Row],[PROVEEDOR]],"*"&amp;'Palabra no opera'!$A$2&amp;"*"))</f>
        <v>0</v>
      </c>
      <c r="T1374" s="139">
        <f>+$W$5-Tabla2[[#This Row],[FECHA DE FACTURACIÓN]]</f>
        <v>425</v>
      </c>
      <c r="U1374" t="str">
        <f>+IF(Tabla2[[#This Row],[dias de credito]]&gt;=Tabla2[[#This Row],[PLAZO Días]],"venc", "No venc")</f>
        <v>venc</v>
      </c>
      <c r="V1374" t="str">
        <f>+IF(Tabla2[[#This Row],[FECHA DE PAGO]]&gt;0,"pagada","por pagar")</f>
        <v>pagada</v>
      </c>
      <c r="W1374" s="141" t="str">
        <f>+IF(AND(Tabla2[[#This Row],[venc]]="venc",Tabla2[[#This Row],[Columna1]]="por pagar"),"vencida","no")</f>
        <v>no</v>
      </c>
    </row>
    <row r="1375" spans="1:23" ht="15.6" hidden="1" x14ac:dyDescent="0.3">
      <c r="A1375" s="20">
        <v>60</v>
      </c>
      <c r="B1375" s="25">
        <v>395600</v>
      </c>
      <c r="C1375" s="25"/>
      <c r="D1375" s="56" t="s">
        <v>1482</v>
      </c>
      <c r="E1375" s="426">
        <v>44870</v>
      </c>
      <c r="F1375" s="26" t="s">
        <v>287</v>
      </c>
      <c r="G1375" s="426">
        <v>44865</v>
      </c>
      <c r="H1375" s="35">
        <v>1521</v>
      </c>
      <c r="I1375" s="21">
        <v>324128</v>
      </c>
      <c r="J1375" s="21"/>
      <c r="K1375" s="22">
        <v>0</v>
      </c>
      <c r="L1375" s="23"/>
      <c r="M1375" s="22">
        <v>0</v>
      </c>
      <c r="N1375" s="74">
        <v>0</v>
      </c>
      <c r="O1375" s="22">
        <v>0</v>
      </c>
      <c r="P1375" s="21">
        <v>324128</v>
      </c>
      <c r="S1375" s="108" t="b">
        <f>OR(COUNTIF(Tabla2[[#This Row],[PROVEEDOR]],"*"&amp;'Palabra no opera'!$A$2&amp;"*"))</f>
        <v>0</v>
      </c>
      <c r="T1375" s="139">
        <f>+$W$5-Tabla2[[#This Row],[FECHA DE FACTURACIÓN]]</f>
        <v>426</v>
      </c>
      <c r="U1375" t="str">
        <f>+IF(Tabla2[[#This Row],[dias de credito]]&gt;=Tabla2[[#This Row],[PLAZO Días]],"venc", "No venc")</f>
        <v>venc</v>
      </c>
      <c r="V1375" t="str">
        <f>+IF(Tabla2[[#This Row],[FECHA DE PAGO]]&gt;0,"pagada","por pagar")</f>
        <v>pagada</v>
      </c>
      <c r="W1375" s="141" t="str">
        <f>+IF(AND(Tabla2[[#This Row],[venc]]="venc",Tabla2[[#This Row],[Columna1]]="por pagar"),"vencida","no")</f>
        <v>no</v>
      </c>
    </row>
    <row r="1376" spans="1:23" ht="15.6" hidden="1" x14ac:dyDescent="0.3">
      <c r="A1376" s="20">
        <v>60</v>
      </c>
      <c r="B1376" s="25">
        <v>395600</v>
      </c>
      <c r="C1376" s="25"/>
      <c r="D1376" s="56" t="s">
        <v>1482</v>
      </c>
      <c r="E1376" s="426">
        <v>44870</v>
      </c>
      <c r="F1376" s="26" t="s">
        <v>287</v>
      </c>
      <c r="G1376" s="426">
        <v>44865</v>
      </c>
      <c r="H1376" s="35">
        <v>1519</v>
      </c>
      <c r="I1376" s="21">
        <v>324128</v>
      </c>
      <c r="J1376" s="21"/>
      <c r="K1376" s="22">
        <v>0</v>
      </c>
      <c r="L1376" s="23"/>
      <c r="M1376" s="22">
        <v>0</v>
      </c>
      <c r="N1376" s="74">
        <v>0</v>
      </c>
      <c r="O1376" s="22">
        <v>0</v>
      </c>
      <c r="P1376" s="21">
        <v>324128</v>
      </c>
      <c r="S1376" s="108" t="b">
        <f>OR(COUNTIF(Tabla2[[#This Row],[PROVEEDOR]],"*"&amp;'Palabra no opera'!$A$2&amp;"*"))</f>
        <v>0</v>
      </c>
      <c r="T1376" s="139">
        <f>+$W$5-Tabla2[[#This Row],[FECHA DE FACTURACIÓN]]</f>
        <v>426</v>
      </c>
      <c r="U1376" t="str">
        <f>+IF(Tabla2[[#This Row],[dias de credito]]&gt;=Tabla2[[#This Row],[PLAZO Días]],"venc", "No venc")</f>
        <v>venc</v>
      </c>
      <c r="V1376" t="str">
        <f>+IF(Tabla2[[#This Row],[FECHA DE PAGO]]&gt;0,"pagada","por pagar")</f>
        <v>pagada</v>
      </c>
      <c r="W1376" s="141" t="str">
        <f>+IF(AND(Tabla2[[#This Row],[venc]]="venc",Tabla2[[#This Row],[Columna1]]="por pagar"),"vencida","no")</f>
        <v>no</v>
      </c>
    </row>
    <row r="1377" spans="1:23" ht="15.6" hidden="1" x14ac:dyDescent="0.3">
      <c r="A1377" s="20">
        <v>60</v>
      </c>
      <c r="B1377" s="25">
        <v>395600</v>
      </c>
      <c r="C1377" s="25"/>
      <c r="D1377" s="56" t="s">
        <v>1482</v>
      </c>
      <c r="E1377" s="426">
        <v>44870</v>
      </c>
      <c r="F1377" s="26" t="s">
        <v>287</v>
      </c>
      <c r="G1377" s="426">
        <v>44865</v>
      </c>
      <c r="H1377" s="35">
        <v>1522</v>
      </c>
      <c r="I1377" s="21">
        <v>364644</v>
      </c>
      <c r="J1377" s="21"/>
      <c r="K1377" s="22">
        <v>0</v>
      </c>
      <c r="L1377" s="23"/>
      <c r="M1377" s="22">
        <v>0</v>
      </c>
      <c r="N1377" s="74">
        <v>0</v>
      </c>
      <c r="O1377" s="22">
        <v>0</v>
      </c>
      <c r="P1377" s="21">
        <v>364644</v>
      </c>
      <c r="S1377" s="108" t="b">
        <f>OR(COUNTIF(Tabla2[[#This Row],[PROVEEDOR]],"*"&amp;'Palabra no opera'!$A$2&amp;"*"))</f>
        <v>0</v>
      </c>
      <c r="T1377" s="139">
        <f>+$W$5-Tabla2[[#This Row],[FECHA DE FACTURACIÓN]]</f>
        <v>426</v>
      </c>
      <c r="U1377" t="str">
        <f>+IF(Tabla2[[#This Row],[dias de credito]]&gt;=Tabla2[[#This Row],[PLAZO Días]],"venc", "No venc")</f>
        <v>venc</v>
      </c>
      <c r="V1377" t="str">
        <f>+IF(Tabla2[[#This Row],[FECHA DE PAGO]]&gt;0,"pagada","por pagar")</f>
        <v>pagada</v>
      </c>
      <c r="W1377" s="141" t="str">
        <f>+IF(AND(Tabla2[[#This Row],[venc]]="venc",Tabla2[[#This Row],[Columna1]]="por pagar"),"vencida","no")</f>
        <v>no</v>
      </c>
    </row>
    <row r="1378" spans="1:23" ht="15.6" hidden="1" x14ac:dyDescent="0.3">
      <c r="A1378" s="20">
        <v>45</v>
      </c>
      <c r="B1378" s="25">
        <v>3074500</v>
      </c>
      <c r="C1378" s="25"/>
      <c r="D1378" s="56" t="s">
        <v>1482</v>
      </c>
      <c r="E1378" s="426">
        <v>44870</v>
      </c>
      <c r="F1378" s="26" t="s">
        <v>289</v>
      </c>
      <c r="G1378" s="426">
        <v>44861</v>
      </c>
      <c r="H1378" s="35">
        <v>1513</v>
      </c>
      <c r="I1378" s="21">
        <v>2025800</v>
      </c>
      <c r="J1378" s="21"/>
      <c r="K1378" s="22">
        <v>0</v>
      </c>
      <c r="L1378" s="23"/>
      <c r="M1378" s="22">
        <v>0</v>
      </c>
      <c r="N1378" s="74">
        <v>0</v>
      </c>
      <c r="O1378" s="22">
        <v>0</v>
      </c>
      <c r="P1378" s="21">
        <v>2025800</v>
      </c>
      <c r="S1378" s="108" t="b">
        <f>OR(COUNTIF(Tabla2[[#This Row],[PROVEEDOR]],"*"&amp;'Palabra no opera'!$A$2&amp;"*"))</f>
        <v>0</v>
      </c>
      <c r="T1378" s="139">
        <f>+$W$5-Tabla2[[#This Row],[FECHA DE FACTURACIÓN]]</f>
        <v>430</v>
      </c>
      <c r="U1378" t="str">
        <f>+IF(Tabla2[[#This Row],[dias de credito]]&gt;=Tabla2[[#This Row],[PLAZO Días]],"venc", "No venc")</f>
        <v>venc</v>
      </c>
      <c r="V1378" t="str">
        <f>+IF(Tabla2[[#This Row],[FECHA DE PAGO]]&gt;0,"pagada","por pagar")</f>
        <v>pagada</v>
      </c>
      <c r="W1378" s="141" t="str">
        <f>+IF(AND(Tabla2[[#This Row],[venc]]="venc",Tabla2[[#This Row],[Columna1]]="por pagar"),"vencida","no")</f>
        <v>no</v>
      </c>
    </row>
    <row r="1379" spans="1:23" ht="15.6" hidden="1" x14ac:dyDescent="0.3">
      <c r="A1379" s="20">
        <v>60</v>
      </c>
      <c r="B1379" s="25">
        <v>395600</v>
      </c>
      <c r="C1379" s="25"/>
      <c r="D1379" s="56" t="s">
        <v>1482</v>
      </c>
      <c r="E1379" s="426">
        <v>44870</v>
      </c>
      <c r="F1379" s="26" t="s">
        <v>287</v>
      </c>
      <c r="G1379" s="426">
        <v>44859</v>
      </c>
      <c r="H1379" s="35">
        <v>1509</v>
      </c>
      <c r="I1379" s="21">
        <v>263354</v>
      </c>
      <c r="J1379" s="21"/>
      <c r="K1379" s="22">
        <v>0</v>
      </c>
      <c r="L1379" s="23"/>
      <c r="M1379" s="22">
        <v>0</v>
      </c>
      <c r="N1379" s="74">
        <v>0</v>
      </c>
      <c r="O1379" s="22">
        <v>0</v>
      </c>
      <c r="P1379" s="21">
        <v>263354</v>
      </c>
      <c r="S1379" s="108" t="b">
        <f>OR(COUNTIF(Tabla2[[#This Row],[PROVEEDOR]],"*"&amp;'Palabra no opera'!$A$2&amp;"*"))</f>
        <v>0</v>
      </c>
      <c r="T1379" s="139">
        <f>+$W$5-Tabla2[[#This Row],[FECHA DE FACTURACIÓN]]</f>
        <v>432</v>
      </c>
      <c r="U1379" t="str">
        <f>+IF(Tabla2[[#This Row],[dias de credito]]&gt;=Tabla2[[#This Row],[PLAZO Días]],"venc", "No venc")</f>
        <v>venc</v>
      </c>
      <c r="V1379" t="str">
        <f>+IF(Tabla2[[#This Row],[FECHA DE PAGO]]&gt;0,"pagada","por pagar")</f>
        <v>pagada</v>
      </c>
      <c r="W1379" s="141" t="str">
        <f>+IF(AND(Tabla2[[#This Row],[venc]]="venc",Tabla2[[#This Row],[Columna1]]="por pagar"),"vencida","no")</f>
        <v>no</v>
      </c>
    </row>
    <row r="1380" spans="1:23" ht="15.6" hidden="1" x14ac:dyDescent="0.3">
      <c r="A1380" s="20">
        <v>60</v>
      </c>
      <c r="B1380" s="25">
        <v>395600</v>
      </c>
      <c r="C1380" s="25"/>
      <c r="D1380" s="56" t="s">
        <v>1482</v>
      </c>
      <c r="E1380" s="426">
        <v>44870</v>
      </c>
      <c r="F1380" s="26" t="s">
        <v>287</v>
      </c>
      <c r="G1380" s="426">
        <v>44859</v>
      </c>
      <c r="H1380" s="35">
        <v>1510</v>
      </c>
      <c r="I1380" s="21">
        <v>324128</v>
      </c>
      <c r="J1380" s="21"/>
      <c r="K1380" s="22">
        <v>0</v>
      </c>
      <c r="L1380" s="23"/>
      <c r="M1380" s="22">
        <v>0</v>
      </c>
      <c r="N1380" s="74">
        <v>0</v>
      </c>
      <c r="O1380" s="22">
        <v>0</v>
      </c>
      <c r="P1380" s="21">
        <v>324128</v>
      </c>
      <c r="S1380" s="108" t="b">
        <f>OR(COUNTIF(Tabla2[[#This Row],[PROVEEDOR]],"*"&amp;'Palabra no opera'!$A$2&amp;"*"))</f>
        <v>0</v>
      </c>
      <c r="T1380" s="139">
        <f>+$W$5-Tabla2[[#This Row],[FECHA DE FACTURACIÓN]]</f>
        <v>432</v>
      </c>
      <c r="U1380" t="str">
        <f>+IF(Tabla2[[#This Row],[dias de credito]]&gt;=Tabla2[[#This Row],[PLAZO Días]],"venc", "No venc")</f>
        <v>venc</v>
      </c>
      <c r="V1380" t="str">
        <f>+IF(Tabla2[[#This Row],[FECHA DE PAGO]]&gt;0,"pagada","por pagar")</f>
        <v>pagada</v>
      </c>
      <c r="W1380" s="141" t="str">
        <f>+IF(AND(Tabla2[[#This Row],[venc]]="venc",Tabla2[[#This Row],[Columna1]]="por pagar"),"vencida","no")</f>
        <v>no</v>
      </c>
    </row>
    <row r="1381" spans="1:23" ht="15.6" hidden="1" x14ac:dyDescent="0.3">
      <c r="A1381" s="20">
        <v>60</v>
      </c>
      <c r="B1381" s="25">
        <v>395600</v>
      </c>
      <c r="C1381" s="25"/>
      <c r="D1381" s="56" t="s">
        <v>1482</v>
      </c>
      <c r="E1381" s="426">
        <v>44870</v>
      </c>
      <c r="F1381" s="26" t="s">
        <v>287</v>
      </c>
      <c r="G1381" s="426">
        <v>44859</v>
      </c>
      <c r="H1381" s="35">
        <v>1511</v>
      </c>
      <c r="I1381" s="21">
        <v>344386</v>
      </c>
      <c r="J1381" s="21"/>
      <c r="K1381" s="22">
        <v>0</v>
      </c>
      <c r="L1381" s="23"/>
      <c r="M1381" s="22">
        <v>0</v>
      </c>
      <c r="N1381" s="74">
        <v>0</v>
      </c>
      <c r="O1381" s="22">
        <v>0</v>
      </c>
      <c r="P1381" s="21">
        <v>344386</v>
      </c>
      <c r="S1381" s="108" t="b">
        <f>OR(COUNTIF(Tabla2[[#This Row],[PROVEEDOR]],"*"&amp;'Palabra no opera'!$A$2&amp;"*"))</f>
        <v>0</v>
      </c>
      <c r="T1381" s="139">
        <f>+$W$5-Tabla2[[#This Row],[FECHA DE FACTURACIÓN]]</f>
        <v>432</v>
      </c>
      <c r="U1381" t="str">
        <f>+IF(Tabla2[[#This Row],[dias de credito]]&gt;=Tabla2[[#This Row],[PLAZO Días]],"venc", "No venc")</f>
        <v>venc</v>
      </c>
      <c r="V1381" t="str">
        <f>+IF(Tabla2[[#This Row],[FECHA DE PAGO]]&gt;0,"pagada","por pagar")</f>
        <v>pagada</v>
      </c>
      <c r="W1381" s="141" t="str">
        <f>+IF(AND(Tabla2[[#This Row],[venc]]="venc",Tabla2[[#This Row],[Columna1]]="por pagar"),"vencida","no")</f>
        <v>no</v>
      </c>
    </row>
    <row r="1382" spans="1:23" ht="15.6" hidden="1" x14ac:dyDescent="0.3">
      <c r="A1382" s="20">
        <v>60</v>
      </c>
      <c r="B1382" s="25">
        <v>395600</v>
      </c>
      <c r="C1382" s="25"/>
      <c r="D1382" s="56" t="s">
        <v>1482</v>
      </c>
      <c r="E1382" s="426">
        <v>44870</v>
      </c>
      <c r="F1382" s="26" t="s">
        <v>287</v>
      </c>
      <c r="G1382" s="426">
        <v>44859</v>
      </c>
      <c r="H1382" s="35">
        <v>1512</v>
      </c>
      <c r="I1382" s="21">
        <v>708017</v>
      </c>
      <c r="J1382" s="21"/>
      <c r="K1382" s="22">
        <v>0</v>
      </c>
      <c r="L1382" s="23"/>
      <c r="M1382" s="22">
        <v>0</v>
      </c>
      <c r="N1382" s="74">
        <v>0</v>
      </c>
      <c r="O1382" s="22">
        <v>0</v>
      </c>
      <c r="P1382" s="21">
        <v>708017</v>
      </c>
      <c r="S1382" s="108" t="b">
        <f>OR(COUNTIF(Tabla2[[#This Row],[PROVEEDOR]],"*"&amp;'Palabra no opera'!$A$2&amp;"*"))</f>
        <v>0</v>
      </c>
      <c r="T1382" s="139">
        <f>+$W$5-Tabla2[[#This Row],[FECHA DE FACTURACIÓN]]</f>
        <v>432</v>
      </c>
      <c r="U1382" t="str">
        <f>+IF(Tabla2[[#This Row],[dias de credito]]&gt;=Tabla2[[#This Row],[PLAZO Días]],"venc", "No venc")</f>
        <v>venc</v>
      </c>
      <c r="V1382" t="str">
        <f>+IF(Tabla2[[#This Row],[FECHA DE PAGO]]&gt;0,"pagada","por pagar")</f>
        <v>pagada</v>
      </c>
      <c r="W1382" s="141" t="str">
        <f>+IF(AND(Tabla2[[#This Row],[venc]]="venc",Tabla2[[#This Row],[Columna1]]="por pagar"),"vencida","no")</f>
        <v>no</v>
      </c>
    </row>
    <row r="1383" spans="1:23" ht="15.6" hidden="1" x14ac:dyDescent="0.3">
      <c r="A1383" s="20">
        <v>60</v>
      </c>
      <c r="B1383" s="25">
        <v>395600</v>
      </c>
      <c r="C1383" s="25"/>
      <c r="D1383" s="56" t="s">
        <v>1482</v>
      </c>
      <c r="E1383" s="426">
        <v>44870</v>
      </c>
      <c r="F1383" s="26" t="s">
        <v>287</v>
      </c>
      <c r="G1383" s="426">
        <v>44841</v>
      </c>
      <c r="H1383" s="35">
        <v>1498</v>
      </c>
      <c r="I1383" s="21">
        <v>303870</v>
      </c>
      <c r="J1383" s="21"/>
      <c r="K1383" s="22">
        <v>0</v>
      </c>
      <c r="L1383" s="23"/>
      <c r="M1383" s="22">
        <v>0</v>
      </c>
      <c r="N1383" s="74">
        <v>0</v>
      </c>
      <c r="O1383" s="22">
        <v>0</v>
      </c>
      <c r="P1383" s="21">
        <v>303870</v>
      </c>
      <c r="S1383" s="108" t="b">
        <f>OR(COUNTIF(Tabla2[[#This Row],[PROVEEDOR]],"*"&amp;'Palabra no opera'!$A$2&amp;"*"))</f>
        <v>0</v>
      </c>
      <c r="T1383" s="139">
        <f>+$W$5-Tabla2[[#This Row],[FECHA DE FACTURACIÓN]]</f>
        <v>450</v>
      </c>
      <c r="U1383" t="str">
        <f>+IF(Tabla2[[#This Row],[dias de credito]]&gt;=Tabla2[[#This Row],[PLAZO Días]],"venc", "No venc")</f>
        <v>venc</v>
      </c>
      <c r="V1383" t="str">
        <f>+IF(Tabla2[[#This Row],[FECHA DE PAGO]]&gt;0,"pagada","por pagar")</f>
        <v>pagada</v>
      </c>
      <c r="W1383" s="141" t="str">
        <f>+IF(AND(Tabla2[[#This Row],[venc]]="venc",Tabla2[[#This Row],[Columna1]]="por pagar"),"vencida","no")</f>
        <v>no</v>
      </c>
    </row>
    <row r="1384" spans="1:23" ht="15.6" hidden="1" x14ac:dyDescent="0.3">
      <c r="A1384" s="20">
        <v>60</v>
      </c>
      <c r="B1384" s="25">
        <v>395600</v>
      </c>
      <c r="C1384" s="25"/>
      <c r="D1384" s="56" t="s">
        <v>1482</v>
      </c>
      <c r="E1384" s="426">
        <v>44870</v>
      </c>
      <c r="F1384" s="26" t="s">
        <v>287</v>
      </c>
      <c r="G1384" s="426">
        <v>44841</v>
      </c>
      <c r="H1384" s="35" t="s">
        <v>1207</v>
      </c>
      <c r="I1384" s="21">
        <v>634582</v>
      </c>
      <c r="J1384" s="21"/>
      <c r="K1384" s="22">
        <v>0</v>
      </c>
      <c r="L1384" s="23"/>
      <c r="M1384" s="22">
        <v>0</v>
      </c>
      <c r="N1384" s="74">
        <v>0</v>
      </c>
      <c r="O1384" s="22">
        <v>0</v>
      </c>
      <c r="P1384" s="21">
        <v>634582</v>
      </c>
      <c r="S1384" s="108" t="b">
        <f>OR(COUNTIF(Tabla2[[#This Row],[PROVEEDOR]],"*"&amp;'Palabra no opera'!$A$2&amp;"*"))</f>
        <v>0</v>
      </c>
      <c r="T1384" s="139">
        <f>+$W$5-Tabla2[[#This Row],[FECHA DE FACTURACIÓN]]</f>
        <v>450</v>
      </c>
      <c r="U1384" t="str">
        <f>+IF(Tabla2[[#This Row],[dias de credito]]&gt;=Tabla2[[#This Row],[PLAZO Días]],"venc", "No venc")</f>
        <v>venc</v>
      </c>
      <c r="V1384" t="str">
        <f>+IF(Tabla2[[#This Row],[FECHA DE PAGO]]&gt;0,"pagada","por pagar")</f>
        <v>pagada</v>
      </c>
      <c r="W1384" s="141" t="str">
        <f>+IF(AND(Tabla2[[#This Row],[venc]]="venc",Tabla2[[#This Row],[Columna1]]="por pagar"),"vencida","no")</f>
        <v>no</v>
      </c>
    </row>
    <row r="1385" spans="1:23" ht="15.6" hidden="1" x14ac:dyDescent="0.3">
      <c r="A1385" s="20">
        <v>60</v>
      </c>
      <c r="B1385" s="25">
        <v>395600</v>
      </c>
      <c r="C1385" s="25"/>
      <c r="D1385" s="56" t="s">
        <v>1482</v>
      </c>
      <c r="E1385" s="426">
        <v>44870</v>
      </c>
      <c r="F1385" s="26" t="s">
        <v>287</v>
      </c>
      <c r="G1385" s="426">
        <v>44832</v>
      </c>
      <c r="H1385" s="35">
        <v>1492</v>
      </c>
      <c r="I1385" s="21">
        <v>243096</v>
      </c>
      <c r="J1385" s="21"/>
      <c r="K1385" s="22">
        <v>0</v>
      </c>
      <c r="L1385" s="23"/>
      <c r="M1385" s="22">
        <v>0</v>
      </c>
      <c r="N1385" s="74">
        <v>0</v>
      </c>
      <c r="O1385" s="22">
        <v>0</v>
      </c>
      <c r="P1385" s="21">
        <v>243096</v>
      </c>
      <c r="S1385" s="108" t="b">
        <f>OR(COUNTIF(Tabla2[[#This Row],[PROVEEDOR]],"*"&amp;'Palabra no opera'!$A$2&amp;"*"))</f>
        <v>0</v>
      </c>
      <c r="T1385" s="139">
        <f>+$W$5-Tabla2[[#This Row],[FECHA DE FACTURACIÓN]]</f>
        <v>459</v>
      </c>
      <c r="U1385" t="str">
        <f>+IF(Tabla2[[#This Row],[dias de credito]]&gt;=Tabla2[[#This Row],[PLAZO Días]],"venc", "No venc")</f>
        <v>venc</v>
      </c>
      <c r="V1385" t="str">
        <f>+IF(Tabla2[[#This Row],[FECHA DE PAGO]]&gt;0,"pagada","por pagar")</f>
        <v>pagada</v>
      </c>
      <c r="W1385" s="141" t="str">
        <f>+IF(AND(Tabla2[[#This Row],[venc]]="venc",Tabla2[[#This Row],[Columna1]]="por pagar"),"vencida","no")</f>
        <v>no</v>
      </c>
    </row>
    <row r="1386" spans="1:23" ht="15.6" hidden="1" x14ac:dyDescent="0.3">
      <c r="A1386" s="20">
        <v>60</v>
      </c>
      <c r="B1386" s="25">
        <v>395600</v>
      </c>
      <c r="C1386" s="25"/>
      <c r="D1386" s="56" t="s">
        <v>1482</v>
      </c>
      <c r="E1386" s="426">
        <v>44870</v>
      </c>
      <c r="F1386" s="26" t="s">
        <v>287</v>
      </c>
      <c r="G1386" s="426">
        <v>44832</v>
      </c>
      <c r="H1386" s="35">
        <v>1491</v>
      </c>
      <c r="I1386" s="21">
        <v>283612</v>
      </c>
      <c r="J1386" s="21"/>
      <c r="K1386" s="22">
        <v>0</v>
      </c>
      <c r="L1386" s="23"/>
      <c r="M1386" s="22">
        <v>0</v>
      </c>
      <c r="N1386" s="74">
        <v>0</v>
      </c>
      <c r="O1386" s="22">
        <v>0</v>
      </c>
      <c r="P1386" s="21">
        <v>283612</v>
      </c>
      <c r="S1386" s="108" t="b">
        <f>OR(COUNTIF(Tabla2[[#This Row],[PROVEEDOR]],"*"&amp;'Palabra no opera'!$A$2&amp;"*"))</f>
        <v>0</v>
      </c>
      <c r="T1386" s="139">
        <f>+$W$5-Tabla2[[#This Row],[FECHA DE FACTURACIÓN]]</f>
        <v>459</v>
      </c>
      <c r="U1386" t="str">
        <f>+IF(Tabla2[[#This Row],[dias de credito]]&gt;=Tabla2[[#This Row],[PLAZO Días]],"venc", "No venc")</f>
        <v>venc</v>
      </c>
      <c r="V1386" t="str">
        <f>+IF(Tabla2[[#This Row],[FECHA DE PAGO]]&gt;0,"pagada","por pagar")</f>
        <v>pagada</v>
      </c>
      <c r="W1386" s="141" t="str">
        <f>+IF(AND(Tabla2[[#This Row],[venc]]="venc",Tabla2[[#This Row],[Columna1]]="por pagar"),"vencida","no")</f>
        <v>no</v>
      </c>
    </row>
    <row r="1387" spans="1:23" ht="15.6" hidden="1" x14ac:dyDescent="0.3">
      <c r="A1387" s="20">
        <v>60</v>
      </c>
      <c r="B1387" s="25">
        <v>395600</v>
      </c>
      <c r="C1387" s="25"/>
      <c r="D1387" s="56" t="s">
        <v>1482</v>
      </c>
      <c r="E1387" s="426">
        <v>44870</v>
      </c>
      <c r="F1387" s="26" t="s">
        <v>287</v>
      </c>
      <c r="G1387" s="426">
        <v>44824</v>
      </c>
      <c r="H1387" s="35">
        <v>1483</v>
      </c>
      <c r="I1387" s="21">
        <v>263354</v>
      </c>
      <c r="J1387" s="21"/>
      <c r="K1387" s="22">
        <v>0</v>
      </c>
      <c r="L1387" s="23"/>
      <c r="M1387" s="22">
        <v>0</v>
      </c>
      <c r="N1387" s="74">
        <v>0</v>
      </c>
      <c r="O1387" s="22">
        <v>0</v>
      </c>
      <c r="P1387" s="21">
        <v>263354</v>
      </c>
      <c r="S1387" s="108" t="b">
        <f>OR(COUNTIF(Tabla2[[#This Row],[PROVEEDOR]],"*"&amp;'Palabra no opera'!$A$2&amp;"*"))</f>
        <v>0</v>
      </c>
      <c r="T1387" s="139">
        <f>+$W$5-Tabla2[[#This Row],[FECHA DE FACTURACIÓN]]</f>
        <v>467</v>
      </c>
      <c r="U1387" t="str">
        <f>+IF(Tabla2[[#This Row],[dias de credito]]&gt;=Tabla2[[#This Row],[PLAZO Días]],"venc", "No venc")</f>
        <v>venc</v>
      </c>
      <c r="V1387" t="str">
        <f>+IF(Tabla2[[#This Row],[FECHA DE PAGO]]&gt;0,"pagada","por pagar")</f>
        <v>pagada</v>
      </c>
      <c r="W1387" s="141" t="str">
        <f>+IF(AND(Tabla2[[#This Row],[venc]]="venc",Tabla2[[#This Row],[Columna1]]="por pagar"),"vencida","no")</f>
        <v>no</v>
      </c>
    </row>
    <row r="1388" spans="1:23" ht="15.6" hidden="1" x14ac:dyDescent="0.3">
      <c r="A1388" s="20">
        <v>60</v>
      </c>
      <c r="B1388" s="25">
        <v>395600</v>
      </c>
      <c r="C1388" s="25"/>
      <c r="D1388" s="56" t="s">
        <v>1482</v>
      </c>
      <c r="E1388" s="426">
        <v>44870</v>
      </c>
      <c r="F1388" s="26" t="s">
        <v>287</v>
      </c>
      <c r="G1388" s="426">
        <v>44824</v>
      </c>
      <c r="H1388" s="35">
        <v>1487</v>
      </c>
      <c r="I1388" s="21">
        <v>465934</v>
      </c>
      <c r="J1388" s="21"/>
      <c r="K1388" s="22">
        <v>0</v>
      </c>
      <c r="L1388" s="23"/>
      <c r="M1388" s="22">
        <v>0</v>
      </c>
      <c r="N1388" s="74">
        <v>0</v>
      </c>
      <c r="O1388" s="22">
        <v>0</v>
      </c>
      <c r="P1388" s="21">
        <v>465934</v>
      </c>
      <c r="S1388" s="108" t="b">
        <f>OR(COUNTIF(Tabla2[[#This Row],[PROVEEDOR]],"*"&amp;'Palabra no opera'!$A$2&amp;"*"))</f>
        <v>0</v>
      </c>
      <c r="T1388" s="139">
        <f>+$W$5-Tabla2[[#This Row],[FECHA DE FACTURACIÓN]]</f>
        <v>467</v>
      </c>
      <c r="U1388" t="str">
        <f>+IF(Tabla2[[#This Row],[dias de credito]]&gt;=Tabla2[[#This Row],[PLAZO Días]],"venc", "No venc")</f>
        <v>venc</v>
      </c>
      <c r="V1388" t="str">
        <f>+IF(Tabla2[[#This Row],[FECHA DE PAGO]]&gt;0,"pagada","por pagar")</f>
        <v>pagada</v>
      </c>
      <c r="W1388" s="141" t="str">
        <f>+IF(AND(Tabla2[[#This Row],[venc]]="venc",Tabla2[[#This Row],[Columna1]]="por pagar"),"vencida","no")</f>
        <v>no</v>
      </c>
    </row>
    <row r="1389" spans="1:23" ht="15.6" hidden="1" x14ac:dyDescent="0.3">
      <c r="A1389" s="20">
        <v>30</v>
      </c>
      <c r="B1389" s="25">
        <v>0</v>
      </c>
      <c r="C1389" s="25"/>
      <c r="D1389" s="56"/>
      <c r="E1389" s="426">
        <v>44869</v>
      </c>
      <c r="F1389" s="26" t="s">
        <v>1194</v>
      </c>
      <c r="G1389" s="426">
        <v>44868</v>
      </c>
      <c r="H1389" s="35" t="s">
        <v>1252</v>
      </c>
      <c r="I1389" s="21">
        <v>840000</v>
      </c>
      <c r="J1389" s="21"/>
      <c r="K1389" s="22">
        <v>0</v>
      </c>
      <c r="L1389" s="23"/>
      <c r="M1389" s="22">
        <v>0</v>
      </c>
      <c r="N1389" s="74">
        <v>0</v>
      </c>
      <c r="O1389" s="22">
        <v>0</v>
      </c>
      <c r="P1389" s="21">
        <v>840000</v>
      </c>
      <c r="S1389" s="108" t="b">
        <f>OR(COUNTIF(Tabla2[[#This Row],[PROVEEDOR]],"*"&amp;'Palabra no opera'!$A$2&amp;"*"))</f>
        <v>0</v>
      </c>
      <c r="T1389" s="139">
        <f>+$W$5-Tabla2[[#This Row],[FECHA DE FACTURACIÓN]]</f>
        <v>423</v>
      </c>
      <c r="U1389" t="str">
        <f>+IF(Tabla2[[#This Row],[dias de credito]]&gt;=Tabla2[[#This Row],[PLAZO Días]],"venc", "No venc")</f>
        <v>venc</v>
      </c>
      <c r="V1389" t="str">
        <f>+IF(Tabla2[[#This Row],[FECHA DE PAGO]]&gt;0,"pagada","por pagar")</f>
        <v>pagada</v>
      </c>
      <c r="W1389" s="141" t="str">
        <f>+IF(AND(Tabla2[[#This Row],[venc]]="venc",Tabla2[[#This Row],[Columna1]]="por pagar"),"vencida","no")</f>
        <v>no</v>
      </c>
    </row>
    <row r="1390" spans="1:23" ht="15.6" hidden="1" x14ac:dyDescent="0.3">
      <c r="A1390" s="20">
        <v>30</v>
      </c>
      <c r="B1390" s="25">
        <v>0</v>
      </c>
      <c r="C1390" s="25"/>
      <c r="D1390" s="56" t="s">
        <v>107</v>
      </c>
      <c r="E1390" s="426">
        <v>44869</v>
      </c>
      <c r="F1390" s="26" t="s">
        <v>404</v>
      </c>
      <c r="G1390" s="426">
        <v>44868</v>
      </c>
      <c r="H1390" s="35" t="s">
        <v>1253</v>
      </c>
      <c r="I1390" s="21">
        <v>6460000</v>
      </c>
      <c r="J1390" s="21"/>
      <c r="K1390" s="22">
        <v>0</v>
      </c>
      <c r="L1390" s="23"/>
      <c r="M1390" s="22">
        <v>0</v>
      </c>
      <c r="N1390" s="74">
        <v>0</v>
      </c>
      <c r="O1390" s="22">
        <v>0</v>
      </c>
      <c r="P1390" s="21">
        <v>6460000</v>
      </c>
      <c r="S1390" s="108" t="b">
        <f>OR(COUNTIF(Tabla2[[#This Row],[PROVEEDOR]],"*"&amp;'Palabra no opera'!$A$2&amp;"*"))</f>
        <v>0</v>
      </c>
      <c r="T1390" s="139">
        <f>+$W$5-Tabla2[[#This Row],[FECHA DE FACTURACIÓN]]</f>
        <v>423</v>
      </c>
      <c r="U1390" t="str">
        <f>+IF(Tabla2[[#This Row],[dias de credito]]&gt;=Tabla2[[#This Row],[PLAZO Días]],"venc", "No venc")</f>
        <v>venc</v>
      </c>
      <c r="V1390" t="str">
        <f>+IF(Tabla2[[#This Row],[FECHA DE PAGO]]&gt;0,"pagada","por pagar")</f>
        <v>pagada</v>
      </c>
      <c r="W1390" s="141" t="str">
        <f>+IF(AND(Tabla2[[#This Row],[venc]]="venc",Tabla2[[#This Row],[Columna1]]="por pagar"),"vencida","no")</f>
        <v>no</v>
      </c>
    </row>
    <row r="1391" spans="1:23" ht="15.6" hidden="1" x14ac:dyDescent="0.3">
      <c r="A1391" s="20">
        <v>30</v>
      </c>
      <c r="B1391" s="25">
        <v>0</v>
      </c>
      <c r="C1391" s="25"/>
      <c r="D1391" s="56" t="s">
        <v>237</v>
      </c>
      <c r="E1391" s="426">
        <v>44869</v>
      </c>
      <c r="F1391" s="26" t="s">
        <v>56</v>
      </c>
      <c r="G1391" s="426">
        <v>44868</v>
      </c>
      <c r="H1391" s="35" t="s">
        <v>1246</v>
      </c>
      <c r="I1391" s="21">
        <v>548708</v>
      </c>
      <c r="J1391" s="21"/>
      <c r="K1391" s="22"/>
      <c r="L1391" s="23"/>
      <c r="M1391" s="22">
        <v>0</v>
      </c>
      <c r="N1391" s="74">
        <v>0</v>
      </c>
      <c r="O1391" s="22">
        <v>0</v>
      </c>
      <c r="P1391" s="21">
        <v>548708</v>
      </c>
      <c r="S1391" s="108" t="b">
        <f>OR(COUNTIF(Tabla2[[#This Row],[PROVEEDOR]],"*"&amp;'Palabra no opera'!$A$2&amp;"*"))</f>
        <v>0</v>
      </c>
      <c r="T1391" s="139">
        <f>+$W$5-Tabla2[[#This Row],[FECHA DE FACTURACIÓN]]</f>
        <v>423</v>
      </c>
      <c r="U1391" t="str">
        <f>+IF(Tabla2[[#This Row],[dias de credito]]&gt;=Tabla2[[#This Row],[PLAZO Días]],"venc", "No venc")</f>
        <v>venc</v>
      </c>
      <c r="V1391" t="str">
        <f>+IF(Tabla2[[#This Row],[FECHA DE PAGO]]&gt;0,"pagada","por pagar")</f>
        <v>pagada</v>
      </c>
      <c r="W1391" s="141" t="str">
        <f>+IF(AND(Tabla2[[#This Row],[venc]]="venc",Tabla2[[#This Row],[Columna1]]="por pagar"),"vencida","no")</f>
        <v>no</v>
      </c>
    </row>
    <row r="1392" spans="1:23" ht="15.6" hidden="1" x14ac:dyDescent="0.3">
      <c r="A1392" s="20">
        <v>30</v>
      </c>
      <c r="B1392" s="25">
        <v>0</v>
      </c>
      <c r="C1392" s="25"/>
      <c r="D1392" s="56" t="s">
        <v>843</v>
      </c>
      <c r="E1392" s="426">
        <v>44869</v>
      </c>
      <c r="F1392" s="26" t="s">
        <v>809</v>
      </c>
      <c r="G1392" s="426">
        <v>44819</v>
      </c>
      <c r="H1392" s="35" t="s">
        <v>1226</v>
      </c>
      <c r="I1392" s="21">
        <v>782000</v>
      </c>
      <c r="J1392" s="21"/>
      <c r="K1392" s="22">
        <v>148580</v>
      </c>
      <c r="L1392" s="23"/>
      <c r="M1392" s="22">
        <v>0</v>
      </c>
      <c r="N1392" s="74">
        <v>0</v>
      </c>
      <c r="O1392" s="22">
        <v>0</v>
      </c>
      <c r="P1392" s="21">
        <v>930580</v>
      </c>
      <c r="S1392" s="108" t="b">
        <f>OR(COUNTIF(Tabla2[[#This Row],[PROVEEDOR]],"*"&amp;'Palabra no opera'!$A$2&amp;"*"))</f>
        <v>0</v>
      </c>
      <c r="T1392" s="139">
        <f>+$W$5-Tabla2[[#This Row],[FECHA DE FACTURACIÓN]]</f>
        <v>472</v>
      </c>
      <c r="U1392" t="str">
        <f>+IF(Tabla2[[#This Row],[dias de credito]]&gt;=Tabla2[[#This Row],[PLAZO Días]],"venc", "No venc")</f>
        <v>venc</v>
      </c>
      <c r="V1392" t="str">
        <f>+IF(Tabla2[[#This Row],[FECHA DE PAGO]]&gt;0,"pagada","por pagar")</f>
        <v>pagada</v>
      </c>
      <c r="W1392" s="141" t="str">
        <f>+IF(AND(Tabla2[[#This Row],[venc]]="venc",Tabla2[[#This Row],[Columna1]]="por pagar"),"vencida","no")</f>
        <v>no</v>
      </c>
    </row>
    <row r="1393" spans="1:23" ht="15.6" hidden="1" x14ac:dyDescent="0.3">
      <c r="A1393" s="20">
        <v>30</v>
      </c>
      <c r="B1393" s="25">
        <v>1034000.52</v>
      </c>
      <c r="C1393" s="25"/>
      <c r="D1393" s="56" t="s">
        <v>177</v>
      </c>
      <c r="E1393" s="426">
        <v>44869</v>
      </c>
      <c r="F1393" s="26" t="s">
        <v>168</v>
      </c>
      <c r="G1393" s="426">
        <v>44819</v>
      </c>
      <c r="H1393" s="35" t="s">
        <v>1104</v>
      </c>
      <c r="I1393" s="21">
        <v>364706</v>
      </c>
      <c r="J1393" s="21"/>
      <c r="K1393" s="22">
        <v>69294.14</v>
      </c>
      <c r="L1393" s="23"/>
      <c r="M1393" s="22">
        <v>0</v>
      </c>
      <c r="N1393" s="74">
        <v>0</v>
      </c>
      <c r="O1393" s="22">
        <v>0</v>
      </c>
      <c r="P1393" s="21">
        <v>434000.14</v>
      </c>
      <c r="S1393" s="108" t="b">
        <f>OR(COUNTIF(Tabla2[[#This Row],[PROVEEDOR]],"*"&amp;'Palabra no opera'!$A$2&amp;"*"))</f>
        <v>0</v>
      </c>
      <c r="T1393" s="139">
        <f>+$W$5-Tabla2[[#This Row],[FECHA DE FACTURACIÓN]]</f>
        <v>472</v>
      </c>
      <c r="U1393" t="str">
        <f>+IF(Tabla2[[#This Row],[dias de credito]]&gt;=Tabla2[[#This Row],[PLAZO Días]],"venc", "No venc")</f>
        <v>venc</v>
      </c>
      <c r="V1393" t="str">
        <f>+IF(Tabla2[[#This Row],[FECHA DE PAGO]]&gt;0,"pagada","por pagar")</f>
        <v>pagada</v>
      </c>
      <c r="W1393" s="141" t="str">
        <f>+IF(AND(Tabla2[[#This Row],[venc]]="venc",Tabla2[[#This Row],[Columna1]]="por pagar"),"vencida","no")</f>
        <v>no</v>
      </c>
    </row>
    <row r="1394" spans="1:23" ht="15.6" hidden="1" x14ac:dyDescent="0.3">
      <c r="A1394" s="20">
        <v>30</v>
      </c>
      <c r="B1394" s="25">
        <v>0</v>
      </c>
      <c r="C1394" s="25"/>
      <c r="D1394" s="56" t="s">
        <v>858</v>
      </c>
      <c r="E1394" s="426">
        <v>44869</v>
      </c>
      <c r="F1394" s="26" t="s">
        <v>857</v>
      </c>
      <c r="G1394" s="426">
        <v>44781</v>
      </c>
      <c r="H1394" s="35" t="s">
        <v>878</v>
      </c>
      <c r="I1394" s="21">
        <v>554622</v>
      </c>
      <c r="J1394" s="21"/>
      <c r="K1394" s="22">
        <v>105378.18000000001</v>
      </c>
      <c r="L1394" s="23"/>
      <c r="M1394" s="22">
        <v>0</v>
      </c>
      <c r="N1394" s="74">
        <v>0</v>
      </c>
      <c r="O1394" s="22">
        <v>0</v>
      </c>
      <c r="P1394" s="21">
        <v>660000.18000000005</v>
      </c>
      <c r="S1394" s="108" t="b">
        <f>OR(COUNTIF(Tabla2[[#This Row],[PROVEEDOR]],"*"&amp;'Palabra no opera'!$A$2&amp;"*"))</f>
        <v>0</v>
      </c>
      <c r="T1394" s="139">
        <f>+$W$5-Tabla2[[#This Row],[FECHA DE FACTURACIÓN]]</f>
        <v>510</v>
      </c>
      <c r="U1394" t="str">
        <f>+IF(Tabla2[[#This Row],[dias de credito]]&gt;=Tabla2[[#This Row],[PLAZO Días]],"venc", "No venc")</f>
        <v>venc</v>
      </c>
      <c r="V1394" t="str">
        <f>+IF(Tabla2[[#This Row],[FECHA DE PAGO]]&gt;0,"pagada","por pagar")</f>
        <v>pagada</v>
      </c>
      <c r="W1394" s="141" t="str">
        <f>+IF(AND(Tabla2[[#This Row],[venc]]="venc",Tabla2[[#This Row],[Columna1]]="por pagar"),"vencida","no")</f>
        <v>no</v>
      </c>
    </row>
    <row r="1395" spans="1:23" ht="15.6" hidden="1" x14ac:dyDescent="0.3">
      <c r="A1395" s="20">
        <v>30</v>
      </c>
      <c r="B1395" s="25">
        <v>559000</v>
      </c>
      <c r="C1395" s="25"/>
      <c r="D1395" s="56" t="s">
        <v>107</v>
      </c>
      <c r="E1395" s="426">
        <v>44867</v>
      </c>
      <c r="F1395" s="26" t="s">
        <v>1133</v>
      </c>
      <c r="G1395" s="426">
        <v>44867</v>
      </c>
      <c r="H1395" s="35" t="s">
        <v>1266</v>
      </c>
      <c r="I1395" s="21">
        <v>240000</v>
      </c>
      <c r="J1395" s="21"/>
      <c r="K1395" s="22">
        <v>0</v>
      </c>
      <c r="L1395" s="23"/>
      <c r="M1395" s="22">
        <v>0</v>
      </c>
      <c r="N1395" s="74">
        <v>0</v>
      </c>
      <c r="O1395" s="22">
        <v>0</v>
      </c>
      <c r="P1395" s="21">
        <v>240000</v>
      </c>
      <c r="S1395" s="108" t="b">
        <f>OR(COUNTIF(Tabla2[[#This Row],[PROVEEDOR]],"*"&amp;'Palabra no opera'!$A$2&amp;"*"))</f>
        <v>0</v>
      </c>
      <c r="T1395" s="139">
        <f>+$W$5-Tabla2[[#This Row],[FECHA DE FACTURACIÓN]]</f>
        <v>424</v>
      </c>
      <c r="U1395" t="str">
        <f>+IF(Tabla2[[#This Row],[dias de credito]]&gt;=Tabla2[[#This Row],[PLAZO Días]],"venc", "No venc")</f>
        <v>venc</v>
      </c>
      <c r="V1395" t="str">
        <f>+IF(Tabla2[[#This Row],[FECHA DE PAGO]]&gt;0,"pagada","por pagar")</f>
        <v>pagada</v>
      </c>
      <c r="W1395" s="141" t="str">
        <f>+IF(AND(Tabla2[[#This Row],[venc]]="venc",Tabla2[[#This Row],[Columna1]]="por pagar"),"vencida","no")</f>
        <v>no</v>
      </c>
    </row>
    <row r="1396" spans="1:23" ht="15.6" hidden="1" x14ac:dyDescent="0.3">
      <c r="A1396" s="20">
        <v>30</v>
      </c>
      <c r="B1396" s="25">
        <v>559000</v>
      </c>
      <c r="C1396" s="25"/>
      <c r="D1396" s="56" t="s">
        <v>107</v>
      </c>
      <c r="E1396" s="426">
        <v>44867</v>
      </c>
      <c r="F1396" s="26" t="s">
        <v>1133</v>
      </c>
      <c r="G1396" s="426">
        <v>44867</v>
      </c>
      <c r="H1396" s="35" t="s">
        <v>1268</v>
      </c>
      <c r="I1396" s="21">
        <v>630000</v>
      </c>
      <c r="J1396" s="21"/>
      <c r="K1396" s="22">
        <v>0</v>
      </c>
      <c r="L1396" s="23"/>
      <c r="M1396" s="22">
        <v>0</v>
      </c>
      <c r="N1396" s="74">
        <v>0</v>
      </c>
      <c r="O1396" s="22">
        <v>0</v>
      </c>
      <c r="P1396" s="21">
        <v>630000</v>
      </c>
      <c r="S1396" s="108" t="b">
        <f>OR(COUNTIF(Tabla2[[#This Row],[PROVEEDOR]],"*"&amp;'Palabra no opera'!$A$2&amp;"*"))</f>
        <v>0</v>
      </c>
      <c r="T1396" s="139">
        <f>+$W$5-Tabla2[[#This Row],[FECHA DE FACTURACIÓN]]</f>
        <v>424</v>
      </c>
      <c r="U1396" t="str">
        <f>+IF(Tabla2[[#This Row],[dias de credito]]&gt;=Tabla2[[#This Row],[PLAZO Días]],"venc", "No venc")</f>
        <v>venc</v>
      </c>
      <c r="V1396" t="str">
        <f>+IF(Tabla2[[#This Row],[FECHA DE PAGO]]&gt;0,"pagada","por pagar")</f>
        <v>pagada</v>
      </c>
      <c r="W1396" s="141" t="str">
        <f>+IF(AND(Tabla2[[#This Row],[venc]]="venc",Tabla2[[#This Row],[Columna1]]="por pagar"),"vencida","no")</f>
        <v>no</v>
      </c>
    </row>
    <row r="1397" spans="1:23" ht="15.6" hidden="1" x14ac:dyDescent="0.3">
      <c r="A1397" s="20">
        <v>30</v>
      </c>
      <c r="B1397" s="25">
        <v>17870934.149999999</v>
      </c>
      <c r="C1397" s="25"/>
      <c r="D1397" s="56" t="s">
        <v>182</v>
      </c>
      <c r="E1397" s="426">
        <v>44867</v>
      </c>
      <c r="F1397" s="26" t="s">
        <v>18</v>
      </c>
      <c r="G1397" s="426">
        <v>44834</v>
      </c>
      <c r="H1397" s="35" t="s">
        <v>1188</v>
      </c>
      <c r="I1397" s="21">
        <v>2262854</v>
      </c>
      <c r="J1397" s="21"/>
      <c r="K1397" s="22">
        <v>429942.26</v>
      </c>
      <c r="L1397" s="23"/>
      <c r="M1397" s="22">
        <v>0</v>
      </c>
      <c r="N1397" s="74">
        <v>2.5000000000000001E-2</v>
      </c>
      <c r="O1397" s="22">
        <v>56571.350000000006</v>
      </c>
      <c r="P1397" s="21">
        <v>2636224.9099999997</v>
      </c>
      <c r="S1397" s="108" t="b">
        <f>OR(COUNTIF(Tabla2[[#This Row],[PROVEEDOR]],"*"&amp;'Palabra no opera'!$A$2&amp;"*"))</f>
        <v>0</v>
      </c>
      <c r="T1397" s="139">
        <f>+$W$5-Tabla2[[#This Row],[FECHA DE FACTURACIÓN]]</f>
        <v>457</v>
      </c>
      <c r="U1397" t="str">
        <f>+IF(Tabla2[[#This Row],[dias de credito]]&gt;=Tabla2[[#This Row],[PLAZO Días]],"venc", "No venc")</f>
        <v>venc</v>
      </c>
      <c r="V1397" t="str">
        <f>+IF(Tabla2[[#This Row],[FECHA DE PAGO]]&gt;0,"pagada","por pagar")</f>
        <v>pagada</v>
      </c>
      <c r="W1397" s="141" t="str">
        <f>+IF(AND(Tabla2[[#This Row],[venc]]="venc",Tabla2[[#This Row],[Columna1]]="por pagar"),"vencida","no")</f>
        <v>no</v>
      </c>
    </row>
    <row r="1398" spans="1:23" ht="15.6" hidden="1" x14ac:dyDescent="0.3">
      <c r="A1398" s="20">
        <v>30</v>
      </c>
      <c r="B1398" s="25">
        <v>342000</v>
      </c>
      <c r="C1398" s="25"/>
      <c r="D1398" s="56" t="s">
        <v>107</v>
      </c>
      <c r="E1398" s="426">
        <v>44867</v>
      </c>
      <c r="F1398" s="26" t="s">
        <v>1159</v>
      </c>
      <c r="G1398" s="426">
        <v>44833</v>
      </c>
      <c r="H1398" s="35" t="s">
        <v>1160</v>
      </c>
      <c r="I1398" s="21">
        <v>527800</v>
      </c>
      <c r="J1398" s="21"/>
      <c r="K1398" s="22">
        <v>0</v>
      </c>
      <c r="L1398" s="23"/>
      <c r="M1398" s="22">
        <v>0</v>
      </c>
      <c r="N1398" s="74">
        <v>0</v>
      </c>
      <c r="O1398" s="22">
        <v>0</v>
      </c>
      <c r="P1398" s="21">
        <v>527800</v>
      </c>
      <c r="S1398" s="108" t="b">
        <f>OR(COUNTIF(Tabla2[[#This Row],[PROVEEDOR]],"*"&amp;'Palabra no opera'!$A$2&amp;"*"))</f>
        <v>0</v>
      </c>
      <c r="T1398" s="139">
        <f>+$W$5-Tabla2[[#This Row],[FECHA DE FACTURACIÓN]]</f>
        <v>458</v>
      </c>
      <c r="U1398" t="str">
        <f>+IF(Tabla2[[#This Row],[dias de credito]]&gt;=Tabla2[[#This Row],[PLAZO Días]],"venc", "No venc")</f>
        <v>venc</v>
      </c>
      <c r="V1398" t="str">
        <f>+IF(Tabla2[[#This Row],[FECHA DE PAGO]]&gt;0,"pagada","por pagar")</f>
        <v>pagada</v>
      </c>
      <c r="W1398" s="141" t="str">
        <f>+IF(AND(Tabla2[[#This Row],[venc]]="venc",Tabla2[[#This Row],[Columna1]]="por pagar"),"vencida","no")</f>
        <v>no</v>
      </c>
    </row>
    <row r="1399" spans="1:23" ht="15.6" hidden="1" x14ac:dyDescent="0.3">
      <c r="A1399" s="20">
        <v>30</v>
      </c>
      <c r="B1399" s="25">
        <v>10321993.199999999</v>
      </c>
      <c r="C1399" s="25"/>
      <c r="D1399" s="56" t="s">
        <v>189</v>
      </c>
      <c r="E1399" s="426">
        <v>44867</v>
      </c>
      <c r="F1399" s="26" t="s">
        <v>1068</v>
      </c>
      <c r="G1399" s="426">
        <v>44831</v>
      </c>
      <c r="H1399" s="35">
        <v>27542</v>
      </c>
      <c r="I1399" s="21">
        <v>1044000</v>
      </c>
      <c r="J1399" s="21"/>
      <c r="K1399" s="22">
        <v>198360</v>
      </c>
      <c r="L1399" s="23"/>
      <c r="M1399" s="22">
        <v>0</v>
      </c>
      <c r="N1399" s="74">
        <v>2.5000000000000001E-2</v>
      </c>
      <c r="O1399" s="22">
        <v>26100</v>
      </c>
      <c r="P1399" s="21">
        <v>1216260</v>
      </c>
      <c r="S1399" s="108" t="b">
        <f>OR(COUNTIF(Tabla2[[#This Row],[PROVEEDOR]],"*"&amp;'Palabra no opera'!$A$2&amp;"*"))</f>
        <v>0</v>
      </c>
      <c r="T1399" s="139">
        <f>+$W$5-Tabla2[[#This Row],[FECHA DE FACTURACIÓN]]</f>
        <v>460</v>
      </c>
      <c r="U1399" t="str">
        <f>+IF(Tabla2[[#This Row],[dias de credito]]&gt;=Tabla2[[#This Row],[PLAZO Días]],"venc", "No venc")</f>
        <v>venc</v>
      </c>
      <c r="V1399" t="str">
        <f>+IF(Tabla2[[#This Row],[FECHA DE PAGO]]&gt;0,"pagada","por pagar")</f>
        <v>pagada</v>
      </c>
      <c r="W1399" s="141" t="str">
        <f>+IF(AND(Tabla2[[#This Row],[venc]]="venc",Tabla2[[#This Row],[Columna1]]="por pagar"),"vencida","no")</f>
        <v>no</v>
      </c>
    </row>
    <row r="1400" spans="1:23" ht="15.6" hidden="1" x14ac:dyDescent="0.3">
      <c r="A1400" s="20">
        <v>30</v>
      </c>
      <c r="B1400" s="25">
        <v>0</v>
      </c>
      <c r="C1400" s="25"/>
      <c r="D1400" s="56" t="s">
        <v>107</v>
      </c>
      <c r="E1400" s="426">
        <v>44867</v>
      </c>
      <c r="F1400" s="26" t="s">
        <v>401</v>
      </c>
      <c r="G1400" s="426">
        <v>44828</v>
      </c>
      <c r="H1400" s="35" t="s">
        <v>1127</v>
      </c>
      <c r="I1400" s="21">
        <v>1580500</v>
      </c>
      <c r="J1400" s="21"/>
      <c r="K1400" s="22">
        <v>0</v>
      </c>
      <c r="L1400" s="23"/>
      <c r="M1400" s="22">
        <v>0</v>
      </c>
      <c r="N1400" s="74">
        <v>0</v>
      </c>
      <c r="O1400" s="22">
        <v>0</v>
      </c>
      <c r="P1400" s="21">
        <v>1580500</v>
      </c>
      <c r="S1400" s="108" t="b">
        <f>OR(COUNTIF(Tabla2[[#This Row],[PROVEEDOR]],"*"&amp;'Palabra no opera'!$A$2&amp;"*"))</f>
        <v>0</v>
      </c>
      <c r="T1400" s="139">
        <f>+$W$5-Tabla2[[#This Row],[FECHA DE FACTURACIÓN]]</f>
        <v>463</v>
      </c>
      <c r="U1400" t="str">
        <f>+IF(Tabla2[[#This Row],[dias de credito]]&gt;=Tabla2[[#This Row],[PLAZO Días]],"venc", "No venc")</f>
        <v>venc</v>
      </c>
      <c r="V1400" t="str">
        <f>+IF(Tabla2[[#This Row],[FECHA DE PAGO]]&gt;0,"pagada","por pagar")</f>
        <v>pagada</v>
      </c>
      <c r="W1400" s="141" t="str">
        <f>+IF(AND(Tabla2[[#This Row],[venc]]="venc",Tabla2[[#This Row],[Columna1]]="por pagar"),"vencida","no")</f>
        <v>no</v>
      </c>
    </row>
    <row r="1401" spans="1:23" ht="15.6" hidden="1" x14ac:dyDescent="0.3">
      <c r="A1401" s="20">
        <v>30</v>
      </c>
      <c r="B1401" s="25">
        <v>2100000</v>
      </c>
      <c r="C1401" s="25"/>
      <c r="D1401" s="56" t="s">
        <v>107</v>
      </c>
      <c r="E1401" s="426">
        <v>44867</v>
      </c>
      <c r="F1401" s="26" t="s">
        <v>349</v>
      </c>
      <c r="G1401" s="426">
        <v>44826</v>
      </c>
      <c r="H1401" s="35" t="s">
        <v>1131</v>
      </c>
      <c r="I1401" s="21">
        <v>324128</v>
      </c>
      <c r="J1401" s="21"/>
      <c r="K1401" s="22">
        <v>0</v>
      </c>
      <c r="L1401" s="23"/>
      <c r="M1401" s="22">
        <v>0</v>
      </c>
      <c r="N1401" s="74">
        <v>0</v>
      </c>
      <c r="O1401" s="22">
        <v>0</v>
      </c>
      <c r="P1401" s="21">
        <v>324128</v>
      </c>
      <c r="S1401" s="108" t="b">
        <f>OR(COUNTIF(Tabla2[[#This Row],[PROVEEDOR]],"*"&amp;'Palabra no opera'!$A$2&amp;"*"))</f>
        <v>0</v>
      </c>
      <c r="T1401" s="139">
        <f>+$W$5-Tabla2[[#This Row],[FECHA DE FACTURACIÓN]]</f>
        <v>465</v>
      </c>
      <c r="U1401" t="str">
        <f>+IF(Tabla2[[#This Row],[dias de credito]]&gt;=Tabla2[[#This Row],[PLAZO Días]],"venc", "No venc")</f>
        <v>venc</v>
      </c>
      <c r="V1401" t="str">
        <f>+IF(Tabla2[[#This Row],[FECHA DE PAGO]]&gt;0,"pagada","por pagar")</f>
        <v>pagada</v>
      </c>
      <c r="W1401" s="141" t="str">
        <f>+IF(AND(Tabla2[[#This Row],[venc]]="venc",Tabla2[[#This Row],[Columna1]]="por pagar"),"vencida","no")</f>
        <v>no</v>
      </c>
    </row>
    <row r="1402" spans="1:23" ht="15.6" hidden="1" x14ac:dyDescent="0.3">
      <c r="A1402" s="20">
        <v>30</v>
      </c>
      <c r="B1402" s="25">
        <v>2100000</v>
      </c>
      <c r="C1402" s="25"/>
      <c r="D1402" s="56" t="s">
        <v>107</v>
      </c>
      <c r="E1402" s="426">
        <v>44867</v>
      </c>
      <c r="F1402" s="26" t="s">
        <v>349</v>
      </c>
      <c r="G1402" s="426">
        <v>44826</v>
      </c>
      <c r="H1402" s="35">
        <v>2209</v>
      </c>
      <c r="I1402" s="21">
        <v>364644</v>
      </c>
      <c r="J1402" s="21"/>
      <c r="K1402" s="22">
        <v>0</v>
      </c>
      <c r="L1402" s="23"/>
      <c r="M1402" s="22">
        <v>0</v>
      </c>
      <c r="N1402" s="74">
        <v>0</v>
      </c>
      <c r="O1402" s="22">
        <v>0</v>
      </c>
      <c r="P1402" s="21">
        <v>364644</v>
      </c>
      <c r="S1402" s="108" t="b">
        <f>OR(COUNTIF(Tabla2[[#This Row],[PROVEEDOR]],"*"&amp;'Palabra no opera'!$A$2&amp;"*"))</f>
        <v>0</v>
      </c>
      <c r="T1402" s="139">
        <f>+$W$5-Tabla2[[#This Row],[FECHA DE FACTURACIÓN]]</f>
        <v>465</v>
      </c>
      <c r="U1402" t="str">
        <f>+IF(Tabla2[[#This Row],[dias de credito]]&gt;=Tabla2[[#This Row],[PLAZO Días]],"venc", "No venc")</f>
        <v>venc</v>
      </c>
      <c r="V1402" t="str">
        <f>+IF(Tabla2[[#This Row],[FECHA DE PAGO]]&gt;0,"pagada","por pagar")</f>
        <v>pagada</v>
      </c>
      <c r="W1402" s="141" t="str">
        <f>+IF(AND(Tabla2[[#This Row],[venc]]="venc",Tabla2[[#This Row],[Columna1]]="por pagar"),"vencida","no")</f>
        <v>no</v>
      </c>
    </row>
    <row r="1403" spans="1:23" ht="15.6" hidden="1" x14ac:dyDescent="0.3">
      <c r="A1403" s="20">
        <v>30</v>
      </c>
      <c r="B1403" s="25">
        <v>17870934.149999999</v>
      </c>
      <c r="C1403" s="25"/>
      <c r="D1403" s="56" t="s">
        <v>182</v>
      </c>
      <c r="E1403" s="426">
        <v>44867</v>
      </c>
      <c r="F1403" s="26" t="s">
        <v>18</v>
      </c>
      <c r="G1403" s="426">
        <v>44826</v>
      </c>
      <c r="H1403" s="35">
        <v>1059481</v>
      </c>
      <c r="I1403" s="21">
        <v>324128</v>
      </c>
      <c r="J1403" s="21"/>
      <c r="K1403" s="22">
        <v>61584.32</v>
      </c>
      <c r="L1403" s="23"/>
      <c r="M1403" s="22">
        <v>0</v>
      </c>
      <c r="N1403" s="74">
        <v>0</v>
      </c>
      <c r="O1403" s="22">
        <v>0</v>
      </c>
      <c r="P1403" s="21">
        <v>385712.32</v>
      </c>
      <c r="S1403" s="108" t="b">
        <f>OR(COUNTIF(Tabla2[[#This Row],[PROVEEDOR]],"*"&amp;'Palabra no opera'!$A$2&amp;"*"))</f>
        <v>0</v>
      </c>
      <c r="T1403" s="139">
        <f>+$W$5-Tabla2[[#This Row],[FECHA DE FACTURACIÓN]]</f>
        <v>465</v>
      </c>
      <c r="U1403" t="str">
        <f>+IF(Tabla2[[#This Row],[dias de credito]]&gt;=Tabla2[[#This Row],[PLAZO Días]],"venc", "No venc")</f>
        <v>venc</v>
      </c>
      <c r="V1403" t="str">
        <f>+IF(Tabla2[[#This Row],[FECHA DE PAGO]]&gt;0,"pagada","por pagar")</f>
        <v>pagada</v>
      </c>
      <c r="W1403" s="141" t="str">
        <f>+IF(AND(Tabla2[[#This Row],[venc]]="venc",Tabla2[[#This Row],[Columna1]]="por pagar"),"vencida","no")</f>
        <v>no</v>
      </c>
    </row>
    <row r="1404" spans="1:23" ht="15.6" hidden="1" x14ac:dyDescent="0.3">
      <c r="A1404" s="20">
        <v>30</v>
      </c>
      <c r="B1404" s="25">
        <v>17870934.149999999</v>
      </c>
      <c r="C1404" s="25"/>
      <c r="D1404" s="56" t="s">
        <v>182</v>
      </c>
      <c r="E1404" s="426">
        <v>44867</v>
      </c>
      <c r="F1404" s="26" t="s">
        <v>18</v>
      </c>
      <c r="G1404" s="426">
        <v>44825</v>
      </c>
      <c r="H1404" s="35">
        <v>1059417</v>
      </c>
      <c r="I1404" s="21">
        <v>708017.10000000009</v>
      </c>
      <c r="J1404" s="21"/>
      <c r="K1404" s="22">
        <v>134523.24900000001</v>
      </c>
      <c r="L1404" s="23"/>
      <c r="M1404" s="22">
        <v>0</v>
      </c>
      <c r="N1404" s="74">
        <v>0</v>
      </c>
      <c r="O1404" s="22">
        <v>0</v>
      </c>
      <c r="P1404" s="21">
        <v>842540.34900000016</v>
      </c>
      <c r="S1404" s="108" t="b">
        <f>OR(COUNTIF(Tabla2[[#This Row],[PROVEEDOR]],"*"&amp;'Palabra no opera'!$A$2&amp;"*"))</f>
        <v>0</v>
      </c>
      <c r="T1404" s="139">
        <f>+$W$5-Tabla2[[#This Row],[FECHA DE FACTURACIÓN]]</f>
        <v>466</v>
      </c>
      <c r="U1404" t="str">
        <f>+IF(Tabla2[[#This Row],[dias de credito]]&gt;=Tabla2[[#This Row],[PLAZO Días]],"venc", "No venc")</f>
        <v>venc</v>
      </c>
      <c r="V1404" t="str">
        <f>+IF(Tabla2[[#This Row],[FECHA DE PAGO]]&gt;0,"pagada","por pagar")</f>
        <v>pagada</v>
      </c>
      <c r="W1404" s="141" t="str">
        <f>+IF(AND(Tabla2[[#This Row],[venc]]="venc",Tabla2[[#This Row],[Columna1]]="por pagar"),"vencida","no")</f>
        <v>no</v>
      </c>
    </row>
    <row r="1405" spans="1:23" ht="15.6" hidden="1" x14ac:dyDescent="0.3">
      <c r="A1405" s="20">
        <v>30</v>
      </c>
      <c r="B1405" s="25">
        <v>2100000</v>
      </c>
      <c r="C1405" s="25"/>
      <c r="D1405" s="56" t="s">
        <v>107</v>
      </c>
      <c r="E1405" s="426">
        <v>44867</v>
      </c>
      <c r="F1405" s="26" t="s">
        <v>349</v>
      </c>
      <c r="G1405" s="426">
        <v>44824</v>
      </c>
      <c r="H1405" s="35" t="s">
        <v>1132</v>
      </c>
      <c r="I1405" s="21">
        <v>303870</v>
      </c>
      <c r="J1405" s="21"/>
      <c r="K1405" s="22">
        <v>0</v>
      </c>
      <c r="L1405" s="23"/>
      <c r="M1405" s="22">
        <v>0</v>
      </c>
      <c r="N1405" s="74">
        <v>0</v>
      </c>
      <c r="O1405" s="22">
        <v>0</v>
      </c>
      <c r="P1405" s="21">
        <v>303870</v>
      </c>
      <c r="S1405" s="108" t="b">
        <f>OR(COUNTIF(Tabla2[[#This Row],[PROVEEDOR]],"*"&amp;'Palabra no opera'!$A$2&amp;"*"))</f>
        <v>0</v>
      </c>
      <c r="T1405" s="139">
        <f>+$W$5-Tabla2[[#This Row],[FECHA DE FACTURACIÓN]]</f>
        <v>467</v>
      </c>
      <c r="U1405" t="str">
        <f>+IF(Tabla2[[#This Row],[dias de credito]]&gt;=Tabla2[[#This Row],[PLAZO Días]],"venc", "No venc")</f>
        <v>venc</v>
      </c>
      <c r="V1405" t="str">
        <f>+IF(Tabla2[[#This Row],[FECHA DE PAGO]]&gt;0,"pagada","por pagar")</f>
        <v>pagada</v>
      </c>
      <c r="W1405" s="141" t="str">
        <f>+IF(AND(Tabla2[[#This Row],[venc]]="venc",Tabla2[[#This Row],[Columna1]]="por pagar"),"vencida","no")</f>
        <v>no</v>
      </c>
    </row>
    <row r="1406" spans="1:23" ht="15.6" hidden="1" x14ac:dyDescent="0.3">
      <c r="A1406" s="20">
        <v>30</v>
      </c>
      <c r="B1406" s="25">
        <v>1125118.8199999998</v>
      </c>
      <c r="C1406" s="25"/>
      <c r="D1406" s="56" t="s">
        <v>431</v>
      </c>
      <c r="E1406" s="426">
        <v>44867</v>
      </c>
      <c r="F1406" s="26" t="s">
        <v>279</v>
      </c>
      <c r="G1406" s="426">
        <v>44824</v>
      </c>
      <c r="H1406" s="35" t="s">
        <v>1126</v>
      </c>
      <c r="I1406" s="21">
        <v>324128</v>
      </c>
      <c r="J1406" s="21"/>
      <c r="K1406" s="22">
        <v>61584.32</v>
      </c>
      <c r="L1406" s="23"/>
      <c r="M1406" s="22">
        <v>0</v>
      </c>
      <c r="N1406" s="74">
        <v>0</v>
      </c>
      <c r="O1406" s="22">
        <v>0</v>
      </c>
      <c r="P1406" s="21">
        <v>385712.32</v>
      </c>
      <c r="S1406" s="108" t="b">
        <f>OR(COUNTIF(Tabla2[[#This Row],[PROVEEDOR]],"*"&amp;'Palabra no opera'!$A$2&amp;"*"))</f>
        <v>0</v>
      </c>
      <c r="T1406" s="139">
        <f>+$W$5-Tabla2[[#This Row],[FECHA DE FACTURACIÓN]]</f>
        <v>467</v>
      </c>
      <c r="U1406" t="str">
        <f>+IF(Tabla2[[#This Row],[dias de credito]]&gt;=Tabla2[[#This Row],[PLAZO Días]],"venc", "No venc")</f>
        <v>venc</v>
      </c>
      <c r="V1406" t="str">
        <f>+IF(Tabla2[[#This Row],[FECHA DE PAGO]]&gt;0,"pagada","por pagar")</f>
        <v>pagada</v>
      </c>
      <c r="W1406" s="141" t="str">
        <f>+IF(AND(Tabla2[[#This Row],[venc]]="venc",Tabla2[[#This Row],[Columna1]]="por pagar"),"vencida","no")</f>
        <v>no</v>
      </c>
    </row>
    <row r="1407" spans="1:23" ht="15.6" hidden="1" x14ac:dyDescent="0.3">
      <c r="A1407" s="20">
        <v>30</v>
      </c>
      <c r="B1407" s="25">
        <v>559000</v>
      </c>
      <c r="C1407" s="25"/>
      <c r="D1407" s="56" t="s">
        <v>107</v>
      </c>
      <c r="E1407" s="426">
        <v>44867</v>
      </c>
      <c r="F1407" s="26" t="s">
        <v>1133</v>
      </c>
      <c r="G1407" s="426">
        <v>44820</v>
      </c>
      <c r="H1407" s="35" t="s">
        <v>1134</v>
      </c>
      <c r="I1407" s="21">
        <v>1942500</v>
      </c>
      <c r="J1407" s="21"/>
      <c r="K1407" s="22">
        <v>0</v>
      </c>
      <c r="L1407" s="23">
        <v>0.34</v>
      </c>
      <c r="M1407" s="22">
        <v>660450</v>
      </c>
      <c r="N1407" s="74">
        <v>0</v>
      </c>
      <c r="O1407" s="22">
        <v>0</v>
      </c>
      <c r="P1407" s="21">
        <v>1282050</v>
      </c>
      <c r="S1407" s="108" t="b">
        <f>OR(COUNTIF(Tabla2[[#This Row],[PROVEEDOR]],"*"&amp;'Palabra no opera'!$A$2&amp;"*"))</f>
        <v>0</v>
      </c>
      <c r="T1407" s="139">
        <f>+$W$5-Tabla2[[#This Row],[FECHA DE FACTURACIÓN]]</f>
        <v>471</v>
      </c>
      <c r="U1407" t="str">
        <f>+IF(Tabla2[[#This Row],[dias de credito]]&gt;=Tabla2[[#This Row],[PLAZO Días]],"venc", "No venc")</f>
        <v>venc</v>
      </c>
      <c r="V1407" t="str">
        <f>+IF(Tabla2[[#This Row],[FECHA DE PAGO]]&gt;0,"pagada","por pagar")</f>
        <v>pagada</v>
      </c>
      <c r="W1407" s="141" t="str">
        <f>+IF(AND(Tabla2[[#This Row],[venc]]="venc",Tabla2[[#This Row],[Columna1]]="por pagar"),"vencida","no")</f>
        <v>no</v>
      </c>
    </row>
    <row r="1408" spans="1:23" ht="15.6" hidden="1" x14ac:dyDescent="0.3">
      <c r="A1408" s="20">
        <v>45</v>
      </c>
      <c r="B1408" s="25">
        <v>8072960</v>
      </c>
      <c r="C1408" s="25"/>
      <c r="D1408" s="56" t="s">
        <v>198</v>
      </c>
      <c r="E1408" s="426">
        <v>44867</v>
      </c>
      <c r="F1408" s="26" t="s">
        <v>10</v>
      </c>
      <c r="G1408" s="426">
        <v>44811</v>
      </c>
      <c r="H1408" s="35" t="s">
        <v>1170</v>
      </c>
      <c r="I1408" s="21">
        <v>1185000</v>
      </c>
      <c r="J1408" s="21"/>
      <c r="K1408" s="22">
        <v>225150</v>
      </c>
      <c r="L1408" s="23"/>
      <c r="M1408" s="22">
        <v>0</v>
      </c>
      <c r="N1408" s="74">
        <v>0</v>
      </c>
      <c r="O1408" s="22">
        <v>0</v>
      </c>
      <c r="P1408" s="21">
        <v>1410150</v>
      </c>
      <c r="S1408" s="108" t="b">
        <f>OR(COUNTIF(Tabla2[[#This Row],[PROVEEDOR]],"*"&amp;'Palabra no opera'!$A$2&amp;"*"))</f>
        <v>0</v>
      </c>
      <c r="T1408" s="139">
        <f>+$W$5-Tabla2[[#This Row],[FECHA DE FACTURACIÓN]]</f>
        <v>480</v>
      </c>
      <c r="U1408" t="str">
        <f>+IF(Tabla2[[#This Row],[dias de credito]]&gt;=Tabla2[[#This Row],[PLAZO Días]],"venc", "No venc")</f>
        <v>venc</v>
      </c>
      <c r="V1408" t="str">
        <f>+IF(Tabla2[[#This Row],[FECHA DE PAGO]]&gt;0,"pagada","por pagar")</f>
        <v>pagada</v>
      </c>
      <c r="W1408" s="141" t="str">
        <f>+IF(AND(Tabla2[[#This Row],[venc]]="venc",Tabla2[[#This Row],[Columna1]]="por pagar"),"vencida","no")</f>
        <v>no</v>
      </c>
    </row>
    <row r="1409" spans="1:23" ht="15.6" hidden="1" x14ac:dyDescent="0.3">
      <c r="A1409" s="20">
        <v>30</v>
      </c>
      <c r="B1409" s="25">
        <v>10321993.199999999</v>
      </c>
      <c r="C1409" s="25"/>
      <c r="D1409" s="56" t="s">
        <v>189</v>
      </c>
      <c r="E1409" s="426">
        <v>44867</v>
      </c>
      <c r="F1409" s="26" t="s">
        <v>1068</v>
      </c>
      <c r="G1409" s="426">
        <v>44800</v>
      </c>
      <c r="H1409" s="35">
        <v>27150</v>
      </c>
      <c r="I1409" s="21">
        <v>414000</v>
      </c>
      <c r="J1409" s="21"/>
      <c r="K1409" s="22">
        <v>78660</v>
      </c>
      <c r="L1409" s="23"/>
      <c r="M1409" s="22">
        <v>0</v>
      </c>
      <c r="N1409" s="74">
        <v>0</v>
      </c>
      <c r="O1409" s="22">
        <v>0</v>
      </c>
      <c r="P1409" s="21">
        <v>492660</v>
      </c>
      <c r="S1409" s="108" t="b">
        <f>OR(COUNTIF(Tabla2[[#This Row],[PROVEEDOR]],"*"&amp;'Palabra no opera'!$A$2&amp;"*"))</f>
        <v>0</v>
      </c>
      <c r="T1409" s="139">
        <f>+$W$5-Tabla2[[#This Row],[FECHA DE FACTURACIÓN]]</f>
        <v>491</v>
      </c>
      <c r="U1409" t="str">
        <f>+IF(Tabla2[[#This Row],[dias de credito]]&gt;=Tabla2[[#This Row],[PLAZO Días]],"venc", "No venc")</f>
        <v>venc</v>
      </c>
      <c r="V1409" t="str">
        <f>+IF(Tabla2[[#This Row],[FECHA DE PAGO]]&gt;0,"pagada","por pagar")</f>
        <v>pagada</v>
      </c>
      <c r="W1409" s="141" t="str">
        <f>+IF(AND(Tabla2[[#This Row],[venc]]="venc",Tabla2[[#This Row],[Columna1]]="por pagar"),"vencida","no")</f>
        <v>no</v>
      </c>
    </row>
    <row r="1410" spans="1:23" ht="15.6" hidden="1" x14ac:dyDescent="0.3">
      <c r="A1410" s="20">
        <v>30</v>
      </c>
      <c r="B1410" s="25">
        <v>10321993.199999999</v>
      </c>
      <c r="C1410" s="25"/>
      <c r="D1410" s="56" t="s">
        <v>189</v>
      </c>
      <c r="E1410" s="426">
        <v>44867</v>
      </c>
      <c r="F1410" s="26" t="s">
        <v>1068</v>
      </c>
      <c r="G1410" s="426">
        <v>44783</v>
      </c>
      <c r="H1410" s="35">
        <v>26977</v>
      </c>
      <c r="I1410" s="21">
        <v>2580000</v>
      </c>
      <c r="J1410" s="21"/>
      <c r="K1410" s="22">
        <v>490200</v>
      </c>
      <c r="L1410" s="23"/>
      <c r="M1410" s="22">
        <v>0</v>
      </c>
      <c r="N1410" s="74">
        <v>2.5000000000000001E-2</v>
      </c>
      <c r="O1410" s="22">
        <v>64500</v>
      </c>
      <c r="P1410" s="21">
        <v>3005700</v>
      </c>
      <c r="S1410" s="108" t="b">
        <f>OR(COUNTIF(Tabla2[[#This Row],[PROVEEDOR]],"*"&amp;'Palabra no opera'!$A$2&amp;"*"))</f>
        <v>0</v>
      </c>
      <c r="T1410" s="139">
        <f>+$W$5-Tabla2[[#This Row],[FECHA DE FACTURACIÓN]]</f>
        <v>508</v>
      </c>
      <c r="U1410" t="str">
        <f>+IF(Tabla2[[#This Row],[dias de credito]]&gt;=Tabla2[[#This Row],[PLAZO Días]],"venc", "No venc")</f>
        <v>venc</v>
      </c>
      <c r="V1410" t="str">
        <f>+IF(Tabla2[[#This Row],[FECHA DE PAGO]]&gt;0,"pagada","por pagar")</f>
        <v>pagada</v>
      </c>
      <c r="W1410" s="141" t="str">
        <f>+IF(AND(Tabla2[[#This Row],[venc]]="venc",Tabla2[[#This Row],[Columna1]]="por pagar"),"vencida","no")</f>
        <v>no</v>
      </c>
    </row>
    <row r="1411" spans="1:23" ht="15.6" hidden="1" x14ac:dyDescent="0.3">
      <c r="A1411" s="20">
        <v>30</v>
      </c>
      <c r="B1411" s="25">
        <v>4282200</v>
      </c>
      <c r="C1411" s="25"/>
      <c r="D1411" s="56" t="s">
        <v>244</v>
      </c>
      <c r="E1411" s="426">
        <v>44867</v>
      </c>
      <c r="F1411" s="26" t="s">
        <v>406</v>
      </c>
      <c r="G1411" s="426">
        <v>44781</v>
      </c>
      <c r="H1411" s="35" t="s">
        <v>953</v>
      </c>
      <c r="I1411" s="21">
        <v>49400</v>
      </c>
      <c r="J1411" s="21"/>
      <c r="K1411" s="22">
        <v>0</v>
      </c>
      <c r="L1411" s="23"/>
      <c r="M1411" s="22">
        <v>0</v>
      </c>
      <c r="N1411" s="74">
        <v>0</v>
      </c>
      <c r="O1411" s="22">
        <v>0</v>
      </c>
      <c r="P1411" s="21">
        <v>49400</v>
      </c>
      <c r="S1411" s="108" t="b">
        <f>OR(COUNTIF(Tabla2[[#This Row],[PROVEEDOR]],"*"&amp;'Palabra no opera'!$A$2&amp;"*"))</f>
        <v>0</v>
      </c>
      <c r="T1411" s="139">
        <f>+$W$5-Tabla2[[#This Row],[FECHA DE FACTURACIÓN]]</f>
        <v>510</v>
      </c>
      <c r="U1411" t="str">
        <f>+IF(Tabla2[[#This Row],[dias de credito]]&gt;=Tabla2[[#This Row],[PLAZO Días]],"venc", "No venc")</f>
        <v>venc</v>
      </c>
      <c r="V1411" t="str">
        <f>+IF(Tabla2[[#This Row],[FECHA DE PAGO]]&gt;0,"pagada","por pagar")</f>
        <v>pagada</v>
      </c>
      <c r="W1411" s="141" t="str">
        <f>+IF(AND(Tabla2[[#This Row],[venc]]="venc",Tabla2[[#This Row],[Columna1]]="por pagar"),"vencida","no")</f>
        <v>no</v>
      </c>
    </row>
    <row r="1412" spans="1:23" ht="15.6" hidden="1" x14ac:dyDescent="0.3">
      <c r="A1412" s="20">
        <v>30</v>
      </c>
      <c r="B1412" s="25">
        <v>4282200</v>
      </c>
      <c r="C1412" s="25"/>
      <c r="D1412" s="56" t="s">
        <v>244</v>
      </c>
      <c r="E1412" s="426">
        <v>44867</v>
      </c>
      <c r="F1412" s="26" t="s">
        <v>406</v>
      </c>
      <c r="G1412" s="426">
        <v>44781</v>
      </c>
      <c r="H1412" s="35" t="s">
        <v>961</v>
      </c>
      <c r="I1412" s="21">
        <v>353500</v>
      </c>
      <c r="J1412" s="21"/>
      <c r="K1412" s="22">
        <v>0</v>
      </c>
      <c r="L1412" s="23"/>
      <c r="M1412" s="22">
        <v>0</v>
      </c>
      <c r="N1412" s="74">
        <v>0</v>
      </c>
      <c r="O1412" s="22">
        <v>0</v>
      </c>
      <c r="P1412" s="21">
        <v>353500</v>
      </c>
      <c r="S1412" s="108" t="b">
        <f>OR(COUNTIF(Tabla2[[#This Row],[PROVEEDOR]],"*"&amp;'Palabra no opera'!$A$2&amp;"*"))</f>
        <v>0</v>
      </c>
      <c r="T1412" s="139">
        <f>+$W$5-Tabla2[[#This Row],[FECHA DE FACTURACIÓN]]</f>
        <v>510</v>
      </c>
      <c r="U1412" t="str">
        <f>+IF(Tabla2[[#This Row],[dias de credito]]&gt;=Tabla2[[#This Row],[PLAZO Días]],"venc", "No venc")</f>
        <v>venc</v>
      </c>
      <c r="V1412" t="str">
        <f>+IF(Tabla2[[#This Row],[FECHA DE PAGO]]&gt;0,"pagada","por pagar")</f>
        <v>pagada</v>
      </c>
      <c r="W1412" s="141" t="str">
        <f>+IF(AND(Tabla2[[#This Row],[venc]]="venc",Tabla2[[#This Row],[Columna1]]="por pagar"),"vencida","no")</f>
        <v>no</v>
      </c>
    </row>
    <row r="1413" spans="1:23" ht="15.6" hidden="1" x14ac:dyDescent="0.3">
      <c r="A1413" s="20">
        <v>30</v>
      </c>
      <c r="B1413" s="25">
        <v>4282200</v>
      </c>
      <c r="C1413" s="25"/>
      <c r="D1413" s="56" t="s">
        <v>244</v>
      </c>
      <c r="E1413" s="426">
        <v>44867</v>
      </c>
      <c r="F1413" s="26" t="s">
        <v>406</v>
      </c>
      <c r="G1413" s="426">
        <v>44781</v>
      </c>
      <c r="H1413" s="35" t="s">
        <v>960</v>
      </c>
      <c r="I1413" s="21">
        <v>3047250</v>
      </c>
      <c r="J1413" s="21"/>
      <c r="K1413" s="22">
        <v>0</v>
      </c>
      <c r="L1413" s="23"/>
      <c r="M1413" s="22">
        <v>0</v>
      </c>
      <c r="N1413" s="74">
        <v>0</v>
      </c>
      <c r="O1413" s="22">
        <v>0</v>
      </c>
      <c r="P1413" s="21">
        <v>3047250</v>
      </c>
      <c r="S1413" s="108" t="b">
        <f>OR(COUNTIF(Tabla2[[#This Row],[PROVEEDOR]],"*"&amp;'Palabra no opera'!$A$2&amp;"*"))</f>
        <v>0</v>
      </c>
      <c r="T1413" s="139">
        <f>+$W$5-Tabla2[[#This Row],[FECHA DE FACTURACIÓN]]</f>
        <v>510</v>
      </c>
      <c r="U1413" t="str">
        <f>+IF(Tabla2[[#This Row],[dias de credito]]&gt;=Tabla2[[#This Row],[PLAZO Días]],"venc", "No venc")</f>
        <v>venc</v>
      </c>
      <c r="V1413" t="str">
        <f>+IF(Tabla2[[#This Row],[FECHA DE PAGO]]&gt;0,"pagada","por pagar")</f>
        <v>pagada</v>
      </c>
      <c r="W1413" s="141" t="str">
        <f>+IF(AND(Tabla2[[#This Row],[venc]]="venc",Tabla2[[#This Row],[Columna1]]="por pagar"),"vencida","no")</f>
        <v>no</v>
      </c>
    </row>
    <row r="1414" spans="1:23" ht="15.6" hidden="1" x14ac:dyDescent="0.3">
      <c r="A1414" s="20">
        <v>30</v>
      </c>
      <c r="B1414" s="25">
        <v>0</v>
      </c>
      <c r="C1414" s="25"/>
      <c r="D1414" s="56" t="s">
        <v>270</v>
      </c>
      <c r="E1414" s="426">
        <v>44867</v>
      </c>
      <c r="F1414" s="26" t="s">
        <v>169</v>
      </c>
      <c r="G1414" s="426">
        <v>44767</v>
      </c>
      <c r="H1414" s="35">
        <v>74</v>
      </c>
      <c r="I1414" s="21">
        <v>3790390</v>
      </c>
      <c r="J1414" s="21"/>
      <c r="K1414" s="22">
        <v>720174.1</v>
      </c>
      <c r="L1414" s="23"/>
      <c r="M1414" s="22">
        <v>0</v>
      </c>
      <c r="N1414" s="74">
        <v>2.5000000000000001E-2</v>
      </c>
      <c r="O1414" s="22">
        <v>94759.75</v>
      </c>
      <c r="P1414" s="21">
        <v>4415804.3499999996</v>
      </c>
      <c r="S1414" s="108" t="b">
        <f>OR(COUNTIF(Tabla2[[#This Row],[PROVEEDOR]],"*"&amp;'Palabra no opera'!$A$2&amp;"*"))</f>
        <v>0</v>
      </c>
      <c r="T1414" s="139">
        <f>+$W$5-Tabla2[[#This Row],[FECHA DE FACTURACIÓN]]</f>
        <v>524</v>
      </c>
      <c r="U1414" t="str">
        <f>+IF(Tabla2[[#This Row],[dias de credito]]&gt;=Tabla2[[#This Row],[PLAZO Días]],"venc", "No venc")</f>
        <v>venc</v>
      </c>
      <c r="V1414" t="str">
        <f>+IF(Tabla2[[#This Row],[FECHA DE PAGO]]&gt;0,"pagada","por pagar")</f>
        <v>pagada</v>
      </c>
      <c r="W1414" s="141" t="str">
        <f>+IF(AND(Tabla2[[#This Row],[venc]]="venc",Tabla2[[#This Row],[Columna1]]="por pagar"),"vencida","no")</f>
        <v>no</v>
      </c>
    </row>
    <row r="1415" spans="1:23" ht="15.6" hidden="1" x14ac:dyDescent="0.3">
      <c r="A1415" s="20">
        <v>30</v>
      </c>
      <c r="B1415" s="25">
        <v>0</v>
      </c>
      <c r="C1415" s="25"/>
      <c r="D1415" s="56" t="s">
        <v>270</v>
      </c>
      <c r="E1415" s="426">
        <v>44867</v>
      </c>
      <c r="F1415" s="26" t="s">
        <v>247</v>
      </c>
      <c r="G1415" s="426">
        <v>44767</v>
      </c>
      <c r="H1415" s="35">
        <v>157</v>
      </c>
      <c r="I1415" s="21">
        <v>4849845</v>
      </c>
      <c r="J1415" s="21"/>
      <c r="K1415" s="22">
        <v>921470.55</v>
      </c>
      <c r="L1415" s="23"/>
      <c r="M1415" s="22">
        <v>0</v>
      </c>
      <c r="N1415" s="74">
        <v>2.5000000000000001E-2</v>
      </c>
      <c r="O1415" s="22">
        <v>121246.125</v>
      </c>
      <c r="P1415" s="21">
        <v>5650069.4249999998</v>
      </c>
      <c r="S1415" s="108" t="b">
        <f>OR(COUNTIF(Tabla2[[#This Row],[PROVEEDOR]],"*"&amp;'Palabra no opera'!$A$2&amp;"*"))</f>
        <v>0</v>
      </c>
      <c r="T1415" s="139">
        <f>+$W$5-Tabla2[[#This Row],[FECHA DE FACTURACIÓN]]</f>
        <v>524</v>
      </c>
      <c r="U1415" t="str">
        <f>+IF(Tabla2[[#This Row],[dias de credito]]&gt;=Tabla2[[#This Row],[PLAZO Días]],"venc", "No venc")</f>
        <v>venc</v>
      </c>
      <c r="V1415" t="str">
        <f>+IF(Tabla2[[#This Row],[FECHA DE PAGO]]&gt;0,"pagada","por pagar")</f>
        <v>pagada</v>
      </c>
      <c r="W1415" s="141" t="str">
        <f>+IF(AND(Tabla2[[#This Row],[venc]]="venc",Tabla2[[#This Row],[Columna1]]="por pagar"),"vencida","no")</f>
        <v>no</v>
      </c>
    </row>
    <row r="1416" spans="1:23" ht="15.6" hidden="1" x14ac:dyDescent="0.3">
      <c r="A1416" s="20">
        <v>30</v>
      </c>
      <c r="B1416" s="25">
        <v>5537221.7000000002</v>
      </c>
      <c r="C1416" s="25"/>
      <c r="D1416" s="56" t="s">
        <v>402</v>
      </c>
      <c r="E1416" s="426">
        <v>44866</v>
      </c>
      <c r="F1416" s="26" t="s">
        <v>293</v>
      </c>
      <c r="G1416" s="426">
        <v>44792</v>
      </c>
      <c r="H1416" s="35" t="s">
        <v>933</v>
      </c>
      <c r="I1416" s="21">
        <v>3639876</v>
      </c>
      <c r="J1416" s="21"/>
      <c r="K1416" s="22">
        <v>691576.44000000006</v>
      </c>
      <c r="L1416" s="23">
        <v>0.1</v>
      </c>
      <c r="M1416" s="22">
        <v>363987.60000000003</v>
      </c>
      <c r="N1416" s="74">
        <v>2.5000000000000001E-2</v>
      </c>
      <c r="O1416" s="22">
        <v>90996.900000000009</v>
      </c>
      <c r="P1416" s="21">
        <v>3876467.9400000004</v>
      </c>
      <c r="S1416" s="108" t="b">
        <f>OR(COUNTIF(Tabla2[[#This Row],[PROVEEDOR]],"*"&amp;'Palabra no opera'!$A$2&amp;"*"))</f>
        <v>0</v>
      </c>
      <c r="T1416" s="139">
        <f>+$W$5-Tabla2[[#This Row],[FECHA DE FACTURACIÓN]]</f>
        <v>499</v>
      </c>
      <c r="U1416" t="str">
        <f>+IF(Tabla2[[#This Row],[dias de credito]]&gt;=Tabla2[[#This Row],[PLAZO Días]],"venc", "No venc")</f>
        <v>venc</v>
      </c>
      <c r="V1416" t="str">
        <f>+IF(Tabla2[[#This Row],[FECHA DE PAGO]]&gt;0,"pagada","por pagar")</f>
        <v>pagada</v>
      </c>
      <c r="W1416" s="141" t="str">
        <f>+IF(AND(Tabla2[[#This Row],[venc]]="venc",Tabla2[[#This Row],[Columna1]]="por pagar"),"vencida","no")</f>
        <v>no</v>
      </c>
    </row>
    <row r="1417" spans="1:23" ht="15.6" hidden="1" x14ac:dyDescent="0.3">
      <c r="A1417" s="20">
        <v>30</v>
      </c>
      <c r="B1417" s="25">
        <v>0</v>
      </c>
      <c r="C1417" s="25"/>
      <c r="D1417" s="56" t="s">
        <v>107</v>
      </c>
      <c r="E1417" s="426">
        <v>44865</v>
      </c>
      <c r="F1417" s="26" t="s">
        <v>356</v>
      </c>
      <c r="G1417" s="426">
        <v>44865</v>
      </c>
      <c r="H1417" s="35" t="s">
        <v>1240</v>
      </c>
      <c r="I1417" s="21">
        <v>4889000</v>
      </c>
      <c r="J1417" s="21"/>
      <c r="K1417" s="22">
        <v>0</v>
      </c>
      <c r="L1417" s="23"/>
      <c r="M1417" s="22">
        <v>0</v>
      </c>
      <c r="N1417" s="74">
        <v>0</v>
      </c>
      <c r="O1417" s="22">
        <v>0</v>
      </c>
      <c r="P1417" s="21">
        <v>4889000</v>
      </c>
      <c r="S1417" s="108" t="b">
        <f>OR(COUNTIF(Tabla2[[#This Row],[PROVEEDOR]],"*"&amp;'Palabra no opera'!$A$2&amp;"*"))</f>
        <v>0</v>
      </c>
      <c r="T1417" s="139">
        <f>+$W$5-Tabla2[[#This Row],[FECHA DE FACTURACIÓN]]</f>
        <v>426</v>
      </c>
      <c r="U1417" t="str">
        <f>+IF(Tabla2[[#This Row],[dias de credito]]&gt;=Tabla2[[#This Row],[PLAZO Días]],"venc", "No venc")</f>
        <v>venc</v>
      </c>
      <c r="V1417" t="str">
        <f>+IF(Tabla2[[#This Row],[FECHA DE PAGO]]&gt;0,"pagada","por pagar")</f>
        <v>pagada</v>
      </c>
      <c r="W1417" s="141" t="str">
        <f>+IF(AND(Tabla2[[#This Row],[venc]]="venc",Tabla2[[#This Row],[Columna1]]="por pagar"),"vencida","no")</f>
        <v>no</v>
      </c>
    </row>
    <row r="1418" spans="1:23" ht="15.6" hidden="1" x14ac:dyDescent="0.3">
      <c r="A1418" s="20">
        <v>30</v>
      </c>
      <c r="B1418" s="25">
        <v>0</v>
      </c>
      <c r="C1418" s="25"/>
      <c r="D1418" s="56" t="s">
        <v>107</v>
      </c>
      <c r="E1418" s="426">
        <v>44865</v>
      </c>
      <c r="F1418" s="26" t="s">
        <v>362</v>
      </c>
      <c r="G1418" s="426">
        <v>44865</v>
      </c>
      <c r="H1418" s="35" t="s">
        <v>1179</v>
      </c>
      <c r="I1418" s="21">
        <v>85000</v>
      </c>
      <c r="J1418" s="21"/>
      <c r="K1418" s="22">
        <v>0</v>
      </c>
      <c r="L1418" s="23"/>
      <c r="M1418" s="22">
        <v>0</v>
      </c>
      <c r="N1418" s="74">
        <v>0</v>
      </c>
      <c r="O1418" s="22">
        <v>0</v>
      </c>
      <c r="P1418" s="21">
        <v>85000</v>
      </c>
      <c r="S1418" s="108" t="b">
        <f>OR(COUNTIF(Tabla2[[#This Row],[PROVEEDOR]],"*"&amp;'Palabra no opera'!$A$2&amp;"*"))</f>
        <v>0</v>
      </c>
      <c r="T1418" s="139">
        <f>+$W$5-Tabla2[[#This Row],[FECHA DE FACTURACIÓN]]</f>
        <v>426</v>
      </c>
      <c r="U1418" t="str">
        <f>+IF(Tabla2[[#This Row],[dias de credito]]&gt;=Tabla2[[#This Row],[PLAZO Días]],"venc", "No venc")</f>
        <v>venc</v>
      </c>
      <c r="V1418" t="str">
        <f>+IF(Tabla2[[#This Row],[FECHA DE PAGO]]&gt;0,"pagada","por pagar")</f>
        <v>pagada</v>
      </c>
      <c r="W1418" s="141" t="str">
        <f>+IF(AND(Tabla2[[#This Row],[venc]]="venc",Tabla2[[#This Row],[Columna1]]="por pagar"),"vencida","no")</f>
        <v>no</v>
      </c>
    </row>
    <row r="1419" spans="1:23" ht="15.6" hidden="1" x14ac:dyDescent="0.3">
      <c r="A1419" s="20">
        <v>30</v>
      </c>
      <c r="B1419" s="25">
        <v>0</v>
      </c>
      <c r="C1419" s="25"/>
      <c r="D1419" s="56" t="s">
        <v>107</v>
      </c>
      <c r="E1419" s="426">
        <v>44865</v>
      </c>
      <c r="F1419" s="26" t="s">
        <v>362</v>
      </c>
      <c r="G1419" s="426">
        <v>44865</v>
      </c>
      <c r="H1419" s="35" t="s">
        <v>1178</v>
      </c>
      <c r="I1419" s="21">
        <v>176000</v>
      </c>
      <c r="J1419" s="21"/>
      <c r="K1419" s="22">
        <v>0</v>
      </c>
      <c r="L1419" s="23"/>
      <c r="M1419" s="22">
        <v>0</v>
      </c>
      <c r="N1419" s="74">
        <v>0</v>
      </c>
      <c r="O1419" s="22">
        <v>0</v>
      </c>
      <c r="P1419" s="21">
        <v>176000</v>
      </c>
      <c r="S1419" s="108" t="b">
        <f>OR(COUNTIF(Tabla2[[#This Row],[PROVEEDOR]],"*"&amp;'Palabra no opera'!$A$2&amp;"*"))</f>
        <v>0</v>
      </c>
      <c r="T1419" s="139">
        <f>+$W$5-Tabla2[[#This Row],[FECHA DE FACTURACIÓN]]</f>
        <v>426</v>
      </c>
      <c r="U1419" t="str">
        <f>+IF(Tabla2[[#This Row],[dias de credito]]&gt;=Tabla2[[#This Row],[PLAZO Días]],"venc", "No venc")</f>
        <v>venc</v>
      </c>
      <c r="V1419" t="str">
        <f>+IF(Tabla2[[#This Row],[FECHA DE PAGO]]&gt;0,"pagada","por pagar")</f>
        <v>pagada</v>
      </c>
      <c r="W1419" s="141" t="str">
        <f>+IF(AND(Tabla2[[#This Row],[venc]]="venc",Tabla2[[#This Row],[Columna1]]="por pagar"),"vencida","no")</f>
        <v>no</v>
      </c>
    </row>
    <row r="1420" spans="1:23" ht="15.6" hidden="1" x14ac:dyDescent="0.3">
      <c r="A1420" s="20">
        <v>30</v>
      </c>
      <c r="B1420" s="25">
        <v>0</v>
      </c>
      <c r="C1420" s="25"/>
      <c r="D1420" s="56" t="s">
        <v>107</v>
      </c>
      <c r="E1420" s="426">
        <v>44865</v>
      </c>
      <c r="F1420" s="26" t="s">
        <v>362</v>
      </c>
      <c r="G1420" s="426">
        <v>44865</v>
      </c>
      <c r="H1420" s="35" t="s">
        <v>1176</v>
      </c>
      <c r="I1420" s="21">
        <v>385000</v>
      </c>
      <c r="J1420" s="21"/>
      <c r="K1420" s="22">
        <v>0</v>
      </c>
      <c r="L1420" s="23"/>
      <c r="M1420" s="22">
        <v>0</v>
      </c>
      <c r="N1420" s="74">
        <v>0</v>
      </c>
      <c r="O1420" s="22">
        <v>0</v>
      </c>
      <c r="P1420" s="21">
        <v>385000</v>
      </c>
      <c r="S1420" s="108" t="b">
        <f>OR(COUNTIF(Tabla2[[#This Row],[PROVEEDOR]],"*"&amp;'Palabra no opera'!$A$2&amp;"*"))</f>
        <v>0</v>
      </c>
      <c r="T1420" s="139">
        <f>+$W$5-Tabla2[[#This Row],[FECHA DE FACTURACIÓN]]</f>
        <v>426</v>
      </c>
      <c r="U1420" t="str">
        <f>+IF(Tabla2[[#This Row],[dias de credito]]&gt;=Tabla2[[#This Row],[PLAZO Días]],"venc", "No venc")</f>
        <v>venc</v>
      </c>
      <c r="V1420" t="str">
        <f>+IF(Tabla2[[#This Row],[FECHA DE PAGO]]&gt;0,"pagada","por pagar")</f>
        <v>pagada</v>
      </c>
      <c r="W1420" s="141" t="str">
        <f>+IF(AND(Tabla2[[#This Row],[venc]]="venc",Tabla2[[#This Row],[Columna1]]="por pagar"),"vencida","no")</f>
        <v>no</v>
      </c>
    </row>
    <row r="1421" spans="1:23" ht="15.6" hidden="1" x14ac:dyDescent="0.3">
      <c r="A1421" s="20">
        <v>30</v>
      </c>
      <c r="B1421" s="25">
        <v>0</v>
      </c>
      <c r="C1421" s="25"/>
      <c r="D1421" s="56" t="s">
        <v>107</v>
      </c>
      <c r="E1421" s="426">
        <v>44865</v>
      </c>
      <c r="F1421" s="26" t="s">
        <v>362</v>
      </c>
      <c r="G1421" s="426">
        <v>44865</v>
      </c>
      <c r="H1421" s="35" t="s">
        <v>1255</v>
      </c>
      <c r="I1421" s="21">
        <v>426000</v>
      </c>
      <c r="J1421" s="21"/>
      <c r="K1421" s="22">
        <v>0</v>
      </c>
      <c r="L1421" s="23"/>
      <c r="M1421" s="22">
        <v>0</v>
      </c>
      <c r="N1421" s="74">
        <v>0</v>
      </c>
      <c r="O1421" s="22">
        <v>0</v>
      </c>
      <c r="P1421" s="21">
        <v>426000</v>
      </c>
      <c r="S1421" s="108" t="b">
        <f>OR(COUNTIF(Tabla2[[#This Row],[PROVEEDOR]],"*"&amp;'Palabra no opera'!$A$2&amp;"*"))</f>
        <v>0</v>
      </c>
      <c r="T1421" s="139">
        <f>+$W$5-Tabla2[[#This Row],[FECHA DE FACTURACIÓN]]</f>
        <v>426</v>
      </c>
      <c r="U1421" t="str">
        <f>+IF(Tabla2[[#This Row],[dias de credito]]&gt;=Tabla2[[#This Row],[PLAZO Días]],"venc", "No venc")</f>
        <v>venc</v>
      </c>
      <c r="V1421" t="str">
        <f>+IF(Tabla2[[#This Row],[FECHA DE PAGO]]&gt;0,"pagada","por pagar")</f>
        <v>pagada</v>
      </c>
      <c r="W1421" s="141" t="str">
        <f>+IF(AND(Tabla2[[#This Row],[venc]]="venc",Tabla2[[#This Row],[Columna1]]="por pagar"),"vencida","no")</f>
        <v>no</v>
      </c>
    </row>
    <row r="1422" spans="1:23" ht="15.6" hidden="1" x14ac:dyDescent="0.3">
      <c r="A1422" s="20">
        <v>30</v>
      </c>
      <c r="B1422" s="25">
        <v>0</v>
      </c>
      <c r="C1422" s="25"/>
      <c r="D1422" s="56" t="s">
        <v>107</v>
      </c>
      <c r="E1422" s="426">
        <v>44865</v>
      </c>
      <c r="F1422" s="26" t="s">
        <v>362</v>
      </c>
      <c r="G1422" s="426">
        <v>44865</v>
      </c>
      <c r="H1422" s="35" t="s">
        <v>1177</v>
      </c>
      <c r="I1422" s="21">
        <v>1185800</v>
      </c>
      <c r="J1422" s="21"/>
      <c r="K1422" s="22">
        <v>0</v>
      </c>
      <c r="L1422" s="23"/>
      <c r="M1422" s="22">
        <v>0</v>
      </c>
      <c r="N1422" s="74">
        <v>0</v>
      </c>
      <c r="O1422" s="22">
        <v>0</v>
      </c>
      <c r="P1422" s="21">
        <v>1185800</v>
      </c>
      <c r="S1422" s="108" t="b">
        <f>OR(COUNTIF(Tabla2[[#This Row],[PROVEEDOR]],"*"&amp;'Palabra no opera'!$A$2&amp;"*"))</f>
        <v>0</v>
      </c>
      <c r="T1422" s="139">
        <f>+$W$5-Tabla2[[#This Row],[FECHA DE FACTURACIÓN]]</f>
        <v>426</v>
      </c>
      <c r="U1422" t="str">
        <f>+IF(Tabla2[[#This Row],[dias de credito]]&gt;=Tabla2[[#This Row],[PLAZO Días]],"venc", "No venc")</f>
        <v>venc</v>
      </c>
      <c r="V1422" t="str">
        <f>+IF(Tabla2[[#This Row],[FECHA DE PAGO]]&gt;0,"pagada","por pagar")</f>
        <v>pagada</v>
      </c>
      <c r="W1422" s="141" t="str">
        <f>+IF(AND(Tabla2[[#This Row],[venc]]="venc",Tabla2[[#This Row],[Columna1]]="por pagar"),"vencida","no")</f>
        <v>no</v>
      </c>
    </row>
    <row r="1423" spans="1:23" ht="15.6" hidden="1" x14ac:dyDescent="0.3">
      <c r="A1423" s="20">
        <v>30</v>
      </c>
      <c r="B1423" s="25">
        <v>0</v>
      </c>
      <c r="C1423" s="25"/>
      <c r="D1423" s="56" t="s">
        <v>107</v>
      </c>
      <c r="E1423" s="426">
        <v>44865</v>
      </c>
      <c r="F1423" s="26" t="s">
        <v>362</v>
      </c>
      <c r="G1423" s="426">
        <v>44865</v>
      </c>
      <c r="H1423" s="35" t="s">
        <v>1180</v>
      </c>
      <c r="I1423" s="21">
        <v>1377000</v>
      </c>
      <c r="J1423" s="21"/>
      <c r="K1423" s="22">
        <v>0</v>
      </c>
      <c r="L1423" s="23"/>
      <c r="M1423" s="22">
        <v>0</v>
      </c>
      <c r="N1423" s="74">
        <v>0</v>
      </c>
      <c r="O1423" s="22">
        <v>0</v>
      </c>
      <c r="P1423" s="21">
        <v>1377000</v>
      </c>
      <c r="S1423" s="108" t="b">
        <f>OR(COUNTIF(Tabla2[[#This Row],[PROVEEDOR]],"*"&amp;'Palabra no opera'!$A$2&amp;"*"))</f>
        <v>0</v>
      </c>
      <c r="T1423" s="139">
        <f>+$W$5-Tabla2[[#This Row],[FECHA DE FACTURACIÓN]]</f>
        <v>426</v>
      </c>
      <c r="U1423" t="str">
        <f>+IF(Tabla2[[#This Row],[dias de credito]]&gt;=Tabla2[[#This Row],[PLAZO Días]],"venc", "No venc")</f>
        <v>venc</v>
      </c>
      <c r="V1423" t="str">
        <f>+IF(Tabla2[[#This Row],[FECHA DE PAGO]]&gt;0,"pagada","por pagar")</f>
        <v>pagada</v>
      </c>
      <c r="W1423" s="141" t="str">
        <f>+IF(AND(Tabla2[[#This Row],[venc]]="venc",Tabla2[[#This Row],[Columna1]]="por pagar"),"vencida","no")</f>
        <v>no</v>
      </c>
    </row>
    <row r="1424" spans="1:23" ht="15.6" hidden="1" x14ac:dyDescent="0.3">
      <c r="A1424" s="20">
        <v>30</v>
      </c>
      <c r="B1424" s="25">
        <v>0</v>
      </c>
      <c r="C1424" s="25"/>
      <c r="D1424" s="56" t="s">
        <v>176</v>
      </c>
      <c r="E1424" s="426">
        <v>44865</v>
      </c>
      <c r="F1424" s="26" t="s">
        <v>966</v>
      </c>
      <c r="G1424" s="426">
        <v>44845</v>
      </c>
      <c r="H1424" s="35">
        <v>371</v>
      </c>
      <c r="I1424" s="21">
        <v>492000</v>
      </c>
      <c r="J1424" s="21"/>
      <c r="K1424" s="22">
        <v>0</v>
      </c>
      <c r="L1424" s="23"/>
      <c r="M1424" s="22">
        <v>0</v>
      </c>
      <c r="N1424" s="74">
        <v>0</v>
      </c>
      <c r="O1424" s="22">
        <v>0</v>
      </c>
      <c r="P1424" s="21">
        <v>492000</v>
      </c>
      <c r="S1424" s="108" t="b">
        <f>OR(COUNTIF(Tabla2[[#This Row],[PROVEEDOR]],"*"&amp;'Palabra no opera'!$A$2&amp;"*"))</f>
        <v>0</v>
      </c>
      <c r="T1424" s="139">
        <f>+$W$5-Tabla2[[#This Row],[FECHA DE FACTURACIÓN]]</f>
        <v>446</v>
      </c>
      <c r="U1424" t="str">
        <f>+IF(Tabla2[[#This Row],[dias de credito]]&gt;=Tabla2[[#This Row],[PLAZO Días]],"venc", "No venc")</f>
        <v>venc</v>
      </c>
      <c r="V1424" t="str">
        <f>+IF(Tabla2[[#This Row],[FECHA DE PAGO]]&gt;0,"pagada","por pagar")</f>
        <v>pagada</v>
      </c>
      <c r="W1424" s="141" t="str">
        <f>+IF(AND(Tabla2[[#This Row],[venc]]="venc",Tabla2[[#This Row],[Columna1]]="por pagar"),"vencida","no")</f>
        <v>no</v>
      </c>
    </row>
    <row r="1425" spans="1:23" ht="15.6" hidden="1" x14ac:dyDescent="0.3">
      <c r="A1425" s="20">
        <v>30</v>
      </c>
      <c r="B1425" s="25">
        <v>0</v>
      </c>
      <c r="C1425" s="25"/>
      <c r="D1425" s="56" t="s">
        <v>176</v>
      </c>
      <c r="E1425" s="426">
        <v>44865</v>
      </c>
      <c r="F1425" s="26" t="s">
        <v>967</v>
      </c>
      <c r="G1425" s="426">
        <v>44845</v>
      </c>
      <c r="H1425" s="35">
        <v>275</v>
      </c>
      <c r="I1425" s="21">
        <v>492000</v>
      </c>
      <c r="J1425" s="21"/>
      <c r="K1425" s="22">
        <v>0</v>
      </c>
      <c r="L1425" s="23"/>
      <c r="M1425" s="22">
        <v>0</v>
      </c>
      <c r="N1425" s="74">
        <v>0.01</v>
      </c>
      <c r="O1425" s="22">
        <v>4920</v>
      </c>
      <c r="P1425" s="21">
        <v>487080</v>
      </c>
      <c r="S1425" s="108" t="b">
        <f>OR(COUNTIF(Tabla2[[#This Row],[PROVEEDOR]],"*"&amp;'Palabra no opera'!$A$2&amp;"*"))</f>
        <v>0</v>
      </c>
      <c r="T1425" s="139">
        <f>+$W$5-Tabla2[[#This Row],[FECHA DE FACTURACIÓN]]</f>
        <v>446</v>
      </c>
      <c r="U1425" t="str">
        <f>+IF(Tabla2[[#This Row],[dias de credito]]&gt;=Tabla2[[#This Row],[PLAZO Días]],"venc", "No venc")</f>
        <v>venc</v>
      </c>
      <c r="V1425" t="str">
        <f>+IF(Tabla2[[#This Row],[FECHA DE PAGO]]&gt;0,"pagada","por pagar")</f>
        <v>pagada</v>
      </c>
      <c r="W1425" s="141" t="str">
        <f>+IF(AND(Tabla2[[#This Row],[venc]]="venc",Tabla2[[#This Row],[Columna1]]="por pagar"),"vencida","no")</f>
        <v>no</v>
      </c>
    </row>
    <row r="1426" spans="1:23" ht="15.6" hidden="1" x14ac:dyDescent="0.3">
      <c r="A1426" s="20">
        <v>30</v>
      </c>
      <c r="B1426" s="25">
        <v>0</v>
      </c>
      <c r="C1426" s="25"/>
      <c r="D1426" s="56">
        <v>0</v>
      </c>
      <c r="E1426" s="426">
        <v>44865</v>
      </c>
      <c r="F1426" s="26" t="s">
        <v>1165</v>
      </c>
      <c r="G1426" s="426">
        <v>44833</v>
      </c>
      <c r="H1426" s="35" t="s">
        <v>1166</v>
      </c>
      <c r="I1426" s="21">
        <v>864400</v>
      </c>
      <c r="J1426" s="21"/>
      <c r="K1426" s="22">
        <v>0</v>
      </c>
      <c r="L1426" s="23">
        <v>0.1</v>
      </c>
      <c r="M1426" s="22">
        <v>86440</v>
      </c>
      <c r="N1426" s="74">
        <v>0</v>
      </c>
      <c r="O1426" s="22">
        <v>0</v>
      </c>
      <c r="P1426" s="21">
        <v>777960</v>
      </c>
      <c r="S1426" s="108" t="b">
        <f>OR(COUNTIF(Tabla2[[#This Row],[PROVEEDOR]],"*"&amp;'Palabra no opera'!$A$2&amp;"*"))</f>
        <v>0</v>
      </c>
      <c r="T1426" s="139">
        <f>+$W$5-Tabla2[[#This Row],[FECHA DE FACTURACIÓN]]</f>
        <v>458</v>
      </c>
      <c r="U1426" t="str">
        <f>+IF(Tabla2[[#This Row],[dias de credito]]&gt;=Tabla2[[#This Row],[PLAZO Días]],"venc", "No venc")</f>
        <v>venc</v>
      </c>
      <c r="V1426" t="str">
        <f>+IF(Tabla2[[#This Row],[FECHA DE PAGO]]&gt;0,"pagada","por pagar")</f>
        <v>pagada</v>
      </c>
      <c r="W1426" s="141" t="str">
        <f>+IF(AND(Tabla2[[#This Row],[venc]]="venc",Tabla2[[#This Row],[Columna1]]="por pagar"),"vencida","no")</f>
        <v>no</v>
      </c>
    </row>
    <row r="1427" spans="1:23" ht="15.6" hidden="1" x14ac:dyDescent="0.3">
      <c r="A1427" s="20">
        <v>30</v>
      </c>
      <c r="B1427" s="25">
        <v>18444236.894999996</v>
      </c>
      <c r="C1427" s="25"/>
      <c r="D1427" s="56" t="s">
        <v>731</v>
      </c>
      <c r="E1427" s="426">
        <v>44863</v>
      </c>
      <c r="F1427" s="26" t="s">
        <v>11</v>
      </c>
      <c r="G1427" s="426">
        <v>44797</v>
      </c>
      <c r="H1427" s="35" t="s">
        <v>952</v>
      </c>
      <c r="I1427" s="21">
        <v>7260000</v>
      </c>
      <c r="J1427" s="21"/>
      <c r="K1427" s="22">
        <v>1379400</v>
      </c>
      <c r="L1427" s="23"/>
      <c r="M1427" s="22">
        <v>0</v>
      </c>
      <c r="N1427" s="74">
        <v>2.5000000000000001E-2</v>
      </c>
      <c r="O1427" s="22">
        <v>181500</v>
      </c>
      <c r="P1427" s="21">
        <v>8457900</v>
      </c>
      <c r="S1427" s="108" t="b">
        <f>OR(COUNTIF(Tabla2[[#This Row],[PROVEEDOR]],"*"&amp;'Palabra no opera'!$A$2&amp;"*"))</f>
        <v>0</v>
      </c>
      <c r="T1427" s="139">
        <f>+$W$5-Tabla2[[#This Row],[FECHA DE FACTURACIÓN]]</f>
        <v>494</v>
      </c>
      <c r="U1427" t="str">
        <f>+IF(Tabla2[[#This Row],[dias de credito]]&gt;=Tabla2[[#This Row],[PLAZO Días]],"venc", "No venc")</f>
        <v>venc</v>
      </c>
      <c r="V1427" t="str">
        <f>+IF(Tabla2[[#This Row],[FECHA DE PAGO]]&gt;0,"pagada","por pagar")</f>
        <v>pagada</v>
      </c>
      <c r="W1427" s="141" t="str">
        <f>+IF(AND(Tabla2[[#This Row],[venc]]="venc",Tabla2[[#This Row],[Columna1]]="por pagar"),"vencida","no")</f>
        <v>no</v>
      </c>
    </row>
    <row r="1428" spans="1:23" ht="15.6" hidden="1" x14ac:dyDescent="0.3">
      <c r="A1428" s="20">
        <v>30</v>
      </c>
      <c r="B1428" s="25">
        <v>0</v>
      </c>
      <c r="C1428" s="25"/>
      <c r="D1428" s="56" t="s">
        <v>259</v>
      </c>
      <c r="E1428" s="426">
        <v>44863</v>
      </c>
      <c r="F1428" s="26" t="s">
        <v>33</v>
      </c>
      <c r="G1428" s="426">
        <v>44785</v>
      </c>
      <c r="H1428" s="35">
        <v>3002</v>
      </c>
      <c r="I1428" s="21">
        <v>7753500</v>
      </c>
      <c r="J1428" s="21"/>
      <c r="K1428" s="22">
        <v>1473165</v>
      </c>
      <c r="L1428" s="23"/>
      <c r="M1428" s="22">
        <v>0</v>
      </c>
      <c r="N1428" s="74">
        <v>2.5000000000000001E-2</v>
      </c>
      <c r="O1428" s="22">
        <v>193837.5</v>
      </c>
      <c r="P1428" s="21">
        <v>9032827.5</v>
      </c>
      <c r="S1428" s="108" t="b">
        <f>OR(COUNTIF(Tabla2[[#This Row],[PROVEEDOR]],"*"&amp;'Palabra no opera'!$A$2&amp;"*"))</f>
        <v>0</v>
      </c>
      <c r="T1428" s="139">
        <f>+$W$5-Tabla2[[#This Row],[FECHA DE FACTURACIÓN]]</f>
        <v>506</v>
      </c>
      <c r="U1428" t="str">
        <f>+IF(Tabla2[[#This Row],[dias de credito]]&gt;=Tabla2[[#This Row],[PLAZO Días]],"venc", "No venc")</f>
        <v>venc</v>
      </c>
      <c r="V1428" t="str">
        <f>+IF(Tabla2[[#This Row],[FECHA DE PAGO]]&gt;0,"pagada","por pagar")</f>
        <v>pagada</v>
      </c>
      <c r="W1428" s="141" t="str">
        <f>+IF(AND(Tabla2[[#This Row],[venc]]="venc",Tabla2[[#This Row],[Columna1]]="por pagar"),"vencida","no")</f>
        <v>no</v>
      </c>
    </row>
    <row r="1429" spans="1:23" ht="15.6" hidden="1" x14ac:dyDescent="0.3">
      <c r="A1429" s="20">
        <v>30</v>
      </c>
      <c r="B1429" s="25">
        <v>0</v>
      </c>
      <c r="C1429" s="25"/>
      <c r="D1429" s="56" t="s">
        <v>192</v>
      </c>
      <c r="E1429" s="426">
        <v>44863</v>
      </c>
      <c r="F1429" s="26" t="s">
        <v>16</v>
      </c>
      <c r="G1429" s="426">
        <v>44782</v>
      </c>
      <c r="H1429" s="35">
        <v>5121</v>
      </c>
      <c r="I1429" s="21">
        <v>1298739.5</v>
      </c>
      <c r="J1429" s="21"/>
      <c r="K1429" s="22">
        <v>246760.505</v>
      </c>
      <c r="L1429" s="23"/>
      <c r="M1429" s="22">
        <v>0</v>
      </c>
      <c r="N1429" s="74">
        <v>2.5000000000000001E-2</v>
      </c>
      <c r="O1429" s="22">
        <v>32468.487500000003</v>
      </c>
      <c r="P1429" s="21">
        <v>1513031.5174999998</v>
      </c>
      <c r="S1429" s="108" t="b">
        <f>OR(COUNTIF(Tabla2[[#This Row],[PROVEEDOR]],"*"&amp;'Palabra no opera'!$A$2&amp;"*"))</f>
        <v>0</v>
      </c>
      <c r="T1429" s="139">
        <f>+$W$5-Tabla2[[#This Row],[FECHA DE FACTURACIÓN]]</f>
        <v>509</v>
      </c>
      <c r="U1429" t="str">
        <f>+IF(Tabla2[[#This Row],[dias de credito]]&gt;=Tabla2[[#This Row],[PLAZO Días]],"venc", "No venc")</f>
        <v>venc</v>
      </c>
      <c r="V1429" t="str">
        <f>+IF(Tabla2[[#This Row],[FECHA DE PAGO]]&gt;0,"pagada","por pagar")</f>
        <v>pagada</v>
      </c>
      <c r="W1429" s="141" t="str">
        <f>+IF(AND(Tabla2[[#This Row],[venc]]="venc",Tabla2[[#This Row],[Columna1]]="por pagar"),"vencida","no")</f>
        <v>no</v>
      </c>
    </row>
    <row r="1430" spans="1:23" ht="15.6" hidden="1" x14ac:dyDescent="0.3">
      <c r="A1430" s="20">
        <v>30</v>
      </c>
      <c r="B1430" s="25">
        <v>0</v>
      </c>
      <c r="C1430" s="25"/>
      <c r="D1430" s="56">
        <v>0</v>
      </c>
      <c r="E1430" s="426">
        <v>44862</v>
      </c>
      <c r="F1430" s="26" t="s">
        <v>1242</v>
      </c>
      <c r="G1430" s="426">
        <v>44860</v>
      </c>
      <c r="H1430" s="35" t="s">
        <v>1244</v>
      </c>
      <c r="I1430" s="21">
        <v>142800</v>
      </c>
      <c r="J1430" s="21"/>
      <c r="K1430" s="22">
        <v>0</v>
      </c>
      <c r="L1430" s="23"/>
      <c r="M1430" s="22">
        <v>0</v>
      </c>
      <c r="N1430" s="74">
        <v>0</v>
      </c>
      <c r="O1430" s="22">
        <v>0</v>
      </c>
      <c r="P1430" s="21">
        <v>142800</v>
      </c>
      <c r="S1430" s="108" t="b">
        <f>OR(COUNTIF(Tabla2[[#This Row],[PROVEEDOR]],"*"&amp;'Palabra no opera'!$A$2&amp;"*"))</f>
        <v>0</v>
      </c>
      <c r="T1430" s="139">
        <f>+$W$5-Tabla2[[#This Row],[FECHA DE FACTURACIÓN]]</f>
        <v>431</v>
      </c>
      <c r="U1430" t="str">
        <f>+IF(Tabla2[[#This Row],[dias de credito]]&gt;=Tabla2[[#This Row],[PLAZO Días]],"venc", "No venc")</f>
        <v>venc</v>
      </c>
      <c r="V1430" t="str">
        <f>+IF(Tabla2[[#This Row],[FECHA DE PAGO]]&gt;0,"pagada","por pagar")</f>
        <v>pagada</v>
      </c>
      <c r="W1430" s="141" t="str">
        <f>+IF(AND(Tabla2[[#This Row],[venc]]="venc",Tabla2[[#This Row],[Columna1]]="por pagar"),"vencida","no")</f>
        <v>no</v>
      </c>
    </row>
    <row r="1431" spans="1:23" ht="15.6" hidden="1" x14ac:dyDescent="0.3">
      <c r="A1431" s="20">
        <v>30</v>
      </c>
      <c r="B1431" s="25">
        <v>0</v>
      </c>
      <c r="C1431" s="25"/>
      <c r="D1431" s="56" t="s">
        <v>1116</v>
      </c>
      <c r="E1431" s="426">
        <v>44862</v>
      </c>
      <c r="F1431" s="26" t="s">
        <v>638</v>
      </c>
      <c r="G1431" s="426">
        <v>44837</v>
      </c>
      <c r="H1431" s="35" t="s">
        <v>1209</v>
      </c>
      <c r="I1431" s="21">
        <v>3961260</v>
      </c>
      <c r="J1431" s="21"/>
      <c r="K1431" s="22">
        <v>752639.4</v>
      </c>
      <c r="L1431" s="23"/>
      <c r="M1431" s="22">
        <v>0</v>
      </c>
      <c r="N1431" s="74">
        <v>3.5000000000000003E-2</v>
      </c>
      <c r="O1431" s="22">
        <v>138644.1</v>
      </c>
      <c r="P1431" s="21">
        <v>4575255.3000000007</v>
      </c>
      <c r="S1431" s="108" t="b">
        <f>OR(COUNTIF(Tabla2[[#This Row],[PROVEEDOR]],"*"&amp;'Palabra no opera'!$A$2&amp;"*"))</f>
        <v>1</v>
      </c>
      <c r="T1431" s="139">
        <f>+$W$5-Tabla2[[#This Row],[FECHA DE FACTURACIÓN]]</f>
        <v>454</v>
      </c>
      <c r="U1431" t="str">
        <f>+IF(Tabla2[[#This Row],[dias de credito]]&gt;=Tabla2[[#This Row],[PLAZO Días]],"venc", "No venc")</f>
        <v>venc</v>
      </c>
      <c r="V1431" t="str">
        <f>+IF(Tabla2[[#This Row],[FECHA DE PAGO]]&gt;0,"pagada","por pagar")</f>
        <v>pagada</v>
      </c>
      <c r="W1431" s="141" t="str">
        <f>+IF(AND(Tabla2[[#This Row],[venc]]="venc",Tabla2[[#This Row],[Columna1]]="por pagar"),"vencida","no")</f>
        <v>no</v>
      </c>
    </row>
    <row r="1432" spans="1:23" ht="15.6" hidden="1" x14ac:dyDescent="0.3">
      <c r="A1432" s="20">
        <v>30</v>
      </c>
      <c r="B1432" s="25">
        <v>0</v>
      </c>
      <c r="C1432" s="25"/>
      <c r="D1432" s="56" t="s">
        <v>107</v>
      </c>
      <c r="E1432" s="426">
        <v>44862</v>
      </c>
      <c r="F1432" s="26" t="s">
        <v>388</v>
      </c>
      <c r="G1432" s="426">
        <v>44761</v>
      </c>
      <c r="H1432" s="35" t="s">
        <v>914</v>
      </c>
      <c r="I1432" s="21">
        <v>3921000</v>
      </c>
      <c r="J1432" s="21"/>
      <c r="K1432" s="22">
        <v>0</v>
      </c>
      <c r="L1432" s="23"/>
      <c r="M1432" s="22">
        <v>0</v>
      </c>
      <c r="N1432" s="74">
        <v>0</v>
      </c>
      <c r="O1432" s="22">
        <v>0</v>
      </c>
      <c r="P1432" s="21">
        <v>3921000</v>
      </c>
      <c r="S1432" s="108" t="b">
        <f>OR(COUNTIF(Tabla2[[#This Row],[PROVEEDOR]],"*"&amp;'Palabra no opera'!$A$2&amp;"*"))</f>
        <v>0</v>
      </c>
      <c r="T1432" s="139">
        <f>+$W$5-Tabla2[[#This Row],[FECHA DE FACTURACIÓN]]</f>
        <v>530</v>
      </c>
      <c r="U1432" t="str">
        <f>+IF(Tabla2[[#This Row],[dias de credito]]&gt;=Tabla2[[#This Row],[PLAZO Días]],"venc", "No venc")</f>
        <v>venc</v>
      </c>
      <c r="V1432" t="str">
        <f>+IF(Tabla2[[#This Row],[FECHA DE PAGO]]&gt;0,"pagada","por pagar")</f>
        <v>pagada</v>
      </c>
      <c r="W1432" s="141" t="str">
        <f>+IF(AND(Tabla2[[#This Row],[venc]]="venc",Tabla2[[#This Row],[Columna1]]="por pagar"),"vencida","no")</f>
        <v>no</v>
      </c>
    </row>
    <row r="1433" spans="1:23" ht="15.6" hidden="1" x14ac:dyDescent="0.3">
      <c r="A1433" s="20">
        <v>30</v>
      </c>
      <c r="B1433" s="25">
        <v>559000</v>
      </c>
      <c r="C1433" s="25"/>
      <c r="D1433" s="56" t="s">
        <v>107</v>
      </c>
      <c r="E1433" s="426">
        <v>44859</v>
      </c>
      <c r="F1433" s="26" t="s">
        <v>399</v>
      </c>
      <c r="G1433" s="426">
        <v>44859</v>
      </c>
      <c r="H1433" s="35" t="s">
        <v>1227</v>
      </c>
      <c r="I1433" s="21">
        <v>732000</v>
      </c>
      <c r="J1433" s="21"/>
      <c r="K1433" s="22">
        <v>0</v>
      </c>
      <c r="L1433" s="23"/>
      <c r="M1433" s="22">
        <v>0</v>
      </c>
      <c r="N1433" s="74">
        <v>0</v>
      </c>
      <c r="O1433" s="22">
        <v>0</v>
      </c>
      <c r="P1433" s="21">
        <v>732000</v>
      </c>
      <c r="S1433" s="108" t="b">
        <f>OR(COUNTIF(Tabla2[[#This Row],[PROVEEDOR]],"*"&amp;'Palabra no opera'!$A$2&amp;"*"))</f>
        <v>0</v>
      </c>
      <c r="T1433" s="139">
        <f>+$W$5-Tabla2[[#This Row],[FECHA DE FACTURACIÓN]]</f>
        <v>432</v>
      </c>
      <c r="U1433" t="str">
        <f>+IF(Tabla2[[#This Row],[dias de credito]]&gt;=Tabla2[[#This Row],[PLAZO Días]],"venc", "No venc")</f>
        <v>venc</v>
      </c>
      <c r="V1433" t="str">
        <f>+IF(Tabla2[[#This Row],[FECHA DE PAGO]]&gt;0,"pagada","por pagar")</f>
        <v>pagada</v>
      </c>
      <c r="W1433" s="141" t="str">
        <f>+IF(AND(Tabla2[[#This Row],[venc]]="venc",Tabla2[[#This Row],[Columna1]]="por pagar"),"vencida","no")</f>
        <v>no</v>
      </c>
    </row>
    <row r="1434" spans="1:23" ht="15.6" hidden="1" x14ac:dyDescent="0.3">
      <c r="A1434" s="20">
        <v>30</v>
      </c>
      <c r="B1434" s="25">
        <v>0</v>
      </c>
      <c r="C1434" s="25"/>
      <c r="D1434" s="56" t="s">
        <v>107</v>
      </c>
      <c r="E1434" s="426">
        <v>44859</v>
      </c>
      <c r="F1434" s="26" t="s">
        <v>1194</v>
      </c>
      <c r="G1434" s="426">
        <v>44858</v>
      </c>
      <c r="H1434" s="35" t="s">
        <v>1223</v>
      </c>
      <c r="I1434" s="21">
        <v>13934000</v>
      </c>
      <c r="J1434" s="21"/>
      <c r="K1434" s="22">
        <v>0</v>
      </c>
      <c r="L1434" s="23"/>
      <c r="M1434" s="22">
        <v>0</v>
      </c>
      <c r="N1434" s="74">
        <v>0</v>
      </c>
      <c r="O1434" s="22">
        <v>0</v>
      </c>
      <c r="P1434" s="21">
        <v>13934000</v>
      </c>
      <c r="S1434" s="108" t="b">
        <f>OR(COUNTIF(Tabla2[[#This Row],[PROVEEDOR]],"*"&amp;'Palabra no opera'!$A$2&amp;"*"))</f>
        <v>0</v>
      </c>
      <c r="T1434" s="139">
        <f>+$W$5-Tabla2[[#This Row],[FECHA DE FACTURACIÓN]]</f>
        <v>433</v>
      </c>
      <c r="U1434" t="str">
        <f>+IF(Tabla2[[#This Row],[dias de credito]]&gt;=Tabla2[[#This Row],[PLAZO Días]],"venc", "No venc")</f>
        <v>venc</v>
      </c>
      <c r="V1434" t="str">
        <f>+IF(Tabla2[[#This Row],[FECHA DE PAGO]]&gt;0,"pagada","por pagar")</f>
        <v>pagada</v>
      </c>
      <c r="W1434" s="141" t="str">
        <f>+IF(AND(Tabla2[[#This Row],[venc]]="venc",Tabla2[[#This Row],[Columna1]]="por pagar"),"vencida","no")</f>
        <v>no</v>
      </c>
    </row>
    <row r="1435" spans="1:23" ht="15.6" hidden="1" x14ac:dyDescent="0.3">
      <c r="A1435" s="20">
        <v>30</v>
      </c>
      <c r="B1435" s="25">
        <v>0</v>
      </c>
      <c r="C1435" s="25"/>
      <c r="D1435" s="56" t="s">
        <v>107</v>
      </c>
      <c r="E1435" s="426">
        <v>44859</v>
      </c>
      <c r="F1435" s="26" t="s">
        <v>356</v>
      </c>
      <c r="G1435" s="426">
        <v>44858</v>
      </c>
      <c r="H1435" s="35" t="s">
        <v>1223</v>
      </c>
      <c r="I1435" s="21">
        <v>13934000</v>
      </c>
      <c r="J1435" s="21"/>
      <c r="K1435" s="22">
        <v>0</v>
      </c>
      <c r="L1435" s="23"/>
      <c r="M1435" s="22">
        <v>0</v>
      </c>
      <c r="N1435" s="74">
        <v>0</v>
      </c>
      <c r="O1435" s="22">
        <v>0</v>
      </c>
      <c r="P1435" s="21">
        <v>13934000</v>
      </c>
      <c r="S1435" s="108" t="b">
        <f>OR(COUNTIF(Tabla2[[#This Row],[PROVEEDOR]],"*"&amp;'Palabra no opera'!$A$2&amp;"*"))</f>
        <v>0</v>
      </c>
      <c r="T1435" s="139">
        <f>+$W$5-Tabla2[[#This Row],[FECHA DE FACTURACIÓN]]</f>
        <v>433</v>
      </c>
      <c r="U1435" t="str">
        <f>+IF(Tabla2[[#This Row],[dias de credito]]&gt;=Tabla2[[#This Row],[PLAZO Días]],"venc", "No venc")</f>
        <v>venc</v>
      </c>
      <c r="V1435" t="str">
        <f>+IF(Tabla2[[#This Row],[FECHA DE PAGO]]&gt;0,"pagada","por pagar")</f>
        <v>pagada</v>
      </c>
      <c r="W1435" s="141" t="str">
        <f>+IF(AND(Tabla2[[#This Row],[venc]]="venc",Tabla2[[#This Row],[Columna1]]="por pagar"),"vencida","no")</f>
        <v>no</v>
      </c>
    </row>
    <row r="1436" spans="1:23" ht="15.6" hidden="1" x14ac:dyDescent="0.3">
      <c r="A1436" s="20">
        <v>30</v>
      </c>
      <c r="B1436" s="25">
        <v>0</v>
      </c>
      <c r="C1436" s="25"/>
      <c r="D1436" s="56" t="s">
        <v>659</v>
      </c>
      <c r="E1436" s="426">
        <v>44859</v>
      </c>
      <c r="F1436" s="26" t="s">
        <v>227</v>
      </c>
      <c r="G1436" s="426">
        <v>44858</v>
      </c>
      <c r="H1436" s="35" t="s">
        <v>1343</v>
      </c>
      <c r="I1436" s="21">
        <v>1965000</v>
      </c>
      <c r="J1436" s="21"/>
      <c r="K1436" s="22">
        <v>0</v>
      </c>
      <c r="L1436" s="23"/>
      <c r="M1436" s="22">
        <v>0</v>
      </c>
      <c r="N1436" s="74">
        <v>0</v>
      </c>
      <c r="O1436" s="22">
        <v>0</v>
      </c>
      <c r="P1436" s="21">
        <v>1965000</v>
      </c>
      <c r="S1436" s="108" t="b">
        <f>OR(COUNTIF(Tabla2[[#This Row],[PROVEEDOR]],"*"&amp;'Palabra no opera'!$A$2&amp;"*"))</f>
        <v>0</v>
      </c>
      <c r="T1436" s="139">
        <f>+$W$5-Tabla2[[#This Row],[FECHA DE FACTURACIÓN]]</f>
        <v>433</v>
      </c>
      <c r="U1436" t="str">
        <f>+IF(Tabla2[[#This Row],[dias de credito]]&gt;=Tabla2[[#This Row],[PLAZO Días]],"venc", "No venc")</f>
        <v>venc</v>
      </c>
      <c r="V1436" t="str">
        <f>+IF(Tabla2[[#This Row],[FECHA DE PAGO]]&gt;0,"pagada","por pagar")</f>
        <v>pagada</v>
      </c>
      <c r="W1436" s="141" t="str">
        <f>+IF(AND(Tabla2[[#This Row],[venc]]="venc",Tabla2[[#This Row],[Columna1]]="por pagar"),"vencida","no")</f>
        <v>no</v>
      </c>
    </row>
    <row r="1437" spans="1:23" ht="15.6" hidden="1" x14ac:dyDescent="0.3">
      <c r="A1437" s="20">
        <v>30</v>
      </c>
      <c r="B1437" s="25">
        <v>0</v>
      </c>
      <c r="C1437" s="25"/>
      <c r="D1437" s="56">
        <v>0</v>
      </c>
      <c r="E1437" s="426">
        <v>44858</v>
      </c>
      <c r="F1437" s="26" t="s">
        <v>366</v>
      </c>
      <c r="G1437" s="426">
        <v>44858</v>
      </c>
      <c r="H1437" s="35" t="s">
        <v>1225</v>
      </c>
      <c r="I1437" s="21">
        <v>105000</v>
      </c>
      <c r="J1437" s="21"/>
      <c r="K1437" s="22">
        <v>0</v>
      </c>
      <c r="L1437" s="23"/>
      <c r="M1437" s="22">
        <v>0</v>
      </c>
      <c r="N1437" s="74">
        <v>0</v>
      </c>
      <c r="O1437" s="22">
        <v>0</v>
      </c>
      <c r="P1437" s="21">
        <v>105000</v>
      </c>
      <c r="S1437" s="108" t="b">
        <f>OR(COUNTIF(Tabla2[[#This Row],[PROVEEDOR]],"*"&amp;'Palabra no opera'!$A$2&amp;"*"))</f>
        <v>0</v>
      </c>
      <c r="T1437" s="139">
        <f>+$W$5-Tabla2[[#This Row],[FECHA DE FACTURACIÓN]]</f>
        <v>433</v>
      </c>
      <c r="U1437" t="str">
        <f>+IF(Tabla2[[#This Row],[dias de credito]]&gt;=Tabla2[[#This Row],[PLAZO Días]],"venc", "No venc")</f>
        <v>venc</v>
      </c>
      <c r="V1437" t="str">
        <f>+IF(Tabla2[[#This Row],[FECHA DE PAGO]]&gt;0,"pagada","por pagar")</f>
        <v>pagada</v>
      </c>
      <c r="W1437" s="141" t="str">
        <f>+IF(AND(Tabla2[[#This Row],[venc]]="venc",Tabla2[[#This Row],[Columna1]]="por pagar"),"vencida","no")</f>
        <v>no</v>
      </c>
    </row>
    <row r="1438" spans="1:23" ht="15.6" hidden="1" x14ac:dyDescent="0.3">
      <c r="A1438" s="20">
        <v>30</v>
      </c>
      <c r="B1438" s="25">
        <v>0</v>
      </c>
      <c r="C1438" s="25"/>
      <c r="D1438" s="56" t="s">
        <v>260</v>
      </c>
      <c r="E1438" s="426">
        <v>44858</v>
      </c>
      <c r="F1438" s="26" t="s">
        <v>635</v>
      </c>
      <c r="G1438" s="426">
        <v>44854</v>
      </c>
      <c r="H1438" s="35">
        <v>4681</v>
      </c>
      <c r="I1438" s="21">
        <v>3002200</v>
      </c>
      <c r="J1438" s="21"/>
      <c r="K1438" s="22">
        <v>0</v>
      </c>
      <c r="L1438" s="23"/>
      <c r="M1438" s="22">
        <v>0</v>
      </c>
      <c r="N1438" s="74">
        <v>3.5000000000000003E-2</v>
      </c>
      <c r="O1438" s="22">
        <v>105077.00000000001</v>
      </c>
      <c r="P1438" s="21">
        <v>2897123</v>
      </c>
      <c r="S1438" s="108" t="b">
        <f>OR(COUNTIF(Tabla2[[#This Row],[PROVEEDOR]],"*"&amp;'Palabra no opera'!$A$2&amp;"*"))</f>
        <v>1</v>
      </c>
      <c r="T1438" s="139">
        <f>+$W$5-Tabla2[[#This Row],[FECHA DE FACTURACIÓN]]</f>
        <v>437</v>
      </c>
      <c r="U1438" t="str">
        <f>+IF(Tabla2[[#This Row],[dias de credito]]&gt;=Tabla2[[#This Row],[PLAZO Días]],"venc", "No venc")</f>
        <v>venc</v>
      </c>
      <c r="V1438" t="str">
        <f>+IF(Tabla2[[#This Row],[FECHA DE PAGO]]&gt;0,"pagada","por pagar")</f>
        <v>pagada</v>
      </c>
      <c r="W1438" s="141" t="str">
        <f>+IF(AND(Tabla2[[#This Row],[venc]]="venc",Tabla2[[#This Row],[Columna1]]="por pagar"),"vencida","no")</f>
        <v>no</v>
      </c>
    </row>
    <row r="1439" spans="1:23" ht="15.6" hidden="1" x14ac:dyDescent="0.3">
      <c r="A1439" s="20">
        <v>30</v>
      </c>
      <c r="B1439" s="25">
        <v>352505.48</v>
      </c>
      <c r="C1439" s="25"/>
      <c r="D1439" s="56" t="s">
        <v>393</v>
      </c>
      <c r="E1439" s="426">
        <v>44858</v>
      </c>
      <c r="F1439" s="26" t="s">
        <v>650</v>
      </c>
      <c r="G1439" s="426">
        <v>44844</v>
      </c>
      <c r="H1439" s="35" t="s">
        <v>1215</v>
      </c>
      <c r="I1439" s="21">
        <v>161083</v>
      </c>
      <c r="J1439" s="21"/>
      <c r="K1439" s="22">
        <v>0</v>
      </c>
      <c r="L1439" s="23"/>
      <c r="M1439" s="22">
        <v>0</v>
      </c>
      <c r="N1439" s="74">
        <v>0</v>
      </c>
      <c r="O1439" s="22">
        <v>0</v>
      </c>
      <c r="P1439" s="21">
        <v>161083</v>
      </c>
      <c r="S1439" s="108" t="b">
        <f>OR(COUNTIF(Tabla2[[#This Row],[PROVEEDOR]],"*"&amp;'Palabra no opera'!$A$2&amp;"*"))</f>
        <v>1</v>
      </c>
      <c r="T1439" s="139">
        <f>+$W$5-Tabla2[[#This Row],[FECHA DE FACTURACIÓN]]</f>
        <v>447</v>
      </c>
      <c r="U1439" t="str">
        <f>+IF(Tabla2[[#This Row],[dias de credito]]&gt;=Tabla2[[#This Row],[PLAZO Días]],"venc", "No venc")</f>
        <v>venc</v>
      </c>
      <c r="V1439" t="str">
        <f>+IF(Tabla2[[#This Row],[FECHA DE PAGO]]&gt;0,"pagada","por pagar")</f>
        <v>pagada</v>
      </c>
      <c r="W1439" s="141" t="str">
        <f>+IF(AND(Tabla2[[#This Row],[venc]]="venc",Tabla2[[#This Row],[Columna1]]="por pagar"),"vencida","no")</f>
        <v>no</v>
      </c>
    </row>
    <row r="1440" spans="1:23" ht="15.6" hidden="1" x14ac:dyDescent="0.3">
      <c r="A1440" s="20">
        <v>30</v>
      </c>
      <c r="B1440" s="25">
        <v>0</v>
      </c>
      <c r="C1440" s="25"/>
      <c r="D1440" s="56" t="s">
        <v>740</v>
      </c>
      <c r="E1440" s="426">
        <v>44858</v>
      </c>
      <c r="F1440" s="26" t="s">
        <v>637</v>
      </c>
      <c r="G1440" s="426">
        <v>44838</v>
      </c>
      <c r="H1440" s="35" t="s">
        <v>1210</v>
      </c>
      <c r="I1440" s="21">
        <v>59583</v>
      </c>
      <c r="J1440" s="21"/>
      <c r="K1440" s="22">
        <v>0</v>
      </c>
      <c r="L1440" s="23"/>
      <c r="M1440" s="22">
        <v>0</v>
      </c>
      <c r="N1440" s="74">
        <v>0</v>
      </c>
      <c r="O1440" s="22">
        <v>0</v>
      </c>
      <c r="P1440" s="21">
        <v>59583</v>
      </c>
      <c r="S1440" s="108" t="b">
        <f>OR(COUNTIF(Tabla2[[#This Row],[PROVEEDOR]],"*"&amp;'Palabra no opera'!$A$2&amp;"*"))</f>
        <v>1</v>
      </c>
      <c r="T1440" s="139">
        <f>+$W$5-Tabla2[[#This Row],[FECHA DE FACTURACIÓN]]</f>
        <v>453</v>
      </c>
      <c r="U1440" t="str">
        <f>+IF(Tabla2[[#This Row],[dias de credito]]&gt;=Tabla2[[#This Row],[PLAZO Días]],"venc", "No venc")</f>
        <v>venc</v>
      </c>
      <c r="V1440" t="str">
        <f>+IF(Tabla2[[#This Row],[FECHA DE PAGO]]&gt;0,"pagada","por pagar")</f>
        <v>pagada</v>
      </c>
      <c r="W1440" s="141" t="str">
        <f>+IF(AND(Tabla2[[#This Row],[venc]]="venc",Tabla2[[#This Row],[Columna1]]="por pagar"),"vencida","no")</f>
        <v>no</v>
      </c>
    </row>
    <row r="1441" spans="1:23" ht="15.6" hidden="1" x14ac:dyDescent="0.3">
      <c r="A1441" s="20">
        <v>30</v>
      </c>
      <c r="B1441" s="25">
        <v>0</v>
      </c>
      <c r="C1441" s="25"/>
      <c r="D1441" s="56" t="s">
        <v>740</v>
      </c>
      <c r="E1441" s="426">
        <v>44858</v>
      </c>
      <c r="F1441" s="26" t="s">
        <v>637</v>
      </c>
      <c r="G1441" s="426">
        <v>44838</v>
      </c>
      <c r="H1441" s="35" t="s">
        <v>1211</v>
      </c>
      <c r="I1441" s="21">
        <v>68166</v>
      </c>
      <c r="J1441" s="21"/>
      <c r="K1441" s="22">
        <v>0</v>
      </c>
      <c r="L1441" s="23"/>
      <c r="M1441" s="22">
        <v>0</v>
      </c>
      <c r="N1441" s="74">
        <v>0</v>
      </c>
      <c r="O1441" s="22">
        <v>0</v>
      </c>
      <c r="P1441" s="21">
        <v>68166</v>
      </c>
      <c r="S1441" s="108" t="b">
        <f>OR(COUNTIF(Tabla2[[#This Row],[PROVEEDOR]],"*"&amp;'Palabra no opera'!$A$2&amp;"*"))</f>
        <v>1</v>
      </c>
      <c r="T1441" s="139">
        <f>+$W$5-Tabla2[[#This Row],[FECHA DE FACTURACIÓN]]</f>
        <v>453</v>
      </c>
      <c r="U1441" t="str">
        <f>+IF(Tabla2[[#This Row],[dias de credito]]&gt;=Tabla2[[#This Row],[PLAZO Días]],"venc", "No venc")</f>
        <v>venc</v>
      </c>
      <c r="V1441" t="str">
        <f>+IF(Tabla2[[#This Row],[FECHA DE PAGO]]&gt;0,"pagada","por pagar")</f>
        <v>pagada</v>
      </c>
      <c r="W1441" s="141" t="str">
        <f>+IF(AND(Tabla2[[#This Row],[venc]]="venc",Tabla2[[#This Row],[Columna1]]="por pagar"),"vencida","no")</f>
        <v>no</v>
      </c>
    </row>
    <row r="1442" spans="1:23" ht="15.6" hidden="1" x14ac:dyDescent="0.3">
      <c r="A1442" s="20">
        <v>30</v>
      </c>
      <c r="B1442" s="25">
        <v>352505.48</v>
      </c>
      <c r="C1442" s="25"/>
      <c r="D1442" s="56" t="s">
        <v>393</v>
      </c>
      <c r="E1442" s="426">
        <v>44858</v>
      </c>
      <c r="F1442" s="26" t="s">
        <v>650</v>
      </c>
      <c r="G1442" s="426">
        <v>44837</v>
      </c>
      <c r="H1442" s="35" t="s">
        <v>1212</v>
      </c>
      <c r="I1442" s="21">
        <v>284467</v>
      </c>
      <c r="J1442" s="21"/>
      <c r="K1442" s="22">
        <v>0</v>
      </c>
      <c r="L1442" s="23"/>
      <c r="M1442" s="22">
        <v>0</v>
      </c>
      <c r="N1442" s="74">
        <v>0</v>
      </c>
      <c r="O1442" s="22">
        <v>0</v>
      </c>
      <c r="P1442" s="21">
        <v>284467</v>
      </c>
      <c r="S1442" s="108" t="b">
        <f>OR(COUNTIF(Tabla2[[#This Row],[PROVEEDOR]],"*"&amp;'Palabra no opera'!$A$2&amp;"*"))</f>
        <v>1</v>
      </c>
      <c r="T1442" s="139">
        <f>+$W$5-Tabla2[[#This Row],[FECHA DE FACTURACIÓN]]</f>
        <v>454</v>
      </c>
      <c r="U1442" t="str">
        <f>+IF(Tabla2[[#This Row],[dias de credito]]&gt;=Tabla2[[#This Row],[PLAZO Días]],"venc", "No venc")</f>
        <v>venc</v>
      </c>
      <c r="V1442" t="str">
        <f>+IF(Tabla2[[#This Row],[FECHA DE PAGO]]&gt;0,"pagada","por pagar")</f>
        <v>pagada</v>
      </c>
      <c r="W1442" s="141" t="str">
        <f>+IF(AND(Tabla2[[#This Row],[venc]]="venc",Tabla2[[#This Row],[Columna1]]="por pagar"),"vencida","no")</f>
        <v>no</v>
      </c>
    </row>
    <row r="1443" spans="1:23" ht="15.6" hidden="1" x14ac:dyDescent="0.3">
      <c r="A1443" s="20">
        <v>30</v>
      </c>
      <c r="B1443" s="25">
        <v>0</v>
      </c>
      <c r="C1443" s="25"/>
      <c r="D1443" s="56" t="s">
        <v>740</v>
      </c>
      <c r="E1443" s="426">
        <v>44858</v>
      </c>
      <c r="F1443" s="26" t="s">
        <v>637</v>
      </c>
      <c r="G1443" s="426">
        <v>44837</v>
      </c>
      <c r="H1443" s="35" t="s">
        <v>1213</v>
      </c>
      <c r="I1443" s="21">
        <v>818875</v>
      </c>
      <c r="J1443" s="21"/>
      <c r="K1443" s="22">
        <v>0</v>
      </c>
      <c r="L1443" s="23"/>
      <c r="M1443" s="22">
        <v>0</v>
      </c>
      <c r="N1443" s="74">
        <v>0</v>
      </c>
      <c r="O1443" s="22">
        <v>0</v>
      </c>
      <c r="P1443" s="21">
        <v>818875</v>
      </c>
      <c r="S1443" s="108" t="b">
        <f>OR(COUNTIF(Tabla2[[#This Row],[PROVEEDOR]],"*"&amp;'Palabra no opera'!$A$2&amp;"*"))</f>
        <v>1</v>
      </c>
      <c r="T1443" s="139">
        <f>+$W$5-Tabla2[[#This Row],[FECHA DE FACTURACIÓN]]</f>
        <v>454</v>
      </c>
      <c r="U1443" t="str">
        <f>+IF(Tabla2[[#This Row],[dias de credito]]&gt;=Tabla2[[#This Row],[PLAZO Días]],"venc", "No venc")</f>
        <v>venc</v>
      </c>
      <c r="V1443" t="str">
        <f>+IF(Tabla2[[#This Row],[FECHA DE PAGO]]&gt;0,"pagada","por pagar")</f>
        <v>pagada</v>
      </c>
      <c r="W1443" s="141" t="str">
        <f>+IF(AND(Tabla2[[#This Row],[venc]]="venc",Tabla2[[#This Row],[Columna1]]="por pagar"),"vencida","no")</f>
        <v>no</v>
      </c>
    </row>
    <row r="1444" spans="1:23" ht="15.6" hidden="1" x14ac:dyDescent="0.3">
      <c r="A1444" s="20">
        <v>30</v>
      </c>
      <c r="B1444" s="25">
        <v>0</v>
      </c>
      <c r="C1444" s="25"/>
      <c r="D1444" s="56" t="s">
        <v>740</v>
      </c>
      <c r="E1444" s="426">
        <v>44858</v>
      </c>
      <c r="F1444" s="26" t="s">
        <v>637</v>
      </c>
      <c r="G1444" s="426">
        <v>44837</v>
      </c>
      <c r="H1444" s="35" t="s">
        <v>1214</v>
      </c>
      <c r="I1444" s="21">
        <v>825349</v>
      </c>
      <c r="J1444" s="21"/>
      <c r="K1444" s="22">
        <v>0</v>
      </c>
      <c r="L1444" s="23"/>
      <c r="M1444" s="22">
        <v>0</v>
      </c>
      <c r="N1444" s="74">
        <v>0</v>
      </c>
      <c r="O1444" s="22">
        <v>0</v>
      </c>
      <c r="P1444" s="21">
        <v>825349</v>
      </c>
      <c r="S1444" s="108" t="b">
        <f>OR(COUNTIF(Tabla2[[#This Row],[PROVEEDOR]],"*"&amp;'Palabra no opera'!$A$2&amp;"*"))</f>
        <v>1</v>
      </c>
      <c r="T1444" s="139">
        <f>+$W$5-Tabla2[[#This Row],[FECHA DE FACTURACIÓN]]</f>
        <v>454</v>
      </c>
      <c r="U1444" t="str">
        <f>+IF(Tabla2[[#This Row],[dias de credito]]&gt;=Tabla2[[#This Row],[PLAZO Días]],"venc", "No venc")</f>
        <v>venc</v>
      </c>
      <c r="V1444" t="str">
        <f>+IF(Tabla2[[#This Row],[FECHA DE PAGO]]&gt;0,"pagada","por pagar")</f>
        <v>pagada</v>
      </c>
      <c r="W1444" s="141" t="str">
        <f>+IF(AND(Tabla2[[#This Row],[venc]]="venc",Tabla2[[#This Row],[Columna1]]="por pagar"),"vencida","no")</f>
        <v>no</v>
      </c>
    </row>
    <row r="1445" spans="1:23" ht="15.6" hidden="1" x14ac:dyDescent="0.3">
      <c r="A1445" s="20">
        <v>10</v>
      </c>
      <c r="B1445" s="25">
        <v>0</v>
      </c>
      <c r="C1445" s="25"/>
      <c r="D1445" s="56" t="s">
        <v>1203</v>
      </c>
      <c r="E1445" s="426">
        <v>44858</v>
      </c>
      <c r="F1445" s="26" t="s">
        <v>1202</v>
      </c>
      <c r="G1445" s="426">
        <v>44837</v>
      </c>
      <c r="H1445" s="35">
        <v>20</v>
      </c>
      <c r="I1445" s="21">
        <v>5628700</v>
      </c>
      <c r="J1445" s="21"/>
      <c r="K1445" s="22">
        <v>0</v>
      </c>
      <c r="L1445" s="23"/>
      <c r="M1445" s="22">
        <v>0</v>
      </c>
      <c r="N1445" s="74">
        <v>0</v>
      </c>
      <c r="O1445" s="22">
        <v>0</v>
      </c>
      <c r="P1445" s="21">
        <v>5628700</v>
      </c>
      <c r="S1445" s="108" t="b">
        <f>OR(COUNTIF(Tabla2[[#This Row],[PROVEEDOR]],"*"&amp;'Palabra no opera'!$A$2&amp;"*"))</f>
        <v>1</v>
      </c>
      <c r="T1445" s="139">
        <f>+$W$5-Tabla2[[#This Row],[FECHA DE FACTURACIÓN]]</f>
        <v>454</v>
      </c>
      <c r="U1445" t="str">
        <f>+IF(Tabla2[[#This Row],[dias de credito]]&gt;=Tabla2[[#This Row],[PLAZO Días]],"venc", "No venc")</f>
        <v>venc</v>
      </c>
      <c r="V1445" t="str">
        <f>+IF(Tabla2[[#This Row],[FECHA DE PAGO]]&gt;0,"pagada","por pagar")</f>
        <v>pagada</v>
      </c>
      <c r="W1445" s="141" t="str">
        <f>+IF(AND(Tabla2[[#This Row],[venc]]="venc",Tabla2[[#This Row],[Columna1]]="por pagar"),"vencida","no")</f>
        <v>no</v>
      </c>
    </row>
    <row r="1446" spans="1:23" ht="15.6" hidden="1" x14ac:dyDescent="0.3">
      <c r="A1446" s="20">
        <v>30</v>
      </c>
      <c r="B1446" s="25">
        <v>0</v>
      </c>
      <c r="C1446" s="25"/>
      <c r="D1446" s="56" t="s">
        <v>185</v>
      </c>
      <c r="E1446" s="426">
        <v>44858</v>
      </c>
      <c r="F1446" s="26" t="s">
        <v>628</v>
      </c>
      <c r="G1446" s="426">
        <v>44835</v>
      </c>
      <c r="H1446" s="35">
        <v>11586</v>
      </c>
      <c r="I1446" s="21">
        <v>1649859</v>
      </c>
      <c r="J1446" s="21"/>
      <c r="K1446" s="22">
        <v>0</v>
      </c>
      <c r="L1446" s="23"/>
      <c r="M1446" s="22">
        <v>0</v>
      </c>
      <c r="N1446" s="74">
        <v>0</v>
      </c>
      <c r="O1446" s="22">
        <v>0</v>
      </c>
      <c r="P1446" s="21">
        <v>1649859</v>
      </c>
      <c r="S1446" s="108" t="b">
        <f>OR(COUNTIF(Tabla2[[#This Row],[PROVEEDOR]],"*"&amp;'Palabra no opera'!$A$2&amp;"*"))</f>
        <v>1</v>
      </c>
      <c r="T1446" s="139">
        <f>+$W$5-Tabla2[[#This Row],[FECHA DE FACTURACIÓN]]</f>
        <v>456</v>
      </c>
      <c r="U1446" t="str">
        <f>+IF(Tabla2[[#This Row],[dias de credito]]&gt;=Tabla2[[#This Row],[PLAZO Días]],"venc", "No venc")</f>
        <v>venc</v>
      </c>
      <c r="V1446" t="str">
        <f>+IF(Tabla2[[#This Row],[FECHA DE PAGO]]&gt;0,"pagada","por pagar")</f>
        <v>pagada</v>
      </c>
      <c r="W1446" s="141" t="str">
        <f>+IF(AND(Tabla2[[#This Row],[venc]]="venc",Tabla2[[#This Row],[Columna1]]="por pagar"),"vencida","no")</f>
        <v>no</v>
      </c>
    </row>
    <row r="1447" spans="1:23" ht="15.6" hidden="1" x14ac:dyDescent="0.3">
      <c r="A1447" s="20">
        <v>30</v>
      </c>
      <c r="B1447" s="25">
        <v>0</v>
      </c>
      <c r="C1447" s="25"/>
      <c r="D1447" s="56" t="s">
        <v>175</v>
      </c>
      <c r="E1447" s="426">
        <v>44858</v>
      </c>
      <c r="F1447" s="26" t="s">
        <v>49</v>
      </c>
      <c r="G1447" s="426">
        <v>44819</v>
      </c>
      <c r="H1447" s="35" t="s">
        <v>1102</v>
      </c>
      <c r="I1447" s="21">
        <v>630252</v>
      </c>
      <c r="J1447" s="21"/>
      <c r="K1447" s="22">
        <v>119747.88</v>
      </c>
      <c r="L1447" s="23"/>
      <c r="M1447" s="22">
        <v>0</v>
      </c>
      <c r="N1447" s="74">
        <v>0</v>
      </c>
      <c r="O1447" s="22">
        <v>0</v>
      </c>
      <c r="P1447" s="21">
        <v>749999.88</v>
      </c>
      <c r="S1447" s="108" t="b">
        <f>OR(COUNTIF(Tabla2[[#This Row],[PROVEEDOR]],"*"&amp;'Palabra no opera'!$A$2&amp;"*"))</f>
        <v>0</v>
      </c>
      <c r="T1447" s="139">
        <f>+$W$5-Tabla2[[#This Row],[FECHA DE FACTURACIÓN]]</f>
        <v>472</v>
      </c>
      <c r="U1447" t="str">
        <f>+IF(Tabla2[[#This Row],[dias de credito]]&gt;=Tabla2[[#This Row],[PLAZO Días]],"venc", "No venc")</f>
        <v>venc</v>
      </c>
      <c r="V1447" t="str">
        <f>+IF(Tabla2[[#This Row],[FECHA DE PAGO]]&gt;0,"pagada","por pagar")</f>
        <v>pagada</v>
      </c>
      <c r="W1447" s="141" t="str">
        <f>+IF(AND(Tabla2[[#This Row],[venc]]="venc",Tabla2[[#This Row],[Columna1]]="por pagar"),"vencida","no")</f>
        <v>no</v>
      </c>
    </row>
    <row r="1448" spans="1:23" ht="15.6" hidden="1" x14ac:dyDescent="0.3">
      <c r="A1448" s="20">
        <v>45</v>
      </c>
      <c r="B1448" s="25">
        <v>8072960</v>
      </c>
      <c r="C1448" s="25"/>
      <c r="D1448" s="56" t="s">
        <v>198</v>
      </c>
      <c r="E1448" s="426">
        <v>44858</v>
      </c>
      <c r="F1448" s="26" t="s">
        <v>10</v>
      </c>
      <c r="G1448" s="426">
        <v>44802</v>
      </c>
      <c r="H1448" s="35" t="s">
        <v>1071</v>
      </c>
      <c r="I1448" s="21">
        <v>1720000</v>
      </c>
      <c r="J1448" s="21"/>
      <c r="K1448" s="22">
        <v>326800</v>
      </c>
      <c r="L1448" s="23"/>
      <c r="M1448" s="22">
        <v>0</v>
      </c>
      <c r="N1448" s="74">
        <v>0</v>
      </c>
      <c r="O1448" s="22">
        <v>0</v>
      </c>
      <c r="P1448" s="21">
        <v>2046800</v>
      </c>
      <c r="S1448" s="108" t="b">
        <f>OR(COUNTIF(Tabla2[[#This Row],[PROVEEDOR]],"*"&amp;'Palabra no opera'!$A$2&amp;"*"))</f>
        <v>0</v>
      </c>
      <c r="T1448" s="139">
        <f>+$W$5-Tabla2[[#This Row],[FECHA DE FACTURACIÓN]]</f>
        <v>489</v>
      </c>
      <c r="U1448" t="str">
        <f>+IF(Tabla2[[#This Row],[dias de credito]]&gt;=Tabla2[[#This Row],[PLAZO Días]],"venc", "No venc")</f>
        <v>venc</v>
      </c>
      <c r="V1448" t="str">
        <f>+IF(Tabla2[[#This Row],[FECHA DE PAGO]]&gt;0,"pagada","por pagar")</f>
        <v>pagada</v>
      </c>
      <c r="W1448" s="141" t="str">
        <f>+IF(AND(Tabla2[[#This Row],[venc]]="venc",Tabla2[[#This Row],[Columna1]]="por pagar"),"vencida","no")</f>
        <v>no</v>
      </c>
    </row>
    <row r="1449" spans="1:23" ht="15.6" hidden="1" x14ac:dyDescent="0.3">
      <c r="A1449" s="20">
        <v>45</v>
      </c>
      <c r="B1449" s="25">
        <v>8072960</v>
      </c>
      <c r="C1449" s="25"/>
      <c r="D1449" s="56" t="s">
        <v>198</v>
      </c>
      <c r="E1449" s="426">
        <v>44858</v>
      </c>
      <c r="F1449" s="26" t="s">
        <v>10</v>
      </c>
      <c r="G1449" s="426">
        <v>44792</v>
      </c>
      <c r="H1449" s="35" t="s">
        <v>931</v>
      </c>
      <c r="I1449" s="21">
        <v>750000</v>
      </c>
      <c r="J1449" s="21"/>
      <c r="K1449" s="22">
        <v>142500</v>
      </c>
      <c r="L1449" s="23"/>
      <c r="M1449" s="22">
        <v>0</v>
      </c>
      <c r="N1449" s="74">
        <v>0</v>
      </c>
      <c r="O1449" s="22">
        <v>0</v>
      </c>
      <c r="P1449" s="21">
        <v>892500</v>
      </c>
      <c r="S1449" s="108" t="b">
        <f>OR(COUNTIF(Tabla2[[#This Row],[PROVEEDOR]],"*"&amp;'Palabra no opera'!$A$2&amp;"*"))</f>
        <v>0</v>
      </c>
      <c r="T1449" s="139">
        <f>+$W$5-Tabla2[[#This Row],[FECHA DE FACTURACIÓN]]</f>
        <v>499</v>
      </c>
      <c r="U1449" t="str">
        <f>+IF(Tabla2[[#This Row],[dias de credito]]&gt;=Tabla2[[#This Row],[PLAZO Días]],"venc", "No venc")</f>
        <v>venc</v>
      </c>
      <c r="V1449" t="str">
        <f>+IF(Tabla2[[#This Row],[FECHA DE PAGO]]&gt;0,"pagada","por pagar")</f>
        <v>pagada</v>
      </c>
      <c r="W1449" s="141" t="str">
        <f>+IF(AND(Tabla2[[#This Row],[venc]]="venc",Tabla2[[#This Row],[Columna1]]="por pagar"),"vencida","no")</f>
        <v>no</v>
      </c>
    </row>
    <row r="1450" spans="1:23" ht="15.6" hidden="1" x14ac:dyDescent="0.3">
      <c r="A1450" s="20">
        <v>45</v>
      </c>
      <c r="B1450" s="25">
        <v>8072960</v>
      </c>
      <c r="C1450" s="25"/>
      <c r="D1450" s="56" t="s">
        <v>198</v>
      </c>
      <c r="E1450" s="426">
        <v>44858</v>
      </c>
      <c r="F1450" s="26" t="s">
        <v>10</v>
      </c>
      <c r="G1450" s="426">
        <v>44791</v>
      </c>
      <c r="H1450" s="35" t="s">
        <v>932</v>
      </c>
      <c r="I1450" s="21">
        <v>456000</v>
      </c>
      <c r="J1450" s="21"/>
      <c r="K1450" s="22">
        <v>86640</v>
      </c>
      <c r="L1450" s="23"/>
      <c r="M1450" s="22">
        <v>0</v>
      </c>
      <c r="N1450" s="74">
        <v>0</v>
      </c>
      <c r="O1450" s="22">
        <v>0</v>
      </c>
      <c r="P1450" s="21">
        <v>542640</v>
      </c>
      <c r="S1450" s="108" t="b">
        <f>OR(COUNTIF(Tabla2[[#This Row],[PROVEEDOR]],"*"&amp;'Palabra no opera'!$A$2&amp;"*"))</f>
        <v>0</v>
      </c>
      <c r="T1450" s="139">
        <f>+$W$5-Tabla2[[#This Row],[FECHA DE FACTURACIÓN]]</f>
        <v>500</v>
      </c>
      <c r="U1450" t="str">
        <f>+IF(Tabla2[[#This Row],[dias de credito]]&gt;=Tabla2[[#This Row],[PLAZO Días]],"venc", "No venc")</f>
        <v>venc</v>
      </c>
      <c r="V1450" t="str">
        <f>+IF(Tabla2[[#This Row],[FECHA DE PAGO]]&gt;0,"pagada","por pagar")</f>
        <v>pagada</v>
      </c>
      <c r="W1450" s="141" t="str">
        <f>+IF(AND(Tabla2[[#This Row],[venc]]="venc",Tabla2[[#This Row],[Columna1]]="por pagar"),"vencida","no")</f>
        <v>no</v>
      </c>
    </row>
    <row r="1451" spans="1:23" ht="15.6" hidden="1" x14ac:dyDescent="0.3">
      <c r="A1451" s="20">
        <v>30</v>
      </c>
      <c r="B1451" s="25">
        <v>559000</v>
      </c>
      <c r="C1451" s="25"/>
      <c r="D1451" s="56" t="s">
        <v>107</v>
      </c>
      <c r="E1451" s="426">
        <v>44857</v>
      </c>
      <c r="F1451" s="26" t="s">
        <v>399</v>
      </c>
      <c r="G1451" s="426">
        <v>44856</v>
      </c>
      <c r="H1451" s="35" t="s">
        <v>1221</v>
      </c>
      <c r="I1451" s="21">
        <v>684000</v>
      </c>
      <c r="J1451" s="21"/>
      <c r="K1451" s="22">
        <v>0</v>
      </c>
      <c r="L1451" s="23"/>
      <c r="M1451" s="22">
        <v>0</v>
      </c>
      <c r="N1451" s="74">
        <v>0</v>
      </c>
      <c r="O1451" s="22">
        <v>0</v>
      </c>
      <c r="P1451" s="21">
        <v>684000</v>
      </c>
      <c r="S1451" s="108" t="b">
        <f>OR(COUNTIF(Tabla2[[#This Row],[PROVEEDOR]],"*"&amp;'Palabra no opera'!$A$2&amp;"*"))</f>
        <v>0</v>
      </c>
      <c r="T1451" s="139">
        <f>+$W$5-Tabla2[[#This Row],[FECHA DE FACTURACIÓN]]</f>
        <v>435</v>
      </c>
      <c r="U1451" t="str">
        <f>+IF(Tabla2[[#This Row],[dias de credito]]&gt;=Tabla2[[#This Row],[PLAZO Días]],"venc", "No venc")</f>
        <v>venc</v>
      </c>
      <c r="V1451" t="str">
        <f>+IF(Tabla2[[#This Row],[FECHA DE PAGO]]&gt;0,"pagada","por pagar")</f>
        <v>pagada</v>
      </c>
      <c r="W1451" s="141" t="str">
        <f>+IF(AND(Tabla2[[#This Row],[venc]]="venc",Tabla2[[#This Row],[Columna1]]="por pagar"),"vencida","no")</f>
        <v>no</v>
      </c>
    </row>
    <row r="1452" spans="1:23" ht="15.6" hidden="1" x14ac:dyDescent="0.3">
      <c r="A1452" s="20">
        <v>30</v>
      </c>
      <c r="B1452" s="25">
        <v>0</v>
      </c>
      <c r="C1452" s="25"/>
      <c r="D1452" s="56">
        <v>0</v>
      </c>
      <c r="E1452" s="426">
        <v>44855</v>
      </c>
      <c r="F1452" s="26" t="s">
        <v>1242</v>
      </c>
      <c r="G1452" s="426">
        <v>44853</v>
      </c>
      <c r="H1452" s="35" t="s">
        <v>1243</v>
      </c>
      <c r="I1452" s="21">
        <v>176120</v>
      </c>
      <c r="J1452" s="21"/>
      <c r="K1452" s="22">
        <v>0</v>
      </c>
      <c r="L1452" s="23"/>
      <c r="M1452" s="22">
        <v>0</v>
      </c>
      <c r="N1452" s="74">
        <v>0</v>
      </c>
      <c r="O1452" s="22">
        <v>0</v>
      </c>
      <c r="P1452" s="21">
        <v>176120</v>
      </c>
      <c r="S1452" s="108" t="b">
        <f>OR(COUNTIF(Tabla2[[#This Row],[PROVEEDOR]],"*"&amp;'Palabra no opera'!$A$2&amp;"*"))</f>
        <v>0</v>
      </c>
      <c r="T1452" s="139">
        <f>+$W$5-Tabla2[[#This Row],[FECHA DE FACTURACIÓN]]</f>
        <v>438</v>
      </c>
      <c r="U1452" t="str">
        <f>+IF(Tabla2[[#This Row],[dias de credito]]&gt;=Tabla2[[#This Row],[PLAZO Días]],"venc", "No venc")</f>
        <v>venc</v>
      </c>
      <c r="V1452" t="str">
        <f>+IF(Tabla2[[#This Row],[FECHA DE PAGO]]&gt;0,"pagada","por pagar")</f>
        <v>pagada</v>
      </c>
      <c r="W1452" s="141" t="str">
        <f>+IF(AND(Tabla2[[#This Row],[venc]]="venc",Tabla2[[#This Row],[Columna1]]="por pagar"),"vencida","no")</f>
        <v>no</v>
      </c>
    </row>
    <row r="1453" spans="1:23" ht="15.6" hidden="1" x14ac:dyDescent="0.3">
      <c r="A1453" s="20">
        <v>30</v>
      </c>
      <c r="B1453" s="25">
        <v>0</v>
      </c>
      <c r="C1453" s="25"/>
      <c r="D1453" s="56" t="s">
        <v>193</v>
      </c>
      <c r="E1453" s="426">
        <v>44855</v>
      </c>
      <c r="F1453" s="26" t="s">
        <v>651</v>
      </c>
      <c r="G1453" s="426">
        <v>44837</v>
      </c>
      <c r="H1453" s="35" t="s">
        <v>1208</v>
      </c>
      <c r="I1453" s="21">
        <v>215356</v>
      </c>
      <c r="J1453" s="21"/>
      <c r="K1453" s="22">
        <v>40917.64</v>
      </c>
      <c r="L1453" s="23"/>
      <c r="M1453" s="22">
        <v>0</v>
      </c>
      <c r="N1453" s="74">
        <v>3.5000000000000003E-2</v>
      </c>
      <c r="O1453" s="22">
        <v>7537.4600000000009</v>
      </c>
      <c r="P1453" s="21">
        <v>248736.18000000002</v>
      </c>
      <c r="S1453" s="108" t="b">
        <f>OR(COUNTIF(Tabla2[[#This Row],[PROVEEDOR]],"*"&amp;'Palabra no opera'!$A$2&amp;"*"))</f>
        <v>1</v>
      </c>
      <c r="T1453" s="139">
        <f>+$W$5-Tabla2[[#This Row],[FECHA DE FACTURACIÓN]]</f>
        <v>454</v>
      </c>
      <c r="U1453" t="str">
        <f>+IF(Tabla2[[#This Row],[dias de credito]]&gt;=Tabla2[[#This Row],[PLAZO Días]],"venc", "No venc")</f>
        <v>venc</v>
      </c>
      <c r="V1453" t="str">
        <f>+IF(Tabla2[[#This Row],[FECHA DE PAGO]]&gt;0,"pagada","por pagar")</f>
        <v>pagada</v>
      </c>
      <c r="W1453" s="141" t="str">
        <f>+IF(AND(Tabla2[[#This Row],[venc]]="venc",Tabla2[[#This Row],[Columna1]]="por pagar"),"vencida","no")</f>
        <v>no</v>
      </c>
    </row>
    <row r="1454" spans="1:23" ht="15.6" hidden="1" x14ac:dyDescent="0.3">
      <c r="A1454" s="20">
        <v>30</v>
      </c>
      <c r="B1454" s="25">
        <v>2773899.95</v>
      </c>
      <c r="C1454" s="25"/>
      <c r="D1454" s="56" t="s">
        <v>135</v>
      </c>
      <c r="E1454" s="426">
        <v>44855</v>
      </c>
      <c r="F1454" s="26" t="s">
        <v>20</v>
      </c>
      <c r="G1454" s="426">
        <v>44802</v>
      </c>
      <c r="H1454" s="35">
        <v>7709</v>
      </c>
      <c r="I1454" s="21">
        <v>1521328</v>
      </c>
      <c r="J1454" s="21"/>
      <c r="K1454" s="22">
        <v>289052.32</v>
      </c>
      <c r="L1454" s="23"/>
      <c r="M1454" s="22">
        <v>0</v>
      </c>
      <c r="N1454" s="74">
        <v>2.5000000000000001E-2</v>
      </c>
      <c r="O1454" s="22">
        <v>38033.200000000004</v>
      </c>
      <c r="P1454" s="21">
        <v>1772347.12</v>
      </c>
      <c r="S1454" s="108" t="b">
        <f>OR(COUNTIF(Tabla2[[#This Row],[PROVEEDOR]],"*"&amp;'Palabra no opera'!$A$2&amp;"*"))</f>
        <v>0</v>
      </c>
      <c r="T1454" s="139">
        <f>+$W$5-Tabla2[[#This Row],[FECHA DE FACTURACIÓN]]</f>
        <v>489</v>
      </c>
      <c r="U1454" t="str">
        <f>+IF(Tabla2[[#This Row],[dias de credito]]&gt;=Tabla2[[#This Row],[PLAZO Días]],"venc", "No venc")</f>
        <v>venc</v>
      </c>
      <c r="V1454" t="str">
        <f>+IF(Tabla2[[#This Row],[FECHA DE PAGO]]&gt;0,"pagada","por pagar")</f>
        <v>pagada</v>
      </c>
      <c r="W1454" s="141" t="str">
        <f>+IF(AND(Tabla2[[#This Row],[venc]]="venc",Tabla2[[#This Row],[Columna1]]="por pagar"),"vencida","no")</f>
        <v>no</v>
      </c>
    </row>
    <row r="1455" spans="1:23" ht="15.6" hidden="1" x14ac:dyDescent="0.3">
      <c r="A1455" s="20">
        <v>30</v>
      </c>
      <c r="B1455" s="25">
        <v>2773899.95</v>
      </c>
      <c r="C1455" s="25"/>
      <c r="D1455" s="56" t="s">
        <v>135</v>
      </c>
      <c r="E1455" s="426">
        <v>44855</v>
      </c>
      <c r="F1455" s="26" t="s">
        <v>20</v>
      </c>
      <c r="G1455" s="426">
        <v>44797</v>
      </c>
      <c r="H1455" s="35">
        <v>7689</v>
      </c>
      <c r="I1455" s="21">
        <v>1026000</v>
      </c>
      <c r="J1455" s="21"/>
      <c r="K1455" s="22">
        <v>194940</v>
      </c>
      <c r="L1455" s="23"/>
      <c r="M1455" s="22">
        <v>0</v>
      </c>
      <c r="N1455" s="74">
        <v>2.5000000000000001E-2</v>
      </c>
      <c r="O1455" s="22">
        <v>25650</v>
      </c>
      <c r="P1455" s="21">
        <v>1195290</v>
      </c>
      <c r="S1455" s="108" t="b">
        <f>OR(COUNTIF(Tabla2[[#This Row],[PROVEEDOR]],"*"&amp;'Palabra no opera'!$A$2&amp;"*"))</f>
        <v>0</v>
      </c>
      <c r="T1455" s="139">
        <f>+$W$5-Tabla2[[#This Row],[FECHA DE FACTURACIÓN]]</f>
        <v>494</v>
      </c>
      <c r="U1455" t="str">
        <f>+IF(Tabla2[[#This Row],[dias de credito]]&gt;=Tabla2[[#This Row],[PLAZO Días]],"venc", "No venc")</f>
        <v>venc</v>
      </c>
      <c r="V1455" t="str">
        <f>+IF(Tabla2[[#This Row],[FECHA DE PAGO]]&gt;0,"pagada","por pagar")</f>
        <v>pagada</v>
      </c>
      <c r="W1455" s="141" t="str">
        <f>+IF(AND(Tabla2[[#This Row],[venc]]="venc",Tabla2[[#This Row],[Columna1]]="por pagar"),"vencida","no")</f>
        <v>no</v>
      </c>
    </row>
    <row r="1456" spans="1:23" ht="15.6" hidden="1" x14ac:dyDescent="0.3">
      <c r="A1456" s="20">
        <v>45</v>
      </c>
      <c r="B1456" s="25">
        <v>15770594</v>
      </c>
      <c r="C1456" s="25"/>
      <c r="D1456" s="56" t="s">
        <v>594</v>
      </c>
      <c r="E1456" s="426">
        <v>44855</v>
      </c>
      <c r="F1456" s="26" t="s">
        <v>19</v>
      </c>
      <c r="G1456" s="426">
        <v>44797</v>
      </c>
      <c r="H1456" s="35" t="s">
        <v>1070</v>
      </c>
      <c r="I1456" s="21">
        <v>2271411</v>
      </c>
      <c r="J1456" s="21"/>
      <c r="K1456" s="22">
        <v>431568.09</v>
      </c>
      <c r="L1456" s="23"/>
      <c r="M1456" s="22">
        <v>0</v>
      </c>
      <c r="N1456" s="74">
        <v>0</v>
      </c>
      <c r="O1456" s="22">
        <v>0</v>
      </c>
      <c r="P1456" s="21">
        <v>2702979.09</v>
      </c>
      <c r="S1456" s="108" t="b">
        <f>OR(COUNTIF(Tabla2[[#This Row],[PROVEEDOR]],"*"&amp;'Palabra no opera'!$A$2&amp;"*"))</f>
        <v>0</v>
      </c>
      <c r="T1456" s="139">
        <f>+$W$5-Tabla2[[#This Row],[FECHA DE FACTURACIÓN]]</f>
        <v>494</v>
      </c>
      <c r="U1456" t="str">
        <f>+IF(Tabla2[[#This Row],[dias de credito]]&gt;=Tabla2[[#This Row],[PLAZO Días]],"venc", "No venc")</f>
        <v>venc</v>
      </c>
      <c r="V1456" t="str">
        <f>+IF(Tabla2[[#This Row],[FECHA DE PAGO]]&gt;0,"pagada","por pagar")</f>
        <v>pagada</v>
      </c>
      <c r="W1456" s="141" t="str">
        <f>+IF(AND(Tabla2[[#This Row],[venc]]="venc",Tabla2[[#This Row],[Columna1]]="por pagar"),"vencida","no")</f>
        <v>no</v>
      </c>
    </row>
    <row r="1457" spans="1:23" ht="15.6" hidden="1" x14ac:dyDescent="0.3">
      <c r="A1457" s="20">
        <v>30</v>
      </c>
      <c r="B1457" s="25">
        <v>2773899.95</v>
      </c>
      <c r="C1457" s="25"/>
      <c r="D1457" s="56" t="s">
        <v>135</v>
      </c>
      <c r="E1457" s="426">
        <v>44855</v>
      </c>
      <c r="F1457" s="26" t="s">
        <v>20</v>
      </c>
      <c r="G1457" s="426">
        <v>44792</v>
      </c>
      <c r="H1457" s="35">
        <v>7659</v>
      </c>
      <c r="I1457" s="21">
        <v>1450000</v>
      </c>
      <c r="J1457" s="21"/>
      <c r="K1457" s="22">
        <v>275500</v>
      </c>
      <c r="L1457" s="23"/>
      <c r="M1457" s="22">
        <v>0</v>
      </c>
      <c r="N1457" s="74">
        <v>2.5000000000000001E-2</v>
      </c>
      <c r="O1457" s="22">
        <v>36250</v>
      </c>
      <c r="P1457" s="21">
        <v>1689250</v>
      </c>
      <c r="S1457" s="108" t="b">
        <f>OR(COUNTIF(Tabla2[[#This Row],[PROVEEDOR]],"*"&amp;'Palabra no opera'!$A$2&amp;"*"))</f>
        <v>0</v>
      </c>
      <c r="T1457" s="139">
        <f>+$W$5-Tabla2[[#This Row],[FECHA DE FACTURACIÓN]]</f>
        <v>499</v>
      </c>
      <c r="U1457" t="str">
        <f>+IF(Tabla2[[#This Row],[dias de credito]]&gt;=Tabla2[[#This Row],[PLAZO Días]],"venc", "No venc")</f>
        <v>venc</v>
      </c>
      <c r="V1457" t="str">
        <f>+IF(Tabla2[[#This Row],[FECHA DE PAGO]]&gt;0,"pagada","por pagar")</f>
        <v>pagada</v>
      </c>
      <c r="W1457" s="141" t="str">
        <f>+IF(AND(Tabla2[[#This Row],[venc]]="venc",Tabla2[[#This Row],[Columna1]]="por pagar"),"vencida","no")</f>
        <v>no</v>
      </c>
    </row>
    <row r="1458" spans="1:23" ht="15.6" hidden="1" x14ac:dyDescent="0.3">
      <c r="A1458" s="20">
        <v>45</v>
      </c>
      <c r="B1458" s="25">
        <v>15770594</v>
      </c>
      <c r="C1458" s="25"/>
      <c r="D1458" s="56" t="s">
        <v>594</v>
      </c>
      <c r="E1458" s="426">
        <v>44855</v>
      </c>
      <c r="F1458" s="26" t="s">
        <v>19</v>
      </c>
      <c r="G1458" s="426">
        <v>44785</v>
      </c>
      <c r="H1458" s="35" t="s">
        <v>920</v>
      </c>
      <c r="I1458" s="21">
        <v>5111248</v>
      </c>
      <c r="J1458" s="21"/>
      <c r="K1458" s="22">
        <v>971137.12</v>
      </c>
      <c r="L1458" s="23"/>
      <c r="M1458" s="22">
        <v>0</v>
      </c>
      <c r="N1458" s="74">
        <v>0</v>
      </c>
      <c r="O1458" s="22">
        <v>0</v>
      </c>
      <c r="P1458" s="21">
        <v>6082385.1200000001</v>
      </c>
      <c r="S1458" s="108" t="b">
        <f>OR(COUNTIF(Tabla2[[#This Row],[PROVEEDOR]],"*"&amp;'Palabra no opera'!$A$2&amp;"*"))</f>
        <v>0</v>
      </c>
      <c r="T1458" s="139">
        <f>+$W$5-Tabla2[[#This Row],[FECHA DE FACTURACIÓN]]</f>
        <v>506</v>
      </c>
      <c r="U1458" t="str">
        <f>+IF(Tabla2[[#This Row],[dias de credito]]&gt;=Tabla2[[#This Row],[PLAZO Días]],"venc", "No venc")</f>
        <v>venc</v>
      </c>
      <c r="V1458" t="str">
        <f>+IF(Tabla2[[#This Row],[FECHA DE PAGO]]&gt;0,"pagada","por pagar")</f>
        <v>pagada</v>
      </c>
      <c r="W1458" s="141" t="str">
        <f>+IF(AND(Tabla2[[#This Row],[venc]]="venc",Tabla2[[#This Row],[Columna1]]="por pagar"),"vencida","no")</f>
        <v>no</v>
      </c>
    </row>
    <row r="1459" spans="1:23" ht="15.6" hidden="1" x14ac:dyDescent="0.3">
      <c r="A1459" s="20">
        <v>30</v>
      </c>
      <c r="B1459" s="25">
        <v>18444236.894999996</v>
      </c>
      <c r="C1459" s="25"/>
      <c r="D1459" s="56" t="s">
        <v>731</v>
      </c>
      <c r="E1459" s="426">
        <v>44855</v>
      </c>
      <c r="F1459" s="26" t="s">
        <v>11</v>
      </c>
      <c r="G1459" s="426">
        <v>44776</v>
      </c>
      <c r="H1459" s="35" t="s">
        <v>1196</v>
      </c>
      <c r="I1459" s="21">
        <v>394958</v>
      </c>
      <c r="J1459" s="21"/>
      <c r="K1459" s="22">
        <v>75042.02</v>
      </c>
      <c r="L1459" s="23"/>
      <c r="M1459" s="22">
        <v>0</v>
      </c>
      <c r="N1459" s="74">
        <v>0</v>
      </c>
      <c r="O1459" s="22">
        <v>0</v>
      </c>
      <c r="P1459" s="21">
        <v>470000.02</v>
      </c>
      <c r="S1459" s="108" t="b">
        <f>OR(COUNTIF(Tabla2[[#This Row],[PROVEEDOR]],"*"&amp;'Palabra no opera'!$A$2&amp;"*"))</f>
        <v>0</v>
      </c>
      <c r="T1459" s="139">
        <f>+$W$5-Tabla2[[#This Row],[FECHA DE FACTURACIÓN]]</f>
        <v>515</v>
      </c>
      <c r="U1459" t="str">
        <f>+IF(Tabla2[[#This Row],[dias de credito]]&gt;=Tabla2[[#This Row],[PLAZO Días]],"venc", "No venc")</f>
        <v>venc</v>
      </c>
      <c r="V1459" t="str">
        <f>+IF(Tabla2[[#This Row],[FECHA DE PAGO]]&gt;0,"pagada","por pagar")</f>
        <v>pagada</v>
      </c>
      <c r="W1459" s="141" t="str">
        <f>+IF(AND(Tabla2[[#This Row],[venc]]="venc",Tabla2[[#This Row],[Columna1]]="por pagar"),"vencida","no")</f>
        <v>no</v>
      </c>
    </row>
    <row r="1460" spans="1:23" ht="15.6" hidden="1" x14ac:dyDescent="0.3">
      <c r="A1460" s="20">
        <v>30</v>
      </c>
      <c r="B1460" s="25">
        <v>0</v>
      </c>
      <c r="C1460" s="25"/>
      <c r="D1460" s="56" t="s">
        <v>270</v>
      </c>
      <c r="E1460" s="426">
        <v>44855</v>
      </c>
      <c r="F1460" s="26" t="s">
        <v>169</v>
      </c>
      <c r="G1460" s="426">
        <v>44767</v>
      </c>
      <c r="H1460" s="35">
        <v>73</v>
      </c>
      <c r="I1460" s="21">
        <v>4178265</v>
      </c>
      <c r="J1460" s="21"/>
      <c r="K1460" s="22">
        <v>793870.35</v>
      </c>
      <c r="L1460" s="23"/>
      <c r="M1460" s="22">
        <v>0</v>
      </c>
      <c r="N1460" s="74">
        <v>2.5000000000000001E-2</v>
      </c>
      <c r="O1460" s="22">
        <v>104456.625</v>
      </c>
      <c r="P1460" s="21">
        <v>4867678.7249999996</v>
      </c>
      <c r="S1460" s="108" t="b">
        <f>OR(COUNTIF(Tabla2[[#This Row],[PROVEEDOR]],"*"&amp;'Palabra no opera'!$A$2&amp;"*"))</f>
        <v>0</v>
      </c>
      <c r="T1460" s="139">
        <f>+$W$5-Tabla2[[#This Row],[FECHA DE FACTURACIÓN]]</f>
        <v>524</v>
      </c>
      <c r="U1460" t="str">
        <f>+IF(Tabla2[[#This Row],[dias de credito]]&gt;=Tabla2[[#This Row],[PLAZO Días]],"venc", "No venc")</f>
        <v>venc</v>
      </c>
      <c r="V1460" t="str">
        <f>+IF(Tabla2[[#This Row],[FECHA DE PAGO]]&gt;0,"pagada","por pagar")</f>
        <v>pagada</v>
      </c>
      <c r="W1460" s="141" t="str">
        <f>+IF(AND(Tabla2[[#This Row],[venc]]="venc",Tabla2[[#This Row],[Columna1]]="por pagar"),"vencida","no")</f>
        <v>no</v>
      </c>
    </row>
    <row r="1461" spans="1:23" ht="15.6" hidden="1" x14ac:dyDescent="0.3">
      <c r="A1461" s="20">
        <v>30</v>
      </c>
      <c r="B1461" s="25">
        <v>0</v>
      </c>
      <c r="C1461" s="25"/>
      <c r="D1461" s="56" t="s">
        <v>270</v>
      </c>
      <c r="E1461" s="426">
        <v>44855</v>
      </c>
      <c r="F1461" s="26" t="s">
        <v>247</v>
      </c>
      <c r="G1461" s="426">
        <v>44767</v>
      </c>
      <c r="H1461" s="35">
        <v>158</v>
      </c>
      <c r="I1461" s="21">
        <v>2062515</v>
      </c>
      <c r="J1461" s="21"/>
      <c r="K1461" s="22">
        <v>391877.85</v>
      </c>
      <c r="L1461" s="23"/>
      <c r="M1461" s="22">
        <v>0</v>
      </c>
      <c r="N1461" s="74">
        <v>2.5000000000000001E-2</v>
      </c>
      <c r="O1461" s="22">
        <v>51562.875</v>
      </c>
      <c r="P1461" s="21">
        <v>2402829.9750000001</v>
      </c>
      <c r="S1461" s="108" t="b">
        <f>OR(COUNTIF(Tabla2[[#This Row],[PROVEEDOR]],"*"&amp;'Palabra no opera'!$A$2&amp;"*"))</f>
        <v>0</v>
      </c>
      <c r="T1461" s="139">
        <f>+$W$5-Tabla2[[#This Row],[FECHA DE FACTURACIÓN]]</f>
        <v>524</v>
      </c>
      <c r="U1461" t="str">
        <f>+IF(Tabla2[[#This Row],[dias de credito]]&gt;=Tabla2[[#This Row],[PLAZO Días]],"venc", "No venc")</f>
        <v>venc</v>
      </c>
      <c r="V1461" t="str">
        <f>+IF(Tabla2[[#This Row],[FECHA DE PAGO]]&gt;0,"pagada","por pagar")</f>
        <v>pagada</v>
      </c>
      <c r="W1461" s="141" t="str">
        <f>+IF(AND(Tabla2[[#This Row],[venc]]="venc",Tabla2[[#This Row],[Columna1]]="por pagar"),"vencida","no")</f>
        <v>no</v>
      </c>
    </row>
    <row r="1462" spans="1:23" ht="15.6" hidden="1" x14ac:dyDescent="0.3">
      <c r="A1462" s="20">
        <v>30</v>
      </c>
      <c r="B1462" s="25">
        <v>0</v>
      </c>
      <c r="C1462" s="25"/>
      <c r="D1462" s="56" t="s">
        <v>270</v>
      </c>
      <c r="E1462" s="426">
        <v>44855</v>
      </c>
      <c r="F1462" s="26" t="s">
        <v>247</v>
      </c>
      <c r="G1462" s="426">
        <v>44720</v>
      </c>
      <c r="H1462" s="35">
        <v>150</v>
      </c>
      <c r="I1462" s="21">
        <v>965300</v>
      </c>
      <c r="J1462" s="21"/>
      <c r="K1462" s="22">
        <v>183407</v>
      </c>
      <c r="L1462" s="23"/>
      <c r="M1462" s="22">
        <v>0</v>
      </c>
      <c r="N1462" s="74">
        <v>0</v>
      </c>
      <c r="O1462" s="22">
        <v>0</v>
      </c>
      <c r="P1462" s="21">
        <v>1148707</v>
      </c>
      <c r="S1462" s="108" t="b">
        <f>OR(COUNTIF(Tabla2[[#This Row],[PROVEEDOR]],"*"&amp;'Palabra no opera'!$A$2&amp;"*"))</f>
        <v>0</v>
      </c>
      <c r="T1462" s="139">
        <f>+$W$5-Tabla2[[#This Row],[FECHA DE FACTURACIÓN]]</f>
        <v>571</v>
      </c>
      <c r="U1462" t="str">
        <f>+IF(Tabla2[[#This Row],[dias de credito]]&gt;=Tabla2[[#This Row],[PLAZO Días]],"venc", "No venc")</f>
        <v>venc</v>
      </c>
      <c r="V1462" t="str">
        <f>+IF(Tabla2[[#This Row],[FECHA DE PAGO]]&gt;0,"pagada","por pagar")</f>
        <v>pagada</v>
      </c>
      <c r="W1462" s="141" t="str">
        <f>+IF(AND(Tabla2[[#This Row],[venc]]="venc",Tabla2[[#This Row],[Columna1]]="por pagar"),"vencida","no")</f>
        <v>no</v>
      </c>
    </row>
    <row r="1463" spans="1:23" ht="15.6" hidden="1" x14ac:dyDescent="0.3">
      <c r="A1463" s="20">
        <v>30</v>
      </c>
      <c r="B1463" s="25">
        <v>2950000</v>
      </c>
      <c r="C1463" s="25"/>
      <c r="D1463" s="56">
        <v>0</v>
      </c>
      <c r="E1463" s="426">
        <v>44853</v>
      </c>
      <c r="F1463" s="26" t="s">
        <v>703</v>
      </c>
      <c r="G1463" s="426">
        <v>44853</v>
      </c>
      <c r="H1463" s="35">
        <v>5108</v>
      </c>
      <c r="I1463" s="21">
        <v>218000</v>
      </c>
      <c r="J1463" s="21"/>
      <c r="K1463" s="22">
        <v>0</v>
      </c>
      <c r="L1463" s="23"/>
      <c r="M1463" s="22">
        <v>0</v>
      </c>
      <c r="N1463" s="74">
        <v>0</v>
      </c>
      <c r="O1463" s="22">
        <v>0</v>
      </c>
      <c r="P1463" s="21">
        <v>218000</v>
      </c>
      <c r="S1463" s="108" t="b">
        <f>OR(COUNTIF(Tabla2[[#This Row],[PROVEEDOR]],"*"&amp;'Palabra no opera'!$A$2&amp;"*"))</f>
        <v>0</v>
      </c>
      <c r="T1463" s="139">
        <f>+$W$5-Tabla2[[#This Row],[FECHA DE FACTURACIÓN]]</f>
        <v>438</v>
      </c>
      <c r="U1463" t="str">
        <f>+IF(Tabla2[[#This Row],[dias de credito]]&gt;=Tabla2[[#This Row],[PLAZO Días]],"venc", "No venc")</f>
        <v>venc</v>
      </c>
      <c r="V1463" t="str">
        <f>+IF(Tabla2[[#This Row],[FECHA DE PAGO]]&gt;0,"pagada","por pagar")</f>
        <v>pagada</v>
      </c>
      <c r="W1463" s="141" t="str">
        <f>+IF(AND(Tabla2[[#This Row],[venc]]="venc",Tabla2[[#This Row],[Columna1]]="por pagar"),"vencida","no")</f>
        <v>no</v>
      </c>
    </row>
    <row r="1464" spans="1:23" ht="15.6" hidden="1" x14ac:dyDescent="0.3">
      <c r="A1464" s="20">
        <v>30</v>
      </c>
      <c r="B1464" s="25">
        <v>17870934.149999999</v>
      </c>
      <c r="C1464" s="25"/>
      <c r="D1464" s="56" t="s">
        <v>182</v>
      </c>
      <c r="E1464" s="426">
        <v>44853</v>
      </c>
      <c r="F1464" s="26" t="s">
        <v>18</v>
      </c>
      <c r="G1464" s="426">
        <v>44799</v>
      </c>
      <c r="H1464" s="35">
        <v>1058365</v>
      </c>
      <c r="I1464" s="21">
        <v>10446232.35</v>
      </c>
      <c r="J1464" s="21"/>
      <c r="K1464" s="22">
        <v>1984784.1465</v>
      </c>
      <c r="L1464" s="23"/>
      <c r="M1464" s="22">
        <v>0</v>
      </c>
      <c r="N1464" s="74">
        <v>2.5000000000000001E-2</v>
      </c>
      <c r="O1464" s="22">
        <v>261155.80875</v>
      </c>
      <c r="P1464" s="21">
        <v>12169860.687750001</v>
      </c>
      <c r="S1464" s="108" t="b">
        <f>OR(COUNTIF(Tabla2[[#This Row],[PROVEEDOR]],"*"&amp;'Palabra no opera'!$A$2&amp;"*"))</f>
        <v>0</v>
      </c>
      <c r="T1464" s="139">
        <f>+$W$5-Tabla2[[#This Row],[FECHA DE FACTURACIÓN]]</f>
        <v>492</v>
      </c>
      <c r="U1464" t="str">
        <f>+IF(Tabla2[[#This Row],[dias de credito]]&gt;=Tabla2[[#This Row],[PLAZO Días]],"venc", "No venc")</f>
        <v>venc</v>
      </c>
      <c r="V1464" t="str">
        <f>+IF(Tabla2[[#This Row],[FECHA DE PAGO]]&gt;0,"pagada","por pagar")</f>
        <v>pagada</v>
      </c>
      <c r="W1464" s="141" t="str">
        <f>+IF(AND(Tabla2[[#This Row],[venc]]="venc",Tabla2[[#This Row],[Columna1]]="por pagar"),"vencida","no")</f>
        <v>no</v>
      </c>
    </row>
    <row r="1465" spans="1:23" ht="15.6" hidden="1" x14ac:dyDescent="0.3">
      <c r="A1465" s="20">
        <v>30</v>
      </c>
      <c r="B1465" s="25">
        <v>1034000.52</v>
      </c>
      <c r="C1465" s="25"/>
      <c r="D1465" s="56" t="s">
        <v>177</v>
      </c>
      <c r="E1465" s="426">
        <v>44853</v>
      </c>
      <c r="F1465" s="26" t="s">
        <v>168</v>
      </c>
      <c r="G1465" s="426">
        <v>44795</v>
      </c>
      <c r="H1465" s="35" t="s">
        <v>935</v>
      </c>
      <c r="I1465" s="21">
        <v>-218487</v>
      </c>
      <c r="J1465" s="21"/>
      <c r="K1465" s="22">
        <v>-41512.53</v>
      </c>
      <c r="L1465" s="23"/>
      <c r="M1465" s="22">
        <v>0</v>
      </c>
      <c r="N1465" s="74">
        <v>2.5000000000000001E-2</v>
      </c>
      <c r="O1465" s="22">
        <v>-5462.1750000000002</v>
      </c>
      <c r="P1465" s="21">
        <v>-254537.35500000001</v>
      </c>
      <c r="S1465" s="108" t="b">
        <f>OR(COUNTIF(Tabla2[[#This Row],[PROVEEDOR]],"*"&amp;'Palabra no opera'!$A$2&amp;"*"))</f>
        <v>0</v>
      </c>
      <c r="T1465" s="139">
        <f>+$W$5-Tabla2[[#This Row],[FECHA DE FACTURACIÓN]]</f>
        <v>496</v>
      </c>
      <c r="U1465" t="str">
        <f>+IF(Tabla2[[#This Row],[dias de credito]]&gt;=Tabla2[[#This Row],[PLAZO Días]],"venc", "No venc")</f>
        <v>venc</v>
      </c>
      <c r="V1465" t="str">
        <f>+IF(Tabla2[[#This Row],[FECHA DE PAGO]]&gt;0,"pagada","por pagar")</f>
        <v>pagada</v>
      </c>
      <c r="W1465" s="141" t="str">
        <f>+IF(AND(Tabla2[[#This Row],[venc]]="venc",Tabla2[[#This Row],[Columna1]]="por pagar"),"vencida","no")</f>
        <v>no</v>
      </c>
    </row>
    <row r="1466" spans="1:23" ht="15.6" hidden="1" x14ac:dyDescent="0.3">
      <c r="A1466" s="20">
        <v>30</v>
      </c>
      <c r="B1466" s="25">
        <v>1034000.52</v>
      </c>
      <c r="C1466" s="25"/>
      <c r="D1466" s="56" t="s">
        <v>177</v>
      </c>
      <c r="E1466" s="426">
        <v>44853</v>
      </c>
      <c r="F1466" s="26" t="s">
        <v>168</v>
      </c>
      <c r="G1466" s="426">
        <v>44768</v>
      </c>
      <c r="H1466" s="35">
        <v>651</v>
      </c>
      <c r="I1466" s="21">
        <v>1657982</v>
      </c>
      <c r="J1466" s="21"/>
      <c r="K1466" s="22">
        <v>315016.58</v>
      </c>
      <c r="L1466" s="23"/>
      <c r="M1466" s="22">
        <v>0</v>
      </c>
      <c r="N1466" s="74">
        <v>2.5000000000000001E-2</v>
      </c>
      <c r="O1466" s="22">
        <v>41449.550000000003</v>
      </c>
      <c r="P1466" s="21">
        <v>1931549.03</v>
      </c>
      <c r="S1466" s="108" t="b">
        <f>OR(COUNTIF(Tabla2[[#This Row],[PROVEEDOR]],"*"&amp;'Palabra no opera'!$A$2&amp;"*"))</f>
        <v>0</v>
      </c>
      <c r="T1466" s="139">
        <f>+$W$5-Tabla2[[#This Row],[FECHA DE FACTURACIÓN]]</f>
        <v>523</v>
      </c>
      <c r="U1466" t="str">
        <f>+IF(Tabla2[[#This Row],[dias de credito]]&gt;=Tabla2[[#This Row],[PLAZO Días]],"venc", "No venc")</f>
        <v>venc</v>
      </c>
      <c r="V1466" t="str">
        <f>+IF(Tabla2[[#This Row],[FECHA DE PAGO]]&gt;0,"pagada","por pagar")</f>
        <v>pagada</v>
      </c>
      <c r="W1466" s="141" t="str">
        <f>+IF(AND(Tabla2[[#This Row],[venc]]="venc",Tabla2[[#This Row],[Columna1]]="por pagar"),"vencida","no")</f>
        <v>no</v>
      </c>
    </row>
    <row r="1467" spans="1:23" ht="15.6" hidden="1" x14ac:dyDescent="0.3">
      <c r="A1467" s="20">
        <v>30</v>
      </c>
      <c r="B1467" s="25">
        <v>680000</v>
      </c>
      <c r="C1467" s="25"/>
      <c r="D1467" s="56" t="s">
        <v>177</v>
      </c>
      <c r="E1467" s="426">
        <v>44853</v>
      </c>
      <c r="F1467" s="26" t="s">
        <v>412</v>
      </c>
      <c r="G1467" s="426">
        <v>44765</v>
      </c>
      <c r="H1467" s="35" t="s">
        <v>1054</v>
      </c>
      <c r="I1467" s="21">
        <v>190000</v>
      </c>
      <c r="J1467" s="21"/>
      <c r="K1467" s="22">
        <v>0</v>
      </c>
      <c r="L1467" s="23"/>
      <c r="M1467" s="22">
        <v>0</v>
      </c>
      <c r="N1467" s="74">
        <v>0</v>
      </c>
      <c r="O1467" s="22">
        <v>0</v>
      </c>
      <c r="P1467" s="21">
        <v>190000</v>
      </c>
      <c r="S1467" s="108" t="b">
        <f>OR(COUNTIF(Tabla2[[#This Row],[PROVEEDOR]],"*"&amp;'Palabra no opera'!$A$2&amp;"*"))</f>
        <v>0</v>
      </c>
      <c r="T1467" s="139">
        <f>+$W$5-Tabla2[[#This Row],[FECHA DE FACTURACIÓN]]</f>
        <v>526</v>
      </c>
      <c r="U1467" t="str">
        <f>+IF(Tabla2[[#This Row],[dias de credito]]&gt;=Tabla2[[#This Row],[PLAZO Días]],"venc", "No venc")</f>
        <v>venc</v>
      </c>
      <c r="V1467" t="str">
        <f>+IF(Tabla2[[#This Row],[FECHA DE PAGO]]&gt;0,"pagada","por pagar")</f>
        <v>pagada</v>
      </c>
      <c r="W1467" s="141" t="str">
        <f>+IF(AND(Tabla2[[#This Row],[venc]]="venc",Tabla2[[#This Row],[Columna1]]="por pagar"),"vencida","no")</f>
        <v>no</v>
      </c>
    </row>
    <row r="1468" spans="1:23" ht="15.6" hidden="1" x14ac:dyDescent="0.3">
      <c r="A1468" s="20">
        <v>30</v>
      </c>
      <c r="B1468" s="25">
        <v>680000</v>
      </c>
      <c r="C1468" s="25"/>
      <c r="D1468" s="56" t="s">
        <v>177</v>
      </c>
      <c r="E1468" s="426">
        <v>44853</v>
      </c>
      <c r="F1468" s="26" t="s">
        <v>412</v>
      </c>
      <c r="G1468" s="426">
        <v>44765</v>
      </c>
      <c r="H1468" s="35" t="s">
        <v>1053</v>
      </c>
      <c r="I1468" s="21">
        <v>780000</v>
      </c>
      <c r="J1468" s="21"/>
      <c r="K1468" s="22">
        <v>0</v>
      </c>
      <c r="L1468" s="23"/>
      <c r="M1468" s="22">
        <v>0</v>
      </c>
      <c r="N1468" s="74">
        <v>0</v>
      </c>
      <c r="O1468" s="22">
        <v>0</v>
      </c>
      <c r="P1468" s="21">
        <v>780000</v>
      </c>
      <c r="S1468" s="108" t="b">
        <f>OR(COUNTIF(Tabla2[[#This Row],[PROVEEDOR]],"*"&amp;'Palabra no opera'!$A$2&amp;"*"))</f>
        <v>0</v>
      </c>
      <c r="T1468" s="139">
        <f>+$W$5-Tabla2[[#This Row],[FECHA DE FACTURACIÓN]]</f>
        <v>526</v>
      </c>
      <c r="U1468" t="str">
        <f>+IF(Tabla2[[#This Row],[dias de credito]]&gt;=Tabla2[[#This Row],[PLAZO Días]],"venc", "No venc")</f>
        <v>venc</v>
      </c>
      <c r="V1468" t="str">
        <f>+IF(Tabla2[[#This Row],[FECHA DE PAGO]]&gt;0,"pagada","por pagar")</f>
        <v>pagada</v>
      </c>
      <c r="W1468" s="141" t="str">
        <f>+IF(AND(Tabla2[[#This Row],[venc]]="venc",Tabla2[[#This Row],[Columna1]]="por pagar"),"vencida","no")</f>
        <v>no</v>
      </c>
    </row>
    <row r="1469" spans="1:23" ht="15.6" hidden="1" x14ac:dyDescent="0.3">
      <c r="A1469" s="20">
        <v>30</v>
      </c>
      <c r="B1469" s="25">
        <v>10321993.199999999</v>
      </c>
      <c r="C1469" s="25"/>
      <c r="D1469" s="56" t="s">
        <v>189</v>
      </c>
      <c r="E1469" s="426">
        <v>44853</v>
      </c>
      <c r="F1469" s="26" t="s">
        <v>1068</v>
      </c>
      <c r="G1469" s="426">
        <v>44763</v>
      </c>
      <c r="H1469" s="35">
        <v>26711</v>
      </c>
      <c r="I1469" s="21">
        <v>453600</v>
      </c>
      <c r="J1469" s="21"/>
      <c r="K1469" s="22">
        <v>86184</v>
      </c>
      <c r="L1469" s="23"/>
      <c r="M1469" s="22">
        <v>0</v>
      </c>
      <c r="N1469" s="74">
        <v>0</v>
      </c>
      <c r="O1469" s="22">
        <v>0</v>
      </c>
      <c r="P1469" s="21">
        <v>539784</v>
      </c>
      <c r="S1469" s="108" t="b">
        <f>OR(COUNTIF(Tabla2[[#This Row],[PROVEEDOR]],"*"&amp;'Palabra no opera'!$A$2&amp;"*"))</f>
        <v>0</v>
      </c>
      <c r="T1469" s="139">
        <f>+$W$5-Tabla2[[#This Row],[FECHA DE FACTURACIÓN]]</f>
        <v>528</v>
      </c>
      <c r="U1469" t="str">
        <f>+IF(Tabla2[[#This Row],[dias de credito]]&gt;=Tabla2[[#This Row],[PLAZO Días]],"venc", "No venc")</f>
        <v>venc</v>
      </c>
      <c r="V1469" t="str">
        <f>+IF(Tabla2[[#This Row],[FECHA DE PAGO]]&gt;0,"pagada","por pagar")</f>
        <v>pagada</v>
      </c>
      <c r="W1469" s="141" t="str">
        <f>+IF(AND(Tabla2[[#This Row],[venc]]="venc",Tabla2[[#This Row],[Columna1]]="por pagar"),"vencida","no")</f>
        <v>no</v>
      </c>
    </row>
    <row r="1470" spans="1:23" ht="15.6" hidden="1" x14ac:dyDescent="0.3">
      <c r="A1470" s="20">
        <v>30</v>
      </c>
      <c r="B1470" s="25">
        <v>10321993.199999999</v>
      </c>
      <c r="C1470" s="25"/>
      <c r="D1470" s="56" t="s">
        <v>189</v>
      </c>
      <c r="E1470" s="426">
        <v>44853</v>
      </c>
      <c r="F1470" s="26" t="s">
        <v>1068</v>
      </c>
      <c r="G1470" s="426">
        <v>44760</v>
      </c>
      <c r="H1470" s="35">
        <v>26699</v>
      </c>
      <c r="I1470" s="21">
        <v>2520000</v>
      </c>
      <c r="J1470" s="21"/>
      <c r="K1470" s="22">
        <v>478800</v>
      </c>
      <c r="L1470" s="23"/>
      <c r="M1470" s="22">
        <v>0</v>
      </c>
      <c r="N1470" s="74">
        <v>2.5000000000000001E-2</v>
      </c>
      <c r="O1470" s="22">
        <v>63000</v>
      </c>
      <c r="P1470" s="21">
        <v>2935800</v>
      </c>
      <c r="S1470" s="108" t="b">
        <f>OR(COUNTIF(Tabla2[[#This Row],[PROVEEDOR]],"*"&amp;'Palabra no opera'!$A$2&amp;"*"))</f>
        <v>0</v>
      </c>
      <c r="T1470" s="139">
        <f>+$W$5-Tabla2[[#This Row],[FECHA DE FACTURACIÓN]]</f>
        <v>531</v>
      </c>
      <c r="U1470" t="str">
        <f>+IF(Tabla2[[#This Row],[dias de credito]]&gt;=Tabla2[[#This Row],[PLAZO Días]],"venc", "No venc")</f>
        <v>venc</v>
      </c>
      <c r="V1470" t="str">
        <f>+IF(Tabla2[[#This Row],[FECHA DE PAGO]]&gt;0,"pagada","por pagar")</f>
        <v>pagada</v>
      </c>
      <c r="W1470" s="141" t="str">
        <f>+IF(AND(Tabla2[[#This Row],[venc]]="venc",Tabla2[[#This Row],[Columna1]]="por pagar"),"vencida","no")</f>
        <v>no</v>
      </c>
    </row>
    <row r="1471" spans="1:23" ht="15.6" hidden="1" x14ac:dyDescent="0.3">
      <c r="A1471" s="20">
        <v>30</v>
      </c>
      <c r="B1471" s="25">
        <v>0</v>
      </c>
      <c r="C1471" s="25"/>
      <c r="D1471" s="56" t="s">
        <v>107</v>
      </c>
      <c r="E1471" s="426">
        <v>44852</v>
      </c>
      <c r="F1471" s="26" t="s">
        <v>362</v>
      </c>
      <c r="G1471" s="426">
        <v>44852</v>
      </c>
      <c r="H1471" s="35" t="s">
        <v>1224</v>
      </c>
      <c r="I1471" s="21">
        <v>35000</v>
      </c>
      <c r="J1471" s="21"/>
      <c r="K1471" s="22">
        <v>0</v>
      </c>
      <c r="L1471" s="23"/>
      <c r="M1471" s="22">
        <v>0</v>
      </c>
      <c r="N1471" s="74">
        <v>0</v>
      </c>
      <c r="O1471" s="22">
        <v>0</v>
      </c>
      <c r="P1471" s="21">
        <v>35000</v>
      </c>
      <c r="S1471" s="108" t="b">
        <f>OR(COUNTIF(Tabla2[[#This Row],[PROVEEDOR]],"*"&amp;'Palabra no opera'!$A$2&amp;"*"))</f>
        <v>0</v>
      </c>
      <c r="T1471" s="139">
        <f>+$W$5-Tabla2[[#This Row],[FECHA DE FACTURACIÓN]]</f>
        <v>439</v>
      </c>
      <c r="U1471" t="str">
        <f>+IF(Tabla2[[#This Row],[dias de credito]]&gt;=Tabla2[[#This Row],[PLAZO Días]],"venc", "No venc")</f>
        <v>venc</v>
      </c>
      <c r="V1471" t="str">
        <f>+IF(Tabla2[[#This Row],[FECHA DE PAGO]]&gt;0,"pagada","por pagar")</f>
        <v>pagada</v>
      </c>
      <c r="W1471" s="141" t="str">
        <f>+IF(AND(Tabla2[[#This Row],[venc]]="venc",Tabla2[[#This Row],[Columna1]]="por pagar"),"vencida","no")</f>
        <v>no</v>
      </c>
    </row>
    <row r="1472" spans="1:23" ht="15.6" hidden="1" x14ac:dyDescent="0.3">
      <c r="A1472" s="20">
        <v>30</v>
      </c>
      <c r="B1472" s="25">
        <v>0</v>
      </c>
      <c r="C1472" s="25"/>
      <c r="D1472" s="56" t="s">
        <v>107</v>
      </c>
      <c r="E1472" s="426">
        <v>44852</v>
      </c>
      <c r="F1472" s="26" t="s">
        <v>37</v>
      </c>
      <c r="G1472" s="426">
        <v>44852</v>
      </c>
      <c r="H1472" s="35" t="s">
        <v>1205</v>
      </c>
      <c r="I1472" s="21">
        <v>776600</v>
      </c>
      <c r="J1472" s="21"/>
      <c r="K1472" s="22">
        <v>147554</v>
      </c>
      <c r="L1472" s="23"/>
      <c r="M1472" s="22">
        <v>0</v>
      </c>
      <c r="N1472" s="74">
        <v>0</v>
      </c>
      <c r="O1472" s="22">
        <v>0</v>
      </c>
      <c r="P1472" s="21">
        <v>924154</v>
      </c>
      <c r="S1472" s="108" t="b">
        <f>OR(COUNTIF(Tabla2[[#This Row],[PROVEEDOR]],"*"&amp;'Palabra no opera'!$A$2&amp;"*"))</f>
        <v>0</v>
      </c>
      <c r="T1472" s="139">
        <f>+$W$5-Tabla2[[#This Row],[FECHA DE FACTURACIÓN]]</f>
        <v>439</v>
      </c>
      <c r="U1472" t="str">
        <f>+IF(Tabla2[[#This Row],[dias de credito]]&gt;=Tabla2[[#This Row],[PLAZO Días]],"venc", "No venc")</f>
        <v>venc</v>
      </c>
      <c r="V1472" t="str">
        <f>+IF(Tabla2[[#This Row],[FECHA DE PAGO]]&gt;0,"pagada","por pagar")</f>
        <v>pagada</v>
      </c>
      <c r="W1472" s="141" t="str">
        <f>+IF(AND(Tabla2[[#This Row],[venc]]="venc",Tabla2[[#This Row],[Columna1]]="por pagar"),"vencida","no")</f>
        <v>no</v>
      </c>
    </row>
    <row r="1473" spans="1:23" ht="15.6" hidden="1" x14ac:dyDescent="0.3">
      <c r="A1473" s="20">
        <v>30</v>
      </c>
      <c r="B1473" s="25">
        <v>559000</v>
      </c>
      <c r="C1473" s="25"/>
      <c r="D1473" s="56" t="s">
        <v>107</v>
      </c>
      <c r="E1473" s="426">
        <v>44852</v>
      </c>
      <c r="F1473" s="26" t="s">
        <v>1133</v>
      </c>
      <c r="G1473" s="426">
        <v>44844</v>
      </c>
      <c r="H1473" s="35">
        <v>327</v>
      </c>
      <c r="I1473" s="21">
        <v>702000</v>
      </c>
      <c r="J1473" s="21"/>
      <c r="K1473" s="22">
        <v>0</v>
      </c>
      <c r="L1473" s="23"/>
      <c r="M1473" s="22">
        <v>0</v>
      </c>
      <c r="N1473" s="74">
        <v>0</v>
      </c>
      <c r="O1473" s="22">
        <v>0</v>
      </c>
      <c r="P1473" s="21">
        <v>702000</v>
      </c>
      <c r="S1473" s="108" t="b">
        <f>OR(COUNTIF(Tabla2[[#This Row],[PROVEEDOR]],"*"&amp;'Palabra no opera'!$A$2&amp;"*"))</f>
        <v>0</v>
      </c>
      <c r="T1473" s="139">
        <f>+$W$5-Tabla2[[#This Row],[FECHA DE FACTURACIÓN]]</f>
        <v>447</v>
      </c>
      <c r="U1473" t="str">
        <f>+IF(Tabla2[[#This Row],[dias de credito]]&gt;=Tabla2[[#This Row],[PLAZO Días]],"venc", "No venc")</f>
        <v>venc</v>
      </c>
      <c r="V1473" t="str">
        <f>+IF(Tabla2[[#This Row],[FECHA DE PAGO]]&gt;0,"pagada","por pagar")</f>
        <v>pagada</v>
      </c>
      <c r="W1473" s="141" t="str">
        <f>+IF(AND(Tabla2[[#This Row],[venc]]="venc",Tabla2[[#This Row],[Columna1]]="por pagar"),"vencida","no")</f>
        <v>no</v>
      </c>
    </row>
    <row r="1474" spans="1:23" ht="15.6" hidden="1" x14ac:dyDescent="0.3">
      <c r="A1474" s="20">
        <v>30</v>
      </c>
      <c r="B1474" s="25">
        <v>0</v>
      </c>
      <c r="C1474" s="25"/>
      <c r="D1474" s="56" t="s">
        <v>190</v>
      </c>
      <c r="E1474" s="426">
        <v>44852</v>
      </c>
      <c r="F1474" s="26" t="s">
        <v>964</v>
      </c>
      <c r="G1474" s="426">
        <v>44796</v>
      </c>
      <c r="H1474" s="35" t="s">
        <v>965</v>
      </c>
      <c r="I1474" s="21">
        <v>1532640</v>
      </c>
      <c r="J1474" s="21"/>
      <c r="K1474" s="22">
        <v>291201.59999999998</v>
      </c>
      <c r="L1474" s="23"/>
      <c r="M1474" s="22">
        <v>0</v>
      </c>
      <c r="N1474" s="74">
        <v>2.5000000000000001E-2</v>
      </c>
      <c r="O1474" s="22">
        <v>38316</v>
      </c>
      <c r="P1474" s="21">
        <v>1785525.6</v>
      </c>
      <c r="S1474" s="108" t="b">
        <f>OR(COUNTIF(Tabla2[[#This Row],[PROVEEDOR]],"*"&amp;'Palabra no opera'!$A$2&amp;"*"))</f>
        <v>0</v>
      </c>
      <c r="T1474" s="139">
        <f>+$W$5-Tabla2[[#This Row],[FECHA DE FACTURACIÓN]]</f>
        <v>495</v>
      </c>
      <c r="U1474" t="str">
        <f>+IF(Tabla2[[#This Row],[dias de credito]]&gt;=Tabla2[[#This Row],[PLAZO Días]],"venc", "No venc")</f>
        <v>venc</v>
      </c>
      <c r="V1474" t="str">
        <f>+IF(Tabla2[[#This Row],[FECHA DE PAGO]]&gt;0,"pagada","por pagar")</f>
        <v>pagada</v>
      </c>
      <c r="W1474" s="141" t="str">
        <f>+IF(AND(Tabla2[[#This Row],[venc]]="venc",Tabla2[[#This Row],[Columna1]]="por pagar"),"vencida","no")</f>
        <v>no</v>
      </c>
    </row>
    <row r="1475" spans="1:23" ht="15.6" hidden="1" x14ac:dyDescent="0.3">
      <c r="A1475" s="20">
        <v>30</v>
      </c>
      <c r="B1475" s="25">
        <v>0</v>
      </c>
      <c r="C1475" s="25"/>
      <c r="D1475" s="56" t="s">
        <v>190</v>
      </c>
      <c r="E1475" s="426">
        <v>44852</v>
      </c>
      <c r="F1475" s="26" t="s">
        <v>964</v>
      </c>
      <c r="G1475" s="426">
        <v>44791</v>
      </c>
      <c r="H1475" s="35" t="s">
        <v>937</v>
      </c>
      <c r="I1475" s="21">
        <v>3840000</v>
      </c>
      <c r="J1475" s="21"/>
      <c r="K1475" s="22">
        <v>729600</v>
      </c>
      <c r="L1475" s="23"/>
      <c r="M1475" s="22">
        <v>0</v>
      </c>
      <c r="N1475" s="74">
        <v>2.5000000000000001E-2</v>
      </c>
      <c r="O1475" s="22">
        <v>96000</v>
      </c>
      <c r="P1475" s="21">
        <v>4473600</v>
      </c>
      <c r="S1475" s="108" t="b">
        <f>OR(COUNTIF(Tabla2[[#This Row],[PROVEEDOR]],"*"&amp;'Palabra no opera'!$A$2&amp;"*"))</f>
        <v>0</v>
      </c>
      <c r="T1475" s="139">
        <f>+$W$5-Tabla2[[#This Row],[FECHA DE FACTURACIÓN]]</f>
        <v>500</v>
      </c>
      <c r="U1475" t="str">
        <f>+IF(Tabla2[[#This Row],[dias de credito]]&gt;=Tabla2[[#This Row],[PLAZO Días]],"venc", "No venc")</f>
        <v>venc</v>
      </c>
      <c r="V1475" t="str">
        <f>+IF(Tabla2[[#This Row],[FECHA DE PAGO]]&gt;0,"pagada","por pagar")</f>
        <v>pagada</v>
      </c>
      <c r="W1475" s="141" t="str">
        <f>+IF(AND(Tabla2[[#This Row],[venc]]="venc",Tabla2[[#This Row],[Columna1]]="por pagar"),"vencida","no")</f>
        <v>no</v>
      </c>
    </row>
    <row r="1476" spans="1:23" ht="15.6" hidden="1" x14ac:dyDescent="0.3">
      <c r="A1476" s="20">
        <v>30</v>
      </c>
      <c r="B1476" s="25">
        <v>22881826.27</v>
      </c>
      <c r="C1476" s="25"/>
      <c r="D1476" s="56" t="s">
        <v>197</v>
      </c>
      <c r="E1476" s="426">
        <v>44852</v>
      </c>
      <c r="F1476" s="26" t="s">
        <v>9</v>
      </c>
      <c r="G1476" s="426">
        <v>44754</v>
      </c>
      <c r="H1476" s="35">
        <v>77683</v>
      </c>
      <c r="I1476" s="21">
        <v>15524476</v>
      </c>
      <c r="J1476" s="21"/>
      <c r="K1476" s="22">
        <v>2949650.44</v>
      </c>
      <c r="L1476" s="23"/>
      <c r="M1476" s="22">
        <v>0</v>
      </c>
      <c r="N1476" s="74">
        <v>2.5000000000000001E-2</v>
      </c>
      <c r="O1476" s="22">
        <v>388111.9</v>
      </c>
      <c r="P1476" s="21">
        <v>18086014.540000003</v>
      </c>
      <c r="S1476" s="108" t="b">
        <f>OR(COUNTIF(Tabla2[[#This Row],[PROVEEDOR]],"*"&amp;'Palabra no opera'!$A$2&amp;"*"))</f>
        <v>0</v>
      </c>
      <c r="T1476" s="139">
        <f>+$W$5-Tabla2[[#This Row],[FECHA DE FACTURACIÓN]]</f>
        <v>537</v>
      </c>
      <c r="U1476" t="str">
        <f>+IF(Tabla2[[#This Row],[dias de credito]]&gt;=Tabla2[[#This Row],[PLAZO Días]],"venc", "No venc")</f>
        <v>venc</v>
      </c>
      <c r="V1476" t="str">
        <f>+IF(Tabla2[[#This Row],[FECHA DE PAGO]]&gt;0,"pagada","por pagar")</f>
        <v>pagada</v>
      </c>
      <c r="W1476" s="141" t="str">
        <f>+IF(AND(Tabla2[[#This Row],[venc]]="venc",Tabla2[[#This Row],[Columna1]]="por pagar"),"vencida","no")</f>
        <v>no</v>
      </c>
    </row>
    <row r="1477" spans="1:23" ht="15.6" hidden="1" x14ac:dyDescent="0.3">
      <c r="A1477" s="20">
        <v>60</v>
      </c>
      <c r="B1477" s="25">
        <v>0</v>
      </c>
      <c r="C1477" s="25"/>
      <c r="D1477" s="56">
        <v>0</v>
      </c>
      <c r="E1477" s="426">
        <v>44848</v>
      </c>
      <c r="F1477" s="26" t="s">
        <v>951</v>
      </c>
      <c r="G1477" s="426">
        <v>44790</v>
      </c>
      <c r="H1477" s="35" t="s">
        <v>941</v>
      </c>
      <c r="I1477" s="21">
        <v>420000</v>
      </c>
      <c r="J1477" s="21"/>
      <c r="K1477" s="22">
        <v>79800</v>
      </c>
      <c r="L1477" s="23"/>
      <c r="M1477" s="22">
        <v>0</v>
      </c>
      <c r="N1477" s="74">
        <v>0</v>
      </c>
      <c r="O1477" s="22">
        <v>0</v>
      </c>
      <c r="P1477" s="21">
        <v>499800</v>
      </c>
      <c r="S1477" s="108" t="b">
        <f>OR(COUNTIF(Tabla2[[#This Row],[PROVEEDOR]],"*"&amp;'Palabra no opera'!$A$2&amp;"*"))</f>
        <v>1</v>
      </c>
      <c r="T1477" s="139">
        <f>+$W$5-Tabla2[[#This Row],[FECHA DE FACTURACIÓN]]</f>
        <v>501</v>
      </c>
      <c r="U1477" t="str">
        <f>+IF(Tabla2[[#This Row],[dias de credito]]&gt;=Tabla2[[#This Row],[PLAZO Días]],"venc", "No venc")</f>
        <v>venc</v>
      </c>
      <c r="V1477" t="str">
        <f>+IF(Tabla2[[#This Row],[FECHA DE PAGO]]&gt;0,"pagada","por pagar")</f>
        <v>pagada</v>
      </c>
      <c r="W1477" s="141" t="str">
        <f>+IF(AND(Tabla2[[#This Row],[venc]]="venc",Tabla2[[#This Row],[Columna1]]="por pagar"),"vencida","no")</f>
        <v>no</v>
      </c>
    </row>
    <row r="1478" spans="1:23" ht="15.6" hidden="1" x14ac:dyDescent="0.3">
      <c r="A1478" s="20">
        <v>30</v>
      </c>
      <c r="B1478" s="25">
        <v>0</v>
      </c>
      <c r="C1478" s="25"/>
      <c r="D1478" s="56" t="s">
        <v>176</v>
      </c>
      <c r="E1478" s="426">
        <v>44847</v>
      </c>
      <c r="F1478" s="26" t="s">
        <v>966</v>
      </c>
      <c r="G1478" s="426">
        <v>44841</v>
      </c>
      <c r="H1478" s="35">
        <v>362</v>
      </c>
      <c r="I1478" s="21">
        <v>437000</v>
      </c>
      <c r="J1478" s="21"/>
      <c r="K1478" s="22">
        <v>0</v>
      </c>
      <c r="L1478" s="23"/>
      <c r="M1478" s="22">
        <v>0</v>
      </c>
      <c r="N1478" s="74">
        <v>0</v>
      </c>
      <c r="O1478" s="22">
        <v>0</v>
      </c>
      <c r="P1478" s="21">
        <v>437000</v>
      </c>
      <c r="S1478" s="108" t="b">
        <f>OR(COUNTIF(Tabla2[[#This Row],[PROVEEDOR]],"*"&amp;'Palabra no opera'!$A$2&amp;"*"))</f>
        <v>0</v>
      </c>
      <c r="T1478" s="139">
        <f>+$W$5-Tabla2[[#This Row],[FECHA DE FACTURACIÓN]]</f>
        <v>450</v>
      </c>
      <c r="U1478" t="str">
        <f>+IF(Tabla2[[#This Row],[dias de credito]]&gt;=Tabla2[[#This Row],[PLAZO Días]],"venc", "No venc")</f>
        <v>venc</v>
      </c>
      <c r="V1478" t="str">
        <f>+IF(Tabla2[[#This Row],[FECHA DE PAGO]]&gt;0,"pagada","por pagar")</f>
        <v>pagada</v>
      </c>
      <c r="W1478" s="141" t="str">
        <f>+IF(AND(Tabla2[[#This Row],[venc]]="venc",Tabla2[[#This Row],[Columna1]]="por pagar"),"vencida","no")</f>
        <v>no</v>
      </c>
    </row>
    <row r="1479" spans="1:23" ht="15.6" hidden="1" x14ac:dyDescent="0.3">
      <c r="A1479" s="20">
        <v>45</v>
      </c>
      <c r="B1479" s="25">
        <v>8072960</v>
      </c>
      <c r="C1479" s="25"/>
      <c r="D1479" s="56" t="s">
        <v>198</v>
      </c>
      <c r="E1479" s="426">
        <v>44845</v>
      </c>
      <c r="F1479" s="26" t="s">
        <v>10</v>
      </c>
      <c r="G1479" s="426">
        <v>44825</v>
      </c>
      <c r="H1479" s="35" t="s">
        <v>1167</v>
      </c>
      <c r="I1479" s="21">
        <v>2025800</v>
      </c>
      <c r="J1479" s="21"/>
      <c r="K1479" s="22">
        <v>384902</v>
      </c>
      <c r="L1479" s="23"/>
      <c r="M1479" s="22">
        <v>0</v>
      </c>
      <c r="N1479" s="74">
        <v>0</v>
      </c>
      <c r="O1479" s="22">
        <v>0</v>
      </c>
      <c r="P1479" s="21">
        <v>2410702</v>
      </c>
      <c r="S1479" s="108" t="b">
        <f>OR(COUNTIF(Tabla2[[#This Row],[PROVEEDOR]],"*"&amp;'Palabra no opera'!$A$2&amp;"*"))</f>
        <v>0</v>
      </c>
      <c r="T1479" s="139">
        <f>+$W$5-Tabla2[[#This Row],[FECHA DE FACTURACIÓN]]</f>
        <v>466</v>
      </c>
      <c r="U1479" t="str">
        <f>+IF(Tabla2[[#This Row],[dias de credito]]&gt;=Tabla2[[#This Row],[PLAZO Días]],"venc", "No venc")</f>
        <v>venc</v>
      </c>
      <c r="V1479" t="str">
        <f>+IF(Tabla2[[#This Row],[FECHA DE PAGO]]&gt;0,"pagada","por pagar")</f>
        <v>pagada</v>
      </c>
      <c r="W1479" s="141" t="str">
        <f>+IF(AND(Tabla2[[#This Row],[venc]]="venc",Tabla2[[#This Row],[Columna1]]="por pagar"),"vencida","no")</f>
        <v>no</v>
      </c>
    </row>
    <row r="1480" spans="1:23" ht="15.6" hidden="1" x14ac:dyDescent="0.3">
      <c r="A1480" s="20">
        <v>30</v>
      </c>
      <c r="B1480" s="25">
        <v>0</v>
      </c>
      <c r="C1480" s="25"/>
      <c r="D1480" s="56" t="s">
        <v>659</v>
      </c>
      <c r="E1480" s="426">
        <v>44845</v>
      </c>
      <c r="F1480" s="26" t="s">
        <v>227</v>
      </c>
      <c r="G1480" s="426">
        <v>44823</v>
      </c>
      <c r="H1480" s="35" t="s">
        <v>1097</v>
      </c>
      <c r="I1480" s="21">
        <v>1900</v>
      </c>
      <c r="J1480" s="21"/>
      <c r="K1480" s="22">
        <v>0</v>
      </c>
      <c r="L1480" s="23"/>
      <c r="M1480" s="22">
        <v>0</v>
      </c>
      <c r="N1480" s="74">
        <v>0</v>
      </c>
      <c r="O1480" s="22">
        <v>0</v>
      </c>
      <c r="P1480" s="21">
        <v>1900</v>
      </c>
      <c r="S1480" s="108" t="b">
        <f>OR(COUNTIF(Tabla2[[#This Row],[PROVEEDOR]],"*"&amp;'Palabra no opera'!$A$2&amp;"*"))</f>
        <v>0</v>
      </c>
      <c r="T1480" s="139">
        <f>+$W$5-Tabla2[[#This Row],[FECHA DE FACTURACIÓN]]</f>
        <v>468</v>
      </c>
      <c r="U1480" t="str">
        <f>+IF(Tabla2[[#This Row],[dias de credito]]&gt;=Tabla2[[#This Row],[PLAZO Días]],"venc", "No venc")</f>
        <v>venc</v>
      </c>
      <c r="V1480" t="str">
        <f>+IF(Tabla2[[#This Row],[FECHA DE PAGO]]&gt;0,"pagada","por pagar")</f>
        <v>pagada</v>
      </c>
      <c r="W1480" s="141" t="str">
        <f>+IF(AND(Tabla2[[#This Row],[venc]]="venc",Tabla2[[#This Row],[Columna1]]="por pagar"),"vencida","no")</f>
        <v>no</v>
      </c>
    </row>
    <row r="1481" spans="1:23" ht="15.6" hidden="1" x14ac:dyDescent="0.3">
      <c r="A1481" s="20">
        <v>30</v>
      </c>
      <c r="B1481" s="25">
        <v>0</v>
      </c>
      <c r="C1481" s="25"/>
      <c r="D1481" s="56" t="s">
        <v>659</v>
      </c>
      <c r="E1481" s="426">
        <v>44845</v>
      </c>
      <c r="F1481" s="26" t="s">
        <v>227</v>
      </c>
      <c r="G1481" s="426">
        <v>44823</v>
      </c>
      <c r="H1481" s="35" t="s">
        <v>1098</v>
      </c>
      <c r="I1481" s="21">
        <v>324574</v>
      </c>
      <c r="J1481" s="21"/>
      <c r="K1481" s="22">
        <v>0</v>
      </c>
      <c r="L1481" s="23"/>
      <c r="M1481" s="22">
        <v>0</v>
      </c>
      <c r="N1481" s="74">
        <v>0</v>
      </c>
      <c r="O1481" s="22">
        <v>0</v>
      </c>
      <c r="P1481" s="21">
        <v>324574</v>
      </c>
      <c r="S1481" s="108" t="b">
        <f>OR(COUNTIF(Tabla2[[#This Row],[PROVEEDOR]],"*"&amp;'Palabra no opera'!$A$2&amp;"*"))</f>
        <v>0</v>
      </c>
      <c r="T1481" s="139">
        <f>+$W$5-Tabla2[[#This Row],[FECHA DE FACTURACIÓN]]</f>
        <v>468</v>
      </c>
      <c r="U1481" t="str">
        <f>+IF(Tabla2[[#This Row],[dias de credito]]&gt;=Tabla2[[#This Row],[PLAZO Días]],"venc", "No venc")</f>
        <v>venc</v>
      </c>
      <c r="V1481" t="str">
        <f>+IF(Tabla2[[#This Row],[FECHA DE PAGO]]&gt;0,"pagada","por pagar")</f>
        <v>pagada</v>
      </c>
      <c r="W1481" s="141" t="str">
        <f>+IF(AND(Tabla2[[#This Row],[venc]]="venc",Tabla2[[#This Row],[Columna1]]="por pagar"),"vencida","no")</f>
        <v>no</v>
      </c>
    </row>
    <row r="1482" spans="1:23" ht="15.6" hidden="1" x14ac:dyDescent="0.3">
      <c r="A1482" s="20">
        <v>30</v>
      </c>
      <c r="B1482" s="25">
        <v>0</v>
      </c>
      <c r="C1482" s="25"/>
      <c r="D1482" s="56" t="s">
        <v>199</v>
      </c>
      <c r="E1482" s="426">
        <v>44845</v>
      </c>
      <c r="F1482" s="26" t="s">
        <v>1069</v>
      </c>
      <c r="G1482" s="426">
        <v>44802</v>
      </c>
      <c r="H1482" s="35" t="s">
        <v>1079</v>
      </c>
      <c r="I1482" s="21">
        <v>1882354.8</v>
      </c>
      <c r="J1482" s="21"/>
      <c r="K1482" s="22">
        <v>357647.41200000001</v>
      </c>
      <c r="L1482" s="23"/>
      <c r="M1482" s="22">
        <v>0</v>
      </c>
      <c r="N1482" s="74">
        <v>2.5000000000000001E-2</v>
      </c>
      <c r="O1482" s="22">
        <v>47058.87</v>
      </c>
      <c r="P1482" s="21">
        <v>0</v>
      </c>
      <c r="S1482" s="108" t="b">
        <f>OR(COUNTIF(Tabla2[[#This Row],[PROVEEDOR]],"*"&amp;'Palabra no opera'!$A$2&amp;"*"))</f>
        <v>0</v>
      </c>
      <c r="T1482" s="139">
        <f>+$W$5-Tabla2[[#This Row],[FECHA DE FACTURACIÓN]]</f>
        <v>489</v>
      </c>
      <c r="U1482" t="str">
        <f>+IF(Tabla2[[#This Row],[dias de credito]]&gt;=Tabla2[[#This Row],[PLAZO Días]],"venc", "No venc")</f>
        <v>venc</v>
      </c>
      <c r="V1482" t="str">
        <f>+IF(Tabla2[[#This Row],[FECHA DE PAGO]]&gt;0,"pagada","por pagar")</f>
        <v>pagada</v>
      </c>
      <c r="W1482" s="141" t="str">
        <f>+IF(AND(Tabla2[[#This Row],[venc]]="venc",Tabla2[[#This Row],[Columna1]]="por pagar"),"vencida","no")</f>
        <v>no</v>
      </c>
    </row>
    <row r="1483" spans="1:23" ht="15.6" hidden="1" x14ac:dyDescent="0.3">
      <c r="A1483" s="20">
        <v>30</v>
      </c>
      <c r="B1483" s="25">
        <v>0</v>
      </c>
      <c r="C1483" s="25"/>
      <c r="D1483" s="56" t="s">
        <v>199</v>
      </c>
      <c r="E1483" s="426">
        <v>44845</v>
      </c>
      <c r="F1483" s="26" t="s">
        <v>1069</v>
      </c>
      <c r="G1483" s="426">
        <v>44802</v>
      </c>
      <c r="H1483" s="35" t="s">
        <v>1078</v>
      </c>
      <c r="I1483" s="21">
        <v>1882355</v>
      </c>
      <c r="J1483" s="21"/>
      <c r="K1483" s="22">
        <v>357647.45</v>
      </c>
      <c r="L1483" s="23"/>
      <c r="M1483" s="22">
        <v>0</v>
      </c>
      <c r="N1483" s="74">
        <v>2.5000000000000001E-2</v>
      </c>
      <c r="O1483" s="22">
        <v>47058.875</v>
      </c>
      <c r="P1483" s="21">
        <v>2192943.5750000002</v>
      </c>
      <c r="S1483" s="108" t="b">
        <f>OR(COUNTIF(Tabla2[[#This Row],[PROVEEDOR]],"*"&amp;'Palabra no opera'!$A$2&amp;"*"))</f>
        <v>0</v>
      </c>
      <c r="T1483" s="139">
        <f>+$W$5-Tabla2[[#This Row],[FECHA DE FACTURACIÓN]]</f>
        <v>489</v>
      </c>
      <c r="U1483" t="str">
        <f>+IF(Tabla2[[#This Row],[dias de credito]]&gt;=Tabla2[[#This Row],[PLAZO Días]],"venc", "No venc")</f>
        <v>venc</v>
      </c>
      <c r="V1483" t="str">
        <f>+IF(Tabla2[[#This Row],[FECHA DE PAGO]]&gt;0,"pagada","por pagar")</f>
        <v>pagada</v>
      </c>
      <c r="W1483" s="141" t="str">
        <f>+IF(AND(Tabla2[[#This Row],[venc]]="venc",Tabla2[[#This Row],[Columna1]]="por pagar"),"vencida","no")</f>
        <v>no</v>
      </c>
    </row>
    <row r="1484" spans="1:23" ht="15.6" hidden="1" x14ac:dyDescent="0.3">
      <c r="A1484" s="20">
        <v>30</v>
      </c>
      <c r="B1484" s="25">
        <v>17870934.149999999</v>
      </c>
      <c r="C1484" s="25"/>
      <c r="D1484" s="56" t="s">
        <v>182</v>
      </c>
      <c r="E1484" s="426">
        <v>44845</v>
      </c>
      <c r="F1484" s="26" t="s">
        <v>18</v>
      </c>
      <c r="G1484" s="426">
        <v>44795</v>
      </c>
      <c r="H1484" s="35">
        <v>1058054</v>
      </c>
      <c r="I1484" s="21">
        <v>1949973.95</v>
      </c>
      <c r="J1484" s="21"/>
      <c r="K1484" s="22">
        <v>370495.05050000001</v>
      </c>
      <c r="L1484" s="23"/>
      <c r="M1484" s="22">
        <v>0</v>
      </c>
      <c r="N1484" s="74">
        <v>2.5000000000000001E-2</v>
      </c>
      <c r="O1484" s="22">
        <v>48749.348750000005</v>
      </c>
      <c r="P1484" s="21">
        <v>2271719.6517500002</v>
      </c>
      <c r="S1484" s="108" t="b">
        <f>OR(COUNTIF(Tabla2[[#This Row],[PROVEEDOR]],"*"&amp;'Palabra no opera'!$A$2&amp;"*"))</f>
        <v>0</v>
      </c>
      <c r="T1484" s="139">
        <f>+$W$5-Tabla2[[#This Row],[FECHA DE FACTURACIÓN]]</f>
        <v>496</v>
      </c>
      <c r="U1484" t="str">
        <f>+IF(Tabla2[[#This Row],[dias de credito]]&gt;=Tabla2[[#This Row],[PLAZO Días]],"venc", "No venc")</f>
        <v>venc</v>
      </c>
      <c r="V1484" t="str">
        <f>+IF(Tabla2[[#This Row],[FECHA DE PAGO]]&gt;0,"pagada","por pagar")</f>
        <v>pagada</v>
      </c>
      <c r="W1484" s="141" t="str">
        <f>+IF(AND(Tabla2[[#This Row],[venc]]="venc",Tabla2[[#This Row],[Columna1]]="por pagar"),"vencida","no")</f>
        <v>no</v>
      </c>
    </row>
    <row r="1485" spans="1:23" ht="15.6" hidden="1" x14ac:dyDescent="0.3">
      <c r="A1485" s="20">
        <v>45</v>
      </c>
      <c r="B1485" s="25">
        <v>8072960</v>
      </c>
      <c r="C1485" s="25"/>
      <c r="D1485" s="56" t="s">
        <v>198</v>
      </c>
      <c r="E1485" s="426">
        <v>44845</v>
      </c>
      <c r="F1485" s="26" t="s">
        <v>10</v>
      </c>
      <c r="G1485" s="426">
        <v>44783</v>
      </c>
      <c r="H1485" s="35" t="s">
        <v>1168</v>
      </c>
      <c r="I1485" s="21">
        <v>2490000</v>
      </c>
      <c r="J1485" s="21"/>
      <c r="K1485" s="22">
        <v>473100</v>
      </c>
      <c r="L1485" s="23"/>
      <c r="M1485" s="22">
        <v>0</v>
      </c>
      <c r="N1485" s="74">
        <v>0</v>
      </c>
      <c r="O1485" s="22">
        <v>0</v>
      </c>
      <c r="P1485" s="21">
        <v>2963100</v>
      </c>
      <c r="S1485" s="108" t="b">
        <f>OR(COUNTIF(Tabla2[[#This Row],[PROVEEDOR]],"*"&amp;'Palabra no opera'!$A$2&amp;"*"))</f>
        <v>0</v>
      </c>
      <c r="T1485" s="139">
        <f>+$W$5-Tabla2[[#This Row],[FECHA DE FACTURACIÓN]]</f>
        <v>508</v>
      </c>
      <c r="U1485" t="str">
        <f>+IF(Tabla2[[#This Row],[dias de credito]]&gt;=Tabla2[[#This Row],[PLAZO Días]],"venc", "No venc")</f>
        <v>venc</v>
      </c>
      <c r="V1485" t="str">
        <f>+IF(Tabla2[[#This Row],[FECHA DE PAGO]]&gt;0,"pagada","por pagar")</f>
        <v>pagada</v>
      </c>
      <c r="W1485" s="141" t="str">
        <f>+IF(AND(Tabla2[[#This Row],[venc]]="venc",Tabla2[[#This Row],[Columna1]]="por pagar"),"vencida","no")</f>
        <v>no</v>
      </c>
    </row>
    <row r="1486" spans="1:23" ht="15.6" hidden="1" x14ac:dyDescent="0.3">
      <c r="A1486" s="20">
        <v>45</v>
      </c>
      <c r="B1486" s="25">
        <v>15770594</v>
      </c>
      <c r="C1486" s="25"/>
      <c r="D1486" s="56" t="s">
        <v>594</v>
      </c>
      <c r="E1486" s="426">
        <v>44845</v>
      </c>
      <c r="F1486" s="26" t="s">
        <v>19</v>
      </c>
      <c r="G1486" s="426">
        <v>44781</v>
      </c>
      <c r="H1486" s="35" t="s">
        <v>871</v>
      </c>
      <c r="I1486" s="21">
        <v>3323520</v>
      </c>
      <c r="J1486" s="21"/>
      <c r="K1486" s="22">
        <v>631468.80000000005</v>
      </c>
      <c r="L1486" s="23"/>
      <c r="M1486" s="22">
        <v>0</v>
      </c>
      <c r="N1486" s="74">
        <v>0</v>
      </c>
      <c r="O1486" s="22">
        <v>0</v>
      </c>
      <c r="P1486" s="21">
        <v>3954988.8</v>
      </c>
      <c r="S1486" s="108" t="b">
        <f>OR(COUNTIF(Tabla2[[#This Row],[PROVEEDOR]],"*"&amp;'Palabra no opera'!$A$2&amp;"*"))</f>
        <v>0</v>
      </c>
      <c r="T1486" s="139">
        <f>+$W$5-Tabla2[[#This Row],[FECHA DE FACTURACIÓN]]</f>
        <v>510</v>
      </c>
      <c r="U1486" t="str">
        <f>+IF(Tabla2[[#This Row],[dias de credito]]&gt;=Tabla2[[#This Row],[PLAZO Días]],"venc", "No venc")</f>
        <v>venc</v>
      </c>
      <c r="V1486" t="str">
        <f>+IF(Tabla2[[#This Row],[FECHA DE PAGO]]&gt;0,"pagada","por pagar")</f>
        <v>pagada</v>
      </c>
      <c r="W1486" s="141" t="str">
        <f>+IF(AND(Tabla2[[#This Row],[venc]]="venc",Tabla2[[#This Row],[Columna1]]="por pagar"),"vencida","no")</f>
        <v>no</v>
      </c>
    </row>
    <row r="1487" spans="1:23" ht="15.6" hidden="1" x14ac:dyDescent="0.3">
      <c r="A1487" s="20">
        <v>30</v>
      </c>
      <c r="B1487" s="25">
        <v>229206</v>
      </c>
      <c r="C1487" s="25"/>
      <c r="D1487" s="56" t="s">
        <v>659</v>
      </c>
      <c r="E1487" s="426">
        <v>44845</v>
      </c>
      <c r="F1487" s="26" t="s">
        <v>95</v>
      </c>
      <c r="G1487" s="426">
        <v>44778</v>
      </c>
      <c r="H1487" s="35" t="s">
        <v>865</v>
      </c>
      <c r="I1487" s="21">
        <v>27452.91</v>
      </c>
      <c r="J1487" s="21"/>
      <c r="K1487" s="22">
        <v>0</v>
      </c>
      <c r="L1487" s="23"/>
      <c r="M1487" s="22">
        <v>0</v>
      </c>
      <c r="N1487" s="74">
        <v>0</v>
      </c>
      <c r="O1487" s="22">
        <v>0</v>
      </c>
      <c r="P1487" s="21">
        <v>27452.91</v>
      </c>
      <c r="S1487" s="108" t="b">
        <f>OR(COUNTIF(Tabla2[[#This Row],[PROVEEDOR]],"*"&amp;'Palabra no opera'!$A$2&amp;"*"))</f>
        <v>0</v>
      </c>
      <c r="T1487" s="139">
        <f>+$W$5-Tabla2[[#This Row],[FECHA DE FACTURACIÓN]]</f>
        <v>513</v>
      </c>
      <c r="U1487" t="str">
        <f>+IF(Tabla2[[#This Row],[dias de credito]]&gt;=Tabla2[[#This Row],[PLAZO Días]],"venc", "No venc")</f>
        <v>venc</v>
      </c>
      <c r="V1487" t="str">
        <f>+IF(Tabla2[[#This Row],[FECHA DE PAGO]]&gt;0,"pagada","por pagar")</f>
        <v>pagada</v>
      </c>
      <c r="W1487" s="141" t="str">
        <f>+IF(AND(Tabla2[[#This Row],[venc]]="venc",Tabla2[[#This Row],[Columna1]]="por pagar"),"vencida","no")</f>
        <v>no</v>
      </c>
    </row>
    <row r="1488" spans="1:23" ht="15.6" hidden="1" x14ac:dyDescent="0.3">
      <c r="A1488" s="20">
        <v>45</v>
      </c>
      <c r="B1488" s="25">
        <v>8072960</v>
      </c>
      <c r="C1488" s="25"/>
      <c r="D1488" s="56" t="s">
        <v>198</v>
      </c>
      <c r="E1488" s="426">
        <v>44845</v>
      </c>
      <c r="F1488" s="26" t="s">
        <v>10</v>
      </c>
      <c r="G1488" s="426">
        <v>44774</v>
      </c>
      <c r="H1488" s="35" t="s">
        <v>1169</v>
      </c>
      <c r="I1488" s="21">
        <v>1185000</v>
      </c>
      <c r="J1488" s="21"/>
      <c r="K1488" s="22">
        <v>225150</v>
      </c>
      <c r="L1488" s="23"/>
      <c r="M1488" s="22">
        <v>0</v>
      </c>
      <c r="N1488" s="74">
        <v>0</v>
      </c>
      <c r="O1488" s="22">
        <v>0</v>
      </c>
      <c r="P1488" s="21">
        <v>1410150</v>
      </c>
      <c r="S1488" s="108" t="b">
        <f>OR(COUNTIF(Tabla2[[#This Row],[PROVEEDOR]],"*"&amp;'Palabra no opera'!$A$2&amp;"*"))</f>
        <v>0</v>
      </c>
      <c r="T1488" s="139">
        <f>+$W$5-Tabla2[[#This Row],[FECHA DE FACTURACIÓN]]</f>
        <v>517</v>
      </c>
      <c r="U1488" t="str">
        <f>+IF(Tabla2[[#This Row],[dias de credito]]&gt;=Tabla2[[#This Row],[PLAZO Días]],"venc", "No venc")</f>
        <v>venc</v>
      </c>
      <c r="V1488" t="str">
        <f>+IF(Tabla2[[#This Row],[FECHA DE PAGO]]&gt;0,"pagada","por pagar")</f>
        <v>pagada</v>
      </c>
      <c r="W1488" s="141" t="str">
        <f>+IF(AND(Tabla2[[#This Row],[venc]]="venc",Tabla2[[#This Row],[Columna1]]="por pagar"),"vencida","no")</f>
        <v>no</v>
      </c>
    </row>
    <row r="1489" spans="1:23" ht="15.6" hidden="1" x14ac:dyDescent="0.3">
      <c r="A1489" s="20">
        <v>30</v>
      </c>
      <c r="B1489" s="25">
        <v>3209330.35</v>
      </c>
      <c r="C1489" s="25"/>
      <c r="D1489" s="56" t="s">
        <v>187</v>
      </c>
      <c r="E1489" s="426">
        <v>44845</v>
      </c>
      <c r="F1489" s="26" t="s">
        <v>282</v>
      </c>
      <c r="G1489" s="426">
        <v>44765</v>
      </c>
      <c r="H1489" s="35">
        <v>1082</v>
      </c>
      <c r="I1489" s="21">
        <v>1072689.08</v>
      </c>
      <c r="J1489" s="21"/>
      <c r="K1489" s="22">
        <v>203810.92520000003</v>
      </c>
      <c r="L1489" s="23"/>
      <c r="M1489" s="22">
        <v>0</v>
      </c>
      <c r="N1489" s="74">
        <v>2.5000000000000001E-2</v>
      </c>
      <c r="O1489" s="22">
        <v>26817.227000000003</v>
      </c>
      <c r="P1489" s="21">
        <v>1249682.7782000001</v>
      </c>
      <c r="S1489" s="108" t="b">
        <f>OR(COUNTIF(Tabla2[[#This Row],[PROVEEDOR]],"*"&amp;'Palabra no opera'!$A$2&amp;"*"))</f>
        <v>0</v>
      </c>
      <c r="T1489" s="139">
        <f>+$W$5-Tabla2[[#This Row],[FECHA DE FACTURACIÓN]]</f>
        <v>526</v>
      </c>
      <c r="U1489" t="str">
        <f>+IF(Tabla2[[#This Row],[dias de credito]]&gt;=Tabla2[[#This Row],[PLAZO Días]],"venc", "No venc")</f>
        <v>venc</v>
      </c>
      <c r="V1489" t="str">
        <f>+IF(Tabla2[[#This Row],[FECHA DE PAGO]]&gt;0,"pagada","por pagar")</f>
        <v>pagada</v>
      </c>
      <c r="W1489" s="141" t="str">
        <f>+IF(AND(Tabla2[[#This Row],[venc]]="venc",Tabla2[[#This Row],[Columna1]]="por pagar"),"vencida","no")</f>
        <v>no</v>
      </c>
    </row>
    <row r="1490" spans="1:23" ht="15.6" hidden="1" x14ac:dyDescent="0.3">
      <c r="A1490" s="20">
        <v>30</v>
      </c>
      <c r="B1490" s="25">
        <v>0</v>
      </c>
      <c r="C1490" s="25"/>
      <c r="D1490" s="56" t="s">
        <v>659</v>
      </c>
      <c r="E1490" s="426">
        <v>44845</v>
      </c>
      <c r="F1490" s="26" t="s">
        <v>227</v>
      </c>
      <c r="G1490" s="426">
        <v>44749</v>
      </c>
      <c r="H1490" s="35" t="s">
        <v>805</v>
      </c>
      <c r="I1490" s="21">
        <v>0.88</v>
      </c>
      <c r="J1490" s="21"/>
      <c r="K1490" s="22">
        <v>0</v>
      </c>
      <c r="L1490" s="23"/>
      <c r="M1490" s="22">
        <v>0</v>
      </c>
      <c r="N1490" s="74">
        <v>0</v>
      </c>
      <c r="O1490" s="22">
        <v>0</v>
      </c>
      <c r="P1490" s="21">
        <v>0.88</v>
      </c>
      <c r="S1490" s="108" t="b">
        <f>OR(COUNTIF(Tabla2[[#This Row],[PROVEEDOR]],"*"&amp;'Palabra no opera'!$A$2&amp;"*"))</f>
        <v>0</v>
      </c>
      <c r="T1490" s="139">
        <f>+$W$5-Tabla2[[#This Row],[FECHA DE FACTURACIÓN]]</f>
        <v>542</v>
      </c>
      <c r="U1490" t="str">
        <f>+IF(Tabla2[[#This Row],[dias de credito]]&gt;=Tabla2[[#This Row],[PLAZO Días]],"venc", "No venc")</f>
        <v>venc</v>
      </c>
      <c r="V1490" t="str">
        <f>+IF(Tabla2[[#This Row],[FECHA DE PAGO]]&gt;0,"pagada","por pagar")</f>
        <v>pagada</v>
      </c>
      <c r="W1490" s="141" t="str">
        <f>+IF(AND(Tabla2[[#This Row],[venc]]="venc",Tabla2[[#This Row],[Columna1]]="por pagar"),"vencida","no")</f>
        <v>no</v>
      </c>
    </row>
    <row r="1491" spans="1:23" ht="15.6" hidden="1" x14ac:dyDescent="0.3">
      <c r="A1491" s="20">
        <v>30</v>
      </c>
      <c r="B1491" s="25">
        <v>0</v>
      </c>
      <c r="C1491" s="25"/>
      <c r="D1491" s="56" t="s">
        <v>368</v>
      </c>
      <c r="E1491" s="426">
        <v>44844</v>
      </c>
      <c r="F1491" s="26" t="s">
        <v>623</v>
      </c>
      <c r="G1491" s="426">
        <v>44835</v>
      </c>
      <c r="H1491" s="35" t="s">
        <v>1184</v>
      </c>
      <c r="I1491" s="21">
        <v>4750</v>
      </c>
      <c r="J1491" s="21"/>
      <c r="K1491" s="22">
        <v>902.5</v>
      </c>
      <c r="L1491" s="23"/>
      <c r="M1491" s="22">
        <v>0</v>
      </c>
      <c r="N1491" s="74">
        <v>0</v>
      </c>
      <c r="O1491" s="22">
        <v>0</v>
      </c>
      <c r="P1491" s="21">
        <v>5652.5</v>
      </c>
      <c r="S1491" s="108" t="b">
        <f>OR(COUNTIF(Tabla2[[#This Row],[PROVEEDOR]],"*"&amp;'Palabra no opera'!$A$2&amp;"*"))</f>
        <v>1</v>
      </c>
      <c r="T1491" s="139">
        <f>+$W$5-Tabla2[[#This Row],[FECHA DE FACTURACIÓN]]</f>
        <v>456</v>
      </c>
      <c r="U1491" t="str">
        <f>+IF(Tabla2[[#This Row],[dias de credito]]&gt;=Tabla2[[#This Row],[PLAZO Días]],"venc", "No venc")</f>
        <v>venc</v>
      </c>
      <c r="V1491" t="str">
        <f>+IF(Tabla2[[#This Row],[FECHA DE PAGO]]&gt;0,"pagada","por pagar")</f>
        <v>pagada</v>
      </c>
      <c r="W1491" s="141" t="str">
        <f>+IF(AND(Tabla2[[#This Row],[venc]]="venc",Tabla2[[#This Row],[Columna1]]="por pagar"),"vencida","no")</f>
        <v>no</v>
      </c>
    </row>
    <row r="1492" spans="1:23" ht="15.6" hidden="1" x14ac:dyDescent="0.3">
      <c r="A1492" s="20">
        <v>30</v>
      </c>
      <c r="B1492" s="25">
        <v>0</v>
      </c>
      <c r="C1492" s="25"/>
      <c r="D1492" s="56" t="s">
        <v>368</v>
      </c>
      <c r="E1492" s="426">
        <v>44844</v>
      </c>
      <c r="F1492" s="26" t="s">
        <v>623</v>
      </c>
      <c r="G1492" s="426">
        <v>44835</v>
      </c>
      <c r="H1492" s="35" t="s">
        <v>1181</v>
      </c>
      <c r="I1492" s="21">
        <v>19766</v>
      </c>
      <c r="J1492" s="21"/>
      <c r="K1492" s="22">
        <v>3755.54</v>
      </c>
      <c r="L1492" s="23"/>
      <c r="M1492" s="22">
        <v>0</v>
      </c>
      <c r="N1492" s="74">
        <v>0</v>
      </c>
      <c r="O1492" s="22">
        <v>0</v>
      </c>
      <c r="P1492" s="21">
        <v>23521.54</v>
      </c>
      <c r="S1492" s="108" t="b">
        <f>OR(COUNTIF(Tabla2[[#This Row],[PROVEEDOR]],"*"&amp;'Palabra no opera'!$A$2&amp;"*"))</f>
        <v>1</v>
      </c>
      <c r="T1492" s="139">
        <f>+$W$5-Tabla2[[#This Row],[FECHA DE FACTURACIÓN]]</f>
        <v>456</v>
      </c>
      <c r="U1492" t="str">
        <f>+IF(Tabla2[[#This Row],[dias de credito]]&gt;=Tabla2[[#This Row],[PLAZO Días]],"venc", "No venc")</f>
        <v>venc</v>
      </c>
      <c r="V1492" t="str">
        <f>+IF(Tabla2[[#This Row],[FECHA DE PAGO]]&gt;0,"pagada","por pagar")</f>
        <v>pagada</v>
      </c>
      <c r="W1492" s="141" t="str">
        <f>+IF(AND(Tabla2[[#This Row],[venc]]="venc",Tabla2[[#This Row],[Columna1]]="por pagar"),"vencida","no")</f>
        <v>no</v>
      </c>
    </row>
    <row r="1493" spans="1:23" ht="15.6" hidden="1" x14ac:dyDescent="0.3">
      <c r="A1493" s="20">
        <v>30</v>
      </c>
      <c r="B1493" s="25">
        <v>0</v>
      </c>
      <c r="C1493" s="25"/>
      <c r="D1493" s="56" t="s">
        <v>368</v>
      </c>
      <c r="E1493" s="426">
        <v>44844</v>
      </c>
      <c r="F1493" s="26" t="s">
        <v>623</v>
      </c>
      <c r="G1493" s="426">
        <v>44835</v>
      </c>
      <c r="H1493" s="35" t="s">
        <v>1182</v>
      </c>
      <c r="I1493" s="21">
        <v>791781</v>
      </c>
      <c r="J1493" s="21"/>
      <c r="K1493" s="22">
        <v>150438.39000000001</v>
      </c>
      <c r="L1493" s="23"/>
      <c r="M1493" s="22">
        <v>0</v>
      </c>
      <c r="N1493" s="74">
        <v>0</v>
      </c>
      <c r="O1493" s="22">
        <v>0</v>
      </c>
      <c r="P1493" s="21">
        <v>942219.39</v>
      </c>
      <c r="S1493" s="108" t="b">
        <f>OR(COUNTIF(Tabla2[[#This Row],[PROVEEDOR]],"*"&amp;'Palabra no opera'!$A$2&amp;"*"))</f>
        <v>1</v>
      </c>
      <c r="T1493" s="139">
        <f>+$W$5-Tabla2[[#This Row],[FECHA DE FACTURACIÓN]]</f>
        <v>456</v>
      </c>
      <c r="U1493" t="str">
        <f>+IF(Tabla2[[#This Row],[dias de credito]]&gt;=Tabla2[[#This Row],[PLAZO Días]],"venc", "No venc")</f>
        <v>venc</v>
      </c>
      <c r="V1493" t="str">
        <f>+IF(Tabla2[[#This Row],[FECHA DE PAGO]]&gt;0,"pagada","por pagar")</f>
        <v>pagada</v>
      </c>
      <c r="W1493" s="141" t="str">
        <f>+IF(AND(Tabla2[[#This Row],[venc]]="venc",Tabla2[[#This Row],[Columna1]]="por pagar"),"vencida","no")</f>
        <v>no</v>
      </c>
    </row>
    <row r="1494" spans="1:23" ht="15.6" hidden="1" x14ac:dyDescent="0.3">
      <c r="A1494" s="20">
        <v>30</v>
      </c>
      <c r="B1494" s="25">
        <v>0</v>
      </c>
      <c r="C1494" s="25"/>
      <c r="D1494" s="56" t="s">
        <v>368</v>
      </c>
      <c r="E1494" s="426">
        <v>44844</v>
      </c>
      <c r="F1494" s="26" t="s">
        <v>623</v>
      </c>
      <c r="G1494" s="426">
        <v>44835</v>
      </c>
      <c r="H1494" s="35" t="s">
        <v>1183</v>
      </c>
      <c r="I1494" s="21">
        <v>3294426</v>
      </c>
      <c r="J1494" s="21"/>
      <c r="K1494" s="22">
        <v>625940.94000000006</v>
      </c>
      <c r="L1494" s="23"/>
      <c r="M1494" s="22">
        <v>0</v>
      </c>
      <c r="N1494" s="74">
        <v>0</v>
      </c>
      <c r="O1494" s="22">
        <v>0</v>
      </c>
      <c r="P1494" s="21">
        <v>3920366.94</v>
      </c>
      <c r="S1494" s="108" t="b">
        <f>OR(COUNTIF(Tabla2[[#This Row],[PROVEEDOR]],"*"&amp;'Palabra no opera'!$A$2&amp;"*"))</f>
        <v>1</v>
      </c>
      <c r="T1494" s="139">
        <f>+$W$5-Tabla2[[#This Row],[FECHA DE FACTURACIÓN]]</f>
        <v>456</v>
      </c>
      <c r="U1494" t="str">
        <f>+IF(Tabla2[[#This Row],[dias de credito]]&gt;=Tabla2[[#This Row],[PLAZO Días]],"venc", "No venc")</f>
        <v>venc</v>
      </c>
      <c r="V1494" t="str">
        <f>+IF(Tabla2[[#This Row],[FECHA DE PAGO]]&gt;0,"pagada","por pagar")</f>
        <v>pagada</v>
      </c>
      <c r="W1494" s="141" t="str">
        <f>+IF(AND(Tabla2[[#This Row],[venc]]="venc",Tabla2[[#This Row],[Columna1]]="por pagar"),"vencida","no")</f>
        <v>no</v>
      </c>
    </row>
    <row r="1495" spans="1:23" ht="15.6" hidden="1" x14ac:dyDescent="0.3">
      <c r="A1495" s="20">
        <v>30</v>
      </c>
      <c r="B1495" s="25">
        <v>1316890.8900000001</v>
      </c>
      <c r="C1495" s="25"/>
      <c r="D1495" s="56" t="s">
        <v>188</v>
      </c>
      <c r="E1495" s="426">
        <v>44844</v>
      </c>
      <c r="F1495" s="26" t="s">
        <v>17</v>
      </c>
      <c r="G1495" s="426">
        <v>44812</v>
      </c>
      <c r="H1495" s="35" t="s">
        <v>1105</v>
      </c>
      <c r="I1495" s="21">
        <v>216200</v>
      </c>
      <c r="J1495" s="21"/>
      <c r="K1495" s="22">
        <v>41078</v>
      </c>
      <c r="L1495" s="23"/>
      <c r="M1495" s="22">
        <v>0</v>
      </c>
      <c r="N1495" s="74">
        <v>0</v>
      </c>
      <c r="O1495" s="22">
        <v>0</v>
      </c>
      <c r="P1495" s="21">
        <v>257278</v>
      </c>
      <c r="S1495" s="108" t="b">
        <f>OR(COUNTIF(Tabla2[[#This Row],[PROVEEDOR]],"*"&amp;'Palabra no opera'!$A$2&amp;"*"))</f>
        <v>0</v>
      </c>
      <c r="T1495" s="139">
        <f>+$W$5-Tabla2[[#This Row],[FECHA DE FACTURACIÓN]]</f>
        <v>479</v>
      </c>
      <c r="U1495" t="str">
        <f>+IF(Tabla2[[#This Row],[dias de credito]]&gt;=Tabla2[[#This Row],[PLAZO Días]],"venc", "No venc")</f>
        <v>venc</v>
      </c>
      <c r="V1495" t="str">
        <f>+IF(Tabla2[[#This Row],[FECHA DE PAGO]]&gt;0,"pagada","por pagar")</f>
        <v>pagada</v>
      </c>
      <c r="W1495" s="141" t="str">
        <f>+IF(AND(Tabla2[[#This Row],[venc]]="venc",Tabla2[[#This Row],[Columna1]]="por pagar"),"vencida","no")</f>
        <v>no</v>
      </c>
    </row>
    <row r="1496" spans="1:23" ht="15.6" hidden="1" x14ac:dyDescent="0.3">
      <c r="A1496" s="20">
        <v>30</v>
      </c>
      <c r="B1496" s="25">
        <v>1316890.8900000001</v>
      </c>
      <c r="C1496" s="25" t="s">
        <v>842</v>
      </c>
      <c r="D1496" s="56" t="s">
        <v>188</v>
      </c>
      <c r="E1496" s="426">
        <v>44844</v>
      </c>
      <c r="F1496" s="26" t="s">
        <v>17</v>
      </c>
      <c r="G1496" s="426">
        <v>44754</v>
      </c>
      <c r="H1496" s="35" t="s">
        <v>112</v>
      </c>
      <c r="I1496" s="21">
        <v>-78395</v>
      </c>
      <c r="J1496" s="21"/>
      <c r="K1496" s="22">
        <v>-14895.05</v>
      </c>
      <c r="L1496" s="23"/>
      <c r="M1496" s="22">
        <v>0</v>
      </c>
      <c r="N1496" s="74">
        <v>0</v>
      </c>
      <c r="O1496" s="22">
        <v>0</v>
      </c>
      <c r="P1496" s="21">
        <v>-93290.05</v>
      </c>
      <c r="S1496" s="108" t="b">
        <f>OR(COUNTIF(Tabla2[[#This Row],[PROVEEDOR]],"*"&amp;'Palabra no opera'!$A$2&amp;"*"))</f>
        <v>0</v>
      </c>
      <c r="T1496" s="139">
        <f>+$W$5-Tabla2[[#This Row],[FECHA DE FACTURACIÓN]]</f>
        <v>537</v>
      </c>
      <c r="U1496" t="str">
        <f>+IF(Tabla2[[#This Row],[dias de credito]]&gt;=Tabla2[[#This Row],[PLAZO Días]],"venc", "No venc")</f>
        <v>venc</v>
      </c>
      <c r="V1496" t="str">
        <f>+IF(Tabla2[[#This Row],[FECHA DE PAGO]]&gt;0,"pagada","por pagar")</f>
        <v>pagada</v>
      </c>
      <c r="W1496" s="141" t="str">
        <f>+IF(AND(Tabla2[[#This Row],[venc]]="venc",Tabla2[[#This Row],[Columna1]]="por pagar"),"vencida","no")</f>
        <v>no</v>
      </c>
    </row>
    <row r="1497" spans="1:23" ht="15.6" hidden="1" x14ac:dyDescent="0.3">
      <c r="A1497" s="20">
        <v>30</v>
      </c>
      <c r="B1497" s="25">
        <v>0</v>
      </c>
      <c r="C1497" s="25"/>
      <c r="D1497" s="56" t="s">
        <v>270</v>
      </c>
      <c r="E1497" s="426">
        <v>44842</v>
      </c>
      <c r="F1497" s="26" t="s">
        <v>387</v>
      </c>
      <c r="G1497" s="426">
        <v>44751</v>
      </c>
      <c r="H1497" s="35" t="s">
        <v>1047</v>
      </c>
      <c r="I1497" s="21">
        <v>9756105</v>
      </c>
      <c r="J1497" s="21"/>
      <c r="K1497" s="22">
        <v>0</v>
      </c>
      <c r="L1497" s="23"/>
      <c r="M1497" s="22">
        <v>0</v>
      </c>
      <c r="N1497" s="74">
        <v>0</v>
      </c>
      <c r="O1497" s="22">
        <v>0</v>
      </c>
      <c r="P1497" s="21">
        <v>9756105</v>
      </c>
      <c r="S1497" s="108" t="b">
        <f>OR(COUNTIF(Tabla2[[#This Row],[PROVEEDOR]],"*"&amp;'Palabra no opera'!$A$2&amp;"*"))</f>
        <v>0</v>
      </c>
      <c r="T1497" s="139">
        <f>+$W$5-Tabla2[[#This Row],[FECHA DE FACTURACIÓN]]</f>
        <v>540</v>
      </c>
      <c r="U1497" t="str">
        <f>+IF(Tabla2[[#This Row],[dias de credito]]&gt;=Tabla2[[#This Row],[PLAZO Días]],"venc", "No venc")</f>
        <v>venc</v>
      </c>
      <c r="V1497" t="str">
        <f>+IF(Tabla2[[#This Row],[FECHA DE PAGO]]&gt;0,"pagada","por pagar")</f>
        <v>pagada</v>
      </c>
      <c r="W1497" s="141" t="str">
        <f>+IF(AND(Tabla2[[#This Row],[venc]]="venc",Tabla2[[#This Row],[Columna1]]="por pagar"),"vencida","no")</f>
        <v>no</v>
      </c>
    </row>
    <row r="1498" spans="1:23" ht="15.6" hidden="1" x14ac:dyDescent="0.3">
      <c r="A1498" s="20">
        <v>30</v>
      </c>
      <c r="B1498" s="25">
        <v>0</v>
      </c>
      <c r="C1498" s="25"/>
      <c r="D1498" s="56" t="s">
        <v>107</v>
      </c>
      <c r="E1498" s="426">
        <v>44841</v>
      </c>
      <c r="F1498" s="26" t="s">
        <v>1197</v>
      </c>
      <c r="G1498" s="426">
        <v>44841</v>
      </c>
      <c r="H1498" s="35" t="s">
        <v>1198</v>
      </c>
      <c r="I1498" s="21">
        <v>1060000</v>
      </c>
      <c r="J1498" s="21"/>
      <c r="K1498" s="22">
        <v>0</v>
      </c>
      <c r="L1498" s="23"/>
      <c r="M1498" s="22">
        <v>0</v>
      </c>
      <c r="N1498" s="74">
        <v>0</v>
      </c>
      <c r="O1498" s="22">
        <v>0</v>
      </c>
      <c r="P1498" s="21">
        <v>1060000</v>
      </c>
      <c r="S1498" s="108" t="b">
        <f>OR(COUNTIF(Tabla2[[#This Row],[PROVEEDOR]],"*"&amp;'Palabra no opera'!$A$2&amp;"*"))</f>
        <v>0</v>
      </c>
      <c r="T1498" s="139">
        <f>+$W$5-Tabla2[[#This Row],[FECHA DE FACTURACIÓN]]</f>
        <v>450</v>
      </c>
      <c r="U1498" t="str">
        <f>+IF(Tabla2[[#This Row],[dias de credito]]&gt;=Tabla2[[#This Row],[PLAZO Días]],"venc", "No venc")</f>
        <v>venc</v>
      </c>
      <c r="V1498" t="str">
        <f>+IF(Tabla2[[#This Row],[FECHA DE PAGO]]&gt;0,"pagada","por pagar")</f>
        <v>pagada</v>
      </c>
      <c r="W1498" s="141" t="str">
        <f>+IF(AND(Tabla2[[#This Row],[venc]]="venc",Tabla2[[#This Row],[Columna1]]="por pagar"),"vencida","no")</f>
        <v>no</v>
      </c>
    </row>
    <row r="1499" spans="1:23" ht="15.6" hidden="1" x14ac:dyDescent="0.3">
      <c r="A1499" s="20">
        <v>30</v>
      </c>
      <c r="B1499" s="25">
        <v>0</v>
      </c>
      <c r="C1499" s="25"/>
      <c r="D1499" s="56" t="s">
        <v>258</v>
      </c>
      <c r="E1499" s="426">
        <v>44841</v>
      </c>
      <c r="F1499" s="26" t="s">
        <v>394</v>
      </c>
      <c r="G1499" s="426">
        <v>44800</v>
      </c>
      <c r="H1499" s="35" t="s">
        <v>1123</v>
      </c>
      <c r="I1499" s="21">
        <v>2100000</v>
      </c>
      <c r="J1499" s="21"/>
      <c r="K1499" s="22">
        <v>0</v>
      </c>
      <c r="L1499" s="23"/>
      <c r="M1499" s="22">
        <v>0</v>
      </c>
      <c r="N1499" s="74">
        <v>0</v>
      </c>
      <c r="O1499" s="22">
        <v>0</v>
      </c>
      <c r="P1499" s="21">
        <v>2100000</v>
      </c>
      <c r="S1499" s="108" t="b">
        <f>OR(COUNTIF(Tabla2[[#This Row],[PROVEEDOR]],"*"&amp;'Palabra no opera'!$A$2&amp;"*"))</f>
        <v>0</v>
      </c>
      <c r="T1499" s="139">
        <f>+$W$5-Tabla2[[#This Row],[FECHA DE FACTURACIÓN]]</f>
        <v>491</v>
      </c>
      <c r="U1499" t="str">
        <f>+IF(Tabla2[[#This Row],[dias de credito]]&gt;=Tabla2[[#This Row],[PLAZO Días]],"venc", "No venc")</f>
        <v>venc</v>
      </c>
      <c r="V1499" t="str">
        <f>+IF(Tabla2[[#This Row],[FECHA DE PAGO]]&gt;0,"pagada","por pagar")</f>
        <v>pagada</v>
      </c>
      <c r="W1499" s="141" t="str">
        <f>+IF(AND(Tabla2[[#This Row],[venc]]="venc",Tabla2[[#This Row],[Columna1]]="por pagar"),"vencida","no")</f>
        <v>no</v>
      </c>
    </row>
    <row r="1500" spans="1:23" ht="15.6" hidden="1" x14ac:dyDescent="0.3">
      <c r="A1500" s="20">
        <v>30</v>
      </c>
      <c r="B1500" s="25">
        <v>0</v>
      </c>
      <c r="C1500" s="25"/>
      <c r="D1500" s="56" t="s">
        <v>107</v>
      </c>
      <c r="E1500" s="426">
        <v>44839</v>
      </c>
      <c r="F1500" s="26" t="s">
        <v>1194</v>
      </c>
      <c r="G1500" s="426">
        <v>44838</v>
      </c>
      <c r="H1500" s="35" t="s">
        <v>1195</v>
      </c>
      <c r="I1500" s="21">
        <v>972000</v>
      </c>
      <c r="J1500" s="21"/>
      <c r="K1500" s="22">
        <v>0</v>
      </c>
      <c r="L1500" s="23"/>
      <c r="M1500" s="22">
        <v>0</v>
      </c>
      <c r="N1500" s="74">
        <v>0</v>
      </c>
      <c r="O1500" s="22">
        <v>0</v>
      </c>
      <c r="P1500" s="21">
        <v>972000</v>
      </c>
      <c r="S1500" s="108" t="b">
        <f>OR(COUNTIF(Tabla2[[#This Row],[PROVEEDOR]],"*"&amp;'Palabra no opera'!$A$2&amp;"*"))</f>
        <v>0</v>
      </c>
      <c r="T1500" s="139">
        <f>+$W$5-Tabla2[[#This Row],[FECHA DE FACTURACIÓN]]</f>
        <v>453</v>
      </c>
      <c r="U1500" t="str">
        <f>+IF(Tabla2[[#This Row],[dias de credito]]&gt;=Tabla2[[#This Row],[PLAZO Días]],"venc", "No venc")</f>
        <v>venc</v>
      </c>
      <c r="V1500" t="str">
        <f>+IF(Tabla2[[#This Row],[FECHA DE PAGO]]&gt;0,"pagada","por pagar")</f>
        <v>pagada</v>
      </c>
      <c r="W1500" s="141" t="str">
        <f>+IF(AND(Tabla2[[#This Row],[venc]]="venc",Tabla2[[#This Row],[Columna1]]="por pagar"),"vencida","no")</f>
        <v>no</v>
      </c>
    </row>
    <row r="1501" spans="1:23" ht="15.6" hidden="1" x14ac:dyDescent="0.3">
      <c r="A1501" s="20">
        <v>30</v>
      </c>
      <c r="B1501" s="25">
        <v>0</v>
      </c>
      <c r="C1501" s="25"/>
      <c r="D1501" s="56" t="s">
        <v>210</v>
      </c>
      <c r="E1501" s="426">
        <v>44839</v>
      </c>
      <c r="F1501" s="26" t="s">
        <v>47</v>
      </c>
      <c r="G1501" s="426">
        <v>44792</v>
      </c>
      <c r="H1501" s="35" t="s">
        <v>938</v>
      </c>
      <c r="I1501" s="21">
        <v>211800</v>
      </c>
      <c r="J1501" s="21"/>
      <c r="K1501" s="22">
        <v>40242</v>
      </c>
      <c r="L1501" s="23"/>
      <c r="M1501" s="22">
        <v>0</v>
      </c>
      <c r="N1501" s="74">
        <v>0</v>
      </c>
      <c r="O1501" s="22">
        <v>0</v>
      </c>
      <c r="P1501" s="21">
        <v>252042</v>
      </c>
      <c r="S1501" s="108" t="b">
        <f>OR(COUNTIF(Tabla2[[#This Row],[PROVEEDOR]],"*"&amp;'Palabra no opera'!$A$2&amp;"*"))</f>
        <v>0</v>
      </c>
      <c r="T1501" s="139">
        <f>+$W$5-Tabla2[[#This Row],[FECHA DE FACTURACIÓN]]</f>
        <v>499</v>
      </c>
      <c r="U1501" t="str">
        <f>+IF(Tabla2[[#This Row],[dias de credito]]&gt;=Tabla2[[#This Row],[PLAZO Días]],"venc", "No venc")</f>
        <v>venc</v>
      </c>
      <c r="V1501" t="str">
        <f>+IF(Tabla2[[#This Row],[FECHA DE PAGO]]&gt;0,"pagada","por pagar")</f>
        <v>pagada</v>
      </c>
      <c r="W1501" s="141" t="str">
        <f>+IF(AND(Tabla2[[#This Row],[venc]]="venc",Tabla2[[#This Row],[Columna1]]="por pagar"),"vencida","no")</f>
        <v>no</v>
      </c>
    </row>
    <row r="1502" spans="1:23" ht="15.6" hidden="1" x14ac:dyDescent="0.3">
      <c r="A1502" s="20">
        <v>30</v>
      </c>
      <c r="B1502" s="25">
        <v>0</v>
      </c>
      <c r="C1502" s="25"/>
      <c r="D1502" s="56" t="s">
        <v>210</v>
      </c>
      <c r="E1502" s="426">
        <v>44839</v>
      </c>
      <c r="F1502" s="26" t="s">
        <v>47</v>
      </c>
      <c r="G1502" s="426">
        <v>44786</v>
      </c>
      <c r="H1502" s="35" t="s">
        <v>922</v>
      </c>
      <c r="I1502" s="21">
        <v>359725</v>
      </c>
      <c r="J1502" s="21"/>
      <c r="K1502" s="22">
        <v>68347.75</v>
      </c>
      <c r="L1502" s="23"/>
      <c r="M1502" s="22">
        <v>0</v>
      </c>
      <c r="N1502" s="74">
        <v>0</v>
      </c>
      <c r="O1502" s="22">
        <v>0</v>
      </c>
      <c r="P1502" s="21">
        <v>428072.75</v>
      </c>
      <c r="S1502" s="108" t="b">
        <f>OR(COUNTIF(Tabla2[[#This Row],[PROVEEDOR]],"*"&amp;'Palabra no opera'!$A$2&amp;"*"))</f>
        <v>0</v>
      </c>
      <c r="T1502" s="139">
        <f>+$W$5-Tabla2[[#This Row],[FECHA DE FACTURACIÓN]]</f>
        <v>505</v>
      </c>
      <c r="U1502" t="str">
        <f>+IF(Tabla2[[#This Row],[dias de credito]]&gt;=Tabla2[[#This Row],[PLAZO Días]],"venc", "No venc")</f>
        <v>venc</v>
      </c>
      <c r="V1502" t="str">
        <f>+IF(Tabla2[[#This Row],[FECHA DE PAGO]]&gt;0,"pagada","por pagar")</f>
        <v>pagada</v>
      </c>
      <c r="W1502" s="141" t="str">
        <f>+IF(AND(Tabla2[[#This Row],[venc]]="venc",Tabla2[[#This Row],[Columna1]]="por pagar"),"vencida","no")</f>
        <v>no</v>
      </c>
    </row>
    <row r="1503" spans="1:23" ht="15.6" hidden="1" x14ac:dyDescent="0.3">
      <c r="A1503" s="20">
        <v>30</v>
      </c>
      <c r="B1503" s="25">
        <v>0</v>
      </c>
      <c r="C1503" s="25"/>
      <c r="D1503" s="56" t="s">
        <v>210</v>
      </c>
      <c r="E1503" s="426">
        <v>44839</v>
      </c>
      <c r="F1503" s="26" t="s">
        <v>47</v>
      </c>
      <c r="G1503" s="426">
        <v>44784</v>
      </c>
      <c r="H1503" s="35" t="s">
        <v>940</v>
      </c>
      <c r="I1503" s="21">
        <v>486500</v>
      </c>
      <c r="J1503" s="21"/>
      <c r="K1503" s="22">
        <v>92435</v>
      </c>
      <c r="L1503" s="23"/>
      <c r="M1503" s="22">
        <v>0</v>
      </c>
      <c r="N1503" s="74">
        <v>0</v>
      </c>
      <c r="O1503" s="22">
        <v>0</v>
      </c>
      <c r="P1503" s="21">
        <v>578935</v>
      </c>
      <c r="S1503" s="108" t="b">
        <f>OR(COUNTIF(Tabla2[[#This Row],[PROVEEDOR]],"*"&amp;'Palabra no opera'!$A$2&amp;"*"))</f>
        <v>0</v>
      </c>
      <c r="T1503" s="139">
        <f>+$W$5-Tabla2[[#This Row],[FECHA DE FACTURACIÓN]]</f>
        <v>507</v>
      </c>
      <c r="U1503" t="str">
        <f>+IF(Tabla2[[#This Row],[dias de credito]]&gt;=Tabla2[[#This Row],[PLAZO Días]],"venc", "No venc")</f>
        <v>venc</v>
      </c>
      <c r="V1503" t="str">
        <f>+IF(Tabla2[[#This Row],[FECHA DE PAGO]]&gt;0,"pagada","por pagar")</f>
        <v>pagada</v>
      </c>
      <c r="W1503" s="141" t="str">
        <f>+IF(AND(Tabla2[[#This Row],[venc]]="venc",Tabla2[[#This Row],[Columna1]]="por pagar"),"vencida","no")</f>
        <v>no</v>
      </c>
    </row>
    <row r="1504" spans="1:23" ht="15.6" hidden="1" x14ac:dyDescent="0.3">
      <c r="A1504" s="20">
        <v>45</v>
      </c>
      <c r="B1504" s="25">
        <v>8072960</v>
      </c>
      <c r="C1504" s="25"/>
      <c r="D1504" s="56" t="s">
        <v>198</v>
      </c>
      <c r="E1504" s="426">
        <v>44839</v>
      </c>
      <c r="F1504" s="26" t="s">
        <v>10</v>
      </c>
      <c r="G1504" s="426">
        <v>44781</v>
      </c>
      <c r="H1504" s="35" t="s">
        <v>875</v>
      </c>
      <c r="I1504" s="21">
        <v>760000</v>
      </c>
      <c r="J1504" s="21"/>
      <c r="K1504" s="22">
        <v>144400</v>
      </c>
      <c r="L1504" s="23"/>
      <c r="M1504" s="22">
        <v>0</v>
      </c>
      <c r="N1504" s="74">
        <v>0</v>
      </c>
      <c r="O1504" s="22">
        <v>0</v>
      </c>
      <c r="P1504" s="21">
        <v>904400</v>
      </c>
      <c r="S1504" s="108" t="b">
        <f>OR(COUNTIF(Tabla2[[#This Row],[PROVEEDOR]],"*"&amp;'Palabra no opera'!$A$2&amp;"*"))</f>
        <v>0</v>
      </c>
      <c r="T1504" s="139">
        <f>+$W$5-Tabla2[[#This Row],[FECHA DE FACTURACIÓN]]</f>
        <v>510</v>
      </c>
      <c r="U1504" t="str">
        <f>+IF(Tabla2[[#This Row],[dias de credito]]&gt;=Tabla2[[#This Row],[PLAZO Días]],"venc", "No venc")</f>
        <v>venc</v>
      </c>
      <c r="V1504" t="str">
        <f>+IF(Tabla2[[#This Row],[FECHA DE PAGO]]&gt;0,"pagada","por pagar")</f>
        <v>pagada</v>
      </c>
      <c r="W1504" s="141" t="str">
        <f>+IF(AND(Tabla2[[#This Row],[venc]]="venc",Tabla2[[#This Row],[Columna1]]="por pagar"),"vencida","no")</f>
        <v>no</v>
      </c>
    </row>
    <row r="1505" spans="1:23" ht="15.6" hidden="1" x14ac:dyDescent="0.3">
      <c r="A1505" s="20">
        <v>30</v>
      </c>
      <c r="B1505" s="25">
        <v>18444236.894999996</v>
      </c>
      <c r="C1505" s="25"/>
      <c r="D1505" s="56" t="s">
        <v>731</v>
      </c>
      <c r="E1505" s="426">
        <v>44839</v>
      </c>
      <c r="F1505" s="26" t="s">
        <v>11</v>
      </c>
      <c r="G1505" s="426">
        <v>44778</v>
      </c>
      <c r="H1505" s="35" t="s">
        <v>876</v>
      </c>
      <c r="I1505" s="21">
        <v>252101</v>
      </c>
      <c r="J1505" s="21"/>
      <c r="K1505" s="22">
        <v>47899.19</v>
      </c>
      <c r="L1505" s="23"/>
      <c r="M1505" s="22">
        <v>0</v>
      </c>
      <c r="N1505" s="74">
        <v>0</v>
      </c>
      <c r="O1505" s="22">
        <v>0</v>
      </c>
      <c r="P1505" s="21">
        <v>300000.19</v>
      </c>
      <c r="S1505" s="108" t="b">
        <f>OR(COUNTIF(Tabla2[[#This Row],[PROVEEDOR]],"*"&amp;'Palabra no opera'!$A$2&amp;"*"))</f>
        <v>0</v>
      </c>
      <c r="T1505" s="139">
        <f>+$W$5-Tabla2[[#This Row],[FECHA DE FACTURACIÓN]]</f>
        <v>513</v>
      </c>
      <c r="U1505" t="str">
        <f>+IF(Tabla2[[#This Row],[dias de credito]]&gt;=Tabla2[[#This Row],[PLAZO Días]],"venc", "No venc")</f>
        <v>venc</v>
      </c>
      <c r="V1505" t="str">
        <f>+IF(Tabla2[[#This Row],[FECHA DE PAGO]]&gt;0,"pagada","por pagar")</f>
        <v>pagada</v>
      </c>
      <c r="W1505" s="141" t="str">
        <f>+IF(AND(Tabla2[[#This Row],[venc]]="venc",Tabla2[[#This Row],[Columna1]]="por pagar"),"vencida","no")</f>
        <v>no</v>
      </c>
    </row>
    <row r="1506" spans="1:23" ht="15.6" hidden="1" x14ac:dyDescent="0.3">
      <c r="A1506" s="20">
        <v>45</v>
      </c>
      <c r="B1506" s="25">
        <v>8072960</v>
      </c>
      <c r="C1506" s="25"/>
      <c r="D1506" s="56" t="s">
        <v>198</v>
      </c>
      <c r="E1506" s="426">
        <v>44839</v>
      </c>
      <c r="F1506" s="26" t="s">
        <v>10</v>
      </c>
      <c r="G1506" s="426">
        <v>44776</v>
      </c>
      <c r="H1506" s="35" t="s">
        <v>874</v>
      </c>
      <c r="I1506" s="21">
        <v>3230000</v>
      </c>
      <c r="J1506" s="21"/>
      <c r="K1506" s="22">
        <v>613700</v>
      </c>
      <c r="L1506" s="23"/>
      <c r="M1506" s="22">
        <v>0</v>
      </c>
      <c r="N1506" s="74">
        <v>0</v>
      </c>
      <c r="O1506" s="22">
        <v>0</v>
      </c>
      <c r="P1506" s="21">
        <v>3843700</v>
      </c>
      <c r="S1506" s="108" t="b">
        <f>OR(COUNTIF(Tabla2[[#This Row],[PROVEEDOR]],"*"&amp;'Palabra no opera'!$A$2&amp;"*"))</f>
        <v>0</v>
      </c>
      <c r="T1506" s="139">
        <f>+$W$5-Tabla2[[#This Row],[FECHA DE FACTURACIÓN]]</f>
        <v>515</v>
      </c>
      <c r="U1506" t="str">
        <f>+IF(Tabla2[[#This Row],[dias de credito]]&gt;=Tabla2[[#This Row],[PLAZO Días]],"venc", "No venc")</f>
        <v>venc</v>
      </c>
      <c r="V1506" t="str">
        <f>+IF(Tabla2[[#This Row],[FECHA DE PAGO]]&gt;0,"pagada","por pagar")</f>
        <v>pagada</v>
      </c>
      <c r="W1506" s="141" t="str">
        <f>+IF(AND(Tabla2[[#This Row],[venc]]="venc",Tabla2[[#This Row],[Columna1]]="por pagar"),"vencida","no")</f>
        <v>no</v>
      </c>
    </row>
    <row r="1507" spans="1:23" ht="15.6" hidden="1" x14ac:dyDescent="0.3">
      <c r="A1507" s="20">
        <v>30</v>
      </c>
      <c r="B1507" s="25">
        <v>3669750</v>
      </c>
      <c r="C1507" s="25"/>
      <c r="D1507" s="56" t="s">
        <v>1082</v>
      </c>
      <c r="E1507" s="426">
        <v>44839</v>
      </c>
      <c r="F1507" s="26" t="s">
        <v>24</v>
      </c>
      <c r="G1507" s="426">
        <v>44775</v>
      </c>
      <c r="H1507" s="35" t="s">
        <v>877</v>
      </c>
      <c r="I1507" s="21">
        <v>1682976</v>
      </c>
      <c r="J1507" s="21"/>
      <c r="K1507" s="22">
        <v>319765.44</v>
      </c>
      <c r="L1507" s="23"/>
      <c r="M1507" s="22">
        <v>0</v>
      </c>
      <c r="N1507" s="74">
        <v>2.5000000000000001E-2</v>
      </c>
      <c r="O1507" s="22">
        <v>42074.400000000001</v>
      </c>
      <c r="P1507" s="21">
        <v>1960667.04</v>
      </c>
      <c r="S1507" s="108" t="b">
        <f>OR(COUNTIF(Tabla2[[#This Row],[PROVEEDOR]],"*"&amp;'Palabra no opera'!$A$2&amp;"*"))</f>
        <v>0</v>
      </c>
      <c r="T1507" s="139">
        <f>+$W$5-Tabla2[[#This Row],[FECHA DE FACTURACIÓN]]</f>
        <v>516</v>
      </c>
      <c r="U1507" t="str">
        <f>+IF(Tabla2[[#This Row],[dias de credito]]&gt;=Tabla2[[#This Row],[PLAZO Días]],"venc", "No venc")</f>
        <v>venc</v>
      </c>
      <c r="V1507" t="str">
        <f>+IF(Tabla2[[#This Row],[FECHA DE PAGO]]&gt;0,"pagada","por pagar")</f>
        <v>pagada</v>
      </c>
      <c r="W1507" s="141" t="str">
        <f>+IF(AND(Tabla2[[#This Row],[venc]]="venc",Tabla2[[#This Row],[Columna1]]="por pagar"),"vencida","no")</f>
        <v>no</v>
      </c>
    </row>
    <row r="1508" spans="1:23" ht="15.6" hidden="1" x14ac:dyDescent="0.3">
      <c r="A1508" s="20">
        <v>30</v>
      </c>
      <c r="B1508" s="25">
        <v>121187115</v>
      </c>
      <c r="C1508" s="25"/>
      <c r="D1508" s="56" t="s">
        <v>233</v>
      </c>
      <c r="E1508" s="426">
        <v>44839</v>
      </c>
      <c r="F1508" s="26" t="s">
        <v>31</v>
      </c>
      <c r="G1508" s="426">
        <v>44761</v>
      </c>
      <c r="H1508" s="35">
        <v>57126</v>
      </c>
      <c r="I1508" s="21">
        <v>64586412</v>
      </c>
      <c r="J1508" s="21"/>
      <c r="K1508" s="22">
        <v>0</v>
      </c>
      <c r="L1508" s="23"/>
      <c r="M1508" s="22">
        <v>0</v>
      </c>
      <c r="N1508" s="74">
        <v>0</v>
      </c>
      <c r="O1508" s="22">
        <v>0</v>
      </c>
      <c r="P1508" s="21">
        <v>64586412</v>
      </c>
      <c r="S1508" s="108" t="b">
        <f>OR(COUNTIF(Tabla2[[#This Row],[PROVEEDOR]],"*"&amp;'Palabra no opera'!$A$2&amp;"*"))</f>
        <v>0</v>
      </c>
      <c r="T1508" s="139">
        <f>+$W$5-Tabla2[[#This Row],[FECHA DE FACTURACIÓN]]</f>
        <v>530</v>
      </c>
      <c r="U1508" t="str">
        <f>+IF(Tabla2[[#This Row],[dias de credito]]&gt;=Tabla2[[#This Row],[PLAZO Días]],"venc", "No venc")</f>
        <v>venc</v>
      </c>
      <c r="V1508" t="str">
        <f>+IF(Tabla2[[#This Row],[FECHA DE PAGO]]&gt;0,"pagada","por pagar")</f>
        <v>pagada</v>
      </c>
      <c r="W1508" s="141" t="str">
        <f>+IF(AND(Tabla2[[#This Row],[venc]]="venc",Tabla2[[#This Row],[Columna1]]="por pagar"),"vencida","no")</f>
        <v>no</v>
      </c>
    </row>
    <row r="1509" spans="1:23" ht="15.6" hidden="1" x14ac:dyDescent="0.3">
      <c r="A1509" s="20">
        <v>30</v>
      </c>
      <c r="B1509" s="25">
        <v>429590</v>
      </c>
      <c r="C1509" s="25"/>
      <c r="D1509" s="56" t="s">
        <v>196</v>
      </c>
      <c r="E1509" s="426">
        <v>44838</v>
      </c>
      <c r="F1509" s="26" t="s">
        <v>39</v>
      </c>
      <c r="G1509" s="426">
        <v>44827</v>
      </c>
      <c r="H1509" s="35" t="s">
        <v>1140</v>
      </c>
      <c r="I1509" s="21">
        <v>338160</v>
      </c>
      <c r="J1509" s="21"/>
      <c r="K1509" s="22">
        <v>64250.400000000001</v>
      </c>
      <c r="L1509" s="23"/>
      <c r="M1509" s="22">
        <v>0</v>
      </c>
      <c r="N1509" s="74">
        <v>0</v>
      </c>
      <c r="O1509" s="22">
        <v>0</v>
      </c>
      <c r="P1509" s="21">
        <v>402410.4</v>
      </c>
      <c r="S1509" s="108" t="b">
        <f>OR(COUNTIF(Tabla2[[#This Row],[PROVEEDOR]],"*"&amp;'Palabra no opera'!$A$2&amp;"*"))</f>
        <v>0</v>
      </c>
      <c r="T1509" s="139">
        <f>+$W$5-Tabla2[[#This Row],[FECHA DE FACTURACIÓN]]</f>
        <v>464</v>
      </c>
      <c r="U1509" t="str">
        <f>+IF(Tabla2[[#This Row],[dias de credito]]&gt;=Tabla2[[#This Row],[PLAZO Días]],"venc", "No venc")</f>
        <v>venc</v>
      </c>
      <c r="V1509" t="str">
        <f>+IF(Tabla2[[#This Row],[FECHA DE PAGO]]&gt;0,"pagada","por pagar")</f>
        <v>pagada</v>
      </c>
      <c r="W1509" s="141" t="str">
        <f>+IF(AND(Tabla2[[#This Row],[venc]]="venc",Tabla2[[#This Row],[Columna1]]="por pagar"),"vencida","no")</f>
        <v>no</v>
      </c>
    </row>
    <row r="1510" spans="1:23" ht="15.6" hidden="1" x14ac:dyDescent="0.3">
      <c r="A1510" s="20">
        <v>30</v>
      </c>
      <c r="B1510" s="25">
        <v>0</v>
      </c>
      <c r="C1510" s="25"/>
      <c r="D1510" s="56" t="s">
        <v>107</v>
      </c>
      <c r="E1510" s="426">
        <v>44838</v>
      </c>
      <c r="F1510" s="26" t="s">
        <v>493</v>
      </c>
      <c r="G1510" s="426">
        <v>44811</v>
      </c>
      <c r="H1510" s="35" t="s">
        <v>1146</v>
      </c>
      <c r="I1510" s="21">
        <v>900000</v>
      </c>
      <c r="J1510" s="21"/>
      <c r="K1510" s="22">
        <v>0</v>
      </c>
      <c r="L1510" s="23"/>
      <c r="M1510" s="22">
        <v>0</v>
      </c>
      <c r="N1510" s="74">
        <v>0</v>
      </c>
      <c r="O1510" s="22">
        <v>0</v>
      </c>
      <c r="P1510" s="21">
        <v>900000</v>
      </c>
      <c r="S1510" s="108" t="b">
        <f>OR(COUNTIF(Tabla2[[#This Row],[PROVEEDOR]],"*"&amp;'Palabra no opera'!$A$2&amp;"*"))</f>
        <v>0</v>
      </c>
      <c r="T1510" s="139">
        <f>+$W$5-Tabla2[[#This Row],[FECHA DE FACTURACIÓN]]</f>
        <v>480</v>
      </c>
      <c r="U1510" t="str">
        <f>+IF(Tabla2[[#This Row],[dias de credito]]&gt;=Tabla2[[#This Row],[PLAZO Días]],"venc", "No venc")</f>
        <v>venc</v>
      </c>
      <c r="V1510" t="str">
        <f>+IF(Tabla2[[#This Row],[FECHA DE PAGO]]&gt;0,"pagada","por pagar")</f>
        <v>pagada</v>
      </c>
      <c r="W1510" s="141" t="str">
        <f>+IF(AND(Tabla2[[#This Row],[venc]]="venc",Tabla2[[#This Row],[Columna1]]="por pagar"),"vencida","no")</f>
        <v>no</v>
      </c>
    </row>
    <row r="1511" spans="1:23" ht="15.6" hidden="1" x14ac:dyDescent="0.3">
      <c r="A1511" s="20">
        <v>30</v>
      </c>
      <c r="B1511" s="25">
        <v>0</v>
      </c>
      <c r="C1511" s="25"/>
      <c r="D1511" s="56" t="s">
        <v>342</v>
      </c>
      <c r="E1511" s="426">
        <v>44838</v>
      </c>
      <c r="F1511" s="26" t="s">
        <v>343</v>
      </c>
      <c r="G1511" s="426">
        <v>44760</v>
      </c>
      <c r="H1511" s="35" t="s">
        <v>1050</v>
      </c>
      <c r="I1511" s="21">
        <v>1802000</v>
      </c>
      <c r="J1511" s="21"/>
      <c r="K1511" s="22">
        <v>0</v>
      </c>
      <c r="L1511" s="23"/>
      <c r="M1511" s="22">
        <v>0</v>
      </c>
      <c r="N1511" s="74">
        <v>0</v>
      </c>
      <c r="O1511" s="22">
        <v>0</v>
      </c>
      <c r="P1511" s="21">
        <v>1802000</v>
      </c>
      <c r="S1511" s="108" t="b">
        <f>OR(COUNTIF(Tabla2[[#This Row],[PROVEEDOR]],"*"&amp;'Palabra no opera'!$A$2&amp;"*"))</f>
        <v>0</v>
      </c>
      <c r="T1511" s="139">
        <f>+$W$5-Tabla2[[#This Row],[FECHA DE FACTURACIÓN]]</f>
        <v>531</v>
      </c>
      <c r="U1511" t="str">
        <f>+IF(Tabla2[[#This Row],[dias de credito]]&gt;=Tabla2[[#This Row],[PLAZO Días]],"venc", "No venc")</f>
        <v>venc</v>
      </c>
      <c r="V1511" t="str">
        <f>+IF(Tabla2[[#This Row],[FECHA DE PAGO]]&gt;0,"pagada","por pagar")</f>
        <v>pagada</v>
      </c>
      <c r="W1511" s="141" t="str">
        <f>+IF(AND(Tabla2[[#This Row],[venc]]="venc",Tabla2[[#This Row],[Columna1]]="por pagar"),"vencida","no")</f>
        <v>no</v>
      </c>
    </row>
    <row r="1512" spans="1:23" ht="15.6" hidden="1" x14ac:dyDescent="0.3">
      <c r="A1512" s="20">
        <v>30</v>
      </c>
      <c r="B1512" s="25">
        <v>0</v>
      </c>
      <c r="C1512" s="25"/>
      <c r="D1512" s="56" t="s">
        <v>107</v>
      </c>
      <c r="E1512" s="426">
        <v>44835</v>
      </c>
      <c r="F1512" s="26" t="s">
        <v>353</v>
      </c>
      <c r="G1512" s="426">
        <v>44835</v>
      </c>
      <c r="H1512" s="35" t="s">
        <v>1151</v>
      </c>
      <c r="I1512" s="21">
        <v>455000</v>
      </c>
      <c r="J1512" s="21"/>
      <c r="K1512" s="22">
        <v>0</v>
      </c>
      <c r="L1512" s="23"/>
      <c r="M1512" s="22">
        <v>0</v>
      </c>
      <c r="N1512" s="74">
        <v>0</v>
      </c>
      <c r="O1512" s="22">
        <v>0</v>
      </c>
      <c r="P1512" s="21">
        <v>455000</v>
      </c>
      <c r="S1512" s="108" t="b">
        <f>OR(COUNTIF(Tabla2[[#This Row],[PROVEEDOR]],"*"&amp;'Palabra no opera'!$A$2&amp;"*"))</f>
        <v>0</v>
      </c>
      <c r="T1512" s="139">
        <f>+$W$5-Tabla2[[#This Row],[FECHA DE FACTURACIÓN]]</f>
        <v>456</v>
      </c>
      <c r="U1512" t="str">
        <f>+IF(Tabla2[[#This Row],[dias de credito]]&gt;=Tabla2[[#This Row],[PLAZO Días]],"venc", "No venc")</f>
        <v>venc</v>
      </c>
      <c r="V1512" t="str">
        <f>+IF(Tabla2[[#This Row],[FECHA DE PAGO]]&gt;0,"pagada","por pagar")</f>
        <v>pagada</v>
      </c>
      <c r="W1512" s="141" t="str">
        <f>+IF(AND(Tabla2[[#This Row],[venc]]="venc",Tabla2[[#This Row],[Columna1]]="por pagar"),"vencida","no")</f>
        <v>no</v>
      </c>
    </row>
    <row r="1513" spans="1:23" ht="15.6" hidden="1" x14ac:dyDescent="0.3">
      <c r="A1513" s="20">
        <v>30</v>
      </c>
      <c r="B1513" s="25">
        <v>0</v>
      </c>
      <c r="C1513" s="25"/>
      <c r="D1513" s="56" t="s">
        <v>107</v>
      </c>
      <c r="E1513" s="426">
        <v>44834</v>
      </c>
      <c r="F1513" s="26" t="s">
        <v>362</v>
      </c>
      <c r="G1513" s="426">
        <v>44834</v>
      </c>
      <c r="H1513" s="35" t="s">
        <v>1178</v>
      </c>
      <c r="I1513" s="21">
        <v>38000</v>
      </c>
      <c r="J1513" s="21"/>
      <c r="K1513" s="22">
        <v>0</v>
      </c>
      <c r="L1513" s="23"/>
      <c r="M1513" s="22">
        <v>0</v>
      </c>
      <c r="N1513" s="74">
        <v>0</v>
      </c>
      <c r="O1513" s="22">
        <v>0</v>
      </c>
      <c r="P1513" s="21">
        <v>38000</v>
      </c>
      <c r="S1513" s="108" t="b">
        <f>OR(COUNTIF(Tabla2[[#This Row],[PROVEEDOR]],"*"&amp;'Palabra no opera'!$A$2&amp;"*"))</f>
        <v>0</v>
      </c>
      <c r="T1513" s="139">
        <f>+$W$5-Tabla2[[#This Row],[FECHA DE FACTURACIÓN]]</f>
        <v>457</v>
      </c>
      <c r="U1513" t="str">
        <f>+IF(Tabla2[[#This Row],[dias de credito]]&gt;=Tabla2[[#This Row],[PLAZO Días]],"venc", "No venc")</f>
        <v>venc</v>
      </c>
      <c r="V1513" t="str">
        <f>+IF(Tabla2[[#This Row],[FECHA DE PAGO]]&gt;0,"pagada","por pagar")</f>
        <v>pagada</v>
      </c>
      <c r="W1513" s="141" t="str">
        <f>+IF(AND(Tabla2[[#This Row],[venc]]="venc",Tabla2[[#This Row],[Columna1]]="por pagar"),"vencida","no")</f>
        <v>no</v>
      </c>
    </row>
    <row r="1514" spans="1:23" ht="15.6" hidden="1" x14ac:dyDescent="0.3">
      <c r="A1514" s="20">
        <v>30</v>
      </c>
      <c r="B1514" s="25">
        <v>0</v>
      </c>
      <c r="C1514" s="25"/>
      <c r="D1514" s="56" t="s">
        <v>107</v>
      </c>
      <c r="E1514" s="426">
        <v>44834</v>
      </c>
      <c r="F1514" s="26" t="s">
        <v>362</v>
      </c>
      <c r="G1514" s="426">
        <v>44834</v>
      </c>
      <c r="H1514" s="35" t="s">
        <v>1179</v>
      </c>
      <c r="I1514" s="21">
        <v>58000</v>
      </c>
      <c r="J1514" s="21"/>
      <c r="K1514" s="22">
        <v>0</v>
      </c>
      <c r="L1514" s="23"/>
      <c r="M1514" s="22">
        <v>0</v>
      </c>
      <c r="N1514" s="74">
        <v>0</v>
      </c>
      <c r="O1514" s="22">
        <v>0</v>
      </c>
      <c r="P1514" s="21">
        <v>58000</v>
      </c>
      <c r="S1514" s="108" t="b">
        <f>OR(COUNTIF(Tabla2[[#This Row],[PROVEEDOR]],"*"&amp;'Palabra no opera'!$A$2&amp;"*"))</f>
        <v>0</v>
      </c>
      <c r="T1514" s="139">
        <f>+$W$5-Tabla2[[#This Row],[FECHA DE FACTURACIÓN]]</f>
        <v>457</v>
      </c>
      <c r="U1514" t="str">
        <f>+IF(Tabla2[[#This Row],[dias de credito]]&gt;=Tabla2[[#This Row],[PLAZO Días]],"venc", "No venc")</f>
        <v>venc</v>
      </c>
      <c r="V1514" t="str">
        <f>+IF(Tabla2[[#This Row],[FECHA DE PAGO]]&gt;0,"pagada","por pagar")</f>
        <v>pagada</v>
      </c>
      <c r="W1514" s="141" t="str">
        <f>+IF(AND(Tabla2[[#This Row],[venc]]="venc",Tabla2[[#This Row],[Columna1]]="por pagar"),"vencida","no")</f>
        <v>no</v>
      </c>
    </row>
    <row r="1515" spans="1:23" ht="15.6" hidden="1" x14ac:dyDescent="0.3">
      <c r="A1515" s="20">
        <v>30</v>
      </c>
      <c r="B1515" s="25">
        <v>0</v>
      </c>
      <c r="C1515" s="25"/>
      <c r="D1515" s="56" t="s">
        <v>107</v>
      </c>
      <c r="E1515" s="426">
        <v>44834</v>
      </c>
      <c r="F1515" s="26" t="s">
        <v>1175</v>
      </c>
      <c r="G1515" s="426">
        <v>44834</v>
      </c>
      <c r="H1515" s="35" t="s">
        <v>1180</v>
      </c>
      <c r="I1515" s="21">
        <v>154000</v>
      </c>
      <c r="J1515" s="21"/>
      <c r="K1515" s="22">
        <v>0</v>
      </c>
      <c r="L1515" s="23"/>
      <c r="M1515" s="22">
        <v>0</v>
      </c>
      <c r="N1515" s="74">
        <v>0</v>
      </c>
      <c r="O1515" s="22">
        <v>0</v>
      </c>
      <c r="P1515" s="21">
        <v>154000</v>
      </c>
      <c r="S1515" s="108" t="b">
        <f>OR(COUNTIF(Tabla2[[#This Row],[PROVEEDOR]],"*"&amp;'Palabra no opera'!$A$2&amp;"*"))</f>
        <v>0</v>
      </c>
      <c r="T1515" s="139">
        <f>+$W$5-Tabla2[[#This Row],[FECHA DE FACTURACIÓN]]</f>
        <v>457</v>
      </c>
      <c r="U1515" t="str">
        <f>+IF(Tabla2[[#This Row],[dias de credito]]&gt;=Tabla2[[#This Row],[PLAZO Días]],"venc", "No venc")</f>
        <v>venc</v>
      </c>
      <c r="V1515" t="str">
        <f>+IF(Tabla2[[#This Row],[FECHA DE PAGO]]&gt;0,"pagada","por pagar")</f>
        <v>pagada</v>
      </c>
      <c r="W1515" s="141" t="str">
        <f>+IF(AND(Tabla2[[#This Row],[venc]]="venc",Tabla2[[#This Row],[Columna1]]="por pagar"),"vencida","no")</f>
        <v>no</v>
      </c>
    </row>
    <row r="1516" spans="1:23" ht="15.6" hidden="1" x14ac:dyDescent="0.3">
      <c r="A1516" s="20">
        <v>30</v>
      </c>
      <c r="B1516" s="25">
        <v>0</v>
      </c>
      <c r="C1516" s="25"/>
      <c r="D1516" s="56" t="s">
        <v>107</v>
      </c>
      <c r="E1516" s="426">
        <v>44834</v>
      </c>
      <c r="F1516" s="26" t="s">
        <v>362</v>
      </c>
      <c r="G1516" s="426">
        <v>44834</v>
      </c>
      <c r="H1516" s="35" t="s">
        <v>1176</v>
      </c>
      <c r="I1516" s="21">
        <v>776000</v>
      </c>
      <c r="J1516" s="21"/>
      <c r="K1516" s="22">
        <v>0</v>
      </c>
      <c r="L1516" s="23"/>
      <c r="M1516" s="22">
        <v>0</v>
      </c>
      <c r="N1516" s="74">
        <v>0</v>
      </c>
      <c r="O1516" s="22">
        <v>0</v>
      </c>
      <c r="P1516" s="21">
        <v>776000</v>
      </c>
      <c r="S1516" s="108" t="b">
        <f>OR(COUNTIF(Tabla2[[#This Row],[PROVEEDOR]],"*"&amp;'Palabra no opera'!$A$2&amp;"*"))</f>
        <v>0</v>
      </c>
      <c r="T1516" s="139">
        <f>+$W$5-Tabla2[[#This Row],[FECHA DE FACTURACIÓN]]</f>
        <v>457</v>
      </c>
      <c r="U1516" t="str">
        <f>+IF(Tabla2[[#This Row],[dias de credito]]&gt;=Tabla2[[#This Row],[PLAZO Días]],"venc", "No venc")</f>
        <v>venc</v>
      </c>
      <c r="V1516" t="str">
        <f>+IF(Tabla2[[#This Row],[FECHA DE PAGO]]&gt;0,"pagada","por pagar")</f>
        <v>pagada</v>
      </c>
      <c r="W1516" s="141" t="str">
        <f>+IF(AND(Tabla2[[#This Row],[venc]]="venc",Tabla2[[#This Row],[Columna1]]="por pagar"),"vencida","no")</f>
        <v>no</v>
      </c>
    </row>
    <row r="1517" spans="1:23" ht="15.6" hidden="1" x14ac:dyDescent="0.3">
      <c r="A1517" s="20">
        <v>30</v>
      </c>
      <c r="B1517" s="25">
        <v>0</v>
      </c>
      <c r="C1517" s="25"/>
      <c r="D1517" s="56" t="s">
        <v>107</v>
      </c>
      <c r="E1517" s="426">
        <v>44834</v>
      </c>
      <c r="F1517" s="26" t="s">
        <v>362</v>
      </c>
      <c r="G1517" s="426">
        <v>44834</v>
      </c>
      <c r="H1517" s="35" t="s">
        <v>1177</v>
      </c>
      <c r="I1517" s="21">
        <v>1905000</v>
      </c>
      <c r="J1517" s="21"/>
      <c r="K1517" s="22">
        <v>0</v>
      </c>
      <c r="L1517" s="23"/>
      <c r="M1517" s="22">
        <v>0</v>
      </c>
      <c r="N1517" s="74">
        <v>0</v>
      </c>
      <c r="O1517" s="22">
        <v>0</v>
      </c>
      <c r="P1517" s="21">
        <v>1905000</v>
      </c>
      <c r="S1517" s="108" t="b">
        <f>OR(COUNTIF(Tabla2[[#This Row],[PROVEEDOR]],"*"&amp;'Palabra no opera'!$A$2&amp;"*"))</f>
        <v>0</v>
      </c>
      <c r="T1517" s="139">
        <f>+$W$5-Tabla2[[#This Row],[FECHA DE FACTURACIÓN]]</f>
        <v>457</v>
      </c>
      <c r="U1517" t="str">
        <f>+IF(Tabla2[[#This Row],[dias de credito]]&gt;=Tabla2[[#This Row],[PLAZO Días]],"venc", "No venc")</f>
        <v>venc</v>
      </c>
      <c r="V1517" t="str">
        <f>+IF(Tabla2[[#This Row],[FECHA DE PAGO]]&gt;0,"pagada","por pagar")</f>
        <v>pagada</v>
      </c>
      <c r="W1517" s="141" t="str">
        <f>+IF(AND(Tabla2[[#This Row],[venc]]="venc",Tabla2[[#This Row],[Columna1]]="por pagar"),"vencida","no")</f>
        <v>no</v>
      </c>
    </row>
    <row r="1518" spans="1:23" ht="15.6" hidden="1" x14ac:dyDescent="0.3">
      <c r="A1518" s="20">
        <v>30</v>
      </c>
      <c r="B1518" s="25">
        <v>380979.69</v>
      </c>
      <c r="C1518" s="25"/>
      <c r="D1518" s="56" t="s">
        <v>296</v>
      </c>
      <c r="E1518" s="426">
        <v>44834</v>
      </c>
      <c r="F1518" s="26" t="s">
        <v>615</v>
      </c>
      <c r="G1518" s="426">
        <v>44767</v>
      </c>
      <c r="H1518" s="35" t="s">
        <v>854</v>
      </c>
      <c r="I1518" s="21">
        <v>6170070</v>
      </c>
      <c r="J1518" s="21"/>
      <c r="K1518" s="22">
        <v>1172313.3</v>
      </c>
      <c r="L1518" s="23"/>
      <c r="M1518" s="22">
        <v>0</v>
      </c>
      <c r="N1518" s="74">
        <v>0</v>
      </c>
      <c r="O1518" s="22">
        <v>0</v>
      </c>
      <c r="P1518" s="21">
        <v>7342383.2999999998</v>
      </c>
      <c r="S1518" s="108" t="b">
        <f>OR(COUNTIF(Tabla2[[#This Row],[PROVEEDOR]],"*"&amp;'Palabra no opera'!$A$2&amp;"*"))</f>
        <v>1</v>
      </c>
      <c r="T1518" s="139">
        <f>+$W$5-Tabla2[[#This Row],[FECHA DE FACTURACIÓN]]</f>
        <v>524</v>
      </c>
      <c r="U1518" t="str">
        <f>+IF(Tabla2[[#This Row],[dias de credito]]&gt;=Tabla2[[#This Row],[PLAZO Días]],"venc", "No venc")</f>
        <v>venc</v>
      </c>
      <c r="V1518" t="str">
        <f>+IF(Tabla2[[#This Row],[FECHA DE PAGO]]&gt;0,"pagada","por pagar")</f>
        <v>pagada</v>
      </c>
      <c r="W1518" s="141" t="str">
        <f>+IF(AND(Tabla2[[#This Row],[venc]]="venc",Tabla2[[#This Row],[Columna1]]="por pagar"),"vencida","no")</f>
        <v>no</v>
      </c>
    </row>
    <row r="1519" spans="1:23" ht="15.6" hidden="1" x14ac:dyDescent="0.3">
      <c r="A1519" s="20">
        <v>30</v>
      </c>
      <c r="B1519" s="25">
        <v>2950000</v>
      </c>
      <c r="C1519" s="25"/>
      <c r="D1519" s="56">
        <v>0</v>
      </c>
      <c r="E1519" s="426">
        <v>44833</v>
      </c>
      <c r="F1519" s="26" t="s">
        <v>1152</v>
      </c>
      <c r="G1519" s="426">
        <v>44833</v>
      </c>
      <c r="H1519" s="35" t="s">
        <v>1157</v>
      </c>
      <c r="I1519" s="21">
        <v>481000</v>
      </c>
      <c r="J1519" s="21"/>
      <c r="K1519" s="22">
        <v>0</v>
      </c>
      <c r="L1519" s="23"/>
      <c r="M1519" s="22">
        <v>0</v>
      </c>
      <c r="N1519" s="74">
        <v>0</v>
      </c>
      <c r="O1519" s="22">
        <v>0</v>
      </c>
      <c r="P1519" s="21">
        <v>481000</v>
      </c>
      <c r="S1519" s="108" t="b">
        <f>OR(COUNTIF(Tabla2[[#This Row],[PROVEEDOR]],"*"&amp;'Palabra no opera'!$A$2&amp;"*"))</f>
        <v>0</v>
      </c>
      <c r="T1519" s="139">
        <f>+$W$5-Tabla2[[#This Row],[FECHA DE FACTURACIÓN]]</f>
        <v>458</v>
      </c>
      <c r="U1519" t="str">
        <f>+IF(Tabla2[[#This Row],[dias de credito]]&gt;=Tabla2[[#This Row],[PLAZO Días]],"venc", "No venc")</f>
        <v>venc</v>
      </c>
      <c r="V1519" t="str">
        <f>+IF(Tabla2[[#This Row],[FECHA DE PAGO]]&gt;0,"pagada","por pagar")</f>
        <v>pagada</v>
      </c>
      <c r="W1519" s="141" t="str">
        <f>+IF(AND(Tabla2[[#This Row],[venc]]="venc",Tabla2[[#This Row],[Columna1]]="por pagar"),"vencida","no")</f>
        <v>no</v>
      </c>
    </row>
    <row r="1520" spans="1:23" ht="15.6" hidden="1" x14ac:dyDescent="0.3">
      <c r="A1520" s="20">
        <v>30</v>
      </c>
      <c r="B1520" s="25">
        <v>0</v>
      </c>
      <c r="C1520" s="25"/>
      <c r="D1520" s="56" t="s">
        <v>277</v>
      </c>
      <c r="E1520" s="426">
        <v>44833</v>
      </c>
      <c r="F1520" s="26" t="s">
        <v>248</v>
      </c>
      <c r="G1520" s="426">
        <v>44797</v>
      </c>
      <c r="H1520" s="35" t="s">
        <v>1066</v>
      </c>
      <c r="I1520" s="21">
        <v>2348644.75</v>
      </c>
      <c r="J1520" s="21"/>
      <c r="K1520" s="22">
        <v>446242.5025</v>
      </c>
      <c r="L1520" s="23"/>
      <c r="M1520" s="22">
        <v>0</v>
      </c>
      <c r="N1520" s="74">
        <v>0</v>
      </c>
      <c r="O1520" s="22">
        <v>0</v>
      </c>
      <c r="P1520" s="21">
        <v>2794887.2524999999</v>
      </c>
      <c r="S1520" s="108" t="b">
        <f>OR(COUNTIF(Tabla2[[#This Row],[PROVEEDOR]],"*"&amp;'Palabra no opera'!$A$2&amp;"*"))</f>
        <v>0</v>
      </c>
      <c r="T1520" s="139">
        <f>+$W$5-Tabla2[[#This Row],[FECHA DE FACTURACIÓN]]</f>
        <v>494</v>
      </c>
      <c r="U1520" t="str">
        <f>+IF(Tabla2[[#This Row],[dias de credito]]&gt;=Tabla2[[#This Row],[PLAZO Días]],"venc", "No venc")</f>
        <v>venc</v>
      </c>
      <c r="V1520" t="str">
        <f>+IF(Tabla2[[#This Row],[FECHA DE PAGO]]&gt;0,"pagada","por pagar")</f>
        <v>pagada</v>
      </c>
      <c r="W1520" s="141" t="str">
        <f>+IF(AND(Tabla2[[#This Row],[venc]]="venc",Tabla2[[#This Row],[Columna1]]="por pagar"),"vencida","no")</f>
        <v>no</v>
      </c>
    </row>
    <row r="1521" spans="1:23" ht="15.6" hidden="1" x14ac:dyDescent="0.3">
      <c r="A1521" s="20">
        <v>30</v>
      </c>
      <c r="B1521" s="25">
        <v>17870934.149999999</v>
      </c>
      <c r="C1521" s="25"/>
      <c r="D1521" s="56" t="s">
        <v>182</v>
      </c>
      <c r="E1521" s="426">
        <v>44833</v>
      </c>
      <c r="F1521" s="26" t="s">
        <v>18</v>
      </c>
      <c r="G1521" s="426">
        <v>44783</v>
      </c>
      <c r="H1521" s="35">
        <v>1057583</v>
      </c>
      <c r="I1521" s="21">
        <v>1453740.24</v>
      </c>
      <c r="J1521" s="21"/>
      <c r="K1521" s="22">
        <v>276210.64559999999</v>
      </c>
      <c r="L1521" s="23"/>
      <c r="M1521" s="22">
        <v>0</v>
      </c>
      <c r="N1521" s="74">
        <v>2.5000000000000001E-2</v>
      </c>
      <c r="O1521" s="22">
        <v>36343.506000000001</v>
      </c>
      <c r="P1521" s="21">
        <v>1693607.3795999999</v>
      </c>
      <c r="S1521" s="108" t="b">
        <f>OR(COUNTIF(Tabla2[[#This Row],[PROVEEDOR]],"*"&amp;'Palabra no opera'!$A$2&amp;"*"))</f>
        <v>0</v>
      </c>
      <c r="T1521" s="139">
        <f>+$W$5-Tabla2[[#This Row],[FECHA DE FACTURACIÓN]]</f>
        <v>508</v>
      </c>
      <c r="U1521" t="str">
        <f>+IF(Tabla2[[#This Row],[dias de credito]]&gt;=Tabla2[[#This Row],[PLAZO Días]],"venc", "No venc")</f>
        <v>venc</v>
      </c>
      <c r="V1521" t="str">
        <f>+IF(Tabla2[[#This Row],[FECHA DE PAGO]]&gt;0,"pagada","por pagar")</f>
        <v>pagada</v>
      </c>
      <c r="W1521" s="141" t="str">
        <f>+IF(AND(Tabla2[[#This Row],[venc]]="venc",Tabla2[[#This Row],[Columna1]]="por pagar"),"vencida","no")</f>
        <v>no</v>
      </c>
    </row>
    <row r="1522" spans="1:23" ht="15.6" hidden="1" x14ac:dyDescent="0.3">
      <c r="A1522" s="20">
        <v>30</v>
      </c>
      <c r="B1522" s="25">
        <v>17870934.149999999</v>
      </c>
      <c r="C1522" s="25"/>
      <c r="D1522" s="56" t="s">
        <v>182</v>
      </c>
      <c r="E1522" s="426">
        <v>44833</v>
      </c>
      <c r="F1522" s="26" t="s">
        <v>18</v>
      </c>
      <c r="G1522" s="426">
        <v>44778</v>
      </c>
      <c r="H1522" s="35">
        <v>1057445</v>
      </c>
      <c r="I1522" s="21">
        <v>2426648</v>
      </c>
      <c r="J1522" s="21"/>
      <c r="K1522" s="22">
        <v>461063.12</v>
      </c>
      <c r="L1522" s="23"/>
      <c r="M1522" s="22">
        <v>0</v>
      </c>
      <c r="N1522" s="74">
        <v>2.5000000000000001E-2</v>
      </c>
      <c r="O1522" s="22">
        <v>60666.200000000004</v>
      </c>
      <c r="P1522" s="21">
        <v>2827044.92</v>
      </c>
      <c r="S1522" s="108" t="b">
        <f>OR(COUNTIF(Tabla2[[#This Row],[PROVEEDOR]],"*"&amp;'Palabra no opera'!$A$2&amp;"*"))</f>
        <v>0</v>
      </c>
      <c r="T1522" s="139">
        <f>+$W$5-Tabla2[[#This Row],[FECHA DE FACTURACIÓN]]</f>
        <v>513</v>
      </c>
      <c r="U1522" t="str">
        <f>+IF(Tabla2[[#This Row],[dias de credito]]&gt;=Tabla2[[#This Row],[PLAZO Días]],"venc", "No venc")</f>
        <v>venc</v>
      </c>
      <c r="V1522" t="str">
        <f>+IF(Tabla2[[#This Row],[FECHA DE PAGO]]&gt;0,"pagada","por pagar")</f>
        <v>pagada</v>
      </c>
      <c r="W1522" s="141" t="str">
        <f>+IF(AND(Tabla2[[#This Row],[venc]]="venc",Tabla2[[#This Row],[Columna1]]="por pagar"),"vencida","no")</f>
        <v>no</v>
      </c>
    </row>
    <row r="1523" spans="1:23" ht="15.6" hidden="1" x14ac:dyDescent="0.3">
      <c r="A1523" s="20">
        <v>30</v>
      </c>
      <c r="B1523" s="25">
        <v>0</v>
      </c>
      <c r="C1523" s="25"/>
      <c r="D1523" s="56" t="s">
        <v>107</v>
      </c>
      <c r="E1523" s="426">
        <v>44832</v>
      </c>
      <c r="F1523" s="26" t="s">
        <v>356</v>
      </c>
      <c r="G1523" s="426">
        <v>44831</v>
      </c>
      <c r="H1523" s="35" t="s">
        <v>1158</v>
      </c>
      <c r="I1523" s="21">
        <v>694000</v>
      </c>
      <c r="J1523" s="21"/>
      <c r="K1523" s="22">
        <v>0</v>
      </c>
      <c r="L1523" s="23"/>
      <c r="M1523" s="22">
        <v>0</v>
      </c>
      <c r="N1523" s="74">
        <v>0</v>
      </c>
      <c r="O1523" s="22">
        <v>0</v>
      </c>
      <c r="P1523" s="21">
        <v>694000</v>
      </c>
      <c r="S1523" s="108" t="b">
        <f>OR(COUNTIF(Tabla2[[#This Row],[PROVEEDOR]],"*"&amp;'Palabra no opera'!$A$2&amp;"*"))</f>
        <v>0</v>
      </c>
      <c r="T1523" s="139">
        <f>+$W$5-Tabla2[[#This Row],[FECHA DE FACTURACIÓN]]</f>
        <v>460</v>
      </c>
      <c r="U1523" t="str">
        <f>+IF(Tabla2[[#This Row],[dias de credito]]&gt;=Tabla2[[#This Row],[PLAZO Días]],"venc", "No venc")</f>
        <v>venc</v>
      </c>
      <c r="V1523" t="str">
        <f>+IF(Tabla2[[#This Row],[FECHA DE PAGO]]&gt;0,"pagada","por pagar")</f>
        <v>pagada</v>
      </c>
      <c r="W1523" s="141" t="str">
        <f>+IF(AND(Tabla2[[#This Row],[venc]]="venc",Tabla2[[#This Row],[Columna1]]="por pagar"),"vencida","no")</f>
        <v>no</v>
      </c>
    </row>
    <row r="1524" spans="1:23" ht="15.6" hidden="1" x14ac:dyDescent="0.3">
      <c r="A1524" s="20">
        <v>0</v>
      </c>
      <c r="B1524" s="25">
        <v>0</v>
      </c>
      <c r="C1524" s="25"/>
      <c r="D1524" s="56" t="s">
        <v>1111</v>
      </c>
      <c r="E1524" s="426">
        <v>44830</v>
      </c>
      <c r="F1524" s="26" t="s">
        <v>1109</v>
      </c>
      <c r="G1524" s="426">
        <v>44817</v>
      </c>
      <c r="H1524" s="35" t="s">
        <v>1112</v>
      </c>
      <c r="I1524" s="21">
        <v>2000000</v>
      </c>
      <c r="J1524" s="21"/>
      <c r="K1524" s="22">
        <v>0</v>
      </c>
      <c r="L1524" s="23"/>
      <c r="M1524" s="22">
        <v>0</v>
      </c>
      <c r="N1524" s="74">
        <v>0</v>
      </c>
      <c r="O1524" s="22">
        <v>0</v>
      </c>
      <c r="P1524" s="21">
        <v>2000000</v>
      </c>
      <c r="S1524" s="108" t="b">
        <f>OR(COUNTIF(Tabla2[[#This Row],[PROVEEDOR]],"*"&amp;'Palabra no opera'!$A$2&amp;"*"))</f>
        <v>1</v>
      </c>
      <c r="T1524" s="139">
        <f>+$W$5-Tabla2[[#This Row],[FECHA DE FACTURACIÓN]]</f>
        <v>474</v>
      </c>
      <c r="U1524" t="str">
        <f>+IF(Tabla2[[#This Row],[dias de credito]]&gt;=Tabla2[[#This Row],[PLAZO Días]],"venc", "No venc")</f>
        <v>venc</v>
      </c>
      <c r="V1524" t="str">
        <f>+IF(Tabla2[[#This Row],[FECHA DE PAGO]]&gt;0,"pagada","por pagar")</f>
        <v>pagada</v>
      </c>
      <c r="W1524" s="141" t="str">
        <f>+IF(AND(Tabla2[[#This Row],[venc]]="venc",Tabla2[[#This Row],[Columna1]]="por pagar"),"vencida","no")</f>
        <v>no</v>
      </c>
    </row>
    <row r="1525" spans="1:23" ht="15.6" hidden="1" x14ac:dyDescent="0.3">
      <c r="A1525" s="20">
        <v>30</v>
      </c>
      <c r="B1525" s="25">
        <v>0</v>
      </c>
      <c r="C1525" s="25"/>
      <c r="D1525" s="56" t="s">
        <v>107</v>
      </c>
      <c r="E1525" s="426">
        <v>44830</v>
      </c>
      <c r="F1525" s="26" t="s">
        <v>401</v>
      </c>
      <c r="G1525" s="426">
        <v>44790</v>
      </c>
      <c r="H1525" s="35" t="s">
        <v>945</v>
      </c>
      <c r="I1525" s="21">
        <v>294000</v>
      </c>
      <c r="J1525" s="21"/>
      <c r="K1525" s="22">
        <v>0</v>
      </c>
      <c r="L1525" s="23"/>
      <c r="M1525" s="22">
        <v>0</v>
      </c>
      <c r="N1525" s="74">
        <v>0</v>
      </c>
      <c r="O1525" s="22">
        <v>0</v>
      </c>
      <c r="P1525" s="21">
        <v>294000</v>
      </c>
      <c r="S1525" s="108" t="b">
        <f>OR(COUNTIF(Tabla2[[#This Row],[PROVEEDOR]],"*"&amp;'Palabra no opera'!$A$2&amp;"*"))</f>
        <v>0</v>
      </c>
      <c r="T1525" s="139">
        <f>+$W$5-Tabla2[[#This Row],[FECHA DE FACTURACIÓN]]</f>
        <v>501</v>
      </c>
      <c r="U1525" t="str">
        <f>+IF(Tabla2[[#This Row],[dias de credito]]&gt;=Tabla2[[#This Row],[PLAZO Días]],"venc", "No venc")</f>
        <v>venc</v>
      </c>
      <c r="V1525" t="str">
        <f>+IF(Tabla2[[#This Row],[FECHA DE PAGO]]&gt;0,"pagada","por pagar")</f>
        <v>pagada</v>
      </c>
      <c r="W1525" s="141" t="str">
        <f>+IF(AND(Tabla2[[#This Row],[venc]]="venc",Tabla2[[#This Row],[Columna1]]="por pagar"),"vencida","no")</f>
        <v>no</v>
      </c>
    </row>
    <row r="1526" spans="1:23" ht="15.6" hidden="1" x14ac:dyDescent="0.3">
      <c r="A1526" s="20">
        <v>30</v>
      </c>
      <c r="B1526" s="25">
        <v>0</v>
      </c>
      <c r="C1526" s="25"/>
      <c r="D1526" s="56" t="s">
        <v>176</v>
      </c>
      <c r="E1526" s="426">
        <v>44827</v>
      </c>
      <c r="F1526" s="26" t="s">
        <v>967</v>
      </c>
      <c r="G1526" s="426">
        <v>44825</v>
      </c>
      <c r="H1526" s="35" t="s">
        <v>1108</v>
      </c>
      <c r="I1526" s="21">
        <v>344386</v>
      </c>
      <c r="J1526" s="21"/>
      <c r="K1526" s="22">
        <v>0</v>
      </c>
      <c r="L1526" s="23"/>
      <c r="M1526" s="22">
        <v>0</v>
      </c>
      <c r="N1526" s="74">
        <v>0.01</v>
      </c>
      <c r="O1526" s="22">
        <v>3443.86</v>
      </c>
      <c r="P1526" s="21">
        <v>340942.14</v>
      </c>
      <c r="S1526" s="108" t="b">
        <f>OR(COUNTIF(Tabla2[[#This Row],[PROVEEDOR]],"*"&amp;'Palabra no opera'!$A$2&amp;"*"))</f>
        <v>0</v>
      </c>
      <c r="T1526" s="139">
        <f>+$W$5-Tabla2[[#This Row],[FECHA DE FACTURACIÓN]]</f>
        <v>466</v>
      </c>
      <c r="U1526" t="str">
        <f>+IF(Tabla2[[#This Row],[dias de credito]]&gt;=Tabla2[[#This Row],[PLAZO Días]],"venc", "No venc")</f>
        <v>venc</v>
      </c>
      <c r="V1526" t="str">
        <f>+IF(Tabla2[[#This Row],[FECHA DE PAGO]]&gt;0,"pagada","por pagar")</f>
        <v>pagada</v>
      </c>
      <c r="W1526" s="141" t="str">
        <f>+IF(AND(Tabla2[[#This Row],[venc]]="venc",Tabla2[[#This Row],[Columna1]]="por pagar"),"vencida","no")</f>
        <v>no</v>
      </c>
    </row>
    <row r="1527" spans="1:23" ht="15.6" hidden="1" x14ac:dyDescent="0.3">
      <c r="A1527" s="20">
        <v>0</v>
      </c>
      <c r="B1527" s="25">
        <v>0</v>
      </c>
      <c r="C1527" s="25"/>
      <c r="D1527" s="56" t="s">
        <v>1115</v>
      </c>
      <c r="E1527" s="426">
        <v>44827</v>
      </c>
      <c r="F1527" s="26" t="s">
        <v>1113</v>
      </c>
      <c r="G1527" s="426">
        <v>44810</v>
      </c>
      <c r="H1527" s="35" t="s">
        <v>1112</v>
      </c>
      <c r="I1527" s="21">
        <v>1000000</v>
      </c>
      <c r="J1527" s="21"/>
      <c r="K1527" s="22">
        <v>0</v>
      </c>
      <c r="L1527" s="23"/>
      <c r="M1527" s="22">
        <v>0</v>
      </c>
      <c r="N1527" s="74">
        <v>0</v>
      </c>
      <c r="O1527" s="22">
        <v>0</v>
      </c>
      <c r="P1527" s="21">
        <v>1000000</v>
      </c>
      <c r="S1527" s="108" t="b">
        <f>OR(COUNTIF(Tabla2[[#This Row],[PROVEEDOR]],"*"&amp;'Palabra no opera'!$A$2&amp;"*"))</f>
        <v>1</v>
      </c>
      <c r="T1527" s="139">
        <f>+$W$5-Tabla2[[#This Row],[FECHA DE FACTURACIÓN]]</f>
        <v>481</v>
      </c>
      <c r="U1527" t="str">
        <f>+IF(Tabla2[[#This Row],[dias de credito]]&gt;=Tabla2[[#This Row],[PLAZO Días]],"venc", "No venc")</f>
        <v>venc</v>
      </c>
      <c r="V1527" t="str">
        <f>+IF(Tabla2[[#This Row],[FECHA DE PAGO]]&gt;0,"pagada","por pagar")</f>
        <v>pagada</v>
      </c>
      <c r="W1527" s="141" t="str">
        <f>+IF(AND(Tabla2[[#This Row],[venc]]="venc",Tabla2[[#This Row],[Columna1]]="por pagar"),"vencida","no")</f>
        <v>no</v>
      </c>
    </row>
    <row r="1528" spans="1:23" ht="15.6" hidden="1" x14ac:dyDescent="0.3">
      <c r="A1528" s="20">
        <v>30</v>
      </c>
      <c r="B1528" s="25">
        <v>0</v>
      </c>
      <c r="C1528" s="25"/>
      <c r="D1528" s="56" t="s">
        <v>740</v>
      </c>
      <c r="E1528" s="426">
        <v>44827</v>
      </c>
      <c r="F1528" s="26" t="s">
        <v>637</v>
      </c>
      <c r="G1528" s="426">
        <v>44809</v>
      </c>
      <c r="H1528" s="35" t="s">
        <v>1120</v>
      </c>
      <c r="I1528" s="21">
        <v>59583</v>
      </c>
      <c r="J1528" s="21"/>
      <c r="K1528" s="22">
        <v>0</v>
      </c>
      <c r="L1528" s="23"/>
      <c r="M1528" s="22">
        <v>0</v>
      </c>
      <c r="N1528" s="74">
        <v>0</v>
      </c>
      <c r="O1528" s="22">
        <v>0</v>
      </c>
      <c r="P1528" s="21">
        <v>59583</v>
      </c>
      <c r="S1528" s="108" t="b">
        <f>OR(COUNTIF(Tabla2[[#This Row],[PROVEEDOR]],"*"&amp;'Palabra no opera'!$A$2&amp;"*"))</f>
        <v>1</v>
      </c>
      <c r="T1528" s="139">
        <f>+$W$5-Tabla2[[#This Row],[FECHA DE FACTURACIÓN]]</f>
        <v>482</v>
      </c>
      <c r="U1528" t="str">
        <f>+IF(Tabla2[[#This Row],[dias de credito]]&gt;=Tabla2[[#This Row],[PLAZO Días]],"venc", "No venc")</f>
        <v>venc</v>
      </c>
      <c r="V1528" t="str">
        <f>+IF(Tabla2[[#This Row],[FECHA DE PAGO]]&gt;0,"pagada","por pagar")</f>
        <v>pagada</v>
      </c>
      <c r="W1528" s="141" t="str">
        <f>+IF(AND(Tabla2[[#This Row],[venc]]="venc",Tabla2[[#This Row],[Columna1]]="por pagar"),"vencida","no")</f>
        <v>no</v>
      </c>
    </row>
    <row r="1529" spans="1:23" ht="15.6" hidden="1" x14ac:dyDescent="0.3">
      <c r="A1529" s="20">
        <v>30</v>
      </c>
      <c r="B1529" s="25">
        <v>0</v>
      </c>
      <c r="C1529" s="25"/>
      <c r="D1529" s="56" t="s">
        <v>740</v>
      </c>
      <c r="E1529" s="426">
        <v>44827</v>
      </c>
      <c r="F1529" s="26" t="s">
        <v>637</v>
      </c>
      <c r="G1529" s="426">
        <v>44809</v>
      </c>
      <c r="H1529" s="35" t="s">
        <v>1117</v>
      </c>
      <c r="I1529" s="21">
        <v>68166</v>
      </c>
      <c r="J1529" s="21"/>
      <c r="K1529" s="22">
        <v>0</v>
      </c>
      <c r="L1529" s="23"/>
      <c r="M1529" s="22">
        <v>0</v>
      </c>
      <c r="N1529" s="74">
        <v>0</v>
      </c>
      <c r="O1529" s="22">
        <v>0</v>
      </c>
      <c r="P1529" s="21">
        <v>68166</v>
      </c>
      <c r="S1529" s="108" t="b">
        <f>OR(COUNTIF(Tabla2[[#This Row],[PROVEEDOR]],"*"&amp;'Palabra no opera'!$A$2&amp;"*"))</f>
        <v>1</v>
      </c>
      <c r="T1529" s="139">
        <f>+$W$5-Tabla2[[#This Row],[FECHA DE FACTURACIÓN]]</f>
        <v>482</v>
      </c>
      <c r="U1529" t="str">
        <f>+IF(Tabla2[[#This Row],[dias de credito]]&gt;=Tabla2[[#This Row],[PLAZO Días]],"venc", "No venc")</f>
        <v>venc</v>
      </c>
      <c r="V1529" t="str">
        <f>+IF(Tabla2[[#This Row],[FECHA DE PAGO]]&gt;0,"pagada","por pagar")</f>
        <v>pagada</v>
      </c>
      <c r="W1529" s="141" t="str">
        <f>+IF(AND(Tabla2[[#This Row],[venc]]="venc",Tabla2[[#This Row],[Columna1]]="por pagar"),"vencida","no")</f>
        <v>no</v>
      </c>
    </row>
    <row r="1530" spans="1:23" ht="15.6" hidden="1" x14ac:dyDescent="0.3">
      <c r="A1530" s="20">
        <v>30</v>
      </c>
      <c r="B1530" s="25">
        <v>0</v>
      </c>
      <c r="C1530" s="25"/>
      <c r="D1530" s="56" t="s">
        <v>260</v>
      </c>
      <c r="E1530" s="426">
        <v>44827</v>
      </c>
      <c r="F1530" s="26" t="s">
        <v>635</v>
      </c>
      <c r="G1530" s="426">
        <v>44805</v>
      </c>
      <c r="H1530" s="35" t="s">
        <v>1122</v>
      </c>
      <c r="I1530" s="21">
        <v>3002200</v>
      </c>
      <c r="J1530" s="21"/>
      <c r="K1530" s="22">
        <v>0</v>
      </c>
      <c r="L1530" s="23"/>
      <c r="M1530" s="22">
        <v>0</v>
      </c>
      <c r="N1530" s="74">
        <v>3.5000000000000003E-2</v>
      </c>
      <c r="O1530" s="22">
        <v>105077.00000000001</v>
      </c>
      <c r="P1530" s="21">
        <v>2897123</v>
      </c>
      <c r="S1530" s="108" t="b">
        <f>OR(COUNTIF(Tabla2[[#This Row],[PROVEEDOR]],"*"&amp;'Palabra no opera'!$A$2&amp;"*"))</f>
        <v>1</v>
      </c>
      <c r="T1530" s="139">
        <f>+$W$5-Tabla2[[#This Row],[FECHA DE FACTURACIÓN]]</f>
        <v>486</v>
      </c>
      <c r="U1530" t="str">
        <f>+IF(Tabla2[[#This Row],[dias de credito]]&gt;=Tabla2[[#This Row],[PLAZO Días]],"venc", "No venc")</f>
        <v>venc</v>
      </c>
      <c r="V1530" t="str">
        <f>+IF(Tabla2[[#This Row],[FECHA DE PAGO]]&gt;0,"pagada","por pagar")</f>
        <v>pagada</v>
      </c>
      <c r="W1530" s="141" t="str">
        <f>+IF(AND(Tabla2[[#This Row],[venc]]="venc",Tabla2[[#This Row],[Columna1]]="por pagar"),"vencida","no")</f>
        <v>no</v>
      </c>
    </row>
    <row r="1531" spans="1:23" ht="15.6" hidden="1" x14ac:dyDescent="0.3">
      <c r="A1531" s="20">
        <v>30</v>
      </c>
      <c r="B1531" s="25">
        <v>0</v>
      </c>
      <c r="C1531" s="25"/>
      <c r="D1531" s="56" t="s">
        <v>740</v>
      </c>
      <c r="E1531" s="426">
        <v>44827</v>
      </c>
      <c r="F1531" s="26" t="s">
        <v>637</v>
      </c>
      <c r="G1531" s="426">
        <v>44805</v>
      </c>
      <c r="H1531" s="35" t="s">
        <v>1118</v>
      </c>
      <c r="I1531" s="21">
        <v>818875</v>
      </c>
      <c r="J1531" s="21"/>
      <c r="K1531" s="22">
        <v>0</v>
      </c>
      <c r="L1531" s="23"/>
      <c r="M1531" s="22">
        <v>0</v>
      </c>
      <c r="N1531" s="74">
        <v>0</v>
      </c>
      <c r="O1531" s="22">
        <v>0</v>
      </c>
      <c r="P1531" s="21">
        <v>818875</v>
      </c>
      <c r="S1531" s="108" t="b">
        <f>OR(COUNTIF(Tabla2[[#This Row],[PROVEEDOR]],"*"&amp;'Palabra no opera'!$A$2&amp;"*"))</f>
        <v>1</v>
      </c>
      <c r="T1531" s="139">
        <f>+$W$5-Tabla2[[#This Row],[FECHA DE FACTURACIÓN]]</f>
        <v>486</v>
      </c>
      <c r="U1531" t="str">
        <f>+IF(Tabla2[[#This Row],[dias de credito]]&gt;=Tabla2[[#This Row],[PLAZO Días]],"venc", "No venc")</f>
        <v>venc</v>
      </c>
      <c r="V1531" t="str">
        <f>+IF(Tabla2[[#This Row],[FECHA DE PAGO]]&gt;0,"pagada","por pagar")</f>
        <v>pagada</v>
      </c>
      <c r="W1531" s="141" t="str">
        <f>+IF(AND(Tabla2[[#This Row],[venc]]="venc",Tabla2[[#This Row],[Columna1]]="por pagar"),"vencida","no")</f>
        <v>no</v>
      </c>
    </row>
    <row r="1532" spans="1:23" ht="15.6" hidden="1" x14ac:dyDescent="0.3">
      <c r="A1532" s="20">
        <v>30</v>
      </c>
      <c r="B1532" s="25">
        <v>0</v>
      </c>
      <c r="C1532" s="25"/>
      <c r="D1532" s="56" t="s">
        <v>740</v>
      </c>
      <c r="E1532" s="426">
        <v>44827</v>
      </c>
      <c r="F1532" s="26" t="s">
        <v>637</v>
      </c>
      <c r="G1532" s="426">
        <v>44805</v>
      </c>
      <c r="H1532" s="35" t="s">
        <v>1119</v>
      </c>
      <c r="I1532" s="21">
        <v>825349</v>
      </c>
      <c r="J1532" s="21"/>
      <c r="K1532" s="22">
        <v>0</v>
      </c>
      <c r="L1532" s="23"/>
      <c r="M1532" s="22">
        <v>0</v>
      </c>
      <c r="N1532" s="74">
        <v>0</v>
      </c>
      <c r="O1532" s="22">
        <v>0</v>
      </c>
      <c r="P1532" s="21">
        <v>825349</v>
      </c>
      <c r="S1532" s="108" t="b">
        <f>OR(COUNTIF(Tabla2[[#This Row],[PROVEEDOR]],"*"&amp;'Palabra no opera'!$A$2&amp;"*"))</f>
        <v>1</v>
      </c>
      <c r="T1532" s="139">
        <f>+$W$5-Tabla2[[#This Row],[FECHA DE FACTURACIÓN]]</f>
        <v>486</v>
      </c>
      <c r="U1532" t="str">
        <f>+IF(Tabla2[[#This Row],[dias de credito]]&gt;=Tabla2[[#This Row],[PLAZO Días]],"venc", "No venc")</f>
        <v>venc</v>
      </c>
      <c r="V1532" t="str">
        <f>+IF(Tabla2[[#This Row],[FECHA DE PAGO]]&gt;0,"pagada","por pagar")</f>
        <v>pagada</v>
      </c>
      <c r="W1532" s="141" t="str">
        <f>+IF(AND(Tabla2[[#This Row],[venc]]="venc",Tabla2[[#This Row],[Columna1]]="por pagar"),"vencida","no")</f>
        <v>no</v>
      </c>
    </row>
    <row r="1533" spans="1:23" ht="15.6" hidden="1" x14ac:dyDescent="0.3">
      <c r="A1533" s="20">
        <v>30</v>
      </c>
      <c r="B1533" s="25">
        <v>0</v>
      </c>
      <c r="C1533" s="25"/>
      <c r="D1533" s="56" t="s">
        <v>1116</v>
      </c>
      <c r="E1533" s="426">
        <v>44827</v>
      </c>
      <c r="F1533" s="26" t="s">
        <v>638</v>
      </c>
      <c r="G1533" s="426">
        <v>44805</v>
      </c>
      <c r="H1533" s="35" t="s">
        <v>1080</v>
      </c>
      <c r="I1533" s="21">
        <v>3961260</v>
      </c>
      <c r="J1533" s="21"/>
      <c r="K1533" s="22">
        <v>752639.4</v>
      </c>
      <c r="L1533" s="23"/>
      <c r="M1533" s="22">
        <v>0</v>
      </c>
      <c r="N1533" s="74">
        <v>3.5000000000000003E-2</v>
      </c>
      <c r="O1533" s="22">
        <v>138644.1</v>
      </c>
      <c r="P1533" s="21">
        <v>4575255.3000000007</v>
      </c>
      <c r="S1533" s="108" t="b">
        <f>OR(COUNTIF(Tabla2[[#This Row],[PROVEEDOR]],"*"&amp;'Palabra no opera'!$A$2&amp;"*"))</f>
        <v>1</v>
      </c>
      <c r="T1533" s="139">
        <f>+$W$5-Tabla2[[#This Row],[FECHA DE FACTURACIÓN]]</f>
        <v>486</v>
      </c>
      <c r="U1533" t="str">
        <f>+IF(Tabla2[[#This Row],[dias de credito]]&gt;=Tabla2[[#This Row],[PLAZO Días]],"venc", "No venc")</f>
        <v>venc</v>
      </c>
      <c r="V1533" t="str">
        <f>+IF(Tabla2[[#This Row],[FECHA DE PAGO]]&gt;0,"pagada","por pagar")</f>
        <v>pagada</v>
      </c>
      <c r="W1533" s="141" t="str">
        <f>+IF(AND(Tabla2[[#This Row],[venc]]="venc",Tabla2[[#This Row],[Columna1]]="por pagar"),"vencida","no")</f>
        <v>no</v>
      </c>
    </row>
    <row r="1534" spans="1:23" ht="15.6" hidden="1" x14ac:dyDescent="0.3">
      <c r="A1534" s="20">
        <v>30</v>
      </c>
      <c r="B1534" s="25">
        <v>0</v>
      </c>
      <c r="C1534" s="25"/>
      <c r="D1534" s="56" t="s">
        <v>193</v>
      </c>
      <c r="E1534" s="426">
        <v>44827</v>
      </c>
      <c r="F1534" s="26" t="s">
        <v>651</v>
      </c>
      <c r="G1534" s="426">
        <v>44805</v>
      </c>
      <c r="H1534" s="35">
        <v>6052</v>
      </c>
      <c r="I1534" s="21">
        <v>215356</v>
      </c>
      <c r="J1534" s="21"/>
      <c r="K1534" s="22">
        <v>40917.64</v>
      </c>
      <c r="L1534" s="23"/>
      <c r="M1534" s="22">
        <v>0</v>
      </c>
      <c r="N1534" s="74">
        <v>3.5000000000000003E-2</v>
      </c>
      <c r="O1534" s="22">
        <v>7537.4600000000009</v>
      </c>
      <c r="P1534" s="21">
        <v>248736.18000000002</v>
      </c>
      <c r="S1534" s="108" t="b">
        <f>OR(COUNTIF(Tabla2[[#This Row],[PROVEEDOR]],"*"&amp;'Palabra no opera'!$A$2&amp;"*"))</f>
        <v>1</v>
      </c>
      <c r="T1534" s="139">
        <f>+$W$5-Tabla2[[#This Row],[FECHA DE FACTURACIÓN]]</f>
        <v>486</v>
      </c>
      <c r="U1534" t="str">
        <f>+IF(Tabla2[[#This Row],[dias de credito]]&gt;=Tabla2[[#This Row],[PLAZO Días]],"venc", "No venc")</f>
        <v>venc</v>
      </c>
      <c r="V1534" t="str">
        <f>+IF(Tabla2[[#This Row],[FECHA DE PAGO]]&gt;0,"pagada","por pagar")</f>
        <v>pagada</v>
      </c>
      <c r="W1534" s="141" t="str">
        <f>+IF(AND(Tabla2[[#This Row],[venc]]="venc",Tabla2[[#This Row],[Columna1]]="por pagar"),"vencida","no")</f>
        <v>no</v>
      </c>
    </row>
    <row r="1535" spans="1:23" ht="15.6" hidden="1" x14ac:dyDescent="0.3">
      <c r="A1535" s="20">
        <v>20</v>
      </c>
      <c r="B1535" s="25">
        <v>0</v>
      </c>
      <c r="C1535" s="25"/>
      <c r="D1535" s="56" t="s">
        <v>201</v>
      </c>
      <c r="E1535" s="426">
        <v>44827</v>
      </c>
      <c r="F1535" s="26" t="s">
        <v>652</v>
      </c>
      <c r="G1535" s="426">
        <v>44805</v>
      </c>
      <c r="H1535" s="35" t="s">
        <v>1121</v>
      </c>
      <c r="I1535" s="21">
        <v>4730000</v>
      </c>
      <c r="J1535" s="21"/>
      <c r="K1535" s="22">
        <v>898700</v>
      </c>
      <c r="L1535" s="23"/>
      <c r="M1535" s="22">
        <v>0</v>
      </c>
      <c r="N1535" s="74">
        <v>3.5000000000000003E-2</v>
      </c>
      <c r="O1535" s="22">
        <v>165550.00000000003</v>
      </c>
      <c r="P1535" s="21">
        <v>5463150</v>
      </c>
      <c r="S1535" s="108" t="b">
        <f>OR(COUNTIF(Tabla2[[#This Row],[PROVEEDOR]],"*"&amp;'Palabra no opera'!$A$2&amp;"*"))</f>
        <v>1</v>
      </c>
      <c r="T1535" s="139">
        <f>+$W$5-Tabla2[[#This Row],[FECHA DE FACTURACIÓN]]</f>
        <v>486</v>
      </c>
      <c r="U1535" t="str">
        <f>+IF(Tabla2[[#This Row],[dias de credito]]&gt;=Tabla2[[#This Row],[PLAZO Días]],"venc", "No venc")</f>
        <v>venc</v>
      </c>
      <c r="V1535" t="str">
        <f>+IF(Tabla2[[#This Row],[FECHA DE PAGO]]&gt;0,"pagada","por pagar")</f>
        <v>pagada</v>
      </c>
      <c r="W1535" s="141" t="str">
        <f>+IF(AND(Tabla2[[#This Row],[venc]]="venc",Tabla2[[#This Row],[Columna1]]="por pagar"),"vencida","no")</f>
        <v>no</v>
      </c>
    </row>
    <row r="1536" spans="1:23" ht="15.6" hidden="1" x14ac:dyDescent="0.3">
      <c r="A1536" s="20">
        <v>30</v>
      </c>
      <c r="B1536" s="25">
        <v>12030261.305</v>
      </c>
      <c r="C1536" s="25"/>
      <c r="D1536" s="56" t="s">
        <v>179</v>
      </c>
      <c r="E1536" s="426">
        <v>44827</v>
      </c>
      <c r="F1536" s="26" t="s">
        <v>12</v>
      </c>
      <c r="G1536" s="426">
        <v>44717</v>
      </c>
      <c r="H1536" s="35" t="s">
        <v>752</v>
      </c>
      <c r="I1536" s="21">
        <v>1956311</v>
      </c>
      <c r="J1536" s="21"/>
      <c r="K1536" s="22">
        <v>371699.09</v>
      </c>
      <c r="L1536" s="23"/>
      <c r="M1536" s="22">
        <v>0</v>
      </c>
      <c r="N1536" s="74">
        <v>2.5000000000000001E-2</v>
      </c>
      <c r="O1536" s="22">
        <v>48907.775000000001</v>
      </c>
      <c r="P1536" s="21">
        <v>2279102.3149999999</v>
      </c>
      <c r="S1536" s="108" t="b">
        <f>OR(COUNTIF(Tabla2[[#This Row],[PROVEEDOR]],"*"&amp;'Palabra no opera'!$A$2&amp;"*"))</f>
        <v>0</v>
      </c>
      <c r="T1536" s="139">
        <f>+$W$5-Tabla2[[#This Row],[FECHA DE FACTURACIÓN]]</f>
        <v>574</v>
      </c>
      <c r="U1536" t="str">
        <f>+IF(Tabla2[[#This Row],[dias de credito]]&gt;=Tabla2[[#This Row],[PLAZO Días]],"venc", "No venc")</f>
        <v>venc</v>
      </c>
      <c r="V1536" t="str">
        <f>+IF(Tabla2[[#This Row],[FECHA DE PAGO]]&gt;0,"pagada","por pagar")</f>
        <v>pagada</v>
      </c>
      <c r="W1536" s="141" t="str">
        <f>+IF(AND(Tabla2[[#This Row],[venc]]="venc",Tabla2[[#This Row],[Columna1]]="por pagar"),"vencida","no")</f>
        <v>no</v>
      </c>
    </row>
    <row r="1537" spans="1:23" ht="15.6" hidden="1" x14ac:dyDescent="0.3">
      <c r="A1537" s="20">
        <v>30</v>
      </c>
      <c r="B1537" s="25">
        <v>12030261.305</v>
      </c>
      <c r="C1537" s="25"/>
      <c r="D1537" s="56" t="s">
        <v>179</v>
      </c>
      <c r="E1537" s="426">
        <v>44827</v>
      </c>
      <c r="F1537" s="26" t="s">
        <v>12</v>
      </c>
      <c r="G1537" s="426">
        <v>44717</v>
      </c>
      <c r="H1537" s="35" t="s">
        <v>751</v>
      </c>
      <c r="I1537" s="21">
        <v>4474791</v>
      </c>
      <c r="J1537" s="21"/>
      <c r="K1537" s="22">
        <v>850210.29</v>
      </c>
      <c r="L1537" s="23"/>
      <c r="M1537" s="22">
        <v>0</v>
      </c>
      <c r="N1537" s="74">
        <v>2.5000000000000001E-2</v>
      </c>
      <c r="O1537" s="22">
        <v>111869.77500000001</v>
      </c>
      <c r="P1537" s="21">
        <v>5213131.5149999997</v>
      </c>
      <c r="S1537" s="108" t="b">
        <f>OR(COUNTIF(Tabla2[[#This Row],[PROVEEDOR]],"*"&amp;'Palabra no opera'!$A$2&amp;"*"))</f>
        <v>0</v>
      </c>
      <c r="T1537" s="139">
        <f>+$W$5-Tabla2[[#This Row],[FECHA DE FACTURACIÓN]]</f>
        <v>574</v>
      </c>
      <c r="U1537" t="str">
        <f>+IF(Tabla2[[#This Row],[dias de credito]]&gt;=Tabla2[[#This Row],[PLAZO Días]],"venc", "No venc")</f>
        <v>venc</v>
      </c>
      <c r="V1537" t="str">
        <f>+IF(Tabla2[[#This Row],[FECHA DE PAGO]]&gt;0,"pagada","por pagar")</f>
        <v>pagada</v>
      </c>
      <c r="W1537" s="141" t="str">
        <f>+IF(AND(Tabla2[[#This Row],[venc]]="venc",Tabla2[[#This Row],[Columna1]]="por pagar"),"vencida","no")</f>
        <v>no</v>
      </c>
    </row>
    <row r="1538" spans="1:23" ht="15.6" hidden="1" x14ac:dyDescent="0.3">
      <c r="A1538" s="20">
        <v>30</v>
      </c>
      <c r="B1538" s="25">
        <v>0</v>
      </c>
      <c r="C1538" s="25"/>
      <c r="D1538" s="56" t="s">
        <v>107</v>
      </c>
      <c r="E1538" s="426">
        <v>44825</v>
      </c>
      <c r="F1538" s="26" t="s">
        <v>362</v>
      </c>
      <c r="G1538" s="426">
        <v>44824</v>
      </c>
      <c r="H1538" s="35" t="s">
        <v>1130</v>
      </c>
      <c r="I1538" s="21">
        <v>243096</v>
      </c>
      <c r="J1538" s="21"/>
      <c r="K1538" s="22">
        <v>0</v>
      </c>
      <c r="L1538" s="23"/>
      <c r="M1538" s="22">
        <v>0</v>
      </c>
      <c r="N1538" s="74">
        <v>0</v>
      </c>
      <c r="O1538" s="22">
        <v>0</v>
      </c>
      <c r="P1538" s="21">
        <v>243096</v>
      </c>
      <c r="S1538" s="108" t="b">
        <f>OR(COUNTIF(Tabla2[[#This Row],[PROVEEDOR]],"*"&amp;'Palabra no opera'!$A$2&amp;"*"))</f>
        <v>0</v>
      </c>
      <c r="T1538" s="139">
        <f>+$W$5-Tabla2[[#This Row],[FECHA DE FACTURACIÓN]]</f>
        <v>467</v>
      </c>
      <c r="U1538" t="str">
        <f>+IF(Tabla2[[#This Row],[dias de credito]]&gt;=Tabla2[[#This Row],[PLAZO Días]],"venc", "No venc")</f>
        <v>venc</v>
      </c>
      <c r="V1538" t="str">
        <f>+IF(Tabla2[[#This Row],[FECHA DE PAGO]]&gt;0,"pagada","por pagar")</f>
        <v>pagada</v>
      </c>
      <c r="W1538" s="141" t="str">
        <f>+IF(AND(Tabla2[[#This Row],[venc]]="venc",Tabla2[[#This Row],[Columna1]]="por pagar"),"vencida","no")</f>
        <v>no</v>
      </c>
    </row>
    <row r="1539" spans="1:23" ht="15.6" hidden="1" x14ac:dyDescent="0.3">
      <c r="A1539" s="20">
        <v>30</v>
      </c>
      <c r="B1539" s="25">
        <v>0</v>
      </c>
      <c r="C1539" s="25"/>
      <c r="D1539" s="56" t="s">
        <v>178</v>
      </c>
      <c r="E1539" s="426">
        <v>44824</v>
      </c>
      <c r="F1539" s="26" t="s">
        <v>620</v>
      </c>
      <c r="G1539" s="426">
        <v>44824</v>
      </c>
      <c r="H1539" s="35">
        <v>4281</v>
      </c>
      <c r="I1539" s="21">
        <v>283612</v>
      </c>
      <c r="J1539" s="21"/>
      <c r="K1539" s="22">
        <v>0</v>
      </c>
      <c r="L1539" s="23"/>
      <c r="M1539" s="22">
        <v>0</v>
      </c>
      <c r="N1539" s="74">
        <v>0</v>
      </c>
      <c r="O1539" s="22">
        <v>0</v>
      </c>
      <c r="P1539" s="21">
        <v>283612</v>
      </c>
      <c r="S1539" s="108" t="b">
        <f>OR(COUNTIF(Tabla2[[#This Row],[PROVEEDOR]],"*"&amp;'Palabra no opera'!$A$2&amp;"*"))</f>
        <v>1</v>
      </c>
      <c r="T1539" s="139">
        <f>+$W$5-Tabla2[[#This Row],[FECHA DE FACTURACIÓN]]</f>
        <v>467</v>
      </c>
      <c r="U1539" t="str">
        <f>+IF(Tabla2[[#This Row],[dias de credito]]&gt;=Tabla2[[#This Row],[PLAZO Días]],"venc", "No venc")</f>
        <v>venc</v>
      </c>
      <c r="V1539" t="str">
        <f>+IF(Tabla2[[#This Row],[FECHA DE PAGO]]&gt;0,"pagada","por pagar")</f>
        <v>pagada</v>
      </c>
      <c r="W1539" s="141" t="str">
        <f>+IF(AND(Tabla2[[#This Row],[venc]]="venc",Tabla2[[#This Row],[Columna1]]="por pagar"),"vencida","no")</f>
        <v>no</v>
      </c>
    </row>
    <row r="1540" spans="1:23" ht="15.6" hidden="1" x14ac:dyDescent="0.3">
      <c r="A1540" s="20">
        <v>30</v>
      </c>
      <c r="B1540" s="25">
        <v>17870934.149999999</v>
      </c>
      <c r="C1540" s="25"/>
      <c r="D1540" s="56" t="s">
        <v>182</v>
      </c>
      <c r="E1540" s="426">
        <v>44823</v>
      </c>
      <c r="F1540" s="26" t="s">
        <v>18</v>
      </c>
      <c r="G1540" s="426">
        <v>44823</v>
      </c>
      <c r="H1540" s="35" t="s">
        <v>1137</v>
      </c>
      <c r="I1540" s="21">
        <v>-595000</v>
      </c>
      <c r="J1540" s="21"/>
      <c r="K1540" s="22"/>
      <c r="L1540" s="23"/>
      <c r="M1540" s="22">
        <v>0</v>
      </c>
      <c r="N1540" s="74">
        <v>0</v>
      </c>
      <c r="O1540" s="22">
        <v>0</v>
      </c>
      <c r="P1540" s="21">
        <v>-595000</v>
      </c>
      <c r="S1540" s="108" t="b">
        <f>OR(COUNTIF(Tabla2[[#This Row],[PROVEEDOR]],"*"&amp;'Palabra no opera'!$A$2&amp;"*"))</f>
        <v>0</v>
      </c>
      <c r="T1540" s="139">
        <f>+$W$5-Tabla2[[#This Row],[FECHA DE FACTURACIÓN]]</f>
        <v>468</v>
      </c>
      <c r="U1540" t="str">
        <f>+IF(Tabla2[[#This Row],[dias de credito]]&gt;=Tabla2[[#This Row],[PLAZO Días]],"venc", "No venc")</f>
        <v>venc</v>
      </c>
      <c r="V1540" t="str">
        <f>+IF(Tabla2[[#This Row],[FECHA DE PAGO]]&gt;0,"pagada","por pagar")</f>
        <v>pagada</v>
      </c>
      <c r="W1540" s="141" t="str">
        <f>+IF(AND(Tabla2[[#This Row],[venc]]="venc",Tabla2[[#This Row],[Columna1]]="por pagar"),"vencida","no")</f>
        <v>no</v>
      </c>
    </row>
    <row r="1541" spans="1:23" ht="15.6" hidden="1" x14ac:dyDescent="0.3">
      <c r="A1541" s="20">
        <v>30</v>
      </c>
      <c r="B1541" s="25">
        <v>0</v>
      </c>
      <c r="C1541" s="25"/>
      <c r="D1541" s="56" t="s">
        <v>368</v>
      </c>
      <c r="E1541" s="426">
        <v>44823</v>
      </c>
      <c r="F1541" s="26" t="s">
        <v>623</v>
      </c>
      <c r="G1541" s="426">
        <v>44805</v>
      </c>
      <c r="H1541" s="35" t="s">
        <v>1093</v>
      </c>
      <c r="I1541" s="21">
        <v>791781</v>
      </c>
      <c r="J1541" s="21"/>
      <c r="K1541" s="22">
        <v>150438.39000000001</v>
      </c>
      <c r="L1541" s="23"/>
      <c r="M1541" s="22">
        <v>0</v>
      </c>
      <c r="N1541" s="74">
        <v>0</v>
      </c>
      <c r="O1541" s="22">
        <v>0</v>
      </c>
      <c r="P1541" s="21">
        <v>942219.39</v>
      </c>
      <c r="S1541" s="108" t="b">
        <f>OR(COUNTIF(Tabla2[[#This Row],[PROVEEDOR]],"*"&amp;'Palabra no opera'!$A$2&amp;"*"))</f>
        <v>1</v>
      </c>
      <c r="T1541" s="139">
        <f>+$W$5-Tabla2[[#This Row],[FECHA DE FACTURACIÓN]]</f>
        <v>486</v>
      </c>
      <c r="U1541" t="str">
        <f>+IF(Tabla2[[#This Row],[dias de credito]]&gt;=Tabla2[[#This Row],[PLAZO Días]],"venc", "No venc")</f>
        <v>venc</v>
      </c>
      <c r="V1541" t="str">
        <f>+IF(Tabla2[[#This Row],[FECHA DE PAGO]]&gt;0,"pagada","por pagar")</f>
        <v>pagada</v>
      </c>
      <c r="W1541" s="141" t="str">
        <f>+IF(AND(Tabla2[[#This Row],[venc]]="venc",Tabla2[[#This Row],[Columna1]]="por pagar"),"vencida","no")</f>
        <v>no</v>
      </c>
    </row>
    <row r="1542" spans="1:23" ht="15.6" hidden="1" x14ac:dyDescent="0.3">
      <c r="A1542" s="20">
        <v>30</v>
      </c>
      <c r="B1542" s="25">
        <v>0</v>
      </c>
      <c r="C1542" s="25"/>
      <c r="D1542" s="56" t="s">
        <v>368</v>
      </c>
      <c r="E1542" s="426">
        <v>44823</v>
      </c>
      <c r="F1542" s="26" t="s">
        <v>623</v>
      </c>
      <c r="G1542" s="426">
        <v>44805</v>
      </c>
      <c r="H1542" s="35" t="s">
        <v>1092</v>
      </c>
      <c r="I1542" s="21">
        <v>3294426</v>
      </c>
      <c r="J1542" s="21"/>
      <c r="K1542" s="22">
        <v>625940.94000000006</v>
      </c>
      <c r="L1542" s="23"/>
      <c r="M1542" s="22">
        <v>0</v>
      </c>
      <c r="N1542" s="74">
        <v>0</v>
      </c>
      <c r="O1542" s="22">
        <v>0</v>
      </c>
      <c r="P1542" s="21">
        <v>3920366.94</v>
      </c>
      <c r="S1542" s="108" t="b">
        <f>OR(COUNTIF(Tabla2[[#This Row],[PROVEEDOR]],"*"&amp;'Palabra no opera'!$A$2&amp;"*"))</f>
        <v>1</v>
      </c>
      <c r="T1542" s="139">
        <f>+$W$5-Tabla2[[#This Row],[FECHA DE FACTURACIÓN]]</f>
        <v>486</v>
      </c>
      <c r="U1542" t="str">
        <f>+IF(Tabla2[[#This Row],[dias de credito]]&gt;=Tabla2[[#This Row],[PLAZO Días]],"venc", "No venc")</f>
        <v>venc</v>
      </c>
      <c r="V1542" t="str">
        <f>+IF(Tabla2[[#This Row],[FECHA DE PAGO]]&gt;0,"pagada","por pagar")</f>
        <v>pagada</v>
      </c>
      <c r="W1542" s="141" t="str">
        <f>+IF(AND(Tabla2[[#This Row],[venc]]="venc",Tabla2[[#This Row],[Columna1]]="por pagar"),"vencida","no")</f>
        <v>no</v>
      </c>
    </row>
    <row r="1543" spans="1:23" ht="15.6" hidden="1" x14ac:dyDescent="0.3">
      <c r="A1543" s="20">
        <v>30</v>
      </c>
      <c r="B1543" s="25">
        <v>0</v>
      </c>
      <c r="C1543" s="25"/>
      <c r="D1543" s="56" t="s">
        <v>277</v>
      </c>
      <c r="E1543" s="426">
        <v>44823</v>
      </c>
      <c r="F1543" s="26" t="s">
        <v>248</v>
      </c>
      <c r="G1543" s="426">
        <v>44791</v>
      </c>
      <c r="H1543" s="35" t="s">
        <v>934</v>
      </c>
      <c r="I1543" s="21">
        <v>2818373.75</v>
      </c>
      <c r="J1543" s="21"/>
      <c r="K1543" s="22">
        <v>535491.01249999995</v>
      </c>
      <c r="L1543" s="23"/>
      <c r="M1543" s="22">
        <v>595000</v>
      </c>
      <c r="N1543" s="74">
        <v>0</v>
      </c>
      <c r="O1543" s="22"/>
      <c r="P1543" s="21">
        <v>2758864.7625000002</v>
      </c>
      <c r="S1543" s="108" t="b">
        <f>OR(COUNTIF(Tabla2[[#This Row],[PROVEEDOR]],"*"&amp;'Palabra no opera'!$A$2&amp;"*"))</f>
        <v>0</v>
      </c>
      <c r="T1543" s="139">
        <f>+$W$5-Tabla2[[#This Row],[FECHA DE FACTURACIÓN]]</f>
        <v>500</v>
      </c>
      <c r="U1543" t="str">
        <f>+IF(Tabla2[[#This Row],[dias de credito]]&gt;=Tabla2[[#This Row],[PLAZO Días]],"venc", "No venc")</f>
        <v>venc</v>
      </c>
      <c r="V1543" t="str">
        <f>+IF(Tabla2[[#This Row],[FECHA DE PAGO]]&gt;0,"pagada","por pagar")</f>
        <v>pagada</v>
      </c>
      <c r="W1543" s="141" t="str">
        <f>+IF(AND(Tabla2[[#This Row],[venc]]="venc",Tabla2[[#This Row],[Columna1]]="por pagar"),"vencida","no")</f>
        <v>no</v>
      </c>
    </row>
    <row r="1544" spans="1:23" ht="15.6" hidden="1" x14ac:dyDescent="0.3">
      <c r="A1544" s="20">
        <v>30</v>
      </c>
      <c r="B1544" s="25">
        <v>0</v>
      </c>
      <c r="C1544" s="25"/>
      <c r="D1544" s="56" t="s">
        <v>184</v>
      </c>
      <c r="E1544" s="426">
        <v>44823</v>
      </c>
      <c r="F1544" s="26" t="s">
        <v>65</v>
      </c>
      <c r="G1544" s="426">
        <v>44789</v>
      </c>
      <c r="H1544" s="35" t="s">
        <v>939</v>
      </c>
      <c r="I1544" s="21">
        <v>709244</v>
      </c>
      <c r="J1544" s="21"/>
      <c r="K1544" s="22">
        <v>134756.36000000002</v>
      </c>
      <c r="L1544" s="23"/>
      <c r="M1544" s="22">
        <v>0</v>
      </c>
      <c r="N1544" s="74">
        <v>0</v>
      </c>
      <c r="O1544" s="22">
        <v>0</v>
      </c>
      <c r="P1544" s="21">
        <v>844000.36</v>
      </c>
      <c r="S1544" s="108" t="b">
        <f>OR(COUNTIF(Tabla2[[#This Row],[PROVEEDOR]],"*"&amp;'Palabra no opera'!$A$2&amp;"*"))</f>
        <v>0</v>
      </c>
      <c r="T1544" s="139">
        <f>+$W$5-Tabla2[[#This Row],[FECHA DE FACTURACIÓN]]</f>
        <v>502</v>
      </c>
      <c r="U1544" t="str">
        <f>+IF(Tabla2[[#This Row],[dias de credito]]&gt;=Tabla2[[#This Row],[PLAZO Días]],"venc", "No venc")</f>
        <v>venc</v>
      </c>
      <c r="V1544" t="str">
        <f>+IF(Tabla2[[#This Row],[FECHA DE PAGO]]&gt;0,"pagada","por pagar")</f>
        <v>pagada</v>
      </c>
      <c r="W1544" s="141" t="str">
        <f>+IF(AND(Tabla2[[#This Row],[venc]]="venc",Tabla2[[#This Row],[Columna1]]="por pagar"),"vencida","no")</f>
        <v>no</v>
      </c>
    </row>
    <row r="1545" spans="1:23" ht="15.6" hidden="1" x14ac:dyDescent="0.3">
      <c r="A1545" s="20">
        <v>30</v>
      </c>
      <c r="B1545" s="25">
        <v>17870934.149999999</v>
      </c>
      <c r="C1545" s="25"/>
      <c r="D1545" s="56" t="s">
        <v>182</v>
      </c>
      <c r="E1545" s="426">
        <v>44823</v>
      </c>
      <c r="F1545" s="26" t="s">
        <v>18</v>
      </c>
      <c r="G1545" s="426">
        <v>44777</v>
      </c>
      <c r="H1545" s="35">
        <v>1057349</v>
      </c>
      <c r="I1545" s="21">
        <v>1769116.56</v>
      </c>
      <c r="J1545" s="21"/>
      <c r="K1545" s="22">
        <v>336132.14640000003</v>
      </c>
      <c r="L1545" s="23"/>
      <c r="M1545" s="22">
        <v>0</v>
      </c>
      <c r="N1545" s="74">
        <v>2.5000000000000001E-2</v>
      </c>
      <c r="O1545" s="22">
        <v>44227.914000000004</v>
      </c>
      <c r="P1545" s="21">
        <v>2061020.7923999999</v>
      </c>
      <c r="S1545" s="108" t="b">
        <f>OR(COUNTIF(Tabla2[[#This Row],[PROVEEDOR]],"*"&amp;'Palabra no opera'!$A$2&amp;"*"))</f>
        <v>0</v>
      </c>
      <c r="T1545" s="139">
        <f>+$W$5-Tabla2[[#This Row],[FECHA DE FACTURACIÓN]]</f>
        <v>514</v>
      </c>
      <c r="U1545" t="str">
        <f>+IF(Tabla2[[#This Row],[dias de credito]]&gt;=Tabla2[[#This Row],[PLAZO Días]],"venc", "No venc")</f>
        <v>venc</v>
      </c>
      <c r="V1545" t="str">
        <f>+IF(Tabla2[[#This Row],[FECHA DE PAGO]]&gt;0,"pagada","por pagar")</f>
        <v>pagada</v>
      </c>
      <c r="W1545" s="141" t="str">
        <f>+IF(AND(Tabla2[[#This Row],[venc]]="venc",Tabla2[[#This Row],[Columna1]]="por pagar"),"vencida","no")</f>
        <v>no</v>
      </c>
    </row>
    <row r="1546" spans="1:23" ht="15.6" hidden="1" x14ac:dyDescent="0.3">
      <c r="A1546" s="20">
        <v>30</v>
      </c>
      <c r="B1546" s="25">
        <v>17870934.149999999</v>
      </c>
      <c r="C1546" s="25"/>
      <c r="D1546" s="56" t="s">
        <v>182</v>
      </c>
      <c r="E1546" s="426">
        <v>44823</v>
      </c>
      <c r="F1546" s="26" t="s">
        <v>18</v>
      </c>
      <c r="G1546" s="426">
        <v>44764</v>
      </c>
      <c r="H1546" s="35">
        <v>1056755</v>
      </c>
      <c r="I1546" s="21">
        <v>2426648</v>
      </c>
      <c r="J1546" s="21"/>
      <c r="K1546" s="22">
        <v>461063.12</v>
      </c>
      <c r="L1546" s="23"/>
      <c r="M1546" s="22">
        <v>595000</v>
      </c>
      <c r="N1546" s="74">
        <v>2.5000000000000001E-2</v>
      </c>
      <c r="O1546" s="22">
        <v>60666.200000000004</v>
      </c>
      <c r="P1546" s="21">
        <v>2232044.92</v>
      </c>
      <c r="S1546" s="108" t="b">
        <f>OR(COUNTIF(Tabla2[[#This Row],[PROVEEDOR]],"*"&amp;'Palabra no opera'!$A$2&amp;"*"))</f>
        <v>0</v>
      </c>
      <c r="T1546" s="139">
        <f>+$W$5-Tabla2[[#This Row],[FECHA DE FACTURACIÓN]]</f>
        <v>527</v>
      </c>
      <c r="U1546" t="str">
        <f>+IF(Tabla2[[#This Row],[dias de credito]]&gt;=Tabla2[[#This Row],[PLAZO Días]],"venc", "No venc")</f>
        <v>venc</v>
      </c>
      <c r="V1546" t="str">
        <f>+IF(Tabla2[[#This Row],[FECHA DE PAGO]]&gt;0,"pagada","por pagar")</f>
        <v>pagada</v>
      </c>
      <c r="W1546" s="141" t="str">
        <f>+IF(AND(Tabla2[[#This Row],[venc]]="venc",Tabla2[[#This Row],[Columna1]]="por pagar"),"vencida","no")</f>
        <v>no</v>
      </c>
    </row>
    <row r="1547" spans="1:23" ht="15.6" hidden="1" x14ac:dyDescent="0.3">
      <c r="A1547" s="20">
        <v>30</v>
      </c>
      <c r="B1547" s="25">
        <v>10321993.199999999</v>
      </c>
      <c r="C1547" s="25"/>
      <c r="D1547" s="56" t="s">
        <v>189</v>
      </c>
      <c r="E1547" s="426">
        <v>44823</v>
      </c>
      <c r="F1547" s="26" t="s">
        <v>1068</v>
      </c>
      <c r="G1547" s="426">
        <v>44755</v>
      </c>
      <c r="H1547" s="35">
        <v>26564</v>
      </c>
      <c r="I1547" s="21">
        <v>4039800</v>
      </c>
      <c r="J1547" s="21">
        <v>383280</v>
      </c>
      <c r="K1547" s="22">
        <v>694738.8</v>
      </c>
      <c r="L1547" s="23"/>
      <c r="M1547" s="22">
        <v>0</v>
      </c>
      <c r="N1547" s="74">
        <v>2.5000000000000001E-2</v>
      </c>
      <c r="O1547" s="22">
        <v>91413</v>
      </c>
      <c r="P1547" s="21">
        <v>4259845.8</v>
      </c>
      <c r="S1547" s="108" t="b">
        <f>OR(COUNTIF(Tabla2[[#This Row],[PROVEEDOR]],"*"&amp;'Palabra no opera'!$A$2&amp;"*"))</f>
        <v>0</v>
      </c>
      <c r="T1547" s="139">
        <f>+$W$5-Tabla2[[#This Row],[FECHA DE FACTURACIÓN]]</f>
        <v>536</v>
      </c>
      <c r="U1547" t="str">
        <f>+IF(Tabla2[[#This Row],[dias de credito]]&gt;=Tabla2[[#This Row],[PLAZO Días]],"venc", "No venc")</f>
        <v>venc</v>
      </c>
      <c r="V1547" t="str">
        <f>+IF(Tabla2[[#This Row],[FECHA DE PAGO]]&gt;0,"pagada","por pagar")</f>
        <v>pagada</v>
      </c>
      <c r="W1547" s="141" t="str">
        <f>+IF(AND(Tabla2[[#This Row],[venc]]="venc",Tabla2[[#This Row],[Columna1]]="por pagar"),"vencida","no")</f>
        <v>no</v>
      </c>
    </row>
    <row r="1548" spans="1:23" ht="15.6" hidden="1" x14ac:dyDescent="0.3">
      <c r="A1548" s="20">
        <v>30</v>
      </c>
      <c r="B1548" s="25">
        <v>0</v>
      </c>
      <c r="C1548" s="25"/>
      <c r="D1548" s="56" t="s">
        <v>276</v>
      </c>
      <c r="E1548" s="426">
        <v>44823</v>
      </c>
      <c r="F1548" s="26" t="s">
        <v>239</v>
      </c>
      <c r="G1548" s="426">
        <v>44704</v>
      </c>
      <c r="H1548" s="35" t="s">
        <v>698</v>
      </c>
      <c r="I1548" s="21">
        <v>3657983</v>
      </c>
      <c r="J1548" s="21"/>
      <c r="K1548" s="22">
        <v>695016.77</v>
      </c>
      <c r="L1548" s="23"/>
      <c r="M1548" s="22">
        <v>0</v>
      </c>
      <c r="N1548" s="74">
        <v>2.5000000000000001E-2</v>
      </c>
      <c r="O1548" s="22">
        <v>91449.575000000012</v>
      </c>
      <c r="P1548" s="21">
        <v>4261550.1949999994</v>
      </c>
      <c r="S1548" s="108" t="b">
        <f>OR(COUNTIF(Tabla2[[#This Row],[PROVEEDOR]],"*"&amp;'Palabra no opera'!$A$2&amp;"*"))</f>
        <v>0</v>
      </c>
      <c r="T1548" s="139">
        <f>+$W$5-Tabla2[[#This Row],[FECHA DE FACTURACIÓN]]</f>
        <v>587</v>
      </c>
      <c r="U1548" t="str">
        <f>+IF(Tabla2[[#This Row],[dias de credito]]&gt;=Tabla2[[#This Row],[PLAZO Días]],"venc", "No venc")</f>
        <v>venc</v>
      </c>
      <c r="V1548" t="str">
        <f>+IF(Tabla2[[#This Row],[FECHA DE PAGO]]&gt;0,"pagada","por pagar")</f>
        <v>pagada</v>
      </c>
      <c r="W1548" s="141" t="str">
        <f>+IF(AND(Tabla2[[#This Row],[venc]]="venc",Tabla2[[#This Row],[Columna1]]="por pagar"),"vencida","no")</f>
        <v>no</v>
      </c>
    </row>
    <row r="1549" spans="1:23" ht="15.6" hidden="1" x14ac:dyDescent="0.3">
      <c r="A1549" s="20">
        <v>30</v>
      </c>
      <c r="B1549" s="25">
        <v>0</v>
      </c>
      <c r="C1549" s="25"/>
      <c r="D1549" s="56" t="s">
        <v>107</v>
      </c>
      <c r="E1549" s="426">
        <v>44821</v>
      </c>
      <c r="F1549" s="26" t="s">
        <v>356</v>
      </c>
      <c r="G1549" s="426">
        <v>44819</v>
      </c>
      <c r="H1549" s="35" t="s">
        <v>1125</v>
      </c>
      <c r="I1549" s="21">
        <v>5428000</v>
      </c>
      <c r="J1549" s="21"/>
      <c r="K1549" s="22">
        <v>0</v>
      </c>
      <c r="L1549" s="23"/>
      <c r="M1549" s="22">
        <v>0</v>
      </c>
      <c r="N1549" s="74">
        <v>0</v>
      </c>
      <c r="O1549" s="22">
        <v>0</v>
      </c>
      <c r="P1549" s="21">
        <v>5428000</v>
      </c>
      <c r="S1549" s="108" t="b">
        <f>OR(COUNTIF(Tabla2[[#This Row],[PROVEEDOR]],"*"&amp;'Palabra no opera'!$A$2&amp;"*"))</f>
        <v>0</v>
      </c>
      <c r="T1549" s="139">
        <f>+$W$5-Tabla2[[#This Row],[FECHA DE FACTURACIÓN]]</f>
        <v>472</v>
      </c>
      <c r="U1549" t="str">
        <f>+IF(Tabla2[[#This Row],[dias de credito]]&gt;=Tabla2[[#This Row],[PLAZO Días]],"venc", "No venc")</f>
        <v>venc</v>
      </c>
      <c r="V1549" t="str">
        <f>+IF(Tabla2[[#This Row],[FECHA DE PAGO]]&gt;0,"pagada","por pagar")</f>
        <v>pagada</v>
      </c>
      <c r="W1549" s="141" t="str">
        <f>+IF(AND(Tabla2[[#This Row],[venc]]="venc",Tabla2[[#This Row],[Columna1]]="por pagar"),"vencida","no")</f>
        <v>no</v>
      </c>
    </row>
    <row r="1550" spans="1:23" ht="15.6" hidden="1" x14ac:dyDescent="0.3">
      <c r="A1550" s="20">
        <v>30</v>
      </c>
      <c r="B1550" s="25">
        <v>0</v>
      </c>
      <c r="C1550" s="25"/>
      <c r="D1550" s="56">
        <v>0</v>
      </c>
      <c r="E1550" s="426">
        <v>44821</v>
      </c>
      <c r="F1550" s="26" t="s">
        <v>1135</v>
      </c>
      <c r="G1550" s="426">
        <v>44812</v>
      </c>
      <c r="H1550" s="35" t="s">
        <v>1136</v>
      </c>
      <c r="I1550" s="21">
        <v>936000</v>
      </c>
      <c r="J1550" s="21"/>
      <c r="K1550" s="22">
        <v>0</v>
      </c>
      <c r="L1550" s="23"/>
      <c r="M1550" s="22">
        <v>0</v>
      </c>
      <c r="N1550" s="74">
        <v>0</v>
      </c>
      <c r="O1550" s="22">
        <v>0</v>
      </c>
      <c r="P1550" s="21">
        <v>936000</v>
      </c>
      <c r="S1550" s="108" t="b">
        <f>OR(COUNTIF(Tabla2[[#This Row],[PROVEEDOR]],"*"&amp;'Palabra no opera'!$A$2&amp;"*"))</f>
        <v>0</v>
      </c>
      <c r="T1550" s="139">
        <f>+$W$5-Tabla2[[#This Row],[FECHA DE FACTURACIÓN]]</f>
        <v>479</v>
      </c>
      <c r="U1550" t="str">
        <f>+IF(Tabla2[[#This Row],[dias de credito]]&gt;=Tabla2[[#This Row],[PLAZO Días]],"venc", "No venc")</f>
        <v>venc</v>
      </c>
      <c r="V1550" t="str">
        <f>+IF(Tabla2[[#This Row],[FECHA DE PAGO]]&gt;0,"pagada","por pagar")</f>
        <v>pagada</v>
      </c>
      <c r="W1550" s="141" t="str">
        <f>+IF(AND(Tabla2[[#This Row],[venc]]="venc",Tabla2[[#This Row],[Columna1]]="por pagar"),"vencida","no")</f>
        <v>no</v>
      </c>
    </row>
    <row r="1551" spans="1:23" ht="15.6" hidden="1" x14ac:dyDescent="0.3">
      <c r="A1551" s="20">
        <v>30</v>
      </c>
      <c r="B1551" s="25">
        <v>0</v>
      </c>
      <c r="C1551" s="25"/>
      <c r="D1551" s="56" t="s">
        <v>185</v>
      </c>
      <c r="E1551" s="426">
        <v>44819</v>
      </c>
      <c r="F1551" s="26" t="s">
        <v>628</v>
      </c>
      <c r="G1551" s="426">
        <v>44805</v>
      </c>
      <c r="H1551" s="35">
        <v>11379</v>
      </c>
      <c r="I1551" s="21">
        <v>1649859</v>
      </c>
      <c r="J1551" s="21"/>
      <c r="K1551" s="22">
        <v>0</v>
      </c>
      <c r="L1551" s="23"/>
      <c r="M1551" s="22">
        <v>80632</v>
      </c>
      <c r="N1551" s="74">
        <v>0</v>
      </c>
      <c r="O1551" s="22">
        <v>0</v>
      </c>
      <c r="P1551" s="21">
        <v>1569227</v>
      </c>
      <c r="S1551" s="108" t="b">
        <f>OR(COUNTIF(Tabla2[[#This Row],[PROVEEDOR]],"*"&amp;'Palabra no opera'!$A$2&amp;"*"))</f>
        <v>1</v>
      </c>
      <c r="T1551" s="139">
        <f>+$W$5-Tabla2[[#This Row],[FECHA DE FACTURACIÓN]]</f>
        <v>486</v>
      </c>
      <c r="U1551" t="str">
        <f>+IF(Tabla2[[#This Row],[dias de credito]]&gt;=Tabla2[[#This Row],[PLAZO Días]],"venc", "No venc")</f>
        <v>venc</v>
      </c>
      <c r="V1551" t="str">
        <f>+IF(Tabla2[[#This Row],[FECHA DE PAGO]]&gt;0,"pagada","por pagar")</f>
        <v>pagada</v>
      </c>
      <c r="W1551" s="141" t="str">
        <f>+IF(AND(Tabla2[[#This Row],[venc]]="venc",Tabla2[[#This Row],[Columna1]]="por pagar"),"vencida","no")</f>
        <v>no</v>
      </c>
    </row>
    <row r="1552" spans="1:23" ht="15.6" hidden="1" x14ac:dyDescent="0.3">
      <c r="A1552" s="20">
        <v>30</v>
      </c>
      <c r="B1552" s="25">
        <v>0</v>
      </c>
      <c r="C1552" s="25"/>
      <c r="D1552" s="56" t="s">
        <v>185</v>
      </c>
      <c r="E1552" s="426">
        <v>44819</v>
      </c>
      <c r="F1552" s="26" t="s">
        <v>628</v>
      </c>
      <c r="G1552" s="426">
        <v>44805</v>
      </c>
      <c r="H1552" s="35">
        <v>11379</v>
      </c>
      <c r="I1552" s="21">
        <v>1649859</v>
      </c>
      <c r="J1552" s="21"/>
      <c r="K1552" s="22">
        <v>0</v>
      </c>
      <c r="L1552" s="23"/>
      <c r="M1552" s="22">
        <v>80632</v>
      </c>
      <c r="N1552" s="74">
        <v>0</v>
      </c>
      <c r="O1552" s="22">
        <v>0</v>
      </c>
      <c r="P1552" s="21">
        <v>1569227</v>
      </c>
      <c r="S1552" s="108" t="b">
        <f>OR(COUNTIF(Tabla2[[#This Row],[PROVEEDOR]],"*"&amp;'Palabra no opera'!$A$2&amp;"*"))</f>
        <v>1</v>
      </c>
      <c r="T1552" s="139">
        <f>+$W$5-Tabla2[[#This Row],[FECHA DE FACTURACIÓN]]</f>
        <v>486</v>
      </c>
      <c r="U1552" t="str">
        <f>+IF(Tabla2[[#This Row],[dias de credito]]&gt;=Tabla2[[#This Row],[PLAZO Días]],"venc", "No venc")</f>
        <v>venc</v>
      </c>
      <c r="V1552" t="str">
        <f>+IF(Tabla2[[#This Row],[FECHA DE PAGO]]&gt;0,"pagada","por pagar")</f>
        <v>pagada</v>
      </c>
      <c r="W1552" s="141" t="str">
        <f>+IF(AND(Tabla2[[#This Row],[venc]]="venc",Tabla2[[#This Row],[Columna1]]="por pagar"),"vencida","no")</f>
        <v>no</v>
      </c>
    </row>
    <row r="1553" spans="1:23" ht="15.6" hidden="1" x14ac:dyDescent="0.3">
      <c r="A1553" s="20">
        <v>30</v>
      </c>
      <c r="B1553" s="25">
        <v>352505.48</v>
      </c>
      <c r="C1553" s="25"/>
      <c r="D1553" s="56" t="s">
        <v>393</v>
      </c>
      <c r="E1553" s="426">
        <v>44818</v>
      </c>
      <c r="F1553" s="26" t="s">
        <v>650</v>
      </c>
      <c r="G1553" s="426">
        <v>44805</v>
      </c>
      <c r="H1553" s="35">
        <v>68862</v>
      </c>
      <c r="I1553" s="21">
        <v>284467</v>
      </c>
      <c r="J1553" s="21"/>
      <c r="K1553" s="22">
        <v>0</v>
      </c>
      <c r="L1553" s="23"/>
      <c r="M1553" s="22">
        <v>8522.67</v>
      </c>
      <c r="N1553" s="74">
        <v>0</v>
      </c>
      <c r="O1553" s="22">
        <v>0</v>
      </c>
      <c r="P1553" s="21">
        <v>275944.33</v>
      </c>
      <c r="S1553" s="108" t="b">
        <f>OR(COUNTIF(Tabla2[[#This Row],[PROVEEDOR]],"*"&amp;'Palabra no opera'!$A$2&amp;"*"))</f>
        <v>1</v>
      </c>
      <c r="T1553" s="139">
        <f>+$W$5-Tabla2[[#This Row],[FECHA DE FACTURACIÓN]]</f>
        <v>486</v>
      </c>
      <c r="U1553" t="str">
        <f>+IF(Tabla2[[#This Row],[dias de credito]]&gt;=Tabla2[[#This Row],[PLAZO Días]],"venc", "No venc")</f>
        <v>venc</v>
      </c>
      <c r="V1553" t="str">
        <f>+IF(Tabla2[[#This Row],[FECHA DE PAGO]]&gt;0,"pagada","por pagar")</f>
        <v>pagada</v>
      </c>
      <c r="W1553" s="141" t="str">
        <f>+IF(AND(Tabla2[[#This Row],[venc]]="venc",Tabla2[[#This Row],[Columna1]]="por pagar"),"vencida","no")</f>
        <v>no</v>
      </c>
    </row>
    <row r="1554" spans="1:23" ht="15.6" hidden="1" x14ac:dyDescent="0.3">
      <c r="A1554" s="20">
        <v>30</v>
      </c>
      <c r="B1554" s="25">
        <v>352505.48</v>
      </c>
      <c r="C1554" s="25"/>
      <c r="D1554" s="56" t="s">
        <v>393</v>
      </c>
      <c r="E1554" s="426">
        <v>44818</v>
      </c>
      <c r="F1554" s="26" t="s">
        <v>650</v>
      </c>
      <c r="G1554" s="426">
        <v>44805</v>
      </c>
      <c r="H1554" s="35">
        <v>68862</v>
      </c>
      <c r="I1554" s="21">
        <v>284467</v>
      </c>
      <c r="J1554" s="21"/>
      <c r="K1554" s="22">
        <v>0</v>
      </c>
      <c r="L1554" s="23"/>
      <c r="M1554" s="22">
        <v>8522.67</v>
      </c>
      <c r="N1554" s="74">
        <v>0</v>
      </c>
      <c r="O1554" s="22">
        <v>0</v>
      </c>
      <c r="P1554" s="21">
        <v>275944.33</v>
      </c>
      <c r="S1554" s="108" t="b">
        <f>OR(COUNTIF(Tabla2[[#This Row],[PROVEEDOR]],"*"&amp;'Palabra no opera'!$A$2&amp;"*"))</f>
        <v>1</v>
      </c>
      <c r="T1554" s="139">
        <f>+$W$5-Tabla2[[#This Row],[FECHA DE FACTURACIÓN]]</f>
        <v>486</v>
      </c>
      <c r="U1554" t="str">
        <f>+IF(Tabla2[[#This Row],[dias de credito]]&gt;=Tabla2[[#This Row],[PLAZO Días]],"venc", "No venc")</f>
        <v>venc</v>
      </c>
      <c r="V1554" t="str">
        <f>+IF(Tabla2[[#This Row],[FECHA DE PAGO]]&gt;0,"pagada","por pagar")</f>
        <v>pagada</v>
      </c>
      <c r="W1554" s="141" t="str">
        <f>+IF(AND(Tabla2[[#This Row],[venc]]="venc",Tabla2[[#This Row],[Columna1]]="por pagar"),"vencida","no")</f>
        <v>no</v>
      </c>
    </row>
    <row r="1555" spans="1:23" ht="15.6" hidden="1" x14ac:dyDescent="0.3">
      <c r="A1555" s="20">
        <v>0</v>
      </c>
      <c r="B1555" s="25">
        <v>0</v>
      </c>
      <c r="C1555" s="25"/>
      <c r="D1555" s="56" t="s">
        <v>837</v>
      </c>
      <c r="E1555" s="426">
        <v>44817</v>
      </c>
      <c r="F1555" s="26" t="s">
        <v>838</v>
      </c>
      <c r="G1555" s="426">
        <v>44817</v>
      </c>
      <c r="H1555" s="35" t="s">
        <v>1086</v>
      </c>
      <c r="I1555" s="21">
        <v>170000</v>
      </c>
      <c r="J1555" s="21"/>
      <c r="K1555" s="22">
        <v>32300</v>
      </c>
      <c r="L1555" s="23"/>
      <c r="M1555" s="22">
        <v>0</v>
      </c>
      <c r="N1555" s="74">
        <v>0.04</v>
      </c>
      <c r="O1555" s="22">
        <v>6800</v>
      </c>
      <c r="P1555" s="21">
        <v>195500</v>
      </c>
      <c r="S1555" s="108" t="b">
        <f>OR(COUNTIF(Tabla2[[#This Row],[PROVEEDOR]],"*"&amp;'Palabra no opera'!$A$2&amp;"*"))</f>
        <v>1</v>
      </c>
      <c r="T1555" s="139">
        <f>+$W$5-Tabla2[[#This Row],[FECHA DE FACTURACIÓN]]</f>
        <v>474</v>
      </c>
      <c r="U1555" t="str">
        <f>+IF(Tabla2[[#This Row],[dias de credito]]&gt;=Tabla2[[#This Row],[PLAZO Días]],"venc", "No venc")</f>
        <v>venc</v>
      </c>
      <c r="V1555" t="str">
        <f>+IF(Tabla2[[#This Row],[FECHA DE PAGO]]&gt;0,"pagada","por pagar")</f>
        <v>pagada</v>
      </c>
      <c r="W1555" s="141" t="str">
        <f>+IF(AND(Tabla2[[#This Row],[venc]]="venc",Tabla2[[#This Row],[Columna1]]="por pagar"),"vencida","no")</f>
        <v>no</v>
      </c>
    </row>
    <row r="1556" spans="1:23" ht="15.6" hidden="1" x14ac:dyDescent="0.3">
      <c r="A1556" s="20">
        <v>30</v>
      </c>
      <c r="B1556" s="25">
        <v>0</v>
      </c>
      <c r="C1556" s="25"/>
      <c r="D1556" s="56" t="s">
        <v>107</v>
      </c>
      <c r="E1556" s="426">
        <v>44817</v>
      </c>
      <c r="F1556" s="26" t="s">
        <v>409</v>
      </c>
      <c r="G1556" s="426">
        <v>44810</v>
      </c>
      <c r="H1556" s="35">
        <v>609</v>
      </c>
      <c r="I1556" s="21">
        <v>921500</v>
      </c>
      <c r="J1556" s="21"/>
      <c r="K1556" s="22">
        <v>0</v>
      </c>
      <c r="L1556" s="23"/>
      <c r="M1556" s="22">
        <v>0</v>
      </c>
      <c r="N1556" s="74">
        <v>0</v>
      </c>
      <c r="O1556" s="22">
        <v>0</v>
      </c>
      <c r="P1556" s="21">
        <v>921500</v>
      </c>
      <c r="S1556" s="108" t="b">
        <f>OR(COUNTIF(Tabla2[[#This Row],[PROVEEDOR]],"*"&amp;'Palabra no opera'!$A$2&amp;"*"))</f>
        <v>0</v>
      </c>
      <c r="T1556" s="139">
        <f>+$W$5-Tabla2[[#This Row],[FECHA DE FACTURACIÓN]]</f>
        <v>481</v>
      </c>
      <c r="U1556" t="str">
        <f>+IF(Tabla2[[#This Row],[dias de credito]]&gt;=Tabla2[[#This Row],[PLAZO Días]],"venc", "No venc")</f>
        <v>venc</v>
      </c>
      <c r="V1556" t="str">
        <f>+IF(Tabla2[[#This Row],[FECHA DE PAGO]]&gt;0,"pagada","por pagar")</f>
        <v>pagada</v>
      </c>
      <c r="W1556" s="141" t="str">
        <f>+IF(AND(Tabla2[[#This Row],[venc]]="venc",Tabla2[[#This Row],[Columna1]]="por pagar"),"vencida","no")</f>
        <v>no</v>
      </c>
    </row>
    <row r="1557" spans="1:23" ht="15.6" hidden="1" x14ac:dyDescent="0.3">
      <c r="A1557" s="20">
        <v>30</v>
      </c>
      <c r="B1557" s="25">
        <v>0</v>
      </c>
      <c r="C1557" s="25"/>
      <c r="D1557" s="56">
        <v>0</v>
      </c>
      <c r="E1557" s="426">
        <v>44816</v>
      </c>
      <c r="F1557" s="26" t="s">
        <v>642</v>
      </c>
      <c r="G1557" s="426">
        <v>44805</v>
      </c>
      <c r="H1557" s="35" t="s">
        <v>217</v>
      </c>
      <c r="I1557" s="21">
        <v>455823</v>
      </c>
      <c r="J1557" s="21"/>
      <c r="K1557" s="22">
        <v>0</v>
      </c>
      <c r="L1557" s="23"/>
      <c r="M1557" s="22">
        <v>0</v>
      </c>
      <c r="N1557" s="74">
        <v>0</v>
      </c>
      <c r="O1557" s="22">
        <v>0</v>
      </c>
      <c r="P1557" s="21">
        <v>455823</v>
      </c>
      <c r="S1557" s="108" t="b">
        <f>OR(COUNTIF(Tabla2[[#This Row],[PROVEEDOR]],"*"&amp;'Palabra no opera'!$A$2&amp;"*"))</f>
        <v>1</v>
      </c>
      <c r="T1557" s="139">
        <f>+$W$5-Tabla2[[#This Row],[FECHA DE FACTURACIÓN]]</f>
        <v>486</v>
      </c>
      <c r="U1557" t="str">
        <f>+IF(Tabla2[[#This Row],[dias de credito]]&gt;=Tabla2[[#This Row],[PLAZO Días]],"venc", "No venc")</f>
        <v>venc</v>
      </c>
      <c r="V1557" t="str">
        <f>+IF(Tabla2[[#This Row],[FECHA DE PAGO]]&gt;0,"pagada","por pagar")</f>
        <v>pagada</v>
      </c>
      <c r="W1557" s="141" t="str">
        <f>+IF(AND(Tabla2[[#This Row],[venc]]="venc",Tabla2[[#This Row],[Columna1]]="por pagar"),"vencida","no")</f>
        <v>no</v>
      </c>
    </row>
    <row r="1558" spans="1:23" ht="15.6" hidden="1" x14ac:dyDescent="0.3">
      <c r="A1558" s="20">
        <v>30</v>
      </c>
      <c r="B1558" s="25">
        <v>2100000</v>
      </c>
      <c r="C1558" s="25"/>
      <c r="D1558" s="56" t="s">
        <v>107</v>
      </c>
      <c r="E1558" s="426">
        <v>44816</v>
      </c>
      <c r="F1558" s="26" t="s">
        <v>349</v>
      </c>
      <c r="G1558" s="426">
        <v>44785</v>
      </c>
      <c r="H1558" s="35" t="s">
        <v>948</v>
      </c>
      <c r="I1558" s="21">
        <v>2302000</v>
      </c>
      <c r="J1558" s="21"/>
      <c r="K1558" s="22">
        <v>0</v>
      </c>
      <c r="L1558" s="23"/>
      <c r="M1558" s="22">
        <v>0</v>
      </c>
      <c r="N1558" s="74">
        <v>0</v>
      </c>
      <c r="O1558" s="22">
        <v>0</v>
      </c>
      <c r="P1558" s="21">
        <v>2302000</v>
      </c>
      <c r="S1558" s="108" t="b">
        <f>OR(COUNTIF(Tabla2[[#This Row],[PROVEEDOR]],"*"&amp;'Palabra no opera'!$A$2&amp;"*"))</f>
        <v>0</v>
      </c>
      <c r="T1558" s="139">
        <f>+$W$5-Tabla2[[#This Row],[FECHA DE FACTURACIÓN]]</f>
        <v>506</v>
      </c>
      <c r="U1558" t="str">
        <f>+IF(Tabla2[[#This Row],[dias de credito]]&gt;=Tabla2[[#This Row],[PLAZO Días]],"venc", "No venc")</f>
        <v>venc</v>
      </c>
      <c r="V1558" t="str">
        <f>+IF(Tabla2[[#This Row],[FECHA DE PAGO]]&gt;0,"pagada","por pagar")</f>
        <v>pagada</v>
      </c>
      <c r="W1558" s="141" t="str">
        <f>+IF(AND(Tabla2[[#This Row],[venc]]="venc",Tabla2[[#This Row],[Columna1]]="por pagar"),"vencida","no")</f>
        <v>no</v>
      </c>
    </row>
    <row r="1559" spans="1:23" ht="15.6" hidden="1" x14ac:dyDescent="0.3">
      <c r="A1559" s="20">
        <v>0</v>
      </c>
      <c r="B1559" s="25">
        <v>0</v>
      </c>
      <c r="C1559" s="25"/>
      <c r="D1559" s="56">
        <v>0</v>
      </c>
      <c r="E1559" s="426">
        <v>44813</v>
      </c>
      <c r="F1559" s="26" t="s">
        <v>1083</v>
      </c>
      <c r="G1559" s="426">
        <v>44805</v>
      </c>
      <c r="H1559" s="35" t="s">
        <v>1085</v>
      </c>
      <c r="I1559" s="21">
        <v>300000</v>
      </c>
      <c r="J1559" s="21"/>
      <c r="K1559" s="22">
        <v>0</v>
      </c>
      <c r="L1559" s="23"/>
      <c r="M1559" s="22">
        <v>0</v>
      </c>
      <c r="N1559" s="74">
        <v>0</v>
      </c>
      <c r="O1559" s="22">
        <v>0</v>
      </c>
      <c r="P1559" s="21">
        <v>300000</v>
      </c>
      <c r="S1559" s="108" t="b">
        <f>OR(COUNTIF(Tabla2[[#This Row],[PROVEEDOR]],"*"&amp;'Palabra no opera'!$A$2&amp;"*"))</f>
        <v>1</v>
      </c>
      <c r="T1559" s="139">
        <f>+$W$5-Tabla2[[#This Row],[FECHA DE FACTURACIÓN]]</f>
        <v>486</v>
      </c>
      <c r="U1559" t="str">
        <f>+IF(Tabla2[[#This Row],[dias de credito]]&gt;=Tabla2[[#This Row],[PLAZO Días]],"venc", "No venc")</f>
        <v>venc</v>
      </c>
      <c r="V1559" t="str">
        <f>+IF(Tabla2[[#This Row],[FECHA DE PAGO]]&gt;0,"pagada","por pagar")</f>
        <v>pagada</v>
      </c>
      <c r="W1559" s="141" t="str">
        <f>+IF(AND(Tabla2[[#This Row],[venc]]="venc",Tabla2[[#This Row],[Columna1]]="por pagar"),"vencida","no")</f>
        <v>no</v>
      </c>
    </row>
    <row r="1560" spans="1:23" ht="15.6" hidden="1" x14ac:dyDescent="0.3">
      <c r="A1560" s="20">
        <v>30</v>
      </c>
      <c r="B1560" s="25">
        <v>0</v>
      </c>
      <c r="C1560" s="25"/>
      <c r="D1560" s="56" t="s">
        <v>107</v>
      </c>
      <c r="E1560" s="426">
        <v>44812</v>
      </c>
      <c r="F1560" s="26" t="s">
        <v>356</v>
      </c>
      <c r="G1560" s="426">
        <v>44809</v>
      </c>
      <c r="H1560" s="35" t="s">
        <v>1094</v>
      </c>
      <c r="I1560" s="21">
        <v>1759000</v>
      </c>
      <c r="J1560" s="21"/>
      <c r="K1560" s="22">
        <v>0</v>
      </c>
      <c r="L1560" s="23"/>
      <c r="M1560" s="22">
        <v>0</v>
      </c>
      <c r="N1560" s="74">
        <v>0</v>
      </c>
      <c r="O1560" s="22">
        <v>0</v>
      </c>
      <c r="P1560" s="21">
        <v>1759000</v>
      </c>
      <c r="S1560" s="108" t="b">
        <f>OR(COUNTIF(Tabla2[[#This Row],[PROVEEDOR]],"*"&amp;'Palabra no opera'!$A$2&amp;"*"))</f>
        <v>0</v>
      </c>
      <c r="T1560" s="139">
        <f>+$W$5-Tabla2[[#This Row],[FECHA DE FACTURACIÓN]]</f>
        <v>482</v>
      </c>
      <c r="U1560" t="str">
        <f>+IF(Tabla2[[#This Row],[dias de credito]]&gt;=Tabla2[[#This Row],[PLAZO Días]],"venc", "No venc")</f>
        <v>venc</v>
      </c>
      <c r="V1560" t="str">
        <f>+IF(Tabla2[[#This Row],[FECHA DE PAGO]]&gt;0,"pagada","por pagar")</f>
        <v>pagada</v>
      </c>
      <c r="W1560" s="141" t="str">
        <f>+IF(AND(Tabla2[[#This Row],[venc]]="venc",Tabla2[[#This Row],[Columna1]]="por pagar"),"vencida","no")</f>
        <v>no</v>
      </c>
    </row>
    <row r="1561" spans="1:23" ht="15.6" hidden="1" x14ac:dyDescent="0.3">
      <c r="A1561" s="20">
        <v>30</v>
      </c>
      <c r="B1561" s="25">
        <v>0</v>
      </c>
      <c r="C1561" s="25"/>
      <c r="D1561" s="56" t="s">
        <v>107</v>
      </c>
      <c r="E1561" s="426">
        <v>44812</v>
      </c>
      <c r="F1561" s="26" t="s">
        <v>404</v>
      </c>
      <c r="G1561" s="426">
        <v>44809</v>
      </c>
      <c r="H1561" s="35" t="s">
        <v>1095</v>
      </c>
      <c r="I1561" s="21">
        <v>1347110</v>
      </c>
      <c r="J1561" s="21"/>
      <c r="K1561" s="22">
        <v>0</v>
      </c>
      <c r="L1561" s="23"/>
      <c r="M1561" s="22">
        <v>0</v>
      </c>
      <c r="N1561" s="74">
        <v>0</v>
      </c>
      <c r="O1561" s="22">
        <v>0</v>
      </c>
      <c r="P1561" s="21">
        <v>1347110</v>
      </c>
      <c r="S1561" s="108" t="b">
        <f>OR(COUNTIF(Tabla2[[#This Row],[PROVEEDOR]],"*"&amp;'Palabra no opera'!$A$2&amp;"*"))</f>
        <v>0</v>
      </c>
      <c r="T1561" s="139">
        <f>+$W$5-Tabla2[[#This Row],[FECHA DE FACTURACIÓN]]</f>
        <v>482</v>
      </c>
      <c r="U1561" t="str">
        <f>+IF(Tabla2[[#This Row],[dias de credito]]&gt;=Tabla2[[#This Row],[PLAZO Días]],"venc", "No venc")</f>
        <v>venc</v>
      </c>
      <c r="V1561" t="str">
        <f>+IF(Tabla2[[#This Row],[FECHA DE PAGO]]&gt;0,"pagada","por pagar")</f>
        <v>pagada</v>
      </c>
      <c r="W1561" s="141" t="str">
        <f>+IF(AND(Tabla2[[#This Row],[venc]]="venc",Tabla2[[#This Row],[Columna1]]="por pagar"),"vencida","no")</f>
        <v>no</v>
      </c>
    </row>
    <row r="1562" spans="1:23" ht="15.6" hidden="1" x14ac:dyDescent="0.3">
      <c r="A1562" s="20">
        <v>60</v>
      </c>
      <c r="B1562" s="25">
        <v>395600</v>
      </c>
      <c r="C1562" s="25"/>
      <c r="D1562" s="56" t="s">
        <v>1482</v>
      </c>
      <c r="E1562" s="426">
        <v>44811</v>
      </c>
      <c r="F1562" s="26" t="s">
        <v>287</v>
      </c>
      <c r="G1562" s="426">
        <v>44803</v>
      </c>
      <c r="H1562" s="35" t="s">
        <v>1099</v>
      </c>
      <c r="I1562" s="21">
        <v>649894.85</v>
      </c>
      <c r="J1562" s="21"/>
      <c r="K1562" s="22">
        <v>0</v>
      </c>
      <c r="L1562" s="23"/>
      <c r="M1562" s="22">
        <v>0</v>
      </c>
      <c r="N1562" s="74">
        <v>0</v>
      </c>
      <c r="O1562" s="22">
        <v>0</v>
      </c>
      <c r="P1562" s="21">
        <v>649894.85</v>
      </c>
      <c r="S1562" s="108" t="b">
        <f>OR(COUNTIF(Tabla2[[#This Row],[PROVEEDOR]],"*"&amp;'Palabra no opera'!$A$2&amp;"*"))</f>
        <v>0</v>
      </c>
      <c r="T1562" s="139">
        <f>+$W$5-Tabla2[[#This Row],[FECHA DE FACTURACIÓN]]</f>
        <v>488</v>
      </c>
      <c r="U1562" t="str">
        <f>+IF(Tabla2[[#This Row],[dias de credito]]&gt;=Tabla2[[#This Row],[PLAZO Días]],"venc", "No venc")</f>
        <v>venc</v>
      </c>
      <c r="V1562" t="str">
        <f>+IF(Tabla2[[#This Row],[FECHA DE PAGO]]&gt;0,"pagada","por pagar")</f>
        <v>pagada</v>
      </c>
      <c r="W1562" s="141" t="str">
        <f>+IF(AND(Tabla2[[#This Row],[venc]]="venc",Tabla2[[#This Row],[Columna1]]="por pagar"),"vencida","no")</f>
        <v>no</v>
      </c>
    </row>
    <row r="1563" spans="1:23" ht="15.6" hidden="1" x14ac:dyDescent="0.3">
      <c r="A1563" s="20">
        <v>60</v>
      </c>
      <c r="B1563" s="25">
        <v>395600</v>
      </c>
      <c r="C1563" s="25"/>
      <c r="D1563" s="56" t="s">
        <v>1482</v>
      </c>
      <c r="E1563" s="426">
        <v>44811</v>
      </c>
      <c r="F1563" s="26" t="s">
        <v>287</v>
      </c>
      <c r="G1563" s="426">
        <v>44803</v>
      </c>
      <c r="H1563" s="35" t="s">
        <v>1100</v>
      </c>
      <c r="I1563" s="21">
        <v>655693.5</v>
      </c>
      <c r="J1563" s="21"/>
      <c r="K1563" s="22">
        <v>0</v>
      </c>
      <c r="L1563" s="23"/>
      <c r="M1563" s="22">
        <v>0</v>
      </c>
      <c r="N1563" s="74">
        <v>0</v>
      </c>
      <c r="O1563" s="22">
        <v>0</v>
      </c>
      <c r="P1563" s="21">
        <v>655693.5</v>
      </c>
      <c r="S1563" s="108" t="b">
        <f>OR(COUNTIF(Tabla2[[#This Row],[PROVEEDOR]],"*"&amp;'Palabra no opera'!$A$2&amp;"*"))</f>
        <v>0</v>
      </c>
      <c r="T1563" s="139">
        <f>+$W$5-Tabla2[[#This Row],[FECHA DE FACTURACIÓN]]</f>
        <v>488</v>
      </c>
      <c r="U1563" t="str">
        <f>+IF(Tabla2[[#This Row],[dias de credito]]&gt;=Tabla2[[#This Row],[PLAZO Días]],"venc", "No venc")</f>
        <v>venc</v>
      </c>
      <c r="V1563" t="str">
        <f>+IF(Tabla2[[#This Row],[FECHA DE PAGO]]&gt;0,"pagada","por pagar")</f>
        <v>pagada</v>
      </c>
      <c r="W1563" s="141" t="str">
        <f>+IF(AND(Tabla2[[#This Row],[venc]]="venc",Tabla2[[#This Row],[Columna1]]="por pagar"),"vencida","no")</f>
        <v>no</v>
      </c>
    </row>
    <row r="1564" spans="1:23" ht="15.6" hidden="1" x14ac:dyDescent="0.3">
      <c r="A1564" s="20">
        <v>45</v>
      </c>
      <c r="B1564" s="25">
        <v>3074500</v>
      </c>
      <c r="C1564" s="25"/>
      <c r="D1564" s="56" t="s">
        <v>1482</v>
      </c>
      <c r="E1564" s="426">
        <v>44811</v>
      </c>
      <c r="F1564" s="26" t="s">
        <v>289</v>
      </c>
      <c r="G1564" s="426">
        <v>44803</v>
      </c>
      <c r="H1564" s="35" t="s">
        <v>1075</v>
      </c>
      <c r="I1564" s="21">
        <v>1785805.78</v>
      </c>
      <c r="J1564" s="21"/>
      <c r="K1564" s="22">
        <v>0</v>
      </c>
      <c r="L1564" s="23"/>
      <c r="M1564" s="22">
        <v>0</v>
      </c>
      <c r="N1564" s="74">
        <v>0</v>
      </c>
      <c r="O1564" s="22">
        <v>0</v>
      </c>
      <c r="P1564" s="21">
        <v>1785805.78</v>
      </c>
      <c r="S1564" s="108" t="b">
        <f>OR(COUNTIF(Tabla2[[#This Row],[PROVEEDOR]],"*"&amp;'Palabra no opera'!$A$2&amp;"*"))</f>
        <v>0</v>
      </c>
      <c r="T1564" s="139">
        <f>+$W$5-Tabla2[[#This Row],[FECHA DE FACTURACIÓN]]</f>
        <v>488</v>
      </c>
      <c r="U1564" t="str">
        <f>+IF(Tabla2[[#This Row],[dias de credito]]&gt;=Tabla2[[#This Row],[PLAZO Días]],"venc", "No venc")</f>
        <v>venc</v>
      </c>
      <c r="V1564" t="str">
        <f>+IF(Tabla2[[#This Row],[FECHA DE PAGO]]&gt;0,"pagada","por pagar")</f>
        <v>pagada</v>
      </c>
      <c r="W1564" s="141" t="str">
        <f>+IF(AND(Tabla2[[#This Row],[venc]]="venc",Tabla2[[#This Row],[Columna1]]="por pagar"),"vencida","no")</f>
        <v>no</v>
      </c>
    </row>
    <row r="1565" spans="1:23" ht="15.6" hidden="1" x14ac:dyDescent="0.3">
      <c r="A1565" s="20">
        <v>60</v>
      </c>
      <c r="B1565" s="25">
        <v>395600</v>
      </c>
      <c r="C1565" s="25"/>
      <c r="D1565" s="56" t="s">
        <v>1482</v>
      </c>
      <c r="E1565" s="426">
        <v>44811</v>
      </c>
      <c r="F1565" s="26" t="s">
        <v>287</v>
      </c>
      <c r="G1565" s="426">
        <v>44792</v>
      </c>
      <c r="H1565" s="35" t="s">
        <v>1060</v>
      </c>
      <c r="I1565" s="21">
        <v>463892</v>
      </c>
      <c r="J1565" s="21"/>
      <c r="K1565" s="22">
        <v>0</v>
      </c>
      <c r="L1565" s="23"/>
      <c r="M1565" s="22">
        <v>0</v>
      </c>
      <c r="N1565" s="74">
        <v>0</v>
      </c>
      <c r="O1565" s="22">
        <v>0</v>
      </c>
      <c r="P1565" s="21">
        <v>463892</v>
      </c>
      <c r="S1565" s="108" t="b">
        <f>OR(COUNTIF(Tabla2[[#This Row],[PROVEEDOR]],"*"&amp;'Palabra no opera'!$A$2&amp;"*"))</f>
        <v>0</v>
      </c>
      <c r="T1565" s="139">
        <f>+$W$5-Tabla2[[#This Row],[FECHA DE FACTURACIÓN]]</f>
        <v>499</v>
      </c>
      <c r="U1565" t="str">
        <f>+IF(Tabla2[[#This Row],[dias de credito]]&gt;=Tabla2[[#This Row],[PLAZO Días]],"venc", "No venc")</f>
        <v>venc</v>
      </c>
      <c r="V1565" t="str">
        <f>+IF(Tabla2[[#This Row],[FECHA DE PAGO]]&gt;0,"pagada","por pagar")</f>
        <v>pagada</v>
      </c>
      <c r="W1565" s="141" t="str">
        <f>+IF(AND(Tabla2[[#This Row],[venc]]="venc",Tabla2[[#This Row],[Columna1]]="por pagar"),"vencida","no")</f>
        <v>no</v>
      </c>
    </row>
    <row r="1566" spans="1:23" ht="15.6" hidden="1" x14ac:dyDescent="0.3">
      <c r="A1566" s="20">
        <v>60</v>
      </c>
      <c r="B1566" s="25">
        <v>395600</v>
      </c>
      <c r="C1566" s="25"/>
      <c r="D1566" s="56" t="s">
        <v>1482</v>
      </c>
      <c r="E1566" s="426">
        <v>44811</v>
      </c>
      <c r="F1566" s="26" t="s">
        <v>287</v>
      </c>
      <c r="G1566" s="426">
        <v>44792</v>
      </c>
      <c r="H1566" s="35" t="s">
        <v>1059</v>
      </c>
      <c r="I1566" s="21">
        <v>946964.15</v>
      </c>
      <c r="J1566" s="21"/>
      <c r="K1566" s="22">
        <v>0</v>
      </c>
      <c r="L1566" s="23"/>
      <c r="M1566" s="22">
        <v>0</v>
      </c>
      <c r="N1566" s="74">
        <v>0</v>
      </c>
      <c r="O1566" s="22">
        <v>0</v>
      </c>
      <c r="P1566" s="21">
        <v>946964.15</v>
      </c>
      <c r="S1566" s="108" t="b">
        <f>OR(COUNTIF(Tabla2[[#This Row],[PROVEEDOR]],"*"&amp;'Palabra no opera'!$A$2&amp;"*"))</f>
        <v>0</v>
      </c>
      <c r="T1566" s="139">
        <f>+$W$5-Tabla2[[#This Row],[FECHA DE FACTURACIÓN]]</f>
        <v>499</v>
      </c>
      <c r="U1566" t="str">
        <f>+IF(Tabla2[[#This Row],[dias de credito]]&gt;=Tabla2[[#This Row],[PLAZO Días]],"venc", "No venc")</f>
        <v>venc</v>
      </c>
      <c r="V1566" t="str">
        <f>+IF(Tabla2[[#This Row],[FECHA DE PAGO]]&gt;0,"pagada","por pagar")</f>
        <v>pagada</v>
      </c>
      <c r="W1566" s="141" t="str">
        <f>+IF(AND(Tabla2[[#This Row],[venc]]="venc",Tabla2[[#This Row],[Columna1]]="por pagar"),"vencida","no")</f>
        <v>no</v>
      </c>
    </row>
    <row r="1567" spans="1:23" ht="15.6" hidden="1" x14ac:dyDescent="0.3">
      <c r="A1567" s="20">
        <v>60</v>
      </c>
      <c r="B1567" s="25">
        <v>395600</v>
      </c>
      <c r="C1567" s="25"/>
      <c r="D1567" s="56" t="s">
        <v>1482</v>
      </c>
      <c r="E1567" s="426">
        <v>44811</v>
      </c>
      <c r="F1567" s="26" t="s">
        <v>287</v>
      </c>
      <c r="G1567" s="426">
        <v>44785</v>
      </c>
      <c r="H1567" s="35" t="s">
        <v>1058</v>
      </c>
      <c r="I1567" s="21">
        <v>338998</v>
      </c>
      <c r="J1567" s="21"/>
      <c r="K1567" s="22">
        <v>0</v>
      </c>
      <c r="L1567" s="23"/>
      <c r="M1567" s="22">
        <v>0</v>
      </c>
      <c r="N1567" s="74">
        <v>0</v>
      </c>
      <c r="O1567" s="22">
        <v>0</v>
      </c>
      <c r="P1567" s="21">
        <v>338998</v>
      </c>
      <c r="S1567" s="108" t="b">
        <f>OR(COUNTIF(Tabla2[[#This Row],[PROVEEDOR]],"*"&amp;'Palabra no opera'!$A$2&amp;"*"))</f>
        <v>0</v>
      </c>
      <c r="T1567" s="139">
        <f>+$W$5-Tabla2[[#This Row],[FECHA DE FACTURACIÓN]]</f>
        <v>506</v>
      </c>
      <c r="U1567" t="str">
        <f>+IF(Tabla2[[#This Row],[dias de credito]]&gt;=Tabla2[[#This Row],[PLAZO Días]],"venc", "No venc")</f>
        <v>venc</v>
      </c>
      <c r="V1567" t="str">
        <f>+IF(Tabla2[[#This Row],[FECHA DE PAGO]]&gt;0,"pagada","por pagar")</f>
        <v>pagada</v>
      </c>
      <c r="W1567" s="141" t="str">
        <f>+IF(AND(Tabla2[[#This Row],[venc]]="venc",Tabla2[[#This Row],[Columna1]]="por pagar"),"vencida","no")</f>
        <v>no</v>
      </c>
    </row>
    <row r="1568" spans="1:23" ht="15.6" hidden="1" x14ac:dyDescent="0.3">
      <c r="A1568" s="20">
        <v>60</v>
      </c>
      <c r="B1568" s="25">
        <v>395600</v>
      </c>
      <c r="C1568" s="25"/>
      <c r="D1568" s="56" t="s">
        <v>1482</v>
      </c>
      <c r="E1568" s="426">
        <v>44811</v>
      </c>
      <c r="F1568" s="26" t="s">
        <v>287</v>
      </c>
      <c r="G1568" s="426">
        <v>44785</v>
      </c>
      <c r="H1568" s="35" t="s">
        <v>1062</v>
      </c>
      <c r="I1568" s="21">
        <v>356840</v>
      </c>
      <c r="J1568" s="21"/>
      <c r="K1568" s="22">
        <v>0</v>
      </c>
      <c r="L1568" s="23"/>
      <c r="M1568" s="22">
        <v>0</v>
      </c>
      <c r="N1568" s="74">
        <v>0</v>
      </c>
      <c r="O1568" s="22">
        <v>0</v>
      </c>
      <c r="P1568" s="21">
        <v>356840</v>
      </c>
      <c r="S1568" s="108" t="b">
        <f>OR(COUNTIF(Tabla2[[#This Row],[PROVEEDOR]],"*"&amp;'Palabra no opera'!$A$2&amp;"*"))</f>
        <v>0</v>
      </c>
      <c r="T1568" s="139">
        <f>+$W$5-Tabla2[[#This Row],[FECHA DE FACTURACIÓN]]</f>
        <v>506</v>
      </c>
      <c r="U1568" t="str">
        <f>+IF(Tabla2[[#This Row],[dias de credito]]&gt;=Tabla2[[#This Row],[PLAZO Días]],"venc", "No venc")</f>
        <v>venc</v>
      </c>
      <c r="V1568" t="str">
        <f>+IF(Tabla2[[#This Row],[FECHA DE PAGO]]&gt;0,"pagada","por pagar")</f>
        <v>pagada</v>
      </c>
      <c r="W1568" s="141" t="str">
        <f>+IF(AND(Tabla2[[#This Row],[venc]]="venc",Tabla2[[#This Row],[Columna1]]="por pagar"),"vencida","no")</f>
        <v>no</v>
      </c>
    </row>
    <row r="1569" spans="1:23" ht="15.6" hidden="1" x14ac:dyDescent="0.3">
      <c r="A1569" s="20">
        <v>60</v>
      </c>
      <c r="B1569" s="25">
        <v>395600</v>
      </c>
      <c r="C1569" s="25"/>
      <c r="D1569" s="56" t="s">
        <v>1482</v>
      </c>
      <c r="E1569" s="426">
        <v>44811</v>
      </c>
      <c r="F1569" s="26" t="s">
        <v>287</v>
      </c>
      <c r="G1569" s="426">
        <v>44757</v>
      </c>
      <c r="H1569" s="35" t="s">
        <v>1055</v>
      </c>
      <c r="I1569" s="21">
        <v>321156</v>
      </c>
      <c r="J1569" s="21"/>
      <c r="K1569" s="22">
        <v>0</v>
      </c>
      <c r="L1569" s="23"/>
      <c r="M1569" s="22">
        <v>0</v>
      </c>
      <c r="N1569" s="74">
        <v>0</v>
      </c>
      <c r="O1569" s="22">
        <v>0</v>
      </c>
      <c r="P1569" s="21">
        <v>321156</v>
      </c>
      <c r="S1569" s="108" t="b">
        <f>OR(COUNTIF(Tabla2[[#This Row],[PROVEEDOR]],"*"&amp;'Palabra no opera'!$A$2&amp;"*"))</f>
        <v>0</v>
      </c>
      <c r="T1569" s="139">
        <f>+$W$5-Tabla2[[#This Row],[FECHA DE FACTURACIÓN]]</f>
        <v>534</v>
      </c>
      <c r="U1569" t="str">
        <f>+IF(Tabla2[[#This Row],[dias de credito]]&gt;=Tabla2[[#This Row],[PLAZO Días]],"venc", "No venc")</f>
        <v>venc</v>
      </c>
      <c r="V1569" t="str">
        <f>+IF(Tabla2[[#This Row],[FECHA DE PAGO]]&gt;0,"pagada","por pagar")</f>
        <v>pagada</v>
      </c>
      <c r="W1569" s="141" t="str">
        <f>+IF(AND(Tabla2[[#This Row],[venc]]="venc",Tabla2[[#This Row],[Columna1]]="por pagar"),"vencida","no")</f>
        <v>no</v>
      </c>
    </row>
    <row r="1570" spans="1:23" ht="15.6" hidden="1" x14ac:dyDescent="0.3">
      <c r="A1570" s="20">
        <v>60</v>
      </c>
      <c r="B1570" s="25">
        <v>395600</v>
      </c>
      <c r="C1570" s="25"/>
      <c r="D1570" s="56" t="s">
        <v>1482</v>
      </c>
      <c r="E1570" s="426">
        <v>44811</v>
      </c>
      <c r="F1570" s="26" t="s">
        <v>287</v>
      </c>
      <c r="G1570" s="426">
        <v>44757</v>
      </c>
      <c r="H1570" s="35" t="s">
        <v>1049</v>
      </c>
      <c r="I1570" s="21">
        <v>428208</v>
      </c>
      <c r="J1570" s="21"/>
      <c r="K1570" s="22">
        <v>0</v>
      </c>
      <c r="L1570" s="23"/>
      <c r="M1570" s="22">
        <v>0</v>
      </c>
      <c r="N1570" s="74">
        <v>0</v>
      </c>
      <c r="O1570" s="22">
        <v>0</v>
      </c>
      <c r="P1570" s="21">
        <v>428208</v>
      </c>
      <c r="S1570" s="108" t="b">
        <f>OR(COUNTIF(Tabla2[[#This Row],[PROVEEDOR]],"*"&amp;'Palabra no opera'!$A$2&amp;"*"))</f>
        <v>0</v>
      </c>
      <c r="T1570" s="139">
        <f>+$W$5-Tabla2[[#This Row],[FECHA DE FACTURACIÓN]]</f>
        <v>534</v>
      </c>
      <c r="U1570" t="str">
        <f>+IF(Tabla2[[#This Row],[dias de credito]]&gt;=Tabla2[[#This Row],[PLAZO Días]],"venc", "No venc")</f>
        <v>venc</v>
      </c>
      <c r="V1570" t="str">
        <f>+IF(Tabla2[[#This Row],[FECHA DE PAGO]]&gt;0,"pagada","por pagar")</f>
        <v>pagada</v>
      </c>
      <c r="W1570" s="141" t="str">
        <f>+IF(AND(Tabla2[[#This Row],[venc]]="venc",Tabla2[[#This Row],[Columna1]]="por pagar"),"vencida","no")</f>
        <v>no</v>
      </c>
    </row>
    <row r="1571" spans="1:23" ht="15.6" hidden="1" x14ac:dyDescent="0.3">
      <c r="A1571" s="20">
        <v>45</v>
      </c>
      <c r="B1571" s="25">
        <v>15770594</v>
      </c>
      <c r="C1571" s="25"/>
      <c r="D1571" s="56" t="s">
        <v>594</v>
      </c>
      <c r="E1571" s="426">
        <v>44810</v>
      </c>
      <c r="F1571" s="26" t="s">
        <v>19</v>
      </c>
      <c r="G1571" s="426">
        <v>44757</v>
      </c>
      <c r="H1571" s="35" t="s">
        <v>849</v>
      </c>
      <c r="I1571" s="21">
        <v>10739200</v>
      </c>
      <c r="J1571" s="21"/>
      <c r="K1571" s="22">
        <v>2040448</v>
      </c>
      <c r="L1571" s="23"/>
      <c r="M1571" s="22">
        <v>0</v>
      </c>
      <c r="N1571" s="74">
        <v>0</v>
      </c>
      <c r="O1571" s="22">
        <v>0</v>
      </c>
      <c r="P1571" s="21">
        <v>12779648</v>
      </c>
      <c r="S1571" s="108" t="b">
        <f>OR(COUNTIF(Tabla2[[#This Row],[PROVEEDOR]],"*"&amp;'Palabra no opera'!$A$2&amp;"*"))</f>
        <v>0</v>
      </c>
      <c r="T1571" s="139">
        <f>+$W$5-Tabla2[[#This Row],[FECHA DE FACTURACIÓN]]</f>
        <v>534</v>
      </c>
      <c r="U1571" t="str">
        <f>+IF(Tabla2[[#This Row],[dias de credito]]&gt;=Tabla2[[#This Row],[PLAZO Días]],"venc", "No venc")</f>
        <v>venc</v>
      </c>
      <c r="V1571" t="str">
        <f>+IF(Tabla2[[#This Row],[FECHA DE PAGO]]&gt;0,"pagada","por pagar")</f>
        <v>pagada</v>
      </c>
      <c r="W1571" s="141" t="str">
        <f>+IF(AND(Tabla2[[#This Row],[venc]]="venc",Tabla2[[#This Row],[Columna1]]="por pagar"),"vencida","no")</f>
        <v>no</v>
      </c>
    </row>
    <row r="1572" spans="1:23" ht="15.6" hidden="1" x14ac:dyDescent="0.3">
      <c r="A1572" s="20">
        <v>10</v>
      </c>
      <c r="B1572" s="25">
        <v>0</v>
      </c>
      <c r="C1572" s="25"/>
      <c r="D1572" s="56" t="s">
        <v>1073</v>
      </c>
      <c r="E1572" s="426">
        <v>44809</v>
      </c>
      <c r="F1572" s="26" t="s">
        <v>1072</v>
      </c>
      <c r="G1572" s="426">
        <v>44805</v>
      </c>
      <c r="H1572" s="35" t="s">
        <v>1074</v>
      </c>
      <c r="I1572" s="21">
        <v>10543092</v>
      </c>
      <c r="J1572" s="21"/>
      <c r="K1572" s="22">
        <v>0</v>
      </c>
      <c r="L1572" s="23"/>
      <c r="M1572" s="22">
        <v>0</v>
      </c>
      <c r="N1572" s="74">
        <v>0</v>
      </c>
      <c r="O1572" s="22">
        <v>0</v>
      </c>
      <c r="P1572" s="21">
        <v>10543092</v>
      </c>
      <c r="S1572" s="108" t="b">
        <f>OR(COUNTIF(Tabla2[[#This Row],[PROVEEDOR]],"*"&amp;'Palabra no opera'!$A$2&amp;"*"))</f>
        <v>0</v>
      </c>
      <c r="T1572" s="139">
        <f>+$W$5-Tabla2[[#This Row],[FECHA DE FACTURACIÓN]]</f>
        <v>486</v>
      </c>
      <c r="U1572" t="str">
        <f>+IF(Tabla2[[#This Row],[dias de credito]]&gt;=Tabla2[[#This Row],[PLAZO Días]],"venc", "No venc")</f>
        <v>venc</v>
      </c>
      <c r="V1572" t="str">
        <f>+IF(Tabla2[[#This Row],[FECHA DE PAGO]]&gt;0,"pagada","por pagar")</f>
        <v>pagada</v>
      </c>
      <c r="W1572" s="141" t="str">
        <f>+IF(AND(Tabla2[[#This Row],[venc]]="venc",Tabla2[[#This Row],[Columna1]]="por pagar"),"vencida","no")</f>
        <v>no</v>
      </c>
    </row>
    <row r="1573" spans="1:23" ht="15.6" hidden="1" x14ac:dyDescent="0.3">
      <c r="A1573" s="20">
        <v>30</v>
      </c>
      <c r="B1573" s="25">
        <v>0</v>
      </c>
      <c r="C1573" s="25"/>
      <c r="D1573" s="56" t="s">
        <v>107</v>
      </c>
      <c r="E1573" s="426">
        <v>44809</v>
      </c>
      <c r="F1573" s="26" t="s">
        <v>401</v>
      </c>
      <c r="G1573" s="426">
        <v>44782</v>
      </c>
      <c r="H1573" s="35" t="s">
        <v>944</v>
      </c>
      <c r="I1573" s="21">
        <v>696250</v>
      </c>
      <c r="J1573" s="21"/>
      <c r="K1573" s="22">
        <v>0</v>
      </c>
      <c r="L1573" s="23"/>
      <c r="M1573" s="22">
        <v>0</v>
      </c>
      <c r="N1573" s="74">
        <v>0</v>
      </c>
      <c r="O1573" s="22">
        <v>0</v>
      </c>
      <c r="P1573" s="21">
        <v>696250</v>
      </c>
      <c r="S1573" s="108" t="b">
        <f>OR(COUNTIF(Tabla2[[#This Row],[PROVEEDOR]],"*"&amp;'Palabra no opera'!$A$2&amp;"*"))</f>
        <v>0</v>
      </c>
      <c r="T1573" s="139">
        <f>+$W$5-Tabla2[[#This Row],[FECHA DE FACTURACIÓN]]</f>
        <v>509</v>
      </c>
      <c r="U1573" t="str">
        <f>+IF(Tabla2[[#This Row],[dias de credito]]&gt;=Tabla2[[#This Row],[PLAZO Días]],"venc", "No venc")</f>
        <v>venc</v>
      </c>
      <c r="V1573" t="str">
        <f>+IF(Tabla2[[#This Row],[FECHA DE PAGO]]&gt;0,"pagada","por pagar")</f>
        <v>pagada</v>
      </c>
      <c r="W1573" s="141" t="str">
        <f>+IF(AND(Tabla2[[#This Row],[venc]]="venc",Tabla2[[#This Row],[Columna1]]="por pagar"),"vencida","no")</f>
        <v>no</v>
      </c>
    </row>
    <row r="1574" spans="1:23" ht="15.6" hidden="1" x14ac:dyDescent="0.3">
      <c r="A1574" s="20">
        <v>30</v>
      </c>
      <c r="B1574" s="25">
        <v>0</v>
      </c>
      <c r="C1574" s="25"/>
      <c r="D1574" s="56">
        <v>0</v>
      </c>
      <c r="E1574" s="426">
        <v>44809</v>
      </c>
      <c r="F1574" s="26" t="s">
        <v>642</v>
      </c>
      <c r="G1574" s="426">
        <v>44774</v>
      </c>
      <c r="H1574" s="35" t="s">
        <v>919</v>
      </c>
      <c r="I1574" s="21">
        <v>100196</v>
      </c>
      <c r="J1574" s="21"/>
      <c r="K1574" s="22">
        <v>0</v>
      </c>
      <c r="L1574" s="23"/>
      <c r="M1574" s="22">
        <v>0</v>
      </c>
      <c r="N1574" s="74">
        <v>0</v>
      </c>
      <c r="O1574" s="22">
        <v>0</v>
      </c>
      <c r="P1574" s="21">
        <v>100196</v>
      </c>
      <c r="S1574" s="108" t="b">
        <f>OR(COUNTIF(Tabla2[[#This Row],[PROVEEDOR]],"*"&amp;'Palabra no opera'!$A$2&amp;"*"))</f>
        <v>1</v>
      </c>
      <c r="T1574" s="139">
        <f>+$W$5-Tabla2[[#This Row],[FECHA DE FACTURACIÓN]]</f>
        <v>517</v>
      </c>
      <c r="U1574" t="str">
        <f>+IF(Tabla2[[#This Row],[dias de credito]]&gt;=Tabla2[[#This Row],[PLAZO Días]],"venc", "No venc")</f>
        <v>venc</v>
      </c>
      <c r="V1574" t="str">
        <f>+IF(Tabla2[[#This Row],[FECHA DE PAGO]]&gt;0,"pagada","por pagar")</f>
        <v>pagada</v>
      </c>
      <c r="W1574" s="141" t="str">
        <f>+IF(AND(Tabla2[[#This Row],[venc]]="venc",Tabla2[[#This Row],[Columna1]]="por pagar"),"vencida","no")</f>
        <v>no</v>
      </c>
    </row>
    <row r="1575" spans="1:23" ht="15.6" hidden="1" x14ac:dyDescent="0.3">
      <c r="A1575" s="20">
        <v>30</v>
      </c>
      <c r="B1575" s="25">
        <v>0</v>
      </c>
      <c r="C1575" s="25"/>
      <c r="D1575" s="56" t="s">
        <v>107</v>
      </c>
      <c r="E1575" s="426">
        <v>44806</v>
      </c>
      <c r="F1575" s="26" t="s">
        <v>362</v>
      </c>
      <c r="G1575" s="426">
        <v>44805</v>
      </c>
      <c r="H1575" s="35" t="s">
        <v>1128</v>
      </c>
      <c r="I1575" s="21">
        <v>250000</v>
      </c>
      <c r="J1575" s="21"/>
      <c r="K1575" s="22">
        <v>0</v>
      </c>
      <c r="L1575" s="23"/>
      <c r="M1575" s="22">
        <v>0</v>
      </c>
      <c r="N1575" s="74">
        <v>0</v>
      </c>
      <c r="O1575" s="22">
        <v>0</v>
      </c>
      <c r="P1575" s="21">
        <v>250000</v>
      </c>
      <c r="S1575" s="108" t="b">
        <f>OR(COUNTIF(Tabla2[[#This Row],[PROVEEDOR]],"*"&amp;'Palabra no opera'!$A$2&amp;"*"))</f>
        <v>0</v>
      </c>
      <c r="T1575" s="139">
        <f>+$W$5-Tabla2[[#This Row],[FECHA DE FACTURACIÓN]]</f>
        <v>486</v>
      </c>
      <c r="U1575" t="str">
        <f>+IF(Tabla2[[#This Row],[dias de credito]]&gt;=Tabla2[[#This Row],[PLAZO Días]],"venc", "No venc")</f>
        <v>venc</v>
      </c>
      <c r="V1575" t="str">
        <f>+IF(Tabla2[[#This Row],[FECHA DE PAGO]]&gt;0,"pagada","por pagar")</f>
        <v>pagada</v>
      </c>
      <c r="W1575" s="141" t="str">
        <f>+IF(AND(Tabla2[[#This Row],[venc]]="venc",Tabla2[[#This Row],[Columna1]]="por pagar"),"vencida","no")</f>
        <v>no</v>
      </c>
    </row>
    <row r="1576" spans="1:23" ht="15.6" hidden="1" x14ac:dyDescent="0.3">
      <c r="A1576" s="20">
        <v>30</v>
      </c>
      <c r="B1576" s="25">
        <v>0</v>
      </c>
      <c r="C1576" s="25"/>
      <c r="D1576" s="56" t="s">
        <v>107</v>
      </c>
      <c r="E1576" s="426">
        <v>44806</v>
      </c>
      <c r="F1576" s="26" t="s">
        <v>53</v>
      </c>
      <c r="G1576" s="426">
        <v>44805</v>
      </c>
      <c r="H1576" s="35">
        <v>293703</v>
      </c>
      <c r="I1576" s="21">
        <v>1458000</v>
      </c>
      <c r="J1576" s="21"/>
      <c r="K1576" s="22">
        <v>0</v>
      </c>
      <c r="L1576" s="23"/>
      <c r="M1576" s="22">
        <v>0</v>
      </c>
      <c r="N1576" s="74">
        <v>0</v>
      </c>
      <c r="O1576" s="22">
        <v>0</v>
      </c>
      <c r="P1576" s="21">
        <v>1458000</v>
      </c>
      <c r="S1576" s="108" t="b">
        <f>OR(COUNTIF(Tabla2[[#This Row],[PROVEEDOR]],"*"&amp;'Palabra no opera'!$A$2&amp;"*"))</f>
        <v>0</v>
      </c>
      <c r="T1576" s="139">
        <f>+$W$5-Tabla2[[#This Row],[FECHA DE FACTURACIÓN]]</f>
        <v>486</v>
      </c>
      <c r="U1576" t="str">
        <f>+IF(Tabla2[[#This Row],[dias de credito]]&gt;=Tabla2[[#This Row],[PLAZO Días]],"venc", "No venc")</f>
        <v>venc</v>
      </c>
      <c r="V1576" t="str">
        <f>+IF(Tabla2[[#This Row],[FECHA DE PAGO]]&gt;0,"pagada","por pagar")</f>
        <v>pagada</v>
      </c>
      <c r="W1576" s="141" t="str">
        <f>+IF(AND(Tabla2[[#This Row],[venc]]="venc",Tabla2[[#This Row],[Columna1]]="por pagar"),"vencida","no")</f>
        <v>no</v>
      </c>
    </row>
    <row r="1577" spans="1:23" ht="15.6" hidden="1" x14ac:dyDescent="0.3">
      <c r="A1577" s="20">
        <v>30</v>
      </c>
      <c r="B1577" s="25">
        <v>0</v>
      </c>
      <c r="C1577" s="25"/>
      <c r="D1577" s="56" t="s">
        <v>107</v>
      </c>
      <c r="E1577" s="426">
        <v>44806</v>
      </c>
      <c r="F1577" s="26" t="s">
        <v>53</v>
      </c>
      <c r="G1577" s="426">
        <v>44805</v>
      </c>
      <c r="H1577" s="35">
        <v>293703</v>
      </c>
      <c r="I1577" s="21">
        <v>2055000</v>
      </c>
      <c r="J1577" s="21"/>
      <c r="K1577" s="22">
        <v>0</v>
      </c>
      <c r="L1577" s="23"/>
      <c r="M1577" s="22">
        <v>0</v>
      </c>
      <c r="N1577" s="74">
        <v>0</v>
      </c>
      <c r="O1577" s="22">
        <v>0</v>
      </c>
      <c r="P1577" s="21">
        <v>2055000</v>
      </c>
      <c r="S1577" s="108" t="b">
        <f>OR(COUNTIF(Tabla2[[#This Row],[PROVEEDOR]],"*"&amp;'Palabra no opera'!$A$2&amp;"*"))</f>
        <v>0</v>
      </c>
      <c r="T1577" s="139">
        <f>+$W$5-Tabla2[[#This Row],[FECHA DE FACTURACIÓN]]</f>
        <v>486</v>
      </c>
      <c r="U1577" t="str">
        <f>+IF(Tabla2[[#This Row],[dias de credito]]&gt;=Tabla2[[#This Row],[PLAZO Días]],"venc", "No venc")</f>
        <v>venc</v>
      </c>
      <c r="V1577" t="str">
        <f>+IF(Tabla2[[#This Row],[FECHA DE PAGO]]&gt;0,"pagada","por pagar")</f>
        <v>pagada</v>
      </c>
      <c r="W1577" s="141" t="str">
        <f>+IF(AND(Tabla2[[#This Row],[venc]]="venc",Tabla2[[#This Row],[Columna1]]="por pagar"),"vencida","no")</f>
        <v>no</v>
      </c>
    </row>
    <row r="1578" spans="1:23" ht="15.6" hidden="1" x14ac:dyDescent="0.3">
      <c r="A1578" s="20">
        <v>30</v>
      </c>
      <c r="B1578" s="25">
        <v>-139600.09</v>
      </c>
      <c r="C1578" s="25"/>
      <c r="D1578" s="56" t="s">
        <v>728</v>
      </c>
      <c r="E1578" s="426">
        <v>44806</v>
      </c>
      <c r="F1578" s="26" t="s">
        <v>32</v>
      </c>
      <c r="G1578" s="426">
        <v>44786</v>
      </c>
      <c r="H1578" s="35" t="s">
        <v>936</v>
      </c>
      <c r="I1578" s="21">
        <v>209243.7</v>
      </c>
      <c r="J1578" s="21"/>
      <c r="K1578" s="22">
        <v>39756.303</v>
      </c>
      <c r="L1578" s="23"/>
      <c r="M1578" s="22">
        <v>0</v>
      </c>
      <c r="N1578" s="74">
        <v>0</v>
      </c>
      <c r="O1578" s="22">
        <v>0</v>
      </c>
      <c r="P1578" s="21">
        <v>249000.00300000003</v>
      </c>
      <c r="S1578" s="108" t="b">
        <f>OR(COUNTIF(Tabla2[[#This Row],[PROVEEDOR]],"*"&amp;'Palabra no opera'!$A$2&amp;"*"))</f>
        <v>0</v>
      </c>
      <c r="T1578" s="139">
        <f>+$W$5-Tabla2[[#This Row],[FECHA DE FACTURACIÓN]]</f>
        <v>505</v>
      </c>
      <c r="U1578" t="str">
        <f>+IF(Tabla2[[#This Row],[dias de credito]]&gt;=Tabla2[[#This Row],[PLAZO Días]],"venc", "No venc")</f>
        <v>venc</v>
      </c>
      <c r="V1578" t="str">
        <f>+IF(Tabla2[[#This Row],[FECHA DE PAGO]]&gt;0,"pagada","por pagar")</f>
        <v>pagada</v>
      </c>
      <c r="W1578" s="141" t="str">
        <f>+IF(AND(Tabla2[[#This Row],[venc]]="venc",Tabla2[[#This Row],[Columna1]]="por pagar"),"vencida","no")</f>
        <v>no</v>
      </c>
    </row>
    <row r="1579" spans="1:23" ht="15.6" hidden="1" x14ac:dyDescent="0.3">
      <c r="A1579" s="20">
        <v>30</v>
      </c>
      <c r="B1579" s="25">
        <v>0</v>
      </c>
      <c r="C1579" s="25"/>
      <c r="D1579" s="56" t="s">
        <v>190</v>
      </c>
      <c r="E1579" s="426">
        <v>44806</v>
      </c>
      <c r="F1579" s="26" t="s">
        <v>964</v>
      </c>
      <c r="G1579" s="426">
        <v>44770</v>
      </c>
      <c r="H1579" s="35">
        <v>33833</v>
      </c>
      <c r="I1579" s="21">
        <v>4800000</v>
      </c>
      <c r="J1579" s="21"/>
      <c r="K1579" s="22">
        <v>912000</v>
      </c>
      <c r="L1579" s="23"/>
      <c r="M1579" s="22">
        <v>0</v>
      </c>
      <c r="N1579" s="74">
        <v>2.5000000000000001E-2</v>
      </c>
      <c r="O1579" s="22">
        <v>120000</v>
      </c>
      <c r="P1579" s="21">
        <v>5592000</v>
      </c>
      <c r="S1579" s="108" t="b">
        <f>OR(COUNTIF(Tabla2[[#This Row],[PROVEEDOR]],"*"&amp;'Palabra no opera'!$A$2&amp;"*"))</f>
        <v>0</v>
      </c>
      <c r="T1579" s="139">
        <f>+$W$5-Tabla2[[#This Row],[FECHA DE FACTURACIÓN]]</f>
        <v>521</v>
      </c>
      <c r="U1579" t="str">
        <f>+IF(Tabla2[[#This Row],[dias de credito]]&gt;=Tabla2[[#This Row],[PLAZO Días]],"venc", "No venc")</f>
        <v>venc</v>
      </c>
      <c r="V1579" t="str">
        <f>+IF(Tabla2[[#This Row],[FECHA DE PAGO]]&gt;0,"pagada","por pagar")</f>
        <v>pagada</v>
      </c>
      <c r="W1579" s="141" t="str">
        <f>+IF(AND(Tabla2[[#This Row],[venc]]="venc",Tabla2[[#This Row],[Columna1]]="por pagar"),"vencida","no")</f>
        <v>no</v>
      </c>
    </row>
    <row r="1580" spans="1:23" ht="15.6" hidden="1" x14ac:dyDescent="0.3">
      <c r="A1580" s="20">
        <v>30</v>
      </c>
      <c r="B1580" s="25">
        <v>0</v>
      </c>
      <c r="C1580" s="25"/>
      <c r="D1580" s="56" t="s">
        <v>190</v>
      </c>
      <c r="E1580" s="426">
        <v>44806</v>
      </c>
      <c r="F1580" s="26" t="s">
        <v>964</v>
      </c>
      <c r="G1580" s="426">
        <v>44765</v>
      </c>
      <c r="H1580" s="35">
        <v>33651</v>
      </c>
      <c r="I1580" s="21">
        <v>1227600</v>
      </c>
      <c r="J1580" s="21"/>
      <c r="K1580" s="22">
        <v>233244</v>
      </c>
      <c r="L1580" s="23"/>
      <c r="M1580" s="22">
        <v>0</v>
      </c>
      <c r="N1580" s="74">
        <v>2.5000000000000001E-2</v>
      </c>
      <c r="O1580" s="22">
        <v>30690</v>
      </c>
      <c r="P1580" s="21">
        <v>1430154</v>
      </c>
      <c r="S1580" s="108" t="b">
        <f>OR(COUNTIF(Tabla2[[#This Row],[PROVEEDOR]],"*"&amp;'Palabra no opera'!$A$2&amp;"*"))</f>
        <v>0</v>
      </c>
      <c r="T1580" s="139">
        <f>+$W$5-Tabla2[[#This Row],[FECHA DE FACTURACIÓN]]</f>
        <v>526</v>
      </c>
      <c r="U1580" t="str">
        <f>+IF(Tabla2[[#This Row],[dias de credito]]&gt;=Tabla2[[#This Row],[PLAZO Días]],"venc", "No venc")</f>
        <v>venc</v>
      </c>
      <c r="V1580" t="str">
        <f>+IF(Tabla2[[#This Row],[FECHA DE PAGO]]&gt;0,"pagada","por pagar")</f>
        <v>pagada</v>
      </c>
      <c r="W1580" s="141" t="str">
        <f>+IF(AND(Tabla2[[#This Row],[venc]]="venc",Tabla2[[#This Row],[Columna1]]="por pagar"),"vencida","no")</f>
        <v>no</v>
      </c>
    </row>
    <row r="1581" spans="1:23" ht="15.6" hidden="1" x14ac:dyDescent="0.3">
      <c r="A1581" s="20">
        <v>30</v>
      </c>
      <c r="B1581" s="25">
        <v>18444236.894999996</v>
      </c>
      <c r="C1581" s="25"/>
      <c r="D1581" s="56" t="s">
        <v>731</v>
      </c>
      <c r="E1581" s="426">
        <v>44806</v>
      </c>
      <c r="F1581" s="26" t="s">
        <v>11</v>
      </c>
      <c r="G1581" s="426">
        <v>44760</v>
      </c>
      <c r="H1581" s="35" t="s">
        <v>845</v>
      </c>
      <c r="I1581" s="21">
        <v>3960000</v>
      </c>
      <c r="J1581" s="21"/>
      <c r="K1581" s="22">
        <v>752400</v>
      </c>
      <c r="L1581" s="23"/>
      <c r="M1581" s="22">
        <v>0</v>
      </c>
      <c r="N1581" s="74">
        <v>2.5000000000000001E-2</v>
      </c>
      <c r="O1581" s="22">
        <v>99000</v>
      </c>
      <c r="P1581" s="21">
        <v>4613400</v>
      </c>
      <c r="S1581" s="108" t="b">
        <f>OR(COUNTIF(Tabla2[[#This Row],[PROVEEDOR]],"*"&amp;'Palabra no opera'!$A$2&amp;"*"))</f>
        <v>0</v>
      </c>
      <c r="T1581" s="139">
        <f>+$W$5-Tabla2[[#This Row],[FECHA DE FACTURACIÓN]]</f>
        <v>531</v>
      </c>
      <c r="U1581" t="str">
        <f>+IF(Tabla2[[#This Row],[dias de credito]]&gt;=Tabla2[[#This Row],[PLAZO Días]],"venc", "No venc")</f>
        <v>venc</v>
      </c>
      <c r="V1581" t="str">
        <f>+IF(Tabla2[[#This Row],[FECHA DE PAGO]]&gt;0,"pagada","por pagar")</f>
        <v>pagada</v>
      </c>
      <c r="W1581" s="141" t="str">
        <f>+IF(AND(Tabla2[[#This Row],[venc]]="venc",Tabla2[[#This Row],[Columna1]]="por pagar"),"vencida","no")</f>
        <v>no</v>
      </c>
    </row>
    <row r="1582" spans="1:23" ht="15.6" hidden="1" x14ac:dyDescent="0.3">
      <c r="A1582" s="20">
        <v>45</v>
      </c>
      <c r="B1582" s="25">
        <v>8072960</v>
      </c>
      <c r="C1582" s="25"/>
      <c r="D1582" s="56" t="s">
        <v>198</v>
      </c>
      <c r="E1582" s="426">
        <v>44806</v>
      </c>
      <c r="F1582" s="26" t="s">
        <v>10</v>
      </c>
      <c r="G1582" s="426">
        <v>44755</v>
      </c>
      <c r="H1582" s="35" t="s">
        <v>825</v>
      </c>
      <c r="I1582" s="21">
        <v>1980000</v>
      </c>
      <c r="J1582" s="21"/>
      <c r="K1582" s="22">
        <v>376200</v>
      </c>
      <c r="L1582" s="23"/>
      <c r="M1582" s="22">
        <v>0</v>
      </c>
      <c r="N1582" s="74">
        <v>0</v>
      </c>
      <c r="O1582" s="22">
        <v>0</v>
      </c>
      <c r="P1582" s="21">
        <v>2356200</v>
      </c>
      <c r="S1582" s="108" t="b">
        <f>OR(COUNTIF(Tabla2[[#This Row],[PROVEEDOR]],"*"&amp;'Palabra no opera'!$A$2&amp;"*"))</f>
        <v>0</v>
      </c>
      <c r="T1582" s="139">
        <f>+$W$5-Tabla2[[#This Row],[FECHA DE FACTURACIÓN]]</f>
        <v>536</v>
      </c>
      <c r="U1582" t="str">
        <f>+IF(Tabla2[[#This Row],[dias de credito]]&gt;=Tabla2[[#This Row],[PLAZO Días]],"venc", "No venc")</f>
        <v>venc</v>
      </c>
      <c r="V1582" t="str">
        <f>+IF(Tabla2[[#This Row],[FECHA DE PAGO]]&gt;0,"pagada","por pagar")</f>
        <v>pagada</v>
      </c>
      <c r="W1582" s="141" t="str">
        <f>+IF(AND(Tabla2[[#This Row],[venc]]="venc",Tabla2[[#This Row],[Columna1]]="por pagar"),"vencida","no")</f>
        <v>no</v>
      </c>
    </row>
    <row r="1583" spans="1:23" ht="15.6" hidden="1" x14ac:dyDescent="0.3">
      <c r="A1583" s="20">
        <v>30</v>
      </c>
      <c r="B1583" s="25">
        <v>10321993.199999999</v>
      </c>
      <c r="C1583" s="25"/>
      <c r="D1583" s="56" t="s">
        <v>189</v>
      </c>
      <c r="E1583" s="426">
        <v>44806</v>
      </c>
      <c r="F1583" s="26" t="s">
        <v>1068</v>
      </c>
      <c r="G1583" s="426">
        <v>44751</v>
      </c>
      <c r="H1583" s="35">
        <v>26516</v>
      </c>
      <c r="I1583" s="21">
        <v>5185620</v>
      </c>
      <c r="J1583" s="21">
        <v>471420</v>
      </c>
      <c r="K1583" s="22">
        <v>895698</v>
      </c>
      <c r="L1583" s="23"/>
      <c r="M1583" s="22">
        <v>0</v>
      </c>
      <c r="N1583" s="74">
        <v>2.5000000000000001E-2</v>
      </c>
      <c r="O1583" s="22">
        <v>117855</v>
      </c>
      <c r="P1583" s="21">
        <v>5492043</v>
      </c>
      <c r="S1583" s="108" t="b">
        <f>OR(COUNTIF(Tabla2[[#This Row],[PROVEEDOR]],"*"&amp;'Palabra no opera'!$A$2&amp;"*"))</f>
        <v>0</v>
      </c>
      <c r="T1583" s="139">
        <f>+$W$5-Tabla2[[#This Row],[FECHA DE FACTURACIÓN]]</f>
        <v>540</v>
      </c>
      <c r="U1583" t="str">
        <f>+IF(Tabla2[[#This Row],[dias de credito]]&gt;=Tabla2[[#This Row],[PLAZO Días]],"venc", "No venc")</f>
        <v>venc</v>
      </c>
      <c r="V1583" t="str">
        <f>+IF(Tabla2[[#This Row],[FECHA DE PAGO]]&gt;0,"pagada","por pagar")</f>
        <v>pagada</v>
      </c>
      <c r="W1583" s="141" t="str">
        <f>+IF(AND(Tabla2[[#This Row],[venc]]="venc",Tabla2[[#This Row],[Columna1]]="por pagar"),"vencida","no")</f>
        <v>no</v>
      </c>
    </row>
    <row r="1584" spans="1:23" ht="15.6" hidden="1" x14ac:dyDescent="0.3">
      <c r="A1584" s="20">
        <v>30</v>
      </c>
      <c r="B1584" s="25">
        <v>0</v>
      </c>
      <c r="C1584" s="25"/>
      <c r="D1584" s="56" t="s">
        <v>296</v>
      </c>
      <c r="E1584" s="426">
        <v>44806</v>
      </c>
      <c r="F1584" s="26" t="s">
        <v>281</v>
      </c>
      <c r="G1584" s="426">
        <v>44748</v>
      </c>
      <c r="H1584" s="35" t="s">
        <v>826</v>
      </c>
      <c r="I1584" s="21">
        <v>2616000</v>
      </c>
      <c r="J1584" s="21"/>
      <c r="K1584" s="22">
        <v>130800</v>
      </c>
      <c r="L1584" s="23"/>
      <c r="M1584" s="22">
        <v>0</v>
      </c>
      <c r="N1584" s="74">
        <v>0</v>
      </c>
      <c r="O1584" s="22">
        <v>0</v>
      </c>
      <c r="P1584" s="21">
        <v>2746800</v>
      </c>
      <c r="S1584" s="108" t="b">
        <f>OR(COUNTIF(Tabla2[[#This Row],[PROVEEDOR]],"*"&amp;'Palabra no opera'!$A$2&amp;"*"))</f>
        <v>0</v>
      </c>
      <c r="T1584" s="139">
        <f>+$W$5-Tabla2[[#This Row],[FECHA DE FACTURACIÓN]]</f>
        <v>543</v>
      </c>
      <c r="U1584" t="str">
        <f>+IF(Tabla2[[#This Row],[dias de credito]]&gt;=Tabla2[[#This Row],[PLAZO Días]],"venc", "No venc")</f>
        <v>venc</v>
      </c>
      <c r="V1584" t="str">
        <f>+IF(Tabla2[[#This Row],[FECHA DE PAGO]]&gt;0,"pagada","por pagar")</f>
        <v>pagada</v>
      </c>
      <c r="W1584" s="141" t="str">
        <f>+IF(AND(Tabla2[[#This Row],[venc]]="venc",Tabla2[[#This Row],[Columna1]]="por pagar"),"vencida","no")</f>
        <v>no</v>
      </c>
    </row>
    <row r="1585" spans="1:23" ht="15.6" hidden="1" x14ac:dyDescent="0.3">
      <c r="A1585" s="20">
        <v>45</v>
      </c>
      <c r="B1585" s="25">
        <v>8072960</v>
      </c>
      <c r="C1585" s="25"/>
      <c r="D1585" s="56" t="s">
        <v>198</v>
      </c>
      <c r="E1585" s="426">
        <v>44806</v>
      </c>
      <c r="F1585" s="26" t="s">
        <v>10</v>
      </c>
      <c r="G1585" s="426">
        <v>44741</v>
      </c>
      <c r="H1585" s="35" t="s">
        <v>793</v>
      </c>
      <c r="I1585" s="21">
        <v>85714.2</v>
      </c>
      <c r="J1585" s="21"/>
      <c r="K1585" s="22">
        <v>16285.698</v>
      </c>
      <c r="L1585" s="23"/>
      <c r="M1585" s="22">
        <v>0</v>
      </c>
      <c r="N1585" s="74">
        <v>0</v>
      </c>
      <c r="O1585" s="22">
        <v>0</v>
      </c>
      <c r="P1585" s="21">
        <v>101999.898</v>
      </c>
      <c r="S1585" s="108" t="b">
        <f>OR(COUNTIF(Tabla2[[#This Row],[PROVEEDOR]],"*"&amp;'Palabra no opera'!$A$2&amp;"*"))</f>
        <v>0</v>
      </c>
      <c r="T1585" s="139">
        <f>+$W$5-Tabla2[[#This Row],[FECHA DE FACTURACIÓN]]</f>
        <v>550</v>
      </c>
      <c r="U1585" t="str">
        <f>+IF(Tabla2[[#This Row],[dias de credito]]&gt;=Tabla2[[#This Row],[PLAZO Días]],"venc", "No venc")</f>
        <v>venc</v>
      </c>
      <c r="V1585" t="str">
        <f>+IF(Tabla2[[#This Row],[FECHA DE PAGO]]&gt;0,"pagada","por pagar")</f>
        <v>pagada</v>
      </c>
      <c r="W1585" s="141" t="str">
        <f>+IF(AND(Tabla2[[#This Row],[venc]]="venc",Tabla2[[#This Row],[Columna1]]="por pagar"),"vencida","no")</f>
        <v>no</v>
      </c>
    </row>
    <row r="1586" spans="1:23" ht="15.6" hidden="1" x14ac:dyDescent="0.3">
      <c r="A1586" s="20">
        <v>45</v>
      </c>
      <c r="B1586" s="25">
        <v>8072960</v>
      </c>
      <c r="C1586" s="25"/>
      <c r="D1586" s="56" t="s">
        <v>198</v>
      </c>
      <c r="E1586" s="426">
        <v>44806</v>
      </c>
      <c r="F1586" s="26" t="s">
        <v>10</v>
      </c>
      <c r="G1586" s="426">
        <v>44740</v>
      </c>
      <c r="H1586" s="35" t="s">
        <v>797</v>
      </c>
      <c r="I1586" s="21">
        <v>1615000</v>
      </c>
      <c r="J1586" s="21"/>
      <c r="K1586" s="22">
        <v>306850</v>
      </c>
      <c r="L1586" s="23"/>
      <c r="M1586" s="22">
        <v>0</v>
      </c>
      <c r="N1586" s="74">
        <v>0</v>
      </c>
      <c r="O1586" s="22">
        <v>0</v>
      </c>
      <c r="P1586" s="21">
        <v>1921850</v>
      </c>
      <c r="S1586" s="108" t="b">
        <f>OR(COUNTIF(Tabla2[[#This Row],[PROVEEDOR]],"*"&amp;'Palabra no opera'!$A$2&amp;"*"))</f>
        <v>0</v>
      </c>
      <c r="T1586" s="139">
        <f>+$W$5-Tabla2[[#This Row],[FECHA DE FACTURACIÓN]]</f>
        <v>551</v>
      </c>
      <c r="U1586" t="str">
        <f>+IF(Tabla2[[#This Row],[dias de credito]]&gt;=Tabla2[[#This Row],[PLAZO Días]],"venc", "No venc")</f>
        <v>venc</v>
      </c>
      <c r="V1586" t="str">
        <f>+IF(Tabla2[[#This Row],[FECHA DE PAGO]]&gt;0,"pagada","por pagar")</f>
        <v>pagada</v>
      </c>
      <c r="W1586" s="141" t="str">
        <f>+IF(AND(Tabla2[[#This Row],[venc]]="venc",Tabla2[[#This Row],[Columna1]]="por pagar"),"vencida","no")</f>
        <v>no</v>
      </c>
    </row>
    <row r="1587" spans="1:23" ht="15.6" hidden="1" x14ac:dyDescent="0.3">
      <c r="A1587" s="20">
        <v>30</v>
      </c>
      <c r="B1587" s="25">
        <v>0</v>
      </c>
      <c r="C1587" s="25"/>
      <c r="D1587" s="56" t="s">
        <v>176</v>
      </c>
      <c r="E1587" s="426">
        <v>44805</v>
      </c>
      <c r="F1587" s="26" t="s">
        <v>967</v>
      </c>
      <c r="G1587" s="426">
        <v>44781</v>
      </c>
      <c r="H1587" s="35"/>
      <c r="I1587" s="21">
        <v>423000</v>
      </c>
      <c r="J1587" s="21"/>
      <c r="K1587" s="22">
        <v>0</v>
      </c>
      <c r="L1587" s="23"/>
      <c r="M1587" s="22">
        <v>0</v>
      </c>
      <c r="N1587" s="74">
        <v>0.01</v>
      </c>
      <c r="O1587" s="22">
        <v>4230</v>
      </c>
      <c r="P1587" s="21">
        <v>418770</v>
      </c>
      <c r="S1587" s="108" t="b">
        <f>OR(COUNTIF(Tabla2[[#This Row],[PROVEEDOR]],"*"&amp;'Palabra no opera'!$A$2&amp;"*"))</f>
        <v>0</v>
      </c>
      <c r="T1587" s="139">
        <f>+$W$5-Tabla2[[#This Row],[FECHA DE FACTURACIÓN]]</f>
        <v>510</v>
      </c>
      <c r="U1587" t="str">
        <f>+IF(Tabla2[[#This Row],[dias de credito]]&gt;=Tabla2[[#This Row],[PLAZO Días]],"venc", "No venc")</f>
        <v>venc</v>
      </c>
      <c r="V1587" t="str">
        <f>+IF(Tabla2[[#This Row],[FECHA DE PAGO]]&gt;0,"pagada","por pagar")</f>
        <v>pagada</v>
      </c>
      <c r="W1587" s="141" t="str">
        <f>+IF(AND(Tabla2[[#This Row],[venc]]="venc",Tabla2[[#This Row],[Columna1]]="por pagar"),"vencida","no")</f>
        <v>no</v>
      </c>
    </row>
    <row r="1588" spans="1:23" ht="15.6" hidden="1" x14ac:dyDescent="0.3">
      <c r="A1588" s="20">
        <v>90</v>
      </c>
      <c r="B1588" s="25">
        <v>0</v>
      </c>
      <c r="C1588" s="25" t="s">
        <v>1067</v>
      </c>
      <c r="D1588" s="56">
        <v>0</v>
      </c>
      <c r="E1588" s="426">
        <v>44805</v>
      </c>
      <c r="F1588" s="26" t="s">
        <v>618</v>
      </c>
      <c r="G1588" s="426">
        <v>44706</v>
      </c>
      <c r="H1588" s="35" t="s">
        <v>906</v>
      </c>
      <c r="I1588" s="21">
        <v>655462.18000000005</v>
      </c>
      <c r="J1588" s="21"/>
      <c r="K1588" s="22">
        <v>124537.81420000001</v>
      </c>
      <c r="L1588" s="23"/>
      <c r="M1588" s="22">
        <v>0</v>
      </c>
      <c r="N1588" s="74">
        <v>0</v>
      </c>
      <c r="O1588" s="22">
        <v>0</v>
      </c>
      <c r="P1588" s="21">
        <v>779999.99420000007</v>
      </c>
      <c r="S1588" s="108" t="b">
        <f>OR(COUNTIF(Tabla2[[#This Row],[PROVEEDOR]],"*"&amp;'Palabra no opera'!$A$2&amp;"*"))</f>
        <v>1</v>
      </c>
      <c r="T1588" s="139">
        <f>+$W$5-Tabla2[[#This Row],[FECHA DE FACTURACIÓN]]</f>
        <v>585</v>
      </c>
      <c r="U1588" t="str">
        <f>+IF(Tabla2[[#This Row],[dias de credito]]&gt;=Tabla2[[#This Row],[PLAZO Días]],"venc", "No venc")</f>
        <v>venc</v>
      </c>
      <c r="V1588" t="str">
        <f>+IF(Tabla2[[#This Row],[FECHA DE PAGO]]&gt;0,"pagada","por pagar")</f>
        <v>pagada</v>
      </c>
      <c r="W1588" s="141" t="str">
        <f>+IF(AND(Tabla2[[#This Row],[venc]]="venc",Tabla2[[#This Row],[Columna1]]="por pagar"),"vencida","no")</f>
        <v>no</v>
      </c>
    </row>
    <row r="1589" spans="1:23" ht="15.6" hidden="1" x14ac:dyDescent="0.3">
      <c r="A1589" s="20">
        <v>30</v>
      </c>
      <c r="B1589" s="25">
        <v>0</v>
      </c>
      <c r="C1589" s="25"/>
      <c r="D1589" s="56" t="s">
        <v>107</v>
      </c>
      <c r="E1589" s="426">
        <v>44804</v>
      </c>
      <c r="F1589" s="26" t="s">
        <v>362</v>
      </c>
      <c r="G1589" s="426">
        <v>44804</v>
      </c>
      <c r="H1589" s="35" t="s">
        <v>1081</v>
      </c>
      <c r="I1589" s="21">
        <v>0</v>
      </c>
      <c r="J1589" s="21"/>
      <c r="K1589" s="22">
        <v>0</v>
      </c>
      <c r="L1589" s="23"/>
      <c r="M1589" s="22">
        <v>0</v>
      </c>
      <c r="N1589" s="74">
        <v>0</v>
      </c>
      <c r="O1589" s="22">
        <v>0</v>
      </c>
      <c r="P1589" s="21">
        <v>0</v>
      </c>
      <c r="S1589" s="108" t="b">
        <f>OR(COUNTIF(Tabla2[[#This Row],[PROVEEDOR]],"*"&amp;'Palabra no opera'!$A$2&amp;"*"))</f>
        <v>0</v>
      </c>
      <c r="T1589" s="139">
        <f>+$W$5-Tabla2[[#This Row],[FECHA DE FACTURACIÓN]]</f>
        <v>487</v>
      </c>
      <c r="U1589" t="str">
        <f>+IF(Tabla2[[#This Row],[dias de credito]]&gt;=Tabla2[[#This Row],[PLAZO Días]],"venc", "No venc")</f>
        <v>venc</v>
      </c>
      <c r="V1589" t="str">
        <f>+IF(Tabla2[[#This Row],[FECHA DE PAGO]]&gt;0,"pagada","por pagar")</f>
        <v>pagada</v>
      </c>
      <c r="W1589" s="141" t="str">
        <f>+IF(AND(Tabla2[[#This Row],[venc]]="venc",Tabla2[[#This Row],[Columna1]]="por pagar"),"vencida","no")</f>
        <v>no</v>
      </c>
    </row>
    <row r="1590" spans="1:23" ht="15.6" hidden="1" x14ac:dyDescent="0.3">
      <c r="A1590" s="20">
        <v>30</v>
      </c>
      <c r="B1590" s="25">
        <v>0</v>
      </c>
      <c r="C1590" s="25"/>
      <c r="D1590" s="56" t="s">
        <v>107</v>
      </c>
      <c r="E1590" s="426">
        <v>44804</v>
      </c>
      <c r="F1590" s="26" t="s">
        <v>362</v>
      </c>
      <c r="G1590" s="426">
        <v>44804</v>
      </c>
      <c r="H1590" s="35" t="s">
        <v>655</v>
      </c>
      <c r="I1590" s="21">
        <v>71500</v>
      </c>
      <c r="J1590" s="21"/>
      <c r="K1590" s="22">
        <v>0</v>
      </c>
      <c r="L1590" s="23"/>
      <c r="M1590" s="22">
        <v>0</v>
      </c>
      <c r="N1590" s="74">
        <v>0</v>
      </c>
      <c r="O1590" s="22">
        <v>0</v>
      </c>
      <c r="P1590" s="21">
        <v>71500</v>
      </c>
      <c r="S1590" s="108" t="b">
        <f>OR(COUNTIF(Tabla2[[#This Row],[PROVEEDOR]],"*"&amp;'Palabra no opera'!$A$2&amp;"*"))</f>
        <v>0</v>
      </c>
      <c r="T1590" s="139">
        <f>+$W$5-Tabla2[[#This Row],[FECHA DE FACTURACIÓN]]</f>
        <v>487</v>
      </c>
      <c r="U1590" t="str">
        <f>+IF(Tabla2[[#This Row],[dias de credito]]&gt;=Tabla2[[#This Row],[PLAZO Días]],"venc", "No venc")</f>
        <v>venc</v>
      </c>
      <c r="V1590" t="str">
        <f>+IF(Tabla2[[#This Row],[FECHA DE PAGO]]&gt;0,"pagada","por pagar")</f>
        <v>pagada</v>
      </c>
      <c r="W1590" s="141" t="str">
        <f>+IF(AND(Tabla2[[#This Row],[venc]]="venc",Tabla2[[#This Row],[Columna1]]="por pagar"),"vencida","no")</f>
        <v>no</v>
      </c>
    </row>
    <row r="1591" spans="1:23" ht="15.6" hidden="1" x14ac:dyDescent="0.3">
      <c r="A1591" s="20">
        <v>30</v>
      </c>
      <c r="B1591" s="25">
        <v>0</v>
      </c>
      <c r="C1591" s="25"/>
      <c r="D1591" s="56" t="s">
        <v>107</v>
      </c>
      <c r="E1591" s="426">
        <v>44804</v>
      </c>
      <c r="F1591" s="26" t="s">
        <v>362</v>
      </c>
      <c r="G1591" s="426">
        <v>44804</v>
      </c>
      <c r="H1591" s="35" t="s">
        <v>318</v>
      </c>
      <c r="I1591" s="21">
        <v>579900</v>
      </c>
      <c r="J1591" s="21"/>
      <c r="K1591" s="22">
        <v>0</v>
      </c>
      <c r="L1591" s="23"/>
      <c r="M1591" s="22">
        <v>0</v>
      </c>
      <c r="N1591" s="74">
        <v>0</v>
      </c>
      <c r="O1591" s="22">
        <v>0</v>
      </c>
      <c r="P1591" s="21">
        <v>579900</v>
      </c>
      <c r="S1591" s="108" t="b">
        <f>OR(COUNTIF(Tabla2[[#This Row],[PROVEEDOR]],"*"&amp;'Palabra no opera'!$A$2&amp;"*"))</f>
        <v>0</v>
      </c>
      <c r="T1591" s="139">
        <f>+$W$5-Tabla2[[#This Row],[FECHA DE FACTURACIÓN]]</f>
        <v>487</v>
      </c>
      <c r="U1591" t="str">
        <f>+IF(Tabla2[[#This Row],[dias de credito]]&gt;=Tabla2[[#This Row],[PLAZO Días]],"venc", "No venc")</f>
        <v>venc</v>
      </c>
      <c r="V1591" t="str">
        <f>+IF(Tabla2[[#This Row],[FECHA DE PAGO]]&gt;0,"pagada","por pagar")</f>
        <v>pagada</v>
      </c>
      <c r="W1591" s="141" t="str">
        <f>+IF(AND(Tabla2[[#This Row],[venc]]="venc",Tabla2[[#This Row],[Columna1]]="por pagar"),"vencida","no")</f>
        <v>no</v>
      </c>
    </row>
    <row r="1592" spans="1:23" ht="15.6" hidden="1" x14ac:dyDescent="0.3">
      <c r="A1592" s="20">
        <v>30</v>
      </c>
      <c r="B1592" s="25">
        <v>0</v>
      </c>
      <c r="C1592" s="25"/>
      <c r="D1592" s="56" t="s">
        <v>107</v>
      </c>
      <c r="E1592" s="426">
        <v>44804</v>
      </c>
      <c r="F1592" s="26" t="s">
        <v>362</v>
      </c>
      <c r="G1592" s="426">
        <v>44804</v>
      </c>
      <c r="H1592" s="35" t="s">
        <v>319</v>
      </c>
      <c r="I1592" s="21">
        <v>940000</v>
      </c>
      <c r="J1592" s="21"/>
      <c r="K1592" s="22">
        <v>0</v>
      </c>
      <c r="L1592" s="23"/>
      <c r="M1592" s="22">
        <v>0</v>
      </c>
      <c r="N1592" s="74">
        <v>0</v>
      </c>
      <c r="O1592" s="22">
        <v>0</v>
      </c>
      <c r="P1592" s="21">
        <v>940000</v>
      </c>
      <c r="S1592" s="108" t="b">
        <f>OR(COUNTIF(Tabla2[[#This Row],[PROVEEDOR]],"*"&amp;'Palabra no opera'!$A$2&amp;"*"))</f>
        <v>0</v>
      </c>
      <c r="T1592" s="139">
        <f>+$W$5-Tabla2[[#This Row],[FECHA DE FACTURACIÓN]]</f>
        <v>487</v>
      </c>
      <c r="U1592" t="str">
        <f>+IF(Tabla2[[#This Row],[dias de credito]]&gt;=Tabla2[[#This Row],[PLAZO Días]],"venc", "No venc")</f>
        <v>venc</v>
      </c>
      <c r="V1592" t="str">
        <f>+IF(Tabla2[[#This Row],[FECHA DE PAGO]]&gt;0,"pagada","por pagar")</f>
        <v>pagada</v>
      </c>
      <c r="W1592" s="141" t="str">
        <f>+IF(AND(Tabla2[[#This Row],[venc]]="venc",Tabla2[[#This Row],[Columna1]]="por pagar"),"vencida","no")</f>
        <v>no</v>
      </c>
    </row>
    <row r="1593" spans="1:23" ht="15.6" hidden="1" x14ac:dyDescent="0.3">
      <c r="A1593" s="20">
        <v>30</v>
      </c>
      <c r="B1593" s="25">
        <v>0</v>
      </c>
      <c r="C1593" s="25"/>
      <c r="D1593" s="56" t="s">
        <v>107</v>
      </c>
      <c r="E1593" s="426">
        <v>44804</v>
      </c>
      <c r="F1593" s="26" t="s">
        <v>362</v>
      </c>
      <c r="G1593" s="426">
        <v>44804</v>
      </c>
      <c r="H1593" s="35" t="s">
        <v>139</v>
      </c>
      <c r="I1593" s="21">
        <v>1084000</v>
      </c>
      <c r="J1593" s="21"/>
      <c r="K1593" s="22">
        <v>0</v>
      </c>
      <c r="L1593" s="23"/>
      <c r="M1593" s="22">
        <v>0</v>
      </c>
      <c r="N1593" s="74">
        <v>0</v>
      </c>
      <c r="O1593" s="22">
        <v>0</v>
      </c>
      <c r="P1593" s="21">
        <v>1084000</v>
      </c>
      <c r="S1593" s="108" t="b">
        <f>OR(COUNTIF(Tabla2[[#This Row],[PROVEEDOR]],"*"&amp;'Palabra no opera'!$A$2&amp;"*"))</f>
        <v>0</v>
      </c>
      <c r="T1593" s="139">
        <f>+$W$5-Tabla2[[#This Row],[FECHA DE FACTURACIÓN]]</f>
        <v>487</v>
      </c>
      <c r="U1593" t="str">
        <f>+IF(Tabla2[[#This Row],[dias de credito]]&gt;=Tabla2[[#This Row],[PLAZO Días]],"venc", "No venc")</f>
        <v>venc</v>
      </c>
      <c r="V1593" t="str">
        <f>+IF(Tabla2[[#This Row],[FECHA DE PAGO]]&gt;0,"pagada","por pagar")</f>
        <v>pagada</v>
      </c>
      <c r="W1593" s="141" t="str">
        <f>+IF(AND(Tabla2[[#This Row],[venc]]="venc",Tabla2[[#This Row],[Columna1]]="por pagar"),"vencida","no")</f>
        <v>no</v>
      </c>
    </row>
    <row r="1594" spans="1:23" ht="15.6" hidden="1" x14ac:dyDescent="0.3">
      <c r="A1594" s="20">
        <v>30</v>
      </c>
      <c r="B1594" s="25">
        <v>0</v>
      </c>
      <c r="C1594" s="25"/>
      <c r="D1594" s="56" t="s">
        <v>107</v>
      </c>
      <c r="E1594" s="426">
        <v>44804</v>
      </c>
      <c r="F1594" s="26" t="s">
        <v>362</v>
      </c>
      <c r="G1594" s="426">
        <v>44804</v>
      </c>
      <c r="H1594" s="35" t="s">
        <v>316</v>
      </c>
      <c r="I1594" s="21">
        <v>2787750</v>
      </c>
      <c r="J1594" s="21"/>
      <c r="K1594" s="22">
        <v>0</v>
      </c>
      <c r="L1594" s="23"/>
      <c r="M1594" s="22">
        <v>0</v>
      </c>
      <c r="N1594" s="74">
        <v>0</v>
      </c>
      <c r="O1594" s="22">
        <v>0</v>
      </c>
      <c r="P1594" s="21">
        <v>2787750</v>
      </c>
      <c r="S1594" s="108" t="b">
        <f>OR(COUNTIF(Tabla2[[#This Row],[PROVEEDOR]],"*"&amp;'Palabra no opera'!$A$2&amp;"*"))</f>
        <v>0</v>
      </c>
      <c r="T1594" s="139">
        <f>+$W$5-Tabla2[[#This Row],[FECHA DE FACTURACIÓN]]</f>
        <v>487</v>
      </c>
      <c r="U1594" t="str">
        <f>+IF(Tabla2[[#This Row],[dias de credito]]&gt;=Tabla2[[#This Row],[PLAZO Días]],"venc", "No venc")</f>
        <v>venc</v>
      </c>
      <c r="V1594" t="str">
        <f>+IF(Tabla2[[#This Row],[FECHA DE PAGO]]&gt;0,"pagada","por pagar")</f>
        <v>pagada</v>
      </c>
      <c r="W1594" s="141" t="str">
        <f>+IF(AND(Tabla2[[#This Row],[venc]]="venc",Tabla2[[#This Row],[Columna1]]="por pagar"),"vencida","no")</f>
        <v>no</v>
      </c>
    </row>
    <row r="1595" spans="1:23" ht="15.6" hidden="1" x14ac:dyDescent="0.3">
      <c r="A1595" s="20">
        <v>30</v>
      </c>
      <c r="B1595" s="25">
        <v>0</v>
      </c>
      <c r="C1595" s="25"/>
      <c r="D1595" s="56" t="s">
        <v>107</v>
      </c>
      <c r="E1595" s="426">
        <v>44804</v>
      </c>
      <c r="F1595" s="26" t="s">
        <v>390</v>
      </c>
      <c r="G1595" s="426">
        <v>44804</v>
      </c>
      <c r="H1595" s="35"/>
      <c r="I1595" s="21">
        <v>500000</v>
      </c>
      <c r="J1595" s="21"/>
      <c r="K1595" s="22">
        <v>0</v>
      </c>
      <c r="L1595" s="23"/>
      <c r="M1595" s="22">
        <v>0</v>
      </c>
      <c r="N1595" s="74">
        <v>0</v>
      </c>
      <c r="O1595" s="22">
        <v>0</v>
      </c>
      <c r="P1595" s="21">
        <v>500000</v>
      </c>
      <c r="S1595" s="108" t="b">
        <f>OR(COUNTIF(Tabla2[[#This Row],[PROVEEDOR]],"*"&amp;'Palabra no opera'!$A$2&amp;"*"))</f>
        <v>0</v>
      </c>
      <c r="T1595" s="139">
        <f>+$W$5-Tabla2[[#This Row],[FECHA DE FACTURACIÓN]]</f>
        <v>487</v>
      </c>
      <c r="U1595" t="str">
        <f>+IF(Tabla2[[#This Row],[dias de credito]]&gt;=Tabla2[[#This Row],[PLAZO Días]],"venc", "No venc")</f>
        <v>venc</v>
      </c>
      <c r="V1595" t="str">
        <f>+IF(Tabla2[[#This Row],[FECHA DE PAGO]]&gt;0,"pagada","por pagar")</f>
        <v>pagada</v>
      </c>
      <c r="W1595" s="141" t="str">
        <f>+IF(AND(Tabla2[[#This Row],[venc]]="venc",Tabla2[[#This Row],[Columna1]]="por pagar"),"vencida","no")</f>
        <v>no</v>
      </c>
    </row>
    <row r="1596" spans="1:23" ht="15.6" hidden="1" x14ac:dyDescent="0.3">
      <c r="A1596" s="20">
        <v>30</v>
      </c>
      <c r="B1596" s="25">
        <v>0</v>
      </c>
      <c r="C1596" s="25"/>
      <c r="D1596" s="56" t="s">
        <v>107</v>
      </c>
      <c r="E1596" s="426">
        <v>44804</v>
      </c>
      <c r="F1596" s="26" t="s">
        <v>390</v>
      </c>
      <c r="G1596" s="426">
        <v>44804</v>
      </c>
      <c r="H1596" s="35"/>
      <c r="I1596" s="21">
        <v>500000</v>
      </c>
      <c r="J1596" s="21"/>
      <c r="K1596" s="22">
        <v>0</v>
      </c>
      <c r="L1596" s="23"/>
      <c r="M1596" s="22">
        <v>0</v>
      </c>
      <c r="N1596" s="74">
        <v>0</v>
      </c>
      <c r="O1596" s="22">
        <v>0</v>
      </c>
      <c r="P1596" s="21">
        <v>500000</v>
      </c>
      <c r="S1596" s="108" t="b">
        <f>OR(COUNTIF(Tabla2[[#This Row],[PROVEEDOR]],"*"&amp;'Palabra no opera'!$A$2&amp;"*"))</f>
        <v>0</v>
      </c>
      <c r="T1596" s="139">
        <f>+$W$5-Tabla2[[#This Row],[FECHA DE FACTURACIÓN]]</f>
        <v>487</v>
      </c>
      <c r="U1596" t="str">
        <f>+IF(Tabla2[[#This Row],[dias de credito]]&gt;=Tabla2[[#This Row],[PLAZO Días]],"venc", "No venc")</f>
        <v>venc</v>
      </c>
      <c r="V1596" t="str">
        <f>+IF(Tabla2[[#This Row],[FECHA DE PAGO]]&gt;0,"pagada","por pagar")</f>
        <v>pagada</v>
      </c>
      <c r="W1596" s="141" t="str">
        <f>+IF(AND(Tabla2[[#This Row],[venc]]="venc",Tabla2[[#This Row],[Columna1]]="por pagar"),"vencida","no")</f>
        <v>no</v>
      </c>
    </row>
    <row r="1597" spans="1:23" ht="15.6" hidden="1" x14ac:dyDescent="0.3">
      <c r="A1597" s="20">
        <v>30</v>
      </c>
      <c r="B1597" s="25">
        <v>0</v>
      </c>
      <c r="C1597" s="25"/>
      <c r="D1597" s="56" t="s">
        <v>109</v>
      </c>
      <c r="E1597" s="426">
        <v>44804</v>
      </c>
      <c r="F1597" s="26" t="s">
        <v>645</v>
      </c>
      <c r="G1597" s="426">
        <v>44774</v>
      </c>
      <c r="H1597" s="35"/>
      <c r="I1597" s="21">
        <v>326243</v>
      </c>
      <c r="J1597" s="21"/>
      <c r="K1597" s="22">
        <v>0</v>
      </c>
      <c r="L1597" s="23"/>
      <c r="M1597" s="22">
        <v>0</v>
      </c>
      <c r="N1597" s="74">
        <v>0</v>
      </c>
      <c r="O1597" s="22">
        <v>0</v>
      </c>
      <c r="P1597" s="21">
        <v>326243</v>
      </c>
      <c r="S1597" s="108" t="b">
        <f>OR(COUNTIF(Tabla2[[#This Row],[PROVEEDOR]],"*"&amp;'Palabra no opera'!$A$2&amp;"*"))</f>
        <v>1</v>
      </c>
      <c r="T1597" s="139">
        <f>+$W$5-Tabla2[[#This Row],[FECHA DE FACTURACIÓN]]</f>
        <v>517</v>
      </c>
      <c r="U1597" t="str">
        <f>+IF(Tabla2[[#This Row],[dias de credito]]&gt;=Tabla2[[#This Row],[PLAZO Días]],"venc", "No venc")</f>
        <v>venc</v>
      </c>
      <c r="V1597" t="str">
        <f>+IF(Tabla2[[#This Row],[FECHA DE PAGO]]&gt;0,"pagada","por pagar")</f>
        <v>pagada</v>
      </c>
      <c r="W1597" s="141" t="str">
        <f>+IF(AND(Tabla2[[#This Row],[venc]]="venc",Tabla2[[#This Row],[Columna1]]="por pagar"),"vencida","no")</f>
        <v>no</v>
      </c>
    </row>
    <row r="1598" spans="1:23" ht="15.6" hidden="1" x14ac:dyDescent="0.3">
      <c r="A1598" s="20">
        <v>30</v>
      </c>
      <c r="B1598" s="25">
        <v>2100000</v>
      </c>
      <c r="C1598" s="25"/>
      <c r="D1598" s="56" t="s">
        <v>107</v>
      </c>
      <c r="E1598" s="426">
        <v>44804</v>
      </c>
      <c r="F1598" s="26" t="s">
        <v>349</v>
      </c>
      <c r="G1598" s="426">
        <v>44760</v>
      </c>
      <c r="H1598" s="35" t="s">
        <v>912</v>
      </c>
      <c r="I1598" s="21">
        <v>3443000</v>
      </c>
      <c r="J1598" s="21"/>
      <c r="K1598" s="22">
        <v>0</v>
      </c>
      <c r="L1598" s="23"/>
      <c r="M1598" s="22">
        <v>0</v>
      </c>
      <c r="N1598" s="74">
        <v>0</v>
      </c>
      <c r="O1598" s="22">
        <v>0</v>
      </c>
      <c r="P1598" s="21">
        <v>3443000</v>
      </c>
      <c r="S1598" s="108" t="b">
        <f>OR(COUNTIF(Tabla2[[#This Row],[PROVEEDOR]],"*"&amp;'Palabra no opera'!$A$2&amp;"*"))</f>
        <v>0</v>
      </c>
      <c r="T1598" s="139">
        <f>+$W$5-Tabla2[[#This Row],[FECHA DE FACTURACIÓN]]</f>
        <v>531</v>
      </c>
      <c r="U1598" t="str">
        <f>+IF(Tabla2[[#This Row],[dias de credito]]&gt;=Tabla2[[#This Row],[PLAZO Días]],"venc", "No venc")</f>
        <v>venc</v>
      </c>
      <c r="V1598" t="str">
        <f>+IF(Tabla2[[#This Row],[FECHA DE PAGO]]&gt;0,"pagada","por pagar")</f>
        <v>pagada</v>
      </c>
      <c r="W1598" s="141" t="str">
        <f>+IF(AND(Tabla2[[#This Row],[venc]]="venc",Tabla2[[#This Row],[Columna1]]="por pagar"),"vencida","no")</f>
        <v>no</v>
      </c>
    </row>
    <row r="1599" spans="1:23" ht="15.6" hidden="1" x14ac:dyDescent="0.3">
      <c r="A1599" s="20">
        <v>30</v>
      </c>
      <c r="B1599" s="25">
        <v>0</v>
      </c>
      <c r="C1599" s="25"/>
      <c r="D1599" s="56" t="s">
        <v>211</v>
      </c>
      <c r="E1599" s="426">
        <v>44804</v>
      </c>
      <c r="F1599" s="26" t="s">
        <v>400</v>
      </c>
      <c r="G1599" s="426">
        <v>44760</v>
      </c>
      <c r="H1599" s="35" t="s">
        <v>1051</v>
      </c>
      <c r="I1599" s="21">
        <v>1225000</v>
      </c>
      <c r="J1599" s="21"/>
      <c r="K1599" s="22">
        <v>0</v>
      </c>
      <c r="L1599" s="23"/>
      <c r="M1599" s="22">
        <v>0</v>
      </c>
      <c r="N1599" s="74">
        <v>0</v>
      </c>
      <c r="O1599" s="22">
        <v>0</v>
      </c>
      <c r="P1599" s="21">
        <v>1225000</v>
      </c>
      <c r="S1599" s="108" t="b">
        <f>OR(COUNTIF(Tabla2[[#This Row],[PROVEEDOR]],"*"&amp;'Palabra no opera'!$A$2&amp;"*"))</f>
        <v>0</v>
      </c>
      <c r="T1599" s="139">
        <f>+$W$5-Tabla2[[#This Row],[FECHA DE FACTURACIÓN]]</f>
        <v>531</v>
      </c>
      <c r="U1599" t="str">
        <f>+IF(Tabla2[[#This Row],[dias de credito]]&gt;=Tabla2[[#This Row],[PLAZO Días]],"venc", "No venc")</f>
        <v>venc</v>
      </c>
      <c r="V1599" t="str">
        <f>+IF(Tabla2[[#This Row],[FECHA DE PAGO]]&gt;0,"pagada","por pagar")</f>
        <v>pagada</v>
      </c>
      <c r="W1599" s="141" t="str">
        <f>+IF(AND(Tabla2[[#This Row],[venc]]="venc",Tabla2[[#This Row],[Columna1]]="por pagar"),"vencida","no")</f>
        <v>no</v>
      </c>
    </row>
    <row r="1600" spans="1:23" ht="15.6" hidden="1" x14ac:dyDescent="0.3">
      <c r="A1600" s="20">
        <v>30</v>
      </c>
      <c r="B1600" s="25">
        <v>0</v>
      </c>
      <c r="C1600" s="25"/>
      <c r="D1600" s="56" t="s">
        <v>211</v>
      </c>
      <c r="E1600" s="426">
        <v>44804</v>
      </c>
      <c r="F1600" s="26" t="s">
        <v>400</v>
      </c>
      <c r="G1600" s="426">
        <v>44747</v>
      </c>
      <c r="H1600" s="35" t="s">
        <v>794</v>
      </c>
      <c r="I1600" s="21">
        <v>4035000</v>
      </c>
      <c r="J1600" s="21"/>
      <c r="K1600" s="22">
        <v>0</v>
      </c>
      <c r="L1600" s="23"/>
      <c r="M1600" s="22">
        <v>0</v>
      </c>
      <c r="N1600" s="74">
        <v>0</v>
      </c>
      <c r="O1600" s="22">
        <v>0</v>
      </c>
      <c r="P1600" s="21">
        <v>4035000</v>
      </c>
      <c r="S1600" s="108" t="b">
        <f>OR(COUNTIF(Tabla2[[#This Row],[PROVEEDOR]],"*"&amp;'Palabra no opera'!$A$2&amp;"*"))</f>
        <v>0</v>
      </c>
      <c r="T1600" s="139">
        <f>+$W$5-Tabla2[[#This Row],[FECHA DE FACTURACIÓN]]</f>
        <v>544</v>
      </c>
      <c r="U1600" t="str">
        <f>+IF(Tabla2[[#This Row],[dias de credito]]&gt;=Tabla2[[#This Row],[PLAZO Días]],"venc", "No venc")</f>
        <v>venc</v>
      </c>
      <c r="V1600" t="str">
        <f>+IF(Tabla2[[#This Row],[FECHA DE PAGO]]&gt;0,"pagada","por pagar")</f>
        <v>pagada</v>
      </c>
      <c r="W1600" s="141" t="str">
        <f>+IF(AND(Tabla2[[#This Row],[venc]]="venc",Tabla2[[#This Row],[Columna1]]="por pagar"),"vencida","no")</f>
        <v>no</v>
      </c>
    </row>
    <row r="1601" spans="1:23" ht="15.6" hidden="1" x14ac:dyDescent="0.3">
      <c r="A1601" s="20">
        <v>30</v>
      </c>
      <c r="B1601" s="25">
        <v>2950000</v>
      </c>
      <c r="C1601" s="25"/>
      <c r="D1601" s="56">
        <v>0</v>
      </c>
      <c r="E1601" s="426">
        <v>44803</v>
      </c>
      <c r="F1601" s="26" t="s">
        <v>703</v>
      </c>
      <c r="G1601" s="426">
        <v>44793</v>
      </c>
      <c r="H1601" s="35" t="s">
        <v>943</v>
      </c>
      <c r="I1601" s="21">
        <v>1009000</v>
      </c>
      <c r="J1601" s="21"/>
      <c r="K1601" s="22">
        <v>0</v>
      </c>
      <c r="L1601" s="23"/>
      <c r="M1601" s="22">
        <v>0</v>
      </c>
      <c r="N1601" s="74">
        <v>0</v>
      </c>
      <c r="O1601" s="22">
        <v>0</v>
      </c>
      <c r="P1601" s="21">
        <v>1009000</v>
      </c>
      <c r="S1601" s="108" t="b">
        <f>OR(COUNTIF(Tabla2[[#This Row],[PROVEEDOR]],"*"&amp;'Palabra no opera'!$A$2&amp;"*"))</f>
        <v>0</v>
      </c>
      <c r="T1601" s="139">
        <f>+$W$5-Tabla2[[#This Row],[FECHA DE FACTURACIÓN]]</f>
        <v>498</v>
      </c>
      <c r="U1601" t="str">
        <f>+IF(Tabla2[[#This Row],[dias de credito]]&gt;=Tabla2[[#This Row],[PLAZO Días]],"venc", "No venc")</f>
        <v>venc</v>
      </c>
      <c r="V1601" t="str">
        <f>+IF(Tabla2[[#This Row],[FECHA DE PAGO]]&gt;0,"pagada","por pagar")</f>
        <v>pagada</v>
      </c>
      <c r="W1601" s="141" t="str">
        <f>+IF(AND(Tabla2[[#This Row],[venc]]="venc",Tabla2[[#This Row],[Columna1]]="por pagar"),"vencida","no")</f>
        <v>no</v>
      </c>
    </row>
    <row r="1602" spans="1:23" ht="15.6" hidden="1" x14ac:dyDescent="0.3">
      <c r="A1602" s="20">
        <v>30</v>
      </c>
      <c r="B1602" s="25">
        <v>0</v>
      </c>
      <c r="C1602" s="25"/>
      <c r="D1602" s="56" t="s">
        <v>260</v>
      </c>
      <c r="E1602" s="426">
        <v>44802</v>
      </c>
      <c r="F1602" s="26" t="s">
        <v>635</v>
      </c>
      <c r="G1602" s="426">
        <v>44774</v>
      </c>
      <c r="H1602" s="35">
        <v>3881</v>
      </c>
      <c r="I1602" s="21">
        <v>3002200</v>
      </c>
      <c r="J1602" s="21"/>
      <c r="K1602" s="22">
        <v>0</v>
      </c>
      <c r="L1602" s="23"/>
      <c r="M1602" s="22">
        <v>0</v>
      </c>
      <c r="N1602" s="74">
        <v>3.5000000000000003E-2</v>
      </c>
      <c r="O1602" s="22">
        <v>105077.00000000001</v>
      </c>
      <c r="P1602" s="21">
        <v>2897123</v>
      </c>
      <c r="S1602" s="108" t="b">
        <f>OR(COUNTIF(Tabla2[[#This Row],[PROVEEDOR]],"*"&amp;'Palabra no opera'!$A$2&amp;"*"))</f>
        <v>1</v>
      </c>
      <c r="T1602" s="139">
        <f>+$W$5-Tabla2[[#This Row],[FECHA DE FACTURACIÓN]]</f>
        <v>517</v>
      </c>
      <c r="U1602" t="str">
        <f>+IF(Tabla2[[#This Row],[dias de credito]]&gt;=Tabla2[[#This Row],[PLAZO Días]],"venc", "No venc")</f>
        <v>venc</v>
      </c>
      <c r="V1602" t="str">
        <f>+IF(Tabla2[[#This Row],[FECHA DE PAGO]]&gt;0,"pagada","por pagar")</f>
        <v>pagada</v>
      </c>
      <c r="W1602" s="141" t="str">
        <f>+IF(AND(Tabla2[[#This Row],[venc]]="venc",Tabla2[[#This Row],[Columna1]]="por pagar"),"vencida","no")</f>
        <v>no</v>
      </c>
    </row>
    <row r="1603" spans="1:23" ht="15.6" hidden="1" x14ac:dyDescent="0.3">
      <c r="A1603" s="20">
        <v>30</v>
      </c>
      <c r="B1603" s="25">
        <v>0</v>
      </c>
      <c r="C1603" s="25"/>
      <c r="D1603" s="56" t="s">
        <v>740</v>
      </c>
      <c r="E1603" s="426">
        <v>44802</v>
      </c>
      <c r="F1603" s="26" t="s">
        <v>637</v>
      </c>
      <c r="G1603" s="426">
        <v>44774</v>
      </c>
      <c r="H1603" s="35" t="s">
        <v>219</v>
      </c>
      <c r="I1603" s="21">
        <v>59583</v>
      </c>
      <c r="J1603" s="21"/>
      <c r="K1603" s="22">
        <v>0</v>
      </c>
      <c r="L1603" s="23"/>
      <c r="M1603" s="22">
        <v>0</v>
      </c>
      <c r="N1603" s="74">
        <v>0</v>
      </c>
      <c r="O1603" s="22">
        <v>0</v>
      </c>
      <c r="P1603" s="21">
        <v>59583</v>
      </c>
      <c r="S1603" s="108" t="b">
        <f>OR(COUNTIF(Tabla2[[#This Row],[PROVEEDOR]],"*"&amp;'Palabra no opera'!$A$2&amp;"*"))</f>
        <v>1</v>
      </c>
      <c r="T1603" s="139">
        <f>+$W$5-Tabla2[[#This Row],[FECHA DE FACTURACIÓN]]</f>
        <v>517</v>
      </c>
      <c r="U1603" t="str">
        <f>+IF(Tabla2[[#This Row],[dias de credito]]&gt;=Tabla2[[#This Row],[PLAZO Días]],"venc", "No venc")</f>
        <v>venc</v>
      </c>
      <c r="V1603" t="str">
        <f>+IF(Tabla2[[#This Row],[FECHA DE PAGO]]&gt;0,"pagada","por pagar")</f>
        <v>pagada</v>
      </c>
      <c r="W1603" s="141" t="str">
        <f>+IF(AND(Tabla2[[#This Row],[venc]]="venc",Tabla2[[#This Row],[Columna1]]="por pagar"),"vencida","no")</f>
        <v>no</v>
      </c>
    </row>
    <row r="1604" spans="1:23" ht="15.6" hidden="1" x14ac:dyDescent="0.3">
      <c r="A1604" s="20">
        <v>30</v>
      </c>
      <c r="B1604" s="25">
        <v>0</v>
      </c>
      <c r="C1604" s="25"/>
      <c r="D1604" s="56" t="s">
        <v>740</v>
      </c>
      <c r="E1604" s="426">
        <v>44802</v>
      </c>
      <c r="F1604" s="26" t="s">
        <v>637</v>
      </c>
      <c r="G1604" s="426">
        <v>44774</v>
      </c>
      <c r="H1604" s="35" t="s">
        <v>220</v>
      </c>
      <c r="I1604" s="21">
        <v>68166</v>
      </c>
      <c r="J1604" s="21"/>
      <c r="K1604" s="22">
        <v>0</v>
      </c>
      <c r="L1604" s="23"/>
      <c r="M1604" s="22">
        <v>0</v>
      </c>
      <c r="N1604" s="74">
        <v>0</v>
      </c>
      <c r="O1604" s="22">
        <v>0</v>
      </c>
      <c r="P1604" s="21">
        <v>68166</v>
      </c>
      <c r="S1604" s="108" t="b">
        <f>OR(COUNTIF(Tabla2[[#This Row],[PROVEEDOR]],"*"&amp;'Palabra no opera'!$A$2&amp;"*"))</f>
        <v>1</v>
      </c>
      <c r="T1604" s="139">
        <f>+$W$5-Tabla2[[#This Row],[FECHA DE FACTURACIÓN]]</f>
        <v>517</v>
      </c>
      <c r="U1604" t="str">
        <f>+IF(Tabla2[[#This Row],[dias de credito]]&gt;=Tabla2[[#This Row],[PLAZO Días]],"venc", "No venc")</f>
        <v>venc</v>
      </c>
      <c r="V1604" t="str">
        <f>+IF(Tabla2[[#This Row],[FECHA DE PAGO]]&gt;0,"pagada","por pagar")</f>
        <v>pagada</v>
      </c>
      <c r="W1604" s="141" t="str">
        <f>+IF(AND(Tabla2[[#This Row],[venc]]="venc",Tabla2[[#This Row],[Columna1]]="por pagar"),"vencida","no")</f>
        <v>no</v>
      </c>
    </row>
    <row r="1605" spans="1:23" ht="15.6" hidden="1" x14ac:dyDescent="0.3">
      <c r="A1605" s="20">
        <v>30</v>
      </c>
      <c r="B1605" s="25">
        <v>0</v>
      </c>
      <c r="C1605" s="25"/>
      <c r="D1605" s="56" t="s">
        <v>1116</v>
      </c>
      <c r="E1605" s="426">
        <v>44802</v>
      </c>
      <c r="F1605" s="26" t="s">
        <v>638</v>
      </c>
      <c r="G1605" s="426">
        <v>44774</v>
      </c>
      <c r="H1605" s="35" t="s">
        <v>844</v>
      </c>
      <c r="I1605" s="21">
        <v>3961260</v>
      </c>
      <c r="J1605" s="21"/>
      <c r="K1605" s="22">
        <v>752639.4</v>
      </c>
      <c r="L1605" s="23"/>
      <c r="M1605" s="22">
        <v>0</v>
      </c>
      <c r="N1605" s="74">
        <v>3.5000000000000003E-2</v>
      </c>
      <c r="O1605" s="22">
        <v>138644.1</v>
      </c>
      <c r="P1605" s="21">
        <v>4575255.3000000007</v>
      </c>
      <c r="S1605" s="108" t="b">
        <f>OR(COUNTIF(Tabla2[[#This Row],[PROVEEDOR]],"*"&amp;'Palabra no opera'!$A$2&amp;"*"))</f>
        <v>1</v>
      </c>
      <c r="T1605" s="139">
        <f>+$W$5-Tabla2[[#This Row],[FECHA DE FACTURACIÓN]]</f>
        <v>517</v>
      </c>
      <c r="U1605" t="str">
        <f>+IF(Tabla2[[#This Row],[dias de credito]]&gt;=Tabla2[[#This Row],[PLAZO Días]],"venc", "No venc")</f>
        <v>venc</v>
      </c>
      <c r="V1605" t="str">
        <f>+IF(Tabla2[[#This Row],[FECHA DE PAGO]]&gt;0,"pagada","por pagar")</f>
        <v>pagada</v>
      </c>
      <c r="W1605" s="141" t="str">
        <f>+IF(AND(Tabla2[[#This Row],[venc]]="venc",Tabla2[[#This Row],[Columna1]]="por pagar"),"vencida","no")</f>
        <v>no</v>
      </c>
    </row>
    <row r="1606" spans="1:23" ht="15.6" hidden="1" x14ac:dyDescent="0.3">
      <c r="A1606" s="20">
        <v>30</v>
      </c>
      <c r="B1606" s="25">
        <v>0</v>
      </c>
      <c r="C1606" s="25"/>
      <c r="D1606" s="56" t="s">
        <v>193</v>
      </c>
      <c r="E1606" s="426">
        <v>44802</v>
      </c>
      <c r="F1606" s="26" t="s">
        <v>651</v>
      </c>
      <c r="G1606" s="426">
        <v>44774</v>
      </c>
      <c r="H1606" s="35">
        <v>5753</v>
      </c>
      <c r="I1606" s="21">
        <v>215356</v>
      </c>
      <c r="J1606" s="21"/>
      <c r="K1606" s="22">
        <v>40917.64</v>
      </c>
      <c r="L1606" s="23"/>
      <c r="M1606" s="22">
        <v>0</v>
      </c>
      <c r="N1606" s="74">
        <v>3.5000000000000003E-2</v>
      </c>
      <c r="O1606" s="22">
        <v>7537.4600000000009</v>
      </c>
      <c r="P1606" s="21">
        <v>248736.18000000002</v>
      </c>
      <c r="S1606" s="108" t="b">
        <f>OR(COUNTIF(Tabla2[[#This Row],[PROVEEDOR]],"*"&amp;'Palabra no opera'!$A$2&amp;"*"))</f>
        <v>1</v>
      </c>
      <c r="T1606" s="139">
        <f>+$W$5-Tabla2[[#This Row],[FECHA DE FACTURACIÓN]]</f>
        <v>517</v>
      </c>
      <c r="U1606" t="str">
        <f>+IF(Tabla2[[#This Row],[dias de credito]]&gt;=Tabla2[[#This Row],[PLAZO Días]],"venc", "No venc")</f>
        <v>venc</v>
      </c>
      <c r="V1606" t="str">
        <f>+IF(Tabla2[[#This Row],[FECHA DE PAGO]]&gt;0,"pagada","por pagar")</f>
        <v>pagada</v>
      </c>
      <c r="W1606" s="141" t="str">
        <f>+IF(AND(Tabla2[[#This Row],[venc]]="venc",Tabla2[[#This Row],[Columna1]]="por pagar"),"vencida","no")</f>
        <v>no</v>
      </c>
    </row>
    <row r="1607" spans="1:23" ht="15.6" hidden="1" x14ac:dyDescent="0.3">
      <c r="A1607" s="20">
        <v>20</v>
      </c>
      <c r="B1607" s="25">
        <v>0</v>
      </c>
      <c r="C1607" s="25"/>
      <c r="D1607" s="56" t="s">
        <v>201</v>
      </c>
      <c r="E1607" s="426">
        <v>44802</v>
      </c>
      <c r="F1607" s="26" t="s">
        <v>652</v>
      </c>
      <c r="G1607" s="426">
        <v>44774</v>
      </c>
      <c r="H1607" s="35">
        <v>44059</v>
      </c>
      <c r="I1607" s="21">
        <v>4730000</v>
      </c>
      <c r="J1607" s="21"/>
      <c r="K1607" s="22">
        <v>898700</v>
      </c>
      <c r="L1607" s="23"/>
      <c r="M1607" s="22">
        <v>0</v>
      </c>
      <c r="N1607" s="74">
        <v>3.5000000000000003E-2</v>
      </c>
      <c r="O1607" s="22">
        <v>165550.00000000003</v>
      </c>
      <c r="P1607" s="21">
        <v>5463150</v>
      </c>
      <c r="S1607" s="108" t="b">
        <f>OR(COUNTIF(Tabla2[[#This Row],[PROVEEDOR]],"*"&amp;'Palabra no opera'!$A$2&amp;"*"))</f>
        <v>1</v>
      </c>
      <c r="T1607" s="139">
        <f>+$W$5-Tabla2[[#This Row],[FECHA DE FACTURACIÓN]]</f>
        <v>517</v>
      </c>
      <c r="U1607" t="str">
        <f>+IF(Tabla2[[#This Row],[dias de credito]]&gt;=Tabla2[[#This Row],[PLAZO Días]],"venc", "No venc")</f>
        <v>venc</v>
      </c>
      <c r="V1607" t="str">
        <f>+IF(Tabla2[[#This Row],[FECHA DE PAGO]]&gt;0,"pagada","por pagar")</f>
        <v>pagada</v>
      </c>
      <c r="W1607" s="141" t="str">
        <f>+IF(AND(Tabla2[[#This Row],[venc]]="venc",Tabla2[[#This Row],[Columna1]]="por pagar"),"vencida","no")</f>
        <v>no</v>
      </c>
    </row>
    <row r="1608" spans="1:23" ht="15.6" hidden="1" x14ac:dyDescent="0.3">
      <c r="A1608" s="20">
        <v>60</v>
      </c>
      <c r="B1608" s="25">
        <v>0</v>
      </c>
      <c r="C1608" s="25"/>
      <c r="D1608" s="56">
        <v>0</v>
      </c>
      <c r="E1608" s="426">
        <v>44802</v>
      </c>
      <c r="F1608" s="26" t="s">
        <v>633</v>
      </c>
      <c r="G1608" s="426">
        <v>44743</v>
      </c>
      <c r="H1608" s="35" t="s">
        <v>882</v>
      </c>
      <c r="I1608" s="21">
        <v>263948</v>
      </c>
      <c r="J1608" s="21"/>
      <c r="K1608" s="22">
        <v>0</v>
      </c>
      <c r="L1608" s="23"/>
      <c r="M1608" s="22">
        <v>0</v>
      </c>
      <c r="N1608" s="74">
        <v>0</v>
      </c>
      <c r="O1608" s="22">
        <v>0</v>
      </c>
      <c r="P1608" s="21">
        <v>263948</v>
      </c>
      <c r="S1608" s="108" t="b">
        <f>OR(COUNTIF(Tabla2[[#This Row],[PROVEEDOR]],"*"&amp;'Palabra no opera'!$A$2&amp;"*"))</f>
        <v>1</v>
      </c>
      <c r="T1608" s="139">
        <f>+$W$5-Tabla2[[#This Row],[FECHA DE FACTURACIÓN]]</f>
        <v>548</v>
      </c>
      <c r="U1608" t="str">
        <f>+IF(Tabla2[[#This Row],[dias de credito]]&gt;=Tabla2[[#This Row],[PLAZO Días]],"venc", "No venc")</f>
        <v>venc</v>
      </c>
      <c r="V1608" t="str">
        <f>+IF(Tabla2[[#This Row],[FECHA DE PAGO]]&gt;0,"pagada","por pagar")</f>
        <v>pagada</v>
      </c>
      <c r="W1608" s="141" t="str">
        <f>+IF(AND(Tabla2[[#This Row],[venc]]="venc",Tabla2[[#This Row],[Columna1]]="por pagar"),"vencida","no")</f>
        <v>no</v>
      </c>
    </row>
    <row r="1609" spans="1:23" ht="15.6" hidden="1" x14ac:dyDescent="0.3">
      <c r="A1609" s="20">
        <v>60</v>
      </c>
      <c r="B1609" s="25">
        <v>0</v>
      </c>
      <c r="C1609" s="25"/>
      <c r="D1609" s="56">
        <v>0</v>
      </c>
      <c r="E1609" s="426">
        <v>44802</v>
      </c>
      <c r="F1609" s="26" t="s">
        <v>633</v>
      </c>
      <c r="G1609" s="426">
        <v>44743</v>
      </c>
      <c r="H1609" s="35" t="s">
        <v>883</v>
      </c>
      <c r="I1609" s="21">
        <v>1591380</v>
      </c>
      <c r="J1609" s="21"/>
      <c r="K1609" s="22">
        <v>0</v>
      </c>
      <c r="L1609" s="23"/>
      <c r="M1609" s="22">
        <v>0</v>
      </c>
      <c r="N1609" s="74">
        <v>0</v>
      </c>
      <c r="O1609" s="22">
        <v>0</v>
      </c>
      <c r="P1609" s="21">
        <v>1591380</v>
      </c>
      <c r="S1609" s="108" t="b">
        <f>OR(COUNTIF(Tabla2[[#This Row],[PROVEEDOR]],"*"&amp;'Palabra no opera'!$A$2&amp;"*"))</f>
        <v>1</v>
      </c>
      <c r="T1609" s="139">
        <f>+$W$5-Tabla2[[#This Row],[FECHA DE FACTURACIÓN]]</f>
        <v>548</v>
      </c>
      <c r="U1609" t="str">
        <f>+IF(Tabla2[[#This Row],[dias de credito]]&gt;=Tabla2[[#This Row],[PLAZO Días]],"venc", "No venc")</f>
        <v>venc</v>
      </c>
      <c r="V1609" t="str">
        <f>+IF(Tabla2[[#This Row],[FECHA DE PAGO]]&gt;0,"pagada","por pagar")</f>
        <v>pagada</v>
      </c>
      <c r="W1609" s="141" t="str">
        <f>+IF(AND(Tabla2[[#This Row],[venc]]="venc",Tabla2[[#This Row],[Columna1]]="por pagar"),"vencida","no")</f>
        <v>no</v>
      </c>
    </row>
    <row r="1610" spans="1:23" ht="15.6" hidden="1" x14ac:dyDescent="0.3">
      <c r="A1610" s="20">
        <v>30</v>
      </c>
      <c r="B1610" s="25">
        <v>-66999.998800000001</v>
      </c>
      <c r="C1610" s="25"/>
      <c r="D1610" s="56" t="s">
        <v>187</v>
      </c>
      <c r="E1610" s="426">
        <v>44799</v>
      </c>
      <c r="F1610" s="26" t="s">
        <v>459</v>
      </c>
      <c r="G1610" s="426">
        <v>44769</v>
      </c>
      <c r="H1610" s="35" t="s">
        <v>855</v>
      </c>
      <c r="I1610" s="21">
        <v>-18487.39</v>
      </c>
      <c r="J1610" s="21"/>
      <c r="K1610" s="22">
        <v>-3512.6041</v>
      </c>
      <c r="L1610" s="23"/>
      <c r="M1610" s="22">
        <v>0</v>
      </c>
      <c r="N1610" s="74">
        <v>0</v>
      </c>
      <c r="O1610" s="22">
        <v>0</v>
      </c>
      <c r="P1610" s="21">
        <v>-21999.9941</v>
      </c>
      <c r="S1610" s="108" t="b">
        <f>OR(COUNTIF(Tabla2[[#This Row],[PROVEEDOR]],"*"&amp;'Palabra no opera'!$A$2&amp;"*"))</f>
        <v>0</v>
      </c>
      <c r="T1610" s="139">
        <f>+$W$5-Tabla2[[#This Row],[FECHA DE FACTURACIÓN]]</f>
        <v>522</v>
      </c>
      <c r="U1610" t="str">
        <f>+IF(Tabla2[[#This Row],[dias de credito]]&gt;=Tabla2[[#This Row],[PLAZO Días]],"venc", "No venc")</f>
        <v>venc</v>
      </c>
      <c r="V1610" t="str">
        <f>+IF(Tabla2[[#This Row],[FECHA DE PAGO]]&gt;0,"pagada","por pagar")</f>
        <v>pagada</v>
      </c>
      <c r="W1610" s="141" t="str">
        <f>+IF(AND(Tabla2[[#This Row],[venc]]="venc",Tabla2[[#This Row],[Columna1]]="por pagar"),"vencida","no")</f>
        <v>no</v>
      </c>
    </row>
    <row r="1611" spans="1:23" ht="15.6" hidden="1" x14ac:dyDescent="0.3">
      <c r="A1611" s="20">
        <v>30</v>
      </c>
      <c r="B1611" s="25">
        <v>0</v>
      </c>
      <c r="C1611" s="25"/>
      <c r="D1611" s="56" t="s">
        <v>277</v>
      </c>
      <c r="E1611" s="426">
        <v>44799</v>
      </c>
      <c r="F1611" s="26" t="s">
        <v>248</v>
      </c>
      <c r="G1611" s="426">
        <v>44769</v>
      </c>
      <c r="H1611" s="35" t="s">
        <v>846</v>
      </c>
      <c r="I1611" s="21">
        <v>3170940.64</v>
      </c>
      <c r="J1611" s="21"/>
      <c r="K1611" s="22">
        <v>602478.72160000005</v>
      </c>
      <c r="L1611" s="23"/>
      <c r="M1611" s="22">
        <v>0</v>
      </c>
      <c r="N1611" s="74">
        <v>0</v>
      </c>
      <c r="O1611" s="22">
        <v>0</v>
      </c>
      <c r="P1611" s="21">
        <v>3773419.3616000004</v>
      </c>
      <c r="S1611" s="108" t="b">
        <f>OR(COUNTIF(Tabla2[[#This Row],[PROVEEDOR]],"*"&amp;'Palabra no opera'!$A$2&amp;"*"))</f>
        <v>0</v>
      </c>
      <c r="T1611" s="139">
        <f>+$W$5-Tabla2[[#This Row],[FECHA DE FACTURACIÓN]]</f>
        <v>522</v>
      </c>
      <c r="U1611" t="str">
        <f>+IF(Tabla2[[#This Row],[dias de credito]]&gt;=Tabla2[[#This Row],[PLAZO Días]],"venc", "No venc")</f>
        <v>venc</v>
      </c>
      <c r="V1611" t="str">
        <f>+IF(Tabla2[[#This Row],[FECHA DE PAGO]]&gt;0,"pagada","por pagar")</f>
        <v>pagada</v>
      </c>
      <c r="W1611" s="141" t="str">
        <f>+IF(AND(Tabla2[[#This Row],[venc]]="venc",Tabla2[[#This Row],[Columna1]]="por pagar"),"vencida","no")</f>
        <v>no</v>
      </c>
    </row>
    <row r="1612" spans="1:23" ht="15.6" hidden="1" x14ac:dyDescent="0.3">
      <c r="A1612" s="20">
        <v>30</v>
      </c>
      <c r="B1612" s="25">
        <v>2773899.95</v>
      </c>
      <c r="C1612" s="25"/>
      <c r="D1612" s="56" t="s">
        <v>135</v>
      </c>
      <c r="E1612" s="426">
        <v>44799</v>
      </c>
      <c r="F1612" s="26" t="s">
        <v>20</v>
      </c>
      <c r="G1612" s="426">
        <v>44763</v>
      </c>
      <c r="H1612" s="35">
        <v>7441</v>
      </c>
      <c r="I1612" s="21">
        <v>1194240</v>
      </c>
      <c r="J1612" s="21"/>
      <c r="K1612" s="22">
        <v>226905.60000000001</v>
      </c>
      <c r="L1612" s="23"/>
      <c r="M1612" s="22">
        <v>0</v>
      </c>
      <c r="N1612" s="74">
        <v>2.5000000000000001E-2</v>
      </c>
      <c r="O1612" s="22">
        <v>29856</v>
      </c>
      <c r="P1612" s="21">
        <v>1391289.6</v>
      </c>
      <c r="S1612" s="108" t="b">
        <f>OR(COUNTIF(Tabla2[[#This Row],[PROVEEDOR]],"*"&amp;'Palabra no opera'!$A$2&amp;"*"))</f>
        <v>0</v>
      </c>
      <c r="T1612" s="139">
        <f>+$W$5-Tabla2[[#This Row],[FECHA DE FACTURACIÓN]]</f>
        <v>528</v>
      </c>
      <c r="U1612" t="str">
        <f>+IF(Tabla2[[#This Row],[dias de credito]]&gt;=Tabla2[[#This Row],[PLAZO Días]],"venc", "No venc")</f>
        <v>venc</v>
      </c>
      <c r="V1612" t="str">
        <f>+IF(Tabla2[[#This Row],[FECHA DE PAGO]]&gt;0,"pagada","por pagar")</f>
        <v>pagada</v>
      </c>
      <c r="W1612" s="141" t="str">
        <f>+IF(AND(Tabla2[[#This Row],[venc]]="venc",Tabla2[[#This Row],[Columna1]]="por pagar"),"vencida","no")</f>
        <v>no</v>
      </c>
    </row>
    <row r="1613" spans="1:23" ht="15.6" hidden="1" x14ac:dyDescent="0.3">
      <c r="A1613" s="20">
        <v>30</v>
      </c>
      <c r="B1613" s="25">
        <v>-66999.998800000001</v>
      </c>
      <c r="C1613" s="25"/>
      <c r="D1613" s="56" t="s">
        <v>187</v>
      </c>
      <c r="E1613" s="426">
        <v>44799</v>
      </c>
      <c r="F1613" s="26" t="s">
        <v>459</v>
      </c>
      <c r="G1613" s="426">
        <v>44744</v>
      </c>
      <c r="H1613" s="35">
        <v>2467</v>
      </c>
      <c r="I1613" s="21">
        <v>1194537.81</v>
      </c>
      <c r="J1613" s="21"/>
      <c r="K1613" s="22">
        <v>226962.1839</v>
      </c>
      <c r="L1613" s="23"/>
      <c r="M1613" s="22">
        <v>0</v>
      </c>
      <c r="N1613" s="74">
        <v>2.5000000000000001E-2</v>
      </c>
      <c r="O1613" s="22">
        <v>29863.445250000004</v>
      </c>
      <c r="P1613" s="21">
        <v>1391636.54865</v>
      </c>
      <c r="S1613" s="108" t="b">
        <f>OR(COUNTIF(Tabla2[[#This Row],[PROVEEDOR]],"*"&amp;'Palabra no opera'!$A$2&amp;"*"))</f>
        <v>0</v>
      </c>
      <c r="T1613" s="139">
        <f>+$W$5-Tabla2[[#This Row],[FECHA DE FACTURACIÓN]]</f>
        <v>547</v>
      </c>
      <c r="U1613" t="str">
        <f>+IF(Tabla2[[#This Row],[dias de credito]]&gt;=Tabla2[[#This Row],[PLAZO Días]],"venc", "No venc")</f>
        <v>venc</v>
      </c>
      <c r="V1613" t="str">
        <f>+IF(Tabla2[[#This Row],[FECHA DE PAGO]]&gt;0,"pagada","por pagar")</f>
        <v>pagada</v>
      </c>
      <c r="W1613" s="141" t="str">
        <f>+IF(AND(Tabla2[[#This Row],[venc]]="venc",Tabla2[[#This Row],[Columna1]]="por pagar"),"vencida","no")</f>
        <v>no</v>
      </c>
    </row>
    <row r="1614" spans="1:23" ht="15.6" hidden="1" x14ac:dyDescent="0.3">
      <c r="A1614" s="20">
        <v>30</v>
      </c>
      <c r="B1614" s="25">
        <v>2773899.95</v>
      </c>
      <c r="C1614" s="25"/>
      <c r="D1614" s="56" t="s">
        <v>135</v>
      </c>
      <c r="E1614" s="426">
        <v>44799</v>
      </c>
      <c r="F1614" s="26" t="s">
        <v>20</v>
      </c>
      <c r="G1614" s="426">
        <v>44743</v>
      </c>
      <c r="H1614" s="35">
        <v>7306</v>
      </c>
      <c r="I1614" s="21">
        <v>779500</v>
      </c>
      <c r="J1614" s="21"/>
      <c r="K1614" s="22">
        <v>148105</v>
      </c>
      <c r="L1614" s="23"/>
      <c r="M1614" s="22">
        <v>0</v>
      </c>
      <c r="N1614" s="74">
        <v>0</v>
      </c>
      <c r="O1614" s="22">
        <v>0</v>
      </c>
      <c r="P1614" s="21">
        <v>927605</v>
      </c>
      <c r="S1614" s="108" t="b">
        <f>OR(COUNTIF(Tabla2[[#This Row],[PROVEEDOR]],"*"&amp;'Palabra no opera'!$A$2&amp;"*"))</f>
        <v>0</v>
      </c>
      <c r="T1614" s="139">
        <f>+$W$5-Tabla2[[#This Row],[FECHA DE FACTURACIÓN]]</f>
        <v>548</v>
      </c>
      <c r="U1614" t="str">
        <f>+IF(Tabla2[[#This Row],[dias de credito]]&gt;=Tabla2[[#This Row],[PLAZO Días]],"venc", "No venc")</f>
        <v>venc</v>
      </c>
      <c r="V1614" t="str">
        <f>+IF(Tabla2[[#This Row],[FECHA DE PAGO]]&gt;0,"pagada","por pagar")</f>
        <v>pagada</v>
      </c>
      <c r="W1614" s="141" t="str">
        <f>+IF(AND(Tabla2[[#This Row],[venc]]="venc",Tabla2[[#This Row],[Columna1]]="por pagar"),"vencida","no")</f>
        <v>no</v>
      </c>
    </row>
    <row r="1615" spans="1:23" ht="15.6" hidden="1" x14ac:dyDescent="0.3">
      <c r="A1615" s="20">
        <v>30</v>
      </c>
      <c r="B1615" s="25">
        <v>2773899.95</v>
      </c>
      <c r="C1615" s="25"/>
      <c r="D1615" s="56" t="s">
        <v>135</v>
      </c>
      <c r="E1615" s="426">
        <v>44799</v>
      </c>
      <c r="F1615" s="26" t="s">
        <v>20</v>
      </c>
      <c r="G1615" s="426">
        <v>44741</v>
      </c>
      <c r="H1615" s="35">
        <v>7283</v>
      </c>
      <c r="I1615" s="21">
        <v>1919422</v>
      </c>
      <c r="J1615" s="21"/>
      <c r="K1615" s="22">
        <v>364690.18</v>
      </c>
      <c r="L1615" s="23"/>
      <c r="M1615" s="22">
        <v>0</v>
      </c>
      <c r="N1615" s="74">
        <v>2.5000000000000001E-2</v>
      </c>
      <c r="O1615" s="22">
        <v>47985.55</v>
      </c>
      <c r="P1615" s="21">
        <v>2236126.6300000004</v>
      </c>
      <c r="S1615" s="108" t="b">
        <f>OR(COUNTIF(Tabla2[[#This Row],[PROVEEDOR]],"*"&amp;'Palabra no opera'!$A$2&amp;"*"))</f>
        <v>0</v>
      </c>
      <c r="T1615" s="139">
        <f>+$W$5-Tabla2[[#This Row],[FECHA DE FACTURACIÓN]]</f>
        <v>550</v>
      </c>
      <c r="U1615" t="str">
        <f>+IF(Tabla2[[#This Row],[dias de credito]]&gt;=Tabla2[[#This Row],[PLAZO Días]],"venc", "No venc")</f>
        <v>venc</v>
      </c>
      <c r="V1615" t="str">
        <f>+IF(Tabla2[[#This Row],[FECHA DE PAGO]]&gt;0,"pagada","por pagar")</f>
        <v>pagada</v>
      </c>
      <c r="W1615" s="141" t="str">
        <f>+IF(AND(Tabla2[[#This Row],[venc]]="venc",Tabla2[[#This Row],[Columna1]]="por pagar"),"vencida","no")</f>
        <v>no</v>
      </c>
    </row>
    <row r="1616" spans="1:23" ht="15.6" hidden="1" x14ac:dyDescent="0.3">
      <c r="A1616" s="20">
        <v>30</v>
      </c>
      <c r="B1616" s="25">
        <v>-66999.998800000001</v>
      </c>
      <c r="C1616" s="25"/>
      <c r="D1616" s="56" t="s">
        <v>187</v>
      </c>
      <c r="E1616" s="426">
        <v>44799</v>
      </c>
      <c r="F1616" s="26" t="s">
        <v>459</v>
      </c>
      <c r="G1616" s="426">
        <v>44728</v>
      </c>
      <c r="H1616" s="35">
        <v>2396</v>
      </c>
      <c r="I1616" s="21">
        <v>1458823.53</v>
      </c>
      <c r="J1616" s="21"/>
      <c r="K1616" s="22">
        <v>277176.47070000001</v>
      </c>
      <c r="L1616" s="23"/>
      <c r="M1616" s="22">
        <v>0</v>
      </c>
      <c r="N1616" s="74">
        <v>2.5000000000000001E-2</v>
      </c>
      <c r="O1616" s="22">
        <v>36470.588250000001</v>
      </c>
      <c r="P1616" s="21">
        <v>1699529.4124499999</v>
      </c>
      <c r="S1616" s="108" t="b">
        <f>OR(COUNTIF(Tabla2[[#This Row],[PROVEEDOR]],"*"&amp;'Palabra no opera'!$A$2&amp;"*"))</f>
        <v>0</v>
      </c>
      <c r="T1616" s="139">
        <f>+$W$5-Tabla2[[#This Row],[FECHA DE FACTURACIÓN]]</f>
        <v>563</v>
      </c>
      <c r="U1616" t="str">
        <f>+IF(Tabla2[[#This Row],[dias de credito]]&gt;=Tabla2[[#This Row],[PLAZO Días]],"venc", "No venc")</f>
        <v>venc</v>
      </c>
      <c r="V1616" t="str">
        <f>+IF(Tabla2[[#This Row],[FECHA DE PAGO]]&gt;0,"pagada","por pagar")</f>
        <v>pagada</v>
      </c>
      <c r="W1616" s="141" t="str">
        <f>+IF(AND(Tabla2[[#This Row],[venc]]="venc",Tabla2[[#This Row],[Columna1]]="por pagar"),"vencida","no")</f>
        <v>no</v>
      </c>
    </row>
    <row r="1617" spans="1:23" ht="15.6" hidden="1" x14ac:dyDescent="0.3">
      <c r="A1617" s="20">
        <v>30</v>
      </c>
      <c r="B1617" s="25">
        <v>-66999.998800000001</v>
      </c>
      <c r="C1617" s="25" t="s">
        <v>762</v>
      </c>
      <c r="D1617" s="56" t="s">
        <v>187</v>
      </c>
      <c r="E1617" s="426">
        <v>44799</v>
      </c>
      <c r="F1617" s="26" t="s">
        <v>459</v>
      </c>
      <c r="G1617" s="426">
        <v>44718</v>
      </c>
      <c r="H1617" s="35" t="s">
        <v>761</v>
      </c>
      <c r="I1617" s="21">
        <v>4845</v>
      </c>
      <c r="J1617" s="21"/>
      <c r="K1617" s="22">
        <v>920.55</v>
      </c>
      <c r="L1617" s="23"/>
      <c r="M1617" s="22">
        <v>0</v>
      </c>
      <c r="N1617" s="74">
        <v>0</v>
      </c>
      <c r="O1617" s="22">
        <v>0</v>
      </c>
      <c r="P1617" s="21">
        <v>5765.55</v>
      </c>
      <c r="S1617" s="108" t="b">
        <f>OR(COUNTIF(Tabla2[[#This Row],[PROVEEDOR]],"*"&amp;'Palabra no opera'!$A$2&amp;"*"))</f>
        <v>0</v>
      </c>
      <c r="T1617" s="139">
        <f>+$W$5-Tabla2[[#This Row],[FECHA DE FACTURACIÓN]]</f>
        <v>573</v>
      </c>
      <c r="U1617" t="str">
        <f>+IF(Tabla2[[#This Row],[dias de credito]]&gt;=Tabla2[[#This Row],[PLAZO Días]],"venc", "No venc")</f>
        <v>venc</v>
      </c>
      <c r="V1617" t="str">
        <f>+IF(Tabla2[[#This Row],[FECHA DE PAGO]]&gt;0,"pagada","por pagar")</f>
        <v>pagada</v>
      </c>
      <c r="W1617" s="141" t="str">
        <f>+IF(AND(Tabla2[[#This Row],[venc]]="venc",Tabla2[[#This Row],[Columna1]]="por pagar"),"vencida","no")</f>
        <v>no</v>
      </c>
    </row>
    <row r="1618" spans="1:23" ht="15.6" hidden="1" x14ac:dyDescent="0.3">
      <c r="A1618" s="20">
        <v>0</v>
      </c>
      <c r="B1618" s="25">
        <v>0</v>
      </c>
      <c r="C1618" s="25"/>
      <c r="D1618" s="56" t="s">
        <v>143</v>
      </c>
      <c r="E1618" s="426">
        <v>44797</v>
      </c>
      <c r="F1618" s="26" t="s">
        <v>1064</v>
      </c>
      <c r="G1618" s="426">
        <v>44797</v>
      </c>
      <c r="H1618" s="35" t="s">
        <v>1065</v>
      </c>
      <c r="I1618" s="21">
        <v>238655.46</v>
      </c>
      <c r="J1618" s="21"/>
      <c r="K1618" s="22">
        <v>45344.537400000001</v>
      </c>
      <c r="L1618" s="23"/>
      <c r="M1618" s="22">
        <v>0</v>
      </c>
      <c r="N1618" s="74">
        <v>0</v>
      </c>
      <c r="O1618" s="22">
        <v>0</v>
      </c>
      <c r="P1618" s="21">
        <v>283999.99739999999</v>
      </c>
      <c r="S1618" s="108" t="b">
        <f>OR(COUNTIF(Tabla2[[#This Row],[PROVEEDOR]],"*"&amp;'Palabra no opera'!$A$2&amp;"*"))</f>
        <v>1</v>
      </c>
      <c r="T1618" s="139">
        <f>+$W$5-Tabla2[[#This Row],[FECHA DE FACTURACIÓN]]</f>
        <v>494</v>
      </c>
      <c r="U1618" t="str">
        <f>+IF(Tabla2[[#This Row],[dias de credito]]&gt;=Tabla2[[#This Row],[PLAZO Días]],"venc", "No venc")</f>
        <v>venc</v>
      </c>
      <c r="V1618" t="str">
        <f>+IF(Tabla2[[#This Row],[FECHA DE PAGO]]&gt;0,"pagada","por pagar")</f>
        <v>pagada</v>
      </c>
      <c r="W1618" s="141" t="str">
        <f>+IF(AND(Tabla2[[#This Row],[venc]]="venc",Tabla2[[#This Row],[Columna1]]="por pagar"),"vencida","no")</f>
        <v>no</v>
      </c>
    </row>
    <row r="1619" spans="1:23" ht="15.6" hidden="1" x14ac:dyDescent="0.3">
      <c r="A1619" s="20">
        <v>30</v>
      </c>
      <c r="B1619" s="25">
        <v>0</v>
      </c>
      <c r="C1619" s="25"/>
      <c r="D1619" s="56" t="s">
        <v>107</v>
      </c>
      <c r="E1619" s="426">
        <v>44797</v>
      </c>
      <c r="F1619" s="26" t="s">
        <v>23</v>
      </c>
      <c r="G1619" s="426">
        <v>44796</v>
      </c>
      <c r="H1619" s="35">
        <v>293703</v>
      </c>
      <c r="I1619" s="21">
        <v>15669538</v>
      </c>
      <c r="J1619" s="21"/>
      <c r="K1619" s="22">
        <v>0</v>
      </c>
      <c r="L1619" s="23"/>
      <c r="M1619" s="22">
        <v>0</v>
      </c>
      <c r="N1619" s="74">
        <v>0</v>
      </c>
      <c r="O1619" s="22">
        <v>0</v>
      </c>
      <c r="P1619" s="21">
        <v>15669538</v>
      </c>
      <c r="S1619" s="108" t="b">
        <f>OR(COUNTIF(Tabla2[[#This Row],[PROVEEDOR]],"*"&amp;'Palabra no opera'!$A$2&amp;"*"))</f>
        <v>0</v>
      </c>
      <c r="T1619" s="139">
        <f>+$W$5-Tabla2[[#This Row],[FECHA DE FACTURACIÓN]]</f>
        <v>495</v>
      </c>
      <c r="U1619" t="str">
        <f>+IF(Tabla2[[#This Row],[dias de credito]]&gt;=Tabla2[[#This Row],[PLAZO Días]],"venc", "No venc")</f>
        <v>venc</v>
      </c>
      <c r="V1619" t="str">
        <f>+IF(Tabla2[[#This Row],[FECHA DE PAGO]]&gt;0,"pagada","por pagar")</f>
        <v>pagada</v>
      </c>
      <c r="W1619" s="141" t="str">
        <f>+IF(AND(Tabla2[[#This Row],[venc]]="venc",Tabla2[[#This Row],[Columna1]]="por pagar"),"vencida","no")</f>
        <v>no</v>
      </c>
    </row>
    <row r="1620" spans="1:23" ht="15.6" hidden="1" x14ac:dyDescent="0.3">
      <c r="A1620" s="20">
        <v>30</v>
      </c>
      <c r="B1620" s="25">
        <v>0</v>
      </c>
      <c r="C1620" s="25"/>
      <c r="D1620" s="56" t="s">
        <v>107</v>
      </c>
      <c r="E1620" s="426">
        <v>44796</v>
      </c>
      <c r="F1620" s="26" t="s">
        <v>832</v>
      </c>
      <c r="G1620" s="426">
        <v>44795</v>
      </c>
      <c r="H1620" s="35" t="s">
        <v>930</v>
      </c>
      <c r="I1620" s="21">
        <v>146790</v>
      </c>
      <c r="J1620" s="21"/>
      <c r="K1620" s="22">
        <v>0</v>
      </c>
      <c r="L1620" s="23"/>
      <c r="M1620" s="22">
        <v>0</v>
      </c>
      <c r="N1620" s="74">
        <v>0</v>
      </c>
      <c r="O1620" s="22">
        <v>0</v>
      </c>
      <c r="P1620" s="21">
        <v>146790</v>
      </c>
      <c r="S1620" s="108" t="b">
        <f>OR(COUNTIF(Tabla2[[#This Row],[PROVEEDOR]],"*"&amp;'Palabra no opera'!$A$2&amp;"*"))</f>
        <v>1</v>
      </c>
      <c r="T1620" s="139">
        <f>+$W$5-Tabla2[[#This Row],[FECHA DE FACTURACIÓN]]</f>
        <v>496</v>
      </c>
      <c r="U1620" t="str">
        <f>+IF(Tabla2[[#This Row],[dias de credito]]&gt;=Tabla2[[#This Row],[PLAZO Días]],"venc", "No venc")</f>
        <v>venc</v>
      </c>
      <c r="V1620" t="str">
        <f>+IF(Tabla2[[#This Row],[FECHA DE PAGO]]&gt;0,"pagada","por pagar")</f>
        <v>pagada</v>
      </c>
      <c r="W1620" s="141" t="str">
        <f>+IF(AND(Tabla2[[#This Row],[venc]]="venc",Tabla2[[#This Row],[Columna1]]="por pagar"),"vencida","no")</f>
        <v>no</v>
      </c>
    </row>
    <row r="1621" spans="1:23" ht="15.6" hidden="1" x14ac:dyDescent="0.3">
      <c r="A1621" s="20">
        <v>30</v>
      </c>
      <c r="B1621" s="25">
        <v>0</v>
      </c>
      <c r="C1621" s="25"/>
      <c r="D1621" s="56" t="s">
        <v>942</v>
      </c>
      <c r="E1621" s="426">
        <v>44796</v>
      </c>
      <c r="F1621" s="26" t="s">
        <v>829</v>
      </c>
      <c r="G1621" s="426">
        <v>44795</v>
      </c>
      <c r="H1621" s="35" t="s">
        <v>950</v>
      </c>
      <c r="I1621" s="21">
        <v>1259000</v>
      </c>
      <c r="J1621" s="21"/>
      <c r="K1621" s="22">
        <v>0</v>
      </c>
      <c r="L1621" s="23"/>
      <c r="M1621" s="22">
        <v>0</v>
      </c>
      <c r="N1621" s="74">
        <v>2.5000000000000001E-2</v>
      </c>
      <c r="O1621" s="22">
        <v>31475</v>
      </c>
      <c r="P1621" s="21">
        <v>1227525</v>
      </c>
      <c r="S1621" s="108" t="b">
        <f>OR(COUNTIF(Tabla2[[#This Row],[PROVEEDOR]],"*"&amp;'Palabra no opera'!$A$2&amp;"*"))</f>
        <v>1</v>
      </c>
      <c r="T1621" s="139">
        <f>+$W$5-Tabla2[[#This Row],[FECHA DE FACTURACIÓN]]</f>
        <v>496</v>
      </c>
      <c r="U1621" t="str">
        <f>+IF(Tabla2[[#This Row],[dias de credito]]&gt;=Tabla2[[#This Row],[PLAZO Días]],"venc", "No venc")</f>
        <v>venc</v>
      </c>
      <c r="V1621" t="str">
        <f>+IF(Tabla2[[#This Row],[FECHA DE PAGO]]&gt;0,"pagada","por pagar")</f>
        <v>pagada</v>
      </c>
      <c r="W1621" s="141" t="str">
        <f>+IF(AND(Tabla2[[#This Row],[venc]]="venc",Tabla2[[#This Row],[Columna1]]="por pagar"),"vencida","no")</f>
        <v>no</v>
      </c>
    </row>
    <row r="1622" spans="1:23" ht="15.6" hidden="1" x14ac:dyDescent="0.3">
      <c r="A1622" s="20">
        <v>30</v>
      </c>
      <c r="B1622" s="25">
        <v>0</v>
      </c>
      <c r="C1622" s="25"/>
      <c r="D1622" s="56" t="s">
        <v>107</v>
      </c>
      <c r="E1622" s="426">
        <v>44796</v>
      </c>
      <c r="F1622" s="26" t="s">
        <v>832</v>
      </c>
      <c r="G1622" s="426">
        <v>44793</v>
      </c>
      <c r="H1622" s="35" t="s">
        <v>929</v>
      </c>
      <c r="I1622" s="21">
        <v>101400</v>
      </c>
      <c r="J1622" s="21"/>
      <c r="K1622" s="22">
        <v>0</v>
      </c>
      <c r="L1622" s="23"/>
      <c r="M1622" s="22">
        <v>0</v>
      </c>
      <c r="N1622" s="74">
        <v>0</v>
      </c>
      <c r="O1622" s="22">
        <v>0</v>
      </c>
      <c r="P1622" s="21">
        <v>101400</v>
      </c>
      <c r="S1622" s="108" t="b">
        <f>OR(COUNTIF(Tabla2[[#This Row],[PROVEEDOR]],"*"&amp;'Palabra no opera'!$A$2&amp;"*"))</f>
        <v>1</v>
      </c>
      <c r="T1622" s="139">
        <f>+$W$5-Tabla2[[#This Row],[FECHA DE FACTURACIÓN]]</f>
        <v>498</v>
      </c>
      <c r="U1622" t="str">
        <f>+IF(Tabla2[[#This Row],[dias de credito]]&gt;=Tabla2[[#This Row],[PLAZO Días]],"venc", "No venc")</f>
        <v>venc</v>
      </c>
      <c r="V1622" t="str">
        <f>+IF(Tabla2[[#This Row],[FECHA DE PAGO]]&gt;0,"pagada","por pagar")</f>
        <v>pagada</v>
      </c>
      <c r="W1622" s="141" t="str">
        <f>+IF(AND(Tabla2[[#This Row],[venc]]="venc",Tabla2[[#This Row],[Columna1]]="por pagar"),"vencida","no")</f>
        <v>no</v>
      </c>
    </row>
    <row r="1623" spans="1:23" ht="15.6" hidden="1" x14ac:dyDescent="0.3">
      <c r="A1623" s="20">
        <v>30</v>
      </c>
      <c r="B1623" s="25">
        <v>0</v>
      </c>
      <c r="C1623" s="25" t="s">
        <v>918</v>
      </c>
      <c r="D1623" s="56" t="s">
        <v>107</v>
      </c>
      <c r="E1623" s="426">
        <v>44796</v>
      </c>
      <c r="F1623" s="26" t="s">
        <v>832</v>
      </c>
      <c r="G1623" s="426">
        <v>44790</v>
      </c>
      <c r="H1623" s="35" t="s">
        <v>862</v>
      </c>
      <c r="I1623" s="21">
        <v>-120000</v>
      </c>
      <c r="J1623" s="21"/>
      <c r="K1623" s="22">
        <v>0</v>
      </c>
      <c r="L1623" s="23"/>
      <c r="M1623" s="22">
        <v>0</v>
      </c>
      <c r="N1623" s="74">
        <v>0</v>
      </c>
      <c r="O1623" s="22">
        <v>0</v>
      </c>
      <c r="P1623" s="21">
        <v>-120000</v>
      </c>
      <c r="S1623" s="108" t="b">
        <f>OR(COUNTIF(Tabla2[[#This Row],[PROVEEDOR]],"*"&amp;'Palabra no opera'!$A$2&amp;"*"))</f>
        <v>1</v>
      </c>
      <c r="T1623" s="139">
        <f>+$W$5-Tabla2[[#This Row],[FECHA DE FACTURACIÓN]]</f>
        <v>501</v>
      </c>
      <c r="U1623" t="str">
        <f>+IF(Tabla2[[#This Row],[dias de credito]]&gt;=Tabla2[[#This Row],[PLAZO Días]],"venc", "No venc")</f>
        <v>venc</v>
      </c>
      <c r="V1623" t="str">
        <f>+IF(Tabla2[[#This Row],[FECHA DE PAGO]]&gt;0,"pagada","por pagar")</f>
        <v>pagada</v>
      </c>
      <c r="W1623" s="141" t="str">
        <f>+IF(AND(Tabla2[[#This Row],[venc]]="venc",Tabla2[[#This Row],[Columna1]]="por pagar"),"vencida","no")</f>
        <v>no</v>
      </c>
    </row>
    <row r="1624" spans="1:23" ht="15.6" hidden="1" x14ac:dyDescent="0.3">
      <c r="A1624" s="20">
        <v>30</v>
      </c>
      <c r="B1624" s="25">
        <v>0</v>
      </c>
      <c r="C1624" s="25"/>
      <c r="D1624" s="56" t="s">
        <v>107</v>
      </c>
      <c r="E1624" s="426">
        <v>44796</v>
      </c>
      <c r="F1624" s="26" t="s">
        <v>832</v>
      </c>
      <c r="G1624" s="426">
        <v>44790</v>
      </c>
      <c r="H1624" s="35" t="s">
        <v>923</v>
      </c>
      <c r="I1624" s="21">
        <v>178500</v>
      </c>
      <c r="J1624" s="21"/>
      <c r="K1624" s="22">
        <v>0</v>
      </c>
      <c r="L1624" s="23"/>
      <c r="M1624" s="22">
        <v>0</v>
      </c>
      <c r="N1624" s="74">
        <v>0</v>
      </c>
      <c r="O1624" s="22">
        <v>0</v>
      </c>
      <c r="P1624" s="21">
        <v>178500</v>
      </c>
      <c r="S1624" s="108" t="b">
        <f>OR(COUNTIF(Tabla2[[#This Row],[PROVEEDOR]],"*"&amp;'Palabra no opera'!$A$2&amp;"*"))</f>
        <v>1</v>
      </c>
      <c r="T1624" s="139">
        <f>+$W$5-Tabla2[[#This Row],[FECHA DE FACTURACIÓN]]</f>
        <v>501</v>
      </c>
      <c r="U1624" t="str">
        <f>+IF(Tabla2[[#This Row],[dias de credito]]&gt;=Tabla2[[#This Row],[PLAZO Días]],"venc", "No venc")</f>
        <v>venc</v>
      </c>
      <c r="V1624" t="str">
        <f>+IF(Tabla2[[#This Row],[FECHA DE PAGO]]&gt;0,"pagada","por pagar")</f>
        <v>pagada</v>
      </c>
      <c r="W1624" s="141" t="str">
        <f>+IF(AND(Tabla2[[#This Row],[venc]]="venc",Tabla2[[#This Row],[Columna1]]="por pagar"),"vencida","no")</f>
        <v>no</v>
      </c>
    </row>
    <row r="1625" spans="1:23" ht="15.6" hidden="1" x14ac:dyDescent="0.3">
      <c r="A1625" s="20">
        <v>30</v>
      </c>
      <c r="B1625" s="25">
        <v>0</v>
      </c>
      <c r="C1625" s="25"/>
      <c r="D1625" s="56" t="s">
        <v>107</v>
      </c>
      <c r="E1625" s="426">
        <v>44796</v>
      </c>
      <c r="F1625" s="26" t="s">
        <v>832</v>
      </c>
      <c r="G1625" s="426">
        <v>44790</v>
      </c>
      <c r="H1625" s="35" t="s">
        <v>862</v>
      </c>
      <c r="I1625" s="21">
        <v>293580</v>
      </c>
      <c r="J1625" s="21"/>
      <c r="K1625" s="22">
        <v>0</v>
      </c>
      <c r="L1625" s="23"/>
      <c r="M1625" s="22">
        <v>0</v>
      </c>
      <c r="N1625" s="74">
        <v>0</v>
      </c>
      <c r="O1625" s="22">
        <v>0</v>
      </c>
      <c r="P1625" s="21">
        <v>293580</v>
      </c>
      <c r="S1625" s="108" t="b">
        <f>OR(COUNTIF(Tabla2[[#This Row],[PROVEEDOR]],"*"&amp;'Palabra no opera'!$A$2&amp;"*"))</f>
        <v>1</v>
      </c>
      <c r="T1625" s="139">
        <f>+$W$5-Tabla2[[#This Row],[FECHA DE FACTURACIÓN]]</f>
        <v>501</v>
      </c>
      <c r="U1625" t="str">
        <f>+IF(Tabla2[[#This Row],[dias de credito]]&gt;=Tabla2[[#This Row],[PLAZO Días]],"venc", "No venc")</f>
        <v>venc</v>
      </c>
      <c r="V1625" t="str">
        <f>+IF(Tabla2[[#This Row],[FECHA DE PAGO]]&gt;0,"pagada","por pagar")</f>
        <v>pagada</v>
      </c>
      <c r="W1625" s="141" t="str">
        <f>+IF(AND(Tabla2[[#This Row],[venc]]="venc",Tabla2[[#This Row],[Columna1]]="por pagar"),"vencida","no")</f>
        <v>no</v>
      </c>
    </row>
    <row r="1626" spans="1:23" ht="15.6" hidden="1" x14ac:dyDescent="0.3">
      <c r="A1626" s="20">
        <v>30</v>
      </c>
      <c r="B1626" s="25">
        <v>0</v>
      </c>
      <c r="C1626" s="25"/>
      <c r="D1626" s="56" t="s">
        <v>194</v>
      </c>
      <c r="E1626" s="426">
        <v>44796</v>
      </c>
      <c r="F1626" s="26" t="s">
        <v>640</v>
      </c>
      <c r="G1626" s="426">
        <v>44783</v>
      </c>
      <c r="H1626" s="35" t="s">
        <v>880</v>
      </c>
      <c r="I1626" s="21">
        <v>1070000</v>
      </c>
      <c r="J1626" s="21"/>
      <c r="K1626" s="22">
        <v>0</v>
      </c>
      <c r="L1626" s="23"/>
      <c r="M1626" s="22">
        <v>0</v>
      </c>
      <c r="N1626" s="74">
        <v>0</v>
      </c>
      <c r="O1626" s="22">
        <v>0</v>
      </c>
      <c r="P1626" s="21">
        <v>1070000</v>
      </c>
      <c r="S1626" s="108" t="b">
        <f>OR(COUNTIF(Tabla2[[#This Row],[PROVEEDOR]],"*"&amp;'Palabra no opera'!$A$2&amp;"*"))</f>
        <v>1</v>
      </c>
      <c r="T1626" s="139">
        <f>+$W$5-Tabla2[[#This Row],[FECHA DE FACTURACIÓN]]</f>
        <v>508</v>
      </c>
      <c r="U1626" t="str">
        <f>+IF(Tabla2[[#This Row],[dias de credito]]&gt;=Tabla2[[#This Row],[PLAZO Días]],"venc", "No venc")</f>
        <v>venc</v>
      </c>
      <c r="V1626" t="str">
        <f>+IF(Tabla2[[#This Row],[FECHA DE PAGO]]&gt;0,"pagada","por pagar")</f>
        <v>pagada</v>
      </c>
      <c r="W1626" s="141" t="str">
        <f>+IF(AND(Tabla2[[#This Row],[venc]]="venc",Tabla2[[#This Row],[Columna1]]="por pagar"),"vencida","no")</f>
        <v>no</v>
      </c>
    </row>
    <row r="1627" spans="1:23" ht="15.6" hidden="1" x14ac:dyDescent="0.3">
      <c r="A1627" s="20">
        <v>30</v>
      </c>
      <c r="B1627" s="25">
        <v>0</v>
      </c>
      <c r="C1627" s="25"/>
      <c r="D1627" s="56">
        <v>0</v>
      </c>
      <c r="E1627" s="426">
        <v>44796</v>
      </c>
      <c r="F1627" s="26" t="s">
        <v>413</v>
      </c>
      <c r="G1627" s="426">
        <v>44767</v>
      </c>
      <c r="H1627" s="35" t="s">
        <v>856</v>
      </c>
      <c r="I1627" s="21">
        <v>1170000</v>
      </c>
      <c r="J1627" s="21"/>
      <c r="K1627" s="22">
        <v>0</v>
      </c>
      <c r="L1627" s="23"/>
      <c r="M1627" s="22">
        <v>0</v>
      </c>
      <c r="N1627" s="74">
        <v>0</v>
      </c>
      <c r="O1627" s="22">
        <v>0</v>
      </c>
      <c r="P1627" s="21">
        <v>1170000</v>
      </c>
      <c r="S1627" s="108" t="b">
        <f>OR(COUNTIF(Tabla2[[#This Row],[PROVEEDOR]],"*"&amp;'Palabra no opera'!$A$2&amp;"*"))</f>
        <v>0</v>
      </c>
      <c r="T1627" s="139">
        <f>+$W$5-Tabla2[[#This Row],[FECHA DE FACTURACIÓN]]</f>
        <v>524</v>
      </c>
      <c r="U1627" t="str">
        <f>+IF(Tabla2[[#This Row],[dias de credito]]&gt;=Tabla2[[#This Row],[PLAZO Días]],"venc", "No venc")</f>
        <v>venc</v>
      </c>
      <c r="V1627" t="str">
        <f>+IF(Tabla2[[#This Row],[FECHA DE PAGO]]&gt;0,"pagada","por pagar")</f>
        <v>pagada</v>
      </c>
      <c r="W1627" s="141" t="str">
        <f>+IF(AND(Tabla2[[#This Row],[venc]]="venc",Tabla2[[#This Row],[Columna1]]="por pagar"),"vencida","no")</f>
        <v>no</v>
      </c>
    </row>
    <row r="1628" spans="1:23" ht="15.6" hidden="1" x14ac:dyDescent="0.3">
      <c r="A1628" s="20">
        <v>45</v>
      </c>
      <c r="B1628" s="25">
        <v>15770594</v>
      </c>
      <c r="C1628" s="25"/>
      <c r="D1628" s="56" t="s">
        <v>594</v>
      </c>
      <c r="E1628" s="426">
        <v>44796</v>
      </c>
      <c r="F1628" s="26" t="s">
        <v>19</v>
      </c>
      <c r="G1628" s="426">
        <v>44740</v>
      </c>
      <c r="H1628" s="35" t="s">
        <v>804</v>
      </c>
      <c r="I1628" s="21">
        <v>1122560</v>
      </c>
      <c r="J1628" s="21"/>
      <c r="K1628" s="22">
        <v>213286.39999999999</v>
      </c>
      <c r="L1628" s="23"/>
      <c r="M1628" s="22">
        <v>0</v>
      </c>
      <c r="N1628" s="74">
        <v>0</v>
      </c>
      <c r="O1628" s="22">
        <v>0</v>
      </c>
      <c r="P1628" s="21">
        <v>1335846.3999999999</v>
      </c>
      <c r="S1628" s="108" t="b">
        <f>OR(COUNTIF(Tabla2[[#This Row],[PROVEEDOR]],"*"&amp;'Palabra no opera'!$A$2&amp;"*"))</f>
        <v>0</v>
      </c>
      <c r="T1628" s="139">
        <f>+$W$5-Tabla2[[#This Row],[FECHA DE FACTURACIÓN]]</f>
        <v>551</v>
      </c>
      <c r="U1628" t="str">
        <f>+IF(Tabla2[[#This Row],[dias de credito]]&gt;=Tabla2[[#This Row],[PLAZO Días]],"venc", "No venc")</f>
        <v>venc</v>
      </c>
      <c r="V1628" t="str">
        <f>+IF(Tabla2[[#This Row],[FECHA DE PAGO]]&gt;0,"pagada","por pagar")</f>
        <v>pagada</v>
      </c>
      <c r="W1628" s="141" t="str">
        <f>+IF(AND(Tabla2[[#This Row],[venc]]="venc",Tabla2[[#This Row],[Columna1]]="por pagar"),"vencida","no")</f>
        <v>no</v>
      </c>
    </row>
    <row r="1629" spans="1:23" ht="15.6" hidden="1" x14ac:dyDescent="0.3">
      <c r="A1629" s="20">
        <v>45</v>
      </c>
      <c r="B1629" s="25">
        <v>15770594</v>
      </c>
      <c r="C1629" s="25"/>
      <c r="D1629" s="56" t="s">
        <v>594</v>
      </c>
      <c r="E1629" s="426">
        <v>44796</v>
      </c>
      <c r="F1629" s="26" t="s">
        <v>19</v>
      </c>
      <c r="G1629" s="426">
        <v>44734</v>
      </c>
      <c r="H1629" s="35" t="s">
        <v>764</v>
      </c>
      <c r="I1629" s="21">
        <v>14080000</v>
      </c>
      <c r="J1629" s="21"/>
      <c r="K1629" s="22">
        <v>2675200</v>
      </c>
      <c r="L1629" s="23"/>
      <c r="M1629" s="22">
        <v>0</v>
      </c>
      <c r="N1629" s="74">
        <v>0</v>
      </c>
      <c r="O1629" s="22">
        <v>0</v>
      </c>
      <c r="P1629" s="21">
        <v>16755200</v>
      </c>
      <c r="S1629" s="108" t="b">
        <f>OR(COUNTIF(Tabla2[[#This Row],[PROVEEDOR]],"*"&amp;'Palabra no opera'!$A$2&amp;"*"))</f>
        <v>0</v>
      </c>
      <c r="T1629" s="139">
        <f>+$W$5-Tabla2[[#This Row],[FECHA DE FACTURACIÓN]]</f>
        <v>557</v>
      </c>
      <c r="U1629" t="str">
        <f>+IF(Tabla2[[#This Row],[dias de credito]]&gt;=Tabla2[[#This Row],[PLAZO Días]],"venc", "No venc")</f>
        <v>venc</v>
      </c>
      <c r="V1629" t="str">
        <f>+IF(Tabla2[[#This Row],[FECHA DE PAGO]]&gt;0,"pagada","por pagar")</f>
        <v>pagada</v>
      </c>
      <c r="W1629" s="141" t="str">
        <f>+IF(AND(Tabla2[[#This Row],[venc]]="venc",Tabla2[[#This Row],[Columna1]]="por pagar"),"vencida","no")</f>
        <v>no</v>
      </c>
    </row>
    <row r="1630" spans="1:23" ht="15.6" hidden="1" x14ac:dyDescent="0.3">
      <c r="A1630" s="20">
        <v>30</v>
      </c>
      <c r="B1630" s="25">
        <v>0</v>
      </c>
      <c r="C1630" s="25"/>
      <c r="D1630" s="56" t="s">
        <v>342</v>
      </c>
      <c r="E1630" s="426">
        <v>44795</v>
      </c>
      <c r="F1630" s="26" t="s">
        <v>343</v>
      </c>
      <c r="G1630" s="426">
        <v>44743</v>
      </c>
      <c r="H1630" s="35" t="s">
        <v>1045</v>
      </c>
      <c r="I1630" s="21">
        <v>2659000</v>
      </c>
      <c r="J1630" s="21"/>
      <c r="K1630" s="22">
        <v>0</v>
      </c>
      <c r="L1630" s="23"/>
      <c r="M1630" s="22">
        <v>0</v>
      </c>
      <c r="N1630" s="74">
        <v>0</v>
      </c>
      <c r="O1630" s="22">
        <v>0</v>
      </c>
      <c r="P1630" s="21">
        <v>2659000</v>
      </c>
      <c r="S1630" s="108" t="b">
        <f>OR(COUNTIF(Tabla2[[#This Row],[PROVEEDOR]],"*"&amp;'Palabra no opera'!$A$2&amp;"*"))</f>
        <v>0</v>
      </c>
      <c r="T1630" s="139">
        <f>+$W$5-Tabla2[[#This Row],[FECHA DE FACTURACIÓN]]</f>
        <v>548</v>
      </c>
      <c r="U1630" t="str">
        <f>+IF(Tabla2[[#This Row],[dias de credito]]&gt;=Tabla2[[#This Row],[PLAZO Días]],"venc", "No venc")</f>
        <v>venc</v>
      </c>
      <c r="V1630" t="str">
        <f>+IF(Tabla2[[#This Row],[FECHA DE PAGO]]&gt;0,"pagada","por pagar")</f>
        <v>pagada</v>
      </c>
      <c r="W1630" s="141" t="str">
        <f>+IF(AND(Tabla2[[#This Row],[venc]]="venc",Tabla2[[#This Row],[Columna1]]="por pagar"),"vencida","no")</f>
        <v>no</v>
      </c>
    </row>
    <row r="1631" spans="1:23" ht="15.6" hidden="1" x14ac:dyDescent="0.3">
      <c r="A1631" s="20">
        <v>30</v>
      </c>
      <c r="B1631" s="25">
        <v>0</v>
      </c>
      <c r="C1631" s="25"/>
      <c r="D1631" s="56" t="s">
        <v>270</v>
      </c>
      <c r="E1631" s="426">
        <v>44795</v>
      </c>
      <c r="F1631" s="26" t="s">
        <v>387</v>
      </c>
      <c r="G1631" s="426">
        <v>44716</v>
      </c>
      <c r="H1631" s="35" t="s">
        <v>773</v>
      </c>
      <c r="I1631" s="21">
        <v>258000</v>
      </c>
      <c r="J1631" s="21"/>
      <c r="K1631" s="22">
        <v>0</v>
      </c>
      <c r="L1631" s="23"/>
      <c r="M1631" s="22">
        <v>0</v>
      </c>
      <c r="N1631" s="74">
        <v>0</v>
      </c>
      <c r="O1631" s="22">
        <v>0</v>
      </c>
      <c r="P1631" s="21">
        <v>258000</v>
      </c>
      <c r="S1631" s="108" t="b">
        <f>OR(COUNTIF(Tabla2[[#This Row],[PROVEEDOR]],"*"&amp;'Palabra no opera'!$A$2&amp;"*"))</f>
        <v>0</v>
      </c>
      <c r="T1631" s="139">
        <f>+$W$5-Tabla2[[#This Row],[FECHA DE FACTURACIÓN]]</f>
        <v>575</v>
      </c>
      <c r="U1631" t="str">
        <f>+IF(Tabla2[[#This Row],[dias de credito]]&gt;=Tabla2[[#This Row],[PLAZO Días]],"venc", "No venc")</f>
        <v>venc</v>
      </c>
      <c r="V1631" t="str">
        <f>+IF(Tabla2[[#This Row],[FECHA DE PAGO]]&gt;0,"pagada","por pagar")</f>
        <v>pagada</v>
      </c>
      <c r="W1631" s="141" t="str">
        <f>+IF(AND(Tabla2[[#This Row],[venc]]="venc",Tabla2[[#This Row],[Columna1]]="por pagar"),"vencida","no")</f>
        <v>no</v>
      </c>
    </row>
    <row r="1632" spans="1:23" ht="15.6" hidden="1" x14ac:dyDescent="0.3">
      <c r="A1632" s="20">
        <v>30</v>
      </c>
      <c r="B1632" s="25">
        <v>0</v>
      </c>
      <c r="C1632" s="25"/>
      <c r="D1632" s="56" t="s">
        <v>270</v>
      </c>
      <c r="E1632" s="426">
        <v>44795</v>
      </c>
      <c r="F1632" s="26" t="s">
        <v>387</v>
      </c>
      <c r="G1632" s="426">
        <v>44716</v>
      </c>
      <c r="H1632" s="35" t="s">
        <v>778</v>
      </c>
      <c r="I1632" s="21">
        <v>4213300</v>
      </c>
      <c r="J1632" s="21"/>
      <c r="K1632" s="22">
        <v>0</v>
      </c>
      <c r="L1632" s="23"/>
      <c r="M1632" s="22">
        <v>0</v>
      </c>
      <c r="N1632" s="74">
        <v>0</v>
      </c>
      <c r="O1632" s="22">
        <v>0</v>
      </c>
      <c r="P1632" s="21">
        <v>4213300</v>
      </c>
      <c r="S1632" s="108" t="b">
        <f>OR(COUNTIF(Tabla2[[#This Row],[PROVEEDOR]],"*"&amp;'Palabra no opera'!$A$2&amp;"*"))</f>
        <v>0</v>
      </c>
      <c r="T1632" s="139">
        <f>+$W$5-Tabla2[[#This Row],[FECHA DE FACTURACIÓN]]</f>
        <v>575</v>
      </c>
      <c r="U1632" t="str">
        <f>+IF(Tabla2[[#This Row],[dias de credito]]&gt;=Tabla2[[#This Row],[PLAZO Días]],"venc", "No venc")</f>
        <v>venc</v>
      </c>
      <c r="V1632" t="str">
        <f>+IF(Tabla2[[#This Row],[FECHA DE PAGO]]&gt;0,"pagada","por pagar")</f>
        <v>pagada</v>
      </c>
      <c r="W1632" s="141" t="str">
        <f>+IF(AND(Tabla2[[#This Row],[venc]]="venc",Tabla2[[#This Row],[Columna1]]="por pagar"),"vencida","no")</f>
        <v>no</v>
      </c>
    </row>
    <row r="1633" spans="1:23" ht="15.6" hidden="1" x14ac:dyDescent="0.3">
      <c r="A1633" s="20">
        <v>30</v>
      </c>
      <c r="B1633" s="25">
        <v>0</v>
      </c>
      <c r="C1633" s="25"/>
      <c r="D1633" s="56" t="s">
        <v>107</v>
      </c>
      <c r="E1633" s="426">
        <v>44793</v>
      </c>
      <c r="F1633" s="26" t="s">
        <v>390</v>
      </c>
      <c r="G1633" s="426">
        <v>44793</v>
      </c>
      <c r="H1633" s="35"/>
      <c r="I1633" s="21">
        <v>888000</v>
      </c>
      <c r="J1633" s="21"/>
      <c r="K1633" s="22">
        <v>0</v>
      </c>
      <c r="L1633" s="23"/>
      <c r="M1633" s="22">
        <v>0</v>
      </c>
      <c r="N1633" s="74">
        <v>0</v>
      </c>
      <c r="O1633" s="22">
        <v>0</v>
      </c>
      <c r="P1633" s="21">
        <v>888000</v>
      </c>
      <c r="S1633" s="108" t="b">
        <f>OR(COUNTIF(Tabla2[[#This Row],[PROVEEDOR]],"*"&amp;'Palabra no opera'!$A$2&amp;"*"))</f>
        <v>0</v>
      </c>
      <c r="T1633" s="139">
        <f>+$W$5-Tabla2[[#This Row],[FECHA DE FACTURACIÓN]]</f>
        <v>498</v>
      </c>
      <c r="U1633" t="str">
        <f>+IF(Tabla2[[#This Row],[dias de credito]]&gt;=Tabla2[[#This Row],[PLAZO Días]],"venc", "No venc")</f>
        <v>venc</v>
      </c>
      <c r="V1633" t="str">
        <f>+IF(Tabla2[[#This Row],[FECHA DE PAGO]]&gt;0,"pagada","por pagar")</f>
        <v>pagada</v>
      </c>
      <c r="W1633" s="141" t="str">
        <f>+IF(AND(Tabla2[[#This Row],[venc]]="venc",Tabla2[[#This Row],[Columna1]]="por pagar"),"vencida","no")</f>
        <v>no</v>
      </c>
    </row>
    <row r="1634" spans="1:23" ht="15.6" hidden="1" x14ac:dyDescent="0.3">
      <c r="A1634" s="20">
        <v>30</v>
      </c>
      <c r="B1634" s="25">
        <v>0</v>
      </c>
      <c r="C1634" s="25"/>
      <c r="D1634" s="56" t="s">
        <v>107</v>
      </c>
      <c r="E1634" s="426">
        <v>44793</v>
      </c>
      <c r="F1634" s="26" t="s">
        <v>356</v>
      </c>
      <c r="G1634" s="426">
        <v>44785</v>
      </c>
      <c r="H1634" s="35" t="s">
        <v>947</v>
      </c>
      <c r="I1634" s="21">
        <v>1708000</v>
      </c>
      <c r="J1634" s="21"/>
      <c r="K1634" s="22">
        <v>0</v>
      </c>
      <c r="L1634" s="23"/>
      <c r="M1634" s="22">
        <v>0</v>
      </c>
      <c r="N1634" s="74">
        <v>0</v>
      </c>
      <c r="O1634" s="22">
        <v>0</v>
      </c>
      <c r="P1634" s="21">
        <v>1708000</v>
      </c>
      <c r="S1634" s="108" t="b">
        <f>OR(COUNTIF(Tabla2[[#This Row],[PROVEEDOR]],"*"&amp;'Palabra no opera'!$A$2&amp;"*"))</f>
        <v>0</v>
      </c>
      <c r="T1634" s="139">
        <f>+$W$5-Tabla2[[#This Row],[FECHA DE FACTURACIÓN]]</f>
        <v>506</v>
      </c>
      <c r="U1634" t="str">
        <f>+IF(Tabla2[[#This Row],[dias de credito]]&gt;=Tabla2[[#This Row],[PLAZO Días]],"venc", "No venc")</f>
        <v>venc</v>
      </c>
      <c r="V1634" t="str">
        <f>+IF(Tabla2[[#This Row],[FECHA DE PAGO]]&gt;0,"pagada","por pagar")</f>
        <v>pagada</v>
      </c>
      <c r="W1634" s="141" t="str">
        <f>+IF(AND(Tabla2[[#This Row],[venc]]="venc",Tabla2[[#This Row],[Columna1]]="por pagar"),"vencida","no")</f>
        <v>no</v>
      </c>
    </row>
    <row r="1635" spans="1:23" ht="15.6" hidden="1" x14ac:dyDescent="0.3">
      <c r="A1635" s="20">
        <v>30</v>
      </c>
      <c r="B1635" s="25">
        <v>0</v>
      </c>
      <c r="C1635" s="25"/>
      <c r="D1635" s="56">
        <v>0</v>
      </c>
      <c r="E1635" s="426">
        <v>44792</v>
      </c>
      <c r="F1635" s="26" t="s">
        <v>777</v>
      </c>
      <c r="G1635" s="426">
        <v>44792</v>
      </c>
      <c r="H1635" s="35" t="s">
        <v>913</v>
      </c>
      <c r="I1635" s="21">
        <v>-5070000</v>
      </c>
      <c r="J1635" s="21"/>
      <c r="K1635" s="22">
        <v>0</v>
      </c>
      <c r="L1635" s="23"/>
      <c r="M1635" s="22">
        <v>0</v>
      </c>
      <c r="N1635" s="74">
        <v>0</v>
      </c>
      <c r="O1635" s="22">
        <v>0</v>
      </c>
      <c r="P1635" s="21">
        <v>0</v>
      </c>
      <c r="S1635" s="108" t="b">
        <f>OR(COUNTIF(Tabla2[[#This Row],[PROVEEDOR]],"*"&amp;'Palabra no opera'!$A$2&amp;"*"))</f>
        <v>0</v>
      </c>
      <c r="T1635" s="139">
        <f>+$W$5-Tabla2[[#This Row],[FECHA DE FACTURACIÓN]]</f>
        <v>499</v>
      </c>
      <c r="U1635" t="str">
        <f>+IF(Tabla2[[#This Row],[dias de credito]]&gt;=Tabla2[[#This Row],[PLAZO Días]],"venc", "No venc")</f>
        <v>venc</v>
      </c>
      <c r="V1635" t="str">
        <f>+IF(Tabla2[[#This Row],[FECHA DE PAGO]]&gt;0,"pagada","por pagar")</f>
        <v>pagada</v>
      </c>
      <c r="W1635" s="141" t="str">
        <f>+IF(AND(Tabla2[[#This Row],[venc]]="venc",Tabla2[[#This Row],[Columna1]]="por pagar"),"vencida","no")</f>
        <v>no</v>
      </c>
    </row>
    <row r="1636" spans="1:23" ht="15.6" hidden="1" x14ac:dyDescent="0.3">
      <c r="A1636" s="20">
        <v>0</v>
      </c>
      <c r="B1636" s="25">
        <v>0</v>
      </c>
      <c r="C1636" s="25"/>
      <c r="D1636" s="56" t="s">
        <v>837</v>
      </c>
      <c r="E1636" s="426">
        <v>44792</v>
      </c>
      <c r="F1636" s="26" t="s">
        <v>838</v>
      </c>
      <c r="G1636" s="426">
        <v>44791</v>
      </c>
      <c r="H1636" s="35" t="s">
        <v>927</v>
      </c>
      <c r="I1636" s="21">
        <v>130000</v>
      </c>
      <c r="J1636" s="21"/>
      <c r="K1636" s="22">
        <v>24700</v>
      </c>
      <c r="L1636" s="23"/>
      <c r="M1636" s="22">
        <v>0</v>
      </c>
      <c r="N1636" s="74">
        <v>0</v>
      </c>
      <c r="O1636" s="22">
        <v>0</v>
      </c>
      <c r="P1636" s="21">
        <v>154700</v>
      </c>
      <c r="S1636" s="108" t="b">
        <f>OR(COUNTIF(Tabla2[[#This Row],[PROVEEDOR]],"*"&amp;'Palabra no opera'!$A$2&amp;"*"))</f>
        <v>1</v>
      </c>
      <c r="T1636" s="139">
        <f>+$W$5-Tabla2[[#This Row],[FECHA DE FACTURACIÓN]]</f>
        <v>500</v>
      </c>
      <c r="U1636" t="str">
        <f>+IF(Tabla2[[#This Row],[dias de credito]]&gt;=Tabla2[[#This Row],[PLAZO Días]],"venc", "No venc")</f>
        <v>venc</v>
      </c>
      <c r="V1636" t="str">
        <f>+IF(Tabla2[[#This Row],[FECHA DE PAGO]]&gt;0,"pagada","por pagar")</f>
        <v>pagada</v>
      </c>
      <c r="W1636" s="141" t="str">
        <f>+IF(AND(Tabla2[[#This Row],[venc]]="venc",Tabla2[[#This Row],[Columna1]]="por pagar"),"vencida","no")</f>
        <v>no</v>
      </c>
    </row>
    <row r="1637" spans="1:23" ht="15.6" hidden="1" x14ac:dyDescent="0.3">
      <c r="A1637" s="20">
        <v>30</v>
      </c>
      <c r="B1637" s="25">
        <v>0</v>
      </c>
      <c r="C1637" s="25"/>
      <c r="D1637" s="56" t="s">
        <v>107</v>
      </c>
      <c r="E1637" s="426">
        <v>44792</v>
      </c>
      <c r="F1637" s="26" t="s">
        <v>356</v>
      </c>
      <c r="G1637" s="426">
        <v>44785</v>
      </c>
      <c r="H1637" s="35" t="s">
        <v>946</v>
      </c>
      <c r="I1637" s="21">
        <v>4294000</v>
      </c>
      <c r="J1637" s="21"/>
      <c r="K1637" s="22">
        <v>0</v>
      </c>
      <c r="L1637" s="23"/>
      <c r="M1637" s="22">
        <v>0</v>
      </c>
      <c r="N1637" s="74">
        <v>0</v>
      </c>
      <c r="O1637" s="22">
        <v>0</v>
      </c>
      <c r="P1637" s="21">
        <v>4294000</v>
      </c>
      <c r="S1637" s="108" t="b">
        <f>OR(COUNTIF(Tabla2[[#This Row],[PROVEEDOR]],"*"&amp;'Palabra no opera'!$A$2&amp;"*"))</f>
        <v>0</v>
      </c>
      <c r="T1637" s="139">
        <f>+$W$5-Tabla2[[#This Row],[FECHA DE FACTURACIÓN]]</f>
        <v>506</v>
      </c>
      <c r="U1637" t="str">
        <f>+IF(Tabla2[[#This Row],[dias de credito]]&gt;=Tabla2[[#This Row],[PLAZO Días]],"venc", "No venc")</f>
        <v>venc</v>
      </c>
      <c r="V1637" t="str">
        <f>+IF(Tabla2[[#This Row],[FECHA DE PAGO]]&gt;0,"pagada","por pagar")</f>
        <v>pagada</v>
      </c>
      <c r="W1637" s="141" t="str">
        <f>+IF(AND(Tabla2[[#This Row],[venc]]="venc",Tabla2[[#This Row],[Columna1]]="por pagar"),"vencida","no")</f>
        <v>no</v>
      </c>
    </row>
    <row r="1638" spans="1:23" ht="15.6" hidden="1" x14ac:dyDescent="0.3">
      <c r="A1638" s="20">
        <v>30</v>
      </c>
      <c r="B1638" s="25">
        <v>0</v>
      </c>
      <c r="C1638" s="25"/>
      <c r="D1638" s="56" t="s">
        <v>258</v>
      </c>
      <c r="E1638" s="426">
        <v>44792</v>
      </c>
      <c r="F1638" s="26" t="s">
        <v>394</v>
      </c>
      <c r="G1638" s="426">
        <v>44781</v>
      </c>
      <c r="H1638" s="35" t="s">
        <v>1056</v>
      </c>
      <c r="I1638" s="21">
        <v>1890000</v>
      </c>
      <c r="J1638" s="21"/>
      <c r="K1638" s="22">
        <v>0</v>
      </c>
      <c r="L1638" s="23"/>
      <c r="M1638" s="22">
        <v>0</v>
      </c>
      <c r="N1638" s="74">
        <v>0</v>
      </c>
      <c r="O1638" s="22">
        <v>0</v>
      </c>
      <c r="P1638" s="21">
        <v>1890000</v>
      </c>
      <c r="S1638" s="108" t="b">
        <f>OR(COUNTIF(Tabla2[[#This Row],[PROVEEDOR]],"*"&amp;'Palabra no opera'!$A$2&amp;"*"))</f>
        <v>0</v>
      </c>
      <c r="T1638" s="139">
        <f>+$W$5-Tabla2[[#This Row],[FECHA DE FACTURACIÓN]]</f>
        <v>510</v>
      </c>
      <c r="U1638" t="str">
        <f>+IF(Tabla2[[#This Row],[dias de credito]]&gt;=Tabla2[[#This Row],[PLAZO Días]],"venc", "No venc")</f>
        <v>venc</v>
      </c>
      <c r="V1638" t="str">
        <f>+IF(Tabla2[[#This Row],[FECHA DE PAGO]]&gt;0,"pagada","por pagar")</f>
        <v>pagada</v>
      </c>
      <c r="W1638" s="141" t="str">
        <f>+IF(AND(Tabla2[[#This Row],[venc]]="venc",Tabla2[[#This Row],[Columna1]]="por pagar"),"vencida","no")</f>
        <v>no</v>
      </c>
    </row>
    <row r="1639" spans="1:23" ht="15.6" hidden="1" x14ac:dyDescent="0.3">
      <c r="A1639" s="20">
        <v>0</v>
      </c>
      <c r="B1639" s="25">
        <v>0</v>
      </c>
      <c r="C1639" s="25"/>
      <c r="D1639" s="56" t="s">
        <v>837</v>
      </c>
      <c r="E1639" s="426">
        <v>44792</v>
      </c>
      <c r="F1639" s="26" t="s">
        <v>838</v>
      </c>
      <c r="G1639" s="426">
        <v>44764</v>
      </c>
      <c r="H1639" s="35" t="s">
        <v>925</v>
      </c>
      <c r="I1639" s="21">
        <v>-279650</v>
      </c>
      <c r="J1639" s="21"/>
      <c r="K1639" s="22">
        <v>-53133.5</v>
      </c>
      <c r="L1639" s="23"/>
      <c r="M1639" s="22">
        <v>0</v>
      </c>
      <c r="N1639" s="74">
        <v>0</v>
      </c>
      <c r="O1639" s="22">
        <v>0</v>
      </c>
      <c r="P1639" s="21">
        <v>0</v>
      </c>
      <c r="S1639" s="108" t="b">
        <f>OR(COUNTIF(Tabla2[[#This Row],[PROVEEDOR]],"*"&amp;'Palabra no opera'!$A$2&amp;"*"))</f>
        <v>1</v>
      </c>
      <c r="T1639" s="139">
        <f>+$W$5-Tabla2[[#This Row],[FECHA DE FACTURACIÓN]]</f>
        <v>527</v>
      </c>
      <c r="U1639" t="str">
        <f>+IF(Tabla2[[#This Row],[dias de credito]]&gt;=Tabla2[[#This Row],[PLAZO Días]],"venc", "No venc")</f>
        <v>venc</v>
      </c>
      <c r="V1639" t="str">
        <f>+IF(Tabla2[[#This Row],[FECHA DE PAGO]]&gt;0,"pagada","por pagar")</f>
        <v>pagada</v>
      </c>
      <c r="W1639" s="141" t="str">
        <f>+IF(AND(Tabla2[[#This Row],[venc]]="venc",Tabla2[[#This Row],[Columna1]]="por pagar"),"vencida","no")</f>
        <v>no</v>
      </c>
    </row>
    <row r="1640" spans="1:23" ht="15.6" hidden="1" x14ac:dyDescent="0.3">
      <c r="A1640" s="20">
        <v>0</v>
      </c>
      <c r="B1640" s="25">
        <v>0</v>
      </c>
      <c r="C1640" s="25"/>
      <c r="D1640" s="56" t="s">
        <v>837</v>
      </c>
      <c r="E1640" s="426">
        <v>44792</v>
      </c>
      <c r="F1640" s="26" t="s">
        <v>838</v>
      </c>
      <c r="G1640" s="426">
        <v>44764</v>
      </c>
      <c r="H1640" s="35" t="s">
        <v>925</v>
      </c>
      <c r="I1640" s="21">
        <v>-260850</v>
      </c>
      <c r="J1640" s="21"/>
      <c r="K1640" s="22">
        <v>-49561.5</v>
      </c>
      <c r="L1640" s="23"/>
      <c r="M1640" s="22">
        <v>0</v>
      </c>
      <c r="N1640" s="74">
        <v>0</v>
      </c>
      <c r="O1640" s="22">
        <v>0</v>
      </c>
      <c r="P1640" s="21">
        <v>0</v>
      </c>
      <c r="S1640" s="108" t="b">
        <f>OR(COUNTIF(Tabla2[[#This Row],[PROVEEDOR]],"*"&amp;'Palabra no opera'!$A$2&amp;"*"))</f>
        <v>1</v>
      </c>
      <c r="T1640" s="139">
        <f>+$W$5-Tabla2[[#This Row],[FECHA DE FACTURACIÓN]]</f>
        <v>527</v>
      </c>
      <c r="U1640" t="str">
        <f>+IF(Tabla2[[#This Row],[dias de credito]]&gt;=Tabla2[[#This Row],[PLAZO Días]],"venc", "No venc")</f>
        <v>venc</v>
      </c>
      <c r="V1640" t="str">
        <f>+IF(Tabla2[[#This Row],[FECHA DE PAGO]]&gt;0,"pagada","por pagar")</f>
        <v>pagada</v>
      </c>
      <c r="W1640" s="141" t="str">
        <f>+IF(AND(Tabla2[[#This Row],[venc]]="venc",Tabla2[[#This Row],[Columna1]]="por pagar"),"vencida","no")</f>
        <v>no</v>
      </c>
    </row>
    <row r="1641" spans="1:23" ht="15.6" hidden="1" x14ac:dyDescent="0.3">
      <c r="A1641" s="20">
        <v>0</v>
      </c>
      <c r="B1641" s="25">
        <v>0</v>
      </c>
      <c r="C1641" s="25"/>
      <c r="D1641" s="56" t="s">
        <v>837</v>
      </c>
      <c r="E1641" s="426">
        <v>44792</v>
      </c>
      <c r="F1641" s="26" t="s">
        <v>838</v>
      </c>
      <c r="G1641" s="426">
        <v>44764</v>
      </c>
      <c r="H1641" s="35" t="s">
        <v>924</v>
      </c>
      <c r="I1641" s="21">
        <v>470000</v>
      </c>
      <c r="J1641" s="21"/>
      <c r="K1641" s="22">
        <v>89300</v>
      </c>
      <c r="L1641" s="23"/>
      <c r="M1641" s="22">
        <v>0</v>
      </c>
      <c r="N1641" s="74">
        <v>0.04</v>
      </c>
      <c r="O1641" s="22">
        <v>18800</v>
      </c>
      <c r="P1641" s="21">
        <v>540500</v>
      </c>
      <c r="S1641" s="108" t="b">
        <f>OR(COUNTIF(Tabla2[[#This Row],[PROVEEDOR]],"*"&amp;'Palabra no opera'!$A$2&amp;"*"))</f>
        <v>1</v>
      </c>
      <c r="T1641" s="139">
        <f>+$W$5-Tabla2[[#This Row],[FECHA DE FACTURACIÓN]]</f>
        <v>527</v>
      </c>
      <c r="U1641" t="str">
        <f>+IF(Tabla2[[#This Row],[dias de credito]]&gt;=Tabla2[[#This Row],[PLAZO Días]],"venc", "No venc")</f>
        <v>venc</v>
      </c>
      <c r="V1641" t="str">
        <f>+IF(Tabla2[[#This Row],[FECHA DE PAGO]]&gt;0,"pagada","por pagar")</f>
        <v>pagada</v>
      </c>
      <c r="W1641" s="141" t="str">
        <f>+IF(AND(Tabla2[[#This Row],[venc]]="venc",Tabla2[[#This Row],[Columna1]]="por pagar"),"vencida","no")</f>
        <v>no</v>
      </c>
    </row>
    <row r="1642" spans="1:23" ht="15.6" hidden="1" x14ac:dyDescent="0.3">
      <c r="A1642" s="20">
        <v>2</v>
      </c>
      <c r="B1642" s="25">
        <v>0</v>
      </c>
      <c r="C1642" s="25"/>
      <c r="D1642" s="56">
        <v>0</v>
      </c>
      <c r="E1642" s="426">
        <v>44792</v>
      </c>
      <c r="F1642" s="26" t="s">
        <v>777</v>
      </c>
      <c r="G1642" s="426">
        <v>44760</v>
      </c>
      <c r="H1642" s="35" t="s">
        <v>913</v>
      </c>
      <c r="I1642" s="21">
        <v>-3000000</v>
      </c>
      <c r="J1642" s="21"/>
      <c r="K1642" s="22">
        <v>0</v>
      </c>
      <c r="L1642" s="23"/>
      <c r="M1642" s="22">
        <v>0</v>
      </c>
      <c r="N1642" s="74">
        <v>0</v>
      </c>
      <c r="O1642" s="22">
        <v>0</v>
      </c>
      <c r="P1642" s="21">
        <v>0</v>
      </c>
      <c r="S1642" s="108" t="b">
        <f>OR(COUNTIF(Tabla2[[#This Row],[PROVEEDOR]],"*"&amp;'Palabra no opera'!$A$2&amp;"*"))</f>
        <v>0</v>
      </c>
      <c r="T1642" s="139">
        <f>+$W$5-Tabla2[[#This Row],[FECHA DE FACTURACIÓN]]</f>
        <v>531</v>
      </c>
      <c r="U1642" t="str">
        <f>+IF(Tabla2[[#This Row],[dias de credito]]&gt;=Tabla2[[#This Row],[PLAZO Días]],"venc", "No venc")</f>
        <v>venc</v>
      </c>
      <c r="V1642" t="str">
        <f>+IF(Tabla2[[#This Row],[FECHA DE PAGO]]&gt;0,"pagada","por pagar")</f>
        <v>pagada</v>
      </c>
      <c r="W1642" s="141" t="str">
        <f>+IF(AND(Tabla2[[#This Row],[venc]]="venc",Tabla2[[#This Row],[Columna1]]="por pagar"),"vencida","no")</f>
        <v>no</v>
      </c>
    </row>
    <row r="1643" spans="1:23" ht="15.6" hidden="1" x14ac:dyDescent="0.3">
      <c r="A1643" s="20">
        <v>30</v>
      </c>
      <c r="B1643" s="25">
        <v>17870934.149999999</v>
      </c>
      <c r="C1643" s="25"/>
      <c r="D1643" s="56" t="s">
        <v>182</v>
      </c>
      <c r="E1643" s="426">
        <v>44792</v>
      </c>
      <c r="F1643" s="26" t="s">
        <v>18</v>
      </c>
      <c r="G1643" s="426">
        <v>44753</v>
      </c>
      <c r="H1643" s="35">
        <v>1056159</v>
      </c>
      <c r="I1643" s="21">
        <v>1079969.04</v>
      </c>
      <c r="J1643" s="21"/>
      <c r="K1643" s="22">
        <v>205194.1176</v>
      </c>
      <c r="L1643" s="23"/>
      <c r="M1643" s="22">
        <v>0</v>
      </c>
      <c r="N1643" s="74">
        <v>2.5000000000000001E-2</v>
      </c>
      <c r="O1643" s="22">
        <v>26999.226000000002</v>
      </c>
      <c r="P1643" s="21">
        <v>1258163.9316</v>
      </c>
      <c r="S1643" s="108" t="b">
        <f>OR(COUNTIF(Tabla2[[#This Row],[PROVEEDOR]],"*"&amp;'Palabra no opera'!$A$2&amp;"*"))</f>
        <v>0</v>
      </c>
      <c r="T1643" s="139">
        <f>+$W$5-Tabla2[[#This Row],[FECHA DE FACTURACIÓN]]</f>
        <v>538</v>
      </c>
      <c r="U1643" t="str">
        <f>+IF(Tabla2[[#This Row],[dias de credito]]&gt;=Tabla2[[#This Row],[PLAZO Días]],"venc", "No venc")</f>
        <v>venc</v>
      </c>
      <c r="V1643" t="str">
        <f>+IF(Tabla2[[#This Row],[FECHA DE PAGO]]&gt;0,"pagada","por pagar")</f>
        <v>pagada</v>
      </c>
      <c r="W1643" s="141" t="str">
        <f>+IF(AND(Tabla2[[#This Row],[venc]]="venc",Tabla2[[#This Row],[Columna1]]="por pagar"),"vencida","no")</f>
        <v>no</v>
      </c>
    </row>
    <row r="1644" spans="1:23" ht="15.6" hidden="1" x14ac:dyDescent="0.3">
      <c r="A1644" s="20">
        <v>30</v>
      </c>
      <c r="B1644" s="25">
        <v>17870934.149999999</v>
      </c>
      <c r="C1644" s="25"/>
      <c r="D1644" s="56" t="s">
        <v>182</v>
      </c>
      <c r="E1644" s="426">
        <v>44792</v>
      </c>
      <c r="F1644" s="26" t="s">
        <v>18</v>
      </c>
      <c r="G1644" s="426">
        <v>44749</v>
      </c>
      <c r="H1644" s="35">
        <v>1055982</v>
      </c>
      <c r="I1644" s="21">
        <v>3877233.52</v>
      </c>
      <c r="J1644" s="21"/>
      <c r="K1644" s="22">
        <v>736674.36880000005</v>
      </c>
      <c r="L1644" s="23"/>
      <c r="M1644" s="22">
        <v>0</v>
      </c>
      <c r="N1644" s="74">
        <v>2.5000000000000001E-2</v>
      </c>
      <c r="O1644" s="22">
        <v>96930.838000000003</v>
      </c>
      <c r="P1644" s="21">
        <v>4516977.0507999994</v>
      </c>
      <c r="S1644" s="108" t="b">
        <f>OR(COUNTIF(Tabla2[[#This Row],[PROVEEDOR]],"*"&amp;'Palabra no opera'!$A$2&amp;"*"))</f>
        <v>0</v>
      </c>
      <c r="T1644" s="139">
        <f>+$W$5-Tabla2[[#This Row],[FECHA DE FACTURACIÓN]]</f>
        <v>542</v>
      </c>
      <c r="U1644" t="str">
        <f>+IF(Tabla2[[#This Row],[dias de credito]]&gt;=Tabla2[[#This Row],[PLAZO Días]],"venc", "No venc")</f>
        <v>venc</v>
      </c>
      <c r="V1644" t="str">
        <f>+IF(Tabla2[[#This Row],[FECHA DE PAGO]]&gt;0,"pagada","por pagar")</f>
        <v>pagada</v>
      </c>
      <c r="W1644" s="141" t="str">
        <f>+IF(AND(Tabla2[[#This Row],[venc]]="venc",Tabla2[[#This Row],[Columna1]]="por pagar"),"vencida","no")</f>
        <v>no</v>
      </c>
    </row>
    <row r="1645" spans="1:23" ht="15.6" hidden="1" x14ac:dyDescent="0.3">
      <c r="A1645" s="20">
        <v>30</v>
      </c>
      <c r="B1645" s="25">
        <v>0</v>
      </c>
      <c r="C1645" s="25"/>
      <c r="D1645" s="56">
        <v>0</v>
      </c>
      <c r="E1645" s="426">
        <v>44792</v>
      </c>
      <c r="F1645" s="26" t="s">
        <v>777</v>
      </c>
      <c r="G1645" s="426">
        <v>44733</v>
      </c>
      <c r="H1645" s="35" t="s">
        <v>909</v>
      </c>
      <c r="I1645" s="21">
        <v>8070000</v>
      </c>
      <c r="J1645" s="21"/>
      <c r="K1645" s="22">
        <v>0</v>
      </c>
      <c r="L1645" s="23"/>
      <c r="M1645" s="22">
        <v>0</v>
      </c>
      <c r="N1645" s="74">
        <v>0</v>
      </c>
      <c r="O1645" s="22">
        <v>0</v>
      </c>
      <c r="P1645" s="21">
        <v>8070000</v>
      </c>
      <c r="S1645" s="108" t="b">
        <f>OR(COUNTIF(Tabla2[[#This Row],[PROVEEDOR]],"*"&amp;'Palabra no opera'!$A$2&amp;"*"))</f>
        <v>0</v>
      </c>
      <c r="T1645" s="139">
        <f>+$W$5-Tabla2[[#This Row],[FECHA DE FACTURACIÓN]]</f>
        <v>558</v>
      </c>
      <c r="U1645" t="str">
        <f>+IF(Tabla2[[#This Row],[dias de credito]]&gt;=Tabla2[[#This Row],[PLAZO Días]],"venc", "No venc")</f>
        <v>venc</v>
      </c>
      <c r="V1645" t="str">
        <f>+IF(Tabla2[[#This Row],[FECHA DE PAGO]]&gt;0,"pagada","por pagar")</f>
        <v>pagada</v>
      </c>
      <c r="W1645" s="141" t="str">
        <f>+IF(AND(Tabla2[[#This Row],[venc]]="venc",Tabla2[[#This Row],[Columna1]]="por pagar"),"vencida","no")</f>
        <v>no</v>
      </c>
    </row>
    <row r="1646" spans="1:23" ht="15.6" hidden="1" x14ac:dyDescent="0.3">
      <c r="A1646" s="20">
        <v>30</v>
      </c>
      <c r="B1646" s="25">
        <v>0</v>
      </c>
      <c r="C1646" s="25"/>
      <c r="D1646" s="56" t="s">
        <v>296</v>
      </c>
      <c r="E1646" s="426">
        <v>44792</v>
      </c>
      <c r="F1646" s="26" t="s">
        <v>281</v>
      </c>
      <c r="G1646" s="426">
        <v>44726</v>
      </c>
      <c r="H1646" s="35" t="s">
        <v>753</v>
      </c>
      <c r="I1646" s="21">
        <v>2578500</v>
      </c>
      <c r="J1646" s="21"/>
      <c r="K1646" s="22">
        <v>489915</v>
      </c>
      <c r="L1646" s="23"/>
      <c r="M1646" s="22">
        <v>0</v>
      </c>
      <c r="N1646" s="74">
        <v>0</v>
      </c>
      <c r="O1646" s="22">
        <v>0</v>
      </c>
      <c r="P1646" s="21">
        <v>3068415</v>
      </c>
      <c r="S1646" s="108" t="b">
        <f>OR(COUNTIF(Tabla2[[#This Row],[PROVEEDOR]],"*"&amp;'Palabra no opera'!$A$2&amp;"*"))</f>
        <v>0</v>
      </c>
      <c r="T1646" s="139">
        <f>+$W$5-Tabla2[[#This Row],[FECHA DE FACTURACIÓN]]</f>
        <v>565</v>
      </c>
      <c r="U1646" t="str">
        <f>+IF(Tabla2[[#This Row],[dias de credito]]&gt;=Tabla2[[#This Row],[PLAZO Días]],"venc", "No venc")</f>
        <v>venc</v>
      </c>
      <c r="V1646" t="str">
        <f>+IF(Tabla2[[#This Row],[FECHA DE PAGO]]&gt;0,"pagada","por pagar")</f>
        <v>pagada</v>
      </c>
      <c r="W1646" s="141" t="str">
        <f>+IF(AND(Tabla2[[#This Row],[venc]]="venc",Tabla2[[#This Row],[Columna1]]="por pagar"),"vencida","no")</f>
        <v>no</v>
      </c>
    </row>
    <row r="1647" spans="1:23" ht="15.6" hidden="1" x14ac:dyDescent="0.3">
      <c r="A1647" s="20">
        <v>30</v>
      </c>
      <c r="B1647" s="25">
        <v>342000</v>
      </c>
      <c r="C1647" s="25"/>
      <c r="D1647" s="56" t="s">
        <v>107</v>
      </c>
      <c r="E1647" s="426">
        <v>44791</v>
      </c>
      <c r="F1647" s="26" t="s">
        <v>344</v>
      </c>
      <c r="G1647" s="426">
        <v>44741</v>
      </c>
      <c r="H1647" s="35" t="s">
        <v>1043</v>
      </c>
      <c r="I1647" s="21">
        <v>130000</v>
      </c>
      <c r="J1647" s="21"/>
      <c r="K1647" s="22">
        <v>0</v>
      </c>
      <c r="L1647" s="23"/>
      <c r="M1647" s="22">
        <v>0</v>
      </c>
      <c r="N1647" s="74">
        <v>0</v>
      </c>
      <c r="O1647" s="22">
        <v>0</v>
      </c>
      <c r="P1647" s="21">
        <v>130000</v>
      </c>
      <c r="S1647" s="108" t="b">
        <f>OR(COUNTIF(Tabla2[[#This Row],[PROVEEDOR]],"*"&amp;'Palabra no opera'!$A$2&amp;"*"))</f>
        <v>0</v>
      </c>
      <c r="T1647" s="139">
        <f>+$W$5-Tabla2[[#This Row],[FECHA DE FACTURACIÓN]]</f>
        <v>550</v>
      </c>
      <c r="U1647" t="str">
        <f>+IF(Tabla2[[#This Row],[dias de credito]]&gt;=Tabla2[[#This Row],[PLAZO Días]],"venc", "No venc")</f>
        <v>venc</v>
      </c>
      <c r="V1647" t="str">
        <f>+IF(Tabla2[[#This Row],[FECHA DE PAGO]]&gt;0,"pagada","por pagar")</f>
        <v>pagada</v>
      </c>
      <c r="W1647" s="141" t="str">
        <f>+IF(AND(Tabla2[[#This Row],[venc]]="venc",Tabla2[[#This Row],[Columna1]]="por pagar"),"vencida","no")</f>
        <v>no</v>
      </c>
    </row>
    <row r="1648" spans="1:23" ht="15.6" hidden="1" x14ac:dyDescent="0.3">
      <c r="A1648" s="20">
        <v>30</v>
      </c>
      <c r="B1648" s="25">
        <v>0</v>
      </c>
      <c r="C1648" s="25"/>
      <c r="D1648" s="56" t="s">
        <v>107</v>
      </c>
      <c r="E1648" s="426">
        <v>44790</v>
      </c>
      <c r="F1648" s="26" t="s">
        <v>832</v>
      </c>
      <c r="G1648" s="426">
        <v>44778</v>
      </c>
      <c r="H1648" s="35" t="s">
        <v>862</v>
      </c>
      <c r="I1648" s="21">
        <v>120000</v>
      </c>
      <c r="J1648" s="21"/>
      <c r="K1648" s="22">
        <v>0</v>
      </c>
      <c r="L1648" s="23"/>
      <c r="M1648" s="22">
        <v>0</v>
      </c>
      <c r="N1648" s="74">
        <v>0</v>
      </c>
      <c r="O1648" s="22">
        <v>0</v>
      </c>
      <c r="P1648" s="21">
        <v>120000</v>
      </c>
      <c r="S1648" s="108" t="b">
        <f>OR(COUNTIF(Tabla2[[#This Row],[PROVEEDOR]],"*"&amp;'Palabra no opera'!$A$2&amp;"*"))</f>
        <v>1</v>
      </c>
      <c r="T1648" s="139">
        <f>+$W$5-Tabla2[[#This Row],[FECHA DE FACTURACIÓN]]</f>
        <v>513</v>
      </c>
      <c r="U1648" t="str">
        <f>+IF(Tabla2[[#This Row],[dias de credito]]&gt;=Tabla2[[#This Row],[PLAZO Días]],"venc", "No venc")</f>
        <v>venc</v>
      </c>
      <c r="V1648" t="str">
        <f>+IF(Tabla2[[#This Row],[FECHA DE PAGO]]&gt;0,"pagada","por pagar")</f>
        <v>pagada</v>
      </c>
      <c r="W1648" s="141" t="str">
        <f>+IF(AND(Tabla2[[#This Row],[venc]]="venc",Tabla2[[#This Row],[Columna1]]="por pagar"),"vencida","no")</f>
        <v>no</v>
      </c>
    </row>
    <row r="1649" spans="1:23" ht="15.6" hidden="1" x14ac:dyDescent="0.3">
      <c r="A1649" s="20">
        <v>30</v>
      </c>
      <c r="B1649" s="25">
        <v>0</v>
      </c>
      <c r="C1649" s="25"/>
      <c r="D1649" s="56" t="s">
        <v>107</v>
      </c>
      <c r="E1649" s="426">
        <v>44790</v>
      </c>
      <c r="F1649" s="26" t="s">
        <v>832</v>
      </c>
      <c r="G1649" s="426">
        <v>44778</v>
      </c>
      <c r="H1649" s="35" t="s">
        <v>862</v>
      </c>
      <c r="I1649" s="21">
        <v>240000</v>
      </c>
      <c r="J1649" s="21"/>
      <c r="K1649" s="22">
        <v>0</v>
      </c>
      <c r="L1649" s="23"/>
      <c r="M1649" s="22">
        <v>0</v>
      </c>
      <c r="N1649" s="74">
        <v>0</v>
      </c>
      <c r="O1649" s="22">
        <v>0</v>
      </c>
      <c r="P1649" s="21">
        <v>240000</v>
      </c>
      <c r="S1649" s="108" t="b">
        <f>OR(COUNTIF(Tabla2[[#This Row],[PROVEEDOR]],"*"&amp;'Palabra no opera'!$A$2&amp;"*"))</f>
        <v>1</v>
      </c>
      <c r="T1649" s="139">
        <f>+$W$5-Tabla2[[#This Row],[FECHA DE FACTURACIÓN]]</f>
        <v>513</v>
      </c>
      <c r="U1649" t="str">
        <f>+IF(Tabla2[[#This Row],[dias de credito]]&gt;=Tabla2[[#This Row],[PLAZO Días]],"venc", "No venc")</f>
        <v>venc</v>
      </c>
      <c r="V1649" t="str">
        <f>+IF(Tabla2[[#This Row],[FECHA DE PAGO]]&gt;0,"pagada","por pagar")</f>
        <v>pagada</v>
      </c>
      <c r="W1649" s="141" t="str">
        <f>+IF(AND(Tabla2[[#This Row],[venc]]="venc",Tabla2[[#This Row],[Columna1]]="por pagar"),"vencida","no")</f>
        <v>no</v>
      </c>
    </row>
    <row r="1650" spans="1:23" ht="15.6" hidden="1" x14ac:dyDescent="0.3">
      <c r="A1650" s="20">
        <v>30</v>
      </c>
      <c r="B1650" s="25">
        <v>0</v>
      </c>
      <c r="C1650" s="25"/>
      <c r="D1650" s="56" t="s">
        <v>107</v>
      </c>
      <c r="E1650" s="426">
        <v>44790</v>
      </c>
      <c r="F1650" s="26" t="s">
        <v>832</v>
      </c>
      <c r="G1650" s="426">
        <v>44778</v>
      </c>
      <c r="H1650" s="35" t="s">
        <v>862</v>
      </c>
      <c r="I1650" s="21">
        <v>697250</v>
      </c>
      <c r="J1650" s="21"/>
      <c r="K1650" s="22">
        <v>0</v>
      </c>
      <c r="L1650" s="23"/>
      <c r="M1650" s="22">
        <v>0</v>
      </c>
      <c r="N1650" s="74">
        <v>0</v>
      </c>
      <c r="O1650" s="22">
        <v>0</v>
      </c>
      <c r="P1650" s="21">
        <v>697250</v>
      </c>
      <c r="S1650" s="108" t="b">
        <f>OR(COUNTIF(Tabla2[[#This Row],[PROVEEDOR]],"*"&amp;'Palabra no opera'!$A$2&amp;"*"))</f>
        <v>1</v>
      </c>
      <c r="T1650" s="139">
        <f>+$W$5-Tabla2[[#This Row],[FECHA DE FACTURACIÓN]]</f>
        <v>513</v>
      </c>
      <c r="U1650" t="str">
        <f>+IF(Tabla2[[#This Row],[dias de credito]]&gt;=Tabla2[[#This Row],[PLAZO Días]],"venc", "No venc")</f>
        <v>venc</v>
      </c>
      <c r="V1650" t="str">
        <f>+IF(Tabla2[[#This Row],[FECHA DE PAGO]]&gt;0,"pagada","por pagar")</f>
        <v>pagada</v>
      </c>
      <c r="W1650" s="141" t="str">
        <f>+IF(AND(Tabla2[[#This Row],[venc]]="venc",Tabla2[[#This Row],[Columna1]]="por pagar"),"vencida","no")</f>
        <v>no</v>
      </c>
    </row>
    <row r="1651" spans="1:23" ht="15.6" hidden="1" x14ac:dyDescent="0.3">
      <c r="A1651" s="20">
        <v>30</v>
      </c>
      <c r="B1651" s="25">
        <v>0</v>
      </c>
      <c r="C1651" s="25"/>
      <c r="D1651" s="56" t="s">
        <v>107</v>
      </c>
      <c r="E1651" s="426">
        <v>44790</v>
      </c>
      <c r="F1651" s="26" t="s">
        <v>397</v>
      </c>
      <c r="G1651" s="426">
        <v>44776</v>
      </c>
      <c r="H1651" s="35"/>
      <c r="I1651" s="21">
        <v>480000</v>
      </c>
      <c r="J1651" s="21"/>
      <c r="K1651" s="22">
        <v>0</v>
      </c>
      <c r="L1651" s="23"/>
      <c r="M1651" s="22">
        <v>0</v>
      </c>
      <c r="N1651" s="74">
        <v>0</v>
      </c>
      <c r="O1651" s="22">
        <v>0</v>
      </c>
      <c r="P1651" s="21">
        <v>480000</v>
      </c>
      <c r="S1651" s="108" t="b">
        <f>OR(COUNTIF(Tabla2[[#This Row],[PROVEEDOR]],"*"&amp;'Palabra no opera'!$A$2&amp;"*"))</f>
        <v>0</v>
      </c>
      <c r="T1651" s="139">
        <f>+$W$5-Tabla2[[#This Row],[FECHA DE FACTURACIÓN]]</f>
        <v>515</v>
      </c>
      <c r="U1651" t="str">
        <f>+IF(Tabla2[[#This Row],[dias de credito]]&gt;=Tabla2[[#This Row],[PLAZO Días]],"venc", "No venc")</f>
        <v>venc</v>
      </c>
      <c r="V1651" t="str">
        <f>+IF(Tabla2[[#This Row],[FECHA DE PAGO]]&gt;0,"pagada","por pagar")</f>
        <v>pagada</v>
      </c>
      <c r="W1651" s="141" t="str">
        <f>+IF(AND(Tabla2[[#This Row],[venc]]="venc",Tabla2[[#This Row],[Columna1]]="por pagar"),"vencida","no")</f>
        <v>no</v>
      </c>
    </row>
    <row r="1652" spans="1:23" ht="15.6" hidden="1" x14ac:dyDescent="0.3">
      <c r="A1652" s="20">
        <v>30</v>
      </c>
      <c r="B1652" s="25">
        <v>0</v>
      </c>
      <c r="C1652" s="25"/>
      <c r="D1652" s="56" t="s">
        <v>184</v>
      </c>
      <c r="E1652" s="426">
        <v>44790</v>
      </c>
      <c r="F1652" s="26" t="s">
        <v>384</v>
      </c>
      <c r="G1652" s="426">
        <v>44714</v>
      </c>
      <c r="H1652" s="35" t="s">
        <v>1057</v>
      </c>
      <c r="I1652" s="21">
        <v>475000</v>
      </c>
      <c r="J1652" s="21"/>
      <c r="K1652" s="22">
        <v>0</v>
      </c>
      <c r="L1652" s="23"/>
      <c r="M1652" s="22">
        <v>0</v>
      </c>
      <c r="N1652" s="74">
        <v>0</v>
      </c>
      <c r="O1652" s="22">
        <v>0</v>
      </c>
      <c r="P1652" s="21">
        <v>475000</v>
      </c>
      <c r="S1652" s="108" t="b">
        <f>OR(COUNTIF(Tabla2[[#This Row],[PROVEEDOR]],"*"&amp;'Palabra no opera'!$A$2&amp;"*"))</f>
        <v>0</v>
      </c>
      <c r="T1652" s="139">
        <f>+$W$5-Tabla2[[#This Row],[FECHA DE FACTURACIÓN]]</f>
        <v>577</v>
      </c>
      <c r="U1652" t="str">
        <f>+IF(Tabla2[[#This Row],[dias de credito]]&gt;=Tabla2[[#This Row],[PLAZO Días]],"venc", "No venc")</f>
        <v>venc</v>
      </c>
      <c r="V1652" t="str">
        <f>+IF(Tabla2[[#This Row],[FECHA DE PAGO]]&gt;0,"pagada","por pagar")</f>
        <v>pagada</v>
      </c>
      <c r="W1652" s="141" t="str">
        <f>+IF(AND(Tabla2[[#This Row],[venc]]="venc",Tabla2[[#This Row],[Columna1]]="por pagar"),"vencida","no")</f>
        <v>no</v>
      </c>
    </row>
    <row r="1653" spans="1:23" ht="15.6" hidden="1" x14ac:dyDescent="0.3">
      <c r="A1653" s="20">
        <v>30</v>
      </c>
      <c r="B1653" s="25">
        <v>0</v>
      </c>
      <c r="C1653" s="25"/>
      <c r="D1653" s="56" t="s">
        <v>176</v>
      </c>
      <c r="E1653" s="426">
        <v>44789</v>
      </c>
      <c r="F1653" s="26" t="s">
        <v>967</v>
      </c>
      <c r="G1653" s="426">
        <v>44781</v>
      </c>
      <c r="H1653" s="35">
        <v>257</v>
      </c>
      <c r="I1653" s="21">
        <v>423000</v>
      </c>
      <c r="J1653" s="21"/>
      <c r="K1653" s="22">
        <v>0</v>
      </c>
      <c r="L1653" s="23"/>
      <c r="M1653" s="22">
        <v>0</v>
      </c>
      <c r="N1653" s="74">
        <v>0.01</v>
      </c>
      <c r="O1653" s="22">
        <v>4230</v>
      </c>
      <c r="P1653" s="21">
        <v>418770</v>
      </c>
      <c r="S1653" s="108" t="b">
        <f>OR(COUNTIF(Tabla2[[#This Row],[PROVEEDOR]],"*"&amp;'Palabra no opera'!$A$2&amp;"*"))</f>
        <v>0</v>
      </c>
      <c r="T1653" s="139">
        <f>+$W$5-Tabla2[[#This Row],[FECHA DE FACTURACIÓN]]</f>
        <v>510</v>
      </c>
      <c r="U1653" t="str">
        <f>+IF(Tabla2[[#This Row],[dias de credito]]&gt;=Tabla2[[#This Row],[PLAZO Días]],"venc", "No venc")</f>
        <v>venc</v>
      </c>
      <c r="V1653" t="str">
        <f>+IF(Tabla2[[#This Row],[FECHA DE PAGO]]&gt;0,"pagada","por pagar")</f>
        <v>pagada</v>
      </c>
      <c r="W1653" s="141" t="str">
        <f>+IF(AND(Tabla2[[#This Row],[venc]]="venc",Tabla2[[#This Row],[Columna1]]="por pagar"),"vencida","no")</f>
        <v>no</v>
      </c>
    </row>
    <row r="1654" spans="1:23" ht="15.6" hidden="1" x14ac:dyDescent="0.3">
      <c r="A1654" s="20">
        <v>30</v>
      </c>
      <c r="B1654" s="25">
        <v>0</v>
      </c>
      <c r="C1654" s="25"/>
      <c r="D1654" s="56" t="s">
        <v>185</v>
      </c>
      <c r="E1654" s="426">
        <v>44789</v>
      </c>
      <c r="F1654" s="26" t="s">
        <v>628</v>
      </c>
      <c r="G1654" s="426">
        <v>44774</v>
      </c>
      <c r="H1654" s="35">
        <v>11167</v>
      </c>
      <c r="I1654" s="21">
        <v>1649859</v>
      </c>
      <c r="J1654" s="21"/>
      <c r="K1654" s="22">
        <v>0</v>
      </c>
      <c r="L1654" s="23"/>
      <c r="M1654" s="22">
        <v>272331</v>
      </c>
      <c r="N1654" s="74">
        <v>0</v>
      </c>
      <c r="O1654" s="22">
        <v>0</v>
      </c>
      <c r="P1654" s="21">
        <v>1377528</v>
      </c>
      <c r="S1654" s="108" t="b">
        <f>OR(COUNTIF(Tabla2[[#This Row],[PROVEEDOR]],"*"&amp;'Palabra no opera'!$A$2&amp;"*"))</f>
        <v>1</v>
      </c>
      <c r="T1654" s="139">
        <f>+$W$5-Tabla2[[#This Row],[FECHA DE FACTURACIÓN]]</f>
        <v>517</v>
      </c>
      <c r="U1654" t="str">
        <f>+IF(Tabla2[[#This Row],[dias de credito]]&gt;=Tabla2[[#This Row],[PLAZO Días]],"venc", "No venc")</f>
        <v>venc</v>
      </c>
      <c r="V1654" t="str">
        <f>+IF(Tabla2[[#This Row],[FECHA DE PAGO]]&gt;0,"pagada","por pagar")</f>
        <v>pagada</v>
      </c>
      <c r="W1654" s="141" t="str">
        <f>+IF(AND(Tabla2[[#This Row],[venc]]="venc",Tabla2[[#This Row],[Columna1]]="por pagar"),"vencida","no")</f>
        <v>no</v>
      </c>
    </row>
    <row r="1655" spans="1:23" ht="15.6" hidden="1" x14ac:dyDescent="0.3">
      <c r="A1655" s="20">
        <v>30</v>
      </c>
      <c r="B1655" s="25">
        <v>0</v>
      </c>
      <c r="C1655" s="25"/>
      <c r="D1655" s="56" t="s">
        <v>107</v>
      </c>
      <c r="E1655" s="426">
        <v>44788</v>
      </c>
      <c r="F1655" s="26" t="s">
        <v>356</v>
      </c>
      <c r="G1655" s="426">
        <v>44781</v>
      </c>
      <c r="H1655" s="35" t="s">
        <v>949</v>
      </c>
      <c r="I1655" s="21">
        <v>6240000</v>
      </c>
      <c r="J1655" s="21"/>
      <c r="K1655" s="22">
        <v>0</v>
      </c>
      <c r="L1655" s="23"/>
      <c r="M1655" s="22">
        <v>0</v>
      </c>
      <c r="N1655" s="74">
        <v>0</v>
      </c>
      <c r="O1655" s="22">
        <v>0</v>
      </c>
      <c r="P1655" s="21">
        <v>6240000</v>
      </c>
      <c r="S1655" s="108" t="b">
        <f>OR(COUNTIF(Tabla2[[#This Row],[PROVEEDOR]],"*"&amp;'Palabra no opera'!$A$2&amp;"*"))</f>
        <v>0</v>
      </c>
      <c r="T1655" s="139">
        <f>+$W$5-Tabla2[[#This Row],[FECHA DE FACTURACIÓN]]</f>
        <v>510</v>
      </c>
      <c r="U1655" t="str">
        <f>+IF(Tabla2[[#This Row],[dias de credito]]&gt;=Tabla2[[#This Row],[PLAZO Días]],"venc", "No venc")</f>
        <v>venc</v>
      </c>
      <c r="V1655" t="str">
        <f>+IF(Tabla2[[#This Row],[FECHA DE PAGO]]&gt;0,"pagada","por pagar")</f>
        <v>pagada</v>
      </c>
      <c r="W1655" s="141" t="str">
        <f>+IF(AND(Tabla2[[#This Row],[venc]]="venc",Tabla2[[#This Row],[Columna1]]="por pagar"),"vencida","no")</f>
        <v>no</v>
      </c>
    </row>
    <row r="1656" spans="1:23" ht="15.6" hidden="1" x14ac:dyDescent="0.3">
      <c r="A1656" s="20">
        <v>30</v>
      </c>
      <c r="B1656" s="25">
        <v>0</v>
      </c>
      <c r="C1656" s="25"/>
      <c r="D1656" s="56" t="s">
        <v>574</v>
      </c>
      <c r="E1656" s="426">
        <v>44786</v>
      </c>
      <c r="F1656" s="26" t="s">
        <v>352</v>
      </c>
      <c r="G1656" s="426">
        <v>44751</v>
      </c>
      <c r="H1656" s="35" t="s">
        <v>1046</v>
      </c>
      <c r="I1656" s="21">
        <v>1492400</v>
      </c>
      <c r="J1656" s="21"/>
      <c r="K1656" s="22">
        <v>0</v>
      </c>
      <c r="L1656" s="23"/>
      <c r="M1656" s="22">
        <v>0</v>
      </c>
      <c r="N1656" s="74">
        <v>0</v>
      </c>
      <c r="O1656" s="22">
        <v>0</v>
      </c>
      <c r="P1656" s="21">
        <v>1492400</v>
      </c>
      <c r="S1656" s="108" t="b">
        <f>OR(COUNTIF(Tabla2[[#This Row],[PROVEEDOR]],"*"&amp;'Palabra no opera'!$A$2&amp;"*"))</f>
        <v>0</v>
      </c>
      <c r="T1656" s="139">
        <f>+$W$5-Tabla2[[#This Row],[FECHA DE FACTURACIÓN]]</f>
        <v>540</v>
      </c>
      <c r="U1656" t="str">
        <f>+IF(Tabla2[[#This Row],[dias de credito]]&gt;=Tabla2[[#This Row],[PLAZO Días]],"venc", "No venc")</f>
        <v>venc</v>
      </c>
      <c r="V1656" t="str">
        <f>+IF(Tabla2[[#This Row],[FECHA DE PAGO]]&gt;0,"pagada","por pagar")</f>
        <v>pagada</v>
      </c>
      <c r="W1656" s="141" t="str">
        <f>+IF(AND(Tabla2[[#This Row],[venc]]="venc",Tabla2[[#This Row],[Columna1]]="por pagar"),"vencida","no")</f>
        <v>no</v>
      </c>
    </row>
    <row r="1657" spans="1:23" ht="15.6" hidden="1" x14ac:dyDescent="0.3">
      <c r="A1657" s="20">
        <v>30</v>
      </c>
      <c r="B1657" s="25">
        <v>0</v>
      </c>
      <c r="C1657" s="25"/>
      <c r="D1657" s="56" t="s">
        <v>107</v>
      </c>
      <c r="E1657" s="426">
        <v>44785</v>
      </c>
      <c r="F1657" s="26" t="s">
        <v>390</v>
      </c>
      <c r="G1657" s="426">
        <v>44785</v>
      </c>
      <c r="H1657" s="35"/>
      <c r="I1657" s="21">
        <v>1000000</v>
      </c>
      <c r="J1657" s="21"/>
      <c r="K1657" s="22">
        <v>0</v>
      </c>
      <c r="L1657" s="23"/>
      <c r="M1657" s="22">
        <v>0</v>
      </c>
      <c r="N1657" s="74">
        <v>0</v>
      </c>
      <c r="O1657" s="22">
        <v>0</v>
      </c>
      <c r="P1657" s="21">
        <v>1000000</v>
      </c>
      <c r="S1657" s="108" t="b">
        <f>OR(COUNTIF(Tabla2[[#This Row],[PROVEEDOR]],"*"&amp;'Palabra no opera'!$A$2&amp;"*"))</f>
        <v>0</v>
      </c>
      <c r="T1657" s="139">
        <f>+$W$5-Tabla2[[#This Row],[FECHA DE FACTURACIÓN]]</f>
        <v>506</v>
      </c>
      <c r="U1657" t="str">
        <f>+IF(Tabla2[[#This Row],[dias de credito]]&gt;=Tabla2[[#This Row],[PLAZO Días]],"venc", "No venc")</f>
        <v>venc</v>
      </c>
      <c r="V1657" t="str">
        <f>+IF(Tabla2[[#This Row],[FECHA DE PAGO]]&gt;0,"pagada","por pagar")</f>
        <v>pagada</v>
      </c>
      <c r="W1657" s="141" t="str">
        <f>+IF(AND(Tabla2[[#This Row],[venc]]="venc",Tabla2[[#This Row],[Columna1]]="por pagar"),"vencida","no")</f>
        <v>no</v>
      </c>
    </row>
    <row r="1658" spans="1:23" ht="15.6" hidden="1" x14ac:dyDescent="0.3">
      <c r="A1658" s="20">
        <v>30</v>
      </c>
      <c r="B1658" s="25">
        <v>2100000</v>
      </c>
      <c r="C1658" s="25"/>
      <c r="D1658" s="56" t="s">
        <v>107</v>
      </c>
      <c r="E1658" s="426">
        <v>44785</v>
      </c>
      <c r="F1658" s="26" t="s">
        <v>349</v>
      </c>
      <c r="G1658" s="426">
        <v>44741</v>
      </c>
      <c r="H1658" s="35" t="s">
        <v>911</v>
      </c>
      <c r="I1658" s="21">
        <v>2368000</v>
      </c>
      <c r="J1658" s="21"/>
      <c r="K1658" s="22">
        <v>0</v>
      </c>
      <c r="L1658" s="23"/>
      <c r="M1658" s="22">
        <v>0</v>
      </c>
      <c r="N1658" s="74">
        <v>0</v>
      </c>
      <c r="O1658" s="22">
        <v>0</v>
      </c>
      <c r="P1658" s="21">
        <v>2368000</v>
      </c>
      <c r="S1658" s="108" t="b">
        <f>OR(COUNTIF(Tabla2[[#This Row],[PROVEEDOR]],"*"&amp;'Palabra no opera'!$A$2&amp;"*"))</f>
        <v>0</v>
      </c>
      <c r="T1658" s="139">
        <f>+$W$5-Tabla2[[#This Row],[FECHA DE FACTURACIÓN]]</f>
        <v>550</v>
      </c>
      <c r="U1658" t="str">
        <f>+IF(Tabla2[[#This Row],[dias de credito]]&gt;=Tabla2[[#This Row],[PLAZO Días]],"venc", "No venc")</f>
        <v>venc</v>
      </c>
      <c r="V1658" t="str">
        <f>+IF(Tabla2[[#This Row],[FECHA DE PAGO]]&gt;0,"pagada","por pagar")</f>
        <v>pagada</v>
      </c>
      <c r="W1658" s="141" t="str">
        <f>+IF(AND(Tabla2[[#This Row],[venc]]="venc",Tabla2[[#This Row],[Columna1]]="por pagar"),"vencida","no")</f>
        <v>no</v>
      </c>
    </row>
    <row r="1659" spans="1:23" ht="15.6" hidden="1" x14ac:dyDescent="0.3">
      <c r="A1659" s="20">
        <v>30</v>
      </c>
      <c r="B1659" s="25">
        <v>352505.48</v>
      </c>
      <c r="C1659" s="25"/>
      <c r="D1659" s="56" t="s">
        <v>393</v>
      </c>
      <c r="E1659" s="426">
        <v>44784</v>
      </c>
      <c r="F1659" s="26" t="s">
        <v>650</v>
      </c>
      <c r="G1659" s="426">
        <v>44774</v>
      </c>
      <c r="H1659" s="35">
        <v>68476</v>
      </c>
      <c r="I1659" s="21">
        <v>284467</v>
      </c>
      <c r="J1659" s="21"/>
      <c r="K1659" s="22">
        <v>0</v>
      </c>
      <c r="L1659" s="23"/>
      <c r="M1659" s="22">
        <v>8522.67</v>
      </c>
      <c r="N1659" s="74">
        <v>0</v>
      </c>
      <c r="O1659" s="22">
        <v>0</v>
      </c>
      <c r="P1659" s="21">
        <v>275944.33</v>
      </c>
      <c r="S1659" s="108" t="b">
        <f>OR(COUNTIF(Tabla2[[#This Row],[PROVEEDOR]],"*"&amp;'Palabra no opera'!$A$2&amp;"*"))</f>
        <v>1</v>
      </c>
      <c r="T1659" s="139">
        <f>+$W$5-Tabla2[[#This Row],[FECHA DE FACTURACIÓN]]</f>
        <v>517</v>
      </c>
      <c r="U1659" t="str">
        <f>+IF(Tabla2[[#This Row],[dias de credito]]&gt;=Tabla2[[#This Row],[PLAZO Días]],"venc", "No venc")</f>
        <v>venc</v>
      </c>
      <c r="V1659" t="str">
        <f>+IF(Tabla2[[#This Row],[FECHA DE PAGO]]&gt;0,"pagada","por pagar")</f>
        <v>pagada</v>
      </c>
      <c r="W1659" s="141" t="str">
        <f>+IF(AND(Tabla2[[#This Row],[venc]]="venc",Tabla2[[#This Row],[Columna1]]="por pagar"),"vencida","no")</f>
        <v>no</v>
      </c>
    </row>
    <row r="1660" spans="1:23" ht="15.6" hidden="1" x14ac:dyDescent="0.3">
      <c r="A1660" s="20">
        <v>13</v>
      </c>
      <c r="B1660" s="25">
        <v>0</v>
      </c>
      <c r="C1660" s="25"/>
      <c r="D1660" s="56">
        <v>0</v>
      </c>
      <c r="E1660" s="426">
        <v>44784</v>
      </c>
      <c r="F1660" s="26" t="s">
        <v>644</v>
      </c>
      <c r="G1660" s="426">
        <v>44774</v>
      </c>
      <c r="H1660" s="35"/>
      <c r="I1660" s="21">
        <v>1104931</v>
      </c>
      <c r="J1660" s="21"/>
      <c r="K1660" s="22">
        <v>0</v>
      </c>
      <c r="L1660" s="23"/>
      <c r="M1660" s="22">
        <v>0</v>
      </c>
      <c r="N1660" s="74">
        <v>0</v>
      </c>
      <c r="O1660" s="22">
        <v>0</v>
      </c>
      <c r="P1660" s="21">
        <v>1104931</v>
      </c>
      <c r="S1660" s="108" t="b">
        <f>OR(COUNTIF(Tabla2[[#This Row],[PROVEEDOR]],"*"&amp;'Palabra no opera'!$A$2&amp;"*"))</f>
        <v>1</v>
      </c>
      <c r="T1660" s="139">
        <f>+$W$5-Tabla2[[#This Row],[FECHA DE FACTURACIÓN]]</f>
        <v>517</v>
      </c>
      <c r="U1660" t="str">
        <f>+IF(Tabla2[[#This Row],[dias de credito]]&gt;=Tabla2[[#This Row],[PLAZO Días]],"venc", "No venc")</f>
        <v>venc</v>
      </c>
      <c r="V1660" t="str">
        <f>+IF(Tabla2[[#This Row],[FECHA DE PAGO]]&gt;0,"pagada","por pagar")</f>
        <v>pagada</v>
      </c>
      <c r="W1660" s="141" t="str">
        <f>+IF(AND(Tabla2[[#This Row],[venc]]="venc",Tabla2[[#This Row],[Columna1]]="por pagar"),"vencida","no")</f>
        <v>no</v>
      </c>
    </row>
    <row r="1661" spans="1:23" ht="15.6" hidden="1" x14ac:dyDescent="0.3">
      <c r="A1661" s="20">
        <v>0</v>
      </c>
      <c r="B1661" s="25">
        <v>0</v>
      </c>
      <c r="C1661" s="25"/>
      <c r="D1661" s="56" t="s">
        <v>834</v>
      </c>
      <c r="E1661" s="426">
        <v>44783</v>
      </c>
      <c r="F1661" s="26" t="s">
        <v>835</v>
      </c>
      <c r="G1661" s="426">
        <v>44783</v>
      </c>
      <c r="H1661" s="35" t="s">
        <v>870</v>
      </c>
      <c r="I1661" s="21">
        <v>0</v>
      </c>
      <c r="J1661" s="21"/>
      <c r="K1661" s="22">
        <v>380000</v>
      </c>
      <c r="L1661" s="23"/>
      <c r="M1661" s="22">
        <v>0</v>
      </c>
      <c r="N1661" s="74">
        <v>0</v>
      </c>
      <c r="O1661" s="22">
        <v>0</v>
      </c>
      <c r="P1661" s="21">
        <v>380000</v>
      </c>
      <c r="S1661" s="108" t="b">
        <f>OR(COUNTIF(Tabla2[[#This Row],[PROVEEDOR]],"*"&amp;'Palabra no opera'!$A$2&amp;"*"))</f>
        <v>1</v>
      </c>
      <c r="T1661" s="139">
        <f>+$W$5-Tabla2[[#This Row],[FECHA DE FACTURACIÓN]]</f>
        <v>508</v>
      </c>
      <c r="U1661" t="str">
        <f>+IF(Tabla2[[#This Row],[dias de credito]]&gt;=Tabla2[[#This Row],[PLAZO Días]],"venc", "No venc")</f>
        <v>venc</v>
      </c>
      <c r="V1661" t="str">
        <f>+IF(Tabla2[[#This Row],[FECHA DE PAGO]]&gt;0,"pagada","por pagar")</f>
        <v>pagada</v>
      </c>
      <c r="W1661" s="141" t="str">
        <f>+IF(AND(Tabla2[[#This Row],[venc]]="venc",Tabla2[[#This Row],[Columna1]]="por pagar"),"vencida","no")</f>
        <v>no</v>
      </c>
    </row>
    <row r="1662" spans="1:23" ht="15.6" hidden="1" x14ac:dyDescent="0.3">
      <c r="A1662" s="20">
        <v>10</v>
      </c>
      <c r="B1662" s="25">
        <v>0</v>
      </c>
      <c r="C1662" s="25"/>
      <c r="D1662" s="56" t="s">
        <v>868</v>
      </c>
      <c r="E1662" s="426">
        <v>44783</v>
      </c>
      <c r="F1662" s="26" t="s">
        <v>869</v>
      </c>
      <c r="G1662" s="426">
        <v>44781</v>
      </c>
      <c r="H1662" s="35">
        <v>337</v>
      </c>
      <c r="I1662" s="21">
        <v>300000</v>
      </c>
      <c r="J1662" s="21"/>
      <c r="K1662" s="22">
        <v>57000</v>
      </c>
      <c r="L1662" s="23"/>
      <c r="M1662" s="22">
        <v>0</v>
      </c>
      <c r="N1662" s="74">
        <v>0.04</v>
      </c>
      <c r="O1662" s="22">
        <v>12000</v>
      </c>
      <c r="P1662" s="21">
        <v>345000</v>
      </c>
      <c r="S1662" s="108" t="b">
        <f>OR(COUNTIF(Tabla2[[#This Row],[PROVEEDOR]],"*"&amp;'Palabra no opera'!$A$2&amp;"*"))</f>
        <v>1</v>
      </c>
      <c r="T1662" s="139">
        <f>+$W$5-Tabla2[[#This Row],[FECHA DE FACTURACIÓN]]</f>
        <v>510</v>
      </c>
      <c r="U1662" t="str">
        <f>+IF(Tabla2[[#This Row],[dias de credito]]&gt;=Tabla2[[#This Row],[PLAZO Días]],"venc", "No venc")</f>
        <v>venc</v>
      </c>
      <c r="V1662" t="str">
        <f>+IF(Tabla2[[#This Row],[FECHA DE PAGO]]&gt;0,"pagada","por pagar")</f>
        <v>pagada</v>
      </c>
      <c r="W1662" s="141" t="str">
        <f>+IF(AND(Tabla2[[#This Row],[venc]]="venc",Tabla2[[#This Row],[Columna1]]="por pagar"),"vencida","no")</f>
        <v>no</v>
      </c>
    </row>
    <row r="1663" spans="1:23" ht="15.6" hidden="1" x14ac:dyDescent="0.3">
      <c r="A1663" s="20">
        <v>30</v>
      </c>
      <c r="B1663" s="25">
        <v>0</v>
      </c>
      <c r="C1663" s="25"/>
      <c r="D1663" s="56" t="s">
        <v>368</v>
      </c>
      <c r="E1663" s="426">
        <v>44783</v>
      </c>
      <c r="F1663" s="26" t="s">
        <v>623</v>
      </c>
      <c r="G1663" s="426">
        <v>44774</v>
      </c>
      <c r="H1663" s="35" t="s">
        <v>848</v>
      </c>
      <c r="I1663" s="21">
        <v>791781</v>
      </c>
      <c r="J1663" s="21"/>
      <c r="K1663" s="22">
        <v>150438.39000000001</v>
      </c>
      <c r="L1663" s="23"/>
      <c r="M1663" s="22">
        <v>0</v>
      </c>
      <c r="N1663" s="74">
        <v>0</v>
      </c>
      <c r="O1663" s="22">
        <v>0</v>
      </c>
      <c r="P1663" s="21">
        <v>942219.39</v>
      </c>
      <c r="S1663" s="108" t="b">
        <f>OR(COUNTIF(Tabla2[[#This Row],[PROVEEDOR]],"*"&amp;'Palabra no opera'!$A$2&amp;"*"))</f>
        <v>1</v>
      </c>
      <c r="T1663" s="139">
        <f>+$W$5-Tabla2[[#This Row],[FECHA DE FACTURACIÓN]]</f>
        <v>517</v>
      </c>
      <c r="U1663" t="str">
        <f>+IF(Tabla2[[#This Row],[dias de credito]]&gt;=Tabla2[[#This Row],[PLAZO Días]],"venc", "No venc")</f>
        <v>venc</v>
      </c>
      <c r="V1663" t="str">
        <f>+IF(Tabla2[[#This Row],[FECHA DE PAGO]]&gt;0,"pagada","por pagar")</f>
        <v>pagada</v>
      </c>
      <c r="W1663" s="141" t="str">
        <f>+IF(AND(Tabla2[[#This Row],[venc]]="venc",Tabla2[[#This Row],[Columna1]]="por pagar"),"vencida","no")</f>
        <v>no</v>
      </c>
    </row>
    <row r="1664" spans="1:23" ht="15.6" hidden="1" x14ac:dyDescent="0.3">
      <c r="A1664" s="20">
        <v>30</v>
      </c>
      <c r="B1664" s="25">
        <v>0</v>
      </c>
      <c r="C1664" s="25"/>
      <c r="D1664" s="56" t="s">
        <v>368</v>
      </c>
      <c r="E1664" s="426">
        <v>44783</v>
      </c>
      <c r="F1664" s="26" t="s">
        <v>623</v>
      </c>
      <c r="G1664" s="426">
        <v>44774</v>
      </c>
      <c r="H1664" s="35" t="s">
        <v>847</v>
      </c>
      <c r="I1664" s="21">
        <v>3294426</v>
      </c>
      <c r="J1664" s="21"/>
      <c r="K1664" s="22">
        <v>625940.94000000006</v>
      </c>
      <c r="L1664" s="23"/>
      <c r="M1664" s="22">
        <v>0</v>
      </c>
      <c r="N1664" s="74">
        <v>0</v>
      </c>
      <c r="O1664" s="22">
        <v>0</v>
      </c>
      <c r="P1664" s="21">
        <v>3920366.94</v>
      </c>
      <c r="S1664" s="108" t="b">
        <f>OR(COUNTIF(Tabla2[[#This Row],[PROVEEDOR]],"*"&amp;'Palabra no opera'!$A$2&amp;"*"))</f>
        <v>1</v>
      </c>
      <c r="T1664" s="139">
        <f>+$W$5-Tabla2[[#This Row],[FECHA DE FACTURACIÓN]]</f>
        <v>517</v>
      </c>
      <c r="U1664" t="str">
        <f>+IF(Tabla2[[#This Row],[dias de credito]]&gt;=Tabla2[[#This Row],[PLAZO Días]],"venc", "No venc")</f>
        <v>venc</v>
      </c>
      <c r="V1664" t="str">
        <f>+IF(Tabla2[[#This Row],[FECHA DE PAGO]]&gt;0,"pagada","por pagar")</f>
        <v>pagada</v>
      </c>
      <c r="W1664" s="141" t="str">
        <f>+IF(AND(Tabla2[[#This Row],[venc]]="venc",Tabla2[[#This Row],[Columna1]]="por pagar"),"vencida","no")</f>
        <v>no</v>
      </c>
    </row>
    <row r="1665" spans="1:23" ht="15.6" hidden="1" x14ac:dyDescent="0.3">
      <c r="A1665" s="20">
        <v>30</v>
      </c>
      <c r="B1665" s="25">
        <v>0</v>
      </c>
      <c r="C1665" s="25"/>
      <c r="D1665" s="56">
        <v>0</v>
      </c>
      <c r="E1665" s="426">
        <v>44783</v>
      </c>
      <c r="F1665" s="26" t="s">
        <v>642</v>
      </c>
      <c r="G1665" s="426">
        <v>44774</v>
      </c>
      <c r="H1665" s="35" t="s">
        <v>217</v>
      </c>
      <c r="I1665" s="21">
        <v>455823</v>
      </c>
      <c r="J1665" s="21"/>
      <c r="K1665" s="22">
        <v>0</v>
      </c>
      <c r="L1665" s="23"/>
      <c r="M1665" s="22">
        <v>0</v>
      </c>
      <c r="N1665" s="74">
        <v>0</v>
      </c>
      <c r="O1665" s="22">
        <v>0</v>
      </c>
      <c r="P1665" s="21">
        <v>455823</v>
      </c>
      <c r="S1665" s="108" t="b">
        <f>OR(COUNTIF(Tabla2[[#This Row],[PROVEEDOR]],"*"&amp;'Palabra no opera'!$A$2&amp;"*"))</f>
        <v>1</v>
      </c>
      <c r="T1665" s="139">
        <f>+$W$5-Tabla2[[#This Row],[FECHA DE FACTURACIÓN]]</f>
        <v>517</v>
      </c>
      <c r="U1665" t="str">
        <f>+IF(Tabla2[[#This Row],[dias de credito]]&gt;=Tabla2[[#This Row],[PLAZO Días]],"venc", "No venc")</f>
        <v>venc</v>
      </c>
      <c r="V1665" t="str">
        <f>+IF(Tabla2[[#This Row],[FECHA DE PAGO]]&gt;0,"pagada","por pagar")</f>
        <v>pagada</v>
      </c>
      <c r="W1665" s="141" t="str">
        <f>+IF(AND(Tabla2[[#This Row],[venc]]="venc",Tabla2[[#This Row],[Columna1]]="por pagar"),"vencida","no")</f>
        <v>no</v>
      </c>
    </row>
    <row r="1666" spans="1:23" ht="15.6" hidden="1" x14ac:dyDescent="0.3">
      <c r="A1666" s="20">
        <v>30</v>
      </c>
      <c r="B1666" s="25">
        <v>0</v>
      </c>
      <c r="C1666" s="25"/>
      <c r="D1666" s="56" t="s">
        <v>190</v>
      </c>
      <c r="E1666" s="426">
        <v>44783</v>
      </c>
      <c r="F1666" s="26" t="s">
        <v>964</v>
      </c>
      <c r="G1666" s="426">
        <v>44753</v>
      </c>
      <c r="H1666" s="35">
        <v>33069</v>
      </c>
      <c r="I1666" s="21">
        <v>1965400</v>
      </c>
      <c r="J1666" s="21"/>
      <c r="K1666" s="22">
        <v>373426</v>
      </c>
      <c r="L1666" s="23"/>
      <c r="M1666" s="22">
        <v>0</v>
      </c>
      <c r="N1666" s="74">
        <v>2.5000000000000001E-2</v>
      </c>
      <c r="O1666" s="22">
        <v>49135</v>
      </c>
      <c r="P1666" s="21">
        <v>2289691</v>
      </c>
      <c r="S1666" s="108" t="b">
        <f>OR(COUNTIF(Tabla2[[#This Row],[PROVEEDOR]],"*"&amp;'Palabra no opera'!$A$2&amp;"*"))</f>
        <v>0</v>
      </c>
      <c r="T1666" s="139">
        <f>+$W$5-Tabla2[[#This Row],[FECHA DE FACTURACIÓN]]</f>
        <v>538</v>
      </c>
      <c r="U1666" t="str">
        <f>+IF(Tabla2[[#This Row],[dias de credito]]&gt;=Tabla2[[#This Row],[PLAZO Días]],"venc", "No venc")</f>
        <v>venc</v>
      </c>
      <c r="V1666" t="str">
        <f>+IF(Tabla2[[#This Row],[FECHA DE PAGO]]&gt;0,"pagada","por pagar")</f>
        <v>pagada</v>
      </c>
      <c r="W1666" s="141" t="str">
        <f>+IF(AND(Tabla2[[#This Row],[venc]]="venc",Tabla2[[#This Row],[Columna1]]="por pagar"),"vencida","no")</f>
        <v>no</v>
      </c>
    </row>
    <row r="1667" spans="1:23" ht="15.6" hidden="1" x14ac:dyDescent="0.3">
      <c r="A1667" s="20">
        <v>30</v>
      </c>
      <c r="B1667" s="25">
        <v>0</v>
      </c>
      <c r="C1667" s="25"/>
      <c r="D1667" s="56" t="s">
        <v>277</v>
      </c>
      <c r="E1667" s="426">
        <v>44783</v>
      </c>
      <c r="F1667" s="26" t="s">
        <v>248</v>
      </c>
      <c r="G1667" s="426">
        <v>44751</v>
      </c>
      <c r="H1667" s="35" t="s">
        <v>824</v>
      </c>
      <c r="I1667" s="21">
        <v>2562110.2599999998</v>
      </c>
      <c r="J1667" s="21"/>
      <c r="K1667" s="22">
        <v>486800.94939999998</v>
      </c>
      <c r="L1667" s="23"/>
      <c r="M1667" s="22">
        <v>0</v>
      </c>
      <c r="N1667" s="74">
        <v>0</v>
      </c>
      <c r="O1667" s="22">
        <v>0</v>
      </c>
      <c r="P1667" s="21">
        <v>3048911.2093999996</v>
      </c>
      <c r="S1667" s="108" t="b">
        <f>OR(COUNTIF(Tabla2[[#This Row],[PROVEEDOR]],"*"&amp;'Palabra no opera'!$A$2&amp;"*"))</f>
        <v>0</v>
      </c>
      <c r="T1667" s="139">
        <f>+$W$5-Tabla2[[#This Row],[FECHA DE FACTURACIÓN]]</f>
        <v>540</v>
      </c>
      <c r="U1667" t="str">
        <f>+IF(Tabla2[[#This Row],[dias de credito]]&gt;=Tabla2[[#This Row],[PLAZO Días]],"venc", "No venc")</f>
        <v>venc</v>
      </c>
      <c r="V1667" t="str">
        <f>+IF(Tabla2[[#This Row],[FECHA DE PAGO]]&gt;0,"pagada","por pagar")</f>
        <v>pagada</v>
      </c>
      <c r="W1667" s="141" t="str">
        <f>+IF(AND(Tabla2[[#This Row],[venc]]="venc",Tabla2[[#This Row],[Columna1]]="por pagar"),"vencida","no")</f>
        <v>no</v>
      </c>
    </row>
    <row r="1668" spans="1:23" ht="15.6" hidden="1" x14ac:dyDescent="0.3">
      <c r="A1668" s="20">
        <v>30</v>
      </c>
      <c r="B1668" s="25">
        <v>-139600.09</v>
      </c>
      <c r="C1668" s="25"/>
      <c r="D1668" s="56" t="s">
        <v>728</v>
      </c>
      <c r="E1668" s="426">
        <v>44783</v>
      </c>
      <c r="F1668" s="26" t="s">
        <v>32</v>
      </c>
      <c r="G1668" s="426">
        <v>44749</v>
      </c>
      <c r="H1668" s="35" t="s">
        <v>853</v>
      </c>
      <c r="I1668" s="21">
        <v>368487.39</v>
      </c>
      <c r="J1668" s="21"/>
      <c r="K1668" s="22">
        <v>70012.604099999997</v>
      </c>
      <c r="L1668" s="23"/>
      <c r="M1668" s="22">
        <v>0</v>
      </c>
      <c r="N1668" s="74">
        <v>0</v>
      </c>
      <c r="O1668" s="22">
        <v>0</v>
      </c>
      <c r="P1668" s="21">
        <v>438499.99410000001</v>
      </c>
      <c r="S1668" s="108" t="b">
        <f>OR(COUNTIF(Tabla2[[#This Row],[PROVEEDOR]],"*"&amp;'Palabra no opera'!$A$2&amp;"*"))</f>
        <v>0</v>
      </c>
      <c r="T1668" s="139">
        <f>+$W$5-Tabla2[[#This Row],[FECHA DE FACTURACIÓN]]</f>
        <v>542</v>
      </c>
      <c r="U1668" t="str">
        <f>+IF(Tabla2[[#This Row],[dias de credito]]&gt;=Tabla2[[#This Row],[PLAZO Días]],"venc", "No venc")</f>
        <v>venc</v>
      </c>
      <c r="V1668" t="str">
        <f>+IF(Tabla2[[#This Row],[FECHA DE PAGO]]&gt;0,"pagada","por pagar")</f>
        <v>pagada</v>
      </c>
      <c r="W1668" s="141" t="str">
        <f>+IF(AND(Tabla2[[#This Row],[venc]]="venc",Tabla2[[#This Row],[Columna1]]="por pagar"),"vencida","no")</f>
        <v>no</v>
      </c>
    </row>
    <row r="1669" spans="1:23" ht="15.6" hidden="1" x14ac:dyDescent="0.3">
      <c r="A1669" s="20">
        <v>30</v>
      </c>
      <c r="B1669" s="25">
        <v>0</v>
      </c>
      <c r="C1669" s="25"/>
      <c r="D1669" s="56" t="s">
        <v>867</v>
      </c>
      <c r="E1669" s="426">
        <v>44783</v>
      </c>
      <c r="F1669" s="26" t="s">
        <v>763</v>
      </c>
      <c r="G1669" s="426">
        <v>44735</v>
      </c>
      <c r="H1669" s="35">
        <v>362</v>
      </c>
      <c r="I1669" s="21">
        <v>1900000</v>
      </c>
      <c r="J1669" s="21"/>
      <c r="K1669" s="22">
        <v>361000</v>
      </c>
      <c r="L1669" s="23"/>
      <c r="M1669" s="22">
        <v>0</v>
      </c>
      <c r="N1669" s="74">
        <v>2.5000000000000001E-2</v>
      </c>
      <c r="O1669" s="22">
        <v>47500</v>
      </c>
      <c r="P1669" s="21">
        <v>2213500</v>
      </c>
      <c r="S1669" s="108" t="b">
        <f>OR(COUNTIF(Tabla2[[#This Row],[PROVEEDOR]],"*"&amp;'Palabra no opera'!$A$2&amp;"*"))</f>
        <v>0</v>
      </c>
      <c r="T1669" s="139">
        <f>+$W$5-Tabla2[[#This Row],[FECHA DE FACTURACIÓN]]</f>
        <v>556</v>
      </c>
      <c r="U1669" t="str">
        <f>+IF(Tabla2[[#This Row],[dias de credito]]&gt;=Tabla2[[#This Row],[PLAZO Días]],"venc", "No venc")</f>
        <v>venc</v>
      </c>
      <c r="V1669" t="str">
        <f>+IF(Tabla2[[#This Row],[FECHA DE PAGO]]&gt;0,"pagada","por pagar")</f>
        <v>pagada</v>
      </c>
      <c r="W1669" s="141" t="str">
        <f>+IF(AND(Tabla2[[#This Row],[venc]]="venc",Tabla2[[#This Row],[Columna1]]="por pagar"),"vencida","no")</f>
        <v>no</v>
      </c>
    </row>
    <row r="1670" spans="1:23" ht="15.6" hidden="1" x14ac:dyDescent="0.3">
      <c r="A1670" s="20">
        <v>30</v>
      </c>
      <c r="B1670" s="25">
        <v>27189617.395</v>
      </c>
      <c r="C1670" s="25"/>
      <c r="D1670" s="56" t="s">
        <v>686</v>
      </c>
      <c r="E1670" s="426">
        <v>44783</v>
      </c>
      <c r="F1670" s="26" t="s">
        <v>77</v>
      </c>
      <c r="G1670" s="426">
        <v>44725</v>
      </c>
      <c r="H1670" s="35" t="s">
        <v>769</v>
      </c>
      <c r="I1670" s="21">
        <v>277311</v>
      </c>
      <c r="J1670" s="21"/>
      <c r="K1670" s="22">
        <v>52689.090000000004</v>
      </c>
      <c r="L1670" s="23"/>
      <c r="M1670" s="22">
        <v>0</v>
      </c>
      <c r="N1670" s="74">
        <v>0</v>
      </c>
      <c r="O1670" s="22">
        <v>0</v>
      </c>
      <c r="P1670" s="21">
        <v>330000.09000000003</v>
      </c>
      <c r="S1670" s="108" t="b">
        <f>OR(COUNTIF(Tabla2[[#This Row],[PROVEEDOR]],"*"&amp;'Palabra no opera'!$A$2&amp;"*"))</f>
        <v>0</v>
      </c>
      <c r="T1670" s="139">
        <f>+$W$5-Tabla2[[#This Row],[FECHA DE FACTURACIÓN]]</f>
        <v>566</v>
      </c>
      <c r="U1670" t="str">
        <f>+IF(Tabla2[[#This Row],[dias de credito]]&gt;=Tabla2[[#This Row],[PLAZO Días]],"venc", "No venc")</f>
        <v>venc</v>
      </c>
      <c r="V1670" t="str">
        <f>+IF(Tabla2[[#This Row],[FECHA DE PAGO]]&gt;0,"pagada","por pagar")</f>
        <v>pagada</v>
      </c>
      <c r="W1670" s="141" t="str">
        <f>+IF(AND(Tabla2[[#This Row],[venc]]="venc",Tabla2[[#This Row],[Columna1]]="por pagar"),"vencida","no")</f>
        <v>no</v>
      </c>
    </row>
    <row r="1671" spans="1:23" ht="15.6" hidden="1" x14ac:dyDescent="0.3">
      <c r="A1671" s="20">
        <v>30</v>
      </c>
      <c r="B1671" s="25">
        <v>0</v>
      </c>
      <c r="C1671" s="25"/>
      <c r="D1671" s="56" t="s">
        <v>259</v>
      </c>
      <c r="E1671" s="426">
        <v>44783</v>
      </c>
      <c r="F1671" s="26" t="s">
        <v>33</v>
      </c>
      <c r="G1671" s="426">
        <v>44718</v>
      </c>
      <c r="H1671" s="35">
        <v>2730</v>
      </c>
      <c r="I1671" s="21">
        <v>2006000</v>
      </c>
      <c r="J1671" s="21"/>
      <c r="K1671" s="22">
        <v>381140</v>
      </c>
      <c r="L1671" s="23"/>
      <c r="M1671" s="22">
        <v>0</v>
      </c>
      <c r="N1671" s="74">
        <v>2.5000000000000001E-2</v>
      </c>
      <c r="O1671" s="22">
        <v>50150</v>
      </c>
      <c r="P1671" s="21">
        <v>2336990</v>
      </c>
      <c r="S1671" s="108" t="b">
        <f>OR(COUNTIF(Tabla2[[#This Row],[PROVEEDOR]],"*"&amp;'Palabra no opera'!$A$2&amp;"*"))</f>
        <v>0</v>
      </c>
      <c r="T1671" s="139">
        <f>+$W$5-Tabla2[[#This Row],[FECHA DE FACTURACIÓN]]</f>
        <v>573</v>
      </c>
      <c r="U1671" t="str">
        <f>+IF(Tabla2[[#This Row],[dias de credito]]&gt;=Tabla2[[#This Row],[PLAZO Días]],"venc", "No venc")</f>
        <v>venc</v>
      </c>
      <c r="V1671" t="str">
        <f>+IF(Tabla2[[#This Row],[FECHA DE PAGO]]&gt;0,"pagada","por pagar")</f>
        <v>pagada</v>
      </c>
      <c r="W1671" s="141" t="str">
        <f>+IF(AND(Tabla2[[#This Row],[venc]]="venc",Tabla2[[#This Row],[Columna1]]="por pagar"),"vencida","no")</f>
        <v>no</v>
      </c>
    </row>
    <row r="1672" spans="1:23" ht="15.6" hidden="1" x14ac:dyDescent="0.3">
      <c r="A1672" s="20">
        <v>30</v>
      </c>
      <c r="B1672" s="25">
        <v>0</v>
      </c>
      <c r="C1672" s="25" t="s">
        <v>866</v>
      </c>
      <c r="D1672" s="56" t="s">
        <v>107</v>
      </c>
      <c r="E1672" s="426">
        <v>44782</v>
      </c>
      <c r="F1672" s="26" t="s">
        <v>396</v>
      </c>
      <c r="G1672" s="426">
        <v>44674</v>
      </c>
      <c r="H1672" s="35" t="s">
        <v>602</v>
      </c>
      <c r="I1672" s="21">
        <v>180000</v>
      </c>
      <c r="J1672" s="21"/>
      <c r="K1672" s="22">
        <v>0</v>
      </c>
      <c r="L1672" s="23"/>
      <c r="M1672" s="22">
        <v>0</v>
      </c>
      <c r="N1672" s="74">
        <v>0</v>
      </c>
      <c r="O1672" s="22">
        <v>0</v>
      </c>
      <c r="P1672" s="21">
        <v>180000</v>
      </c>
      <c r="S1672" s="108" t="b">
        <f>OR(COUNTIF(Tabla2[[#This Row],[PROVEEDOR]],"*"&amp;'Palabra no opera'!$A$2&amp;"*"))</f>
        <v>0</v>
      </c>
      <c r="T1672" s="139">
        <f>+$W$5-Tabla2[[#This Row],[FECHA DE FACTURACIÓN]]</f>
        <v>617</v>
      </c>
      <c r="U1672" t="str">
        <f>+IF(Tabla2[[#This Row],[dias de credito]]&gt;=Tabla2[[#This Row],[PLAZO Días]],"venc", "No venc")</f>
        <v>venc</v>
      </c>
      <c r="V1672" t="str">
        <f>+IF(Tabla2[[#This Row],[FECHA DE PAGO]]&gt;0,"pagada","por pagar")</f>
        <v>pagada</v>
      </c>
      <c r="W1672" s="141" t="str">
        <f>+IF(AND(Tabla2[[#This Row],[venc]]="venc",Tabla2[[#This Row],[Columna1]]="por pagar"),"vencida","no")</f>
        <v>no</v>
      </c>
    </row>
    <row r="1673" spans="1:23" ht="15.6" hidden="1" x14ac:dyDescent="0.3">
      <c r="A1673" s="20">
        <v>0</v>
      </c>
      <c r="B1673" s="25">
        <v>0</v>
      </c>
      <c r="C1673" s="25"/>
      <c r="D1673" s="56">
        <v>0</v>
      </c>
      <c r="E1673" s="426">
        <v>44781</v>
      </c>
      <c r="F1673" s="26" t="s">
        <v>754</v>
      </c>
      <c r="G1673" s="426">
        <v>44781</v>
      </c>
      <c r="H1673" s="35" t="s">
        <v>907</v>
      </c>
      <c r="I1673" s="21">
        <v>3765900</v>
      </c>
      <c r="J1673" s="21"/>
      <c r="K1673" s="22">
        <v>0</v>
      </c>
      <c r="L1673" s="23"/>
      <c r="M1673" s="22">
        <v>0</v>
      </c>
      <c r="N1673" s="74">
        <v>0</v>
      </c>
      <c r="O1673" s="22">
        <v>0</v>
      </c>
      <c r="P1673" s="21">
        <v>3765900</v>
      </c>
      <c r="S1673" s="108" t="b">
        <f>OR(COUNTIF(Tabla2[[#This Row],[PROVEEDOR]],"*"&amp;'Palabra no opera'!$A$2&amp;"*"))</f>
        <v>1</v>
      </c>
      <c r="T1673" s="139">
        <f>+$W$5-Tabla2[[#This Row],[FECHA DE FACTURACIÓN]]</f>
        <v>510</v>
      </c>
      <c r="U1673" t="str">
        <f>+IF(Tabla2[[#This Row],[dias de credito]]&gt;=Tabla2[[#This Row],[PLAZO Días]],"venc", "No venc")</f>
        <v>venc</v>
      </c>
      <c r="V1673" t="str">
        <f>+IF(Tabla2[[#This Row],[FECHA DE PAGO]]&gt;0,"pagada","por pagar")</f>
        <v>pagada</v>
      </c>
      <c r="W1673" s="141" t="str">
        <f>+IF(AND(Tabla2[[#This Row],[venc]]="venc",Tabla2[[#This Row],[Columna1]]="por pagar"),"vencida","no")</f>
        <v>no</v>
      </c>
    </row>
    <row r="1674" spans="1:23" ht="15.6" hidden="1" x14ac:dyDescent="0.3">
      <c r="A1674" s="20">
        <v>30</v>
      </c>
      <c r="B1674" s="25">
        <v>0</v>
      </c>
      <c r="C1674" s="25"/>
      <c r="D1674" s="56" t="s">
        <v>107</v>
      </c>
      <c r="E1674" s="426">
        <v>44780</v>
      </c>
      <c r="F1674" s="26" t="s">
        <v>378</v>
      </c>
      <c r="G1674" s="426">
        <v>44780</v>
      </c>
      <c r="H1674" s="35" t="s">
        <v>881</v>
      </c>
      <c r="I1674" s="21">
        <v>710000</v>
      </c>
      <c r="J1674" s="21"/>
      <c r="K1674" s="22">
        <v>0</v>
      </c>
      <c r="L1674" s="23"/>
      <c r="M1674" s="22">
        <v>0</v>
      </c>
      <c r="N1674" s="74">
        <v>0</v>
      </c>
      <c r="O1674" s="22">
        <v>0</v>
      </c>
      <c r="P1674" s="21">
        <v>710000</v>
      </c>
      <c r="S1674" s="108" t="b">
        <f>OR(COUNTIF(Tabla2[[#This Row],[PROVEEDOR]],"*"&amp;'Palabra no opera'!$A$2&amp;"*"))</f>
        <v>0</v>
      </c>
      <c r="T1674" s="139">
        <f>+$W$5-Tabla2[[#This Row],[FECHA DE FACTURACIÓN]]</f>
        <v>511</v>
      </c>
      <c r="U1674" t="str">
        <f>+IF(Tabla2[[#This Row],[dias de credito]]&gt;=Tabla2[[#This Row],[PLAZO Días]],"venc", "No venc")</f>
        <v>venc</v>
      </c>
      <c r="V1674" t="str">
        <f>+IF(Tabla2[[#This Row],[FECHA DE PAGO]]&gt;0,"pagada","por pagar")</f>
        <v>pagada</v>
      </c>
      <c r="W1674" s="141" t="str">
        <f>+IF(AND(Tabla2[[#This Row],[venc]]="venc",Tabla2[[#This Row],[Columna1]]="por pagar"),"vencida","no")</f>
        <v>no</v>
      </c>
    </row>
    <row r="1675" spans="1:23" ht="15.6" hidden="1" x14ac:dyDescent="0.3">
      <c r="A1675" s="20">
        <v>30</v>
      </c>
      <c r="B1675" s="25">
        <v>0</v>
      </c>
      <c r="C1675" s="25"/>
      <c r="D1675" s="56" t="s">
        <v>107</v>
      </c>
      <c r="E1675" s="426">
        <v>44778</v>
      </c>
      <c r="F1675" s="26" t="s">
        <v>390</v>
      </c>
      <c r="G1675" s="426">
        <v>44778</v>
      </c>
      <c r="H1675" s="35"/>
      <c r="I1675" s="21">
        <v>1000000</v>
      </c>
      <c r="J1675" s="21"/>
      <c r="K1675" s="22">
        <v>0</v>
      </c>
      <c r="L1675" s="23"/>
      <c r="M1675" s="22">
        <v>0</v>
      </c>
      <c r="N1675" s="74">
        <v>0</v>
      </c>
      <c r="O1675" s="22">
        <v>0</v>
      </c>
      <c r="P1675" s="21">
        <v>1000000</v>
      </c>
      <c r="S1675" s="108" t="b">
        <f>OR(COUNTIF(Tabla2[[#This Row],[PROVEEDOR]],"*"&amp;'Palabra no opera'!$A$2&amp;"*"))</f>
        <v>0</v>
      </c>
      <c r="T1675" s="139">
        <f>+$W$5-Tabla2[[#This Row],[FECHA DE FACTURACIÓN]]</f>
        <v>513</v>
      </c>
      <c r="U1675" t="str">
        <f>+IF(Tabla2[[#This Row],[dias de credito]]&gt;=Tabla2[[#This Row],[PLAZO Días]],"venc", "No venc")</f>
        <v>venc</v>
      </c>
      <c r="V1675" t="str">
        <f>+IF(Tabla2[[#This Row],[FECHA DE PAGO]]&gt;0,"pagada","por pagar")</f>
        <v>pagada</v>
      </c>
      <c r="W1675" s="141" t="str">
        <f>+IF(AND(Tabla2[[#This Row],[venc]]="venc",Tabla2[[#This Row],[Columna1]]="por pagar"),"vencida","no")</f>
        <v>no</v>
      </c>
    </row>
    <row r="1676" spans="1:23" ht="15.6" hidden="1" x14ac:dyDescent="0.3">
      <c r="A1676" s="20">
        <v>30</v>
      </c>
      <c r="B1676" s="25">
        <v>0</v>
      </c>
      <c r="C1676" s="25"/>
      <c r="D1676" s="56" t="s">
        <v>107</v>
      </c>
      <c r="E1676" s="426">
        <v>44778</v>
      </c>
      <c r="F1676" s="26" t="s">
        <v>832</v>
      </c>
      <c r="G1676" s="426">
        <v>44768</v>
      </c>
      <c r="H1676" s="35" t="s">
        <v>860</v>
      </c>
      <c r="I1676" s="21">
        <v>1021603</v>
      </c>
      <c r="J1676" s="21"/>
      <c r="K1676" s="22">
        <v>0</v>
      </c>
      <c r="L1676" s="23"/>
      <c r="M1676" s="22">
        <v>0</v>
      </c>
      <c r="N1676" s="74">
        <v>0</v>
      </c>
      <c r="O1676" s="22">
        <v>0</v>
      </c>
      <c r="P1676" s="21">
        <v>1021603</v>
      </c>
      <c r="S1676" s="108" t="b">
        <f>OR(COUNTIF(Tabla2[[#This Row],[PROVEEDOR]],"*"&amp;'Palabra no opera'!$A$2&amp;"*"))</f>
        <v>1</v>
      </c>
      <c r="T1676" s="139">
        <f>+$W$5-Tabla2[[#This Row],[FECHA DE FACTURACIÓN]]</f>
        <v>523</v>
      </c>
      <c r="U1676" t="str">
        <f>+IF(Tabla2[[#This Row],[dias de credito]]&gt;=Tabla2[[#This Row],[PLAZO Días]],"venc", "No venc")</f>
        <v>venc</v>
      </c>
      <c r="V1676" t="str">
        <f>+IF(Tabla2[[#This Row],[FECHA DE PAGO]]&gt;0,"pagada","por pagar")</f>
        <v>pagada</v>
      </c>
      <c r="W1676" s="141" t="str">
        <f>+IF(AND(Tabla2[[#This Row],[venc]]="venc",Tabla2[[#This Row],[Columna1]]="por pagar"),"vencida","no")</f>
        <v>no</v>
      </c>
    </row>
    <row r="1677" spans="1:23" ht="15.6" hidden="1" x14ac:dyDescent="0.3">
      <c r="A1677" s="20">
        <v>30</v>
      </c>
      <c r="B1677" s="25">
        <v>0</v>
      </c>
      <c r="C1677" s="25"/>
      <c r="D1677" s="56" t="s">
        <v>107</v>
      </c>
      <c r="E1677" s="426">
        <v>44777</v>
      </c>
      <c r="F1677" s="26" t="s">
        <v>356</v>
      </c>
      <c r="G1677" s="426">
        <v>44774</v>
      </c>
      <c r="H1677" s="35" t="s">
        <v>872</v>
      </c>
      <c r="I1677" s="21">
        <v>1955000</v>
      </c>
      <c r="J1677" s="21"/>
      <c r="K1677" s="22">
        <v>0</v>
      </c>
      <c r="L1677" s="23"/>
      <c r="M1677" s="22">
        <v>0</v>
      </c>
      <c r="N1677" s="74">
        <v>0</v>
      </c>
      <c r="O1677" s="22">
        <v>0</v>
      </c>
      <c r="P1677" s="21">
        <v>1955000</v>
      </c>
      <c r="S1677" s="108" t="b">
        <f>OR(COUNTIF(Tabla2[[#This Row],[PROVEEDOR]],"*"&amp;'Palabra no opera'!$A$2&amp;"*"))</f>
        <v>0</v>
      </c>
      <c r="T1677" s="139">
        <f>+$W$5-Tabla2[[#This Row],[FECHA DE FACTURACIÓN]]</f>
        <v>517</v>
      </c>
      <c r="U1677" t="str">
        <f>+IF(Tabla2[[#This Row],[dias de credito]]&gt;=Tabla2[[#This Row],[PLAZO Días]],"venc", "No venc")</f>
        <v>venc</v>
      </c>
      <c r="V1677" t="str">
        <f>+IF(Tabla2[[#This Row],[FECHA DE PAGO]]&gt;0,"pagada","por pagar")</f>
        <v>pagada</v>
      </c>
      <c r="W1677" s="141" t="str">
        <f>+IF(AND(Tabla2[[#This Row],[venc]]="venc",Tabla2[[#This Row],[Columna1]]="por pagar"),"vencida","no")</f>
        <v>no</v>
      </c>
    </row>
    <row r="1678" spans="1:23" ht="15.6" hidden="1" x14ac:dyDescent="0.3">
      <c r="A1678" s="20">
        <v>0</v>
      </c>
      <c r="B1678" s="25">
        <v>0</v>
      </c>
      <c r="C1678" s="25" t="s">
        <v>861</v>
      </c>
      <c r="D1678" s="56">
        <v>0</v>
      </c>
      <c r="E1678" s="426">
        <v>44776</v>
      </c>
      <c r="F1678" s="26" t="s">
        <v>754</v>
      </c>
      <c r="G1678" s="426">
        <v>44776</v>
      </c>
      <c r="H1678" s="35" t="s">
        <v>907</v>
      </c>
      <c r="I1678" s="21">
        <v>8000000</v>
      </c>
      <c r="J1678" s="21"/>
      <c r="K1678" s="22">
        <v>0</v>
      </c>
      <c r="L1678" s="23"/>
      <c r="M1678" s="22">
        <v>0</v>
      </c>
      <c r="N1678" s="74">
        <v>0</v>
      </c>
      <c r="O1678" s="22">
        <v>0</v>
      </c>
      <c r="P1678" s="21">
        <v>8000000</v>
      </c>
      <c r="S1678" s="108" t="b">
        <f>OR(COUNTIF(Tabla2[[#This Row],[PROVEEDOR]],"*"&amp;'Palabra no opera'!$A$2&amp;"*"))</f>
        <v>1</v>
      </c>
      <c r="T1678" s="139">
        <f>+$W$5-Tabla2[[#This Row],[FECHA DE FACTURACIÓN]]</f>
        <v>515</v>
      </c>
      <c r="U1678" t="str">
        <f>+IF(Tabla2[[#This Row],[dias de credito]]&gt;=Tabla2[[#This Row],[PLAZO Días]],"venc", "No venc")</f>
        <v>venc</v>
      </c>
      <c r="V1678" t="str">
        <f>+IF(Tabla2[[#This Row],[FECHA DE PAGO]]&gt;0,"pagada","por pagar")</f>
        <v>pagada</v>
      </c>
      <c r="W1678" s="141" t="str">
        <f>+IF(AND(Tabla2[[#This Row],[venc]]="venc",Tabla2[[#This Row],[Columna1]]="por pagar"),"vencida","no")</f>
        <v>no</v>
      </c>
    </row>
    <row r="1679" spans="1:23" ht="15.6" hidden="1" x14ac:dyDescent="0.3">
      <c r="A1679" s="20">
        <v>30</v>
      </c>
      <c r="B1679" s="25">
        <v>0</v>
      </c>
      <c r="C1679" s="25"/>
      <c r="D1679" s="56" t="s">
        <v>107</v>
      </c>
      <c r="E1679" s="426">
        <v>44776</v>
      </c>
      <c r="F1679" s="26" t="s">
        <v>397</v>
      </c>
      <c r="G1679" s="426">
        <v>44769</v>
      </c>
      <c r="H1679" s="35"/>
      <c r="I1679" s="21">
        <v>480000</v>
      </c>
      <c r="J1679" s="21"/>
      <c r="K1679" s="22">
        <v>0</v>
      </c>
      <c r="L1679" s="23"/>
      <c r="M1679" s="22">
        <v>0</v>
      </c>
      <c r="N1679" s="74">
        <v>0</v>
      </c>
      <c r="O1679" s="22">
        <v>0</v>
      </c>
      <c r="P1679" s="21">
        <v>480000</v>
      </c>
      <c r="S1679" s="108" t="b">
        <f>OR(COUNTIF(Tabla2[[#This Row],[PROVEEDOR]],"*"&amp;'Palabra no opera'!$A$2&amp;"*"))</f>
        <v>0</v>
      </c>
      <c r="T1679" s="139">
        <f>+$W$5-Tabla2[[#This Row],[FECHA DE FACTURACIÓN]]</f>
        <v>522</v>
      </c>
      <c r="U1679" t="str">
        <f>+IF(Tabla2[[#This Row],[dias de credito]]&gt;=Tabla2[[#This Row],[PLAZO Días]],"venc", "No venc")</f>
        <v>venc</v>
      </c>
      <c r="V1679" t="str">
        <f>+IF(Tabla2[[#This Row],[FECHA DE PAGO]]&gt;0,"pagada","por pagar")</f>
        <v>pagada</v>
      </c>
      <c r="W1679" s="141" t="str">
        <f>+IF(AND(Tabla2[[#This Row],[venc]]="venc",Tabla2[[#This Row],[Columna1]]="por pagar"),"vencida","no")</f>
        <v>no</v>
      </c>
    </row>
    <row r="1680" spans="1:23" ht="15.6" hidden="1" x14ac:dyDescent="0.3">
      <c r="A1680" s="20">
        <v>30</v>
      </c>
      <c r="B1680" s="25">
        <v>0</v>
      </c>
      <c r="C1680" s="25"/>
      <c r="D1680" s="56" t="s">
        <v>107</v>
      </c>
      <c r="E1680" s="426">
        <v>44776</v>
      </c>
      <c r="F1680" s="26" t="s">
        <v>832</v>
      </c>
      <c r="G1680" s="426">
        <v>44763</v>
      </c>
      <c r="H1680" s="35" t="s">
        <v>831</v>
      </c>
      <c r="I1680" s="21">
        <v>569900</v>
      </c>
      <c r="J1680" s="21"/>
      <c r="K1680" s="22">
        <v>0</v>
      </c>
      <c r="L1680" s="23"/>
      <c r="M1680" s="22">
        <v>0</v>
      </c>
      <c r="N1680" s="74">
        <v>0</v>
      </c>
      <c r="O1680" s="22">
        <v>0</v>
      </c>
      <c r="P1680" s="21">
        <v>569900</v>
      </c>
      <c r="S1680" s="108" t="b">
        <f>OR(COUNTIF(Tabla2[[#This Row],[PROVEEDOR]],"*"&amp;'Palabra no opera'!$A$2&amp;"*"))</f>
        <v>1</v>
      </c>
      <c r="T1680" s="139">
        <f>+$W$5-Tabla2[[#This Row],[FECHA DE FACTURACIÓN]]</f>
        <v>528</v>
      </c>
      <c r="U1680" t="str">
        <f>+IF(Tabla2[[#This Row],[dias de credito]]&gt;=Tabla2[[#This Row],[PLAZO Días]],"venc", "No venc")</f>
        <v>venc</v>
      </c>
      <c r="V1680" t="str">
        <f>+IF(Tabla2[[#This Row],[FECHA DE PAGO]]&gt;0,"pagada","por pagar")</f>
        <v>pagada</v>
      </c>
      <c r="W1680" s="141" t="str">
        <f>+IF(AND(Tabla2[[#This Row],[venc]]="venc",Tabla2[[#This Row],[Columna1]]="por pagar"),"vencida","no")</f>
        <v>no</v>
      </c>
    </row>
    <row r="1681" spans="1:23" ht="15.6" hidden="1" x14ac:dyDescent="0.3">
      <c r="A1681" s="20">
        <v>30</v>
      </c>
      <c r="B1681" s="25">
        <v>0</v>
      </c>
      <c r="C1681" s="25"/>
      <c r="D1681" s="56" t="s">
        <v>193</v>
      </c>
      <c r="E1681" s="426">
        <v>44776</v>
      </c>
      <c r="F1681" s="26" t="s">
        <v>651</v>
      </c>
      <c r="G1681" s="426">
        <v>44743</v>
      </c>
      <c r="H1681" s="35">
        <v>5476</v>
      </c>
      <c r="I1681" s="21">
        <v>215356</v>
      </c>
      <c r="J1681" s="21"/>
      <c r="K1681" s="22">
        <v>40917.64</v>
      </c>
      <c r="L1681" s="23"/>
      <c r="M1681" s="22">
        <v>0</v>
      </c>
      <c r="N1681" s="74">
        <v>3.5000000000000003E-2</v>
      </c>
      <c r="O1681" s="22">
        <v>7537.4600000000009</v>
      </c>
      <c r="P1681" s="21">
        <v>248736.18000000002</v>
      </c>
      <c r="S1681" s="108" t="b">
        <f>OR(COUNTIF(Tabla2[[#This Row],[PROVEEDOR]],"*"&amp;'Palabra no opera'!$A$2&amp;"*"))</f>
        <v>1</v>
      </c>
      <c r="T1681" s="139">
        <f>+$W$5-Tabla2[[#This Row],[FECHA DE FACTURACIÓN]]</f>
        <v>548</v>
      </c>
      <c r="U1681" t="str">
        <f>+IF(Tabla2[[#This Row],[dias de credito]]&gt;=Tabla2[[#This Row],[PLAZO Días]],"venc", "No venc")</f>
        <v>venc</v>
      </c>
      <c r="V1681" t="str">
        <f>+IF(Tabla2[[#This Row],[FECHA DE PAGO]]&gt;0,"pagada","por pagar")</f>
        <v>pagada</v>
      </c>
      <c r="W1681" s="141" t="str">
        <f>+IF(AND(Tabla2[[#This Row],[venc]]="venc",Tabla2[[#This Row],[Columna1]]="por pagar"),"vencida","no")</f>
        <v>no</v>
      </c>
    </row>
    <row r="1682" spans="1:23" ht="15.6" hidden="1" x14ac:dyDescent="0.3">
      <c r="A1682" s="20">
        <v>30</v>
      </c>
      <c r="B1682" s="25">
        <v>18444236.894999996</v>
      </c>
      <c r="C1682" s="25"/>
      <c r="D1682" s="56" t="s">
        <v>731</v>
      </c>
      <c r="E1682" s="426">
        <v>44776</v>
      </c>
      <c r="F1682" s="26" t="s">
        <v>11</v>
      </c>
      <c r="G1682" s="426">
        <v>44742</v>
      </c>
      <c r="H1682" s="35" t="s">
        <v>795</v>
      </c>
      <c r="I1682" s="21">
        <v>4086050</v>
      </c>
      <c r="J1682" s="21"/>
      <c r="K1682" s="22">
        <v>776349.5</v>
      </c>
      <c r="L1682" s="23"/>
      <c r="M1682" s="22">
        <v>0</v>
      </c>
      <c r="N1682" s="74">
        <v>2.5000000000000001E-2</v>
      </c>
      <c r="O1682" s="22">
        <v>102151.25</v>
      </c>
      <c r="P1682" s="21">
        <v>4760248.25</v>
      </c>
      <c r="S1682" s="108" t="b">
        <f>OR(COUNTIF(Tabla2[[#This Row],[PROVEEDOR]],"*"&amp;'Palabra no opera'!$A$2&amp;"*"))</f>
        <v>0</v>
      </c>
      <c r="T1682" s="139">
        <f>+$W$5-Tabla2[[#This Row],[FECHA DE FACTURACIÓN]]</f>
        <v>549</v>
      </c>
      <c r="U1682" t="str">
        <f>+IF(Tabla2[[#This Row],[dias de credito]]&gt;=Tabla2[[#This Row],[PLAZO Días]],"venc", "No venc")</f>
        <v>venc</v>
      </c>
      <c r="V1682" t="str">
        <f>+IF(Tabla2[[#This Row],[FECHA DE PAGO]]&gt;0,"pagada","por pagar")</f>
        <v>pagada</v>
      </c>
      <c r="W1682" s="141" t="str">
        <f>+IF(AND(Tabla2[[#This Row],[venc]]="venc",Tabla2[[#This Row],[Columna1]]="por pagar"),"vencida","no")</f>
        <v>no</v>
      </c>
    </row>
    <row r="1683" spans="1:23" ht="15.6" hidden="1" x14ac:dyDescent="0.3">
      <c r="A1683" s="20">
        <v>30</v>
      </c>
      <c r="B1683" s="25">
        <v>0</v>
      </c>
      <c r="C1683" s="25"/>
      <c r="D1683" s="56" t="s">
        <v>199</v>
      </c>
      <c r="E1683" s="426">
        <v>44776</v>
      </c>
      <c r="F1683" s="26" t="s">
        <v>1069</v>
      </c>
      <c r="G1683" s="426">
        <v>44741</v>
      </c>
      <c r="H1683" s="35" t="s">
        <v>798</v>
      </c>
      <c r="I1683" s="21">
        <v>605043</v>
      </c>
      <c r="J1683" s="21"/>
      <c r="K1683" s="22">
        <v>114958.17</v>
      </c>
      <c r="L1683" s="23"/>
      <c r="M1683" s="22">
        <v>0</v>
      </c>
      <c r="N1683" s="74">
        <v>0</v>
      </c>
      <c r="O1683" s="22">
        <v>0</v>
      </c>
      <c r="P1683" s="21">
        <v>720001.17</v>
      </c>
      <c r="S1683" s="108" t="b">
        <f>OR(COUNTIF(Tabla2[[#This Row],[PROVEEDOR]],"*"&amp;'Palabra no opera'!$A$2&amp;"*"))</f>
        <v>0</v>
      </c>
      <c r="T1683" s="139">
        <f>+$W$5-Tabla2[[#This Row],[FECHA DE FACTURACIÓN]]</f>
        <v>550</v>
      </c>
      <c r="U1683" t="str">
        <f>+IF(Tabla2[[#This Row],[dias de credito]]&gt;=Tabla2[[#This Row],[PLAZO Días]],"venc", "No venc")</f>
        <v>venc</v>
      </c>
      <c r="V1683" t="str">
        <f>+IF(Tabla2[[#This Row],[FECHA DE PAGO]]&gt;0,"pagada","por pagar")</f>
        <v>pagada</v>
      </c>
      <c r="W1683" s="141" t="str">
        <f>+IF(AND(Tabla2[[#This Row],[venc]]="venc",Tabla2[[#This Row],[Columna1]]="por pagar"),"vencida","no")</f>
        <v>no</v>
      </c>
    </row>
    <row r="1684" spans="1:23" ht="15.6" hidden="1" x14ac:dyDescent="0.3">
      <c r="A1684" s="20">
        <v>30</v>
      </c>
      <c r="B1684" s="25">
        <v>17870934.149999999</v>
      </c>
      <c r="C1684" s="25"/>
      <c r="D1684" s="56" t="s">
        <v>182</v>
      </c>
      <c r="E1684" s="426">
        <v>44776</v>
      </c>
      <c r="F1684" s="26" t="s">
        <v>18</v>
      </c>
      <c r="G1684" s="426">
        <v>44740</v>
      </c>
      <c r="H1684" s="35">
        <v>1055540</v>
      </c>
      <c r="I1684" s="21">
        <v>685746</v>
      </c>
      <c r="J1684" s="21"/>
      <c r="K1684" s="22">
        <v>130291.74</v>
      </c>
      <c r="L1684" s="23"/>
      <c r="M1684" s="22">
        <v>0</v>
      </c>
      <c r="N1684" s="74">
        <v>0</v>
      </c>
      <c r="O1684" s="22">
        <v>0</v>
      </c>
      <c r="P1684" s="21">
        <v>816037.74</v>
      </c>
      <c r="S1684" s="108" t="b">
        <f>OR(COUNTIF(Tabla2[[#This Row],[PROVEEDOR]],"*"&amp;'Palabra no opera'!$A$2&amp;"*"))</f>
        <v>0</v>
      </c>
      <c r="T1684" s="139">
        <f>+$W$5-Tabla2[[#This Row],[FECHA DE FACTURACIÓN]]</f>
        <v>551</v>
      </c>
      <c r="U1684" t="str">
        <f>+IF(Tabla2[[#This Row],[dias de credito]]&gt;=Tabla2[[#This Row],[PLAZO Días]],"venc", "No venc")</f>
        <v>venc</v>
      </c>
      <c r="V1684" t="str">
        <f>+IF(Tabla2[[#This Row],[FECHA DE PAGO]]&gt;0,"pagada","por pagar")</f>
        <v>pagada</v>
      </c>
      <c r="W1684" s="141" t="str">
        <f>+IF(AND(Tabla2[[#This Row],[venc]]="venc",Tabla2[[#This Row],[Columna1]]="por pagar"),"vencida","no")</f>
        <v>no</v>
      </c>
    </row>
    <row r="1685" spans="1:23" ht="15.6" hidden="1" x14ac:dyDescent="0.3">
      <c r="A1685" s="20">
        <v>30</v>
      </c>
      <c r="B1685" s="25">
        <v>17870934.149999999</v>
      </c>
      <c r="C1685" s="25"/>
      <c r="D1685" s="56" t="s">
        <v>182</v>
      </c>
      <c r="E1685" s="426">
        <v>44776</v>
      </c>
      <c r="F1685" s="26" t="s">
        <v>18</v>
      </c>
      <c r="G1685" s="426">
        <v>44740</v>
      </c>
      <c r="H1685" s="35">
        <v>1055541</v>
      </c>
      <c r="I1685" s="21">
        <v>1213324</v>
      </c>
      <c r="J1685" s="21"/>
      <c r="K1685" s="22">
        <v>230531.56</v>
      </c>
      <c r="L1685" s="23"/>
      <c r="M1685" s="22">
        <v>0</v>
      </c>
      <c r="N1685" s="74">
        <v>2.5000000000000001E-2</v>
      </c>
      <c r="O1685" s="22">
        <v>30333.100000000002</v>
      </c>
      <c r="P1685" s="21">
        <v>1413522.46</v>
      </c>
      <c r="S1685" s="108" t="b">
        <f>OR(COUNTIF(Tabla2[[#This Row],[PROVEEDOR]],"*"&amp;'Palabra no opera'!$A$2&amp;"*"))</f>
        <v>0</v>
      </c>
      <c r="T1685" s="139">
        <f>+$W$5-Tabla2[[#This Row],[FECHA DE FACTURACIÓN]]</f>
        <v>551</v>
      </c>
      <c r="U1685" t="str">
        <f>+IF(Tabla2[[#This Row],[dias de credito]]&gt;=Tabla2[[#This Row],[PLAZO Días]],"venc", "No venc")</f>
        <v>venc</v>
      </c>
      <c r="V1685" t="str">
        <f>+IF(Tabla2[[#This Row],[FECHA DE PAGO]]&gt;0,"pagada","por pagar")</f>
        <v>pagada</v>
      </c>
      <c r="W1685" s="141" t="str">
        <f>+IF(AND(Tabla2[[#This Row],[venc]]="venc",Tabla2[[#This Row],[Columna1]]="por pagar"),"vencida","no")</f>
        <v>no</v>
      </c>
    </row>
    <row r="1686" spans="1:23" ht="15.6" hidden="1" x14ac:dyDescent="0.3">
      <c r="A1686" s="20">
        <v>30</v>
      </c>
      <c r="B1686" s="25">
        <v>10321993.199999999</v>
      </c>
      <c r="C1686" s="25"/>
      <c r="D1686" s="56" t="s">
        <v>189</v>
      </c>
      <c r="E1686" s="426">
        <v>44776</v>
      </c>
      <c r="F1686" s="26" t="s">
        <v>1068</v>
      </c>
      <c r="G1686" s="426">
        <v>44740</v>
      </c>
      <c r="H1686" s="35">
        <v>26319</v>
      </c>
      <c r="I1686" s="21">
        <v>617200</v>
      </c>
      <c r="J1686" s="21">
        <v>20400</v>
      </c>
      <c r="K1686" s="22">
        <v>113392</v>
      </c>
      <c r="L1686" s="23"/>
      <c r="M1686" s="22">
        <v>0</v>
      </c>
      <c r="N1686" s="74">
        <v>0</v>
      </c>
      <c r="O1686" s="22">
        <v>0</v>
      </c>
      <c r="P1686" s="21">
        <v>710192</v>
      </c>
      <c r="S1686" s="108" t="b">
        <f>OR(COUNTIF(Tabla2[[#This Row],[PROVEEDOR]],"*"&amp;'Palabra no opera'!$A$2&amp;"*"))</f>
        <v>0</v>
      </c>
      <c r="T1686" s="139">
        <f>+$W$5-Tabla2[[#This Row],[FECHA DE FACTURACIÓN]]</f>
        <v>551</v>
      </c>
      <c r="U1686" t="str">
        <f>+IF(Tabla2[[#This Row],[dias de credito]]&gt;=Tabla2[[#This Row],[PLAZO Días]],"venc", "No venc")</f>
        <v>venc</v>
      </c>
      <c r="V1686" t="str">
        <f>+IF(Tabla2[[#This Row],[FECHA DE PAGO]]&gt;0,"pagada","por pagar")</f>
        <v>pagada</v>
      </c>
      <c r="W1686" s="141" t="str">
        <f>+IF(AND(Tabla2[[#This Row],[venc]]="venc",Tabla2[[#This Row],[Columna1]]="por pagar"),"vencida","no")</f>
        <v>no</v>
      </c>
    </row>
    <row r="1687" spans="1:23" ht="15.6" hidden="1" x14ac:dyDescent="0.3">
      <c r="A1687" s="20">
        <v>30</v>
      </c>
      <c r="B1687" s="25">
        <v>0</v>
      </c>
      <c r="C1687" s="25"/>
      <c r="D1687" s="56" t="s">
        <v>210</v>
      </c>
      <c r="E1687" s="426">
        <v>44776</v>
      </c>
      <c r="F1687" s="26" t="s">
        <v>47</v>
      </c>
      <c r="G1687" s="426">
        <v>44733</v>
      </c>
      <c r="H1687" s="35" t="s">
        <v>765</v>
      </c>
      <c r="I1687" s="21">
        <v>384350</v>
      </c>
      <c r="J1687" s="21"/>
      <c r="K1687" s="22">
        <v>73026.5</v>
      </c>
      <c r="L1687" s="23"/>
      <c r="M1687" s="22">
        <v>0</v>
      </c>
      <c r="N1687" s="74">
        <v>0</v>
      </c>
      <c r="O1687" s="22">
        <v>0</v>
      </c>
      <c r="P1687" s="21">
        <v>457376.5</v>
      </c>
      <c r="S1687" s="108" t="b">
        <f>OR(COUNTIF(Tabla2[[#This Row],[PROVEEDOR]],"*"&amp;'Palabra no opera'!$A$2&amp;"*"))</f>
        <v>0</v>
      </c>
      <c r="T1687" s="139">
        <f>+$W$5-Tabla2[[#This Row],[FECHA DE FACTURACIÓN]]</f>
        <v>558</v>
      </c>
      <c r="U1687" t="str">
        <f>+IF(Tabla2[[#This Row],[dias de credito]]&gt;=Tabla2[[#This Row],[PLAZO Días]],"venc", "No venc")</f>
        <v>venc</v>
      </c>
      <c r="V1687" t="str">
        <f>+IF(Tabla2[[#This Row],[FECHA DE PAGO]]&gt;0,"pagada","por pagar")</f>
        <v>pagada</v>
      </c>
      <c r="W1687" s="141" t="str">
        <f>+IF(AND(Tabla2[[#This Row],[venc]]="venc",Tabla2[[#This Row],[Columna1]]="por pagar"),"vencida","no")</f>
        <v>no</v>
      </c>
    </row>
    <row r="1688" spans="1:23" ht="15.6" hidden="1" x14ac:dyDescent="0.3">
      <c r="A1688" s="20">
        <v>30</v>
      </c>
      <c r="B1688" s="25">
        <v>0</v>
      </c>
      <c r="C1688" s="25"/>
      <c r="D1688" s="56" t="s">
        <v>192</v>
      </c>
      <c r="E1688" s="426">
        <v>44776</v>
      </c>
      <c r="F1688" s="26" t="s">
        <v>16</v>
      </c>
      <c r="G1688" s="426">
        <v>44733</v>
      </c>
      <c r="H1688" s="35">
        <v>4622</v>
      </c>
      <c r="I1688" s="21">
        <v>749579.83</v>
      </c>
      <c r="J1688" s="21"/>
      <c r="K1688" s="22">
        <v>142420.16769999999</v>
      </c>
      <c r="L1688" s="23"/>
      <c r="M1688" s="22">
        <v>0</v>
      </c>
      <c r="N1688" s="74">
        <v>0</v>
      </c>
      <c r="O1688" s="22">
        <v>0</v>
      </c>
      <c r="P1688" s="21">
        <v>891999.99769999995</v>
      </c>
      <c r="S1688" s="108" t="b">
        <f>OR(COUNTIF(Tabla2[[#This Row],[PROVEEDOR]],"*"&amp;'Palabra no opera'!$A$2&amp;"*"))</f>
        <v>0</v>
      </c>
      <c r="T1688" s="139">
        <f>+$W$5-Tabla2[[#This Row],[FECHA DE FACTURACIÓN]]</f>
        <v>558</v>
      </c>
      <c r="U1688" t="str">
        <f>+IF(Tabla2[[#This Row],[dias de credito]]&gt;=Tabla2[[#This Row],[PLAZO Días]],"venc", "No venc")</f>
        <v>venc</v>
      </c>
      <c r="V1688" t="str">
        <f>+IF(Tabla2[[#This Row],[FECHA DE PAGO]]&gt;0,"pagada","por pagar")</f>
        <v>pagada</v>
      </c>
      <c r="W1688" s="141" t="str">
        <f>+IF(AND(Tabla2[[#This Row],[venc]]="venc",Tabla2[[#This Row],[Columna1]]="por pagar"),"vencida","no")</f>
        <v>no</v>
      </c>
    </row>
    <row r="1689" spans="1:23" ht="15.6" hidden="1" x14ac:dyDescent="0.3">
      <c r="A1689" s="20">
        <v>30</v>
      </c>
      <c r="B1689" s="25">
        <v>0</v>
      </c>
      <c r="C1689" s="25"/>
      <c r="D1689" s="56" t="s">
        <v>858</v>
      </c>
      <c r="E1689" s="426">
        <v>44776</v>
      </c>
      <c r="F1689" s="26" t="s">
        <v>857</v>
      </c>
      <c r="G1689" s="426">
        <v>44729</v>
      </c>
      <c r="H1689" s="35" t="s">
        <v>780</v>
      </c>
      <c r="I1689" s="21">
        <v>1447478</v>
      </c>
      <c r="J1689" s="21"/>
      <c r="K1689" s="22">
        <v>275020.82</v>
      </c>
      <c r="L1689" s="23"/>
      <c r="M1689" s="22">
        <v>0</v>
      </c>
      <c r="N1689" s="74">
        <v>2.5000000000000001E-2</v>
      </c>
      <c r="O1689" s="22">
        <v>36186.950000000004</v>
      </c>
      <c r="P1689" s="21">
        <v>1686311.87</v>
      </c>
      <c r="S1689" s="108" t="b">
        <f>OR(COUNTIF(Tabla2[[#This Row],[PROVEEDOR]],"*"&amp;'Palabra no opera'!$A$2&amp;"*"))</f>
        <v>0</v>
      </c>
      <c r="T1689" s="139">
        <f>+$W$5-Tabla2[[#This Row],[FECHA DE FACTURACIÓN]]</f>
        <v>562</v>
      </c>
      <c r="U1689" t="str">
        <f>+IF(Tabla2[[#This Row],[dias de credito]]&gt;=Tabla2[[#This Row],[PLAZO Días]],"venc", "No venc")</f>
        <v>venc</v>
      </c>
      <c r="V1689" t="str">
        <f>+IF(Tabla2[[#This Row],[FECHA DE PAGO]]&gt;0,"pagada","por pagar")</f>
        <v>pagada</v>
      </c>
      <c r="W1689" s="141" t="str">
        <f>+IF(AND(Tabla2[[#This Row],[venc]]="venc",Tabla2[[#This Row],[Columna1]]="por pagar"),"vencida","no")</f>
        <v>no</v>
      </c>
    </row>
    <row r="1690" spans="1:23" ht="15.6" hidden="1" x14ac:dyDescent="0.3">
      <c r="A1690" s="20">
        <v>30</v>
      </c>
      <c r="B1690" s="25">
        <v>17870934.149999999</v>
      </c>
      <c r="C1690" s="25"/>
      <c r="D1690" s="56" t="s">
        <v>182</v>
      </c>
      <c r="E1690" s="426">
        <v>44776</v>
      </c>
      <c r="F1690" s="26" t="s">
        <v>18</v>
      </c>
      <c r="G1690" s="426">
        <v>44727</v>
      </c>
      <c r="H1690" s="35">
        <v>1054981</v>
      </c>
      <c r="I1690" s="21">
        <v>685746</v>
      </c>
      <c r="J1690" s="21"/>
      <c r="K1690" s="22">
        <v>130291.74</v>
      </c>
      <c r="L1690" s="23"/>
      <c r="M1690" s="22">
        <v>0</v>
      </c>
      <c r="N1690" s="74">
        <v>0</v>
      </c>
      <c r="O1690" s="22">
        <v>0</v>
      </c>
      <c r="P1690" s="21">
        <v>816037.74</v>
      </c>
      <c r="S1690" s="108" t="b">
        <f>OR(COUNTIF(Tabla2[[#This Row],[PROVEEDOR]],"*"&amp;'Palabra no opera'!$A$2&amp;"*"))</f>
        <v>0</v>
      </c>
      <c r="T1690" s="139">
        <f>+$W$5-Tabla2[[#This Row],[FECHA DE FACTURACIÓN]]</f>
        <v>564</v>
      </c>
      <c r="U1690" t="str">
        <f>+IF(Tabla2[[#This Row],[dias de credito]]&gt;=Tabla2[[#This Row],[PLAZO Días]],"venc", "No venc")</f>
        <v>venc</v>
      </c>
      <c r="V1690" t="str">
        <f>+IF(Tabla2[[#This Row],[FECHA DE PAGO]]&gt;0,"pagada","por pagar")</f>
        <v>pagada</v>
      </c>
      <c r="W1690" s="141" t="str">
        <f>+IF(AND(Tabla2[[#This Row],[venc]]="venc",Tabla2[[#This Row],[Columna1]]="por pagar"),"vencida","no")</f>
        <v>no</v>
      </c>
    </row>
    <row r="1691" spans="1:23" ht="15.6" hidden="1" x14ac:dyDescent="0.3">
      <c r="A1691" s="20">
        <v>45</v>
      </c>
      <c r="B1691" s="25">
        <v>8072960</v>
      </c>
      <c r="C1691" s="25"/>
      <c r="D1691" s="56" t="s">
        <v>198</v>
      </c>
      <c r="E1691" s="426">
        <v>44776</v>
      </c>
      <c r="F1691" s="26" t="s">
        <v>10</v>
      </c>
      <c r="G1691" s="426">
        <v>44727</v>
      </c>
      <c r="H1691" s="35" t="s">
        <v>745</v>
      </c>
      <c r="I1691" s="21">
        <v>735000</v>
      </c>
      <c r="J1691" s="21"/>
      <c r="K1691" s="22">
        <v>139650</v>
      </c>
      <c r="L1691" s="23"/>
      <c r="M1691" s="22">
        <v>0</v>
      </c>
      <c r="N1691" s="74">
        <v>0</v>
      </c>
      <c r="O1691" s="22">
        <v>0</v>
      </c>
      <c r="P1691" s="21">
        <v>874650</v>
      </c>
      <c r="S1691" s="108" t="b">
        <f>OR(COUNTIF(Tabla2[[#This Row],[PROVEEDOR]],"*"&amp;'Palabra no opera'!$A$2&amp;"*"))</f>
        <v>0</v>
      </c>
      <c r="T1691" s="139">
        <f>+$W$5-Tabla2[[#This Row],[FECHA DE FACTURACIÓN]]</f>
        <v>564</v>
      </c>
      <c r="U1691" t="str">
        <f>+IF(Tabla2[[#This Row],[dias de credito]]&gt;=Tabla2[[#This Row],[PLAZO Días]],"venc", "No venc")</f>
        <v>venc</v>
      </c>
      <c r="V1691" t="str">
        <f>+IF(Tabla2[[#This Row],[FECHA DE PAGO]]&gt;0,"pagada","por pagar")</f>
        <v>pagada</v>
      </c>
      <c r="W1691" s="141" t="str">
        <f>+IF(AND(Tabla2[[#This Row],[venc]]="venc",Tabla2[[#This Row],[Columna1]]="por pagar"),"vencida","no")</f>
        <v>no</v>
      </c>
    </row>
    <row r="1692" spans="1:23" ht="15.6" hidden="1" x14ac:dyDescent="0.3">
      <c r="A1692" s="20">
        <v>45</v>
      </c>
      <c r="B1692" s="25">
        <v>8072960</v>
      </c>
      <c r="C1692" s="25"/>
      <c r="D1692" s="56" t="s">
        <v>198</v>
      </c>
      <c r="E1692" s="426">
        <v>44776</v>
      </c>
      <c r="F1692" s="26" t="s">
        <v>10</v>
      </c>
      <c r="G1692" s="426">
        <v>44727</v>
      </c>
      <c r="H1692" s="35" t="s">
        <v>746</v>
      </c>
      <c r="I1692" s="21">
        <v>1790000</v>
      </c>
      <c r="J1692" s="21"/>
      <c r="K1692" s="22">
        <v>340100</v>
      </c>
      <c r="L1692" s="23"/>
      <c r="M1692" s="22">
        <v>0</v>
      </c>
      <c r="N1692" s="74">
        <v>0</v>
      </c>
      <c r="O1692" s="22">
        <v>0</v>
      </c>
      <c r="P1692" s="21">
        <v>2130100</v>
      </c>
      <c r="S1692" s="108" t="b">
        <f>OR(COUNTIF(Tabla2[[#This Row],[PROVEEDOR]],"*"&amp;'Palabra no opera'!$A$2&amp;"*"))</f>
        <v>0</v>
      </c>
      <c r="T1692" s="139">
        <f>+$W$5-Tabla2[[#This Row],[FECHA DE FACTURACIÓN]]</f>
        <v>564</v>
      </c>
      <c r="U1692" t="str">
        <f>+IF(Tabla2[[#This Row],[dias de credito]]&gt;=Tabla2[[#This Row],[PLAZO Días]],"venc", "No venc")</f>
        <v>venc</v>
      </c>
      <c r="V1692" t="str">
        <f>+IF(Tabla2[[#This Row],[FECHA DE PAGO]]&gt;0,"pagada","por pagar")</f>
        <v>pagada</v>
      </c>
      <c r="W1692" s="141" t="str">
        <f>+IF(AND(Tabla2[[#This Row],[venc]]="venc",Tabla2[[#This Row],[Columna1]]="por pagar"),"vencida","no")</f>
        <v>no</v>
      </c>
    </row>
    <row r="1693" spans="1:23" ht="15.6" hidden="1" x14ac:dyDescent="0.3">
      <c r="A1693" s="20">
        <v>45</v>
      </c>
      <c r="B1693" s="25">
        <v>8072960</v>
      </c>
      <c r="C1693" s="25"/>
      <c r="D1693" s="56" t="s">
        <v>198</v>
      </c>
      <c r="E1693" s="426">
        <v>44776</v>
      </c>
      <c r="F1693" s="26" t="s">
        <v>10</v>
      </c>
      <c r="G1693" s="426">
        <v>44726</v>
      </c>
      <c r="H1693" s="35" t="s">
        <v>747</v>
      </c>
      <c r="I1693" s="21">
        <v>87000</v>
      </c>
      <c r="J1693" s="21"/>
      <c r="K1693" s="22">
        <v>16530</v>
      </c>
      <c r="L1693" s="23"/>
      <c r="M1693" s="22">
        <v>0</v>
      </c>
      <c r="N1693" s="74">
        <v>0</v>
      </c>
      <c r="O1693" s="22">
        <v>0</v>
      </c>
      <c r="P1693" s="21">
        <v>103530</v>
      </c>
      <c r="S1693" s="108" t="b">
        <f>OR(COUNTIF(Tabla2[[#This Row],[PROVEEDOR]],"*"&amp;'Palabra no opera'!$A$2&amp;"*"))</f>
        <v>0</v>
      </c>
      <c r="T1693" s="139">
        <f>+$W$5-Tabla2[[#This Row],[FECHA DE FACTURACIÓN]]</f>
        <v>565</v>
      </c>
      <c r="U1693" t="str">
        <f>+IF(Tabla2[[#This Row],[dias de credito]]&gt;=Tabla2[[#This Row],[PLAZO Días]],"venc", "No venc")</f>
        <v>venc</v>
      </c>
      <c r="V1693" t="str">
        <f>+IF(Tabla2[[#This Row],[FECHA DE PAGO]]&gt;0,"pagada","por pagar")</f>
        <v>pagada</v>
      </c>
      <c r="W1693" s="141" t="str">
        <f>+IF(AND(Tabla2[[#This Row],[venc]]="venc",Tabla2[[#This Row],[Columna1]]="por pagar"),"vencida","no")</f>
        <v>no</v>
      </c>
    </row>
    <row r="1694" spans="1:23" ht="15.6" hidden="1" x14ac:dyDescent="0.3">
      <c r="A1694" s="20">
        <v>30</v>
      </c>
      <c r="B1694" s="25">
        <v>18444236.894999996</v>
      </c>
      <c r="C1694" s="25"/>
      <c r="D1694" s="56" t="s">
        <v>731</v>
      </c>
      <c r="E1694" s="426">
        <v>44776</v>
      </c>
      <c r="F1694" s="26" t="s">
        <v>11</v>
      </c>
      <c r="G1694" s="426">
        <v>44724</v>
      </c>
      <c r="H1694" s="35" t="s">
        <v>748</v>
      </c>
      <c r="I1694" s="21">
        <v>2640000</v>
      </c>
      <c r="J1694" s="21"/>
      <c r="K1694" s="22">
        <v>501600</v>
      </c>
      <c r="L1694" s="23"/>
      <c r="M1694" s="22">
        <v>0</v>
      </c>
      <c r="N1694" s="74">
        <v>2.5000000000000001E-2</v>
      </c>
      <c r="O1694" s="22">
        <v>66000</v>
      </c>
      <c r="P1694" s="21">
        <v>3075600</v>
      </c>
      <c r="S1694" s="108" t="b">
        <f>OR(COUNTIF(Tabla2[[#This Row],[PROVEEDOR]],"*"&amp;'Palabra no opera'!$A$2&amp;"*"))</f>
        <v>0</v>
      </c>
      <c r="T1694" s="139">
        <f>+$W$5-Tabla2[[#This Row],[FECHA DE FACTURACIÓN]]</f>
        <v>567</v>
      </c>
      <c r="U1694" t="str">
        <f>+IF(Tabla2[[#This Row],[dias de credito]]&gt;=Tabla2[[#This Row],[PLAZO Días]],"venc", "No venc")</f>
        <v>venc</v>
      </c>
      <c r="V1694" t="str">
        <f>+IF(Tabla2[[#This Row],[FECHA DE PAGO]]&gt;0,"pagada","por pagar")</f>
        <v>pagada</v>
      </c>
      <c r="W1694" s="141" t="str">
        <f>+IF(AND(Tabla2[[#This Row],[venc]]="venc",Tabla2[[#This Row],[Columna1]]="por pagar"),"vencida","no")</f>
        <v>no</v>
      </c>
    </row>
    <row r="1695" spans="1:23" ht="15.6" hidden="1" x14ac:dyDescent="0.3">
      <c r="A1695" s="20">
        <v>30</v>
      </c>
      <c r="B1695" s="25">
        <v>17870934.149999999</v>
      </c>
      <c r="C1695" s="25"/>
      <c r="D1695" s="56" t="s">
        <v>182</v>
      </c>
      <c r="E1695" s="426">
        <v>44776</v>
      </c>
      <c r="F1695" s="26" t="s">
        <v>18</v>
      </c>
      <c r="G1695" s="426">
        <v>44721</v>
      </c>
      <c r="H1695" s="35">
        <v>1054749</v>
      </c>
      <c r="I1695" s="21">
        <v>514263.6</v>
      </c>
      <c r="J1695" s="21"/>
      <c r="K1695" s="22">
        <v>97710.084000000003</v>
      </c>
      <c r="L1695" s="23"/>
      <c r="M1695" s="22">
        <v>0</v>
      </c>
      <c r="N1695" s="74">
        <v>0</v>
      </c>
      <c r="O1695" s="22">
        <v>0</v>
      </c>
      <c r="P1695" s="21">
        <v>611973.68400000001</v>
      </c>
      <c r="S1695" s="108" t="b">
        <f>OR(COUNTIF(Tabla2[[#This Row],[PROVEEDOR]],"*"&amp;'Palabra no opera'!$A$2&amp;"*"))</f>
        <v>0</v>
      </c>
      <c r="T1695" s="139">
        <f>+$W$5-Tabla2[[#This Row],[FECHA DE FACTURACIÓN]]</f>
        <v>570</v>
      </c>
      <c r="U1695" t="str">
        <f>+IF(Tabla2[[#This Row],[dias de credito]]&gt;=Tabla2[[#This Row],[PLAZO Días]],"venc", "No venc")</f>
        <v>venc</v>
      </c>
      <c r="V1695" t="str">
        <f>+IF(Tabla2[[#This Row],[FECHA DE PAGO]]&gt;0,"pagada","por pagar")</f>
        <v>pagada</v>
      </c>
      <c r="W1695" s="141" t="str">
        <f>+IF(AND(Tabla2[[#This Row],[venc]]="venc",Tabla2[[#This Row],[Columna1]]="por pagar"),"vencida","no")</f>
        <v>no</v>
      </c>
    </row>
    <row r="1696" spans="1:23" ht="15.6" hidden="1" x14ac:dyDescent="0.3">
      <c r="A1696" s="20">
        <v>30</v>
      </c>
      <c r="B1696" s="25">
        <v>10321993.199999999</v>
      </c>
      <c r="C1696" s="25"/>
      <c r="D1696" s="56" t="s">
        <v>189</v>
      </c>
      <c r="E1696" s="426">
        <v>44776</v>
      </c>
      <c r="F1696" s="26" t="s">
        <v>1068</v>
      </c>
      <c r="G1696" s="426">
        <v>44721</v>
      </c>
      <c r="H1696" s="35">
        <v>26161</v>
      </c>
      <c r="I1696" s="21">
        <v>3457080</v>
      </c>
      <c r="J1696" s="21">
        <v>314280</v>
      </c>
      <c r="K1696" s="22">
        <v>597132</v>
      </c>
      <c r="L1696" s="23"/>
      <c r="M1696" s="22">
        <v>0</v>
      </c>
      <c r="N1696" s="74">
        <v>2.5000000000000001E-2</v>
      </c>
      <c r="O1696" s="22">
        <v>78570</v>
      </c>
      <c r="P1696" s="21">
        <v>3661362</v>
      </c>
      <c r="S1696" s="108" t="b">
        <f>OR(COUNTIF(Tabla2[[#This Row],[PROVEEDOR]],"*"&amp;'Palabra no opera'!$A$2&amp;"*"))</f>
        <v>0</v>
      </c>
      <c r="T1696" s="139">
        <f>+$W$5-Tabla2[[#This Row],[FECHA DE FACTURACIÓN]]</f>
        <v>570</v>
      </c>
      <c r="U1696" t="str">
        <f>+IF(Tabla2[[#This Row],[dias de credito]]&gt;=Tabla2[[#This Row],[PLAZO Días]],"venc", "No venc")</f>
        <v>venc</v>
      </c>
      <c r="V1696" t="str">
        <f>+IF(Tabla2[[#This Row],[FECHA DE PAGO]]&gt;0,"pagada","por pagar")</f>
        <v>pagada</v>
      </c>
      <c r="W1696" s="141" t="str">
        <f>+IF(AND(Tabla2[[#This Row],[venc]]="venc",Tabla2[[#This Row],[Columna1]]="por pagar"),"vencida","no")</f>
        <v>no</v>
      </c>
    </row>
    <row r="1697" spans="1:23" ht="15.6" hidden="1" x14ac:dyDescent="0.3">
      <c r="A1697" s="20">
        <v>30</v>
      </c>
      <c r="B1697" s="25">
        <v>10321993.199999999</v>
      </c>
      <c r="C1697" s="25"/>
      <c r="D1697" s="56" t="s">
        <v>189</v>
      </c>
      <c r="E1697" s="426">
        <v>44776</v>
      </c>
      <c r="F1697" s="26" t="s">
        <v>1068</v>
      </c>
      <c r="G1697" s="426">
        <v>44720</v>
      </c>
      <c r="H1697" s="35">
        <v>26146</v>
      </c>
      <c r="I1697" s="21">
        <v>128000</v>
      </c>
      <c r="J1697" s="21"/>
      <c r="K1697" s="22">
        <v>24320</v>
      </c>
      <c r="L1697" s="23"/>
      <c r="M1697" s="22">
        <v>0</v>
      </c>
      <c r="N1697" s="74">
        <v>0</v>
      </c>
      <c r="O1697" s="22">
        <v>0</v>
      </c>
      <c r="P1697" s="21">
        <v>152320</v>
      </c>
      <c r="S1697" s="108" t="b">
        <f>OR(COUNTIF(Tabla2[[#This Row],[PROVEEDOR]],"*"&amp;'Palabra no opera'!$A$2&amp;"*"))</f>
        <v>0</v>
      </c>
      <c r="T1697" s="139">
        <f>+$W$5-Tabla2[[#This Row],[FECHA DE FACTURACIÓN]]</f>
        <v>571</v>
      </c>
      <c r="U1697" t="str">
        <f>+IF(Tabla2[[#This Row],[dias de credito]]&gt;=Tabla2[[#This Row],[PLAZO Días]],"venc", "No venc")</f>
        <v>venc</v>
      </c>
      <c r="V1697" t="str">
        <f>+IF(Tabla2[[#This Row],[FECHA DE PAGO]]&gt;0,"pagada","por pagar")</f>
        <v>pagada</v>
      </c>
      <c r="W1697" s="141" t="str">
        <f>+IF(AND(Tabla2[[#This Row],[venc]]="venc",Tabla2[[#This Row],[Columna1]]="por pagar"),"vencida","no")</f>
        <v>no</v>
      </c>
    </row>
    <row r="1698" spans="1:23" ht="15.6" hidden="1" x14ac:dyDescent="0.3">
      <c r="A1698" s="20">
        <v>45</v>
      </c>
      <c r="B1698" s="25">
        <v>8072960</v>
      </c>
      <c r="C1698" s="25"/>
      <c r="D1698" s="56" t="s">
        <v>198</v>
      </c>
      <c r="E1698" s="426">
        <v>44776</v>
      </c>
      <c r="F1698" s="26" t="s">
        <v>10</v>
      </c>
      <c r="G1698" s="426">
        <v>44718</v>
      </c>
      <c r="H1698" s="35" t="s">
        <v>739</v>
      </c>
      <c r="I1698" s="21">
        <v>1440000</v>
      </c>
      <c r="J1698" s="21"/>
      <c r="K1698" s="22">
        <v>273600</v>
      </c>
      <c r="L1698" s="23"/>
      <c r="M1698" s="22">
        <v>0</v>
      </c>
      <c r="N1698" s="74">
        <v>0</v>
      </c>
      <c r="O1698" s="22">
        <v>0</v>
      </c>
      <c r="P1698" s="21">
        <v>1713600</v>
      </c>
      <c r="S1698" s="108" t="b">
        <f>OR(COUNTIF(Tabla2[[#This Row],[PROVEEDOR]],"*"&amp;'Palabra no opera'!$A$2&amp;"*"))</f>
        <v>0</v>
      </c>
      <c r="T1698" s="139">
        <f>+$W$5-Tabla2[[#This Row],[FECHA DE FACTURACIÓN]]</f>
        <v>573</v>
      </c>
      <c r="U1698" t="str">
        <f>+IF(Tabla2[[#This Row],[dias de credito]]&gt;=Tabla2[[#This Row],[PLAZO Días]],"venc", "No venc")</f>
        <v>venc</v>
      </c>
      <c r="V1698" t="str">
        <f>+IF(Tabla2[[#This Row],[FECHA DE PAGO]]&gt;0,"pagada","por pagar")</f>
        <v>pagada</v>
      </c>
      <c r="W1698" s="141" t="str">
        <f>+IF(AND(Tabla2[[#This Row],[venc]]="venc",Tabla2[[#This Row],[Columna1]]="por pagar"),"vencida","no")</f>
        <v>no</v>
      </c>
    </row>
    <row r="1699" spans="1:23" ht="15.6" hidden="1" x14ac:dyDescent="0.3">
      <c r="A1699" s="20">
        <v>30</v>
      </c>
      <c r="B1699" s="25">
        <v>0</v>
      </c>
      <c r="C1699" s="25"/>
      <c r="D1699" s="56" t="s">
        <v>858</v>
      </c>
      <c r="E1699" s="426">
        <v>44776</v>
      </c>
      <c r="F1699" s="26" t="s">
        <v>857</v>
      </c>
      <c r="G1699" s="426">
        <v>44701</v>
      </c>
      <c r="H1699" s="35" t="s">
        <v>697</v>
      </c>
      <c r="I1699" s="21">
        <v>731092</v>
      </c>
      <c r="J1699" s="21"/>
      <c r="K1699" s="22">
        <v>138907.48000000001</v>
      </c>
      <c r="L1699" s="23"/>
      <c r="M1699" s="22">
        <v>0</v>
      </c>
      <c r="N1699" s="74">
        <v>0</v>
      </c>
      <c r="O1699" s="22">
        <v>0</v>
      </c>
      <c r="P1699" s="21">
        <v>869999.48</v>
      </c>
      <c r="S1699" s="108" t="b">
        <f>OR(COUNTIF(Tabla2[[#This Row],[PROVEEDOR]],"*"&amp;'Palabra no opera'!$A$2&amp;"*"))</f>
        <v>0</v>
      </c>
      <c r="T1699" s="139">
        <f>+$W$5-Tabla2[[#This Row],[FECHA DE FACTURACIÓN]]</f>
        <v>590</v>
      </c>
      <c r="U1699" t="str">
        <f>+IF(Tabla2[[#This Row],[dias de credito]]&gt;=Tabla2[[#This Row],[PLAZO Días]],"venc", "No venc")</f>
        <v>venc</v>
      </c>
      <c r="V1699" t="str">
        <f>+IF(Tabla2[[#This Row],[FECHA DE PAGO]]&gt;0,"pagada","por pagar")</f>
        <v>pagada</v>
      </c>
      <c r="W1699" s="141" t="str">
        <f>+IF(AND(Tabla2[[#This Row],[venc]]="venc",Tabla2[[#This Row],[Columna1]]="por pagar"),"vencida","no")</f>
        <v>no</v>
      </c>
    </row>
    <row r="1700" spans="1:23" ht="15.6" hidden="1" x14ac:dyDescent="0.3">
      <c r="A1700" s="20">
        <v>0</v>
      </c>
      <c r="B1700" s="25">
        <v>0</v>
      </c>
      <c r="C1700" s="25"/>
      <c r="D1700" s="56">
        <v>0</v>
      </c>
      <c r="E1700" s="426">
        <v>44775</v>
      </c>
      <c r="F1700" s="26" t="s">
        <v>754</v>
      </c>
      <c r="G1700" s="426">
        <v>44775</v>
      </c>
      <c r="H1700" s="35" t="s">
        <v>917</v>
      </c>
      <c r="I1700" s="21">
        <v>600000</v>
      </c>
      <c r="J1700" s="21"/>
      <c r="K1700" s="22">
        <v>0</v>
      </c>
      <c r="L1700" s="23"/>
      <c r="M1700" s="22">
        <v>0</v>
      </c>
      <c r="N1700" s="74">
        <v>0</v>
      </c>
      <c r="O1700" s="22">
        <v>0</v>
      </c>
      <c r="P1700" s="21">
        <v>600000</v>
      </c>
      <c r="S1700" s="108" t="b">
        <f>OR(COUNTIF(Tabla2[[#This Row],[PROVEEDOR]],"*"&amp;'Palabra no opera'!$A$2&amp;"*"))</f>
        <v>1</v>
      </c>
      <c r="T1700" s="139">
        <f>+$W$5-Tabla2[[#This Row],[FECHA DE FACTURACIÓN]]</f>
        <v>516</v>
      </c>
      <c r="U1700" t="str">
        <f>+IF(Tabla2[[#This Row],[dias de credito]]&gt;=Tabla2[[#This Row],[PLAZO Días]],"venc", "No venc")</f>
        <v>venc</v>
      </c>
      <c r="V1700" t="str">
        <f>+IF(Tabla2[[#This Row],[FECHA DE PAGO]]&gt;0,"pagada","por pagar")</f>
        <v>pagada</v>
      </c>
      <c r="W1700" s="141" t="str">
        <f>+IF(AND(Tabla2[[#This Row],[venc]]="venc",Tabla2[[#This Row],[Columna1]]="por pagar"),"vencida","no")</f>
        <v>no</v>
      </c>
    </row>
    <row r="1701" spans="1:23" ht="15.6" hidden="1" x14ac:dyDescent="0.3">
      <c r="A1701" s="20">
        <v>30</v>
      </c>
      <c r="B1701" s="25">
        <v>342000</v>
      </c>
      <c r="C1701" s="25"/>
      <c r="D1701" s="56" t="s">
        <v>107</v>
      </c>
      <c r="E1701" s="426">
        <v>44775</v>
      </c>
      <c r="F1701" s="26" t="s">
        <v>344</v>
      </c>
      <c r="G1701" s="426">
        <v>44740</v>
      </c>
      <c r="H1701" s="35" t="s">
        <v>1041</v>
      </c>
      <c r="I1701" s="21">
        <v>265000</v>
      </c>
      <c r="J1701" s="21"/>
      <c r="K1701" s="22">
        <v>0</v>
      </c>
      <c r="L1701" s="23"/>
      <c r="M1701" s="22">
        <v>0</v>
      </c>
      <c r="N1701" s="74">
        <v>0</v>
      </c>
      <c r="O1701" s="22">
        <v>0</v>
      </c>
      <c r="P1701" s="21">
        <v>265000</v>
      </c>
      <c r="S1701" s="108" t="b">
        <f>OR(COUNTIF(Tabla2[[#This Row],[PROVEEDOR]],"*"&amp;'Palabra no opera'!$A$2&amp;"*"))</f>
        <v>0</v>
      </c>
      <c r="T1701" s="139">
        <f>+$W$5-Tabla2[[#This Row],[FECHA DE FACTURACIÓN]]</f>
        <v>551</v>
      </c>
      <c r="U1701" t="str">
        <f>+IF(Tabla2[[#This Row],[dias de credito]]&gt;=Tabla2[[#This Row],[PLAZO Días]],"venc", "No venc")</f>
        <v>venc</v>
      </c>
      <c r="V1701" t="str">
        <f>+IF(Tabla2[[#This Row],[FECHA DE PAGO]]&gt;0,"pagada","por pagar")</f>
        <v>pagada</v>
      </c>
      <c r="W1701" s="141" t="str">
        <f>+IF(AND(Tabla2[[#This Row],[venc]]="venc",Tabla2[[#This Row],[Columna1]]="por pagar"),"vencida","no")</f>
        <v>no</v>
      </c>
    </row>
    <row r="1702" spans="1:23" ht="15.6" hidden="1" x14ac:dyDescent="0.3">
      <c r="A1702" s="20">
        <v>30</v>
      </c>
      <c r="B1702" s="25">
        <v>0</v>
      </c>
      <c r="C1702" s="25"/>
      <c r="D1702" s="56" t="s">
        <v>107</v>
      </c>
      <c r="E1702" s="426">
        <v>44775</v>
      </c>
      <c r="F1702" s="26" t="s">
        <v>345</v>
      </c>
      <c r="G1702" s="426">
        <v>44702</v>
      </c>
      <c r="H1702" s="35" t="s">
        <v>1031</v>
      </c>
      <c r="I1702" s="21">
        <v>2272000</v>
      </c>
      <c r="J1702" s="21"/>
      <c r="K1702" s="22">
        <v>0</v>
      </c>
      <c r="L1702" s="23"/>
      <c r="M1702" s="22">
        <v>0</v>
      </c>
      <c r="N1702" s="74">
        <v>0</v>
      </c>
      <c r="O1702" s="22">
        <v>0</v>
      </c>
      <c r="P1702" s="21">
        <v>2272000</v>
      </c>
      <c r="S1702" s="108" t="b">
        <f>OR(COUNTIF(Tabla2[[#This Row],[PROVEEDOR]],"*"&amp;'Palabra no opera'!$A$2&amp;"*"))</f>
        <v>0</v>
      </c>
      <c r="T1702" s="139">
        <f>+$W$5-Tabla2[[#This Row],[FECHA DE FACTURACIÓN]]</f>
        <v>589</v>
      </c>
      <c r="U1702" t="str">
        <f>+IF(Tabla2[[#This Row],[dias de credito]]&gt;=Tabla2[[#This Row],[PLAZO Días]],"venc", "No venc")</f>
        <v>venc</v>
      </c>
      <c r="V1702" t="str">
        <f>+IF(Tabla2[[#This Row],[FECHA DE PAGO]]&gt;0,"pagada","por pagar")</f>
        <v>pagada</v>
      </c>
      <c r="W1702" s="141" t="str">
        <f>+IF(AND(Tabla2[[#This Row],[venc]]="venc",Tabla2[[#This Row],[Columna1]]="por pagar"),"vencida","no")</f>
        <v>no</v>
      </c>
    </row>
    <row r="1703" spans="1:23" ht="15.6" hidden="1" x14ac:dyDescent="0.3">
      <c r="A1703" s="20">
        <v>30</v>
      </c>
      <c r="B1703" s="25">
        <v>680000</v>
      </c>
      <c r="C1703" s="25"/>
      <c r="D1703" s="56" t="s">
        <v>177</v>
      </c>
      <c r="E1703" s="426">
        <v>44775</v>
      </c>
      <c r="F1703" s="26" t="s">
        <v>412</v>
      </c>
      <c r="G1703" s="426">
        <v>44700</v>
      </c>
      <c r="H1703" s="35" t="s">
        <v>1029</v>
      </c>
      <c r="I1703" s="21">
        <v>260000</v>
      </c>
      <c r="J1703" s="21"/>
      <c r="K1703" s="22">
        <v>0</v>
      </c>
      <c r="L1703" s="23"/>
      <c r="M1703" s="22">
        <v>0</v>
      </c>
      <c r="N1703" s="74">
        <v>0</v>
      </c>
      <c r="O1703" s="22">
        <v>0</v>
      </c>
      <c r="P1703" s="21">
        <v>260000</v>
      </c>
      <c r="S1703" s="108" t="b">
        <f>OR(COUNTIF(Tabla2[[#This Row],[PROVEEDOR]],"*"&amp;'Palabra no opera'!$A$2&amp;"*"))</f>
        <v>0</v>
      </c>
      <c r="T1703" s="139">
        <f>+$W$5-Tabla2[[#This Row],[FECHA DE FACTURACIÓN]]</f>
        <v>591</v>
      </c>
      <c r="U1703" t="str">
        <f>+IF(Tabla2[[#This Row],[dias de credito]]&gt;=Tabla2[[#This Row],[PLAZO Días]],"venc", "No venc")</f>
        <v>venc</v>
      </c>
      <c r="V1703" t="str">
        <f>+IF(Tabla2[[#This Row],[FECHA DE PAGO]]&gt;0,"pagada","por pagar")</f>
        <v>pagada</v>
      </c>
      <c r="W1703" s="141" t="str">
        <f>+IF(AND(Tabla2[[#This Row],[venc]]="venc",Tabla2[[#This Row],[Columna1]]="por pagar"),"vencida","no")</f>
        <v>no</v>
      </c>
    </row>
    <row r="1704" spans="1:23" ht="15.6" hidden="1" x14ac:dyDescent="0.3">
      <c r="A1704" s="20">
        <v>30</v>
      </c>
      <c r="B1704" s="25">
        <v>680000</v>
      </c>
      <c r="C1704" s="25"/>
      <c r="D1704" s="56" t="s">
        <v>177</v>
      </c>
      <c r="E1704" s="426">
        <v>44775</v>
      </c>
      <c r="F1704" s="26" t="s">
        <v>412</v>
      </c>
      <c r="G1704" s="426">
        <v>44700</v>
      </c>
      <c r="H1704" s="35" t="s">
        <v>1030</v>
      </c>
      <c r="I1704" s="21">
        <v>624000</v>
      </c>
      <c r="J1704" s="21"/>
      <c r="K1704" s="22">
        <v>0</v>
      </c>
      <c r="L1704" s="23"/>
      <c r="M1704" s="22">
        <v>0</v>
      </c>
      <c r="N1704" s="74">
        <v>0</v>
      </c>
      <c r="O1704" s="22">
        <v>0</v>
      </c>
      <c r="P1704" s="21">
        <v>624000</v>
      </c>
      <c r="S1704" s="108" t="b">
        <f>OR(COUNTIF(Tabla2[[#This Row],[PROVEEDOR]],"*"&amp;'Palabra no opera'!$A$2&amp;"*"))</f>
        <v>0</v>
      </c>
      <c r="T1704" s="139">
        <f>+$W$5-Tabla2[[#This Row],[FECHA DE FACTURACIÓN]]</f>
        <v>591</v>
      </c>
      <c r="U1704" t="str">
        <f>+IF(Tabla2[[#This Row],[dias de credito]]&gt;=Tabla2[[#This Row],[PLAZO Días]],"venc", "No venc")</f>
        <v>venc</v>
      </c>
      <c r="V1704" t="str">
        <f>+IF(Tabla2[[#This Row],[FECHA DE PAGO]]&gt;0,"pagada","por pagar")</f>
        <v>pagada</v>
      </c>
      <c r="W1704" s="141" t="str">
        <f>+IF(AND(Tabla2[[#This Row],[venc]]="venc",Tabla2[[#This Row],[Columna1]]="por pagar"),"vencida","no")</f>
        <v>no</v>
      </c>
    </row>
    <row r="1705" spans="1:23" ht="15.6" hidden="1" x14ac:dyDescent="0.3">
      <c r="A1705" s="20">
        <v>30</v>
      </c>
      <c r="B1705" s="25">
        <v>3669750</v>
      </c>
      <c r="C1705" s="25"/>
      <c r="D1705" s="56" t="s">
        <v>1082</v>
      </c>
      <c r="E1705" s="426">
        <v>44774</v>
      </c>
      <c r="F1705" s="26" t="s">
        <v>24</v>
      </c>
      <c r="G1705" s="426">
        <v>44722</v>
      </c>
      <c r="H1705" s="35" t="s">
        <v>767</v>
      </c>
      <c r="I1705" s="21">
        <v>806050</v>
      </c>
      <c r="J1705" s="21"/>
      <c r="K1705" s="22">
        <v>153149.5</v>
      </c>
      <c r="L1705" s="23"/>
      <c r="M1705" s="22">
        <v>0</v>
      </c>
      <c r="N1705" s="74">
        <v>0</v>
      </c>
      <c r="O1705" s="22">
        <v>0</v>
      </c>
      <c r="P1705" s="21">
        <v>959199.5</v>
      </c>
      <c r="S1705" s="108" t="b">
        <f>OR(COUNTIF(Tabla2[[#This Row],[PROVEEDOR]],"*"&amp;'Palabra no opera'!$A$2&amp;"*"))</f>
        <v>0</v>
      </c>
      <c r="T1705" s="139">
        <f>+$W$5-Tabla2[[#This Row],[FECHA DE FACTURACIÓN]]</f>
        <v>569</v>
      </c>
      <c r="U1705" t="str">
        <f>+IF(Tabla2[[#This Row],[dias de credito]]&gt;=Tabla2[[#This Row],[PLAZO Días]],"venc", "No venc")</f>
        <v>venc</v>
      </c>
      <c r="V1705" t="str">
        <f>+IF(Tabla2[[#This Row],[FECHA DE PAGO]]&gt;0,"pagada","por pagar")</f>
        <v>pagada</v>
      </c>
      <c r="W1705" s="141" t="str">
        <f>+IF(AND(Tabla2[[#This Row],[venc]]="venc",Tabla2[[#This Row],[Columna1]]="por pagar"),"vencida","no")</f>
        <v>no</v>
      </c>
    </row>
    <row r="1706" spans="1:23" ht="15.6" hidden="1" x14ac:dyDescent="0.3">
      <c r="A1706" s="20">
        <v>30</v>
      </c>
      <c r="B1706" s="25">
        <v>3669750</v>
      </c>
      <c r="C1706" s="25"/>
      <c r="D1706" s="56" t="s">
        <v>1082</v>
      </c>
      <c r="E1706" s="426">
        <v>44774</v>
      </c>
      <c r="F1706" s="26" t="s">
        <v>24</v>
      </c>
      <c r="G1706" s="426">
        <v>44720</v>
      </c>
      <c r="H1706" s="35" t="s">
        <v>768</v>
      </c>
      <c r="I1706" s="21">
        <v>1909610</v>
      </c>
      <c r="J1706" s="21"/>
      <c r="K1706" s="22">
        <v>362825.9</v>
      </c>
      <c r="L1706" s="23"/>
      <c r="M1706" s="22">
        <v>0</v>
      </c>
      <c r="N1706" s="74">
        <v>2.5000000000000001E-2</v>
      </c>
      <c r="O1706" s="22">
        <v>47740.25</v>
      </c>
      <c r="P1706" s="21">
        <v>2224695.65</v>
      </c>
      <c r="S1706" s="108" t="b">
        <f>OR(COUNTIF(Tabla2[[#This Row],[PROVEEDOR]],"*"&amp;'Palabra no opera'!$A$2&amp;"*"))</f>
        <v>0</v>
      </c>
      <c r="T1706" s="139">
        <f>+$W$5-Tabla2[[#This Row],[FECHA DE FACTURACIÓN]]</f>
        <v>571</v>
      </c>
      <c r="U1706" t="str">
        <f>+IF(Tabla2[[#This Row],[dias de credito]]&gt;=Tabla2[[#This Row],[PLAZO Días]],"venc", "No venc")</f>
        <v>venc</v>
      </c>
      <c r="V1706" t="str">
        <f>+IF(Tabla2[[#This Row],[FECHA DE PAGO]]&gt;0,"pagada","por pagar")</f>
        <v>pagada</v>
      </c>
      <c r="W1706" s="141" t="str">
        <f>+IF(AND(Tabla2[[#This Row],[venc]]="venc",Tabla2[[#This Row],[Columna1]]="por pagar"),"vencida","no")</f>
        <v>no</v>
      </c>
    </row>
    <row r="1707" spans="1:23" ht="15.6" hidden="1" x14ac:dyDescent="0.3">
      <c r="A1707" s="20">
        <v>30</v>
      </c>
      <c r="B1707" s="25">
        <v>0</v>
      </c>
      <c r="C1707" s="25"/>
      <c r="D1707" s="56" t="s">
        <v>107</v>
      </c>
      <c r="E1707" s="426">
        <v>44773</v>
      </c>
      <c r="F1707" s="26" t="s">
        <v>362</v>
      </c>
      <c r="G1707" s="426">
        <v>44773</v>
      </c>
      <c r="H1707" s="35" t="s">
        <v>317</v>
      </c>
      <c r="I1707" s="21">
        <v>65800</v>
      </c>
      <c r="J1707" s="21"/>
      <c r="K1707" s="22">
        <v>0</v>
      </c>
      <c r="L1707" s="23"/>
      <c r="M1707" s="22">
        <v>0</v>
      </c>
      <c r="N1707" s="74">
        <v>0</v>
      </c>
      <c r="O1707" s="22">
        <v>0</v>
      </c>
      <c r="P1707" s="21">
        <v>65800</v>
      </c>
      <c r="S1707" s="108" t="b">
        <f>OR(COUNTIF(Tabla2[[#This Row],[PROVEEDOR]],"*"&amp;'Palabra no opera'!$A$2&amp;"*"))</f>
        <v>0</v>
      </c>
      <c r="T1707" s="139">
        <f>+$W$5-Tabla2[[#This Row],[FECHA DE FACTURACIÓN]]</f>
        <v>518</v>
      </c>
      <c r="U1707" t="str">
        <f>+IF(Tabla2[[#This Row],[dias de credito]]&gt;=Tabla2[[#This Row],[PLAZO Días]],"venc", "No venc")</f>
        <v>venc</v>
      </c>
      <c r="V1707" t="str">
        <f>+IF(Tabla2[[#This Row],[FECHA DE PAGO]]&gt;0,"pagada","por pagar")</f>
        <v>pagada</v>
      </c>
      <c r="W1707" s="141" t="str">
        <f>+IF(AND(Tabla2[[#This Row],[venc]]="venc",Tabla2[[#This Row],[Columna1]]="por pagar"),"vencida","no")</f>
        <v>no</v>
      </c>
    </row>
    <row r="1708" spans="1:23" ht="15.6" hidden="1" x14ac:dyDescent="0.3">
      <c r="A1708" s="20">
        <v>30</v>
      </c>
      <c r="B1708" s="25">
        <v>0</v>
      </c>
      <c r="C1708" s="25"/>
      <c r="D1708" s="56" t="s">
        <v>107</v>
      </c>
      <c r="E1708" s="426">
        <v>44773</v>
      </c>
      <c r="F1708" s="26" t="s">
        <v>362</v>
      </c>
      <c r="G1708" s="426">
        <v>44773</v>
      </c>
      <c r="H1708" s="35" t="s">
        <v>655</v>
      </c>
      <c r="I1708" s="21">
        <v>127000</v>
      </c>
      <c r="J1708" s="21"/>
      <c r="K1708" s="22">
        <v>0</v>
      </c>
      <c r="L1708" s="23"/>
      <c r="M1708" s="22">
        <v>0</v>
      </c>
      <c r="N1708" s="74">
        <v>0</v>
      </c>
      <c r="O1708" s="22">
        <v>0</v>
      </c>
      <c r="P1708" s="21">
        <v>127000</v>
      </c>
      <c r="S1708" s="108" t="b">
        <f>OR(COUNTIF(Tabla2[[#This Row],[PROVEEDOR]],"*"&amp;'Palabra no opera'!$A$2&amp;"*"))</f>
        <v>0</v>
      </c>
      <c r="T1708" s="139">
        <f>+$W$5-Tabla2[[#This Row],[FECHA DE FACTURACIÓN]]</f>
        <v>518</v>
      </c>
      <c r="U1708" t="str">
        <f>+IF(Tabla2[[#This Row],[dias de credito]]&gt;=Tabla2[[#This Row],[PLAZO Días]],"venc", "No venc")</f>
        <v>venc</v>
      </c>
      <c r="V1708" t="str">
        <f>+IF(Tabla2[[#This Row],[FECHA DE PAGO]]&gt;0,"pagada","por pagar")</f>
        <v>pagada</v>
      </c>
      <c r="W1708" s="141" t="str">
        <f>+IF(AND(Tabla2[[#This Row],[venc]]="venc",Tabla2[[#This Row],[Columna1]]="por pagar"),"vencida","no")</f>
        <v>no</v>
      </c>
    </row>
    <row r="1709" spans="1:23" ht="15.6" hidden="1" x14ac:dyDescent="0.3">
      <c r="A1709" s="20">
        <v>30</v>
      </c>
      <c r="B1709" s="25">
        <v>0</v>
      </c>
      <c r="C1709" s="25"/>
      <c r="D1709" s="56" t="s">
        <v>107</v>
      </c>
      <c r="E1709" s="426">
        <v>44773</v>
      </c>
      <c r="F1709" s="26" t="s">
        <v>362</v>
      </c>
      <c r="G1709" s="426">
        <v>44773</v>
      </c>
      <c r="H1709" s="35" t="s">
        <v>319</v>
      </c>
      <c r="I1709" s="21">
        <v>671000</v>
      </c>
      <c r="J1709" s="21"/>
      <c r="K1709" s="22">
        <v>0</v>
      </c>
      <c r="L1709" s="23"/>
      <c r="M1709" s="22">
        <v>0</v>
      </c>
      <c r="N1709" s="74">
        <v>0</v>
      </c>
      <c r="O1709" s="22">
        <v>0</v>
      </c>
      <c r="P1709" s="21">
        <v>671000</v>
      </c>
      <c r="S1709" s="108" t="b">
        <f>OR(COUNTIF(Tabla2[[#This Row],[PROVEEDOR]],"*"&amp;'Palabra no opera'!$A$2&amp;"*"))</f>
        <v>0</v>
      </c>
      <c r="T1709" s="139">
        <f>+$W$5-Tabla2[[#This Row],[FECHA DE FACTURACIÓN]]</f>
        <v>518</v>
      </c>
      <c r="U1709" t="str">
        <f>+IF(Tabla2[[#This Row],[dias de credito]]&gt;=Tabla2[[#This Row],[PLAZO Días]],"venc", "No venc")</f>
        <v>venc</v>
      </c>
      <c r="V1709" t="str">
        <f>+IF(Tabla2[[#This Row],[FECHA DE PAGO]]&gt;0,"pagada","por pagar")</f>
        <v>pagada</v>
      </c>
      <c r="W1709" s="141" t="str">
        <f>+IF(AND(Tabla2[[#This Row],[venc]]="venc",Tabla2[[#This Row],[Columna1]]="por pagar"),"vencida","no")</f>
        <v>no</v>
      </c>
    </row>
    <row r="1710" spans="1:23" ht="15.6" hidden="1" x14ac:dyDescent="0.3">
      <c r="A1710" s="20">
        <v>30</v>
      </c>
      <c r="B1710" s="25">
        <v>0</v>
      </c>
      <c r="C1710" s="25"/>
      <c r="D1710" s="56" t="s">
        <v>107</v>
      </c>
      <c r="E1710" s="426">
        <v>44773</v>
      </c>
      <c r="F1710" s="26" t="s">
        <v>362</v>
      </c>
      <c r="G1710" s="426">
        <v>44773</v>
      </c>
      <c r="H1710" s="35" t="s">
        <v>318</v>
      </c>
      <c r="I1710" s="21">
        <v>728200</v>
      </c>
      <c r="J1710" s="21"/>
      <c r="K1710" s="22">
        <v>0</v>
      </c>
      <c r="L1710" s="23"/>
      <c r="M1710" s="22">
        <v>0</v>
      </c>
      <c r="N1710" s="74">
        <v>0</v>
      </c>
      <c r="O1710" s="22">
        <v>0</v>
      </c>
      <c r="P1710" s="21">
        <v>728200</v>
      </c>
      <c r="S1710" s="108" t="b">
        <f>OR(COUNTIF(Tabla2[[#This Row],[PROVEEDOR]],"*"&amp;'Palabra no opera'!$A$2&amp;"*"))</f>
        <v>0</v>
      </c>
      <c r="T1710" s="139">
        <f>+$W$5-Tabla2[[#This Row],[FECHA DE FACTURACIÓN]]</f>
        <v>518</v>
      </c>
      <c r="U1710" t="str">
        <f>+IF(Tabla2[[#This Row],[dias de credito]]&gt;=Tabla2[[#This Row],[PLAZO Días]],"venc", "No venc")</f>
        <v>venc</v>
      </c>
      <c r="V1710" t="str">
        <f>+IF(Tabla2[[#This Row],[FECHA DE PAGO]]&gt;0,"pagada","por pagar")</f>
        <v>pagada</v>
      </c>
      <c r="W1710" s="141" t="str">
        <f>+IF(AND(Tabla2[[#This Row],[venc]]="venc",Tabla2[[#This Row],[Columna1]]="por pagar"),"vencida","no")</f>
        <v>no</v>
      </c>
    </row>
    <row r="1711" spans="1:23" ht="15.6" hidden="1" x14ac:dyDescent="0.3">
      <c r="A1711" s="20">
        <v>30</v>
      </c>
      <c r="B1711" s="25">
        <v>0</v>
      </c>
      <c r="C1711" s="25"/>
      <c r="D1711" s="56" t="s">
        <v>107</v>
      </c>
      <c r="E1711" s="426">
        <v>44773</v>
      </c>
      <c r="F1711" s="26" t="s">
        <v>362</v>
      </c>
      <c r="G1711" s="426">
        <v>44773</v>
      </c>
      <c r="H1711" s="35" t="s">
        <v>139</v>
      </c>
      <c r="I1711" s="21">
        <v>986500</v>
      </c>
      <c r="J1711" s="21"/>
      <c r="K1711" s="22">
        <v>0</v>
      </c>
      <c r="L1711" s="23"/>
      <c r="M1711" s="22">
        <v>0</v>
      </c>
      <c r="N1711" s="74">
        <v>0</v>
      </c>
      <c r="O1711" s="22">
        <v>0</v>
      </c>
      <c r="P1711" s="21">
        <v>986500</v>
      </c>
      <c r="S1711" s="108" t="b">
        <f>OR(COUNTIF(Tabla2[[#This Row],[PROVEEDOR]],"*"&amp;'Palabra no opera'!$A$2&amp;"*"))</f>
        <v>0</v>
      </c>
      <c r="T1711" s="139">
        <f>+$W$5-Tabla2[[#This Row],[FECHA DE FACTURACIÓN]]</f>
        <v>518</v>
      </c>
      <c r="U1711" t="str">
        <f>+IF(Tabla2[[#This Row],[dias de credito]]&gt;=Tabla2[[#This Row],[PLAZO Días]],"venc", "No venc")</f>
        <v>venc</v>
      </c>
      <c r="V1711" t="str">
        <f>+IF(Tabla2[[#This Row],[FECHA DE PAGO]]&gt;0,"pagada","por pagar")</f>
        <v>pagada</v>
      </c>
      <c r="W1711" s="141" t="str">
        <f>+IF(AND(Tabla2[[#This Row],[venc]]="venc",Tabla2[[#This Row],[Columna1]]="por pagar"),"vencida","no")</f>
        <v>no</v>
      </c>
    </row>
    <row r="1712" spans="1:23" ht="15.6" hidden="1" x14ac:dyDescent="0.3">
      <c r="A1712" s="20">
        <v>30</v>
      </c>
      <c r="B1712" s="25">
        <v>0</v>
      </c>
      <c r="C1712" s="25"/>
      <c r="D1712" s="56" t="s">
        <v>107</v>
      </c>
      <c r="E1712" s="426">
        <v>44773</v>
      </c>
      <c r="F1712" s="26" t="s">
        <v>362</v>
      </c>
      <c r="G1712" s="426">
        <v>44773</v>
      </c>
      <c r="H1712" s="35" t="s">
        <v>316</v>
      </c>
      <c r="I1712" s="21">
        <v>2950000</v>
      </c>
      <c r="J1712" s="21"/>
      <c r="K1712" s="22">
        <v>0</v>
      </c>
      <c r="L1712" s="23"/>
      <c r="M1712" s="22">
        <v>0</v>
      </c>
      <c r="N1712" s="74">
        <v>0</v>
      </c>
      <c r="O1712" s="22">
        <v>0</v>
      </c>
      <c r="P1712" s="21">
        <v>2950000</v>
      </c>
      <c r="S1712" s="108" t="b">
        <f>OR(COUNTIF(Tabla2[[#This Row],[PROVEEDOR]],"*"&amp;'Palabra no opera'!$A$2&amp;"*"))</f>
        <v>0</v>
      </c>
      <c r="T1712" s="139">
        <f>+$W$5-Tabla2[[#This Row],[FECHA DE FACTURACIÓN]]</f>
        <v>518</v>
      </c>
      <c r="U1712" t="str">
        <f>+IF(Tabla2[[#This Row],[dias de credito]]&gt;=Tabla2[[#This Row],[PLAZO Días]],"venc", "No venc")</f>
        <v>venc</v>
      </c>
      <c r="V1712" t="str">
        <f>+IF(Tabla2[[#This Row],[FECHA DE PAGO]]&gt;0,"pagada","por pagar")</f>
        <v>pagada</v>
      </c>
      <c r="W1712" s="141" t="str">
        <f>+IF(AND(Tabla2[[#This Row],[venc]]="venc",Tabla2[[#This Row],[Columna1]]="por pagar"),"vencida","no")</f>
        <v>no</v>
      </c>
    </row>
    <row r="1713" spans="1:23" ht="15.6" hidden="1" x14ac:dyDescent="0.3">
      <c r="A1713" s="20">
        <v>30</v>
      </c>
      <c r="B1713" s="25">
        <v>0</v>
      </c>
      <c r="C1713" s="25"/>
      <c r="D1713" s="56" t="s">
        <v>107</v>
      </c>
      <c r="E1713" s="426">
        <v>44772</v>
      </c>
      <c r="F1713" s="26" t="s">
        <v>378</v>
      </c>
      <c r="G1713" s="426">
        <v>44772</v>
      </c>
      <c r="H1713" s="35" t="s">
        <v>850</v>
      </c>
      <c r="I1713" s="21">
        <v>750000</v>
      </c>
      <c r="J1713" s="21"/>
      <c r="K1713" s="22">
        <v>0</v>
      </c>
      <c r="L1713" s="23"/>
      <c r="M1713" s="22">
        <v>0</v>
      </c>
      <c r="N1713" s="74">
        <v>0</v>
      </c>
      <c r="O1713" s="22">
        <v>0</v>
      </c>
      <c r="P1713" s="21">
        <v>750000</v>
      </c>
      <c r="S1713" s="108" t="b">
        <f>OR(COUNTIF(Tabla2[[#This Row],[PROVEEDOR]],"*"&amp;'Palabra no opera'!$A$2&amp;"*"))</f>
        <v>0</v>
      </c>
      <c r="T1713" s="139">
        <f>+$W$5-Tabla2[[#This Row],[FECHA DE FACTURACIÓN]]</f>
        <v>519</v>
      </c>
      <c r="U1713" t="str">
        <f>+IF(Tabla2[[#This Row],[dias de credito]]&gt;=Tabla2[[#This Row],[PLAZO Días]],"venc", "No venc")</f>
        <v>venc</v>
      </c>
      <c r="V1713" t="str">
        <f>+IF(Tabla2[[#This Row],[FECHA DE PAGO]]&gt;0,"pagada","por pagar")</f>
        <v>pagada</v>
      </c>
      <c r="W1713" s="141" t="str">
        <f>+IF(AND(Tabla2[[#This Row],[venc]]="venc",Tabla2[[#This Row],[Columna1]]="por pagar"),"vencida","no")</f>
        <v>no</v>
      </c>
    </row>
    <row r="1714" spans="1:23" ht="15.6" hidden="1" x14ac:dyDescent="0.3">
      <c r="A1714" s="20">
        <v>30</v>
      </c>
      <c r="B1714" s="25">
        <v>0</v>
      </c>
      <c r="C1714" s="25"/>
      <c r="D1714" s="56" t="s">
        <v>107</v>
      </c>
      <c r="E1714" s="426">
        <v>44772</v>
      </c>
      <c r="F1714" s="26" t="s">
        <v>356</v>
      </c>
      <c r="G1714" s="426">
        <v>44771</v>
      </c>
      <c r="H1714" s="35" t="s">
        <v>851</v>
      </c>
      <c r="I1714" s="21">
        <v>3992000</v>
      </c>
      <c r="J1714" s="21"/>
      <c r="K1714" s="22">
        <v>0</v>
      </c>
      <c r="L1714" s="23"/>
      <c r="M1714" s="22">
        <v>0</v>
      </c>
      <c r="N1714" s="74">
        <v>0</v>
      </c>
      <c r="O1714" s="22">
        <v>0</v>
      </c>
      <c r="P1714" s="21">
        <v>3992000</v>
      </c>
      <c r="S1714" s="108" t="b">
        <f>OR(COUNTIF(Tabla2[[#This Row],[PROVEEDOR]],"*"&amp;'Palabra no opera'!$A$2&amp;"*"))</f>
        <v>0</v>
      </c>
      <c r="T1714" s="139">
        <f>+$W$5-Tabla2[[#This Row],[FECHA DE FACTURACIÓN]]</f>
        <v>520</v>
      </c>
      <c r="U1714" t="str">
        <f>+IF(Tabla2[[#This Row],[dias de credito]]&gt;=Tabla2[[#This Row],[PLAZO Días]],"venc", "No venc")</f>
        <v>venc</v>
      </c>
      <c r="V1714" t="str">
        <f>+IF(Tabla2[[#This Row],[FECHA DE PAGO]]&gt;0,"pagada","por pagar")</f>
        <v>pagada</v>
      </c>
      <c r="W1714" s="141" t="str">
        <f>+IF(AND(Tabla2[[#This Row],[venc]]="venc",Tabla2[[#This Row],[Columna1]]="por pagar"),"vencida","no")</f>
        <v>no</v>
      </c>
    </row>
    <row r="1715" spans="1:23" ht="15.6" hidden="1" x14ac:dyDescent="0.3">
      <c r="A1715" s="20">
        <v>30</v>
      </c>
      <c r="B1715" s="25">
        <v>0</v>
      </c>
      <c r="C1715" s="25"/>
      <c r="D1715" s="56" t="s">
        <v>843</v>
      </c>
      <c r="E1715" s="426">
        <v>44772</v>
      </c>
      <c r="F1715" s="26" t="s">
        <v>809</v>
      </c>
      <c r="G1715" s="426">
        <v>44743</v>
      </c>
      <c r="H1715" s="35">
        <v>2507</v>
      </c>
      <c r="I1715" s="21">
        <v>4690900</v>
      </c>
      <c r="J1715" s="21"/>
      <c r="K1715" s="22">
        <v>891271</v>
      </c>
      <c r="L1715" s="23">
        <v>0.1</v>
      </c>
      <c r="M1715" s="22">
        <v>469090</v>
      </c>
      <c r="N1715" s="74">
        <v>2.5000000000000001E-2</v>
      </c>
      <c r="O1715" s="22">
        <v>117272.5</v>
      </c>
      <c r="P1715" s="21">
        <v>4995808.5</v>
      </c>
      <c r="S1715" s="108" t="b">
        <f>OR(COUNTIF(Tabla2[[#This Row],[PROVEEDOR]],"*"&amp;'Palabra no opera'!$A$2&amp;"*"))</f>
        <v>0</v>
      </c>
      <c r="T1715" s="139">
        <f>+$W$5-Tabla2[[#This Row],[FECHA DE FACTURACIÓN]]</f>
        <v>548</v>
      </c>
      <c r="U1715" t="str">
        <f>+IF(Tabla2[[#This Row],[dias de credito]]&gt;=Tabla2[[#This Row],[PLAZO Días]],"venc", "No venc")</f>
        <v>venc</v>
      </c>
      <c r="V1715" t="str">
        <f>+IF(Tabla2[[#This Row],[FECHA DE PAGO]]&gt;0,"pagada","por pagar")</f>
        <v>pagada</v>
      </c>
      <c r="W1715" s="141" t="str">
        <f>+IF(AND(Tabla2[[#This Row],[venc]]="venc",Tabla2[[#This Row],[Columna1]]="por pagar"),"vencida","no")</f>
        <v>no</v>
      </c>
    </row>
    <row r="1716" spans="1:23" ht="15.6" hidden="1" x14ac:dyDescent="0.3">
      <c r="A1716" s="20">
        <v>30</v>
      </c>
      <c r="B1716" s="25">
        <v>5480000</v>
      </c>
      <c r="C1716" s="25"/>
      <c r="D1716" s="56" t="s">
        <v>107</v>
      </c>
      <c r="E1716" s="426">
        <v>44772</v>
      </c>
      <c r="F1716" s="26" t="s">
        <v>369</v>
      </c>
      <c r="G1716" s="426">
        <v>44685</v>
      </c>
      <c r="H1716" s="35" t="s">
        <v>1022</v>
      </c>
      <c r="I1716" s="21">
        <v>3044000</v>
      </c>
      <c r="J1716" s="21"/>
      <c r="K1716" s="22">
        <v>0</v>
      </c>
      <c r="L1716" s="23"/>
      <c r="M1716" s="22">
        <v>0</v>
      </c>
      <c r="N1716" s="74">
        <v>0</v>
      </c>
      <c r="O1716" s="22">
        <v>0</v>
      </c>
      <c r="P1716" s="21">
        <v>3044000</v>
      </c>
      <c r="S1716" s="108" t="b">
        <f>OR(COUNTIF(Tabla2[[#This Row],[PROVEEDOR]],"*"&amp;'Palabra no opera'!$A$2&amp;"*"))</f>
        <v>0</v>
      </c>
      <c r="T1716" s="139">
        <f>+$W$5-Tabla2[[#This Row],[FECHA DE FACTURACIÓN]]</f>
        <v>606</v>
      </c>
      <c r="U1716" t="str">
        <f>+IF(Tabla2[[#This Row],[dias de credito]]&gt;=Tabla2[[#This Row],[PLAZO Días]],"venc", "No venc")</f>
        <v>venc</v>
      </c>
      <c r="V1716" t="str">
        <f>+IF(Tabla2[[#This Row],[FECHA DE PAGO]]&gt;0,"pagada","por pagar")</f>
        <v>pagada</v>
      </c>
      <c r="W1716" s="141" t="str">
        <f>+IF(AND(Tabla2[[#This Row],[venc]]="venc",Tabla2[[#This Row],[Columna1]]="por pagar"),"vencida","no")</f>
        <v>no</v>
      </c>
    </row>
    <row r="1717" spans="1:23" ht="15.6" hidden="1" x14ac:dyDescent="0.3">
      <c r="A1717" s="20">
        <v>30</v>
      </c>
      <c r="B1717" s="25">
        <v>0</v>
      </c>
      <c r="C1717" s="25"/>
      <c r="D1717" s="56">
        <v>0</v>
      </c>
      <c r="E1717" s="426">
        <v>44771</v>
      </c>
      <c r="F1717" s="26" t="s">
        <v>642</v>
      </c>
      <c r="G1717" s="426">
        <v>44743</v>
      </c>
      <c r="H1717" s="35" t="s">
        <v>217</v>
      </c>
      <c r="I1717" s="21">
        <v>455823</v>
      </c>
      <c r="J1717" s="21"/>
      <c r="K1717" s="22">
        <v>0</v>
      </c>
      <c r="L1717" s="23"/>
      <c r="M1717" s="22">
        <v>0</v>
      </c>
      <c r="N1717" s="74">
        <v>0</v>
      </c>
      <c r="O1717" s="22">
        <v>0</v>
      </c>
      <c r="P1717" s="21">
        <v>455823</v>
      </c>
      <c r="S1717" s="108" t="b">
        <f>OR(COUNTIF(Tabla2[[#This Row],[PROVEEDOR]],"*"&amp;'Palabra no opera'!$A$2&amp;"*"))</f>
        <v>1</v>
      </c>
      <c r="T1717" s="139">
        <f>+$W$5-Tabla2[[#This Row],[FECHA DE FACTURACIÓN]]</f>
        <v>548</v>
      </c>
      <c r="U1717" t="str">
        <f>+IF(Tabla2[[#This Row],[dias de credito]]&gt;=Tabla2[[#This Row],[PLAZO Días]],"venc", "No venc")</f>
        <v>venc</v>
      </c>
      <c r="V1717" t="str">
        <f>+IF(Tabla2[[#This Row],[FECHA DE PAGO]]&gt;0,"pagada","por pagar")</f>
        <v>pagada</v>
      </c>
      <c r="W1717" s="141" t="str">
        <f>+IF(AND(Tabla2[[#This Row],[venc]]="venc",Tabla2[[#This Row],[Columna1]]="por pagar"),"vencida","no")</f>
        <v>no</v>
      </c>
    </row>
    <row r="1718" spans="1:23" ht="15.6" hidden="1" x14ac:dyDescent="0.3">
      <c r="A1718" s="20">
        <v>30</v>
      </c>
      <c r="B1718" s="25">
        <v>0</v>
      </c>
      <c r="C1718" s="25"/>
      <c r="D1718" s="56" t="s">
        <v>258</v>
      </c>
      <c r="E1718" s="426">
        <v>44771</v>
      </c>
      <c r="F1718" s="26" t="s">
        <v>394</v>
      </c>
      <c r="G1718" s="426">
        <v>44740</v>
      </c>
      <c r="H1718" s="35" t="s">
        <v>910</v>
      </c>
      <c r="I1718" s="21">
        <v>1927500</v>
      </c>
      <c r="J1718" s="21"/>
      <c r="K1718" s="22">
        <v>0</v>
      </c>
      <c r="L1718" s="23"/>
      <c r="M1718" s="22">
        <v>0</v>
      </c>
      <c r="N1718" s="74">
        <v>0</v>
      </c>
      <c r="O1718" s="22">
        <v>0</v>
      </c>
      <c r="P1718" s="21">
        <v>1927500</v>
      </c>
      <c r="S1718" s="108" t="b">
        <f>OR(COUNTIF(Tabla2[[#This Row],[PROVEEDOR]],"*"&amp;'Palabra no opera'!$A$2&amp;"*"))</f>
        <v>0</v>
      </c>
      <c r="T1718" s="139">
        <f>+$W$5-Tabla2[[#This Row],[FECHA DE FACTURACIÓN]]</f>
        <v>551</v>
      </c>
      <c r="U1718" t="str">
        <f>+IF(Tabla2[[#This Row],[dias de credito]]&gt;=Tabla2[[#This Row],[PLAZO Días]],"venc", "No venc")</f>
        <v>venc</v>
      </c>
      <c r="V1718" t="str">
        <f>+IF(Tabla2[[#This Row],[FECHA DE PAGO]]&gt;0,"pagada","por pagar")</f>
        <v>pagada</v>
      </c>
      <c r="W1718" s="141" t="str">
        <f>+IF(AND(Tabla2[[#This Row],[venc]]="venc",Tabla2[[#This Row],[Columna1]]="por pagar"),"vencida","no")</f>
        <v>no</v>
      </c>
    </row>
    <row r="1719" spans="1:23" ht="15.6" hidden="1" x14ac:dyDescent="0.3">
      <c r="A1719" s="20">
        <v>30</v>
      </c>
      <c r="B1719" s="25">
        <v>0</v>
      </c>
      <c r="C1719" s="25"/>
      <c r="D1719" s="56" t="s">
        <v>107</v>
      </c>
      <c r="E1719" s="426">
        <v>44770</v>
      </c>
      <c r="F1719" s="26" t="s">
        <v>836</v>
      </c>
      <c r="G1719" s="426">
        <v>44770</v>
      </c>
      <c r="H1719" s="35"/>
      <c r="I1719" s="21">
        <v>1000000</v>
      </c>
      <c r="J1719" s="21"/>
      <c r="K1719" s="22">
        <v>0</v>
      </c>
      <c r="L1719" s="23"/>
      <c r="M1719" s="22">
        <v>0</v>
      </c>
      <c r="N1719" s="74">
        <v>0</v>
      </c>
      <c r="O1719" s="22">
        <v>0</v>
      </c>
      <c r="P1719" s="21">
        <v>1000000</v>
      </c>
      <c r="S1719" s="108" t="b">
        <f>OR(COUNTIF(Tabla2[[#This Row],[PROVEEDOR]],"*"&amp;'Palabra no opera'!$A$2&amp;"*"))</f>
        <v>0</v>
      </c>
      <c r="T1719" s="139">
        <f>+$W$5-Tabla2[[#This Row],[FECHA DE FACTURACIÓN]]</f>
        <v>521</v>
      </c>
      <c r="U1719" t="str">
        <f>+IF(Tabla2[[#This Row],[dias de credito]]&gt;=Tabla2[[#This Row],[PLAZO Días]],"venc", "No venc")</f>
        <v>venc</v>
      </c>
      <c r="V1719" t="str">
        <f>+IF(Tabla2[[#This Row],[FECHA DE PAGO]]&gt;0,"pagada","por pagar")</f>
        <v>pagada</v>
      </c>
      <c r="W1719" s="141" t="str">
        <f>+IF(AND(Tabla2[[#This Row],[venc]]="venc",Tabla2[[#This Row],[Columna1]]="por pagar"),"vencida","no")</f>
        <v>no</v>
      </c>
    </row>
    <row r="1720" spans="1:23" ht="15.6" hidden="1" x14ac:dyDescent="0.3">
      <c r="A1720" s="20">
        <v>30</v>
      </c>
      <c r="B1720" s="25">
        <v>-101001.25</v>
      </c>
      <c r="C1720" s="25"/>
      <c r="D1720" s="56" t="s">
        <v>200</v>
      </c>
      <c r="E1720" s="426">
        <v>44770</v>
      </c>
      <c r="F1720" s="26" t="s">
        <v>14</v>
      </c>
      <c r="G1720" s="426">
        <v>44722</v>
      </c>
      <c r="H1720" s="35" t="s">
        <v>744</v>
      </c>
      <c r="I1720" s="21">
        <v>116471</v>
      </c>
      <c r="J1720" s="21"/>
      <c r="K1720" s="22">
        <v>22129.49</v>
      </c>
      <c r="L1720" s="23"/>
      <c r="M1720" s="22">
        <v>0</v>
      </c>
      <c r="N1720" s="74">
        <v>0</v>
      </c>
      <c r="O1720" s="22">
        <v>0</v>
      </c>
      <c r="P1720" s="21">
        <v>138600.49</v>
      </c>
      <c r="S1720" s="108" t="b">
        <f>OR(COUNTIF(Tabla2[[#This Row],[PROVEEDOR]],"*"&amp;'Palabra no opera'!$A$2&amp;"*"))</f>
        <v>0</v>
      </c>
      <c r="T1720" s="139">
        <f>+$W$5-Tabla2[[#This Row],[FECHA DE FACTURACIÓN]]</f>
        <v>569</v>
      </c>
      <c r="U1720" t="str">
        <f>+IF(Tabla2[[#This Row],[dias de credito]]&gt;=Tabla2[[#This Row],[PLAZO Días]],"venc", "No venc")</f>
        <v>venc</v>
      </c>
      <c r="V1720" t="str">
        <f>+IF(Tabla2[[#This Row],[FECHA DE PAGO]]&gt;0,"pagada","por pagar")</f>
        <v>pagada</v>
      </c>
      <c r="W1720" s="141" t="str">
        <f>+IF(AND(Tabla2[[#This Row],[venc]]="venc",Tabla2[[#This Row],[Columna1]]="por pagar"),"vencida","no")</f>
        <v>no</v>
      </c>
    </row>
    <row r="1721" spans="1:23" ht="15.6" hidden="1" x14ac:dyDescent="0.3">
      <c r="A1721" s="20">
        <v>30</v>
      </c>
      <c r="B1721" s="25">
        <v>-101001.25</v>
      </c>
      <c r="C1721" s="25"/>
      <c r="D1721" s="56" t="s">
        <v>200</v>
      </c>
      <c r="E1721" s="426">
        <v>44770</v>
      </c>
      <c r="F1721" s="26" t="s">
        <v>14</v>
      </c>
      <c r="G1721" s="426">
        <v>44706</v>
      </c>
      <c r="H1721" s="35" t="s">
        <v>704</v>
      </c>
      <c r="I1721" s="21">
        <v>-67900</v>
      </c>
      <c r="J1721" s="21"/>
      <c r="K1721" s="22">
        <v>-12901</v>
      </c>
      <c r="L1721" s="23"/>
      <c r="M1721" s="22">
        <v>0</v>
      </c>
      <c r="N1721" s="74">
        <v>0</v>
      </c>
      <c r="O1721" s="22">
        <v>0</v>
      </c>
      <c r="P1721" s="21">
        <v>-80801</v>
      </c>
      <c r="S1721" s="108" t="b">
        <f>OR(COUNTIF(Tabla2[[#This Row],[PROVEEDOR]],"*"&amp;'Palabra no opera'!$A$2&amp;"*"))</f>
        <v>0</v>
      </c>
      <c r="T1721" s="139">
        <f>+$W$5-Tabla2[[#This Row],[FECHA DE FACTURACIÓN]]</f>
        <v>585</v>
      </c>
      <c r="U1721" t="str">
        <f>+IF(Tabla2[[#This Row],[dias de credito]]&gt;=Tabla2[[#This Row],[PLAZO Días]],"venc", "No venc")</f>
        <v>venc</v>
      </c>
      <c r="V1721" t="str">
        <f>+IF(Tabla2[[#This Row],[FECHA DE PAGO]]&gt;0,"pagada","por pagar")</f>
        <v>pagada</v>
      </c>
      <c r="W1721" s="141" t="str">
        <f>+IF(AND(Tabla2[[#This Row],[venc]]="venc",Tabla2[[#This Row],[Columna1]]="por pagar"),"vencida","no")</f>
        <v>no</v>
      </c>
    </row>
    <row r="1722" spans="1:23" ht="15.6" hidden="1" x14ac:dyDescent="0.3">
      <c r="A1722" s="20">
        <v>30</v>
      </c>
      <c r="B1722" s="25">
        <v>0</v>
      </c>
      <c r="C1722" s="25"/>
      <c r="D1722" s="56" t="s">
        <v>107</v>
      </c>
      <c r="E1722" s="426">
        <v>44769</v>
      </c>
      <c r="F1722" s="26" t="s">
        <v>55</v>
      </c>
      <c r="G1722" s="426">
        <v>44768</v>
      </c>
      <c r="H1722" s="35">
        <v>57126</v>
      </c>
      <c r="I1722" s="21">
        <v>9000</v>
      </c>
      <c r="J1722" s="21"/>
      <c r="K1722" s="22">
        <v>0</v>
      </c>
      <c r="L1722" s="23"/>
      <c r="M1722" s="22">
        <v>0</v>
      </c>
      <c r="N1722" s="74">
        <v>0</v>
      </c>
      <c r="O1722" s="22">
        <v>0</v>
      </c>
      <c r="P1722" s="21">
        <v>9000</v>
      </c>
      <c r="S1722" s="108" t="b">
        <f>OR(COUNTIF(Tabla2[[#This Row],[PROVEEDOR]],"*"&amp;'Palabra no opera'!$A$2&amp;"*"))</f>
        <v>0</v>
      </c>
      <c r="T1722" s="139">
        <f>+$W$5-Tabla2[[#This Row],[FECHA DE FACTURACIÓN]]</f>
        <v>523</v>
      </c>
      <c r="U1722" t="str">
        <f>+IF(Tabla2[[#This Row],[dias de credito]]&gt;=Tabla2[[#This Row],[PLAZO Días]],"venc", "No venc")</f>
        <v>venc</v>
      </c>
      <c r="V1722" t="str">
        <f>+IF(Tabla2[[#This Row],[FECHA DE PAGO]]&gt;0,"pagada","por pagar")</f>
        <v>pagada</v>
      </c>
      <c r="W1722" s="141" t="str">
        <f>+IF(AND(Tabla2[[#This Row],[venc]]="venc",Tabla2[[#This Row],[Columna1]]="por pagar"),"vencida","no")</f>
        <v>no</v>
      </c>
    </row>
    <row r="1723" spans="1:23" ht="15.6" hidden="1" x14ac:dyDescent="0.3">
      <c r="A1723" s="20">
        <v>30</v>
      </c>
      <c r="B1723" s="25">
        <v>0</v>
      </c>
      <c r="C1723" s="25"/>
      <c r="D1723" s="56" t="s">
        <v>107</v>
      </c>
      <c r="E1723" s="426">
        <v>44769</v>
      </c>
      <c r="F1723" s="26" t="s">
        <v>55</v>
      </c>
      <c r="G1723" s="426">
        <v>44768</v>
      </c>
      <c r="H1723" s="35">
        <v>57126</v>
      </c>
      <c r="I1723" s="21">
        <v>16214000</v>
      </c>
      <c r="J1723" s="21"/>
      <c r="K1723" s="22">
        <v>0</v>
      </c>
      <c r="L1723" s="23"/>
      <c r="M1723" s="22">
        <v>0</v>
      </c>
      <c r="N1723" s="74">
        <v>0</v>
      </c>
      <c r="O1723" s="22">
        <v>0</v>
      </c>
      <c r="P1723" s="21">
        <v>16214000</v>
      </c>
      <c r="S1723" s="108" t="b">
        <f>OR(COUNTIF(Tabla2[[#This Row],[PROVEEDOR]],"*"&amp;'Palabra no opera'!$A$2&amp;"*"))</f>
        <v>0</v>
      </c>
      <c r="T1723" s="139">
        <f>+$W$5-Tabla2[[#This Row],[FECHA DE FACTURACIÓN]]</f>
        <v>523</v>
      </c>
      <c r="U1723" t="str">
        <f>+IF(Tabla2[[#This Row],[dias de credito]]&gt;=Tabla2[[#This Row],[PLAZO Días]],"venc", "No venc")</f>
        <v>venc</v>
      </c>
      <c r="V1723" t="str">
        <f>+IF(Tabla2[[#This Row],[FECHA DE PAGO]]&gt;0,"pagada","por pagar")</f>
        <v>pagada</v>
      </c>
      <c r="W1723" s="141" t="str">
        <f>+IF(AND(Tabla2[[#This Row],[venc]]="venc",Tabla2[[#This Row],[Columna1]]="por pagar"),"vencida","no")</f>
        <v>no</v>
      </c>
    </row>
    <row r="1724" spans="1:23" ht="15.6" hidden="1" x14ac:dyDescent="0.3">
      <c r="A1724" s="20">
        <v>30</v>
      </c>
      <c r="B1724" s="25">
        <v>229206</v>
      </c>
      <c r="C1724" s="25"/>
      <c r="D1724" s="56" t="s">
        <v>659</v>
      </c>
      <c r="E1724" s="426">
        <v>44769</v>
      </c>
      <c r="F1724" s="26" t="s">
        <v>95</v>
      </c>
      <c r="G1724" s="426">
        <v>44768</v>
      </c>
      <c r="H1724" s="35" t="s">
        <v>864</v>
      </c>
      <c r="I1724" s="21">
        <v>1793000</v>
      </c>
      <c r="J1724" s="21"/>
      <c r="K1724" s="22">
        <v>0</v>
      </c>
      <c r="L1724" s="23"/>
      <c r="M1724" s="22">
        <v>0</v>
      </c>
      <c r="N1724" s="74">
        <v>0</v>
      </c>
      <c r="O1724" s="22">
        <v>0</v>
      </c>
      <c r="P1724" s="21">
        <v>1793000</v>
      </c>
      <c r="S1724" s="108" t="b">
        <f>OR(COUNTIF(Tabla2[[#This Row],[PROVEEDOR]],"*"&amp;'Palabra no opera'!$A$2&amp;"*"))</f>
        <v>0</v>
      </c>
      <c r="T1724" s="139">
        <f>+$W$5-Tabla2[[#This Row],[FECHA DE FACTURACIÓN]]</f>
        <v>523</v>
      </c>
      <c r="U1724" t="str">
        <f>+IF(Tabla2[[#This Row],[dias de credito]]&gt;=Tabla2[[#This Row],[PLAZO Días]],"venc", "No venc")</f>
        <v>venc</v>
      </c>
      <c r="V1724" t="str">
        <f>+IF(Tabla2[[#This Row],[FECHA DE PAGO]]&gt;0,"pagada","por pagar")</f>
        <v>pagada</v>
      </c>
      <c r="W1724" s="141" t="str">
        <f>+IF(AND(Tabla2[[#This Row],[venc]]="venc",Tabla2[[#This Row],[Columna1]]="por pagar"),"vencida","no")</f>
        <v>no</v>
      </c>
    </row>
    <row r="1725" spans="1:23" ht="15.6" hidden="1" x14ac:dyDescent="0.3">
      <c r="A1725" s="20">
        <v>0</v>
      </c>
      <c r="B1725" s="25">
        <v>0</v>
      </c>
      <c r="C1725" s="25"/>
      <c r="D1725" s="56" t="s">
        <v>834</v>
      </c>
      <c r="E1725" s="426">
        <v>44768</v>
      </c>
      <c r="F1725" s="26" t="s">
        <v>835</v>
      </c>
      <c r="G1725" s="426">
        <v>44764</v>
      </c>
      <c r="H1725" s="35" t="s">
        <v>916</v>
      </c>
      <c r="I1725" s="21">
        <v>1000000</v>
      </c>
      <c r="J1725" s="21"/>
      <c r="K1725" s="22">
        <v>0</v>
      </c>
      <c r="L1725" s="23"/>
      <c r="M1725" s="22">
        <v>0</v>
      </c>
      <c r="N1725" s="74">
        <v>0</v>
      </c>
      <c r="O1725" s="22">
        <v>0</v>
      </c>
      <c r="P1725" s="21">
        <v>1000000</v>
      </c>
      <c r="S1725" s="108" t="b">
        <f>OR(COUNTIF(Tabla2[[#This Row],[PROVEEDOR]],"*"&amp;'Palabra no opera'!$A$2&amp;"*"))</f>
        <v>1</v>
      </c>
      <c r="T1725" s="139">
        <f>+$W$5-Tabla2[[#This Row],[FECHA DE FACTURACIÓN]]</f>
        <v>527</v>
      </c>
      <c r="U1725" t="str">
        <f>+IF(Tabla2[[#This Row],[dias de credito]]&gt;=Tabla2[[#This Row],[PLAZO Días]],"venc", "No venc")</f>
        <v>venc</v>
      </c>
      <c r="V1725" t="str">
        <f>+IF(Tabla2[[#This Row],[FECHA DE PAGO]]&gt;0,"pagada","por pagar")</f>
        <v>pagada</v>
      </c>
      <c r="W1725" s="141" t="str">
        <f>+IF(AND(Tabla2[[#This Row],[venc]]="venc",Tabla2[[#This Row],[Columna1]]="por pagar"),"vencida","no")</f>
        <v>no</v>
      </c>
    </row>
    <row r="1726" spans="1:23" ht="15.6" hidden="1" x14ac:dyDescent="0.3">
      <c r="A1726" s="20">
        <v>30</v>
      </c>
      <c r="B1726" s="25">
        <v>0</v>
      </c>
      <c r="C1726" s="25"/>
      <c r="D1726" s="56" t="s">
        <v>1116</v>
      </c>
      <c r="E1726" s="426">
        <v>44768</v>
      </c>
      <c r="F1726" s="26" t="s">
        <v>638</v>
      </c>
      <c r="G1726" s="426">
        <v>44763</v>
      </c>
      <c r="H1726" s="35" t="s">
        <v>839</v>
      </c>
      <c r="I1726" s="21">
        <v>-2162</v>
      </c>
      <c r="J1726" s="21"/>
      <c r="K1726" s="22">
        <v>-410.78000000000003</v>
      </c>
      <c r="L1726" s="23"/>
      <c r="M1726" s="22">
        <v>0</v>
      </c>
      <c r="N1726" s="74">
        <v>0</v>
      </c>
      <c r="O1726" s="22">
        <v>0</v>
      </c>
      <c r="P1726" s="21">
        <v>-2572.7800000000002</v>
      </c>
      <c r="S1726" s="108" t="b">
        <f>OR(COUNTIF(Tabla2[[#This Row],[PROVEEDOR]],"*"&amp;'Palabra no opera'!$A$2&amp;"*"))</f>
        <v>1</v>
      </c>
      <c r="T1726" s="139">
        <f>+$W$5-Tabla2[[#This Row],[FECHA DE FACTURACIÓN]]</f>
        <v>528</v>
      </c>
      <c r="U1726" t="str">
        <f>+IF(Tabla2[[#This Row],[dias de credito]]&gt;=Tabla2[[#This Row],[PLAZO Días]],"venc", "No venc")</f>
        <v>venc</v>
      </c>
      <c r="V1726" t="str">
        <f>+IF(Tabla2[[#This Row],[FECHA DE PAGO]]&gt;0,"pagada","por pagar")</f>
        <v>pagada</v>
      </c>
      <c r="W1726" s="141" t="str">
        <f>+IF(AND(Tabla2[[#This Row],[venc]]="venc",Tabla2[[#This Row],[Columna1]]="por pagar"),"vencida","no")</f>
        <v>no</v>
      </c>
    </row>
    <row r="1727" spans="1:23" ht="15.6" hidden="1" x14ac:dyDescent="0.3">
      <c r="A1727" s="20">
        <v>30</v>
      </c>
      <c r="B1727" s="25">
        <v>0</v>
      </c>
      <c r="C1727" s="25"/>
      <c r="D1727" s="56" t="s">
        <v>260</v>
      </c>
      <c r="E1727" s="426">
        <v>44768</v>
      </c>
      <c r="F1727" s="26" t="s">
        <v>635</v>
      </c>
      <c r="G1727" s="426">
        <v>44743</v>
      </c>
      <c r="H1727" s="35">
        <v>3724</v>
      </c>
      <c r="I1727" s="21">
        <v>3002200</v>
      </c>
      <c r="J1727" s="21"/>
      <c r="K1727" s="22">
        <v>0</v>
      </c>
      <c r="L1727" s="23"/>
      <c r="M1727" s="22">
        <v>0</v>
      </c>
      <c r="N1727" s="74">
        <v>3.5000000000000003E-2</v>
      </c>
      <c r="O1727" s="22">
        <v>105077.00000000001</v>
      </c>
      <c r="P1727" s="21">
        <v>2897123</v>
      </c>
      <c r="S1727" s="108" t="b">
        <f>OR(COUNTIF(Tabla2[[#This Row],[PROVEEDOR]],"*"&amp;'Palabra no opera'!$A$2&amp;"*"))</f>
        <v>1</v>
      </c>
      <c r="T1727" s="139">
        <f>+$W$5-Tabla2[[#This Row],[FECHA DE FACTURACIÓN]]</f>
        <v>548</v>
      </c>
      <c r="U1727" t="str">
        <f>+IF(Tabla2[[#This Row],[dias de credito]]&gt;=Tabla2[[#This Row],[PLAZO Días]],"venc", "No venc")</f>
        <v>venc</v>
      </c>
      <c r="V1727" t="str">
        <f>+IF(Tabla2[[#This Row],[FECHA DE PAGO]]&gt;0,"pagada","por pagar")</f>
        <v>pagada</v>
      </c>
      <c r="W1727" s="141" t="str">
        <f>+IF(AND(Tabla2[[#This Row],[venc]]="venc",Tabla2[[#This Row],[Columna1]]="por pagar"),"vencida","no")</f>
        <v>no</v>
      </c>
    </row>
    <row r="1728" spans="1:23" ht="15.6" hidden="1" x14ac:dyDescent="0.3">
      <c r="A1728" s="20">
        <v>30</v>
      </c>
      <c r="B1728" s="25">
        <v>0</v>
      </c>
      <c r="C1728" s="25"/>
      <c r="D1728" s="56" t="s">
        <v>1116</v>
      </c>
      <c r="E1728" s="426">
        <v>44768</v>
      </c>
      <c r="F1728" s="26" t="s">
        <v>638</v>
      </c>
      <c r="G1728" s="426">
        <v>44743</v>
      </c>
      <c r="H1728" s="35" t="s">
        <v>788</v>
      </c>
      <c r="I1728" s="21">
        <v>3963422</v>
      </c>
      <c r="J1728" s="21"/>
      <c r="K1728" s="22">
        <v>753050.18</v>
      </c>
      <c r="L1728" s="23"/>
      <c r="M1728" s="22">
        <v>0</v>
      </c>
      <c r="N1728" s="74">
        <v>3.5000000000000003E-2</v>
      </c>
      <c r="O1728" s="22">
        <v>138719.77000000002</v>
      </c>
      <c r="P1728" s="21">
        <v>4577752.41</v>
      </c>
      <c r="S1728" s="108" t="b">
        <f>OR(COUNTIF(Tabla2[[#This Row],[PROVEEDOR]],"*"&amp;'Palabra no opera'!$A$2&amp;"*"))</f>
        <v>1</v>
      </c>
      <c r="T1728" s="139">
        <f>+$W$5-Tabla2[[#This Row],[FECHA DE FACTURACIÓN]]</f>
        <v>548</v>
      </c>
      <c r="U1728" t="str">
        <f>+IF(Tabla2[[#This Row],[dias de credito]]&gt;=Tabla2[[#This Row],[PLAZO Días]],"venc", "No venc")</f>
        <v>venc</v>
      </c>
      <c r="V1728" t="str">
        <f>+IF(Tabla2[[#This Row],[FECHA DE PAGO]]&gt;0,"pagada","por pagar")</f>
        <v>pagada</v>
      </c>
      <c r="W1728" s="141" t="str">
        <f>+IF(AND(Tabla2[[#This Row],[venc]]="venc",Tabla2[[#This Row],[Columna1]]="por pagar"),"vencida","no")</f>
        <v>no</v>
      </c>
    </row>
    <row r="1729" spans="1:23" ht="15.6" hidden="1" x14ac:dyDescent="0.3">
      <c r="A1729" s="20">
        <v>20</v>
      </c>
      <c r="B1729" s="25">
        <v>0</v>
      </c>
      <c r="C1729" s="25"/>
      <c r="D1729" s="56" t="s">
        <v>201</v>
      </c>
      <c r="E1729" s="426">
        <v>44768</v>
      </c>
      <c r="F1729" s="26" t="s">
        <v>652</v>
      </c>
      <c r="G1729" s="426">
        <v>44743</v>
      </c>
      <c r="H1729" s="35">
        <v>43701</v>
      </c>
      <c r="I1729" s="21">
        <v>4730000</v>
      </c>
      <c r="J1729" s="21"/>
      <c r="K1729" s="22">
        <v>898700</v>
      </c>
      <c r="L1729" s="23"/>
      <c r="M1729" s="22">
        <v>0</v>
      </c>
      <c r="N1729" s="74">
        <v>3.5000000000000003E-2</v>
      </c>
      <c r="O1729" s="22">
        <v>165550.00000000003</v>
      </c>
      <c r="P1729" s="21">
        <v>5463150</v>
      </c>
      <c r="S1729" s="108" t="b">
        <f>OR(COUNTIF(Tabla2[[#This Row],[PROVEEDOR]],"*"&amp;'Palabra no opera'!$A$2&amp;"*"))</f>
        <v>1</v>
      </c>
      <c r="T1729" s="139">
        <f>+$W$5-Tabla2[[#This Row],[FECHA DE FACTURACIÓN]]</f>
        <v>548</v>
      </c>
      <c r="U1729" t="str">
        <f>+IF(Tabla2[[#This Row],[dias de credito]]&gt;=Tabla2[[#This Row],[PLAZO Días]],"venc", "No venc")</f>
        <v>venc</v>
      </c>
      <c r="V1729" t="str">
        <f>+IF(Tabla2[[#This Row],[FECHA DE PAGO]]&gt;0,"pagada","por pagar")</f>
        <v>pagada</v>
      </c>
      <c r="W1729" s="141" t="str">
        <f>+IF(AND(Tabla2[[#This Row],[venc]]="venc",Tabla2[[#This Row],[Columna1]]="por pagar"),"vencida","no")</f>
        <v>no</v>
      </c>
    </row>
    <row r="1730" spans="1:23" ht="15.6" hidden="1" x14ac:dyDescent="0.3">
      <c r="A1730" s="20">
        <v>30</v>
      </c>
      <c r="B1730" s="25">
        <v>0</v>
      </c>
      <c r="C1730" s="25"/>
      <c r="D1730" s="56" t="s">
        <v>402</v>
      </c>
      <c r="E1730" s="426">
        <v>44767</v>
      </c>
      <c r="F1730" s="26" t="s">
        <v>403</v>
      </c>
      <c r="G1730" s="426">
        <v>44767</v>
      </c>
      <c r="H1730" s="35" t="s">
        <v>1048</v>
      </c>
      <c r="I1730" s="21">
        <v>-1403000</v>
      </c>
      <c r="J1730" s="21"/>
      <c r="K1730" s="22">
        <v>0</v>
      </c>
      <c r="L1730" s="23"/>
      <c r="M1730" s="22">
        <v>0</v>
      </c>
      <c r="N1730" s="74">
        <v>0</v>
      </c>
      <c r="O1730" s="22">
        <v>0</v>
      </c>
      <c r="P1730" s="21">
        <v>0</v>
      </c>
      <c r="S1730" s="108" t="b">
        <f>OR(COUNTIF(Tabla2[[#This Row],[PROVEEDOR]],"*"&amp;'Palabra no opera'!$A$2&amp;"*"))</f>
        <v>0</v>
      </c>
      <c r="T1730" s="139">
        <f>+$W$5-Tabla2[[#This Row],[FECHA DE FACTURACIÓN]]</f>
        <v>524</v>
      </c>
      <c r="U1730" t="str">
        <f>+IF(Tabla2[[#This Row],[dias de credito]]&gt;=Tabla2[[#This Row],[PLAZO Días]],"venc", "No venc")</f>
        <v>venc</v>
      </c>
      <c r="V1730" t="str">
        <f>+IF(Tabla2[[#This Row],[FECHA DE PAGO]]&gt;0,"pagada","por pagar")</f>
        <v>pagada</v>
      </c>
      <c r="W1730" s="141" t="str">
        <f>+IF(AND(Tabla2[[#This Row],[venc]]="venc",Tabla2[[#This Row],[Columna1]]="por pagar"),"vencida","no")</f>
        <v>no</v>
      </c>
    </row>
    <row r="1731" spans="1:23" ht="15.6" hidden="1" x14ac:dyDescent="0.3">
      <c r="A1731" s="20">
        <v>-1</v>
      </c>
      <c r="B1731" s="25">
        <v>0</v>
      </c>
      <c r="C1731" s="25"/>
      <c r="D1731" s="56" t="s">
        <v>402</v>
      </c>
      <c r="E1731" s="426">
        <v>44767</v>
      </c>
      <c r="F1731" s="26" t="s">
        <v>403</v>
      </c>
      <c r="G1731" s="426">
        <v>44754</v>
      </c>
      <c r="H1731" s="35" t="s">
        <v>1048</v>
      </c>
      <c r="I1731" s="21">
        <v>-1300000</v>
      </c>
      <c r="J1731" s="21"/>
      <c r="K1731" s="22">
        <v>0</v>
      </c>
      <c r="L1731" s="23"/>
      <c r="M1731" s="22">
        <v>0</v>
      </c>
      <c r="N1731" s="74">
        <v>0</v>
      </c>
      <c r="O1731" s="22">
        <v>0</v>
      </c>
      <c r="P1731" s="21">
        <v>0</v>
      </c>
      <c r="S1731" s="108" t="b">
        <f>OR(COUNTIF(Tabla2[[#This Row],[PROVEEDOR]],"*"&amp;'Palabra no opera'!$A$2&amp;"*"))</f>
        <v>0</v>
      </c>
      <c r="T1731" s="139">
        <f>+$W$5-Tabla2[[#This Row],[FECHA DE FACTURACIÓN]]</f>
        <v>537</v>
      </c>
      <c r="U1731" t="str">
        <f>+IF(Tabla2[[#This Row],[dias de credito]]&gt;=Tabla2[[#This Row],[PLAZO Días]],"venc", "No venc")</f>
        <v>venc</v>
      </c>
      <c r="V1731" t="str">
        <f>+IF(Tabla2[[#This Row],[FECHA DE PAGO]]&gt;0,"pagada","por pagar")</f>
        <v>pagada</v>
      </c>
      <c r="W1731" s="141" t="str">
        <f>+IF(AND(Tabla2[[#This Row],[venc]]="venc",Tabla2[[#This Row],[Columna1]]="por pagar"),"vencida","no")</f>
        <v>no</v>
      </c>
    </row>
    <row r="1732" spans="1:23" ht="15.6" hidden="1" x14ac:dyDescent="0.3">
      <c r="A1732" s="20">
        <v>30</v>
      </c>
      <c r="B1732" s="25">
        <v>0</v>
      </c>
      <c r="C1732" s="25"/>
      <c r="D1732" s="56" t="s">
        <v>107</v>
      </c>
      <c r="E1732" s="426">
        <v>44767</v>
      </c>
      <c r="F1732" s="26" t="s">
        <v>401</v>
      </c>
      <c r="G1732" s="426">
        <v>44735</v>
      </c>
      <c r="H1732" s="35" t="s">
        <v>796</v>
      </c>
      <c r="I1732" s="21">
        <v>725000</v>
      </c>
      <c r="J1732" s="21"/>
      <c r="K1732" s="22">
        <v>0</v>
      </c>
      <c r="L1732" s="23"/>
      <c r="M1732" s="22">
        <v>0</v>
      </c>
      <c r="N1732" s="74">
        <v>0</v>
      </c>
      <c r="O1732" s="22">
        <v>0</v>
      </c>
      <c r="P1732" s="21">
        <v>725000</v>
      </c>
      <c r="S1732" s="108" t="b">
        <f>OR(COUNTIF(Tabla2[[#This Row],[PROVEEDOR]],"*"&amp;'Palabra no opera'!$A$2&amp;"*"))</f>
        <v>0</v>
      </c>
      <c r="T1732" s="139">
        <f>+$W$5-Tabla2[[#This Row],[FECHA DE FACTURACIÓN]]</f>
        <v>556</v>
      </c>
      <c r="U1732" t="str">
        <f>+IF(Tabla2[[#This Row],[dias de credito]]&gt;=Tabla2[[#This Row],[PLAZO Días]],"venc", "No venc")</f>
        <v>venc</v>
      </c>
      <c r="V1732" t="str">
        <f>+IF(Tabla2[[#This Row],[FECHA DE PAGO]]&gt;0,"pagada","por pagar")</f>
        <v>pagada</v>
      </c>
      <c r="W1732" s="141" t="str">
        <f>+IF(AND(Tabla2[[#This Row],[venc]]="venc",Tabla2[[#This Row],[Columna1]]="por pagar"),"vencida","no")</f>
        <v>no</v>
      </c>
    </row>
    <row r="1733" spans="1:23" ht="15.6" hidden="1" x14ac:dyDescent="0.3">
      <c r="A1733" s="20">
        <v>30</v>
      </c>
      <c r="B1733" s="25">
        <v>0</v>
      </c>
      <c r="C1733" s="25"/>
      <c r="D1733" s="56" t="s">
        <v>402</v>
      </c>
      <c r="E1733" s="426">
        <v>44767</v>
      </c>
      <c r="F1733" s="26" t="s">
        <v>403</v>
      </c>
      <c r="G1733" s="426">
        <v>44713</v>
      </c>
      <c r="H1733" s="35" t="s">
        <v>1040</v>
      </c>
      <c r="I1733" s="21">
        <v>2703000</v>
      </c>
      <c r="J1733" s="21"/>
      <c r="K1733" s="22">
        <v>0</v>
      </c>
      <c r="L1733" s="23"/>
      <c r="M1733" s="22">
        <v>0</v>
      </c>
      <c r="N1733" s="74">
        <v>0</v>
      </c>
      <c r="O1733" s="22">
        <v>0</v>
      </c>
      <c r="P1733" s="21">
        <v>2703000</v>
      </c>
      <c r="S1733" s="108" t="b">
        <f>OR(COUNTIF(Tabla2[[#This Row],[PROVEEDOR]],"*"&amp;'Palabra no opera'!$A$2&amp;"*"))</f>
        <v>0</v>
      </c>
      <c r="T1733" s="139">
        <f>+$W$5-Tabla2[[#This Row],[FECHA DE FACTURACIÓN]]</f>
        <v>578</v>
      </c>
      <c r="U1733" t="str">
        <f>+IF(Tabla2[[#This Row],[dias de credito]]&gt;=Tabla2[[#This Row],[PLAZO Días]],"venc", "No venc")</f>
        <v>venc</v>
      </c>
      <c r="V1733" t="str">
        <f>+IF(Tabla2[[#This Row],[FECHA DE PAGO]]&gt;0,"pagada","por pagar")</f>
        <v>pagada</v>
      </c>
      <c r="W1733" s="141" t="str">
        <f>+IF(AND(Tabla2[[#This Row],[venc]]="venc",Tabla2[[#This Row],[Columna1]]="por pagar"),"vencida","no")</f>
        <v>no</v>
      </c>
    </row>
    <row r="1734" spans="1:23" ht="15.6" hidden="1" x14ac:dyDescent="0.3">
      <c r="A1734" s="20">
        <v>30</v>
      </c>
      <c r="B1734" s="25">
        <v>380979.69</v>
      </c>
      <c r="C1734" s="25"/>
      <c r="D1734" s="56" t="s">
        <v>296</v>
      </c>
      <c r="E1734" s="426">
        <v>44766</v>
      </c>
      <c r="F1734" s="26" t="s">
        <v>615</v>
      </c>
      <c r="G1734" s="426">
        <v>44705</v>
      </c>
      <c r="H1734" s="35" t="s">
        <v>702</v>
      </c>
      <c r="I1734" s="21">
        <v>6739831</v>
      </c>
      <c r="J1734" s="21"/>
      <c r="K1734" s="22">
        <v>1280567.8900000001</v>
      </c>
      <c r="L1734" s="23"/>
      <c r="M1734" s="22">
        <v>0</v>
      </c>
      <c r="N1734" s="74">
        <v>0</v>
      </c>
      <c r="O1734" s="22">
        <v>0</v>
      </c>
      <c r="P1734" s="21">
        <v>8020398.8900000006</v>
      </c>
      <c r="S1734" s="108" t="b">
        <f>OR(COUNTIF(Tabla2[[#This Row],[PROVEEDOR]],"*"&amp;'Palabra no opera'!$A$2&amp;"*"))</f>
        <v>1</v>
      </c>
      <c r="T1734" s="139">
        <f>+$W$5-Tabla2[[#This Row],[FECHA DE FACTURACIÓN]]</f>
        <v>586</v>
      </c>
      <c r="U1734" t="str">
        <f>+IF(Tabla2[[#This Row],[dias de credito]]&gt;=Tabla2[[#This Row],[PLAZO Días]],"venc", "No venc")</f>
        <v>venc</v>
      </c>
      <c r="V1734" t="str">
        <f>+IF(Tabla2[[#This Row],[FECHA DE PAGO]]&gt;0,"pagada","por pagar")</f>
        <v>pagada</v>
      </c>
      <c r="W1734" s="141" t="str">
        <f>+IF(AND(Tabla2[[#This Row],[venc]]="venc",Tabla2[[#This Row],[Columna1]]="por pagar"),"vencida","no")</f>
        <v>no</v>
      </c>
    </row>
    <row r="1735" spans="1:23" ht="15.6" hidden="1" x14ac:dyDescent="0.3">
      <c r="A1735" s="20">
        <v>30</v>
      </c>
      <c r="B1735" s="25">
        <v>0</v>
      </c>
      <c r="C1735" s="25"/>
      <c r="D1735" s="56" t="s">
        <v>107</v>
      </c>
      <c r="E1735" s="426">
        <v>44764</v>
      </c>
      <c r="F1735" s="26" t="s">
        <v>836</v>
      </c>
      <c r="G1735" s="426">
        <v>44764</v>
      </c>
      <c r="H1735" s="35"/>
      <c r="I1735" s="21">
        <v>1000000</v>
      </c>
      <c r="J1735" s="21"/>
      <c r="K1735" s="22">
        <v>0</v>
      </c>
      <c r="L1735" s="23"/>
      <c r="M1735" s="22">
        <v>0</v>
      </c>
      <c r="N1735" s="74">
        <v>0</v>
      </c>
      <c r="O1735" s="22">
        <v>0</v>
      </c>
      <c r="P1735" s="21">
        <v>1000000</v>
      </c>
      <c r="S1735" s="108" t="b">
        <f>OR(COUNTIF(Tabla2[[#This Row],[PROVEEDOR]],"*"&amp;'Palabra no opera'!$A$2&amp;"*"))</f>
        <v>0</v>
      </c>
      <c r="T1735" s="139">
        <f>+$W$5-Tabla2[[#This Row],[FECHA DE FACTURACIÓN]]</f>
        <v>527</v>
      </c>
      <c r="U1735" t="str">
        <f>+IF(Tabla2[[#This Row],[dias de credito]]&gt;=Tabla2[[#This Row],[PLAZO Días]],"venc", "No venc")</f>
        <v>venc</v>
      </c>
      <c r="V1735" t="str">
        <f>+IF(Tabla2[[#This Row],[FECHA DE PAGO]]&gt;0,"pagada","por pagar")</f>
        <v>pagada</v>
      </c>
      <c r="W1735" s="141" t="str">
        <f>+IF(AND(Tabla2[[#This Row],[venc]]="venc",Tabla2[[#This Row],[Columna1]]="por pagar"),"vencida","no")</f>
        <v>no</v>
      </c>
    </row>
    <row r="1736" spans="1:23" ht="15.6" hidden="1" x14ac:dyDescent="0.3">
      <c r="A1736" s="20">
        <v>30</v>
      </c>
      <c r="B1736" s="25">
        <v>0</v>
      </c>
      <c r="C1736" s="25"/>
      <c r="D1736" s="56" t="s">
        <v>942</v>
      </c>
      <c r="E1736" s="426">
        <v>44764</v>
      </c>
      <c r="F1736" s="26" t="s">
        <v>21</v>
      </c>
      <c r="G1736" s="426">
        <v>44764</v>
      </c>
      <c r="H1736" s="35">
        <v>22710</v>
      </c>
      <c r="I1736" s="21">
        <v>188235</v>
      </c>
      <c r="J1736" s="21"/>
      <c r="K1736" s="22">
        <v>35764.65</v>
      </c>
      <c r="L1736" s="23"/>
      <c r="M1736" s="22">
        <v>0</v>
      </c>
      <c r="N1736" s="74">
        <v>0</v>
      </c>
      <c r="O1736" s="22">
        <v>0</v>
      </c>
      <c r="P1736" s="21">
        <v>223999.65</v>
      </c>
      <c r="S1736" s="108" t="b">
        <f>OR(COUNTIF(Tabla2[[#This Row],[PROVEEDOR]],"*"&amp;'Palabra no opera'!$A$2&amp;"*"))</f>
        <v>0</v>
      </c>
      <c r="T1736" s="139">
        <f>+$W$5-Tabla2[[#This Row],[FECHA DE FACTURACIÓN]]</f>
        <v>527</v>
      </c>
      <c r="U1736" t="str">
        <f>+IF(Tabla2[[#This Row],[dias de credito]]&gt;=Tabla2[[#This Row],[PLAZO Días]],"venc", "No venc")</f>
        <v>venc</v>
      </c>
      <c r="V1736" t="str">
        <f>+IF(Tabla2[[#This Row],[FECHA DE PAGO]]&gt;0,"pagada","por pagar")</f>
        <v>pagada</v>
      </c>
      <c r="W1736" s="141" t="str">
        <f>+IF(AND(Tabla2[[#This Row],[venc]]="venc",Tabla2[[#This Row],[Columna1]]="por pagar"),"vencida","no")</f>
        <v>no</v>
      </c>
    </row>
    <row r="1737" spans="1:23" ht="15.6" hidden="1" x14ac:dyDescent="0.3">
      <c r="A1737" s="20">
        <v>0</v>
      </c>
      <c r="B1737" s="25">
        <v>0</v>
      </c>
      <c r="C1737" s="25"/>
      <c r="D1737" s="56" t="s">
        <v>834</v>
      </c>
      <c r="E1737" s="426">
        <v>44764</v>
      </c>
      <c r="F1737" s="26" t="s">
        <v>835</v>
      </c>
      <c r="G1737" s="426">
        <v>44764</v>
      </c>
      <c r="H1737" s="35" t="s">
        <v>915</v>
      </c>
      <c r="I1737" s="21">
        <v>1000000</v>
      </c>
      <c r="J1737" s="21"/>
      <c r="K1737" s="22">
        <v>0</v>
      </c>
      <c r="L1737" s="23"/>
      <c r="M1737" s="22">
        <v>0</v>
      </c>
      <c r="N1737" s="74">
        <v>0</v>
      </c>
      <c r="O1737" s="22">
        <v>0</v>
      </c>
      <c r="P1737" s="21">
        <v>1000000</v>
      </c>
      <c r="S1737" s="108" t="b">
        <f>OR(COUNTIF(Tabla2[[#This Row],[PROVEEDOR]],"*"&amp;'Palabra no opera'!$A$2&amp;"*"))</f>
        <v>1</v>
      </c>
      <c r="T1737" s="139">
        <f>+$W$5-Tabla2[[#This Row],[FECHA DE FACTURACIÓN]]</f>
        <v>527</v>
      </c>
      <c r="U1737" t="str">
        <f>+IF(Tabla2[[#This Row],[dias de credito]]&gt;=Tabla2[[#This Row],[PLAZO Días]],"venc", "No venc")</f>
        <v>venc</v>
      </c>
      <c r="V1737" t="str">
        <f>+IF(Tabla2[[#This Row],[FECHA DE PAGO]]&gt;0,"pagada","por pagar")</f>
        <v>pagada</v>
      </c>
      <c r="W1737" s="141" t="str">
        <f>+IF(AND(Tabla2[[#This Row],[venc]]="venc",Tabla2[[#This Row],[Columna1]]="por pagar"),"vencida","no")</f>
        <v>no</v>
      </c>
    </row>
    <row r="1738" spans="1:23" ht="15.6" hidden="1" x14ac:dyDescent="0.3">
      <c r="A1738" s="20">
        <v>30</v>
      </c>
      <c r="B1738" s="25">
        <v>12030261.305</v>
      </c>
      <c r="C1738" s="25"/>
      <c r="D1738" s="56" t="s">
        <v>179</v>
      </c>
      <c r="E1738" s="426">
        <v>44764</v>
      </c>
      <c r="F1738" s="26" t="s">
        <v>12</v>
      </c>
      <c r="G1738" s="426">
        <v>44764</v>
      </c>
      <c r="H1738" s="35" t="s">
        <v>823</v>
      </c>
      <c r="I1738" s="21">
        <v>-17364244</v>
      </c>
      <c r="J1738" s="21"/>
      <c r="K1738" s="22">
        <v>0</v>
      </c>
      <c r="L1738" s="23"/>
      <c r="M1738" s="22">
        <v>0</v>
      </c>
      <c r="N1738" s="74">
        <v>0</v>
      </c>
      <c r="O1738" s="22">
        <v>0</v>
      </c>
      <c r="P1738" s="21">
        <v>0</v>
      </c>
      <c r="S1738" s="108" t="b">
        <f>OR(COUNTIF(Tabla2[[#This Row],[PROVEEDOR]],"*"&amp;'Palabra no opera'!$A$2&amp;"*"))</f>
        <v>0</v>
      </c>
      <c r="T1738" s="139">
        <f>+$W$5-Tabla2[[#This Row],[FECHA DE FACTURACIÓN]]</f>
        <v>527</v>
      </c>
      <c r="U1738" t="str">
        <f>+IF(Tabla2[[#This Row],[dias de credito]]&gt;=Tabla2[[#This Row],[PLAZO Días]],"venc", "No venc")</f>
        <v>venc</v>
      </c>
      <c r="V1738" t="str">
        <f>+IF(Tabla2[[#This Row],[FECHA DE PAGO]]&gt;0,"pagada","por pagar")</f>
        <v>pagada</v>
      </c>
      <c r="W1738" s="141" t="str">
        <f>+IF(AND(Tabla2[[#This Row],[venc]]="venc",Tabla2[[#This Row],[Columna1]]="por pagar"),"vencida","no")</f>
        <v>no</v>
      </c>
    </row>
    <row r="1739" spans="1:23" ht="15.6" hidden="1" x14ac:dyDescent="0.3">
      <c r="A1739" s="20">
        <v>30</v>
      </c>
      <c r="B1739" s="25">
        <v>0</v>
      </c>
      <c r="C1739" s="25"/>
      <c r="D1739" s="56" t="s">
        <v>237</v>
      </c>
      <c r="E1739" s="426">
        <v>44764</v>
      </c>
      <c r="F1739" s="26" t="s">
        <v>56</v>
      </c>
      <c r="G1739" s="426">
        <v>44763</v>
      </c>
      <c r="H1739" s="35">
        <v>12047</v>
      </c>
      <c r="I1739" s="21">
        <v>482447</v>
      </c>
      <c r="J1739" s="21"/>
      <c r="K1739" s="22">
        <v>91664.930000000008</v>
      </c>
      <c r="L1739" s="23"/>
      <c r="M1739" s="22">
        <v>0</v>
      </c>
      <c r="N1739" s="74">
        <v>0</v>
      </c>
      <c r="O1739" s="22">
        <v>0</v>
      </c>
      <c r="P1739" s="21">
        <v>574111.93000000005</v>
      </c>
      <c r="S1739" s="108" t="b">
        <f>OR(COUNTIF(Tabla2[[#This Row],[PROVEEDOR]],"*"&amp;'Palabra no opera'!$A$2&amp;"*"))</f>
        <v>0</v>
      </c>
      <c r="T1739" s="139">
        <f>+$W$5-Tabla2[[#This Row],[FECHA DE FACTURACIÓN]]</f>
        <v>528</v>
      </c>
      <c r="U1739" t="str">
        <f>+IF(Tabla2[[#This Row],[dias de credito]]&gt;=Tabla2[[#This Row],[PLAZO Días]],"venc", "No venc")</f>
        <v>venc</v>
      </c>
      <c r="V1739" t="str">
        <f>+IF(Tabla2[[#This Row],[FECHA DE PAGO]]&gt;0,"pagada","por pagar")</f>
        <v>pagada</v>
      </c>
      <c r="W1739" s="141" t="str">
        <f>+IF(AND(Tabla2[[#This Row],[venc]]="venc",Tabla2[[#This Row],[Columna1]]="por pagar"),"vencida","no")</f>
        <v>no</v>
      </c>
    </row>
    <row r="1740" spans="1:23" ht="15.6" hidden="1" x14ac:dyDescent="0.3">
      <c r="A1740" s="20">
        <v>-1</v>
      </c>
      <c r="B1740" s="25">
        <v>12030261.305</v>
      </c>
      <c r="C1740" s="25"/>
      <c r="D1740" s="56" t="s">
        <v>179</v>
      </c>
      <c r="E1740" s="426">
        <v>44764</v>
      </c>
      <c r="F1740" s="26" t="s">
        <v>12</v>
      </c>
      <c r="G1740" s="426">
        <v>44758</v>
      </c>
      <c r="H1740" s="35" t="s">
        <v>823</v>
      </c>
      <c r="I1740" s="21">
        <v>-9000000</v>
      </c>
      <c r="J1740" s="21"/>
      <c r="K1740" s="22">
        <v>0</v>
      </c>
      <c r="L1740" s="23"/>
      <c r="M1740" s="22">
        <v>0</v>
      </c>
      <c r="N1740" s="74">
        <v>0</v>
      </c>
      <c r="O1740" s="22">
        <v>0</v>
      </c>
      <c r="P1740" s="21">
        <v>0</v>
      </c>
      <c r="S1740" s="108" t="b">
        <f>OR(COUNTIF(Tabla2[[#This Row],[PROVEEDOR]],"*"&amp;'Palabra no opera'!$A$2&amp;"*"))</f>
        <v>0</v>
      </c>
      <c r="T1740" s="139">
        <f>+$W$5-Tabla2[[#This Row],[FECHA DE FACTURACIÓN]]</f>
        <v>533</v>
      </c>
      <c r="U1740" t="str">
        <f>+IF(Tabla2[[#This Row],[dias de credito]]&gt;=Tabla2[[#This Row],[PLAZO Días]],"venc", "No venc")</f>
        <v>venc</v>
      </c>
      <c r="V1740" t="str">
        <f>+IF(Tabla2[[#This Row],[FECHA DE PAGO]]&gt;0,"pagada","por pagar")</f>
        <v>pagada</v>
      </c>
      <c r="W1740" s="141" t="str">
        <f>+IF(AND(Tabla2[[#This Row],[venc]]="venc",Tabla2[[#This Row],[Columna1]]="por pagar"),"vencida","no")</f>
        <v>no</v>
      </c>
    </row>
    <row r="1741" spans="1:23" ht="15.6" hidden="1" x14ac:dyDescent="0.3">
      <c r="A1741" s="20">
        <v>30</v>
      </c>
      <c r="B1741" s="25">
        <v>0</v>
      </c>
      <c r="C1741" s="25"/>
      <c r="D1741" s="56" t="s">
        <v>176</v>
      </c>
      <c r="E1741" s="426">
        <v>44764</v>
      </c>
      <c r="F1741" s="26" t="s">
        <v>966</v>
      </c>
      <c r="G1741" s="426">
        <v>44754</v>
      </c>
      <c r="H1741" s="35">
        <v>354</v>
      </c>
      <c r="I1741" s="21">
        <v>303000</v>
      </c>
      <c r="J1741" s="21"/>
      <c r="K1741" s="22">
        <v>0</v>
      </c>
      <c r="L1741" s="23"/>
      <c r="M1741" s="22">
        <v>0</v>
      </c>
      <c r="N1741" s="74">
        <v>0</v>
      </c>
      <c r="O1741" s="22">
        <v>0</v>
      </c>
      <c r="P1741" s="21">
        <v>303000</v>
      </c>
      <c r="S1741" s="108" t="b">
        <f>OR(COUNTIF(Tabla2[[#This Row],[PROVEEDOR]],"*"&amp;'Palabra no opera'!$A$2&amp;"*"))</f>
        <v>0</v>
      </c>
      <c r="T1741" s="139">
        <f>+$W$5-Tabla2[[#This Row],[FECHA DE FACTURACIÓN]]</f>
        <v>537</v>
      </c>
      <c r="U1741" t="str">
        <f>+IF(Tabla2[[#This Row],[dias de credito]]&gt;=Tabla2[[#This Row],[PLAZO Días]],"venc", "No venc")</f>
        <v>venc</v>
      </c>
      <c r="V1741" t="str">
        <f>+IF(Tabla2[[#This Row],[FECHA DE PAGO]]&gt;0,"pagada","por pagar")</f>
        <v>pagada</v>
      </c>
      <c r="W1741" s="141" t="str">
        <f>+IF(AND(Tabla2[[#This Row],[venc]]="venc",Tabla2[[#This Row],[Columna1]]="por pagar"),"vencida","no")</f>
        <v>no</v>
      </c>
    </row>
    <row r="1742" spans="1:23" ht="15.6" hidden="1" x14ac:dyDescent="0.3">
      <c r="A1742" s="20">
        <v>30</v>
      </c>
      <c r="B1742" s="25">
        <v>0</v>
      </c>
      <c r="C1742" s="25"/>
      <c r="D1742" s="56" t="s">
        <v>176</v>
      </c>
      <c r="E1742" s="426">
        <v>44764</v>
      </c>
      <c r="F1742" s="26" t="s">
        <v>967</v>
      </c>
      <c r="G1742" s="426">
        <v>44754</v>
      </c>
      <c r="H1742" s="35">
        <v>247</v>
      </c>
      <c r="I1742" s="21">
        <v>300000</v>
      </c>
      <c r="J1742" s="21"/>
      <c r="K1742" s="22">
        <v>0</v>
      </c>
      <c r="L1742" s="23"/>
      <c r="M1742" s="22">
        <v>0</v>
      </c>
      <c r="N1742" s="74">
        <v>0.01</v>
      </c>
      <c r="O1742" s="22">
        <v>3000</v>
      </c>
      <c r="P1742" s="21">
        <v>297000</v>
      </c>
      <c r="S1742" s="108" t="b">
        <f>OR(COUNTIF(Tabla2[[#This Row],[PROVEEDOR]],"*"&amp;'Palabra no opera'!$A$2&amp;"*"))</f>
        <v>0</v>
      </c>
      <c r="T1742" s="139">
        <f>+$W$5-Tabla2[[#This Row],[FECHA DE FACTURACIÓN]]</f>
        <v>537</v>
      </c>
      <c r="U1742" t="str">
        <f>+IF(Tabla2[[#This Row],[dias de credito]]&gt;=Tabla2[[#This Row],[PLAZO Días]],"venc", "No venc")</f>
        <v>venc</v>
      </c>
      <c r="V1742" t="str">
        <f>+IF(Tabla2[[#This Row],[FECHA DE PAGO]]&gt;0,"pagada","por pagar")</f>
        <v>pagada</v>
      </c>
      <c r="W1742" s="141" t="str">
        <f>+IF(AND(Tabla2[[#This Row],[venc]]="venc",Tabla2[[#This Row],[Columna1]]="por pagar"),"vencida","no")</f>
        <v>no</v>
      </c>
    </row>
    <row r="1743" spans="1:23" ht="15.6" hidden="1" x14ac:dyDescent="0.3">
      <c r="A1743" s="20">
        <v>30</v>
      </c>
      <c r="B1743" s="25">
        <v>1316890.8900000001</v>
      </c>
      <c r="C1743" s="25"/>
      <c r="D1743" s="56" t="s">
        <v>188</v>
      </c>
      <c r="E1743" s="426">
        <v>44764</v>
      </c>
      <c r="F1743" s="26" t="s">
        <v>17</v>
      </c>
      <c r="G1743" s="426">
        <v>44748</v>
      </c>
      <c r="H1743" s="35">
        <v>1936697</v>
      </c>
      <c r="I1743" s="21">
        <v>978238</v>
      </c>
      <c r="J1743" s="21"/>
      <c r="K1743" s="22">
        <v>185865.22</v>
      </c>
      <c r="L1743" s="23"/>
      <c r="M1743" s="22">
        <v>0</v>
      </c>
      <c r="N1743" s="74">
        <v>0</v>
      </c>
      <c r="O1743" s="22">
        <v>0</v>
      </c>
      <c r="P1743" s="21">
        <v>1164103.22</v>
      </c>
      <c r="S1743" s="108" t="b">
        <f>OR(COUNTIF(Tabla2[[#This Row],[PROVEEDOR]],"*"&amp;'Palabra no opera'!$A$2&amp;"*"))</f>
        <v>0</v>
      </c>
      <c r="T1743" s="139">
        <f>+$W$5-Tabla2[[#This Row],[FECHA DE FACTURACIÓN]]</f>
        <v>543</v>
      </c>
      <c r="U1743" t="str">
        <f>+IF(Tabla2[[#This Row],[dias de credito]]&gt;=Tabla2[[#This Row],[PLAZO Días]],"venc", "No venc")</f>
        <v>venc</v>
      </c>
      <c r="V1743" t="str">
        <f>+IF(Tabla2[[#This Row],[FECHA DE PAGO]]&gt;0,"pagada","por pagar")</f>
        <v>pagada</v>
      </c>
      <c r="W1743" s="141" t="str">
        <f>+IF(AND(Tabla2[[#This Row],[venc]]="venc",Tabla2[[#This Row],[Columna1]]="por pagar"),"vencida","no")</f>
        <v>no</v>
      </c>
    </row>
    <row r="1744" spans="1:23" ht="15.6" hidden="1" x14ac:dyDescent="0.3">
      <c r="A1744" s="20">
        <v>30</v>
      </c>
      <c r="B1744" s="25">
        <v>0</v>
      </c>
      <c r="C1744" s="25"/>
      <c r="D1744" s="56" t="s">
        <v>176</v>
      </c>
      <c r="E1744" s="426">
        <v>44764</v>
      </c>
      <c r="F1744" s="26" t="s">
        <v>967</v>
      </c>
      <c r="G1744" s="426">
        <v>44729</v>
      </c>
      <c r="H1744" s="35" t="s">
        <v>759</v>
      </c>
      <c r="I1744" s="21">
        <v>-78000</v>
      </c>
      <c r="J1744" s="21"/>
      <c r="K1744" s="22">
        <v>0</v>
      </c>
      <c r="L1744" s="23"/>
      <c r="M1744" s="22">
        <v>0</v>
      </c>
      <c r="N1744" s="74">
        <v>0</v>
      </c>
      <c r="O1744" s="22">
        <v>0</v>
      </c>
      <c r="P1744" s="21">
        <v>-78000</v>
      </c>
      <c r="S1744" s="108" t="b">
        <f>OR(COUNTIF(Tabla2[[#This Row],[PROVEEDOR]],"*"&amp;'Palabra no opera'!$A$2&amp;"*"))</f>
        <v>0</v>
      </c>
      <c r="T1744" s="139">
        <f>+$W$5-Tabla2[[#This Row],[FECHA DE FACTURACIÓN]]</f>
        <v>562</v>
      </c>
      <c r="U1744" t="str">
        <f>+IF(Tabla2[[#This Row],[dias de credito]]&gt;=Tabla2[[#This Row],[PLAZO Días]],"venc", "No venc")</f>
        <v>venc</v>
      </c>
      <c r="V1744" t="str">
        <f>+IF(Tabla2[[#This Row],[FECHA DE PAGO]]&gt;0,"pagada","por pagar")</f>
        <v>pagada</v>
      </c>
      <c r="W1744" s="141" t="str">
        <f>+IF(AND(Tabla2[[#This Row],[venc]]="venc",Tabla2[[#This Row],[Columna1]]="por pagar"),"vencida","no")</f>
        <v>no</v>
      </c>
    </row>
    <row r="1745" spans="1:23" ht="15.6" hidden="1" x14ac:dyDescent="0.3">
      <c r="A1745" s="20">
        <v>30</v>
      </c>
      <c r="B1745" s="25">
        <v>0</v>
      </c>
      <c r="C1745" s="25"/>
      <c r="D1745" s="56" t="s">
        <v>190</v>
      </c>
      <c r="E1745" s="426">
        <v>44764</v>
      </c>
      <c r="F1745" s="26" t="s">
        <v>964</v>
      </c>
      <c r="G1745" s="426">
        <v>44728</v>
      </c>
      <c r="H1745" s="35">
        <v>32033</v>
      </c>
      <c r="I1745" s="21">
        <v>1841400</v>
      </c>
      <c r="J1745" s="21"/>
      <c r="K1745" s="22">
        <v>349866</v>
      </c>
      <c r="L1745" s="23"/>
      <c r="M1745" s="22">
        <v>0</v>
      </c>
      <c r="N1745" s="74">
        <v>2.5000000000000001E-2</v>
      </c>
      <c r="O1745" s="22">
        <v>46035</v>
      </c>
      <c r="P1745" s="21">
        <v>2145231</v>
      </c>
      <c r="S1745" s="108" t="b">
        <f>OR(COUNTIF(Tabla2[[#This Row],[PROVEEDOR]],"*"&amp;'Palabra no opera'!$A$2&amp;"*"))</f>
        <v>0</v>
      </c>
      <c r="T1745" s="139">
        <f>+$W$5-Tabla2[[#This Row],[FECHA DE FACTURACIÓN]]</f>
        <v>563</v>
      </c>
      <c r="U1745" t="str">
        <f>+IF(Tabla2[[#This Row],[dias de credito]]&gt;=Tabla2[[#This Row],[PLAZO Días]],"venc", "No venc")</f>
        <v>venc</v>
      </c>
      <c r="V1745" t="str">
        <f>+IF(Tabla2[[#This Row],[FECHA DE PAGO]]&gt;0,"pagada","por pagar")</f>
        <v>pagada</v>
      </c>
      <c r="W1745" s="141" t="str">
        <f>+IF(AND(Tabla2[[#This Row],[venc]]="venc",Tabla2[[#This Row],[Columna1]]="por pagar"),"vencida","no")</f>
        <v>no</v>
      </c>
    </row>
    <row r="1746" spans="1:23" ht="15.6" hidden="1" x14ac:dyDescent="0.3">
      <c r="A1746" s="20">
        <v>30</v>
      </c>
      <c r="B1746" s="25">
        <v>0</v>
      </c>
      <c r="C1746" s="25"/>
      <c r="D1746" s="56" t="s">
        <v>176</v>
      </c>
      <c r="E1746" s="426">
        <v>44764</v>
      </c>
      <c r="F1746" s="26" t="s">
        <v>966</v>
      </c>
      <c r="G1746" s="426">
        <v>44727</v>
      </c>
      <c r="H1746" s="35" t="s">
        <v>756</v>
      </c>
      <c r="I1746" s="21">
        <v>5000</v>
      </c>
      <c r="J1746" s="21"/>
      <c r="K1746" s="22">
        <v>0</v>
      </c>
      <c r="L1746" s="23"/>
      <c r="M1746" s="22">
        <v>0</v>
      </c>
      <c r="N1746" s="74">
        <v>0</v>
      </c>
      <c r="O1746" s="22">
        <v>0</v>
      </c>
      <c r="P1746" s="21">
        <v>5000</v>
      </c>
      <c r="S1746" s="108" t="b">
        <f>OR(COUNTIF(Tabla2[[#This Row],[PROVEEDOR]],"*"&amp;'Palabra no opera'!$A$2&amp;"*"))</f>
        <v>0</v>
      </c>
      <c r="T1746" s="139">
        <f>+$W$5-Tabla2[[#This Row],[FECHA DE FACTURACIÓN]]</f>
        <v>564</v>
      </c>
      <c r="U1746" t="str">
        <f>+IF(Tabla2[[#This Row],[dias de credito]]&gt;=Tabla2[[#This Row],[PLAZO Días]],"venc", "No venc")</f>
        <v>venc</v>
      </c>
      <c r="V1746" t="str">
        <f>+IF(Tabla2[[#This Row],[FECHA DE PAGO]]&gt;0,"pagada","por pagar")</f>
        <v>pagada</v>
      </c>
      <c r="W1746" s="141" t="str">
        <f>+IF(AND(Tabla2[[#This Row],[venc]]="venc",Tabla2[[#This Row],[Columna1]]="por pagar"),"vencida","no")</f>
        <v>no</v>
      </c>
    </row>
    <row r="1747" spans="1:23" ht="15.6" hidden="1" x14ac:dyDescent="0.3">
      <c r="A1747" s="20">
        <v>30</v>
      </c>
      <c r="B1747" s="25">
        <v>0</v>
      </c>
      <c r="C1747" s="25"/>
      <c r="D1747" s="56" t="s">
        <v>175</v>
      </c>
      <c r="E1747" s="426">
        <v>44764</v>
      </c>
      <c r="F1747" s="26" t="s">
        <v>49</v>
      </c>
      <c r="G1747" s="426">
        <v>44726</v>
      </c>
      <c r="H1747" s="35">
        <v>7440</v>
      </c>
      <c r="I1747" s="21">
        <v>546218</v>
      </c>
      <c r="J1747" s="21"/>
      <c r="K1747" s="22">
        <v>103781.42</v>
      </c>
      <c r="L1747" s="23"/>
      <c r="M1747" s="22">
        <v>0</v>
      </c>
      <c r="N1747" s="74">
        <v>0</v>
      </c>
      <c r="O1747" s="22">
        <v>0</v>
      </c>
      <c r="P1747" s="21">
        <v>649999.42000000004</v>
      </c>
      <c r="S1747" s="108" t="b">
        <f>OR(COUNTIF(Tabla2[[#This Row],[PROVEEDOR]],"*"&amp;'Palabra no opera'!$A$2&amp;"*"))</f>
        <v>0</v>
      </c>
      <c r="T1747" s="139">
        <f>+$W$5-Tabla2[[#This Row],[FECHA DE FACTURACIÓN]]</f>
        <v>565</v>
      </c>
      <c r="U1747" t="str">
        <f>+IF(Tabla2[[#This Row],[dias de credito]]&gt;=Tabla2[[#This Row],[PLAZO Días]],"venc", "No venc")</f>
        <v>venc</v>
      </c>
      <c r="V1747" t="str">
        <f>+IF(Tabla2[[#This Row],[FECHA DE PAGO]]&gt;0,"pagada","por pagar")</f>
        <v>pagada</v>
      </c>
      <c r="W1747" s="141" t="str">
        <f>+IF(AND(Tabla2[[#This Row],[venc]]="venc",Tabla2[[#This Row],[Columna1]]="por pagar"),"vencida","no")</f>
        <v>no</v>
      </c>
    </row>
    <row r="1748" spans="1:23" ht="15.6" hidden="1" x14ac:dyDescent="0.3">
      <c r="A1748" s="20">
        <v>30</v>
      </c>
      <c r="B1748" s="25">
        <v>12030261.305</v>
      </c>
      <c r="C1748" s="25"/>
      <c r="D1748" s="56" t="s">
        <v>179</v>
      </c>
      <c r="E1748" s="426">
        <v>44764</v>
      </c>
      <c r="F1748" s="26" t="s">
        <v>12</v>
      </c>
      <c r="G1748" s="426">
        <v>44648</v>
      </c>
      <c r="H1748" s="35" t="s">
        <v>425</v>
      </c>
      <c r="I1748" s="21">
        <v>22630252.07</v>
      </c>
      <c r="J1748" s="21"/>
      <c r="K1748" s="22">
        <v>4299747.8932999996</v>
      </c>
      <c r="L1748" s="23"/>
      <c r="M1748" s="22">
        <v>0</v>
      </c>
      <c r="N1748" s="74">
        <v>2.5000000000000001E-2</v>
      </c>
      <c r="O1748" s="22">
        <v>565756.30174999998</v>
      </c>
      <c r="P1748" s="21">
        <v>26364243.66155</v>
      </c>
      <c r="S1748" s="108" t="b">
        <f>OR(COUNTIF(Tabla2[[#This Row],[PROVEEDOR]],"*"&amp;'Palabra no opera'!$A$2&amp;"*"))</f>
        <v>0</v>
      </c>
      <c r="T1748" s="139">
        <f>+$W$5-Tabla2[[#This Row],[FECHA DE FACTURACIÓN]]</f>
        <v>643</v>
      </c>
      <c r="U1748" t="str">
        <f>+IF(Tabla2[[#This Row],[dias de credito]]&gt;=Tabla2[[#This Row],[PLAZO Días]],"venc", "No venc")</f>
        <v>venc</v>
      </c>
      <c r="V1748" t="str">
        <f>+IF(Tabla2[[#This Row],[FECHA DE PAGO]]&gt;0,"pagada","por pagar")</f>
        <v>pagada</v>
      </c>
      <c r="W1748" s="141" t="str">
        <f>+IF(AND(Tabla2[[#This Row],[venc]]="venc",Tabla2[[#This Row],[Columna1]]="por pagar"),"vencida","no")</f>
        <v>no</v>
      </c>
    </row>
    <row r="1749" spans="1:23" ht="15.6" hidden="1" x14ac:dyDescent="0.3">
      <c r="A1749" s="20">
        <v>30</v>
      </c>
      <c r="B1749" s="25">
        <v>0</v>
      </c>
      <c r="C1749" s="25"/>
      <c r="D1749" s="56" t="s">
        <v>107</v>
      </c>
      <c r="E1749" s="426">
        <v>44762</v>
      </c>
      <c r="F1749" s="26" t="s">
        <v>353</v>
      </c>
      <c r="G1749" s="426">
        <v>44762</v>
      </c>
      <c r="H1749" s="35" t="s">
        <v>1052</v>
      </c>
      <c r="I1749" s="21">
        <v>600000</v>
      </c>
      <c r="J1749" s="21"/>
      <c r="K1749" s="22">
        <v>0</v>
      </c>
      <c r="L1749" s="23"/>
      <c r="M1749" s="22">
        <v>0</v>
      </c>
      <c r="N1749" s="74">
        <v>0</v>
      </c>
      <c r="O1749" s="22">
        <v>0</v>
      </c>
      <c r="P1749" s="21">
        <v>600000</v>
      </c>
      <c r="S1749" s="108" t="b">
        <f>OR(COUNTIF(Tabla2[[#This Row],[PROVEEDOR]],"*"&amp;'Palabra no opera'!$A$2&amp;"*"))</f>
        <v>0</v>
      </c>
      <c r="T1749" s="139">
        <f>+$W$5-Tabla2[[#This Row],[FECHA DE FACTURACIÓN]]</f>
        <v>529</v>
      </c>
      <c r="U1749" t="str">
        <f>+IF(Tabla2[[#This Row],[dias de credito]]&gt;=Tabla2[[#This Row],[PLAZO Días]],"venc", "No venc")</f>
        <v>venc</v>
      </c>
      <c r="V1749" t="str">
        <f>+IF(Tabla2[[#This Row],[FECHA DE PAGO]]&gt;0,"pagada","por pagar")</f>
        <v>pagada</v>
      </c>
      <c r="W1749" s="141" t="str">
        <f>+IF(AND(Tabla2[[#This Row],[venc]]="venc",Tabla2[[#This Row],[Columna1]]="por pagar"),"vencida","no")</f>
        <v>no</v>
      </c>
    </row>
    <row r="1750" spans="1:23" ht="15.6" hidden="1" x14ac:dyDescent="0.3">
      <c r="A1750" s="20">
        <v>30</v>
      </c>
      <c r="B1750" s="25">
        <v>0</v>
      </c>
      <c r="C1750" s="25"/>
      <c r="D1750" s="56" t="s">
        <v>740</v>
      </c>
      <c r="E1750" s="426">
        <v>44761</v>
      </c>
      <c r="F1750" s="26" t="s">
        <v>637</v>
      </c>
      <c r="G1750" s="426">
        <v>44743</v>
      </c>
      <c r="H1750" s="35" t="s">
        <v>219</v>
      </c>
      <c r="I1750" s="21">
        <v>59583</v>
      </c>
      <c r="J1750" s="21"/>
      <c r="K1750" s="22">
        <v>0</v>
      </c>
      <c r="L1750" s="23"/>
      <c r="M1750" s="22">
        <v>0</v>
      </c>
      <c r="N1750" s="74">
        <v>0</v>
      </c>
      <c r="O1750" s="22">
        <v>0</v>
      </c>
      <c r="P1750" s="21">
        <v>59583</v>
      </c>
      <c r="S1750" s="108" t="b">
        <f>OR(COUNTIF(Tabla2[[#This Row],[PROVEEDOR]],"*"&amp;'Palabra no opera'!$A$2&amp;"*"))</f>
        <v>1</v>
      </c>
      <c r="T1750" s="139">
        <f>+$W$5-Tabla2[[#This Row],[FECHA DE FACTURACIÓN]]</f>
        <v>548</v>
      </c>
      <c r="U1750" t="str">
        <f>+IF(Tabla2[[#This Row],[dias de credito]]&gt;=Tabla2[[#This Row],[PLAZO Días]],"venc", "No venc")</f>
        <v>venc</v>
      </c>
      <c r="V1750" t="str">
        <f>+IF(Tabla2[[#This Row],[FECHA DE PAGO]]&gt;0,"pagada","por pagar")</f>
        <v>pagada</v>
      </c>
      <c r="W1750" s="141" t="str">
        <f>+IF(AND(Tabla2[[#This Row],[venc]]="venc",Tabla2[[#This Row],[Columna1]]="por pagar"),"vencida","no")</f>
        <v>no</v>
      </c>
    </row>
    <row r="1751" spans="1:23" ht="15.6" hidden="1" x14ac:dyDescent="0.3">
      <c r="A1751" s="20">
        <v>30</v>
      </c>
      <c r="B1751" s="25">
        <v>0</v>
      </c>
      <c r="C1751" s="25"/>
      <c r="D1751" s="56" t="s">
        <v>740</v>
      </c>
      <c r="E1751" s="426">
        <v>44761</v>
      </c>
      <c r="F1751" s="26" t="s">
        <v>637</v>
      </c>
      <c r="G1751" s="426">
        <v>44743</v>
      </c>
      <c r="H1751" s="35" t="s">
        <v>220</v>
      </c>
      <c r="I1751" s="21">
        <v>68166</v>
      </c>
      <c r="J1751" s="21"/>
      <c r="K1751" s="22">
        <v>0</v>
      </c>
      <c r="L1751" s="23"/>
      <c r="M1751" s="22">
        <v>0</v>
      </c>
      <c r="N1751" s="74">
        <v>0</v>
      </c>
      <c r="O1751" s="22">
        <v>0</v>
      </c>
      <c r="P1751" s="21">
        <v>68166</v>
      </c>
      <c r="S1751" s="108" t="b">
        <f>OR(COUNTIF(Tabla2[[#This Row],[PROVEEDOR]],"*"&amp;'Palabra no opera'!$A$2&amp;"*"))</f>
        <v>1</v>
      </c>
      <c r="T1751" s="139">
        <f>+$W$5-Tabla2[[#This Row],[FECHA DE FACTURACIÓN]]</f>
        <v>548</v>
      </c>
      <c r="U1751" t="str">
        <f>+IF(Tabla2[[#This Row],[dias de credito]]&gt;=Tabla2[[#This Row],[PLAZO Días]],"venc", "No venc")</f>
        <v>venc</v>
      </c>
      <c r="V1751" t="str">
        <f>+IF(Tabla2[[#This Row],[FECHA DE PAGO]]&gt;0,"pagada","por pagar")</f>
        <v>pagada</v>
      </c>
      <c r="W1751" s="141" t="str">
        <f>+IF(AND(Tabla2[[#This Row],[venc]]="venc",Tabla2[[#This Row],[Columna1]]="por pagar"),"vencida","no")</f>
        <v>no</v>
      </c>
    </row>
    <row r="1752" spans="1:23" ht="15.6" hidden="1" x14ac:dyDescent="0.3">
      <c r="A1752" s="20">
        <v>30</v>
      </c>
      <c r="B1752" s="25">
        <v>0</v>
      </c>
      <c r="C1752" s="25"/>
      <c r="D1752" s="56" t="s">
        <v>740</v>
      </c>
      <c r="E1752" s="426">
        <v>44761</v>
      </c>
      <c r="F1752" s="26" t="s">
        <v>637</v>
      </c>
      <c r="G1752" s="426">
        <v>44743</v>
      </c>
      <c r="H1752" s="35" t="s">
        <v>220</v>
      </c>
      <c r="I1752" s="21">
        <v>818875</v>
      </c>
      <c r="J1752" s="21"/>
      <c r="K1752" s="22">
        <v>0</v>
      </c>
      <c r="L1752" s="23"/>
      <c r="M1752" s="22">
        <v>0</v>
      </c>
      <c r="N1752" s="74">
        <v>0</v>
      </c>
      <c r="O1752" s="22">
        <v>0</v>
      </c>
      <c r="P1752" s="21">
        <v>818875</v>
      </c>
      <c r="S1752" s="108" t="b">
        <f>OR(COUNTIF(Tabla2[[#This Row],[PROVEEDOR]],"*"&amp;'Palabra no opera'!$A$2&amp;"*"))</f>
        <v>1</v>
      </c>
      <c r="T1752" s="139">
        <f>+$W$5-Tabla2[[#This Row],[FECHA DE FACTURACIÓN]]</f>
        <v>548</v>
      </c>
      <c r="U1752" t="str">
        <f>+IF(Tabla2[[#This Row],[dias de credito]]&gt;=Tabla2[[#This Row],[PLAZO Días]],"venc", "No venc")</f>
        <v>venc</v>
      </c>
      <c r="V1752" t="str">
        <f>+IF(Tabla2[[#This Row],[FECHA DE PAGO]]&gt;0,"pagada","por pagar")</f>
        <v>pagada</v>
      </c>
      <c r="W1752" s="141" t="str">
        <f>+IF(AND(Tabla2[[#This Row],[venc]]="venc",Tabla2[[#This Row],[Columna1]]="por pagar"),"vencida","no")</f>
        <v>no</v>
      </c>
    </row>
    <row r="1753" spans="1:23" ht="15.6" hidden="1" x14ac:dyDescent="0.3">
      <c r="A1753" s="20">
        <v>30</v>
      </c>
      <c r="B1753" s="25">
        <v>0</v>
      </c>
      <c r="C1753" s="25"/>
      <c r="D1753" s="56" t="s">
        <v>740</v>
      </c>
      <c r="E1753" s="426">
        <v>44761</v>
      </c>
      <c r="F1753" s="26" t="s">
        <v>637</v>
      </c>
      <c r="G1753" s="426">
        <v>44743</v>
      </c>
      <c r="H1753" s="35" t="s">
        <v>219</v>
      </c>
      <c r="I1753" s="21">
        <v>825349</v>
      </c>
      <c r="J1753" s="21"/>
      <c r="K1753" s="22">
        <v>0</v>
      </c>
      <c r="L1753" s="23"/>
      <c r="M1753" s="22">
        <v>0</v>
      </c>
      <c r="N1753" s="74">
        <v>0</v>
      </c>
      <c r="O1753" s="22">
        <v>0</v>
      </c>
      <c r="P1753" s="21">
        <v>825349</v>
      </c>
      <c r="S1753" s="108" t="b">
        <f>OR(COUNTIF(Tabla2[[#This Row],[PROVEEDOR]],"*"&amp;'Palabra no opera'!$A$2&amp;"*"))</f>
        <v>1</v>
      </c>
      <c r="T1753" s="139">
        <f>+$W$5-Tabla2[[#This Row],[FECHA DE FACTURACIÓN]]</f>
        <v>548</v>
      </c>
      <c r="U1753" t="str">
        <f>+IF(Tabla2[[#This Row],[dias de credito]]&gt;=Tabla2[[#This Row],[PLAZO Días]],"venc", "No venc")</f>
        <v>venc</v>
      </c>
      <c r="V1753" t="str">
        <f>+IF(Tabla2[[#This Row],[FECHA DE PAGO]]&gt;0,"pagada","por pagar")</f>
        <v>pagada</v>
      </c>
      <c r="W1753" s="141" t="str">
        <f>+IF(AND(Tabla2[[#This Row],[venc]]="venc",Tabla2[[#This Row],[Columna1]]="por pagar"),"vencida","no")</f>
        <v>no</v>
      </c>
    </row>
    <row r="1754" spans="1:23" ht="15.6" hidden="1" x14ac:dyDescent="0.3">
      <c r="A1754" s="20">
        <v>30</v>
      </c>
      <c r="B1754" s="25">
        <v>0</v>
      </c>
      <c r="C1754" s="25"/>
      <c r="D1754" s="56" t="s">
        <v>109</v>
      </c>
      <c r="E1754" s="426">
        <v>44761</v>
      </c>
      <c r="F1754" s="26" t="s">
        <v>645</v>
      </c>
      <c r="G1754" s="426">
        <v>44743</v>
      </c>
      <c r="H1754" s="35"/>
      <c r="I1754" s="21">
        <v>326243</v>
      </c>
      <c r="J1754" s="21"/>
      <c r="K1754" s="22">
        <v>0</v>
      </c>
      <c r="L1754" s="23"/>
      <c r="M1754" s="22">
        <v>0</v>
      </c>
      <c r="N1754" s="74">
        <v>0</v>
      </c>
      <c r="O1754" s="22">
        <v>0</v>
      </c>
      <c r="P1754" s="21">
        <v>326243</v>
      </c>
      <c r="S1754" s="108" t="b">
        <f>OR(COUNTIF(Tabla2[[#This Row],[PROVEEDOR]],"*"&amp;'Palabra no opera'!$A$2&amp;"*"))</f>
        <v>1</v>
      </c>
      <c r="T1754" s="139">
        <f>+$W$5-Tabla2[[#This Row],[FECHA DE FACTURACIÓN]]</f>
        <v>548</v>
      </c>
      <c r="U1754" t="str">
        <f>+IF(Tabla2[[#This Row],[dias de credito]]&gt;=Tabla2[[#This Row],[PLAZO Días]],"venc", "No venc")</f>
        <v>venc</v>
      </c>
      <c r="V1754" t="str">
        <f>+IF(Tabla2[[#This Row],[FECHA DE PAGO]]&gt;0,"pagada","por pagar")</f>
        <v>pagada</v>
      </c>
      <c r="W1754" s="141" t="str">
        <f>+IF(AND(Tabla2[[#This Row],[venc]]="venc",Tabla2[[#This Row],[Columna1]]="por pagar"),"vencida","no")</f>
        <v>no</v>
      </c>
    </row>
    <row r="1755" spans="1:23" ht="15.6" hidden="1" x14ac:dyDescent="0.3">
      <c r="A1755" s="20">
        <v>60</v>
      </c>
      <c r="B1755" s="25">
        <v>395600</v>
      </c>
      <c r="C1755" s="25"/>
      <c r="D1755" s="56" t="s">
        <v>1482</v>
      </c>
      <c r="E1755" s="426">
        <v>44761</v>
      </c>
      <c r="F1755" s="26" t="s">
        <v>287</v>
      </c>
      <c r="G1755" s="426">
        <v>44742</v>
      </c>
      <c r="H1755" s="35" t="s">
        <v>1044</v>
      </c>
      <c r="I1755" s="21">
        <v>208152</v>
      </c>
      <c r="J1755" s="21"/>
      <c r="K1755" s="22">
        <v>0</v>
      </c>
      <c r="L1755" s="23"/>
      <c r="M1755" s="22">
        <v>0</v>
      </c>
      <c r="N1755" s="74">
        <v>0</v>
      </c>
      <c r="O1755" s="22">
        <v>0</v>
      </c>
      <c r="P1755" s="21">
        <v>208152</v>
      </c>
      <c r="S1755" s="108" t="b">
        <f>OR(COUNTIF(Tabla2[[#This Row],[PROVEEDOR]],"*"&amp;'Palabra no opera'!$A$2&amp;"*"))</f>
        <v>0</v>
      </c>
      <c r="T1755" s="139">
        <f>+$W$5-Tabla2[[#This Row],[FECHA DE FACTURACIÓN]]</f>
        <v>549</v>
      </c>
      <c r="U1755" t="str">
        <f>+IF(Tabla2[[#This Row],[dias de credito]]&gt;=Tabla2[[#This Row],[PLAZO Días]],"venc", "No venc")</f>
        <v>venc</v>
      </c>
      <c r="V1755" t="str">
        <f>+IF(Tabla2[[#This Row],[FECHA DE PAGO]]&gt;0,"pagada","por pagar")</f>
        <v>pagada</v>
      </c>
      <c r="W1755" s="141" t="str">
        <f>+IF(AND(Tabla2[[#This Row],[venc]]="venc",Tabla2[[#This Row],[Columna1]]="por pagar"),"vencida","no")</f>
        <v>no</v>
      </c>
    </row>
    <row r="1756" spans="1:23" ht="15.6" hidden="1" x14ac:dyDescent="0.3">
      <c r="A1756" s="20">
        <v>45</v>
      </c>
      <c r="B1756" s="25">
        <v>3074500</v>
      </c>
      <c r="C1756" s="25"/>
      <c r="D1756" s="56" t="s">
        <v>1482</v>
      </c>
      <c r="E1756" s="426">
        <v>44761</v>
      </c>
      <c r="F1756" s="26" t="s">
        <v>289</v>
      </c>
      <c r="G1756" s="426">
        <v>44733</v>
      </c>
      <c r="H1756" s="35" t="s">
        <v>770</v>
      </c>
      <c r="I1756" s="21">
        <v>329574</v>
      </c>
      <c r="J1756" s="21"/>
      <c r="K1756" s="22">
        <v>0</v>
      </c>
      <c r="L1756" s="23"/>
      <c r="M1756" s="22">
        <v>0</v>
      </c>
      <c r="N1756" s="74">
        <v>0</v>
      </c>
      <c r="O1756" s="22">
        <v>0</v>
      </c>
      <c r="P1756" s="21">
        <v>329574</v>
      </c>
      <c r="S1756" s="108" t="b">
        <f>OR(COUNTIF(Tabla2[[#This Row],[PROVEEDOR]],"*"&amp;'Palabra no opera'!$A$2&amp;"*"))</f>
        <v>0</v>
      </c>
      <c r="T1756" s="139">
        <f>+$W$5-Tabla2[[#This Row],[FECHA DE FACTURACIÓN]]</f>
        <v>558</v>
      </c>
      <c r="U1756" t="str">
        <f>+IF(Tabla2[[#This Row],[dias de credito]]&gt;=Tabla2[[#This Row],[PLAZO Días]],"venc", "No venc")</f>
        <v>venc</v>
      </c>
      <c r="V1756" t="str">
        <f>+IF(Tabla2[[#This Row],[FECHA DE PAGO]]&gt;0,"pagada","por pagar")</f>
        <v>pagada</v>
      </c>
      <c r="W1756" s="141" t="str">
        <f>+IF(AND(Tabla2[[#This Row],[venc]]="venc",Tabla2[[#This Row],[Columna1]]="por pagar"),"vencida","no")</f>
        <v>no</v>
      </c>
    </row>
    <row r="1757" spans="1:23" ht="15.6" hidden="1" x14ac:dyDescent="0.3">
      <c r="A1757" s="20">
        <v>45</v>
      </c>
      <c r="B1757" s="25">
        <v>3074500</v>
      </c>
      <c r="C1757" s="25"/>
      <c r="D1757" s="56" t="s">
        <v>1482</v>
      </c>
      <c r="E1757" s="426">
        <v>44761</v>
      </c>
      <c r="F1757" s="26" t="s">
        <v>289</v>
      </c>
      <c r="G1757" s="426">
        <v>44733</v>
      </c>
      <c r="H1757" s="35" t="s">
        <v>771</v>
      </c>
      <c r="I1757" s="21">
        <v>3209010</v>
      </c>
      <c r="J1757" s="21"/>
      <c r="K1757" s="22">
        <v>0</v>
      </c>
      <c r="L1757" s="23"/>
      <c r="M1757" s="22">
        <v>0</v>
      </c>
      <c r="N1757" s="74">
        <v>0</v>
      </c>
      <c r="O1757" s="22">
        <v>0</v>
      </c>
      <c r="P1757" s="21">
        <v>3209010</v>
      </c>
      <c r="S1757" s="108" t="b">
        <f>OR(COUNTIF(Tabla2[[#This Row],[PROVEEDOR]],"*"&amp;'Palabra no opera'!$A$2&amp;"*"))</f>
        <v>0</v>
      </c>
      <c r="T1757" s="139">
        <f>+$W$5-Tabla2[[#This Row],[FECHA DE FACTURACIÓN]]</f>
        <v>558</v>
      </c>
      <c r="U1757" t="str">
        <f>+IF(Tabla2[[#This Row],[dias de credito]]&gt;=Tabla2[[#This Row],[PLAZO Días]],"venc", "No venc")</f>
        <v>venc</v>
      </c>
      <c r="V1757" t="str">
        <f>+IF(Tabla2[[#This Row],[FECHA DE PAGO]]&gt;0,"pagada","por pagar")</f>
        <v>pagada</v>
      </c>
      <c r="W1757" s="141" t="str">
        <f>+IF(AND(Tabla2[[#This Row],[venc]]="venc",Tabla2[[#This Row],[Columna1]]="por pagar"),"vencida","no")</f>
        <v>no</v>
      </c>
    </row>
    <row r="1758" spans="1:23" ht="15.6" hidden="1" x14ac:dyDescent="0.3">
      <c r="A1758" s="20">
        <v>45</v>
      </c>
      <c r="B1758" s="25">
        <v>3074500</v>
      </c>
      <c r="C1758" s="25"/>
      <c r="D1758" s="56" t="s">
        <v>1482</v>
      </c>
      <c r="E1758" s="426">
        <v>44761</v>
      </c>
      <c r="F1758" s="26" t="s">
        <v>289</v>
      </c>
      <c r="G1758" s="426">
        <v>44726</v>
      </c>
      <c r="H1758" s="35" t="s">
        <v>735</v>
      </c>
      <c r="I1758" s="21">
        <v>1669986.1500000001</v>
      </c>
      <c r="J1758" s="21"/>
      <c r="K1758" s="22">
        <v>0</v>
      </c>
      <c r="L1758" s="23"/>
      <c r="M1758" s="22">
        <v>0</v>
      </c>
      <c r="N1758" s="74">
        <v>0</v>
      </c>
      <c r="O1758" s="22">
        <v>0</v>
      </c>
      <c r="P1758" s="21">
        <v>1669986.1500000001</v>
      </c>
      <c r="S1758" s="108" t="b">
        <f>OR(COUNTIF(Tabla2[[#This Row],[PROVEEDOR]],"*"&amp;'Palabra no opera'!$A$2&amp;"*"))</f>
        <v>0</v>
      </c>
      <c r="T1758" s="139">
        <f>+$W$5-Tabla2[[#This Row],[FECHA DE FACTURACIÓN]]</f>
        <v>565</v>
      </c>
      <c r="U1758" t="str">
        <f>+IF(Tabla2[[#This Row],[dias de credito]]&gt;=Tabla2[[#This Row],[PLAZO Días]],"venc", "No venc")</f>
        <v>venc</v>
      </c>
      <c r="V1758" t="str">
        <f>+IF(Tabla2[[#This Row],[FECHA DE PAGO]]&gt;0,"pagada","por pagar")</f>
        <v>pagada</v>
      </c>
      <c r="W1758" s="141" t="str">
        <f>+IF(AND(Tabla2[[#This Row],[venc]]="venc",Tabla2[[#This Row],[Columna1]]="por pagar"),"vencida","no")</f>
        <v>no</v>
      </c>
    </row>
    <row r="1759" spans="1:23" ht="15.6" hidden="1" x14ac:dyDescent="0.3">
      <c r="A1759" s="20">
        <v>60</v>
      </c>
      <c r="B1759" s="25">
        <v>395600</v>
      </c>
      <c r="C1759" s="25"/>
      <c r="D1759" s="56" t="s">
        <v>1482</v>
      </c>
      <c r="E1759" s="426">
        <v>44761</v>
      </c>
      <c r="F1759" s="26" t="s">
        <v>287</v>
      </c>
      <c r="G1759" s="426">
        <v>44712</v>
      </c>
      <c r="H1759" s="35" t="s">
        <v>1038</v>
      </c>
      <c r="I1759" s="21">
        <v>364266</v>
      </c>
      <c r="J1759" s="21"/>
      <c r="K1759" s="22">
        <v>0</v>
      </c>
      <c r="L1759" s="23"/>
      <c r="M1759" s="22">
        <v>0</v>
      </c>
      <c r="N1759" s="74">
        <v>0</v>
      </c>
      <c r="O1759" s="22">
        <v>0</v>
      </c>
      <c r="P1759" s="21">
        <v>364266</v>
      </c>
      <c r="S1759" s="108" t="b">
        <f>OR(COUNTIF(Tabla2[[#This Row],[PROVEEDOR]],"*"&amp;'Palabra no opera'!$A$2&amp;"*"))</f>
        <v>0</v>
      </c>
      <c r="T1759" s="139">
        <f>+$W$5-Tabla2[[#This Row],[FECHA DE FACTURACIÓN]]</f>
        <v>579</v>
      </c>
      <c r="U1759" t="str">
        <f>+IF(Tabla2[[#This Row],[dias de credito]]&gt;=Tabla2[[#This Row],[PLAZO Días]],"venc", "No venc")</f>
        <v>venc</v>
      </c>
      <c r="V1759" t="str">
        <f>+IF(Tabla2[[#This Row],[FECHA DE PAGO]]&gt;0,"pagada","por pagar")</f>
        <v>pagada</v>
      </c>
      <c r="W1759" s="141" t="str">
        <f>+IF(AND(Tabla2[[#This Row],[venc]]="venc",Tabla2[[#This Row],[Columna1]]="por pagar"),"vencida","no")</f>
        <v>no</v>
      </c>
    </row>
    <row r="1760" spans="1:23" ht="15.6" hidden="1" x14ac:dyDescent="0.3">
      <c r="A1760" s="20">
        <v>60</v>
      </c>
      <c r="B1760" s="25">
        <v>395600</v>
      </c>
      <c r="C1760" s="25"/>
      <c r="D1760" s="56" t="s">
        <v>1482</v>
      </c>
      <c r="E1760" s="426">
        <v>44761</v>
      </c>
      <c r="F1760" s="26" t="s">
        <v>287</v>
      </c>
      <c r="G1760" s="426">
        <v>44712</v>
      </c>
      <c r="H1760" s="35" t="s">
        <v>1039</v>
      </c>
      <c r="I1760" s="21">
        <v>381612</v>
      </c>
      <c r="J1760" s="21"/>
      <c r="K1760" s="22">
        <v>0</v>
      </c>
      <c r="L1760" s="23"/>
      <c r="M1760" s="22">
        <v>0</v>
      </c>
      <c r="N1760" s="74">
        <v>0</v>
      </c>
      <c r="O1760" s="22">
        <v>0</v>
      </c>
      <c r="P1760" s="21">
        <v>381612</v>
      </c>
      <c r="S1760" s="108" t="b">
        <f>OR(COUNTIF(Tabla2[[#This Row],[PROVEEDOR]],"*"&amp;'Palabra no opera'!$A$2&amp;"*"))</f>
        <v>0</v>
      </c>
      <c r="T1760" s="139">
        <f>+$W$5-Tabla2[[#This Row],[FECHA DE FACTURACIÓN]]</f>
        <v>579</v>
      </c>
      <c r="U1760" t="str">
        <f>+IF(Tabla2[[#This Row],[dias de credito]]&gt;=Tabla2[[#This Row],[PLAZO Días]],"venc", "No venc")</f>
        <v>venc</v>
      </c>
      <c r="V1760" t="str">
        <f>+IF(Tabla2[[#This Row],[FECHA DE PAGO]]&gt;0,"pagada","por pagar")</f>
        <v>pagada</v>
      </c>
      <c r="W1760" s="141" t="str">
        <f>+IF(AND(Tabla2[[#This Row],[venc]]="venc",Tabla2[[#This Row],[Columna1]]="por pagar"),"vencida","no")</f>
        <v>no</v>
      </c>
    </row>
    <row r="1761" spans="1:23" ht="15.6" hidden="1" x14ac:dyDescent="0.3">
      <c r="A1761" s="20">
        <v>60</v>
      </c>
      <c r="B1761" s="25">
        <v>395600</v>
      </c>
      <c r="C1761" s="25"/>
      <c r="D1761" s="56" t="s">
        <v>1482</v>
      </c>
      <c r="E1761" s="426">
        <v>44761</v>
      </c>
      <c r="F1761" s="26" t="s">
        <v>287</v>
      </c>
      <c r="G1761" s="426">
        <v>44676</v>
      </c>
      <c r="H1761" s="35" t="s">
        <v>603</v>
      </c>
      <c r="I1761" s="21">
        <v>173460</v>
      </c>
      <c r="J1761" s="21"/>
      <c r="K1761" s="22">
        <v>0</v>
      </c>
      <c r="L1761" s="23"/>
      <c r="M1761" s="22">
        <v>0</v>
      </c>
      <c r="N1761" s="74">
        <v>0</v>
      </c>
      <c r="O1761" s="22">
        <v>0</v>
      </c>
      <c r="P1761" s="21">
        <v>173460</v>
      </c>
      <c r="S1761" s="108" t="b">
        <f>OR(COUNTIF(Tabla2[[#This Row],[PROVEEDOR]],"*"&amp;'Palabra no opera'!$A$2&amp;"*"))</f>
        <v>0</v>
      </c>
      <c r="T1761" s="139">
        <f>+$W$5-Tabla2[[#This Row],[FECHA DE FACTURACIÓN]]</f>
        <v>615</v>
      </c>
      <c r="U1761" t="str">
        <f>+IF(Tabla2[[#This Row],[dias de credito]]&gt;=Tabla2[[#This Row],[PLAZO Días]],"venc", "No venc")</f>
        <v>venc</v>
      </c>
      <c r="V1761" t="str">
        <f>+IF(Tabla2[[#This Row],[FECHA DE PAGO]]&gt;0,"pagada","por pagar")</f>
        <v>pagada</v>
      </c>
      <c r="W1761" s="141" t="str">
        <f>+IF(AND(Tabla2[[#This Row],[venc]]="venc",Tabla2[[#This Row],[Columna1]]="por pagar"),"vencida","no")</f>
        <v>no</v>
      </c>
    </row>
    <row r="1762" spans="1:23" ht="15.6" hidden="1" x14ac:dyDescent="0.3">
      <c r="A1762" s="20">
        <v>45</v>
      </c>
      <c r="B1762" s="25">
        <v>3074500</v>
      </c>
      <c r="C1762" s="25"/>
      <c r="D1762" s="56" t="s">
        <v>1482</v>
      </c>
      <c r="E1762" s="426">
        <v>44761</v>
      </c>
      <c r="F1762" s="26" t="s">
        <v>289</v>
      </c>
      <c r="G1762" s="426">
        <v>44656</v>
      </c>
      <c r="H1762" s="35" t="s">
        <v>351</v>
      </c>
      <c r="I1762" s="21">
        <v>1515606.75</v>
      </c>
      <c r="J1762" s="21"/>
      <c r="K1762" s="22">
        <v>0</v>
      </c>
      <c r="L1762" s="23"/>
      <c r="M1762" s="22">
        <v>0</v>
      </c>
      <c r="N1762" s="74">
        <v>0</v>
      </c>
      <c r="O1762" s="22">
        <v>0</v>
      </c>
      <c r="P1762" s="21">
        <v>1515606.75</v>
      </c>
      <c r="S1762" s="108" t="b">
        <f>OR(COUNTIF(Tabla2[[#This Row],[PROVEEDOR]],"*"&amp;'Palabra no opera'!$A$2&amp;"*"))</f>
        <v>0</v>
      </c>
      <c r="T1762" s="139">
        <f>+$W$5-Tabla2[[#This Row],[FECHA DE FACTURACIÓN]]</f>
        <v>635</v>
      </c>
      <c r="U1762" t="str">
        <f>+IF(Tabla2[[#This Row],[dias de credito]]&gt;=Tabla2[[#This Row],[PLAZO Días]],"venc", "No venc")</f>
        <v>venc</v>
      </c>
      <c r="V1762" t="str">
        <f>+IF(Tabla2[[#This Row],[FECHA DE PAGO]]&gt;0,"pagada","por pagar")</f>
        <v>pagada</v>
      </c>
      <c r="W1762" s="141" t="str">
        <f>+IF(AND(Tabla2[[#This Row],[venc]]="venc",Tabla2[[#This Row],[Columna1]]="por pagar"),"vencida","no")</f>
        <v>no</v>
      </c>
    </row>
    <row r="1763" spans="1:23" ht="15.6" hidden="1" x14ac:dyDescent="0.3">
      <c r="A1763" s="20">
        <v>60</v>
      </c>
      <c r="B1763" s="25">
        <v>395600</v>
      </c>
      <c r="C1763" s="25"/>
      <c r="D1763" s="56" t="s">
        <v>1482</v>
      </c>
      <c r="E1763" s="426">
        <v>44761</v>
      </c>
      <c r="F1763" s="26" t="s">
        <v>287</v>
      </c>
      <c r="G1763" s="426">
        <v>44643</v>
      </c>
      <c r="H1763" s="35" t="s">
        <v>1011</v>
      </c>
      <c r="I1763" s="21">
        <v>485688</v>
      </c>
      <c r="J1763" s="21"/>
      <c r="K1763" s="22">
        <v>0</v>
      </c>
      <c r="L1763" s="23"/>
      <c r="M1763" s="22">
        <v>0</v>
      </c>
      <c r="N1763" s="74">
        <v>0</v>
      </c>
      <c r="O1763" s="22">
        <v>0</v>
      </c>
      <c r="P1763" s="21">
        <v>485688</v>
      </c>
      <c r="S1763" s="108" t="b">
        <f>OR(COUNTIF(Tabla2[[#This Row],[PROVEEDOR]],"*"&amp;'Palabra no opera'!$A$2&amp;"*"))</f>
        <v>0</v>
      </c>
      <c r="T1763" s="139">
        <f>+$W$5-Tabla2[[#This Row],[FECHA DE FACTURACIÓN]]</f>
        <v>648</v>
      </c>
      <c r="U1763" t="str">
        <f>+IF(Tabla2[[#This Row],[dias de credito]]&gt;=Tabla2[[#This Row],[PLAZO Días]],"venc", "No venc")</f>
        <v>venc</v>
      </c>
      <c r="V1763" t="str">
        <f>+IF(Tabla2[[#This Row],[FECHA DE PAGO]]&gt;0,"pagada","por pagar")</f>
        <v>pagada</v>
      </c>
      <c r="W1763" s="141" t="str">
        <f>+IF(AND(Tabla2[[#This Row],[venc]]="venc",Tabla2[[#This Row],[Columna1]]="por pagar"),"vencida","no")</f>
        <v>no</v>
      </c>
    </row>
    <row r="1764" spans="1:23" ht="15.6" hidden="1" x14ac:dyDescent="0.3">
      <c r="A1764" s="20">
        <v>60</v>
      </c>
      <c r="B1764" s="25">
        <v>395600</v>
      </c>
      <c r="C1764" s="25"/>
      <c r="D1764" s="56" t="s">
        <v>1482</v>
      </c>
      <c r="E1764" s="426">
        <v>44761</v>
      </c>
      <c r="F1764" s="26" t="s">
        <v>287</v>
      </c>
      <c r="G1764" s="426">
        <v>44617</v>
      </c>
      <c r="H1764" s="35" t="s">
        <v>1006</v>
      </c>
      <c r="I1764" s="21">
        <v>225498</v>
      </c>
      <c r="J1764" s="21"/>
      <c r="K1764" s="22">
        <v>0</v>
      </c>
      <c r="L1764" s="23"/>
      <c r="M1764" s="22">
        <v>0</v>
      </c>
      <c r="N1764" s="74">
        <v>0</v>
      </c>
      <c r="O1764" s="22">
        <v>0</v>
      </c>
      <c r="P1764" s="21">
        <v>225498</v>
      </c>
      <c r="S1764" s="108" t="b">
        <f>OR(COUNTIF(Tabla2[[#This Row],[PROVEEDOR]],"*"&amp;'Palabra no opera'!$A$2&amp;"*"))</f>
        <v>0</v>
      </c>
      <c r="T1764" s="139">
        <f>+$W$5-Tabla2[[#This Row],[FECHA DE FACTURACIÓN]]</f>
        <v>674</v>
      </c>
      <c r="U1764" t="str">
        <f>+IF(Tabla2[[#This Row],[dias de credito]]&gt;=Tabla2[[#This Row],[PLAZO Días]],"venc", "No venc")</f>
        <v>venc</v>
      </c>
      <c r="V1764" t="str">
        <f>+IF(Tabla2[[#This Row],[FECHA DE PAGO]]&gt;0,"pagada","por pagar")</f>
        <v>pagada</v>
      </c>
      <c r="W1764" s="141" t="str">
        <f>+IF(AND(Tabla2[[#This Row],[venc]]="venc",Tabla2[[#This Row],[Columna1]]="por pagar"),"vencida","no")</f>
        <v>no</v>
      </c>
    </row>
    <row r="1765" spans="1:23" ht="15.6" hidden="1" x14ac:dyDescent="0.3">
      <c r="A1765" s="20">
        <v>60</v>
      </c>
      <c r="B1765" s="25">
        <v>395600</v>
      </c>
      <c r="C1765" s="25"/>
      <c r="D1765" s="56" t="s">
        <v>1482</v>
      </c>
      <c r="E1765" s="426">
        <v>44761</v>
      </c>
      <c r="F1765" s="26" t="s">
        <v>287</v>
      </c>
      <c r="G1765" s="426">
        <v>44607</v>
      </c>
      <c r="H1765" s="35" t="s">
        <v>1003</v>
      </c>
      <c r="I1765" s="21">
        <v>208152</v>
      </c>
      <c r="J1765" s="21"/>
      <c r="K1765" s="22">
        <v>0</v>
      </c>
      <c r="L1765" s="23"/>
      <c r="M1765" s="22">
        <v>0</v>
      </c>
      <c r="N1765" s="74">
        <v>0</v>
      </c>
      <c r="O1765" s="22">
        <v>0</v>
      </c>
      <c r="P1765" s="21">
        <v>208152</v>
      </c>
      <c r="S1765" s="108" t="b">
        <f>OR(COUNTIF(Tabla2[[#This Row],[PROVEEDOR]],"*"&amp;'Palabra no opera'!$A$2&amp;"*"))</f>
        <v>0</v>
      </c>
      <c r="T1765" s="139">
        <f>+$W$5-Tabla2[[#This Row],[FECHA DE FACTURACIÓN]]</f>
        <v>684</v>
      </c>
      <c r="U1765" t="str">
        <f>+IF(Tabla2[[#This Row],[dias de credito]]&gt;=Tabla2[[#This Row],[PLAZO Días]],"venc", "No venc")</f>
        <v>venc</v>
      </c>
      <c r="V1765" t="str">
        <f>+IF(Tabla2[[#This Row],[FECHA DE PAGO]]&gt;0,"pagada","por pagar")</f>
        <v>pagada</v>
      </c>
      <c r="W1765" s="141" t="str">
        <f>+IF(AND(Tabla2[[#This Row],[venc]]="venc",Tabla2[[#This Row],[Columna1]]="por pagar"),"vencida","no")</f>
        <v>no</v>
      </c>
    </row>
    <row r="1766" spans="1:23" ht="15.6" hidden="1" x14ac:dyDescent="0.3">
      <c r="A1766" s="20">
        <v>60</v>
      </c>
      <c r="B1766" s="25">
        <v>395600</v>
      </c>
      <c r="C1766" s="25"/>
      <c r="D1766" s="56" t="s">
        <v>1482</v>
      </c>
      <c r="E1766" s="426">
        <v>44761</v>
      </c>
      <c r="F1766" s="26" t="s">
        <v>287</v>
      </c>
      <c r="G1766" s="426">
        <v>44539</v>
      </c>
      <c r="H1766" s="35" t="s">
        <v>531</v>
      </c>
      <c r="I1766" s="21">
        <v>247180.5</v>
      </c>
      <c r="J1766" s="21"/>
      <c r="K1766" s="22">
        <v>0</v>
      </c>
      <c r="L1766" s="23"/>
      <c r="M1766" s="22">
        <v>0</v>
      </c>
      <c r="N1766" s="74">
        <v>0</v>
      </c>
      <c r="O1766" s="22">
        <v>0</v>
      </c>
      <c r="P1766" s="21">
        <v>247180.5</v>
      </c>
      <c r="S1766" s="108" t="b">
        <f>OR(COUNTIF(Tabla2[[#This Row],[PROVEEDOR]],"*"&amp;'Palabra no opera'!$A$2&amp;"*"))</f>
        <v>0</v>
      </c>
      <c r="T1766" s="139">
        <f>+$W$5-Tabla2[[#This Row],[FECHA DE FACTURACIÓN]]</f>
        <v>752</v>
      </c>
      <c r="U1766" t="str">
        <f>+IF(Tabla2[[#This Row],[dias de credito]]&gt;=Tabla2[[#This Row],[PLAZO Días]],"venc", "No venc")</f>
        <v>venc</v>
      </c>
      <c r="V1766" t="str">
        <f>+IF(Tabla2[[#This Row],[FECHA DE PAGO]]&gt;0,"pagada","por pagar")</f>
        <v>pagada</v>
      </c>
      <c r="W1766" s="141" t="str">
        <f>+IF(AND(Tabla2[[#This Row],[venc]]="venc",Tabla2[[#This Row],[Columna1]]="por pagar"),"vencida","no")</f>
        <v>no</v>
      </c>
    </row>
    <row r="1767" spans="1:23" ht="15.6" hidden="1" x14ac:dyDescent="0.3">
      <c r="A1767" s="20">
        <v>30</v>
      </c>
      <c r="B1767" s="25">
        <v>0</v>
      </c>
      <c r="C1767" s="25"/>
      <c r="D1767" s="56" t="s">
        <v>828</v>
      </c>
      <c r="E1767" s="426">
        <v>44760</v>
      </c>
      <c r="F1767" s="26" t="s">
        <v>827</v>
      </c>
      <c r="G1767" s="426">
        <v>44760</v>
      </c>
      <c r="H1767" s="35">
        <v>527</v>
      </c>
      <c r="I1767" s="21">
        <v>501681</v>
      </c>
      <c r="J1767" s="21"/>
      <c r="K1767" s="22">
        <v>95319.39</v>
      </c>
      <c r="L1767" s="23"/>
      <c r="M1767" s="22">
        <v>0</v>
      </c>
      <c r="N1767" s="74">
        <v>0</v>
      </c>
      <c r="O1767" s="22">
        <v>0</v>
      </c>
      <c r="P1767" s="21">
        <v>597000.39</v>
      </c>
      <c r="S1767" s="108" t="b">
        <f>OR(COUNTIF(Tabla2[[#This Row],[PROVEEDOR]],"*"&amp;'Palabra no opera'!$A$2&amp;"*"))</f>
        <v>0</v>
      </c>
      <c r="T1767" s="139">
        <f>+$W$5-Tabla2[[#This Row],[FECHA DE FACTURACIÓN]]</f>
        <v>531</v>
      </c>
      <c r="U1767" t="str">
        <f>+IF(Tabla2[[#This Row],[dias de credito]]&gt;=Tabla2[[#This Row],[PLAZO Días]],"venc", "No venc")</f>
        <v>venc</v>
      </c>
      <c r="V1767" t="str">
        <f>+IF(Tabla2[[#This Row],[FECHA DE PAGO]]&gt;0,"pagada","por pagar")</f>
        <v>pagada</v>
      </c>
      <c r="W1767" s="141" t="str">
        <f>+IF(AND(Tabla2[[#This Row],[venc]]="venc",Tabla2[[#This Row],[Columna1]]="por pagar"),"vencida","no")</f>
        <v>no</v>
      </c>
    </row>
    <row r="1768" spans="1:23" ht="15.6" hidden="1" x14ac:dyDescent="0.3">
      <c r="A1768" s="20">
        <v>30</v>
      </c>
      <c r="B1768" s="25">
        <v>0</v>
      </c>
      <c r="C1768" s="25"/>
      <c r="D1768" s="56" t="s">
        <v>342</v>
      </c>
      <c r="E1768" s="426">
        <v>44760</v>
      </c>
      <c r="F1768" s="26" t="s">
        <v>343</v>
      </c>
      <c r="G1768" s="426">
        <v>44705</v>
      </c>
      <c r="H1768" s="35" t="s">
        <v>1033</v>
      </c>
      <c r="I1768" s="21">
        <v>1030000</v>
      </c>
      <c r="J1768" s="21"/>
      <c r="K1768" s="22">
        <v>0</v>
      </c>
      <c r="L1768" s="23"/>
      <c r="M1768" s="22">
        <v>0</v>
      </c>
      <c r="N1768" s="74">
        <v>0</v>
      </c>
      <c r="O1768" s="22">
        <v>0</v>
      </c>
      <c r="P1768" s="21">
        <v>1030000</v>
      </c>
      <c r="S1768" s="108" t="b">
        <f>OR(COUNTIF(Tabla2[[#This Row],[PROVEEDOR]],"*"&amp;'Palabra no opera'!$A$2&amp;"*"))</f>
        <v>0</v>
      </c>
      <c r="T1768" s="139">
        <f>+$W$5-Tabla2[[#This Row],[FECHA DE FACTURACIÓN]]</f>
        <v>586</v>
      </c>
      <c r="U1768" t="str">
        <f>+IF(Tabla2[[#This Row],[dias de credito]]&gt;=Tabla2[[#This Row],[PLAZO Días]],"venc", "No venc")</f>
        <v>venc</v>
      </c>
      <c r="V1768" t="str">
        <f>+IF(Tabla2[[#This Row],[FECHA DE PAGO]]&gt;0,"pagada","por pagar")</f>
        <v>pagada</v>
      </c>
      <c r="W1768" s="141" t="str">
        <f>+IF(AND(Tabla2[[#This Row],[venc]]="venc",Tabla2[[#This Row],[Columna1]]="por pagar"),"vencida","no")</f>
        <v>no</v>
      </c>
    </row>
    <row r="1769" spans="1:23" ht="15.6" hidden="1" x14ac:dyDescent="0.3">
      <c r="A1769" s="20">
        <v>30</v>
      </c>
      <c r="B1769" s="25">
        <v>0</v>
      </c>
      <c r="C1769" s="25"/>
      <c r="D1769" s="56" t="s">
        <v>199</v>
      </c>
      <c r="E1769" s="426">
        <v>44758</v>
      </c>
      <c r="F1769" s="26" t="s">
        <v>1069</v>
      </c>
      <c r="G1769" s="426">
        <v>44727</v>
      </c>
      <c r="H1769" s="35" t="s">
        <v>743</v>
      </c>
      <c r="I1769" s="21">
        <v>1012608</v>
      </c>
      <c r="J1769" s="21"/>
      <c r="K1769" s="22">
        <v>192395.51999999999</v>
      </c>
      <c r="L1769" s="23"/>
      <c r="M1769" s="22">
        <v>0</v>
      </c>
      <c r="N1769" s="74">
        <v>0</v>
      </c>
      <c r="O1769" s="22">
        <v>0</v>
      </c>
      <c r="P1769" s="21">
        <v>1205003.52</v>
      </c>
      <c r="S1769" s="108" t="b">
        <f>OR(COUNTIF(Tabla2[[#This Row],[PROVEEDOR]],"*"&amp;'Palabra no opera'!$A$2&amp;"*"))</f>
        <v>0</v>
      </c>
      <c r="T1769" s="139">
        <f>+$W$5-Tabla2[[#This Row],[FECHA DE FACTURACIÓN]]</f>
        <v>564</v>
      </c>
      <c r="U1769" t="str">
        <f>+IF(Tabla2[[#This Row],[dias de credito]]&gt;=Tabla2[[#This Row],[PLAZO Días]],"venc", "No venc")</f>
        <v>venc</v>
      </c>
      <c r="V1769" t="str">
        <f>+IF(Tabla2[[#This Row],[FECHA DE PAGO]]&gt;0,"pagada","por pagar")</f>
        <v>pagada</v>
      </c>
      <c r="W1769" s="141" t="str">
        <f>+IF(AND(Tabla2[[#This Row],[venc]]="venc",Tabla2[[#This Row],[Columna1]]="por pagar"),"vencida","no")</f>
        <v>no</v>
      </c>
    </row>
    <row r="1770" spans="1:23" ht="15.6" hidden="1" x14ac:dyDescent="0.3">
      <c r="A1770" s="20">
        <v>30</v>
      </c>
      <c r="B1770" s="25">
        <v>17870934.149999999</v>
      </c>
      <c r="C1770" s="25"/>
      <c r="D1770" s="56" t="s">
        <v>182</v>
      </c>
      <c r="E1770" s="426">
        <v>44758</v>
      </c>
      <c r="F1770" s="26" t="s">
        <v>18</v>
      </c>
      <c r="G1770" s="426">
        <v>44713</v>
      </c>
      <c r="H1770" s="35">
        <v>1054375</v>
      </c>
      <c r="I1770" s="21">
        <v>4853296</v>
      </c>
      <c r="J1770" s="21"/>
      <c r="K1770" s="22">
        <v>922126.24</v>
      </c>
      <c r="L1770" s="23"/>
      <c r="M1770" s="22">
        <v>0</v>
      </c>
      <c r="N1770" s="74">
        <v>2.5000000000000001E-2</v>
      </c>
      <c r="O1770" s="22">
        <v>121332.40000000001</v>
      </c>
      <c r="P1770" s="21">
        <v>5654089.8399999999</v>
      </c>
      <c r="S1770" s="108" t="b">
        <f>OR(COUNTIF(Tabla2[[#This Row],[PROVEEDOR]],"*"&amp;'Palabra no opera'!$A$2&amp;"*"))</f>
        <v>0</v>
      </c>
      <c r="T1770" s="139">
        <f>+$W$5-Tabla2[[#This Row],[FECHA DE FACTURACIÓN]]</f>
        <v>578</v>
      </c>
      <c r="U1770" t="str">
        <f>+IF(Tabla2[[#This Row],[dias de credito]]&gt;=Tabla2[[#This Row],[PLAZO Días]],"venc", "No venc")</f>
        <v>venc</v>
      </c>
      <c r="V1770" t="str">
        <f>+IF(Tabla2[[#This Row],[FECHA DE PAGO]]&gt;0,"pagada","por pagar")</f>
        <v>pagada</v>
      </c>
      <c r="W1770" s="141" t="str">
        <f>+IF(AND(Tabla2[[#This Row],[venc]]="venc",Tabla2[[#This Row],[Columna1]]="por pagar"),"vencida","no")</f>
        <v>no</v>
      </c>
    </row>
    <row r="1771" spans="1:23" ht="15.6" hidden="1" x14ac:dyDescent="0.3">
      <c r="A1771" s="20">
        <v>30</v>
      </c>
      <c r="B1771" s="25">
        <v>0</v>
      </c>
      <c r="C1771" s="25"/>
      <c r="D1771" s="56" t="s">
        <v>298</v>
      </c>
      <c r="E1771" s="426">
        <v>44758</v>
      </c>
      <c r="F1771" s="26" t="s">
        <v>253</v>
      </c>
      <c r="G1771" s="426">
        <v>44708</v>
      </c>
      <c r="H1771" s="35">
        <v>11789</v>
      </c>
      <c r="I1771" s="21">
        <v>395000</v>
      </c>
      <c r="J1771" s="21"/>
      <c r="K1771" s="22">
        <v>75050</v>
      </c>
      <c r="L1771" s="23"/>
      <c r="M1771" s="22">
        <v>0</v>
      </c>
      <c r="N1771" s="74">
        <v>0</v>
      </c>
      <c r="O1771" s="22">
        <v>0</v>
      </c>
      <c r="P1771" s="21">
        <v>470050</v>
      </c>
      <c r="S1771" s="108" t="b">
        <f>OR(COUNTIF(Tabla2[[#This Row],[PROVEEDOR]],"*"&amp;'Palabra no opera'!$A$2&amp;"*"))</f>
        <v>0</v>
      </c>
      <c r="T1771" s="139">
        <f>+$W$5-Tabla2[[#This Row],[FECHA DE FACTURACIÓN]]</f>
        <v>583</v>
      </c>
      <c r="U1771" t="str">
        <f>+IF(Tabla2[[#This Row],[dias de credito]]&gt;=Tabla2[[#This Row],[PLAZO Días]],"venc", "No venc")</f>
        <v>venc</v>
      </c>
      <c r="V1771" t="str">
        <f>+IF(Tabla2[[#This Row],[FECHA DE PAGO]]&gt;0,"pagada","por pagar")</f>
        <v>pagada</v>
      </c>
      <c r="W1771" s="141" t="str">
        <f>+IF(AND(Tabla2[[#This Row],[venc]]="venc",Tabla2[[#This Row],[Columna1]]="por pagar"),"vencida","no")</f>
        <v>no</v>
      </c>
    </row>
    <row r="1772" spans="1:23" ht="15.6" hidden="1" x14ac:dyDescent="0.3">
      <c r="A1772" s="20">
        <v>30</v>
      </c>
      <c r="B1772" s="25">
        <v>-66999.998800000001</v>
      </c>
      <c r="C1772" s="25"/>
      <c r="D1772" s="56" t="s">
        <v>187</v>
      </c>
      <c r="E1772" s="426">
        <v>44758</v>
      </c>
      <c r="F1772" s="26" t="s">
        <v>459</v>
      </c>
      <c r="G1772" s="426">
        <v>44686</v>
      </c>
      <c r="H1772" s="35">
        <v>2204</v>
      </c>
      <c r="I1772" s="21">
        <v>3560168.07</v>
      </c>
      <c r="J1772" s="21"/>
      <c r="K1772" s="22">
        <v>676431.93330000003</v>
      </c>
      <c r="L1772" s="23"/>
      <c r="M1772" s="22">
        <v>0</v>
      </c>
      <c r="N1772" s="74">
        <v>2.5000000000000001E-2</v>
      </c>
      <c r="O1772" s="22">
        <v>89004.201750000007</v>
      </c>
      <c r="P1772" s="21">
        <v>4147595.80155</v>
      </c>
      <c r="S1772" s="108" t="b">
        <f>OR(COUNTIF(Tabla2[[#This Row],[PROVEEDOR]],"*"&amp;'Palabra no opera'!$A$2&amp;"*"))</f>
        <v>0</v>
      </c>
      <c r="T1772" s="139">
        <f>+$W$5-Tabla2[[#This Row],[FECHA DE FACTURACIÓN]]</f>
        <v>605</v>
      </c>
      <c r="U1772" t="str">
        <f>+IF(Tabla2[[#This Row],[dias de credito]]&gt;=Tabla2[[#This Row],[PLAZO Días]],"venc", "No venc")</f>
        <v>venc</v>
      </c>
      <c r="V1772" t="str">
        <f>+IF(Tabla2[[#This Row],[FECHA DE PAGO]]&gt;0,"pagada","por pagar")</f>
        <v>pagada</v>
      </c>
      <c r="W1772" s="141" t="str">
        <f>+IF(AND(Tabla2[[#This Row],[venc]]="venc",Tabla2[[#This Row],[Columna1]]="por pagar"),"vencida","no")</f>
        <v>no</v>
      </c>
    </row>
    <row r="1773" spans="1:23" ht="15.6" hidden="1" x14ac:dyDescent="0.3">
      <c r="A1773" s="20">
        <v>45</v>
      </c>
      <c r="B1773" s="25">
        <v>15770594</v>
      </c>
      <c r="C1773" s="25"/>
      <c r="D1773" s="56" t="s">
        <v>594</v>
      </c>
      <c r="E1773" s="426">
        <v>44757</v>
      </c>
      <c r="F1773" s="26" t="s">
        <v>19</v>
      </c>
      <c r="G1773" s="426">
        <v>44698</v>
      </c>
      <c r="H1773" s="35" t="s">
        <v>681</v>
      </c>
      <c r="I1773" s="21">
        <v>17616000</v>
      </c>
      <c r="J1773" s="21"/>
      <c r="K1773" s="22">
        <v>3347040</v>
      </c>
      <c r="L1773" s="23"/>
      <c r="M1773" s="22">
        <v>0</v>
      </c>
      <c r="N1773" s="74">
        <v>0</v>
      </c>
      <c r="O1773" s="22">
        <v>0</v>
      </c>
      <c r="P1773" s="21">
        <v>20963040</v>
      </c>
      <c r="S1773" s="108" t="b">
        <f>OR(COUNTIF(Tabla2[[#This Row],[PROVEEDOR]],"*"&amp;'Palabra no opera'!$A$2&amp;"*"))</f>
        <v>0</v>
      </c>
      <c r="T1773" s="139">
        <f>+$W$5-Tabla2[[#This Row],[FECHA DE FACTURACIÓN]]</f>
        <v>593</v>
      </c>
      <c r="U1773" t="str">
        <f>+IF(Tabla2[[#This Row],[dias de credito]]&gt;=Tabla2[[#This Row],[PLAZO Días]],"venc", "No venc")</f>
        <v>venc</v>
      </c>
      <c r="V1773" t="str">
        <f>+IF(Tabla2[[#This Row],[FECHA DE PAGO]]&gt;0,"pagada","por pagar")</f>
        <v>pagada</v>
      </c>
      <c r="W1773" s="141" t="str">
        <f>+IF(AND(Tabla2[[#This Row],[venc]]="venc",Tabla2[[#This Row],[Columna1]]="por pagar"),"vencida","no")</f>
        <v>no</v>
      </c>
    </row>
    <row r="1774" spans="1:23" ht="15.6" hidden="1" x14ac:dyDescent="0.3">
      <c r="A1774" s="20">
        <v>30</v>
      </c>
      <c r="B1774" s="25">
        <v>0</v>
      </c>
      <c r="C1774" s="25"/>
      <c r="D1774" s="56" t="s">
        <v>107</v>
      </c>
      <c r="E1774" s="426">
        <v>44756</v>
      </c>
      <c r="F1774" s="26" t="s">
        <v>390</v>
      </c>
      <c r="G1774" s="426">
        <v>44756</v>
      </c>
      <c r="H1774" s="35"/>
      <c r="I1774" s="21">
        <v>1000000</v>
      </c>
      <c r="J1774" s="21"/>
      <c r="K1774" s="22">
        <v>0</v>
      </c>
      <c r="L1774" s="23"/>
      <c r="M1774" s="22">
        <v>0</v>
      </c>
      <c r="N1774" s="74">
        <v>0</v>
      </c>
      <c r="O1774" s="22">
        <v>0</v>
      </c>
      <c r="P1774" s="21">
        <v>1000000</v>
      </c>
      <c r="S1774" s="108" t="b">
        <f>OR(COUNTIF(Tabla2[[#This Row],[PROVEEDOR]],"*"&amp;'Palabra no opera'!$A$2&amp;"*"))</f>
        <v>0</v>
      </c>
      <c r="T1774" s="139">
        <f>+$W$5-Tabla2[[#This Row],[FECHA DE FACTURACIÓN]]</f>
        <v>535</v>
      </c>
      <c r="U1774" t="str">
        <f>+IF(Tabla2[[#This Row],[dias de credito]]&gt;=Tabla2[[#This Row],[PLAZO Días]],"venc", "No venc")</f>
        <v>venc</v>
      </c>
      <c r="V1774" t="str">
        <f>+IF(Tabla2[[#This Row],[FECHA DE PAGO]]&gt;0,"pagada","por pagar")</f>
        <v>pagada</v>
      </c>
      <c r="W1774" s="141" t="str">
        <f>+IF(AND(Tabla2[[#This Row],[venc]]="venc",Tabla2[[#This Row],[Columna1]]="por pagar"),"vencida","no")</f>
        <v>no</v>
      </c>
    </row>
    <row r="1775" spans="1:23" ht="15.6" hidden="1" x14ac:dyDescent="0.3">
      <c r="A1775" s="20">
        <v>30</v>
      </c>
      <c r="B1775" s="25">
        <v>0</v>
      </c>
      <c r="C1775" s="25"/>
      <c r="D1775" s="56" t="s">
        <v>942</v>
      </c>
      <c r="E1775" s="426">
        <v>44756</v>
      </c>
      <c r="F1775" s="26" t="s">
        <v>829</v>
      </c>
      <c r="G1775" s="426">
        <v>44756</v>
      </c>
      <c r="H1775" s="35" t="s">
        <v>830</v>
      </c>
      <c r="I1775" s="21">
        <v>53782</v>
      </c>
      <c r="J1775" s="21"/>
      <c r="K1775" s="22">
        <v>10218.58</v>
      </c>
      <c r="L1775" s="23"/>
      <c r="M1775" s="22">
        <v>0</v>
      </c>
      <c r="N1775" s="74">
        <v>0</v>
      </c>
      <c r="O1775" s="22">
        <v>0</v>
      </c>
      <c r="P1775" s="21">
        <v>64000.58</v>
      </c>
      <c r="S1775" s="108" t="b">
        <f>OR(COUNTIF(Tabla2[[#This Row],[PROVEEDOR]],"*"&amp;'Palabra no opera'!$A$2&amp;"*"))</f>
        <v>1</v>
      </c>
      <c r="T1775" s="139">
        <f>+$W$5-Tabla2[[#This Row],[FECHA DE FACTURACIÓN]]</f>
        <v>535</v>
      </c>
      <c r="U1775" t="str">
        <f>+IF(Tabla2[[#This Row],[dias de credito]]&gt;=Tabla2[[#This Row],[PLAZO Días]],"venc", "No venc")</f>
        <v>venc</v>
      </c>
      <c r="V1775" t="str">
        <f>+IF(Tabla2[[#This Row],[FECHA DE PAGO]]&gt;0,"pagada","por pagar")</f>
        <v>pagada</v>
      </c>
      <c r="W1775" s="141" t="str">
        <f>+IF(AND(Tabla2[[#This Row],[venc]]="venc",Tabla2[[#This Row],[Columna1]]="por pagar"),"vencida","no")</f>
        <v>no</v>
      </c>
    </row>
    <row r="1776" spans="1:23" ht="15.6" hidden="1" x14ac:dyDescent="0.3">
      <c r="A1776" s="20">
        <v>30</v>
      </c>
      <c r="B1776" s="25">
        <v>0</v>
      </c>
      <c r="C1776" s="25"/>
      <c r="D1776" s="56" t="s">
        <v>258</v>
      </c>
      <c r="E1776" s="426">
        <v>44756</v>
      </c>
      <c r="F1776" s="26" t="s">
        <v>394</v>
      </c>
      <c r="G1776" s="426">
        <v>44725</v>
      </c>
      <c r="H1776" s="35" t="s">
        <v>772</v>
      </c>
      <c r="I1776" s="21">
        <v>1020000</v>
      </c>
      <c r="J1776" s="21"/>
      <c r="K1776" s="22">
        <v>0</v>
      </c>
      <c r="L1776" s="23"/>
      <c r="M1776" s="22">
        <v>0</v>
      </c>
      <c r="N1776" s="74">
        <v>0</v>
      </c>
      <c r="O1776" s="22">
        <v>0</v>
      </c>
      <c r="P1776" s="21">
        <v>1020000</v>
      </c>
      <c r="S1776" s="108" t="b">
        <f>OR(COUNTIF(Tabla2[[#This Row],[PROVEEDOR]],"*"&amp;'Palabra no opera'!$A$2&amp;"*"))</f>
        <v>0</v>
      </c>
      <c r="T1776" s="139">
        <f>+$W$5-Tabla2[[#This Row],[FECHA DE FACTURACIÓN]]</f>
        <v>566</v>
      </c>
      <c r="U1776" t="str">
        <f>+IF(Tabla2[[#This Row],[dias de credito]]&gt;=Tabla2[[#This Row],[PLAZO Días]],"venc", "No venc")</f>
        <v>venc</v>
      </c>
      <c r="V1776" t="str">
        <f>+IF(Tabla2[[#This Row],[FECHA DE PAGO]]&gt;0,"pagada","por pagar")</f>
        <v>pagada</v>
      </c>
      <c r="W1776" s="141" t="str">
        <f>+IF(AND(Tabla2[[#This Row],[venc]]="venc",Tabla2[[#This Row],[Columna1]]="por pagar"),"vencida","no")</f>
        <v>no</v>
      </c>
    </row>
    <row r="1777" spans="1:23" ht="15.6" hidden="1" x14ac:dyDescent="0.3">
      <c r="A1777" s="20">
        <v>30</v>
      </c>
      <c r="B1777" s="25">
        <v>429590</v>
      </c>
      <c r="C1777" s="25"/>
      <c r="D1777" s="56" t="s">
        <v>196</v>
      </c>
      <c r="E1777" s="426">
        <v>44756</v>
      </c>
      <c r="F1777" s="26" t="s">
        <v>39</v>
      </c>
      <c r="G1777" s="426">
        <v>44714</v>
      </c>
      <c r="H1777" s="35">
        <v>1322</v>
      </c>
      <c r="I1777" s="21">
        <v>577750</v>
      </c>
      <c r="J1777" s="21"/>
      <c r="K1777" s="22">
        <v>109772.5</v>
      </c>
      <c r="L1777" s="23"/>
      <c r="M1777" s="22">
        <v>0</v>
      </c>
      <c r="N1777" s="74">
        <v>0</v>
      </c>
      <c r="O1777" s="22">
        <v>0</v>
      </c>
      <c r="P1777" s="21">
        <v>687522.5</v>
      </c>
      <c r="S1777" s="108" t="b">
        <f>OR(COUNTIF(Tabla2[[#This Row],[PROVEEDOR]],"*"&amp;'Palabra no opera'!$A$2&amp;"*"))</f>
        <v>0</v>
      </c>
      <c r="T1777" s="139">
        <f>+$W$5-Tabla2[[#This Row],[FECHA DE FACTURACIÓN]]</f>
        <v>577</v>
      </c>
      <c r="U1777" t="str">
        <f>+IF(Tabla2[[#This Row],[dias de credito]]&gt;=Tabla2[[#This Row],[PLAZO Días]],"venc", "No venc")</f>
        <v>venc</v>
      </c>
      <c r="V1777" t="str">
        <f>+IF(Tabla2[[#This Row],[FECHA DE PAGO]]&gt;0,"pagada","por pagar")</f>
        <v>pagada</v>
      </c>
      <c r="W1777" s="141" t="str">
        <f>+IF(AND(Tabla2[[#This Row],[venc]]="venc",Tabla2[[#This Row],[Columna1]]="por pagar"),"vencida","no")</f>
        <v>no</v>
      </c>
    </row>
    <row r="1778" spans="1:23" ht="15.6" hidden="1" x14ac:dyDescent="0.3">
      <c r="A1778" s="20">
        <v>30</v>
      </c>
      <c r="B1778" s="25">
        <v>0</v>
      </c>
      <c r="C1778" s="25"/>
      <c r="D1778" s="56" t="s">
        <v>828</v>
      </c>
      <c r="E1778" s="426">
        <v>44755</v>
      </c>
      <c r="F1778" s="26" t="s">
        <v>827</v>
      </c>
      <c r="G1778" s="426">
        <v>44755</v>
      </c>
      <c r="H1778" s="35">
        <v>524</v>
      </c>
      <c r="I1778" s="21">
        <v>420168</v>
      </c>
      <c r="J1778" s="21"/>
      <c r="K1778" s="22">
        <v>79831.92</v>
      </c>
      <c r="L1778" s="23"/>
      <c r="M1778" s="22">
        <v>0</v>
      </c>
      <c r="N1778" s="74">
        <v>0</v>
      </c>
      <c r="O1778" s="22">
        <v>0</v>
      </c>
      <c r="P1778" s="21">
        <v>499999.92</v>
      </c>
      <c r="S1778" s="108" t="b">
        <f>OR(COUNTIF(Tabla2[[#This Row],[PROVEEDOR]],"*"&amp;'Palabra no opera'!$A$2&amp;"*"))</f>
        <v>0</v>
      </c>
      <c r="T1778" s="139">
        <f>+$W$5-Tabla2[[#This Row],[FECHA DE FACTURACIÓN]]</f>
        <v>536</v>
      </c>
      <c r="U1778" t="str">
        <f>+IF(Tabla2[[#This Row],[dias de credito]]&gt;=Tabla2[[#This Row],[PLAZO Días]],"venc", "No venc")</f>
        <v>venc</v>
      </c>
      <c r="V1778" t="str">
        <f>+IF(Tabla2[[#This Row],[FECHA DE PAGO]]&gt;0,"pagada","por pagar")</f>
        <v>pagada</v>
      </c>
      <c r="W1778" s="141" t="str">
        <f>+IF(AND(Tabla2[[#This Row],[venc]]="venc",Tabla2[[#This Row],[Columna1]]="por pagar"),"vencida","no")</f>
        <v>no</v>
      </c>
    </row>
    <row r="1779" spans="1:23" ht="15.6" hidden="1" x14ac:dyDescent="0.3">
      <c r="A1779" s="20">
        <v>30</v>
      </c>
      <c r="B1779" s="25">
        <v>4248480.9550000001</v>
      </c>
      <c r="C1779" s="25"/>
      <c r="D1779" s="56" t="s">
        <v>107</v>
      </c>
      <c r="E1779" s="426">
        <v>44755</v>
      </c>
      <c r="F1779" s="26" t="s">
        <v>78</v>
      </c>
      <c r="G1779" s="426">
        <v>44741</v>
      </c>
      <c r="H1779" s="35">
        <v>8313</v>
      </c>
      <c r="I1779" s="21">
        <v>849316.78</v>
      </c>
      <c r="J1779" s="21"/>
      <c r="K1779" s="22">
        <v>161370.1882</v>
      </c>
      <c r="L1779" s="23"/>
      <c r="M1779" s="22">
        <v>0</v>
      </c>
      <c r="N1779" s="74">
        <v>0</v>
      </c>
      <c r="O1779" s="22">
        <v>0</v>
      </c>
      <c r="P1779" s="21">
        <v>1010686.9682</v>
      </c>
      <c r="S1779" s="108" t="b">
        <f>OR(COUNTIF(Tabla2[[#This Row],[PROVEEDOR]],"*"&amp;'Palabra no opera'!$A$2&amp;"*"))</f>
        <v>0</v>
      </c>
      <c r="T1779" s="139">
        <f>+$W$5-Tabla2[[#This Row],[FECHA DE FACTURACIÓN]]</f>
        <v>550</v>
      </c>
      <c r="U1779" t="str">
        <f>+IF(Tabla2[[#This Row],[dias de credito]]&gt;=Tabla2[[#This Row],[PLAZO Días]],"venc", "No venc")</f>
        <v>venc</v>
      </c>
      <c r="V1779" t="str">
        <f>+IF(Tabla2[[#This Row],[FECHA DE PAGO]]&gt;0,"pagada","por pagar")</f>
        <v>pagada</v>
      </c>
      <c r="W1779" s="141" t="str">
        <f>+IF(AND(Tabla2[[#This Row],[venc]]="venc",Tabla2[[#This Row],[Columna1]]="por pagar"),"vencida","no")</f>
        <v>no</v>
      </c>
    </row>
    <row r="1780" spans="1:23" ht="15.6" hidden="1" x14ac:dyDescent="0.3">
      <c r="A1780" s="20">
        <v>30</v>
      </c>
      <c r="B1780" s="25">
        <v>1316890.8900000001</v>
      </c>
      <c r="C1780" s="25"/>
      <c r="D1780" s="56" t="s">
        <v>188</v>
      </c>
      <c r="E1780" s="426">
        <v>44754</v>
      </c>
      <c r="F1780" s="26" t="s">
        <v>17</v>
      </c>
      <c r="G1780" s="426">
        <v>44722</v>
      </c>
      <c r="H1780" s="35" t="s">
        <v>750</v>
      </c>
      <c r="I1780" s="21">
        <v>491000</v>
      </c>
      <c r="J1780" s="21"/>
      <c r="K1780" s="22">
        <v>93290</v>
      </c>
      <c r="L1780" s="23"/>
      <c r="M1780" s="22">
        <v>0</v>
      </c>
      <c r="N1780" s="74">
        <v>0</v>
      </c>
      <c r="O1780" s="22">
        <v>0</v>
      </c>
      <c r="P1780" s="21">
        <v>584290</v>
      </c>
      <c r="S1780" s="108" t="b">
        <f>OR(COUNTIF(Tabla2[[#This Row],[PROVEEDOR]],"*"&amp;'Palabra no opera'!$A$2&amp;"*"))</f>
        <v>0</v>
      </c>
      <c r="T1780" s="139">
        <f>+$W$5-Tabla2[[#This Row],[FECHA DE FACTURACIÓN]]</f>
        <v>569</v>
      </c>
      <c r="U1780" t="str">
        <f>+IF(Tabla2[[#This Row],[dias de credito]]&gt;=Tabla2[[#This Row],[PLAZO Días]],"venc", "No venc")</f>
        <v>venc</v>
      </c>
      <c r="V1780" t="str">
        <f>+IF(Tabla2[[#This Row],[FECHA DE PAGO]]&gt;0,"pagada","por pagar")</f>
        <v>pagada</v>
      </c>
      <c r="W1780" s="141" t="str">
        <f>+IF(AND(Tabla2[[#This Row],[venc]]="venc",Tabla2[[#This Row],[Columna1]]="por pagar"),"vencida","no")</f>
        <v>no</v>
      </c>
    </row>
    <row r="1781" spans="1:23" ht="15.6" hidden="1" x14ac:dyDescent="0.3">
      <c r="A1781" s="20">
        <v>30</v>
      </c>
      <c r="B1781" s="25">
        <v>1316890.8900000001</v>
      </c>
      <c r="C1781" s="25"/>
      <c r="D1781" s="56" t="s">
        <v>188</v>
      </c>
      <c r="E1781" s="426">
        <v>44754</v>
      </c>
      <c r="F1781" s="26" t="s">
        <v>17</v>
      </c>
      <c r="G1781" s="426">
        <v>44720</v>
      </c>
      <c r="H1781" s="35">
        <v>1923991</v>
      </c>
      <c r="I1781" s="21">
        <v>1190000</v>
      </c>
      <c r="J1781" s="21"/>
      <c r="K1781" s="22">
        <v>226100</v>
      </c>
      <c r="L1781" s="23"/>
      <c r="M1781" s="22">
        <v>0</v>
      </c>
      <c r="N1781" s="74">
        <v>0</v>
      </c>
      <c r="O1781" s="22">
        <v>0</v>
      </c>
      <c r="P1781" s="21">
        <v>1416100</v>
      </c>
      <c r="S1781" s="108" t="b">
        <f>OR(COUNTIF(Tabla2[[#This Row],[PROVEEDOR]],"*"&amp;'Palabra no opera'!$A$2&amp;"*"))</f>
        <v>0</v>
      </c>
      <c r="T1781" s="139">
        <f>+$W$5-Tabla2[[#This Row],[FECHA DE FACTURACIÓN]]</f>
        <v>571</v>
      </c>
      <c r="U1781" t="str">
        <f>+IF(Tabla2[[#This Row],[dias de credito]]&gt;=Tabla2[[#This Row],[PLAZO Días]],"venc", "No venc")</f>
        <v>venc</v>
      </c>
      <c r="V1781" t="str">
        <f>+IF(Tabla2[[#This Row],[FECHA DE PAGO]]&gt;0,"pagada","por pagar")</f>
        <v>pagada</v>
      </c>
      <c r="W1781" s="141" t="str">
        <f>+IF(AND(Tabla2[[#This Row],[venc]]="venc",Tabla2[[#This Row],[Columna1]]="por pagar"),"vencida","no")</f>
        <v>no</v>
      </c>
    </row>
    <row r="1782" spans="1:23" ht="15.6" hidden="1" x14ac:dyDescent="0.3">
      <c r="A1782" s="20">
        <v>45</v>
      </c>
      <c r="B1782" s="25">
        <v>8072960</v>
      </c>
      <c r="C1782" s="25" t="s">
        <v>760</v>
      </c>
      <c r="D1782" s="56" t="s">
        <v>198</v>
      </c>
      <c r="E1782" s="426">
        <v>44754</v>
      </c>
      <c r="F1782" s="26" t="s">
        <v>10</v>
      </c>
      <c r="G1782" s="426">
        <v>44718</v>
      </c>
      <c r="H1782" s="35" t="s">
        <v>1076</v>
      </c>
      <c r="I1782" s="21">
        <v>-72804.2</v>
      </c>
      <c r="J1782" s="21"/>
      <c r="K1782" s="22"/>
      <c r="L1782" s="23"/>
      <c r="M1782" s="22">
        <v>0</v>
      </c>
      <c r="N1782" s="74">
        <v>0</v>
      </c>
      <c r="O1782" s="22">
        <v>0</v>
      </c>
      <c r="P1782" s="21">
        <v>-72804.2</v>
      </c>
      <c r="S1782" s="108" t="b">
        <f>OR(COUNTIF(Tabla2[[#This Row],[PROVEEDOR]],"*"&amp;'Palabra no opera'!$A$2&amp;"*"))</f>
        <v>0</v>
      </c>
      <c r="T1782" s="139">
        <f>+$W$5-Tabla2[[#This Row],[FECHA DE FACTURACIÓN]]</f>
        <v>573</v>
      </c>
      <c r="U1782" t="str">
        <f>+IF(Tabla2[[#This Row],[dias de credito]]&gt;=Tabla2[[#This Row],[PLAZO Días]],"venc", "No venc")</f>
        <v>venc</v>
      </c>
      <c r="V1782" t="str">
        <f>+IF(Tabla2[[#This Row],[FECHA DE PAGO]]&gt;0,"pagada","por pagar")</f>
        <v>pagada</v>
      </c>
      <c r="W1782" s="141" t="str">
        <f>+IF(AND(Tabla2[[#This Row],[venc]]="venc",Tabla2[[#This Row],[Columna1]]="por pagar"),"vencida","no")</f>
        <v>no</v>
      </c>
    </row>
    <row r="1783" spans="1:23" ht="15.6" hidden="1" x14ac:dyDescent="0.3">
      <c r="A1783" s="20">
        <v>30</v>
      </c>
      <c r="B1783" s="25">
        <v>2100000</v>
      </c>
      <c r="C1783" s="25"/>
      <c r="D1783" s="56" t="s">
        <v>107</v>
      </c>
      <c r="E1783" s="426">
        <v>44754</v>
      </c>
      <c r="F1783" s="26" t="s">
        <v>349</v>
      </c>
      <c r="G1783" s="426">
        <v>44714</v>
      </c>
      <c r="H1783" s="35" t="s">
        <v>815</v>
      </c>
      <c r="I1783" s="21">
        <v>1370000</v>
      </c>
      <c r="J1783" s="21"/>
      <c r="K1783" s="22">
        <v>0</v>
      </c>
      <c r="L1783" s="23"/>
      <c r="M1783" s="22">
        <v>0</v>
      </c>
      <c r="N1783" s="74">
        <v>0</v>
      </c>
      <c r="O1783" s="22">
        <v>0</v>
      </c>
      <c r="P1783" s="21">
        <v>1370000</v>
      </c>
      <c r="S1783" s="108" t="b">
        <f>OR(COUNTIF(Tabla2[[#This Row],[PROVEEDOR]],"*"&amp;'Palabra no opera'!$A$2&amp;"*"))</f>
        <v>0</v>
      </c>
      <c r="T1783" s="139">
        <f>+$W$5-Tabla2[[#This Row],[FECHA DE FACTURACIÓN]]</f>
        <v>577</v>
      </c>
      <c r="U1783" t="str">
        <f>+IF(Tabla2[[#This Row],[dias de credito]]&gt;=Tabla2[[#This Row],[PLAZO Días]],"venc", "No venc")</f>
        <v>venc</v>
      </c>
      <c r="V1783" t="str">
        <f>+IF(Tabla2[[#This Row],[FECHA DE PAGO]]&gt;0,"pagada","por pagar")</f>
        <v>pagada</v>
      </c>
      <c r="W1783" s="141" t="str">
        <f>+IF(AND(Tabla2[[#This Row],[venc]]="venc",Tabla2[[#This Row],[Columna1]]="por pagar"),"vencida","no")</f>
        <v>no</v>
      </c>
    </row>
    <row r="1784" spans="1:23" ht="15.6" hidden="1" x14ac:dyDescent="0.3">
      <c r="A1784" s="20">
        <v>45</v>
      </c>
      <c r="B1784" s="25">
        <v>8072960</v>
      </c>
      <c r="C1784" s="25"/>
      <c r="D1784" s="56" t="s">
        <v>198</v>
      </c>
      <c r="E1784" s="426">
        <v>44754</v>
      </c>
      <c r="F1784" s="26" t="s">
        <v>10</v>
      </c>
      <c r="G1784" s="426">
        <v>44704</v>
      </c>
      <c r="H1784" s="35" t="s">
        <v>692</v>
      </c>
      <c r="I1784" s="21">
        <v>779000</v>
      </c>
      <c r="J1784" s="21"/>
      <c r="K1784" s="22">
        <v>148010</v>
      </c>
      <c r="L1784" s="23"/>
      <c r="M1784" s="22">
        <v>0</v>
      </c>
      <c r="N1784" s="74">
        <v>0</v>
      </c>
      <c r="O1784" s="22">
        <v>0</v>
      </c>
      <c r="P1784" s="21">
        <v>927010</v>
      </c>
      <c r="S1784" s="108" t="b">
        <f>OR(COUNTIF(Tabla2[[#This Row],[PROVEEDOR]],"*"&amp;'Palabra no opera'!$A$2&amp;"*"))</f>
        <v>0</v>
      </c>
      <c r="T1784" s="139">
        <f>+$W$5-Tabla2[[#This Row],[FECHA DE FACTURACIÓN]]</f>
        <v>587</v>
      </c>
      <c r="U1784" t="str">
        <f>+IF(Tabla2[[#This Row],[dias de credito]]&gt;=Tabla2[[#This Row],[PLAZO Días]],"venc", "No venc")</f>
        <v>venc</v>
      </c>
      <c r="V1784" t="str">
        <f>+IF(Tabla2[[#This Row],[FECHA DE PAGO]]&gt;0,"pagada","por pagar")</f>
        <v>pagada</v>
      </c>
      <c r="W1784" s="141" t="str">
        <f>+IF(AND(Tabla2[[#This Row],[venc]]="venc",Tabla2[[#This Row],[Columna1]]="por pagar"),"vencida","no")</f>
        <v>no</v>
      </c>
    </row>
    <row r="1785" spans="1:23" ht="15.6" hidden="1" x14ac:dyDescent="0.3">
      <c r="A1785" s="20">
        <v>30</v>
      </c>
      <c r="B1785" s="25">
        <v>0</v>
      </c>
      <c r="C1785" s="25"/>
      <c r="D1785" s="56" t="s">
        <v>402</v>
      </c>
      <c r="E1785" s="426">
        <v>44754</v>
      </c>
      <c r="F1785" s="26" t="s">
        <v>403</v>
      </c>
      <c r="G1785" s="426">
        <v>44688</v>
      </c>
      <c r="H1785" s="35" t="s">
        <v>1023</v>
      </c>
      <c r="I1785" s="21">
        <v>1300000</v>
      </c>
      <c r="J1785" s="21"/>
      <c r="K1785" s="22">
        <v>0</v>
      </c>
      <c r="L1785" s="23"/>
      <c r="M1785" s="22">
        <v>0</v>
      </c>
      <c r="N1785" s="74">
        <v>0</v>
      </c>
      <c r="O1785" s="22">
        <v>0</v>
      </c>
      <c r="P1785" s="21">
        <v>1300000</v>
      </c>
      <c r="S1785" s="108" t="b">
        <f>OR(COUNTIF(Tabla2[[#This Row],[PROVEEDOR]],"*"&amp;'Palabra no opera'!$A$2&amp;"*"))</f>
        <v>0</v>
      </c>
      <c r="T1785" s="139">
        <f>+$W$5-Tabla2[[#This Row],[FECHA DE FACTURACIÓN]]</f>
        <v>603</v>
      </c>
      <c r="U1785" t="str">
        <f>+IF(Tabla2[[#This Row],[dias de credito]]&gt;=Tabla2[[#This Row],[PLAZO Días]],"venc", "No venc")</f>
        <v>venc</v>
      </c>
      <c r="V1785" t="str">
        <f>+IF(Tabla2[[#This Row],[FECHA DE PAGO]]&gt;0,"pagada","por pagar")</f>
        <v>pagada</v>
      </c>
      <c r="W1785" s="141" t="str">
        <f>+IF(AND(Tabla2[[#This Row],[venc]]="venc",Tabla2[[#This Row],[Columna1]]="por pagar"),"vencida","no")</f>
        <v>no</v>
      </c>
    </row>
    <row r="1786" spans="1:23" ht="15.6" hidden="1" x14ac:dyDescent="0.3">
      <c r="A1786" s="20">
        <v>45</v>
      </c>
      <c r="B1786" s="25">
        <v>8072960</v>
      </c>
      <c r="C1786" s="25"/>
      <c r="D1786" s="56" t="s">
        <v>198</v>
      </c>
      <c r="E1786" s="426">
        <v>44754</v>
      </c>
      <c r="F1786" s="26" t="s">
        <v>10</v>
      </c>
      <c r="G1786" s="426">
        <v>44673</v>
      </c>
      <c r="H1786" s="35" t="s">
        <v>596</v>
      </c>
      <c r="I1786" s="21">
        <v>592500</v>
      </c>
      <c r="J1786" s="21"/>
      <c r="K1786" s="22">
        <v>112575</v>
      </c>
      <c r="L1786" s="23"/>
      <c r="M1786" s="22">
        <v>0</v>
      </c>
      <c r="N1786" s="74">
        <v>0</v>
      </c>
      <c r="O1786" s="22">
        <v>0</v>
      </c>
      <c r="P1786" s="21">
        <v>705075</v>
      </c>
      <c r="S1786" s="108" t="b">
        <f>OR(COUNTIF(Tabla2[[#This Row],[PROVEEDOR]],"*"&amp;'Palabra no opera'!$A$2&amp;"*"))</f>
        <v>0</v>
      </c>
      <c r="T1786" s="139">
        <f>+$W$5-Tabla2[[#This Row],[FECHA DE FACTURACIÓN]]</f>
        <v>618</v>
      </c>
      <c r="U1786" t="str">
        <f>+IF(Tabla2[[#This Row],[dias de credito]]&gt;=Tabla2[[#This Row],[PLAZO Días]],"venc", "No venc")</f>
        <v>venc</v>
      </c>
      <c r="V1786" t="str">
        <f>+IF(Tabla2[[#This Row],[FECHA DE PAGO]]&gt;0,"pagada","por pagar")</f>
        <v>pagada</v>
      </c>
      <c r="W1786" s="141" t="str">
        <f>+IF(AND(Tabla2[[#This Row],[venc]]="venc",Tabla2[[#This Row],[Columna1]]="por pagar"),"vencida","no")</f>
        <v>no</v>
      </c>
    </row>
    <row r="1787" spans="1:23" ht="15.6" hidden="1" x14ac:dyDescent="0.3">
      <c r="A1787" s="20">
        <v>45</v>
      </c>
      <c r="B1787" s="25">
        <v>8072960</v>
      </c>
      <c r="C1787" s="25"/>
      <c r="D1787" s="56" t="s">
        <v>198</v>
      </c>
      <c r="E1787" s="426">
        <v>44754</v>
      </c>
      <c r="F1787" s="26" t="s">
        <v>10</v>
      </c>
      <c r="G1787" s="426">
        <v>44672</v>
      </c>
      <c r="H1787" s="35" t="s">
        <v>597</v>
      </c>
      <c r="I1787" s="21">
        <v>1376000</v>
      </c>
      <c r="J1787" s="21"/>
      <c r="K1787" s="22">
        <v>261440</v>
      </c>
      <c r="L1787" s="23"/>
      <c r="M1787" s="22">
        <v>0</v>
      </c>
      <c r="N1787" s="74">
        <v>0</v>
      </c>
      <c r="O1787" s="22">
        <v>0</v>
      </c>
      <c r="P1787" s="21">
        <v>1637440</v>
      </c>
      <c r="S1787" s="108" t="b">
        <f>OR(COUNTIF(Tabla2[[#This Row],[PROVEEDOR]],"*"&amp;'Palabra no opera'!$A$2&amp;"*"))</f>
        <v>0</v>
      </c>
      <c r="T1787" s="139">
        <f>+$W$5-Tabla2[[#This Row],[FECHA DE FACTURACIÓN]]</f>
        <v>619</v>
      </c>
      <c r="U1787" t="str">
        <f>+IF(Tabla2[[#This Row],[dias de credito]]&gt;=Tabla2[[#This Row],[PLAZO Días]],"venc", "No venc")</f>
        <v>venc</v>
      </c>
      <c r="V1787" t="str">
        <f>+IF(Tabla2[[#This Row],[FECHA DE PAGO]]&gt;0,"pagada","por pagar")</f>
        <v>pagada</v>
      </c>
      <c r="W1787" s="141" t="str">
        <f>+IF(AND(Tabla2[[#This Row],[venc]]="venc",Tabla2[[#This Row],[Columna1]]="por pagar"),"vencida","no")</f>
        <v>no</v>
      </c>
    </row>
    <row r="1788" spans="1:23" ht="15.6" hidden="1" x14ac:dyDescent="0.3">
      <c r="A1788" s="20">
        <v>30</v>
      </c>
      <c r="B1788" s="25">
        <v>352505.48</v>
      </c>
      <c r="C1788" s="25"/>
      <c r="D1788" s="56" t="s">
        <v>393</v>
      </c>
      <c r="E1788" s="426">
        <v>44751</v>
      </c>
      <c r="F1788" s="26" t="s">
        <v>650</v>
      </c>
      <c r="G1788" s="426">
        <v>44743</v>
      </c>
      <c r="H1788" s="35">
        <v>68089</v>
      </c>
      <c r="I1788" s="21">
        <v>284467</v>
      </c>
      <c r="J1788" s="21"/>
      <c r="K1788" s="22">
        <v>0</v>
      </c>
      <c r="L1788" s="23"/>
      <c r="M1788" s="22">
        <v>0</v>
      </c>
      <c r="N1788" s="74">
        <v>0</v>
      </c>
      <c r="O1788" s="22">
        <v>0</v>
      </c>
      <c r="P1788" s="21">
        <v>284467</v>
      </c>
      <c r="S1788" s="108" t="b">
        <f>OR(COUNTIF(Tabla2[[#This Row],[PROVEEDOR]],"*"&amp;'Palabra no opera'!$A$2&amp;"*"))</f>
        <v>1</v>
      </c>
      <c r="T1788" s="139">
        <f>+$W$5-Tabla2[[#This Row],[FECHA DE FACTURACIÓN]]</f>
        <v>548</v>
      </c>
      <c r="U1788" t="str">
        <f>+IF(Tabla2[[#This Row],[dias de credito]]&gt;=Tabla2[[#This Row],[PLAZO Días]],"venc", "No venc")</f>
        <v>venc</v>
      </c>
      <c r="V1788" t="str">
        <f>+IF(Tabla2[[#This Row],[FECHA DE PAGO]]&gt;0,"pagada","por pagar")</f>
        <v>pagada</v>
      </c>
      <c r="W1788" s="141" t="str">
        <f>+IF(AND(Tabla2[[#This Row],[venc]]="venc",Tabla2[[#This Row],[Columna1]]="por pagar"),"vencida","no")</f>
        <v>no</v>
      </c>
    </row>
    <row r="1789" spans="1:23" ht="15.6" hidden="1" x14ac:dyDescent="0.3">
      <c r="A1789" s="20">
        <v>30</v>
      </c>
      <c r="B1789" s="25">
        <v>0</v>
      </c>
      <c r="C1789" s="25"/>
      <c r="D1789" s="56" t="s">
        <v>107</v>
      </c>
      <c r="E1789" s="426">
        <v>44750</v>
      </c>
      <c r="F1789" s="26" t="s">
        <v>390</v>
      </c>
      <c r="G1789" s="426">
        <v>44750</v>
      </c>
      <c r="H1789" s="35"/>
      <c r="I1789" s="21">
        <v>1000000</v>
      </c>
      <c r="J1789" s="21"/>
      <c r="K1789" s="22">
        <v>0</v>
      </c>
      <c r="L1789" s="23"/>
      <c r="M1789" s="22">
        <v>0</v>
      </c>
      <c r="N1789" s="74">
        <v>0</v>
      </c>
      <c r="O1789" s="22">
        <v>0</v>
      </c>
      <c r="P1789" s="21">
        <v>1000000</v>
      </c>
      <c r="S1789" s="108" t="b">
        <f>OR(COUNTIF(Tabla2[[#This Row],[PROVEEDOR]],"*"&amp;'Palabra no opera'!$A$2&amp;"*"))</f>
        <v>0</v>
      </c>
      <c r="T1789" s="139">
        <f>+$W$5-Tabla2[[#This Row],[FECHA DE FACTURACIÓN]]</f>
        <v>541</v>
      </c>
      <c r="U1789" t="str">
        <f>+IF(Tabla2[[#This Row],[dias de credito]]&gt;=Tabla2[[#This Row],[PLAZO Días]],"venc", "No venc")</f>
        <v>venc</v>
      </c>
      <c r="V1789" t="str">
        <f>+IF(Tabla2[[#This Row],[FECHA DE PAGO]]&gt;0,"pagada","por pagar")</f>
        <v>pagada</v>
      </c>
      <c r="W1789" s="141" t="str">
        <f>+IF(AND(Tabla2[[#This Row],[venc]]="venc",Tabla2[[#This Row],[Columna1]]="por pagar"),"vencida","no")</f>
        <v>no</v>
      </c>
    </row>
    <row r="1790" spans="1:23" ht="15.6" hidden="1" x14ac:dyDescent="0.3">
      <c r="A1790" s="20">
        <v>30</v>
      </c>
      <c r="B1790" s="25">
        <v>0</v>
      </c>
      <c r="C1790" s="25"/>
      <c r="D1790" s="56" t="s">
        <v>679</v>
      </c>
      <c r="E1790" s="426">
        <v>44750</v>
      </c>
      <c r="F1790" s="26" t="s">
        <v>814</v>
      </c>
      <c r="G1790" s="426">
        <v>44750</v>
      </c>
      <c r="H1790" s="35">
        <v>17198</v>
      </c>
      <c r="I1790" s="21">
        <v>252825</v>
      </c>
      <c r="J1790" s="21"/>
      <c r="K1790" s="22">
        <v>48036.75</v>
      </c>
      <c r="L1790" s="23"/>
      <c r="M1790" s="22">
        <v>0</v>
      </c>
      <c r="N1790" s="74">
        <v>0</v>
      </c>
      <c r="O1790" s="22">
        <v>0</v>
      </c>
      <c r="P1790" s="21">
        <v>300861.75</v>
      </c>
      <c r="S1790" s="108" t="b">
        <f>OR(COUNTIF(Tabla2[[#This Row],[PROVEEDOR]],"*"&amp;'Palabra no opera'!$A$2&amp;"*"))</f>
        <v>1</v>
      </c>
      <c r="T1790" s="139">
        <f>+$W$5-Tabla2[[#This Row],[FECHA DE FACTURACIÓN]]</f>
        <v>541</v>
      </c>
      <c r="U1790" t="str">
        <f>+IF(Tabla2[[#This Row],[dias de credito]]&gt;=Tabla2[[#This Row],[PLAZO Días]],"venc", "No venc")</f>
        <v>venc</v>
      </c>
      <c r="V1790" t="str">
        <f>+IF(Tabla2[[#This Row],[FECHA DE PAGO]]&gt;0,"pagada","por pagar")</f>
        <v>pagada</v>
      </c>
      <c r="W1790" s="141" t="str">
        <f>+IF(AND(Tabla2[[#This Row],[venc]]="venc",Tabla2[[#This Row],[Columna1]]="por pagar"),"vencida","no")</f>
        <v>no</v>
      </c>
    </row>
    <row r="1791" spans="1:23" ht="15.6" hidden="1" x14ac:dyDescent="0.3">
      <c r="A1791" s="20">
        <v>30</v>
      </c>
      <c r="B1791" s="25">
        <v>0</v>
      </c>
      <c r="C1791" s="25"/>
      <c r="D1791" s="56" t="s">
        <v>368</v>
      </c>
      <c r="E1791" s="426">
        <v>44750</v>
      </c>
      <c r="F1791" s="26" t="s">
        <v>623</v>
      </c>
      <c r="G1791" s="426">
        <v>44743</v>
      </c>
      <c r="H1791" s="35" t="s">
        <v>790</v>
      </c>
      <c r="I1791" s="21">
        <v>3694</v>
      </c>
      <c r="J1791" s="21"/>
      <c r="K1791" s="22">
        <v>701.86</v>
      </c>
      <c r="L1791" s="23"/>
      <c r="M1791" s="22">
        <v>0</v>
      </c>
      <c r="N1791" s="74">
        <v>0</v>
      </c>
      <c r="O1791" s="22">
        <v>0</v>
      </c>
      <c r="P1791" s="21">
        <v>4395.8599999999997</v>
      </c>
      <c r="S1791" s="108" t="b">
        <f>OR(COUNTIF(Tabla2[[#This Row],[PROVEEDOR]],"*"&amp;'Palabra no opera'!$A$2&amp;"*"))</f>
        <v>1</v>
      </c>
      <c r="T1791" s="139">
        <f>+$W$5-Tabla2[[#This Row],[FECHA DE FACTURACIÓN]]</f>
        <v>548</v>
      </c>
      <c r="U1791" t="str">
        <f>+IF(Tabla2[[#This Row],[dias de credito]]&gt;=Tabla2[[#This Row],[PLAZO Días]],"venc", "No venc")</f>
        <v>venc</v>
      </c>
      <c r="V1791" t="str">
        <f>+IF(Tabla2[[#This Row],[FECHA DE PAGO]]&gt;0,"pagada","por pagar")</f>
        <v>pagada</v>
      </c>
      <c r="W1791" s="141" t="str">
        <f>+IF(AND(Tabla2[[#This Row],[venc]]="venc",Tabla2[[#This Row],[Columna1]]="por pagar"),"vencida","no")</f>
        <v>no</v>
      </c>
    </row>
    <row r="1792" spans="1:23" ht="15.6" hidden="1" x14ac:dyDescent="0.3">
      <c r="A1792" s="20">
        <v>30</v>
      </c>
      <c r="B1792" s="25">
        <v>0</v>
      </c>
      <c r="C1792" s="25"/>
      <c r="D1792" s="56" t="s">
        <v>368</v>
      </c>
      <c r="E1792" s="426">
        <v>44750</v>
      </c>
      <c r="F1792" s="26" t="s">
        <v>623</v>
      </c>
      <c r="G1792" s="426">
        <v>44743</v>
      </c>
      <c r="H1792" s="35" t="s">
        <v>789</v>
      </c>
      <c r="I1792" s="21">
        <v>15373</v>
      </c>
      <c r="J1792" s="21"/>
      <c r="K1792" s="22">
        <v>2920.87</v>
      </c>
      <c r="L1792" s="23"/>
      <c r="M1792" s="22">
        <v>0</v>
      </c>
      <c r="N1792" s="74">
        <v>0</v>
      </c>
      <c r="O1792" s="22">
        <v>0</v>
      </c>
      <c r="P1792" s="21">
        <v>18293.87</v>
      </c>
      <c r="S1792" s="108" t="b">
        <f>OR(COUNTIF(Tabla2[[#This Row],[PROVEEDOR]],"*"&amp;'Palabra no opera'!$A$2&amp;"*"))</f>
        <v>1</v>
      </c>
      <c r="T1792" s="139">
        <f>+$W$5-Tabla2[[#This Row],[FECHA DE FACTURACIÓN]]</f>
        <v>548</v>
      </c>
      <c r="U1792" t="str">
        <f>+IF(Tabla2[[#This Row],[dias de credito]]&gt;=Tabla2[[#This Row],[PLAZO Días]],"venc", "No venc")</f>
        <v>venc</v>
      </c>
      <c r="V1792" t="str">
        <f>+IF(Tabla2[[#This Row],[FECHA DE PAGO]]&gt;0,"pagada","por pagar")</f>
        <v>pagada</v>
      </c>
      <c r="W1792" s="141" t="str">
        <f>+IF(AND(Tabla2[[#This Row],[venc]]="venc",Tabla2[[#This Row],[Columna1]]="por pagar"),"vencida","no")</f>
        <v>no</v>
      </c>
    </row>
    <row r="1793" spans="1:23" ht="15.6" hidden="1" x14ac:dyDescent="0.3">
      <c r="A1793" s="20">
        <v>30</v>
      </c>
      <c r="B1793" s="25">
        <v>0</v>
      </c>
      <c r="C1793" s="25"/>
      <c r="D1793" s="56" t="s">
        <v>368</v>
      </c>
      <c r="E1793" s="426">
        <v>44750</v>
      </c>
      <c r="F1793" s="26" t="s">
        <v>623</v>
      </c>
      <c r="G1793" s="426">
        <v>44743</v>
      </c>
      <c r="H1793" s="35" t="s">
        <v>792</v>
      </c>
      <c r="I1793" s="21">
        <v>791781</v>
      </c>
      <c r="J1793" s="21"/>
      <c r="K1793" s="22">
        <v>150438.39000000001</v>
      </c>
      <c r="L1793" s="23"/>
      <c r="M1793" s="22">
        <v>0</v>
      </c>
      <c r="N1793" s="74">
        <v>0</v>
      </c>
      <c r="O1793" s="22">
        <v>0</v>
      </c>
      <c r="P1793" s="21">
        <v>942219.39</v>
      </c>
      <c r="S1793" s="108" t="b">
        <f>OR(COUNTIF(Tabla2[[#This Row],[PROVEEDOR]],"*"&amp;'Palabra no opera'!$A$2&amp;"*"))</f>
        <v>1</v>
      </c>
      <c r="T1793" s="139">
        <f>+$W$5-Tabla2[[#This Row],[FECHA DE FACTURACIÓN]]</f>
        <v>548</v>
      </c>
      <c r="U1793" t="str">
        <f>+IF(Tabla2[[#This Row],[dias de credito]]&gt;=Tabla2[[#This Row],[PLAZO Días]],"venc", "No venc")</f>
        <v>venc</v>
      </c>
      <c r="V1793" t="str">
        <f>+IF(Tabla2[[#This Row],[FECHA DE PAGO]]&gt;0,"pagada","por pagar")</f>
        <v>pagada</v>
      </c>
      <c r="W1793" s="141" t="str">
        <f>+IF(AND(Tabla2[[#This Row],[venc]]="venc",Tabla2[[#This Row],[Columna1]]="por pagar"),"vencida","no")</f>
        <v>no</v>
      </c>
    </row>
    <row r="1794" spans="1:23" ht="15.6" hidden="1" x14ac:dyDescent="0.3">
      <c r="A1794" s="20">
        <v>30</v>
      </c>
      <c r="B1794" s="25">
        <v>0</v>
      </c>
      <c r="C1794" s="25"/>
      <c r="D1794" s="56" t="s">
        <v>368</v>
      </c>
      <c r="E1794" s="426">
        <v>44750</v>
      </c>
      <c r="F1794" s="26" t="s">
        <v>623</v>
      </c>
      <c r="G1794" s="426">
        <v>44743</v>
      </c>
      <c r="H1794" s="35" t="s">
        <v>791</v>
      </c>
      <c r="I1794" s="21">
        <v>3294426</v>
      </c>
      <c r="J1794" s="21"/>
      <c r="K1794" s="22">
        <v>625940.94000000006</v>
      </c>
      <c r="L1794" s="23"/>
      <c r="M1794" s="22">
        <v>0</v>
      </c>
      <c r="N1794" s="74">
        <v>0</v>
      </c>
      <c r="O1794" s="22">
        <v>0</v>
      </c>
      <c r="P1794" s="21">
        <v>3920366.94</v>
      </c>
      <c r="S1794" s="108" t="b">
        <f>OR(COUNTIF(Tabla2[[#This Row],[PROVEEDOR]],"*"&amp;'Palabra no opera'!$A$2&amp;"*"))</f>
        <v>1</v>
      </c>
      <c r="T1794" s="139">
        <f>+$W$5-Tabla2[[#This Row],[FECHA DE FACTURACIÓN]]</f>
        <v>548</v>
      </c>
      <c r="U1794" t="str">
        <f>+IF(Tabla2[[#This Row],[dias de credito]]&gt;=Tabla2[[#This Row],[PLAZO Días]],"venc", "No venc")</f>
        <v>venc</v>
      </c>
      <c r="V1794" t="str">
        <f>+IF(Tabla2[[#This Row],[FECHA DE PAGO]]&gt;0,"pagada","por pagar")</f>
        <v>pagada</v>
      </c>
      <c r="W1794" s="141" t="str">
        <f>+IF(AND(Tabla2[[#This Row],[venc]]="venc",Tabla2[[#This Row],[Columna1]]="por pagar"),"vencida","no")</f>
        <v>no</v>
      </c>
    </row>
    <row r="1795" spans="1:23" ht="15.6" hidden="1" x14ac:dyDescent="0.3">
      <c r="A1795" s="20">
        <v>30</v>
      </c>
      <c r="B1795" s="25">
        <v>0</v>
      </c>
      <c r="C1795" s="25"/>
      <c r="D1795" s="56" t="s">
        <v>185</v>
      </c>
      <c r="E1795" s="426">
        <v>44750</v>
      </c>
      <c r="F1795" s="26" t="s">
        <v>628</v>
      </c>
      <c r="G1795" s="426">
        <v>44743</v>
      </c>
      <c r="H1795" s="35">
        <v>10958</v>
      </c>
      <c r="I1795" s="21">
        <v>1649859</v>
      </c>
      <c r="J1795" s="21"/>
      <c r="K1795" s="22">
        <v>0</v>
      </c>
      <c r="L1795" s="23"/>
      <c r="M1795" s="22">
        <v>0</v>
      </c>
      <c r="N1795" s="74">
        <v>0</v>
      </c>
      <c r="O1795" s="22">
        <v>0</v>
      </c>
      <c r="P1795" s="21">
        <v>1649859</v>
      </c>
      <c r="S1795" s="108" t="b">
        <f>OR(COUNTIF(Tabla2[[#This Row],[PROVEEDOR]],"*"&amp;'Palabra no opera'!$A$2&amp;"*"))</f>
        <v>1</v>
      </c>
      <c r="T1795" s="139">
        <f>+$W$5-Tabla2[[#This Row],[FECHA DE FACTURACIÓN]]</f>
        <v>548</v>
      </c>
      <c r="U1795" t="str">
        <f>+IF(Tabla2[[#This Row],[dias de credito]]&gt;=Tabla2[[#This Row],[PLAZO Días]],"venc", "No venc")</f>
        <v>venc</v>
      </c>
      <c r="V1795" t="str">
        <f>+IF(Tabla2[[#This Row],[FECHA DE PAGO]]&gt;0,"pagada","por pagar")</f>
        <v>pagada</v>
      </c>
      <c r="W1795" s="141" t="str">
        <f>+IF(AND(Tabla2[[#This Row],[venc]]="venc",Tabla2[[#This Row],[Columna1]]="por pagar"),"vencida","no")</f>
        <v>no</v>
      </c>
    </row>
    <row r="1796" spans="1:23" ht="15.6" hidden="1" x14ac:dyDescent="0.3">
      <c r="A1796" s="20">
        <v>13</v>
      </c>
      <c r="B1796" s="25">
        <v>0</v>
      </c>
      <c r="C1796" s="25"/>
      <c r="D1796" s="56">
        <v>0</v>
      </c>
      <c r="E1796" s="426">
        <v>44750</v>
      </c>
      <c r="F1796" s="26" t="s">
        <v>644</v>
      </c>
      <c r="G1796" s="426">
        <v>44743</v>
      </c>
      <c r="H1796" s="35"/>
      <c r="I1796" s="21">
        <v>1055464</v>
      </c>
      <c r="J1796" s="21"/>
      <c r="K1796" s="22">
        <v>0</v>
      </c>
      <c r="L1796" s="23"/>
      <c r="M1796" s="22">
        <v>0</v>
      </c>
      <c r="N1796" s="74">
        <v>0</v>
      </c>
      <c r="O1796" s="22">
        <v>0</v>
      </c>
      <c r="P1796" s="21">
        <v>1055464</v>
      </c>
      <c r="S1796" s="108" t="b">
        <f>OR(COUNTIF(Tabla2[[#This Row],[PROVEEDOR]],"*"&amp;'Palabra no opera'!$A$2&amp;"*"))</f>
        <v>1</v>
      </c>
      <c r="T1796" s="139">
        <f>+$W$5-Tabla2[[#This Row],[FECHA DE FACTURACIÓN]]</f>
        <v>548</v>
      </c>
      <c r="U1796" t="str">
        <f>+IF(Tabla2[[#This Row],[dias de credito]]&gt;=Tabla2[[#This Row],[PLAZO Días]],"venc", "No venc")</f>
        <v>venc</v>
      </c>
      <c r="V1796" t="str">
        <f>+IF(Tabla2[[#This Row],[FECHA DE PAGO]]&gt;0,"pagada","por pagar")</f>
        <v>pagada</v>
      </c>
      <c r="W1796" s="141" t="str">
        <f>+IF(AND(Tabla2[[#This Row],[venc]]="venc",Tabla2[[#This Row],[Columna1]]="por pagar"),"vencida","no")</f>
        <v>no</v>
      </c>
    </row>
    <row r="1797" spans="1:23" ht="15.6" hidden="1" x14ac:dyDescent="0.3">
      <c r="A1797" s="20">
        <v>30</v>
      </c>
      <c r="B1797" s="25">
        <v>18444236.894999996</v>
      </c>
      <c r="C1797" s="25"/>
      <c r="D1797" s="56" t="s">
        <v>731</v>
      </c>
      <c r="E1797" s="426">
        <v>44750</v>
      </c>
      <c r="F1797" s="26" t="s">
        <v>11</v>
      </c>
      <c r="G1797" s="426">
        <v>44715</v>
      </c>
      <c r="H1797" s="35" t="s">
        <v>730</v>
      </c>
      <c r="I1797" s="21">
        <v>2640000</v>
      </c>
      <c r="J1797" s="21"/>
      <c r="K1797" s="22">
        <v>501600</v>
      </c>
      <c r="L1797" s="23"/>
      <c r="M1797" s="22">
        <v>0</v>
      </c>
      <c r="N1797" s="74">
        <v>2.5000000000000001E-2</v>
      </c>
      <c r="O1797" s="22">
        <v>66000</v>
      </c>
      <c r="P1797" s="21">
        <v>3075600</v>
      </c>
      <c r="S1797" s="108" t="b">
        <f>OR(COUNTIF(Tabla2[[#This Row],[PROVEEDOR]],"*"&amp;'Palabra no opera'!$A$2&amp;"*"))</f>
        <v>0</v>
      </c>
      <c r="T1797" s="139">
        <f>+$W$5-Tabla2[[#This Row],[FECHA DE FACTURACIÓN]]</f>
        <v>576</v>
      </c>
      <c r="U1797" t="str">
        <f>+IF(Tabla2[[#This Row],[dias de credito]]&gt;=Tabla2[[#This Row],[PLAZO Días]],"venc", "No venc")</f>
        <v>venc</v>
      </c>
      <c r="V1797" t="str">
        <f>+IF(Tabla2[[#This Row],[FECHA DE PAGO]]&gt;0,"pagada","por pagar")</f>
        <v>pagada</v>
      </c>
      <c r="W1797" s="141" t="str">
        <f>+IF(AND(Tabla2[[#This Row],[venc]]="venc",Tabla2[[#This Row],[Columna1]]="por pagar"),"vencida","no")</f>
        <v>no</v>
      </c>
    </row>
    <row r="1798" spans="1:23" ht="15.6" hidden="1" x14ac:dyDescent="0.3">
      <c r="A1798" s="20">
        <v>45</v>
      </c>
      <c r="B1798" s="25">
        <v>15770594</v>
      </c>
      <c r="C1798" s="25"/>
      <c r="D1798" s="56" t="s">
        <v>594</v>
      </c>
      <c r="E1798" s="426">
        <v>44750</v>
      </c>
      <c r="F1798" s="26" t="s">
        <v>19</v>
      </c>
      <c r="G1798" s="426">
        <v>44694</v>
      </c>
      <c r="H1798" s="35" t="s">
        <v>680</v>
      </c>
      <c r="I1798" s="21">
        <v>11010000</v>
      </c>
      <c r="J1798" s="21"/>
      <c r="K1798" s="22">
        <v>2091900</v>
      </c>
      <c r="L1798" s="23"/>
      <c r="M1798" s="22">
        <v>0</v>
      </c>
      <c r="N1798" s="74">
        <v>0</v>
      </c>
      <c r="O1798" s="22">
        <v>0</v>
      </c>
      <c r="P1798" s="21">
        <v>13101900</v>
      </c>
      <c r="S1798" s="108" t="b">
        <f>OR(COUNTIF(Tabla2[[#This Row],[PROVEEDOR]],"*"&amp;'Palabra no opera'!$A$2&amp;"*"))</f>
        <v>0</v>
      </c>
      <c r="T1798" s="139">
        <f>+$W$5-Tabla2[[#This Row],[FECHA DE FACTURACIÓN]]</f>
        <v>597</v>
      </c>
      <c r="U1798" t="str">
        <f>+IF(Tabla2[[#This Row],[dias de credito]]&gt;=Tabla2[[#This Row],[PLAZO Días]],"venc", "No venc")</f>
        <v>venc</v>
      </c>
      <c r="V1798" t="str">
        <f>+IF(Tabla2[[#This Row],[FECHA DE PAGO]]&gt;0,"pagada","por pagar")</f>
        <v>pagada</v>
      </c>
      <c r="W1798" s="141" t="str">
        <f>+IF(AND(Tabla2[[#This Row],[venc]]="venc",Tabla2[[#This Row],[Columna1]]="por pagar"),"vencida","no")</f>
        <v>no</v>
      </c>
    </row>
    <row r="1799" spans="1:23" ht="15.6" hidden="1" x14ac:dyDescent="0.3">
      <c r="A1799" s="20">
        <v>30</v>
      </c>
      <c r="B1799" s="25">
        <v>10321993.199999999</v>
      </c>
      <c r="C1799" s="25"/>
      <c r="D1799" s="56" t="s">
        <v>189</v>
      </c>
      <c r="E1799" s="426">
        <v>44750</v>
      </c>
      <c r="F1799" s="26" t="s">
        <v>1068</v>
      </c>
      <c r="G1799" s="426">
        <v>44688</v>
      </c>
      <c r="H1799" s="35">
        <v>25703</v>
      </c>
      <c r="I1799" s="21">
        <v>1728540</v>
      </c>
      <c r="J1799" s="21">
        <v>157140</v>
      </c>
      <c r="K1799" s="22">
        <v>298566</v>
      </c>
      <c r="L1799" s="23"/>
      <c r="M1799" s="22">
        <v>0</v>
      </c>
      <c r="N1799" s="74">
        <v>2.5000000000000001E-2</v>
      </c>
      <c r="O1799" s="22">
        <v>39285</v>
      </c>
      <c r="P1799" s="21">
        <v>1830681</v>
      </c>
      <c r="S1799" s="108" t="b">
        <f>OR(COUNTIF(Tabla2[[#This Row],[PROVEEDOR]],"*"&amp;'Palabra no opera'!$A$2&amp;"*"))</f>
        <v>0</v>
      </c>
      <c r="T1799" s="139">
        <f>+$W$5-Tabla2[[#This Row],[FECHA DE FACTURACIÓN]]</f>
        <v>603</v>
      </c>
      <c r="U1799" t="str">
        <f>+IF(Tabla2[[#This Row],[dias de credito]]&gt;=Tabla2[[#This Row],[PLAZO Días]],"venc", "No venc")</f>
        <v>venc</v>
      </c>
      <c r="V1799" t="str">
        <f>+IF(Tabla2[[#This Row],[FECHA DE PAGO]]&gt;0,"pagada","por pagar")</f>
        <v>pagada</v>
      </c>
      <c r="W1799" s="141" t="str">
        <f>+IF(AND(Tabla2[[#This Row],[venc]]="venc",Tabla2[[#This Row],[Columna1]]="por pagar"),"vencida","no")</f>
        <v>no</v>
      </c>
    </row>
    <row r="1800" spans="1:23" ht="15.6" hidden="1" x14ac:dyDescent="0.3">
      <c r="A1800" s="20">
        <v>30</v>
      </c>
      <c r="B1800" s="25">
        <v>121187115</v>
      </c>
      <c r="C1800" s="25"/>
      <c r="D1800" s="56" t="s">
        <v>233</v>
      </c>
      <c r="E1800" s="426">
        <v>44750</v>
      </c>
      <c r="F1800" s="26" t="s">
        <v>31</v>
      </c>
      <c r="G1800" s="426">
        <v>44664</v>
      </c>
      <c r="H1800" s="35">
        <v>56405</v>
      </c>
      <c r="I1800" s="21">
        <v>64348400</v>
      </c>
      <c r="J1800" s="21"/>
      <c r="K1800" s="22">
        <v>0</v>
      </c>
      <c r="L1800" s="23"/>
      <c r="M1800" s="22">
        <v>0</v>
      </c>
      <c r="N1800" s="74">
        <v>0</v>
      </c>
      <c r="O1800" s="22">
        <v>0</v>
      </c>
      <c r="P1800" s="21">
        <v>64348400</v>
      </c>
      <c r="S1800" s="108" t="b">
        <f>OR(COUNTIF(Tabla2[[#This Row],[PROVEEDOR]],"*"&amp;'Palabra no opera'!$A$2&amp;"*"))</f>
        <v>0</v>
      </c>
      <c r="T1800" s="139">
        <f>+$W$5-Tabla2[[#This Row],[FECHA DE FACTURACIÓN]]</f>
        <v>627</v>
      </c>
      <c r="U1800" t="str">
        <f>+IF(Tabla2[[#This Row],[dias de credito]]&gt;=Tabla2[[#This Row],[PLAZO Días]],"venc", "No venc")</f>
        <v>venc</v>
      </c>
      <c r="V1800" t="str">
        <f>+IF(Tabla2[[#This Row],[FECHA DE PAGO]]&gt;0,"pagada","por pagar")</f>
        <v>pagada</v>
      </c>
      <c r="W1800" s="141" t="str">
        <f>+IF(AND(Tabla2[[#This Row],[venc]]="venc",Tabla2[[#This Row],[Columna1]]="por pagar"),"vencida","no")</f>
        <v>no</v>
      </c>
    </row>
    <row r="1801" spans="1:23" ht="15.6" hidden="1" x14ac:dyDescent="0.3">
      <c r="A1801" s="20">
        <v>30</v>
      </c>
      <c r="B1801" s="25">
        <v>1316890.8900000001</v>
      </c>
      <c r="C1801" s="25"/>
      <c r="D1801" s="56" t="s">
        <v>188</v>
      </c>
      <c r="E1801" s="426">
        <v>44749</v>
      </c>
      <c r="F1801" s="26" t="s">
        <v>17</v>
      </c>
      <c r="G1801" s="426">
        <v>44705</v>
      </c>
      <c r="H1801" s="35" t="s">
        <v>694</v>
      </c>
      <c r="I1801" s="21">
        <v>1899899.7</v>
      </c>
      <c r="J1801" s="21"/>
      <c r="K1801" s="22">
        <v>360980.94299999997</v>
      </c>
      <c r="L1801" s="23"/>
      <c r="M1801" s="22">
        <v>0</v>
      </c>
      <c r="N1801" s="74">
        <v>0</v>
      </c>
      <c r="O1801" s="22">
        <v>0</v>
      </c>
      <c r="P1801" s="21">
        <v>2260880.6430000002</v>
      </c>
      <c r="S1801" s="108" t="b">
        <f>OR(COUNTIF(Tabla2[[#This Row],[PROVEEDOR]],"*"&amp;'Palabra no opera'!$A$2&amp;"*"))</f>
        <v>0</v>
      </c>
      <c r="T1801" s="139">
        <f>+$W$5-Tabla2[[#This Row],[FECHA DE FACTURACIÓN]]</f>
        <v>586</v>
      </c>
      <c r="U1801" t="str">
        <f>+IF(Tabla2[[#This Row],[dias de credito]]&gt;=Tabla2[[#This Row],[PLAZO Días]],"venc", "No venc")</f>
        <v>venc</v>
      </c>
      <c r="V1801" t="str">
        <f>+IF(Tabla2[[#This Row],[FECHA DE PAGO]]&gt;0,"pagada","por pagar")</f>
        <v>pagada</v>
      </c>
      <c r="W1801" s="141" t="str">
        <f>+IF(AND(Tabla2[[#This Row],[venc]]="venc",Tabla2[[#This Row],[Columna1]]="por pagar"),"vencida","no")</f>
        <v>no</v>
      </c>
    </row>
    <row r="1802" spans="1:23" ht="15.6" hidden="1" x14ac:dyDescent="0.3">
      <c r="A1802" s="20">
        <v>30</v>
      </c>
      <c r="B1802" s="25">
        <v>0</v>
      </c>
      <c r="C1802" s="25"/>
      <c r="D1802" s="56" t="s">
        <v>296</v>
      </c>
      <c r="E1802" s="426">
        <v>44749</v>
      </c>
      <c r="F1802" s="26" t="s">
        <v>281</v>
      </c>
      <c r="G1802" s="426">
        <v>44705</v>
      </c>
      <c r="H1802" s="35" t="s">
        <v>701</v>
      </c>
      <c r="I1802" s="21">
        <v>6120000</v>
      </c>
      <c r="J1802" s="21"/>
      <c r="K1802" s="22">
        <v>306000</v>
      </c>
      <c r="L1802" s="23"/>
      <c r="M1802" s="22">
        <v>0</v>
      </c>
      <c r="N1802" s="74">
        <v>0</v>
      </c>
      <c r="O1802" s="22">
        <v>0</v>
      </c>
      <c r="P1802" s="21">
        <v>6426000</v>
      </c>
      <c r="S1802" s="108" t="b">
        <f>OR(COUNTIF(Tabla2[[#This Row],[PROVEEDOR]],"*"&amp;'Palabra no opera'!$A$2&amp;"*"))</f>
        <v>0</v>
      </c>
      <c r="T1802" s="139">
        <f>+$W$5-Tabla2[[#This Row],[FECHA DE FACTURACIÓN]]</f>
        <v>586</v>
      </c>
      <c r="U1802" t="str">
        <f>+IF(Tabla2[[#This Row],[dias de credito]]&gt;=Tabla2[[#This Row],[PLAZO Días]],"venc", "No venc")</f>
        <v>venc</v>
      </c>
      <c r="V1802" t="str">
        <f>+IF(Tabla2[[#This Row],[FECHA DE PAGO]]&gt;0,"pagada","por pagar")</f>
        <v>pagada</v>
      </c>
      <c r="W1802" s="141" t="str">
        <f>+IF(AND(Tabla2[[#This Row],[venc]]="venc",Tabla2[[#This Row],[Columna1]]="por pagar"),"vencida","no")</f>
        <v>no</v>
      </c>
    </row>
    <row r="1803" spans="1:23" ht="15.6" hidden="1" x14ac:dyDescent="0.3">
      <c r="A1803" s="20">
        <v>30</v>
      </c>
      <c r="B1803" s="25">
        <v>17870934.149999999</v>
      </c>
      <c r="C1803" s="25"/>
      <c r="D1803" s="56" t="s">
        <v>182</v>
      </c>
      <c r="E1803" s="426">
        <v>44749</v>
      </c>
      <c r="F1803" s="26" t="s">
        <v>18</v>
      </c>
      <c r="G1803" s="426">
        <v>44701</v>
      </c>
      <c r="H1803" s="35">
        <v>1053889</v>
      </c>
      <c r="I1803" s="21">
        <v>617136.72</v>
      </c>
      <c r="J1803" s="21"/>
      <c r="K1803" s="22">
        <v>117255.97679999999</v>
      </c>
      <c r="L1803" s="23"/>
      <c r="M1803" s="22">
        <v>0</v>
      </c>
      <c r="N1803" s="74">
        <v>0</v>
      </c>
      <c r="O1803" s="22">
        <v>0</v>
      </c>
      <c r="P1803" s="21">
        <v>734392.69679999992</v>
      </c>
      <c r="S1803" s="108" t="b">
        <f>OR(COUNTIF(Tabla2[[#This Row],[PROVEEDOR]],"*"&amp;'Palabra no opera'!$A$2&amp;"*"))</f>
        <v>0</v>
      </c>
      <c r="T1803" s="139">
        <f>+$W$5-Tabla2[[#This Row],[FECHA DE FACTURACIÓN]]</f>
        <v>590</v>
      </c>
      <c r="U1803" t="str">
        <f>+IF(Tabla2[[#This Row],[dias de credito]]&gt;=Tabla2[[#This Row],[PLAZO Días]],"venc", "No venc")</f>
        <v>venc</v>
      </c>
      <c r="V1803" t="str">
        <f>+IF(Tabla2[[#This Row],[FECHA DE PAGO]]&gt;0,"pagada","por pagar")</f>
        <v>pagada</v>
      </c>
      <c r="W1803" s="141" t="str">
        <f>+IF(AND(Tabla2[[#This Row],[venc]]="venc",Tabla2[[#This Row],[Columna1]]="por pagar"),"vencida","no")</f>
        <v>no</v>
      </c>
    </row>
    <row r="1804" spans="1:23" ht="15.6" hidden="1" x14ac:dyDescent="0.3">
      <c r="A1804" s="20">
        <v>30</v>
      </c>
      <c r="B1804" s="25">
        <v>17870934.149999999</v>
      </c>
      <c r="C1804" s="25"/>
      <c r="D1804" s="56" t="s">
        <v>182</v>
      </c>
      <c r="E1804" s="426">
        <v>44749</v>
      </c>
      <c r="F1804" s="26" t="s">
        <v>18</v>
      </c>
      <c r="G1804" s="426">
        <v>44701</v>
      </c>
      <c r="H1804" s="35">
        <v>1053888</v>
      </c>
      <c r="I1804" s="21">
        <v>1029010</v>
      </c>
      <c r="J1804" s="21"/>
      <c r="K1804" s="22">
        <v>195511.9</v>
      </c>
      <c r="L1804" s="23"/>
      <c r="M1804" s="22">
        <v>0</v>
      </c>
      <c r="N1804" s="74">
        <v>2.5000000000000001E-2</v>
      </c>
      <c r="O1804" s="22">
        <v>25725.25</v>
      </c>
      <c r="P1804" s="21">
        <v>1198796.6499999999</v>
      </c>
      <c r="S1804" s="108" t="b">
        <f>OR(COUNTIF(Tabla2[[#This Row],[PROVEEDOR]],"*"&amp;'Palabra no opera'!$A$2&amp;"*"))</f>
        <v>0</v>
      </c>
      <c r="T1804" s="139">
        <f>+$W$5-Tabla2[[#This Row],[FECHA DE FACTURACIÓN]]</f>
        <v>590</v>
      </c>
      <c r="U1804" t="str">
        <f>+IF(Tabla2[[#This Row],[dias de credito]]&gt;=Tabla2[[#This Row],[PLAZO Días]],"venc", "No venc")</f>
        <v>venc</v>
      </c>
      <c r="V1804" t="str">
        <f>+IF(Tabla2[[#This Row],[FECHA DE PAGO]]&gt;0,"pagada","por pagar")</f>
        <v>pagada</v>
      </c>
      <c r="W1804" s="141" t="str">
        <f>+IF(AND(Tabla2[[#This Row],[venc]]="venc",Tabla2[[#This Row],[Columna1]]="por pagar"),"vencida","no")</f>
        <v>no</v>
      </c>
    </row>
    <row r="1805" spans="1:23" ht="15.6" hidden="1" x14ac:dyDescent="0.3">
      <c r="A1805" s="20">
        <v>60</v>
      </c>
      <c r="B1805" s="25">
        <v>0</v>
      </c>
      <c r="C1805" s="25"/>
      <c r="D1805" s="56">
        <v>0</v>
      </c>
      <c r="E1805" s="426">
        <v>44749</v>
      </c>
      <c r="F1805" s="26" t="s">
        <v>951</v>
      </c>
      <c r="G1805" s="426">
        <v>44687</v>
      </c>
      <c r="H1805" s="35" t="s">
        <v>672</v>
      </c>
      <c r="I1805" s="21">
        <v>4374000</v>
      </c>
      <c r="J1805" s="21"/>
      <c r="K1805" s="22">
        <v>831060</v>
      </c>
      <c r="L1805" s="23"/>
      <c r="M1805" s="22">
        <v>0</v>
      </c>
      <c r="N1805" s="74">
        <v>0</v>
      </c>
      <c r="O1805" s="22">
        <v>0</v>
      </c>
      <c r="P1805" s="21">
        <v>5205060</v>
      </c>
      <c r="S1805" s="108" t="b">
        <f>OR(COUNTIF(Tabla2[[#This Row],[PROVEEDOR]],"*"&amp;'Palabra no opera'!$A$2&amp;"*"))</f>
        <v>1</v>
      </c>
      <c r="T1805" s="139">
        <f>+$W$5-Tabla2[[#This Row],[FECHA DE FACTURACIÓN]]</f>
        <v>604</v>
      </c>
      <c r="U1805" t="str">
        <f>+IF(Tabla2[[#This Row],[dias de credito]]&gt;=Tabla2[[#This Row],[PLAZO Días]],"venc", "No venc")</f>
        <v>venc</v>
      </c>
      <c r="V1805" t="str">
        <f>+IF(Tabla2[[#This Row],[FECHA DE PAGO]]&gt;0,"pagada","por pagar")</f>
        <v>pagada</v>
      </c>
      <c r="W1805" s="141" t="str">
        <f>+IF(AND(Tabla2[[#This Row],[venc]]="venc",Tabla2[[#This Row],[Columna1]]="por pagar"),"vencida","no")</f>
        <v>no</v>
      </c>
    </row>
    <row r="1806" spans="1:23" ht="15.6" hidden="1" x14ac:dyDescent="0.3">
      <c r="A1806" s="20">
        <v>60</v>
      </c>
      <c r="B1806" s="25">
        <v>0</v>
      </c>
      <c r="C1806" s="25"/>
      <c r="D1806" s="56">
        <v>0</v>
      </c>
      <c r="E1806" s="426">
        <v>44749</v>
      </c>
      <c r="F1806" s="26" t="s">
        <v>951</v>
      </c>
      <c r="G1806" s="426">
        <v>44676</v>
      </c>
      <c r="H1806" s="35" t="s">
        <v>612</v>
      </c>
      <c r="I1806" s="21">
        <v>4374000</v>
      </c>
      <c r="J1806" s="21"/>
      <c r="K1806" s="22">
        <v>831060</v>
      </c>
      <c r="L1806" s="23"/>
      <c r="M1806" s="22">
        <v>0</v>
      </c>
      <c r="N1806" s="74">
        <v>0</v>
      </c>
      <c r="O1806" s="22">
        <v>0</v>
      </c>
      <c r="P1806" s="21">
        <v>5205060</v>
      </c>
      <c r="S1806" s="108" t="b">
        <f>OR(COUNTIF(Tabla2[[#This Row],[PROVEEDOR]],"*"&amp;'Palabra no opera'!$A$2&amp;"*"))</f>
        <v>1</v>
      </c>
      <c r="T1806" s="139">
        <f>+$W$5-Tabla2[[#This Row],[FECHA DE FACTURACIÓN]]</f>
        <v>615</v>
      </c>
      <c r="U1806" t="str">
        <f>+IF(Tabla2[[#This Row],[dias de credito]]&gt;=Tabla2[[#This Row],[PLAZO Días]],"venc", "No venc")</f>
        <v>venc</v>
      </c>
      <c r="V1806" t="str">
        <f>+IF(Tabla2[[#This Row],[FECHA DE PAGO]]&gt;0,"pagada","por pagar")</f>
        <v>pagada</v>
      </c>
      <c r="W1806" s="141" t="str">
        <f>+IF(AND(Tabla2[[#This Row],[venc]]="venc",Tabla2[[#This Row],[Columna1]]="por pagar"),"vencida","no")</f>
        <v>no</v>
      </c>
    </row>
    <row r="1807" spans="1:23" ht="15.6" hidden="1" x14ac:dyDescent="0.3">
      <c r="A1807" s="20">
        <v>30</v>
      </c>
      <c r="B1807" s="25">
        <v>0</v>
      </c>
      <c r="C1807" s="25"/>
      <c r="D1807" s="56" t="s">
        <v>342</v>
      </c>
      <c r="E1807" s="426">
        <v>44748</v>
      </c>
      <c r="F1807" s="26" t="s">
        <v>343</v>
      </c>
      <c r="G1807" s="426">
        <v>44677</v>
      </c>
      <c r="H1807" s="35" t="s">
        <v>1021</v>
      </c>
      <c r="I1807" s="21">
        <v>1039000</v>
      </c>
      <c r="J1807" s="21"/>
      <c r="K1807" s="22">
        <v>0</v>
      </c>
      <c r="L1807" s="23"/>
      <c r="M1807" s="22">
        <v>0</v>
      </c>
      <c r="N1807" s="74">
        <v>0</v>
      </c>
      <c r="O1807" s="22">
        <v>0</v>
      </c>
      <c r="P1807" s="21">
        <v>1039000</v>
      </c>
      <c r="S1807" s="108" t="b">
        <f>OR(COUNTIF(Tabla2[[#This Row],[PROVEEDOR]],"*"&amp;'Palabra no opera'!$A$2&amp;"*"))</f>
        <v>0</v>
      </c>
      <c r="T1807" s="139">
        <f>+$W$5-Tabla2[[#This Row],[FECHA DE FACTURACIÓN]]</f>
        <v>614</v>
      </c>
      <c r="U1807" t="str">
        <f>+IF(Tabla2[[#This Row],[dias de credito]]&gt;=Tabla2[[#This Row],[PLAZO Días]],"venc", "No venc")</f>
        <v>venc</v>
      </c>
      <c r="V1807" t="str">
        <f>+IF(Tabla2[[#This Row],[FECHA DE PAGO]]&gt;0,"pagada","por pagar")</f>
        <v>pagada</v>
      </c>
      <c r="W1807" s="141" t="str">
        <f>+IF(AND(Tabla2[[#This Row],[venc]]="venc",Tabla2[[#This Row],[Columna1]]="por pagar"),"vencida","no")</f>
        <v>no</v>
      </c>
    </row>
    <row r="1808" spans="1:23" ht="15.6" hidden="1" x14ac:dyDescent="0.3">
      <c r="A1808" s="20">
        <v>0</v>
      </c>
      <c r="B1808" s="25">
        <v>0</v>
      </c>
      <c r="C1808" s="25"/>
      <c r="D1808" s="56">
        <v>0</v>
      </c>
      <c r="E1808" s="426">
        <v>44747</v>
      </c>
      <c r="F1808" s="26" t="s">
        <v>754</v>
      </c>
      <c r="G1808" s="426">
        <v>44743</v>
      </c>
      <c r="H1808" s="35" t="s">
        <v>907</v>
      </c>
      <c r="I1808" s="21">
        <v>552100</v>
      </c>
      <c r="J1808" s="21"/>
      <c r="K1808" s="22">
        <v>0</v>
      </c>
      <c r="L1808" s="23"/>
      <c r="M1808" s="22">
        <v>0</v>
      </c>
      <c r="N1808" s="74">
        <v>0</v>
      </c>
      <c r="O1808" s="22">
        <v>0</v>
      </c>
      <c r="P1808" s="21">
        <v>552100</v>
      </c>
      <c r="S1808" s="108" t="b">
        <f>OR(COUNTIF(Tabla2[[#This Row],[PROVEEDOR]],"*"&amp;'Palabra no opera'!$A$2&amp;"*"))</f>
        <v>1</v>
      </c>
      <c r="T1808" s="139">
        <f>+$W$5-Tabla2[[#This Row],[FECHA DE FACTURACIÓN]]</f>
        <v>548</v>
      </c>
      <c r="U1808" t="str">
        <f>+IF(Tabla2[[#This Row],[dias de credito]]&gt;=Tabla2[[#This Row],[PLAZO Días]],"venc", "No venc")</f>
        <v>venc</v>
      </c>
      <c r="V1808" t="str">
        <f>+IF(Tabla2[[#This Row],[FECHA DE PAGO]]&gt;0,"pagada","por pagar")</f>
        <v>pagada</v>
      </c>
      <c r="W1808" s="141" t="str">
        <f>+IF(AND(Tabla2[[#This Row],[venc]]="venc",Tabla2[[#This Row],[Columna1]]="por pagar"),"vencida","no")</f>
        <v>no</v>
      </c>
    </row>
    <row r="1809" spans="1:23" ht="15.6" hidden="1" x14ac:dyDescent="0.3">
      <c r="A1809" s="20">
        <v>0</v>
      </c>
      <c r="B1809" s="25">
        <v>0</v>
      </c>
      <c r="C1809" s="25"/>
      <c r="D1809" s="56">
        <v>0</v>
      </c>
      <c r="E1809" s="426">
        <v>44747</v>
      </c>
      <c r="F1809" s="26" t="s">
        <v>754</v>
      </c>
      <c r="G1809" s="426">
        <v>44743</v>
      </c>
      <c r="H1809" s="35" t="s">
        <v>907</v>
      </c>
      <c r="I1809" s="21">
        <v>2182000</v>
      </c>
      <c r="J1809" s="21"/>
      <c r="K1809" s="22">
        <v>0</v>
      </c>
      <c r="L1809" s="23"/>
      <c r="M1809" s="22">
        <v>0</v>
      </c>
      <c r="N1809" s="74">
        <v>0</v>
      </c>
      <c r="O1809" s="22">
        <v>0</v>
      </c>
      <c r="P1809" s="21">
        <v>2182000</v>
      </c>
      <c r="S1809" s="108" t="b">
        <f>OR(COUNTIF(Tabla2[[#This Row],[PROVEEDOR]],"*"&amp;'Palabra no opera'!$A$2&amp;"*"))</f>
        <v>1</v>
      </c>
      <c r="T1809" s="139">
        <f>+$W$5-Tabla2[[#This Row],[FECHA DE FACTURACIÓN]]</f>
        <v>548</v>
      </c>
      <c r="U1809" t="str">
        <f>+IF(Tabla2[[#This Row],[dias de credito]]&gt;=Tabla2[[#This Row],[PLAZO Días]],"venc", "No venc")</f>
        <v>venc</v>
      </c>
      <c r="V1809" t="str">
        <f>+IF(Tabla2[[#This Row],[FECHA DE PAGO]]&gt;0,"pagada","por pagar")</f>
        <v>pagada</v>
      </c>
      <c r="W1809" s="141" t="str">
        <f>+IF(AND(Tabla2[[#This Row],[venc]]="venc",Tabla2[[#This Row],[Columna1]]="por pagar"),"vencida","no")</f>
        <v>no</v>
      </c>
    </row>
    <row r="1810" spans="1:23" ht="15.6" hidden="1" x14ac:dyDescent="0.3">
      <c r="A1810" s="20">
        <v>0</v>
      </c>
      <c r="B1810" s="25">
        <v>0</v>
      </c>
      <c r="C1810" s="25"/>
      <c r="D1810" s="56">
        <v>0</v>
      </c>
      <c r="E1810" s="426">
        <v>44747</v>
      </c>
      <c r="F1810" s="26" t="s">
        <v>754</v>
      </c>
      <c r="G1810" s="426">
        <v>44743</v>
      </c>
      <c r="H1810" s="35" t="s">
        <v>907</v>
      </c>
      <c r="I1810" s="21">
        <v>3000000</v>
      </c>
      <c r="J1810" s="21"/>
      <c r="K1810" s="22">
        <v>0</v>
      </c>
      <c r="L1810" s="23"/>
      <c r="M1810" s="22">
        <v>0</v>
      </c>
      <c r="N1810" s="74">
        <v>0</v>
      </c>
      <c r="O1810" s="22">
        <v>0</v>
      </c>
      <c r="P1810" s="21">
        <v>3000000</v>
      </c>
      <c r="S1810" s="108" t="b">
        <f>OR(COUNTIF(Tabla2[[#This Row],[PROVEEDOR]],"*"&amp;'Palabra no opera'!$A$2&amp;"*"))</f>
        <v>1</v>
      </c>
      <c r="T1810" s="139">
        <f>+$W$5-Tabla2[[#This Row],[FECHA DE FACTURACIÓN]]</f>
        <v>548</v>
      </c>
      <c r="U1810" t="str">
        <f>+IF(Tabla2[[#This Row],[dias de credito]]&gt;=Tabla2[[#This Row],[PLAZO Días]],"venc", "No venc")</f>
        <v>venc</v>
      </c>
      <c r="V1810" t="str">
        <f>+IF(Tabla2[[#This Row],[FECHA DE PAGO]]&gt;0,"pagada","por pagar")</f>
        <v>pagada</v>
      </c>
      <c r="W1810" s="141" t="str">
        <f>+IF(AND(Tabla2[[#This Row],[venc]]="venc",Tabla2[[#This Row],[Columna1]]="por pagar"),"vencida","no")</f>
        <v>no</v>
      </c>
    </row>
    <row r="1811" spans="1:23" ht="15.6" hidden="1" x14ac:dyDescent="0.3">
      <c r="A1811" s="20">
        <v>0</v>
      </c>
      <c r="B1811" s="25">
        <v>0</v>
      </c>
      <c r="C1811" s="25"/>
      <c r="D1811" s="56">
        <v>0</v>
      </c>
      <c r="E1811" s="426">
        <v>44747</v>
      </c>
      <c r="F1811" s="26" t="s">
        <v>754</v>
      </c>
      <c r="G1811" s="426">
        <v>44743</v>
      </c>
      <c r="H1811" s="35" t="s">
        <v>907</v>
      </c>
      <c r="I1811" s="21">
        <v>3000000</v>
      </c>
      <c r="J1811" s="21"/>
      <c r="K1811" s="22">
        <v>0</v>
      </c>
      <c r="L1811" s="23"/>
      <c r="M1811" s="22">
        <v>0</v>
      </c>
      <c r="N1811" s="74">
        <v>0</v>
      </c>
      <c r="O1811" s="22">
        <v>0</v>
      </c>
      <c r="P1811" s="21">
        <v>3000000</v>
      </c>
      <c r="S1811" s="108" t="b">
        <f>OR(COUNTIF(Tabla2[[#This Row],[PROVEEDOR]],"*"&amp;'Palabra no opera'!$A$2&amp;"*"))</f>
        <v>1</v>
      </c>
      <c r="T1811" s="139">
        <f>+$W$5-Tabla2[[#This Row],[FECHA DE FACTURACIÓN]]</f>
        <v>548</v>
      </c>
      <c r="U1811" t="str">
        <f>+IF(Tabla2[[#This Row],[dias de credito]]&gt;=Tabla2[[#This Row],[PLAZO Días]],"venc", "No venc")</f>
        <v>venc</v>
      </c>
      <c r="V1811" t="str">
        <f>+IF(Tabla2[[#This Row],[FECHA DE PAGO]]&gt;0,"pagada","por pagar")</f>
        <v>pagada</v>
      </c>
      <c r="W1811" s="141" t="str">
        <f>+IF(AND(Tabla2[[#This Row],[venc]]="venc",Tabla2[[#This Row],[Columna1]]="por pagar"),"vencida","no")</f>
        <v>no</v>
      </c>
    </row>
    <row r="1812" spans="1:23" ht="15.6" hidden="1" x14ac:dyDescent="0.3">
      <c r="A1812" s="20">
        <v>30</v>
      </c>
      <c r="B1812" s="25">
        <v>0</v>
      </c>
      <c r="C1812" s="25"/>
      <c r="D1812" s="56" t="s">
        <v>270</v>
      </c>
      <c r="E1812" s="426">
        <v>44747</v>
      </c>
      <c r="F1812" s="26" t="s">
        <v>387</v>
      </c>
      <c r="G1812" s="426">
        <v>44713</v>
      </c>
      <c r="H1812" s="35" t="s">
        <v>732</v>
      </c>
      <c r="I1812" s="21">
        <v>1476500</v>
      </c>
      <c r="J1812" s="21"/>
      <c r="K1812" s="22">
        <v>0</v>
      </c>
      <c r="L1812" s="23"/>
      <c r="M1812" s="22">
        <v>0</v>
      </c>
      <c r="N1812" s="74">
        <v>0</v>
      </c>
      <c r="O1812" s="22">
        <v>0</v>
      </c>
      <c r="P1812" s="21">
        <v>1476500</v>
      </c>
      <c r="S1812" s="108" t="b">
        <f>OR(COUNTIF(Tabla2[[#This Row],[PROVEEDOR]],"*"&amp;'Palabra no opera'!$A$2&amp;"*"))</f>
        <v>0</v>
      </c>
      <c r="T1812" s="139">
        <f>+$W$5-Tabla2[[#This Row],[FECHA DE FACTURACIÓN]]</f>
        <v>578</v>
      </c>
      <c r="U1812" t="str">
        <f>+IF(Tabla2[[#This Row],[dias de credito]]&gt;=Tabla2[[#This Row],[PLAZO Días]],"venc", "No venc")</f>
        <v>venc</v>
      </c>
      <c r="V1812" t="str">
        <f>+IF(Tabla2[[#This Row],[FECHA DE PAGO]]&gt;0,"pagada","por pagar")</f>
        <v>pagada</v>
      </c>
      <c r="W1812" s="141" t="str">
        <f>+IF(AND(Tabla2[[#This Row],[venc]]="venc",Tabla2[[#This Row],[Columna1]]="por pagar"),"vencida","no")</f>
        <v>no</v>
      </c>
    </row>
    <row r="1813" spans="1:23" ht="15.6" hidden="1" x14ac:dyDescent="0.3">
      <c r="A1813" s="20">
        <v>30</v>
      </c>
      <c r="B1813" s="25">
        <v>0</v>
      </c>
      <c r="C1813" s="25"/>
      <c r="D1813" s="56" t="s">
        <v>107</v>
      </c>
      <c r="E1813" s="426">
        <v>44744</v>
      </c>
      <c r="F1813" s="26" t="s">
        <v>378</v>
      </c>
      <c r="G1813" s="426">
        <v>44744</v>
      </c>
      <c r="H1813" s="35" t="s">
        <v>800</v>
      </c>
      <c r="I1813" s="21">
        <v>720000</v>
      </c>
      <c r="J1813" s="21"/>
      <c r="K1813" s="22">
        <v>0</v>
      </c>
      <c r="L1813" s="23"/>
      <c r="M1813" s="22">
        <v>0</v>
      </c>
      <c r="N1813" s="74">
        <v>0</v>
      </c>
      <c r="O1813" s="22">
        <v>0</v>
      </c>
      <c r="P1813" s="21">
        <v>720000</v>
      </c>
      <c r="S1813" s="108" t="b">
        <f>OR(COUNTIF(Tabla2[[#This Row],[PROVEEDOR]],"*"&amp;'Palabra no opera'!$A$2&amp;"*"))</f>
        <v>0</v>
      </c>
      <c r="T1813" s="139">
        <f>+$W$5-Tabla2[[#This Row],[FECHA DE FACTURACIÓN]]</f>
        <v>547</v>
      </c>
      <c r="U1813" t="str">
        <f>+IF(Tabla2[[#This Row],[dias de credito]]&gt;=Tabla2[[#This Row],[PLAZO Días]],"venc", "No venc")</f>
        <v>venc</v>
      </c>
      <c r="V1813" t="str">
        <f>+IF(Tabla2[[#This Row],[FECHA DE PAGO]]&gt;0,"pagada","por pagar")</f>
        <v>pagada</v>
      </c>
      <c r="W1813" s="141" t="str">
        <f>+IF(AND(Tabla2[[#This Row],[venc]]="venc",Tabla2[[#This Row],[Columna1]]="por pagar"),"vencida","no")</f>
        <v>no</v>
      </c>
    </row>
    <row r="1814" spans="1:23" ht="15.6" hidden="1" x14ac:dyDescent="0.3">
      <c r="A1814" s="20">
        <v>30</v>
      </c>
      <c r="B1814" s="25">
        <v>0</v>
      </c>
      <c r="C1814" s="25"/>
      <c r="D1814" s="56" t="s">
        <v>107</v>
      </c>
      <c r="E1814" s="426">
        <v>44743</v>
      </c>
      <c r="F1814" s="26" t="s">
        <v>390</v>
      </c>
      <c r="G1814" s="426">
        <v>44743</v>
      </c>
      <c r="H1814" s="35"/>
      <c r="I1814" s="21">
        <v>1000000</v>
      </c>
      <c r="J1814" s="21"/>
      <c r="K1814" s="22">
        <v>0</v>
      </c>
      <c r="L1814" s="23"/>
      <c r="M1814" s="22">
        <v>0</v>
      </c>
      <c r="N1814" s="74">
        <v>0</v>
      </c>
      <c r="O1814" s="22">
        <v>0</v>
      </c>
      <c r="P1814" s="21">
        <v>1000000</v>
      </c>
      <c r="S1814" s="108" t="b">
        <f>OR(COUNTIF(Tabla2[[#This Row],[PROVEEDOR]],"*"&amp;'Palabra no opera'!$A$2&amp;"*"))</f>
        <v>0</v>
      </c>
      <c r="T1814" s="139">
        <f>+$W$5-Tabla2[[#This Row],[FECHA DE FACTURACIÓN]]</f>
        <v>548</v>
      </c>
      <c r="U1814" t="str">
        <f>+IF(Tabla2[[#This Row],[dias de credito]]&gt;=Tabla2[[#This Row],[PLAZO Días]],"venc", "No venc")</f>
        <v>venc</v>
      </c>
      <c r="V1814" t="str">
        <f>+IF(Tabla2[[#This Row],[FECHA DE PAGO]]&gt;0,"pagada","por pagar")</f>
        <v>pagada</v>
      </c>
      <c r="W1814" s="141" t="str">
        <f>+IF(AND(Tabla2[[#This Row],[venc]]="venc",Tabla2[[#This Row],[Columna1]]="por pagar"),"vencida","no")</f>
        <v>no</v>
      </c>
    </row>
    <row r="1815" spans="1:23" ht="15.6" hidden="1" x14ac:dyDescent="0.3">
      <c r="A1815" s="20">
        <v>30</v>
      </c>
      <c r="B1815" s="25">
        <v>0</v>
      </c>
      <c r="C1815" s="25"/>
      <c r="D1815" s="56" t="s">
        <v>211</v>
      </c>
      <c r="E1815" s="426">
        <v>44743</v>
      </c>
      <c r="F1815" s="26" t="s">
        <v>400</v>
      </c>
      <c r="G1815" s="426">
        <v>44707</v>
      </c>
      <c r="H1815" s="35" t="s">
        <v>1036</v>
      </c>
      <c r="I1815" s="21">
        <v>270000</v>
      </c>
      <c r="J1815" s="21"/>
      <c r="K1815" s="22">
        <v>0</v>
      </c>
      <c r="L1815" s="23"/>
      <c r="M1815" s="22">
        <v>0</v>
      </c>
      <c r="N1815" s="74">
        <v>0</v>
      </c>
      <c r="O1815" s="22">
        <v>0</v>
      </c>
      <c r="P1815" s="21">
        <v>270000</v>
      </c>
      <c r="S1815" s="108" t="b">
        <f>OR(COUNTIF(Tabla2[[#This Row],[PROVEEDOR]],"*"&amp;'Palabra no opera'!$A$2&amp;"*"))</f>
        <v>0</v>
      </c>
      <c r="T1815" s="139">
        <f>+$W$5-Tabla2[[#This Row],[FECHA DE FACTURACIÓN]]</f>
        <v>584</v>
      </c>
      <c r="U1815" t="str">
        <f>+IF(Tabla2[[#This Row],[dias de credito]]&gt;=Tabla2[[#This Row],[PLAZO Días]],"venc", "No venc")</f>
        <v>venc</v>
      </c>
      <c r="V1815" t="str">
        <f>+IF(Tabla2[[#This Row],[FECHA DE PAGO]]&gt;0,"pagada","por pagar")</f>
        <v>pagada</v>
      </c>
      <c r="W1815" s="141" t="str">
        <f>+IF(AND(Tabla2[[#This Row],[venc]]="venc",Tabla2[[#This Row],[Columna1]]="por pagar"),"vencida","no")</f>
        <v>no</v>
      </c>
    </row>
    <row r="1816" spans="1:23" ht="15.6" hidden="1" x14ac:dyDescent="0.3">
      <c r="A1816" s="20">
        <v>30</v>
      </c>
      <c r="B1816" s="25">
        <v>0</v>
      </c>
      <c r="C1816" s="25"/>
      <c r="D1816" s="56" t="s">
        <v>211</v>
      </c>
      <c r="E1816" s="426">
        <v>44743</v>
      </c>
      <c r="F1816" s="26" t="s">
        <v>400</v>
      </c>
      <c r="G1816" s="426">
        <v>44694</v>
      </c>
      <c r="H1816" s="35" t="s">
        <v>1028</v>
      </c>
      <c r="I1816" s="21">
        <v>862000</v>
      </c>
      <c r="J1816" s="21"/>
      <c r="K1816" s="22">
        <v>0</v>
      </c>
      <c r="L1816" s="23"/>
      <c r="M1816" s="22">
        <v>0</v>
      </c>
      <c r="N1816" s="74">
        <v>0</v>
      </c>
      <c r="O1816" s="22">
        <v>0</v>
      </c>
      <c r="P1816" s="21">
        <v>862000</v>
      </c>
      <c r="S1816" s="108" t="b">
        <f>OR(COUNTIF(Tabla2[[#This Row],[PROVEEDOR]],"*"&amp;'Palabra no opera'!$A$2&amp;"*"))</f>
        <v>0</v>
      </c>
      <c r="T1816" s="139">
        <f>+$W$5-Tabla2[[#This Row],[FECHA DE FACTURACIÓN]]</f>
        <v>597</v>
      </c>
      <c r="U1816" t="str">
        <f>+IF(Tabla2[[#This Row],[dias de credito]]&gt;=Tabla2[[#This Row],[PLAZO Días]],"venc", "No venc")</f>
        <v>venc</v>
      </c>
      <c r="V1816" t="str">
        <f>+IF(Tabla2[[#This Row],[FECHA DE PAGO]]&gt;0,"pagada","por pagar")</f>
        <v>pagada</v>
      </c>
      <c r="W1816" s="141" t="str">
        <f>+IF(AND(Tabla2[[#This Row],[venc]]="venc",Tabla2[[#This Row],[Columna1]]="por pagar"),"vencida","no")</f>
        <v>no</v>
      </c>
    </row>
    <row r="1817" spans="1:23" ht="15.6" hidden="1" x14ac:dyDescent="0.3">
      <c r="A1817" s="20">
        <v>30</v>
      </c>
      <c r="B1817" s="25">
        <v>0</v>
      </c>
      <c r="C1817" s="25"/>
      <c r="D1817" s="56" t="s">
        <v>107</v>
      </c>
      <c r="E1817" s="426">
        <v>44742</v>
      </c>
      <c r="F1817" s="26" t="s">
        <v>362</v>
      </c>
      <c r="G1817" s="426">
        <v>44742</v>
      </c>
      <c r="H1817" s="35" t="s">
        <v>655</v>
      </c>
      <c r="I1817" s="21">
        <v>40460</v>
      </c>
      <c r="J1817" s="21"/>
      <c r="K1817" s="22">
        <v>0</v>
      </c>
      <c r="L1817" s="23"/>
      <c r="M1817" s="22">
        <v>0</v>
      </c>
      <c r="N1817" s="74">
        <v>0</v>
      </c>
      <c r="O1817" s="22">
        <v>0</v>
      </c>
      <c r="P1817" s="21">
        <v>40460</v>
      </c>
      <c r="S1817" s="108" t="b">
        <f>OR(COUNTIF(Tabla2[[#This Row],[PROVEEDOR]],"*"&amp;'Palabra no opera'!$A$2&amp;"*"))</f>
        <v>0</v>
      </c>
      <c r="T1817" s="139">
        <f>+$W$5-Tabla2[[#This Row],[FECHA DE FACTURACIÓN]]</f>
        <v>549</v>
      </c>
      <c r="U1817" t="str">
        <f>+IF(Tabla2[[#This Row],[dias de credito]]&gt;=Tabla2[[#This Row],[PLAZO Días]],"venc", "No venc")</f>
        <v>venc</v>
      </c>
      <c r="V1817" t="str">
        <f>+IF(Tabla2[[#This Row],[FECHA DE PAGO]]&gt;0,"pagada","por pagar")</f>
        <v>pagada</v>
      </c>
      <c r="W1817" s="141" t="str">
        <f>+IF(AND(Tabla2[[#This Row],[venc]]="venc",Tabla2[[#This Row],[Columna1]]="por pagar"),"vencida","no")</f>
        <v>no</v>
      </c>
    </row>
    <row r="1818" spans="1:23" ht="15.6" hidden="1" x14ac:dyDescent="0.3">
      <c r="A1818" s="20">
        <v>30</v>
      </c>
      <c r="B1818" s="25">
        <v>0</v>
      </c>
      <c r="C1818" s="25"/>
      <c r="D1818" s="56" t="s">
        <v>107</v>
      </c>
      <c r="E1818" s="426">
        <v>44742</v>
      </c>
      <c r="F1818" s="26" t="s">
        <v>362</v>
      </c>
      <c r="G1818" s="426">
        <v>44742</v>
      </c>
      <c r="H1818" s="35" t="s">
        <v>317</v>
      </c>
      <c r="I1818" s="21">
        <v>65000</v>
      </c>
      <c r="J1818" s="21"/>
      <c r="K1818" s="22">
        <v>0</v>
      </c>
      <c r="L1818" s="23"/>
      <c r="M1818" s="22">
        <v>0</v>
      </c>
      <c r="N1818" s="74">
        <v>0</v>
      </c>
      <c r="O1818" s="22">
        <v>0</v>
      </c>
      <c r="P1818" s="21">
        <v>65000</v>
      </c>
      <c r="S1818" s="108" t="b">
        <f>OR(COUNTIF(Tabla2[[#This Row],[PROVEEDOR]],"*"&amp;'Palabra no opera'!$A$2&amp;"*"))</f>
        <v>0</v>
      </c>
      <c r="T1818" s="139">
        <f>+$W$5-Tabla2[[#This Row],[FECHA DE FACTURACIÓN]]</f>
        <v>549</v>
      </c>
      <c r="U1818" t="str">
        <f>+IF(Tabla2[[#This Row],[dias de credito]]&gt;=Tabla2[[#This Row],[PLAZO Días]],"venc", "No venc")</f>
        <v>venc</v>
      </c>
      <c r="V1818" t="str">
        <f>+IF(Tabla2[[#This Row],[FECHA DE PAGO]]&gt;0,"pagada","por pagar")</f>
        <v>pagada</v>
      </c>
      <c r="W1818" s="141" t="str">
        <f>+IF(AND(Tabla2[[#This Row],[venc]]="venc",Tabla2[[#This Row],[Columna1]]="por pagar"),"vencida","no")</f>
        <v>no</v>
      </c>
    </row>
    <row r="1819" spans="1:23" ht="15.6" hidden="1" x14ac:dyDescent="0.3">
      <c r="A1819" s="20">
        <v>30</v>
      </c>
      <c r="B1819" s="25">
        <v>0</v>
      </c>
      <c r="C1819" s="25"/>
      <c r="D1819" s="56" t="s">
        <v>107</v>
      </c>
      <c r="E1819" s="426">
        <v>44742</v>
      </c>
      <c r="F1819" s="26" t="s">
        <v>362</v>
      </c>
      <c r="G1819" s="426">
        <v>44742</v>
      </c>
      <c r="H1819" s="35" t="s">
        <v>319</v>
      </c>
      <c r="I1819" s="21">
        <v>159000</v>
      </c>
      <c r="J1819" s="21"/>
      <c r="K1819" s="22">
        <v>0</v>
      </c>
      <c r="L1819" s="23"/>
      <c r="M1819" s="22">
        <v>0</v>
      </c>
      <c r="N1819" s="74">
        <v>0</v>
      </c>
      <c r="O1819" s="22">
        <v>0</v>
      </c>
      <c r="P1819" s="21">
        <v>159000</v>
      </c>
      <c r="S1819" s="108" t="b">
        <f>OR(COUNTIF(Tabla2[[#This Row],[PROVEEDOR]],"*"&amp;'Palabra no opera'!$A$2&amp;"*"))</f>
        <v>0</v>
      </c>
      <c r="T1819" s="139">
        <f>+$W$5-Tabla2[[#This Row],[FECHA DE FACTURACIÓN]]</f>
        <v>549</v>
      </c>
      <c r="U1819" t="str">
        <f>+IF(Tabla2[[#This Row],[dias de credito]]&gt;=Tabla2[[#This Row],[PLAZO Días]],"venc", "No venc")</f>
        <v>venc</v>
      </c>
      <c r="V1819" t="str">
        <f>+IF(Tabla2[[#This Row],[FECHA DE PAGO]]&gt;0,"pagada","por pagar")</f>
        <v>pagada</v>
      </c>
      <c r="W1819" s="141" t="str">
        <f>+IF(AND(Tabla2[[#This Row],[venc]]="venc",Tabla2[[#This Row],[Columna1]]="por pagar"),"vencida","no")</f>
        <v>no</v>
      </c>
    </row>
    <row r="1820" spans="1:23" ht="15.6" hidden="1" x14ac:dyDescent="0.3">
      <c r="A1820" s="20">
        <v>30</v>
      </c>
      <c r="B1820" s="25">
        <v>0</v>
      </c>
      <c r="C1820" s="25"/>
      <c r="D1820" s="56" t="s">
        <v>107</v>
      </c>
      <c r="E1820" s="426">
        <v>44742</v>
      </c>
      <c r="F1820" s="26" t="s">
        <v>362</v>
      </c>
      <c r="G1820" s="426">
        <v>44742</v>
      </c>
      <c r="H1820" s="35" t="s">
        <v>318</v>
      </c>
      <c r="I1820" s="21">
        <v>670000</v>
      </c>
      <c r="J1820" s="21"/>
      <c r="K1820" s="22">
        <v>0</v>
      </c>
      <c r="L1820" s="23"/>
      <c r="M1820" s="22">
        <v>0</v>
      </c>
      <c r="N1820" s="74">
        <v>0</v>
      </c>
      <c r="O1820" s="22">
        <v>0</v>
      </c>
      <c r="P1820" s="21">
        <v>670000</v>
      </c>
      <c r="S1820" s="108" t="b">
        <f>OR(COUNTIF(Tabla2[[#This Row],[PROVEEDOR]],"*"&amp;'Palabra no opera'!$A$2&amp;"*"))</f>
        <v>0</v>
      </c>
      <c r="T1820" s="139">
        <f>+$W$5-Tabla2[[#This Row],[FECHA DE FACTURACIÓN]]</f>
        <v>549</v>
      </c>
      <c r="U1820" t="str">
        <f>+IF(Tabla2[[#This Row],[dias de credito]]&gt;=Tabla2[[#This Row],[PLAZO Días]],"venc", "No venc")</f>
        <v>venc</v>
      </c>
      <c r="V1820" t="str">
        <f>+IF(Tabla2[[#This Row],[FECHA DE PAGO]]&gt;0,"pagada","por pagar")</f>
        <v>pagada</v>
      </c>
      <c r="W1820" s="141" t="str">
        <f>+IF(AND(Tabla2[[#This Row],[venc]]="venc",Tabla2[[#This Row],[Columna1]]="por pagar"),"vencida","no")</f>
        <v>no</v>
      </c>
    </row>
    <row r="1821" spans="1:23" ht="15.6" hidden="1" x14ac:dyDescent="0.3">
      <c r="A1821" s="20">
        <v>30</v>
      </c>
      <c r="B1821" s="25">
        <v>0</v>
      </c>
      <c r="C1821" s="25"/>
      <c r="D1821" s="56" t="s">
        <v>107</v>
      </c>
      <c r="E1821" s="426">
        <v>44742</v>
      </c>
      <c r="F1821" s="26" t="s">
        <v>362</v>
      </c>
      <c r="G1821" s="426">
        <v>44742</v>
      </c>
      <c r="H1821" s="35" t="s">
        <v>139</v>
      </c>
      <c r="I1821" s="21">
        <v>1283400</v>
      </c>
      <c r="J1821" s="21"/>
      <c r="K1821" s="22">
        <v>0</v>
      </c>
      <c r="L1821" s="23"/>
      <c r="M1821" s="22">
        <v>0</v>
      </c>
      <c r="N1821" s="74">
        <v>0</v>
      </c>
      <c r="O1821" s="22">
        <v>0</v>
      </c>
      <c r="P1821" s="21">
        <v>1283400</v>
      </c>
      <c r="S1821" s="108" t="b">
        <f>OR(COUNTIF(Tabla2[[#This Row],[PROVEEDOR]],"*"&amp;'Palabra no opera'!$A$2&amp;"*"))</f>
        <v>0</v>
      </c>
      <c r="T1821" s="139">
        <f>+$W$5-Tabla2[[#This Row],[FECHA DE FACTURACIÓN]]</f>
        <v>549</v>
      </c>
      <c r="U1821" t="str">
        <f>+IF(Tabla2[[#This Row],[dias de credito]]&gt;=Tabla2[[#This Row],[PLAZO Días]],"venc", "No venc")</f>
        <v>venc</v>
      </c>
      <c r="V1821" t="str">
        <f>+IF(Tabla2[[#This Row],[FECHA DE PAGO]]&gt;0,"pagada","por pagar")</f>
        <v>pagada</v>
      </c>
      <c r="W1821" s="141" t="str">
        <f>+IF(AND(Tabla2[[#This Row],[venc]]="venc",Tabla2[[#This Row],[Columna1]]="por pagar"),"vencida","no")</f>
        <v>no</v>
      </c>
    </row>
    <row r="1822" spans="1:23" ht="15.6" hidden="1" x14ac:dyDescent="0.3">
      <c r="A1822" s="20">
        <v>30</v>
      </c>
      <c r="B1822" s="25">
        <v>0</v>
      </c>
      <c r="C1822" s="25"/>
      <c r="D1822" s="56" t="s">
        <v>107</v>
      </c>
      <c r="E1822" s="426">
        <v>44742</v>
      </c>
      <c r="F1822" s="26" t="s">
        <v>362</v>
      </c>
      <c r="G1822" s="426">
        <v>44742</v>
      </c>
      <c r="H1822" s="35" t="s">
        <v>316</v>
      </c>
      <c r="I1822" s="21">
        <v>1859600</v>
      </c>
      <c r="J1822" s="21"/>
      <c r="K1822" s="22">
        <v>0</v>
      </c>
      <c r="L1822" s="23"/>
      <c r="M1822" s="22">
        <v>0</v>
      </c>
      <c r="N1822" s="74">
        <v>0</v>
      </c>
      <c r="O1822" s="22">
        <v>0</v>
      </c>
      <c r="P1822" s="21">
        <v>1859600</v>
      </c>
      <c r="S1822" s="108" t="b">
        <f>OR(COUNTIF(Tabla2[[#This Row],[PROVEEDOR]],"*"&amp;'Palabra no opera'!$A$2&amp;"*"))</f>
        <v>0</v>
      </c>
      <c r="T1822" s="139">
        <f>+$W$5-Tabla2[[#This Row],[FECHA DE FACTURACIÓN]]</f>
        <v>549</v>
      </c>
      <c r="U1822" t="str">
        <f>+IF(Tabla2[[#This Row],[dias de credito]]&gt;=Tabla2[[#This Row],[PLAZO Días]],"venc", "No venc")</f>
        <v>venc</v>
      </c>
      <c r="V1822" t="str">
        <f>+IF(Tabla2[[#This Row],[FECHA DE PAGO]]&gt;0,"pagada","por pagar")</f>
        <v>pagada</v>
      </c>
      <c r="W1822" s="141" t="str">
        <f>+IF(AND(Tabla2[[#This Row],[venc]]="venc",Tabla2[[#This Row],[Columna1]]="por pagar"),"vencida","no")</f>
        <v>no</v>
      </c>
    </row>
    <row r="1823" spans="1:23" ht="15.6" hidden="1" x14ac:dyDescent="0.3">
      <c r="A1823" s="20">
        <v>30</v>
      </c>
      <c r="B1823" s="25">
        <v>0</v>
      </c>
      <c r="C1823" s="25"/>
      <c r="D1823" s="56" t="s">
        <v>107</v>
      </c>
      <c r="E1823" s="426">
        <v>44742</v>
      </c>
      <c r="F1823" s="26" t="s">
        <v>356</v>
      </c>
      <c r="G1823" s="426">
        <v>44737</v>
      </c>
      <c r="H1823" s="35" t="s">
        <v>802</v>
      </c>
      <c r="I1823" s="21">
        <v>2218000</v>
      </c>
      <c r="J1823" s="21"/>
      <c r="K1823" s="22">
        <v>0</v>
      </c>
      <c r="L1823" s="23"/>
      <c r="M1823" s="22">
        <v>0</v>
      </c>
      <c r="N1823" s="74">
        <v>0</v>
      </c>
      <c r="O1823" s="22">
        <v>0</v>
      </c>
      <c r="P1823" s="21">
        <v>2218000</v>
      </c>
      <c r="S1823" s="108" t="b">
        <f>OR(COUNTIF(Tabla2[[#This Row],[PROVEEDOR]],"*"&amp;'Palabra no opera'!$A$2&amp;"*"))</f>
        <v>0</v>
      </c>
      <c r="T1823" s="139">
        <f>+$W$5-Tabla2[[#This Row],[FECHA DE FACTURACIÓN]]</f>
        <v>554</v>
      </c>
      <c r="U1823" t="str">
        <f>+IF(Tabla2[[#This Row],[dias de credito]]&gt;=Tabla2[[#This Row],[PLAZO Días]],"venc", "No venc")</f>
        <v>venc</v>
      </c>
      <c r="V1823" t="str">
        <f>+IF(Tabla2[[#This Row],[FECHA DE PAGO]]&gt;0,"pagada","por pagar")</f>
        <v>pagada</v>
      </c>
      <c r="W1823" s="141" t="str">
        <f>+IF(AND(Tabla2[[#This Row],[venc]]="venc",Tabla2[[#This Row],[Columna1]]="por pagar"),"vencida","no")</f>
        <v>no</v>
      </c>
    </row>
    <row r="1824" spans="1:23" ht="15.6" hidden="1" x14ac:dyDescent="0.3">
      <c r="A1824" s="20">
        <v>30</v>
      </c>
      <c r="B1824" s="25">
        <v>0</v>
      </c>
      <c r="C1824" s="25"/>
      <c r="D1824" s="56" t="s">
        <v>107</v>
      </c>
      <c r="E1824" s="426">
        <v>44742</v>
      </c>
      <c r="F1824" s="26" t="s">
        <v>404</v>
      </c>
      <c r="G1824" s="426">
        <v>44717</v>
      </c>
      <c r="H1824" s="35" t="s">
        <v>799</v>
      </c>
      <c r="I1824" s="21">
        <v>3239940</v>
      </c>
      <c r="J1824" s="21"/>
      <c r="K1824" s="22">
        <v>0</v>
      </c>
      <c r="L1824" s="23"/>
      <c r="M1824" s="22">
        <v>0</v>
      </c>
      <c r="N1824" s="74">
        <v>0</v>
      </c>
      <c r="O1824" s="22">
        <v>0</v>
      </c>
      <c r="P1824" s="21">
        <v>3239940</v>
      </c>
      <c r="S1824" s="108" t="b">
        <f>OR(COUNTIF(Tabla2[[#This Row],[PROVEEDOR]],"*"&amp;'Palabra no opera'!$A$2&amp;"*"))</f>
        <v>0</v>
      </c>
      <c r="T1824" s="139">
        <f>+$W$5-Tabla2[[#This Row],[FECHA DE FACTURACIÓN]]</f>
        <v>574</v>
      </c>
      <c r="U1824" t="str">
        <f>+IF(Tabla2[[#This Row],[dias de credito]]&gt;=Tabla2[[#This Row],[PLAZO Días]],"venc", "No venc")</f>
        <v>venc</v>
      </c>
      <c r="V1824" t="str">
        <f>+IF(Tabla2[[#This Row],[FECHA DE PAGO]]&gt;0,"pagada","por pagar")</f>
        <v>pagada</v>
      </c>
      <c r="W1824" s="141" t="str">
        <f>+IF(AND(Tabla2[[#This Row],[venc]]="venc",Tabla2[[#This Row],[Columna1]]="por pagar"),"vencida","no")</f>
        <v>no</v>
      </c>
    </row>
    <row r="1825" spans="1:23" ht="15.6" hidden="1" x14ac:dyDescent="0.3">
      <c r="A1825" s="20">
        <v>30</v>
      </c>
      <c r="B1825" s="25">
        <v>1125118.8199999998</v>
      </c>
      <c r="C1825" s="25"/>
      <c r="D1825" s="56" t="s">
        <v>431</v>
      </c>
      <c r="E1825" s="426">
        <v>44741</v>
      </c>
      <c r="F1825" s="26" t="s">
        <v>279</v>
      </c>
      <c r="G1825" s="426">
        <v>44733</v>
      </c>
      <c r="H1825" s="35" t="s">
        <v>786</v>
      </c>
      <c r="I1825" s="21">
        <v>-317100</v>
      </c>
      <c r="J1825" s="21"/>
      <c r="K1825" s="22">
        <v>-60249</v>
      </c>
      <c r="L1825" s="23"/>
      <c r="M1825" s="22">
        <v>0</v>
      </c>
      <c r="N1825" s="74">
        <v>0</v>
      </c>
      <c r="O1825" s="22">
        <v>0</v>
      </c>
      <c r="P1825" s="21">
        <v>-377349</v>
      </c>
      <c r="S1825" s="108" t="b">
        <f>OR(COUNTIF(Tabla2[[#This Row],[PROVEEDOR]],"*"&amp;'Palabra no opera'!$A$2&amp;"*"))</f>
        <v>0</v>
      </c>
      <c r="T1825" s="139">
        <f>+$W$5-Tabla2[[#This Row],[FECHA DE FACTURACIÓN]]</f>
        <v>558</v>
      </c>
      <c r="U1825" t="str">
        <f>+IF(Tabla2[[#This Row],[dias de credito]]&gt;=Tabla2[[#This Row],[PLAZO Días]],"venc", "No venc")</f>
        <v>venc</v>
      </c>
      <c r="V1825" t="str">
        <f>+IF(Tabla2[[#This Row],[FECHA DE PAGO]]&gt;0,"pagada","por pagar")</f>
        <v>pagada</v>
      </c>
      <c r="W1825" s="141" t="str">
        <f>+IF(AND(Tabla2[[#This Row],[venc]]="venc",Tabla2[[#This Row],[Columna1]]="por pagar"),"vencida","no")</f>
        <v>no</v>
      </c>
    </row>
    <row r="1826" spans="1:23" ht="15.6" hidden="1" x14ac:dyDescent="0.3">
      <c r="A1826" s="20">
        <v>30</v>
      </c>
      <c r="B1826" s="25">
        <v>0</v>
      </c>
      <c r="C1826" s="25"/>
      <c r="D1826" s="56" t="s">
        <v>810</v>
      </c>
      <c r="E1826" s="426">
        <v>44741</v>
      </c>
      <c r="F1826" s="26" t="s">
        <v>781</v>
      </c>
      <c r="G1826" s="426">
        <v>44732</v>
      </c>
      <c r="H1826" s="35" t="s">
        <v>782</v>
      </c>
      <c r="I1826" s="21">
        <v>96176</v>
      </c>
      <c r="J1826" s="21"/>
      <c r="K1826" s="22">
        <v>0</v>
      </c>
      <c r="L1826" s="23"/>
      <c r="M1826" s="22">
        <v>0</v>
      </c>
      <c r="N1826" s="74">
        <v>0</v>
      </c>
      <c r="O1826" s="22">
        <v>0</v>
      </c>
      <c r="P1826" s="21">
        <v>96176</v>
      </c>
      <c r="S1826" s="108" t="b">
        <f>OR(COUNTIF(Tabla2[[#This Row],[PROVEEDOR]],"*"&amp;'Palabra no opera'!$A$2&amp;"*"))</f>
        <v>1</v>
      </c>
      <c r="T1826" s="139">
        <f>+$W$5-Tabla2[[#This Row],[FECHA DE FACTURACIÓN]]</f>
        <v>559</v>
      </c>
      <c r="U1826" t="str">
        <f>+IF(Tabla2[[#This Row],[dias de credito]]&gt;=Tabla2[[#This Row],[PLAZO Días]],"venc", "No venc")</f>
        <v>venc</v>
      </c>
      <c r="V1826" t="str">
        <f>+IF(Tabla2[[#This Row],[FECHA DE PAGO]]&gt;0,"pagada","por pagar")</f>
        <v>pagada</v>
      </c>
      <c r="W1826" s="141" t="str">
        <f>+IF(AND(Tabla2[[#This Row],[venc]]="venc",Tabla2[[#This Row],[Columna1]]="por pagar"),"vencida","no")</f>
        <v>no</v>
      </c>
    </row>
    <row r="1827" spans="1:23" ht="15.6" hidden="1" x14ac:dyDescent="0.3">
      <c r="A1827" s="20">
        <v>30</v>
      </c>
      <c r="B1827" s="25">
        <v>0</v>
      </c>
      <c r="C1827" s="25"/>
      <c r="D1827" s="56" t="s">
        <v>185</v>
      </c>
      <c r="E1827" s="426">
        <v>44741</v>
      </c>
      <c r="F1827" s="26" t="s">
        <v>628</v>
      </c>
      <c r="G1827" s="426">
        <v>44713</v>
      </c>
      <c r="H1827" s="35">
        <v>10747</v>
      </c>
      <c r="I1827" s="21">
        <v>1649859</v>
      </c>
      <c r="J1827" s="21"/>
      <c r="K1827" s="22">
        <v>0</v>
      </c>
      <c r="L1827" s="23"/>
      <c r="M1827" s="22">
        <v>0</v>
      </c>
      <c r="N1827" s="74">
        <v>0</v>
      </c>
      <c r="O1827" s="22">
        <v>0</v>
      </c>
      <c r="P1827" s="21">
        <v>1649859</v>
      </c>
      <c r="S1827" s="108" t="b">
        <f>OR(COUNTIF(Tabla2[[#This Row],[PROVEEDOR]],"*"&amp;'Palabra no opera'!$A$2&amp;"*"))</f>
        <v>1</v>
      </c>
      <c r="T1827" s="139">
        <f>+$W$5-Tabla2[[#This Row],[FECHA DE FACTURACIÓN]]</f>
        <v>578</v>
      </c>
      <c r="U1827" t="str">
        <f>+IF(Tabla2[[#This Row],[dias de credito]]&gt;=Tabla2[[#This Row],[PLAZO Días]],"venc", "No venc")</f>
        <v>venc</v>
      </c>
      <c r="V1827" t="str">
        <f>+IF(Tabla2[[#This Row],[FECHA DE PAGO]]&gt;0,"pagada","por pagar")</f>
        <v>pagada</v>
      </c>
      <c r="W1827" s="141" t="str">
        <f>+IF(AND(Tabla2[[#This Row],[venc]]="venc",Tabla2[[#This Row],[Columna1]]="por pagar"),"vencida","no")</f>
        <v>no</v>
      </c>
    </row>
    <row r="1828" spans="1:23" ht="15.6" hidden="1" x14ac:dyDescent="0.3">
      <c r="A1828" s="20">
        <v>30</v>
      </c>
      <c r="B1828" s="25">
        <v>0</v>
      </c>
      <c r="C1828" s="25"/>
      <c r="D1828" s="56" t="s">
        <v>260</v>
      </c>
      <c r="E1828" s="426">
        <v>44741</v>
      </c>
      <c r="F1828" s="26" t="s">
        <v>635</v>
      </c>
      <c r="G1828" s="426">
        <v>44713</v>
      </c>
      <c r="H1828" s="35">
        <v>3429</v>
      </c>
      <c r="I1828" s="21">
        <v>3002200</v>
      </c>
      <c r="J1828" s="21"/>
      <c r="K1828" s="22">
        <v>0</v>
      </c>
      <c r="L1828" s="23"/>
      <c r="M1828" s="22">
        <v>0</v>
      </c>
      <c r="N1828" s="74">
        <v>3.5000000000000003E-2</v>
      </c>
      <c r="O1828" s="22">
        <v>105077.00000000001</v>
      </c>
      <c r="P1828" s="21">
        <v>2897123</v>
      </c>
      <c r="S1828" s="108" t="b">
        <f>OR(COUNTIF(Tabla2[[#This Row],[PROVEEDOR]],"*"&amp;'Palabra no opera'!$A$2&amp;"*"))</f>
        <v>1</v>
      </c>
      <c r="T1828" s="139">
        <f>+$W$5-Tabla2[[#This Row],[FECHA DE FACTURACIÓN]]</f>
        <v>578</v>
      </c>
      <c r="U1828" t="str">
        <f>+IF(Tabla2[[#This Row],[dias de credito]]&gt;=Tabla2[[#This Row],[PLAZO Días]],"venc", "No venc")</f>
        <v>venc</v>
      </c>
      <c r="V1828" t="str">
        <f>+IF(Tabla2[[#This Row],[FECHA DE PAGO]]&gt;0,"pagada","por pagar")</f>
        <v>pagada</v>
      </c>
      <c r="W1828" s="141" t="str">
        <f>+IF(AND(Tabla2[[#This Row],[venc]]="venc",Tabla2[[#This Row],[Columna1]]="por pagar"),"vencida","no")</f>
        <v>no</v>
      </c>
    </row>
    <row r="1829" spans="1:23" ht="15.6" hidden="1" x14ac:dyDescent="0.3">
      <c r="A1829" s="20">
        <v>30</v>
      </c>
      <c r="B1829" s="25">
        <v>0</v>
      </c>
      <c r="C1829" s="25"/>
      <c r="D1829" s="56" t="s">
        <v>1116</v>
      </c>
      <c r="E1829" s="426">
        <v>44741</v>
      </c>
      <c r="F1829" s="26" t="s">
        <v>638</v>
      </c>
      <c r="G1829" s="426">
        <v>44713</v>
      </c>
      <c r="H1829" s="35" t="s">
        <v>708</v>
      </c>
      <c r="I1829" s="21">
        <v>3963422</v>
      </c>
      <c r="J1829" s="21"/>
      <c r="K1829" s="22">
        <v>753050.18</v>
      </c>
      <c r="L1829" s="23"/>
      <c r="M1829" s="22">
        <v>0</v>
      </c>
      <c r="N1829" s="74">
        <v>3.5000000000000003E-2</v>
      </c>
      <c r="O1829" s="22">
        <v>138719.77000000002</v>
      </c>
      <c r="P1829" s="21">
        <v>4577752.41</v>
      </c>
      <c r="S1829" s="108" t="b">
        <f>OR(COUNTIF(Tabla2[[#This Row],[PROVEEDOR]],"*"&amp;'Palabra no opera'!$A$2&amp;"*"))</f>
        <v>1</v>
      </c>
      <c r="T1829" s="139">
        <f>+$W$5-Tabla2[[#This Row],[FECHA DE FACTURACIÓN]]</f>
        <v>578</v>
      </c>
      <c r="U1829" t="str">
        <f>+IF(Tabla2[[#This Row],[dias de credito]]&gt;=Tabla2[[#This Row],[PLAZO Días]],"venc", "No venc")</f>
        <v>venc</v>
      </c>
      <c r="V1829" t="str">
        <f>+IF(Tabla2[[#This Row],[FECHA DE PAGO]]&gt;0,"pagada","por pagar")</f>
        <v>pagada</v>
      </c>
      <c r="W1829" s="141" t="str">
        <f>+IF(AND(Tabla2[[#This Row],[venc]]="venc",Tabla2[[#This Row],[Columna1]]="por pagar"),"vencida","no")</f>
        <v>no</v>
      </c>
    </row>
    <row r="1830" spans="1:23" ht="15.6" hidden="1" x14ac:dyDescent="0.3">
      <c r="A1830" s="20">
        <v>30</v>
      </c>
      <c r="B1830" s="25">
        <v>0</v>
      </c>
      <c r="C1830" s="25"/>
      <c r="D1830" s="56" t="s">
        <v>193</v>
      </c>
      <c r="E1830" s="426">
        <v>44741</v>
      </c>
      <c r="F1830" s="26" t="s">
        <v>651</v>
      </c>
      <c r="G1830" s="426">
        <v>44713</v>
      </c>
      <c r="H1830" s="35">
        <v>5204</v>
      </c>
      <c r="I1830" s="21">
        <v>215356</v>
      </c>
      <c r="J1830" s="21"/>
      <c r="K1830" s="22">
        <v>40917.64</v>
      </c>
      <c r="L1830" s="23"/>
      <c r="M1830" s="22">
        <v>0</v>
      </c>
      <c r="N1830" s="74">
        <v>3.5000000000000003E-2</v>
      </c>
      <c r="O1830" s="22">
        <v>7537.4600000000009</v>
      </c>
      <c r="P1830" s="21">
        <v>248736.18000000002</v>
      </c>
      <c r="S1830" s="108" t="b">
        <f>OR(COUNTIF(Tabla2[[#This Row],[PROVEEDOR]],"*"&amp;'Palabra no opera'!$A$2&amp;"*"))</f>
        <v>1</v>
      </c>
      <c r="T1830" s="139">
        <f>+$W$5-Tabla2[[#This Row],[FECHA DE FACTURACIÓN]]</f>
        <v>578</v>
      </c>
      <c r="U1830" t="str">
        <f>+IF(Tabla2[[#This Row],[dias de credito]]&gt;=Tabla2[[#This Row],[PLAZO Días]],"venc", "No venc")</f>
        <v>venc</v>
      </c>
      <c r="V1830" t="str">
        <f>+IF(Tabla2[[#This Row],[FECHA DE PAGO]]&gt;0,"pagada","por pagar")</f>
        <v>pagada</v>
      </c>
      <c r="W1830" s="141" t="str">
        <f>+IF(AND(Tabla2[[#This Row],[venc]]="venc",Tabla2[[#This Row],[Columna1]]="por pagar"),"vencida","no")</f>
        <v>no</v>
      </c>
    </row>
    <row r="1831" spans="1:23" ht="15.6" hidden="1" x14ac:dyDescent="0.3">
      <c r="A1831" s="20">
        <v>20</v>
      </c>
      <c r="B1831" s="25">
        <v>0</v>
      </c>
      <c r="C1831" s="25"/>
      <c r="D1831" s="56" t="s">
        <v>201</v>
      </c>
      <c r="E1831" s="426">
        <v>44741</v>
      </c>
      <c r="F1831" s="26" t="s">
        <v>652</v>
      </c>
      <c r="G1831" s="426">
        <v>44713</v>
      </c>
      <c r="H1831" s="35">
        <v>43347</v>
      </c>
      <c r="I1831" s="21">
        <v>4730000</v>
      </c>
      <c r="J1831" s="21"/>
      <c r="K1831" s="22">
        <v>898700</v>
      </c>
      <c r="L1831" s="23"/>
      <c r="M1831" s="22">
        <v>0</v>
      </c>
      <c r="N1831" s="74">
        <v>3.5000000000000003E-2</v>
      </c>
      <c r="O1831" s="22">
        <v>165550.00000000003</v>
      </c>
      <c r="P1831" s="21">
        <v>5463150</v>
      </c>
      <c r="S1831" s="108" t="b">
        <f>OR(COUNTIF(Tabla2[[#This Row],[PROVEEDOR]],"*"&amp;'Palabra no opera'!$A$2&amp;"*"))</f>
        <v>1</v>
      </c>
      <c r="T1831" s="139">
        <f>+$W$5-Tabla2[[#This Row],[FECHA DE FACTURACIÓN]]</f>
        <v>578</v>
      </c>
      <c r="U1831" t="str">
        <f>+IF(Tabla2[[#This Row],[dias de credito]]&gt;=Tabla2[[#This Row],[PLAZO Días]],"venc", "No venc")</f>
        <v>venc</v>
      </c>
      <c r="V1831" t="str">
        <f>+IF(Tabla2[[#This Row],[FECHA DE PAGO]]&gt;0,"pagada","por pagar")</f>
        <v>pagada</v>
      </c>
      <c r="W1831" s="141" t="str">
        <f>+IF(AND(Tabla2[[#This Row],[venc]]="venc",Tabla2[[#This Row],[Columna1]]="por pagar"),"vencida","no")</f>
        <v>no</v>
      </c>
    </row>
    <row r="1832" spans="1:23" ht="15.6" hidden="1" x14ac:dyDescent="0.3">
      <c r="A1832" s="20">
        <v>30</v>
      </c>
      <c r="B1832" s="25">
        <v>0</v>
      </c>
      <c r="C1832" s="25" t="s">
        <v>706</v>
      </c>
      <c r="D1832" s="56" t="s">
        <v>185</v>
      </c>
      <c r="E1832" s="426">
        <v>44741</v>
      </c>
      <c r="F1832" s="26" t="s">
        <v>628</v>
      </c>
      <c r="G1832" s="426">
        <v>44708</v>
      </c>
      <c r="H1832" s="35" t="s">
        <v>705</v>
      </c>
      <c r="I1832" s="21">
        <v>80632</v>
      </c>
      <c r="J1832" s="21"/>
      <c r="K1832" s="22">
        <v>0</v>
      </c>
      <c r="L1832" s="23"/>
      <c r="M1832" s="22">
        <v>0</v>
      </c>
      <c r="N1832" s="74">
        <v>0</v>
      </c>
      <c r="O1832" s="22">
        <v>0</v>
      </c>
      <c r="P1832" s="21">
        <v>80632</v>
      </c>
      <c r="S1832" s="108" t="b">
        <f>OR(COUNTIF(Tabla2[[#This Row],[PROVEEDOR]],"*"&amp;'Palabra no opera'!$A$2&amp;"*"))</f>
        <v>1</v>
      </c>
      <c r="T1832" s="139">
        <f>+$W$5-Tabla2[[#This Row],[FECHA DE FACTURACIÓN]]</f>
        <v>583</v>
      </c>
      <c r="U1832" t="str">
        <f>+IF(Tabla2[[#This Row],[dias de credito]]&gt;=Tabla2[[#This Row],[PLAZO Días]],"venc", "No venc")</f>
        <v>venc</v>
      </c>
      <c r="V1832" t="str">
        <f>+IF(Tabla2[[#This Row],[FECHA DE PAGO]]&gt;0,"pagada","por pagar")</f>
        <v>pagada</v>
      </c>
      <c r="W1832" s="141" t="str">
        <f>+IF(AND(Tabla2[[#This Row],[venc]]="venc",Tabla2[[#This Row],[Columna1]]="por pagar"),"vencida","no")</f>
        <v>no</v>
      </c>
    </row>
    <row r="1833" spans="1:23" ht="15.6" hidden="1" x14ac:dyDescent="0.3">
      <c r="A1833" s="20">
        <v>30</v>
      </c>
      <c r="B1833" s="25">
        <v>1125118.8199999998</v>
      </c>
      <c r="C1833" s="25"/>
      <c r="D1833" s="56" t="s">
        <v>431</v>
      </c>
      <c r="E1833" s="426">
        <v>44741</v>
      </c>
      <c r="F1833" s="26" t="s">
        <v>279</v>
      </c>
      <c r="G1833" s="426">
        <v>44699</v>
      </c>
      <c r="H1833" s="35" t="s">
        <v>693</v>
      </c>
      <c r="I1833" s="21">
        <v>913109.22</v>
      </c>
      <c r="J1833" s="21"/>
      <c r="K1833" s="22">
        <v>173490.7518</v>
      </c>
      <c r="L1833" s="23"/>
      <c r="M1833" s="22">
        <v>0</v>
      </c>
      <c r="N1833" s="74">
        <v>0</v>
      </c>
      <c r="O1833" s="22">
        <v>0</v>
      </c>
      <c r="P1833" s="21">
        <v>1086599.9717999999</v>
      </c>
      <c r="S1833" s="108" t="b">
        <f>OR(COUNTIF(Tabla2[[#This Row],[PROVEEDOR]],"*"&amp;'Palabra no opera'!$A$2&amp;"*"))</f>
        <v>0</v>
      </c>
      <c r="T1833" s="139">
        <f>+$W$5-Tabla2[[#This Row],[FECHA DE FACTURACIÓN]]</f>
        <v>592</v>
      </c>
      <c r="U1833" t="str">
        <f>+IF(Tabla2[[#This Row],[dias de credito]]&gt;=Tabla2[[#This Row],[PLAZO Días]],"venc", "No venc")</f>
        <v>venc</v>
      </c>
      <c r="V1833" t="str">
        <f>+IF(Tabla2[[#This Row],[FECHA DE PAGO]]&gt;0,"pagada","por pagar")</f>
        <v>pagada</v>
      </c>
      <c r="W1833" s="141" t="str">
        <f>+IF(AND(Tabla2[[#This Row],[venc]]="venc",Tabla2[[#This Row],[Columna1]]="por pagar"),"vencida","no")</f>
        <v>no</v>
      </c>
    </row>
    <row r="1834" spans="1:23" ht="15.6" hidden="1" x14ac:dyDescent="0.3">
      <c r="A1834" s="20">
        <v>30</v>
      </c>
      <c r="B1834" s="25">
        <v>2100000</v>
      </c>
      <c r="C1834" s="25"/>
      <c r="D1834" s="56" t="s">
        <v>107</v>
      </c>
      <c r="E1834" s="426">
        <v>44741</v>
      </c>
      <c r="F1834" s="26" t="s">
        <v>349</v>
      </c>
      <c r="G1834" s="426">
        <v>44690</v>
      </c>
      <c r="H1834" s="35" t="s">
        <v>673</v>
      </c>
      <c r="I1834" s="21">
        <v>1860000</v>
      </c>
      <c r="J1834" s="21"/>
      <c r="K1834" s="22">
        <v>0</v>
      </c>
      <c r="L1834" s="23"/>
      <c r="M1834" s="22">
        <v>0</v>
      </c>
      <c r="N1834" s="74">
        <v>0</v>
      </c>
      <c r="O1834" s="22">
        <v>0</v>
      </c>
      <c r="P1834" s="21">
        <v>1860000</v>
      </c>
      <c r="S1834" s="108" t="b">
        <f>OR(COUNTIF(Tabla2[[#This Row],[PROVEEDOR]],"*"&amp;'Palabra no opera'!$A$2&amp;"*"))</f>
        <v>0</v>
      </c>
      <c r="T1834" s="139">
        <f>+$W$5-Tabla2[[#This Row],[FECHA DE FACTURACIÓN]]</f>
        <v>601</v>
      </c>
      <c r="U1834" t="str">
        <f>+IF(Tabla2[[#This Row],[dias de credito]]&gt;=Tabla2[[#This Row],[PLAZO Días]],"venc", "No venc")</f>
        <v>venc</v>
      </c>
      <c r="V1834" t="str">
        <f>+IF(Tabla2[[#This Row],[FECHA DE PAGO]]&gt;0,"pagada","por pagar")</f>
        <v>pagada</v>
      </c>
      <c r="W1834" s="141" t="str">
        <f>+IF(AND(Tabla2[[#This Row],[venc]]="venc",Tabla2[[#This Row],[Columna1]]="por pagar"),"vencida","no")</f>
        <v>no</v>
      </c>
    </row>
    <row r="1835" spans="1:23" ht="15.6" hidden="1" x14ac:dyDescent="0.3">
      <c r="A1835" s="20">
        <v>30</v>
      </c>
      <c r="B1835" s="25">
        <v>229206</v>
      </c>
      <c r="C1835" s="25"/>
      <c r="D1835" s="56" t="s">
        <v>659</v>
      </c>
      <c r="E1835" s="426">
        <v>44741</v>
      </c>
      <c r="F1835" s="26" t="s">
        <v>95</v>
      </c>
      <c r="G1835" s="426">
        <v>44680</v>
      </c>
      <c r="H1835" s="35" t="s">
        <v>785</v>
      </c>
      <c r="I1835" s="21">
        <v>251093</v>
      </c>
      <c r="J1835" s="21"/>
      <c r="K1835" s="22">
        <v>0</v>
      </c>
      <c r="L1835" s="23"/>
      <c r="M1835" s="22">
        <v>0</v>
      </c>
      <c r="N1835" s="74">
        <v>0</v>
      </c>
      <c r="O1835" s="22">
        <v>0</v>
      </c>
      <c r="P1835" s="21">
        <v>251093</v>
      </c>
      <c r="S1835" s="108" t="b">
        <f>OR(COUNTIF(Tabla2[[#This Row],[PROVEEDOR]],"*"&amp;'Palabra no opera'!$A$2&amp;"*"))</f>
        <v>0</v>
      </c>
      <c r="T1835" s="139">
        <f>+$W$5-Tabla2[[#This Row],[FECHA DE FACTURACIÓN]]</f>
        <v>611</v>
      </c>
      <c r="U1835" t="str">
        <f>+IF(Tabla2[[#This Row],[dias de credito]]&gt;=Tabla2[[#This Row],[PLAZO Días]],"venc", "No venc")</f>
        <v>venc</v>
      </c>
      <c r="V1835" t="str">
        <f>+IF(Tabla2[[#This Row],[FECHA DE PAGO]]&gt;0,"pagada","por pagar")</f>
        <v>pagada</v>
      </c>
      <c r="W1835" s="141" t="str">
        <f>+IF(AND(Tabla2[[#This Row],[venc]]="venc",Tabla2[[#This Row],[Columna1]]="por pagar"),"vencida","no")</f>
        <v>no</v>
      </c>
    </row>
    <row r="1836" spans="1:23" ht="15.6" hidden="1" x14ac:dyDescent="0.3">
      <c r="A1836" s="20">
        <v>30</v>
      </c>
      <c r="B1836" s="25">
        <v>2950000</v>
      </c>
      <c r="C1836" s="25"/>
      <c r="D1836" s="56">
        <v>0</v>
      </c>
      <c r="E1836" s="426">
        <v>44740</v>
      </c>
      <c r="F1836" s="26" t="s">
        <v>703</v>
      </c>
      <c r="G1836" s="426">
        <v>44740</v>
      </c>
      <c r="H1836" s="35" t="s">
        <v>1042</v>
      </c>
      <c r="I1836" s="21">
        <v>904000</v>
      </c>
      <c r="J1836" s="21"/>
      <c r="K1836" s="22">
        <v>0</v>
      </c>
      <c r="L1836" s="23"/>
      <c r="M1836" s="22">
        <v>0</v>
      </c>
      <c r="N1836" s="74">
        <v>0</v>
      </c>
      <c r="O1836" s="22">
        <v>0</v>
      </c>
      <c r="P1836" s="21">
        <v>904000</v>
      </c>
      <c r="S1836" s="108" t="b">
        <f>OR(COUNTIF(Tabla2[[#This Row],[PROVEEDOR]],"*"&amp;'Palabra no opera'!$A$2&amp;"*"))</f>
        <v>0</v>
      </c>
      <c r="T1836" s="139">
        <f>+$W$5-Tabla2[[#This Row],[FECHA DE FACTURACIÓN]]</f>
        <v>551</v>
      </c>
      <c r="U1836" t="str">
        <f>+IF(Tabla2[[#This Row],[dias de credito]]&gt;=Tabla2[[#This Row],[PLAZO Días]],"venc", "No venc")</f>
        <v>venc</v>
      </c>
      <c r="V1836" t="str">
        <f>+IF(Tabla2[[#This Row],[FECHA DE PAGO]]&gt;0,"pagada","por pagar")</f>
        <v>pagada</v>
      </c>
      <c r="W1836" s="141" t="str">
        <f>+IF(AND(Tabla2[[#This Row],[venc]]="venc",Tabla2[[#This Row],[Columna1]]="por pagar"),"vencida","no")</f>
        <v>no</v>
      </c>
    </row>
    <row r="1837" spans="1:23" ht="15.6" hidden="1" x14ac:dyDescent="0.3">
      <c r="A1837" s="20">
        <v>30</v>
      </c>
      <c r="B1837" s="25">
        <v>0</v>
      </c>
      <c r="C1837" s="25"/>
      <c r="D1837" s="56" t="s">
        <v>107</v>
      </c>
      <c r="E1837" s="426">
        <v>44740</v>
      </c>
      <c r="F1837" s="26" t="s">
        <v>356</v>
      </c>
      <c r="G1837" s="426">
        <v>44737</v>
      </c>
      <c r="H1837" s="35" t="s">
        <v>803</v>
      </c>
      <c r="I1837" s="21">
        <v>2749000</v>
      </c>
      <c r="J1837" s="21"/>
      <c r="K1837" s="22">
        <v>0</v>
      </c>
      <c r="L1837" s="23"/>
      <c r="M1837" s="22">
        <v>0</v>
      </c>
      <c r="N1837" s="74">
        <v>0</v>
      </c>
      <c r="O1837" s="22">
        <v>0</v>
      </c>
      <c r="P1837" s="21">
        <v>2749000</v>
      </c>
      <c r="S1837" s="108" t="b">
        <f>OR(COUNTIF(Tabla2[[#This Row],[PROVEEDOR]],"*"&amp;'Palabra no opera'!$A$2&amp;"*"))</f>
        <v>0</v>
      </c>
      <c r="T1837" s="139">
        <f>+$W$5-Tabla2[[#This Row],[FECHA DE FACTURACIÓN]]</f>
        <v>554</v>
      </c>
      <c r="U1837" t="str">
        <f>+IF(Tabla2[[#This Row],[dias de credito]]&gt;=Tabla2[[#This Row],[PLAZO Días]],"venc", "No venc")</f>
        <v>venc</v>
      </c>
      <c r="V1837" t="str">
        <f>+IF(Tabla2[[#This Row],[FECHA DE PAGO]]&gt;0,"pagada","por pagar")</f>
        <v>pagada</v>
      </c>
      <c r="W1837" s="141" t="str">
        <f>+IF(AND(Tabla2[[#This Row],[venc]]="venc",Tabla2[[#This Row],[Columna1]]="por pagar"),"vencida","no")</f>
        <v>no</v>
      </c>
    </row>
    <row r="1838" spans="1:23" ht="15.6" hidden="1" x14ac:dyDescent="0.3">
      <c r="A1838" s="20">
        <v>30</v>
      </c>
      <c r="B1838" s="25">
        <v>0</v>
      </c>
      <c r="C1838" s="25"/>
      <c r="D1838" s="56" t="s">
        <v>107</v>
      </c>
      <c r="E1838" s="426">
        <v>44736</v>
      </c>
      <c r="F1838" s="26" t="s">
        <v>378</v>
      </c>
      <c r="G1838" s="426">
        <v>44736</v>
      </c>
      <c r="H1838" s="35" t="s">
        <v>774</v>
      </c>
      <c r="I1838" s="21">
        <v>1440000</v>
      </c>
      <c r="J1838" s="21"/>
      <c r="K1838" s="22">
        <v>0</v>
      </c>
      <c r="L1838" s="23"/>
      <c r="M1838" s="22">
        <v>0</v>
      </c>
      <c r="N1838" s="74">
        <v>0</v>
      </c>
      <c r="O1838" s="22">
        <v>0</v>
      </c>
      <c r="P1838" s="21">
        <v>1440000</v>
      </c>
      <c r="S1838" s="108" t="b">
        <f>OR(COUNTIF(Tabla2[[#This Row],[PROVEEDOR]],"*"&amp;'Palabra no opera'!$A$2&amp;"*"))</f>
        <v>0</v>
      </c>
      <c r="T1838" s="139">
        <f>+$W$5-Tabla2[[#This Row],[FECHA DE FACTURACIÓN]]</f>
        <v>555</v>
      </c>
      <c r="U1838" t="str">
        <f>+IF(Tabla2[[#This Row],[dias de credito]]&gt;=Tabla2[[#This Row],[PLAZO Días]],"venc", "No venc")</f>
        <v>venc</v>
      </c>
      <c r="V1838" t="str">
        <f>+IF(Tabla2[[#This Row],[FECHA DE PAGO]]&gt;0,"pagada","por pagar")</f>
        <v>pagada</v>
      </c>
      <c r="W1838" s="141" t="str">
        <f>+IF(AND(Tabla2[[#This Row],[venc]]="venc",Tabla2[[#This Row],[Columna1]]="por pagar"),"vencida","no")</f>
        <v>no</v>
      </c>
    </row>
    <row r="1839" spans="1:23" ht="15.6" hidden="1" x14ac:dyDescent="0.3">
      <c r="A1839" s="20">
        <v>30</v>
      </c>
      <c r="B1839" s="25">
        <v>0</v>
      </c>
      <c r="C1839" s="25"/>
      <c r="D1839" s="56" t="s">
        <v>107</v>
      </c>
      <c r="E1839" s="426">
        <v>44736</v>
      </c>
      <c r="F1839" s="26" t="s">
        <v>390</v>
      </c>
      <c r="G1839" s="426">
        <v>44736</v>
      </c>
      <c r="H1839" s="35"/>
      <c r="I1839" s="21">
        <v>1000000</v>
      </c>
      <c r="J1839" s="21"/>
      <c r="K1839" s="22">
        <v>0</v>
      </c>
      <c r="L1839" s="23"/>
      <c r="M1839" s="22">
        <v>0</v>
      </c>
      <c r="N1839" s="74">
        <v>0</v>
      </c>
      <c r="O1839" s="22">
        <v>0</v>
      </c>
      <c r="P1839" s="21">
        <v>1000000</v>
      </c>
      <c r="S1839" s="108" t="b">
        <f>OR(COUNTIF(Tabla2[[#This Row],[PROVEEDOR]],"*"&amp;'Palabra no opera'!$A$2&amp;"*"))</f>
        <v>0</v>
      </c>
      <c r="T1839" s="139">
        <f>+$W$5-Tabla2[[#This Row],[FECHA DE FACTURACIÓN]]</f>
        <v>555</v>
      </c>
      <c r="U1839" t="str">
        <f>+IF(Tabla2[[#This Row],[dias de credito]]&gt;=Tabla2[[#This Row],[PLAZO Días]],"venc", "No venc")</f>
        <v>venc</v>
      </c>
      <c r="V1839" t="str">
        <f>+IF(Tabla2[[#This Row],[FECHA DE PAGO]]&gt;0,"pagada","por pagar")</f>
        <v>pagada</v>
      </c>
      <c r="W1839" s="141" t="str">
        <f>+IF(AND(Tabla2[[#This Row],[venc]]="venc",Tabla2[[#This Row],[Columna1]]="por pagar"),"vencida","no")</f>
        <v>no</v>
      </c>
    </row>
    <row r="1840" spans="1:23" ht="15.6" hidden="1" x14ac:dyDescent="0.3">
      <c r="A1840" s="20">
        <v>30</v>
      </c>
      <c r="B1840" s="25">
        <v>0</v>
      </c>
      <c r="C1840" s="25"/>
      <c r="D1840" s="56" t="s">
        <v>107</v>
      </c>
      <c r="E1840" s="426">
        <v>44735</v>
      </c>
      <c r="F1840" s="26" t="s">
        <v>353</v>
      </c>
      <c r="G1840" s="426">
        <v>44735</v>
      </c>
      <c r="H1840" s="35" t="s">
        <v>801</v>
      </c>
      <c r="I1840" s="21">
        <v>350000</v>
      </c>
      <c r="J1840" s="21"/>
      <c r="K1840" s="22">
        <v>0</v>
      </c>
      <c r="L1840" s="23"/>
      <c r="M1840" s="22">
        <v>0</v>
      </c>
      <c r="N1840" s="74">
        <v>0</v>
      </c>
      <c r="O1840" s="22">
        <v>0</v>
      </c>
      <c r="P1840" s="21">
        <v>350000</v>
      </c>
      <c r="S1840" s="108" t="b">
        <f>OR(COUNTIF(Tabla2[[#This Row],[PROVEEDOR]],"*"&amp;'Palabra no opera'!$A$2&amp;"*"))</f>
        <v>0</v>
      </c>
      <c r="T1840" s="139">
        <f>+$W$5-Tabla2[[#This Row],[FECHA DE FACTURACIÓN]]</f>
        <v>556</v>
      </c>
      <c r="U1840" t="str">
        <f>+IF(Tabla2[[#This Row],[dias de credito]]&gt;=Tabla2[[#This Row],[PLAZO Días]],"venc", "No venc")</f>
        <v>venc</v>
      </c>
      <c r="V1840" t="str">
        <f>+IF(Tabla2[[#This Row],[FECHA DE PAGO]]&gt;0,"pagada","por pagar")</f>
        <v>pagada</v>
      </c>
      <c r="W1840" s="141" t="str">
        <f>+IF(AND(Tabla2[[#This Row],[venc]]="venc",Tabla2[[#This Row],[Columna1]]="por pagar"),"vencida","no")</f>
        <v>no</v>
      </c>
    </row>
    <row r="1841" spans="1:23" ht="15.6" hidden="1" x14ac:dyDescent="0.3">
      <c r="A1841" s="20">
        <v>30</v>
      </c>
      <c r="B1841" s="25">
        <v>0</v>
      </c>
      <c r="C1841" s="25"/>
      <c r="D1841" s="56" t="s">
        <v>107</v>
      </c>
      <c r="E1841" s="426">
        <v>44733</v>
      </c>
      <c r="F1841" s="26" t="s">
        <v>362</v>
      </c>
      <c r="G1841" s="426">
        <v>44733</v>
      </c>
      <c r="H1841" s="35" t="s">
        <v>776</v>
      </c>
      <c r="I1841" s="21">
        <v>100000</v>
      </c>
      <c r="J1841" s="21"/>
      <c r="K1841" s="22">
        <v>0</v>
      </c>
      <c r="L1841" s="23"/>
      <c r="M1841" s="22">
        <v>0</v>
      </c>
      <c r="N1841" s="74">
        <v>0</v>
      </c>
      <c r="O1841" s="22">
        <v>0</v>
      </c>
      <c r="P1841" s="21">
        <v>100000</v>
      </c>
      <c r="S1841" s="108" t="b">
        <f>OR(COUNTIF(Tabla2[[#This Row],[PROVEEDOR]],"*"&amp;'Palabra no opera'!$A$2&amp;"*"))</f>
        <v>0</v>
      </c>
      <c r="T1841" s="139">
        <f>+$W$5-Tabla2[[#This Row],[FECHA DE FACTURACIÓN]]</f>
        <v>558</v>
      </c>
      <c r="U1841" t="str">
        <f>+IF(Tabla2[[#This Row],[dias de credito]]&gt;=Tabla2[[#This Row],[PLAZO Días]],"venc", "No venc")</f>
        <v>venc</v>
      </c>
      <c r="V1841" t="str">
        <f>+IF(Tabla2[[#This Row],[FECHA DE PAGO]]&gt;0,"pagada","por pagar")</f>
        <v>pagada</v>
      </c>
      <c r="W1841" s="141" t="str">
        <f>+IF(AND(Tabla2[[#This Row],[venc]]="venc",Tabla2[[#This Row],[Columna1]]="por pagar"),"vencida","no")</f>
        <v>no</v>
      </c>
    </row>
    <row r="1842" spans="1:23" ht="15.6" hidden="1" x14ac:dyDescent="0.3">
      <c r="A1842" s="20">
        <v>30</v>
      </c>
      <c r="B1842" s="25">
        <v>0</v>
      </c>
      <c r="C1842" s="25"/>
      <c r="D1842" s="56" t="s">
        <v>176</v>
      </c>
      <c r="E1842" s="426">
        <v>44733</v>
      </c>
      <c r="F1842" s="26" t="s">
        <v>966</v>
      </c>
      <c r="G1842" s="426">
        <v>44727</v>
      </c>
      <c r="H1842" s="35">
        <v>247</v>
      </c>
      <c r="I1842" s="21">
        <v>370000</v>
      </c>
      <c r="J1842" s="21"/>
      <c r="K1842" s="22">
        <v>0</v>
      </c>
      <c r="L1842" s="23"/>
      <c r="M1842" s="22">
        <v>0</v>
      </c>
      <c r="N1842" s="74">
        <v>0</v>
      </c>
      <c r="O1842" s="22">
        <v>0</v>
      </c>
      <c r="P1842" s="21">
        <v>370000</v>
      </c>
      <c r="S1842" s="108" t="b">
        <f>OR(COUNTIF(Tabla2[[#This Row],[PROVEEDOR]],"*"&amp;'Palabra no opera'!$A$2&amp;"*"))</f>
        <v>0</v>
      </c>
      <c r="T1842" s="139">
        <f>+$W$5-Tabla2[[#This Row],[FECHA DE FACTURACIÓN]]</f>
        <v>564</v>
      </c>
      <c r="U1842" t="str">
        <f>+IF(Tabla2[[#This Row],[dias de credito]]&gt;=Tabla2[[#This Row],[PLAZO Días]],"venc", "No venc")</f>
        <v>venc</v>
      </c>
      <c r="V1842" t="str">
        <f>+IF(Tabla2[[#This Row],[FECHA DE PAGO]]&gt;0,"pagada","por pagar")</f>
        <v>pagada</v>
      </c>
      <c r="W1842" s="141" t="str">
        <f>+IF(AND(Tabla2[[#This Row],[venc]]="venc",Tabla2[[#This Row],[Columna1]]="por pagar"),"vencida","no")</f>
        <v>no</v>
      </c>
    </row>
    <row r="1843" spans="1:23" ht="15.6" hidden="1" x14ac:dyDescent="0.3">
      <c r="A1843" s="20">
        <v>30</v>
      </c>
      <c r="B1843" s="25">
        <v>0</v>
      </c>
      <c r="C1843" s="25"/>
      <c r="D1843" s="56" t="s">
        <v>737</v>
      </c>
      <c r="E1843" s="426">
        <v>44733</v>
      </c>
      <c r="F1843" s="26" t="s">
        <v>736</v>
      </c>
      <c r="G1843" s="426">
        <v>44727</v>
      </c>
      <c r="H1843" s="35" t="s">
        <v>738</v>
      </c>
      <c r="I1843" s="21">
        <v>480000</v>
      </c>
      <c r="J1843" s="21"/>
      <c r="K1843" s="22">
        <v>91200</v>
      </c>
      <c r="L1843" s="23"/>
      <c r="M1843" s="22">
        <v>0</v>
      </c>
      <c r="N1843" s="74">
        <v>0</v>
      </c>
      <c r="O1843" s="22">
        <v>0</v>
      </c>
      <c r="P1843" s="21">
        <v>571200</v>
      </c>
      <c r="S1843" s="108" t="b">
        <f>OR(COUNTIF(Tabla2[[#This Row],[PROVEEDOR]],"*"&amp;'Palabra no opera'!$A$2&amp;"*"))</f>
        <v>0</v>
      </c>
      <c r="T1843" s="139">
        <f>+$W$5-Tabla2[[#This Row],[FECHA DE FACTURACIÓN]]</f>
        <v>564</v>
      </c>
      <c r="U1843" t="str">
        <f>+IF(Tabla2[[#This Row],[dias de credito]]&gt;=Tabla2[[#This Row],[PLAZO Días]],"venc", "No venc")</f>
        <v>venc</v>
      </c>
      <c r="V1843" t="str">
        <f>+IF(Tabla2[[#This Row],[FECHA DE PAGO]]&gt;0,"pagada","por pagar")</f>
        <v>pagada</v>
      </c>
      <c r="W1843" s="141" t="str">
        <f>+IF(AND(Tabla2[[#This Row],[venc]]="venc",Tabla2[[#This Row],[Columna1]]="por pagar"),"vencida","no")</f>
        <v>no</v>
      </c>
    </row>
    <row r="1844" spans="1:23" ht="15.6" hidden="1" x14ac:dyDescent="0.3">
      <c r="A1844" s="20">
        <v>10</v>
      </c>
      <c r="B1844" s="25">
        <v>0</v>
      </c>
      <c r="C1844" s="25"/>
      <c r="D1844" s="56" t="s">
        <v>332</v>
      </c>
      <c r="E1844" s="426">
        <v>44733</v>
      </c>
      <c r="F1844" s="26" t="s">
        <v>614</v>
      </c>
      <c r="G1844" s="426">
        <v>44726</v>
      </c>
      <c r="H1844" s="35" t="s">
        <v>741</v>
      </c>
      <c r="I1844" s="21">
        <v>562500</v>
      </c>
      <c r="J1844" s="21"/>
      <c r="K1844" s="22">
        <v>0</v>
      </c>
      <c r="L1844" s="23"/>
      <c r="M1844" s="22">
        <v>0</v>
      </c>
      <c r="N1844" s="74">
        <v>0</v>
      </c>
      <c r="O1844" s="22">
        <v>0</v>
      </c>
      <c r="P1844" s="21">
        <v>562500</v>
      </c>
      <c r="S1844" s="108" t="b">
        <f>OR(COUNTIF(Tabla2[[#This Row],[PROVEEDOR]],"*"&amp;'Palabra no opera'!$A$2&amp;"*"))</f>
        <v>1</v>
      </c>
      <c r="T1844" s="139">
        <f>+$W$5-Tabla2[[#This Row],[FECHA DE FACTURACIÓN]]</f>
        <v>565</v>
      </c>
      <c r="U1844" t="str">
        <f>+IF(Tabla2[[#This Row],[dias de credito]]&gt;=Tabla2[[#This Row],[PLAZO Días]],"venc", "No venc")</f>
        <v>venc</v>
      </c>
      <c r="V1844" t="str">
        <f>+IF(Tabla2[[#This Row],[FECHA DE PAGO]]&gt;0,"pagada","por pagar")</f>
        <v>pagada</v>
      </c>
      <c r="W1844" s="141" t="str">
        <f>+IF(AND(Tabla2[[#This Row],[venc]]="venc",Tabla2[[#This Row],[Columna1]]="por pagar"),"vencida","no")</f>
        <v>no</v>
      </c>
    </row>
    <row r="1845" spans="1:23" ht="15.6" hidden="1" x14ac:dyDescent="0.3">
      <c r="A1845" s="20">
        <v>30</v>
      </c>
      <c r="B1845" s="25">
        <v>0</v>
      </c>
      <c r="C1845" s="25"/>
      <c r="D1845" s="56" t="s">
        <v>107</v>
      </c>
      <c r="E1845" s="426">
        <v>44733</v>
      </c>
      <c r="F1845" s="26" t="s">
        <v>409</v>
      </c>
      <c r="G1845" s="426">
        <v>44713</v>
      </c>
      <c r="H1845" s="35" t="s">
        <v>779</v>
      </c>
      <c r="I1845" s="21">
        <v>1018500</v>
      </c>
      <c r="J1845" s="21"/>
      <c r="K1845" s="22">
        <v>0</v>
      </c>
      <c r="L1845" s="23"/>
      <c r="M1845" s="22">
        <v>0</v>
      </c>
      <c r="N1845" s="74">
        <v>0</v>
      </c>
      <c r="O1845" s="22">
        <v>0</v>
      </c>
      <c r="P1845" s="21">
        <v>1018500</v>
      </c>
      <c r="S1845" s="108" t="b">
        <f>OR(COUNTIF(Tabla2[[#This Row],[PROVEEDOR]],"*"&amp;'Palabra no opera'!$A$2&amp;"*"))</f>
        <v>0</v>
      </c>
      <c r="T1845" s="139">
        <f>+$W$5-Tabla2[[#This Row],[FECHA DE FACTURACIÓN]]</f>
        <v>578</v>
      </c>
      <c r="U1845" t="str">
        <f>+IF(Tabla2[[#This Row],[dias de credito]]&gt;=Tabla2[[#This Row],[PLAZO Días]],"venc", "No venc")</f>
        <v>venc</v>
      </c>
      <c r="V1845" t="str">
        <f>+IF(Tabla2[[#This Row],[FECHA DE PAGO]]&gt;0,"pagada","por pagar")</f>
        <v>pagada</v>
      </c>
      <c r="W1845" s="141" t="str">
        <f>+IF(AND(Tabla2[[#This Row],[venc]]="venc",Tabla2[[#This Row],[Columna1]]="por pagar"),"vencida","no")</f>
        <v>no</v>
      </c>
    </row>
    <row r="1846" spans="1:23" ht="15.6" hidden="1" x14ac:dyDescent="0.3">
      <c r="A1846" s="20">
        <v>30</v>
      </c>
      <c r="B1846" s="25">
        <v>0</v>
      </c>
      <c r="C1846" s="25"/>
      <c r="D1846" s="56" t="s">
        <v>199</v>
      </c>
      <c r="E1846" s="426">
        <v>44733</v>
      </c>
      <c r="F1846" s="26" t="s">
        <v>1069</v>
      </c>
      <c r="G1846" s="426">
        <v>44705</v>
      </c>
      <c r="H1846" s="35" t="s">
        <v>690</v>
      </c>
      <c r="I1846" s="21">
        <v>499160.34</v>
      </c>
      <c r="J1846" s="21"/>
      <c r="K1846" s="22">
        <v>94840.464600000007</v>
      </c>
      <c r="L1846" s="23"/>
      <c r="M1846" s="22">
        <v>0</v>
      </c>
      <c r="N1846" s="74">
        <v>0</v>
      </c>
      <c r="O1846" s="22">
        <v>0</v>
      </c>
      <c r="P1846" s="21">
        <v>594000.80460000003</v>
      </c>
      <c r="S1846" s="108" t="b">
        <f>OR(COUNTIF(Tabla2[[#This Row],[PROVEEDOR]],"*"&amp;'Palabra no opera'!$A$2&amp;"*"))</f>
        <v>0</v>
      </c>
      <c r="T1846" s="139">
        <f>+$W$5-Tabla2[[#This Row],[FECHA DE FACTURACIÓN]]</f>
        <v>586</v>
      </c>
      <c r="U1846" t="str">
        <f>+IF(Tabla2[[#This Row],[dias de credito]]&gt;=Tabla2[[#This Row],[PLAZO Días]],"venc", "No venc")</f>
        <v>venc</v>
      </c>
      <c r="V1846" t="str">
        <f>+IF(Tabla2[[#This Row],[FECHA DE PAGO]]&gt;0,"pagada","por pagar")</f>
        <v>pagada</v>
      </c>
      <c r="W1846" s="141" t="str">
        <f>+IF(AND(Tabla2[[#This Row],[venc]]="venc",Tabla2[[#This Row],[Columna1]]="por pagar"),"vencida","no")</f>
        <v>no</v>
      </c>
    </row>
    <row r="1847" spans="1:23" ht="15.6" hidden="1" x14ac:dyDescent="0.3">
      <c r="A1847" s="20">
        <v>30</v>
      </c>
      <c r="B1847" s="25">
        <v>0</v>
      </c>
      <c r="C1847" s="25"/>
      <c r="D1847" s="56" t="s">
        <v>277</v>
      </c>
      <c r="E1847" s="426">
        <v>44733</v>
      </c>
      <c r="F1847" s="26" t="s">
        <v>248</v>
      </c>
      <c r="G1847" s="426">
        <v>44700</v>
      </c>
      <c r="H1847" s="35" t="s">
        <v>696</v>
      </c>
      <c r="I1847" s="21">
        <v>2800056</v>
      </c>
      <c r="J1847" s="21"/>
      <c r="K1847" s="22">
        <v>532010.64</v>
      </c>
      <c r="L1847" s="23"/>
      <c r="M1847" s="22">
        <v>0</v>
      </c>
      <c r="N1847" s="74">
        <v>0</v>
      </c>
      <c r="O1847" s="22">
        <v>0</v>
      </c>
      <c r="P1847" s="21">
        <v>3332066.64</v>
      </c>
      <c r="S1847" s="108" t="b">
        <f>OR(COUNTIF(Tabla2[[#This Row],[PROVEEDOR]],"*"&amp;'Palabra no opera'!$A$2&amp;"*"))</f>
        <v>0</v>
      </c>
      <c r="T1847" s="139">
        <f>+$W$5-Tabla2[[#This Row],[FECHA DE FACTURACIÓN]]</f>
        <v>591</v>
      </c>
      <c r="U1847" t="str">
        <f>+IF(Tabla2[[#This Row],[dias de credito]]&gt;=Tabla2[[#This Row],[PLAZO Días]],"venc", "No venc")</f>
        <v>venc</v>
      </c>
      <c r="V1847" t="str">
        <f>+IF(Tabla2[[#This Row],[FECHA DE PAGO]]&gt;0,"pagada","por pagar")</f>
        <v>pagada</v>
      </c>
      <c r="W1847" s="141" t="str">
        <f>+IF(AND(Tabla2[[#This Row],[venc]]="venc",Tabla2[[#This Row],[Columna1]]="por pagar"),"vencida","no")</f>
        <v>no</v>
      </c>
    </row>
    <row r="1848" spans="1:23" ht="15.6" hidden="1" x14ac:dyDescent="0.3">
      <c r="A1848" s="20">
        <v>30</v>
      </c>
      <c r="B1848" s="25">
        <v>1316890.8900000001</v>
      </c>
      <c r="C1848" s="25"/>
      <c r="D1848" s="56" t="s">
        <v>188</v>
      </c>
      <c r="E1848" s="426">
        <v>44733</v>
      </c>
      <c r="F1848" s="26" t="s">
        <v>17</v>
      </c>
      <c r="G1848" s="426">
        <v>44698</v>
      </c>
      <c r="H1848" s="35">
        <v>1914942</v>
      </c>
      <c r="I1848" s="21">
        <v>836500</v>
      </c>
      <c r="J1848" s="21"/>
      <c r="K1848" s="22">
        <v>158935</v>
      </c>
      <c r="L1848" s="23"/>
      <c r="M1848" s="22">
        <v>0</v>
      </c>
      <c r="N1848" s="74">
        <v>0</v>
      </c>
      <c r="O1848" s="22">
        <v>0</v>
      </c>
      <c r="P1848" s="21">
        <v>995435</v>
      </c>
      <c r="S1848" s="108" t="b">
        <f>OR(COUNTIF(Tabla2[[#This Row],[PROVEEDOR]],"*"&amp;'Palabra no opera'!$A$2&amp;"*"))</f>
        <v>0</v>
      </c>
      <c r="T1848" s="139">
        <f>+$W$5-Tabla2[[#This Row],[FECHA DE FACTURACIÓN]]</f>
        <v>593</v>
      </c>
      <c r="U1848" t="str">
        <f>+IF(Tabla2[[#This Row],[dias de credito]]&gt;=Tabla2[[#This Row],[PLAZO Días]],"venc", "No venc")</f>
        <v>venc</v>
      </c>
      <c r="V1848" t="str">
        <f>+IF(Tabla2[[#This Row],[FECHA DE PAGO]]&gt;0,"pagada","por pagar")</f>
        <v>pagada</v>
      </c>
      <c r="W1848" s="141" t="str">
        <f>+IF(AND(Tabla2[[#This Row],[venc]]="venc",Tabla2[[#This Row],[Columna1]]="por pagar"),"vencida","no")</f>
        <v>no</v>
      </c>
    </row>
    <row r="1849" spans="1:23" ht="15.6" hidden="1" x14ac:dyDescent="0.3">
      <c r="A1849" s="20">
        <v>30</v>
      </c>
      <c r="B1849" s="25">
        <v>0</v>
      </c>
      <c r="C1849" s="25"/>
      <c r="D1849" s="56" t="s">
        <v>107</v>
      </c>
      <c r="E1849" s="426">
        <v>44733</v>
      </c>
      <c r="F1849" s="26" t="s">
        <v>401</v>
      </c>
      <c r="G1849" s="426">
        <v>44698</v>
      </c>
      <c r="H1849" s="35" t="s">
        <v>719</v>
      </c>
      <c r="I1849" s="21">
        <v>1440000</v>
      </c>
      <c r="J1849" s="21"/>
      <c r="K1849" s="22">
        <v>0</v>
      </c>
      <c r="L1849" s="23"/>
      <c r="M1849" s="22">
        <v>0</v>
      </c>
      <c r="N1849" s="74">
        <v>0</v>
      </c>
      <c r="O1849" s="22">
        <v>0</v>
      </c>
      <c r="P1849" s="21">
        <v>1440000</v>
      </c>
      <c r="S1849" s="108" t="b">
        <f>OR(COUNTIF(Tabla2[[#This Row],[PROVEEDOR]],"*"&amp;'Palabra no opera'!$A$2&amp;"*"))</f>
        <v>0</v>
      </c>
      <c r="T1849" s="139">
        <f>+$W$5-Tabla2[[#This Row],[FECHA DE FACTURACIÓN]]</f>
        <v>593</v>
      </c>
      <c r="U1849" t="str">
        <f>+IF(Tabla2[[#This Row],[dias de credito]]&gt;=Tabla2[[#This Row],[PLAZO Días]],"venc", "No venc")</f>
        <v>venc</v>
      </c>
      <c r="V1849" t="str">
        <f>+IF(Tabla2[[#This Row],[FECHA DE PAGO]]&gt;0,"pagada","por pagar")</f>
        <v>pagada</v>
      </c>
      <c r="W1849" s="141" t="str">
        <f>+IF(AND(Tabla2[[#This Row],[venc]]="venc",Tabla2[[#This Row],[Columna1]]="por pagar"),"vencida","no")</f>
        <v>no</v>
      </c>
    </row>
    <row r="1850" spans="1:23" ht="15.6" hidden="1" x14ac:dyDescent="0.3">
      <c r="A1850" s="20">
        <v>30</v>
      </c>
      <c r="B1850" s="25">
        <v>0</v>
      </c>
      <c r="C1850" s="25"/>
      <c r="D1850" s="56" t="s">
        <v>190</v>
      </c>
      <c r="E1850" s="426">
        <v>44733</v>
      </c>
      <c r="F1850" s="26" t="s">
        <v>964</v>
      </c>
      <c r="G1850" s="426">
        <v>44696</v>
      </c>
      <c r="H1850" s="35">
        <v>30872</v>
      </c>
      <c r="I1850" s="21">
        <v>4680000</v>
      </c>
      <c r="J1850" s="21"/>
      <c r="K1850" s="22">
        <v>889200</v>
      </c>
      <c r="L1850" s="23"/>
      <c r="M1850" s="22">
        <v>0</v>
      </c>
      <c r="N1850" s="74">
        <v>2.5000000000000001E-2</v>
      </c>
      <c r="O1850" s="22">
        <v>117000</v>
      </c>
      <c r="P1850" s="21">
        <v>5452200</v>
      </c>
      <c r="S1850" s="108" t="b">
        <f>OR(COUNTIF(Tabla2[[#This Row],[PROVEEDOR]],"*"&amp;'Palabra no opera'!$A$2&amp;"*"))</f>
        <v>0</v>
      </c>
      <c r="T1850" s="139">
        <f>+$W$5-Tabla2[[#This Row],[FECHA DE FACTURACIÓN]]</f>
        <v>595</v>
      </c>
      <c r="U1850" t="str">
        <f>+IF(Tabla2[[#This Row],[dias de credito]]&gt;=Tabla2[[#This Row],[PLAZO Días]],"venc", "No venc")</f>
        <v>venc</v>
      </c>
      <c r="V1850" t="str">
        <f>+IF(Tabla2[[#This Row],[FECHA DE PAGO]]&gt;0,"pagada","por pagar")</f>
        <v>pagada</v>
      </c>
      <c r="W1850" s="141" t="str">
        <f>+IF(AND(Tabla2[[#This Row],[venc]]="venc",Tabla2[[#This Row],[Columna1]]="por pagar"),"vencida","no")</f>
        <v>no</v>
      </c>
    </row>
    <row r="1851" spans="1:23" ht="15.6" hidden="1" x14ac:dyDescent="0.3">
      <c r="A1851" s="20">
        <v>30</v>
      </c>
      <c r="B1851" s="25">
        <v>2773899.95</v>
      </c>
      <c r="C1851" s="25"/>
      <c r="D1851" s="56" t="s">
        <v>135</v>
      </c>
      <c r="E1851" s="426">
        <v>44733</v>
      </c>
      <c r="F1851" s="26" t="s">
        <v>20</v>
      </c>
      <c r="G1851" s="426">
        <v>44694</v>
      </c>
      <c r="H1851" s="35">
        <v>7001</v>
      </c>
      <c r="I1851" s="21">
        <v>1999798</v>
      </c>
      <c r="J1851" s="21"/>
      <c r="K1851" s="22">
        <v>379961.62</v>
      </c>
      <c r="L1851" s="23"/>
      <c r="M1851" s="22">
        <v>0</v>
      </c>
      <c r="N1851" s="74">
        <v>2.5000000000000001E-2</v>
      </c>
      <c r="O1851" s="22">
        <v>49994.950000000004</v>
      </c>
      <c r="P1851" s="21">
        <v>2329764.67</v>
      </c>
      <c r="S1851" s="108" t="b">
        <f>OR(COUNTIF(Tabla2[[#This Row],[PROVEEDOR]],"*"&amp;'Palabra no opera'!$A$2&amp;"*"))</f>
        <v>0</v>
      </c>
      <c r="T1851" s="139">
        <f>+$W$5-Tabla2[[#This Row],[FECHA DE FACTURACIÓN]]</f>
        <v>597</v>
      </c>
      <c r="U1851" t="str">
        <f>+IF(Tabla2[[#This Row],[dias de credito]]&gt;=Tabla2[[#This Row],[PLAZO Días]],"venc", "No venc")</f>
        <v>venc</v>
      </c>
      <c r="V1851" t="str">
        <f>+IF(Tabla2[[#This Row],[FECHA DE PAGO]]&gt;0,"pagada","por pagar")</f>
        <v>pagada</v>
      </c>
      <c r="W1851" s="141" t="str">
        <f>+IF(AND(Tabla2[[#This Row],[venc]]="venc",Tabla2[[#This Row],[Columna1]]="por pagar"),"vencida","no")</f>
        <v>no</v>
      </c>
    </row>
    <row r="1852" spans="1:23" ht="15.6" hidden="1" x14ac:dyDescent="0.3">
      <c r="A1852" s="20">
        <v>0</v>
      </c>
      <c r="B1852" s="25">
        <v>0</v>
      </c>
      <c r="C1852" s="25"/>
      <c r="D1852" s="56">
        <v>0</v>
      </c>
      <c r="E1852" s="426">
        <v>44730</v>
      </c>
      <c r="F1852" s="26" t="s">
        <v>754</v>
      </c>
      <c r="G1852" s="426">
        <v>44713</v>
      </c>
      <c r="H1852" s="35" t="s">
        <v>907</v>
      </c>
      <c r="I1852" s="21">
        <v>1500000</v>
      </c>
      <c r="J1852" s="21"/>
      <c r="K1852" s="22">
        <v>0</v>
      </c>
      <c r="L1852" s="23"/>
      <c r="M1852" s="22">
        <v>0</v>
      </c>
      <c r="N1852" s="74">
        <v>0</v>
      </c>
      <c r="O1852" s="22">
        <v>0</v>
      </c>
      <c r="P1852" s="21">
        <v>1500000</v>
      </c>
      <c r="S1852" s="108" t="b">
        <f>OR(COUNTIF(Tabla2[[#This Row],[PROVEEDOR]],"*"&amp;'Palabra no opera'!$A$2&amp;"*"))</f>
        <v>1</v>
      </c>
      <c r="T1852" s="139">
        <f>+$W$5-Tabla2[[#This Row],[FECHA DE FACTURACIÓN]]</f>
        <v>578</v>
      </c>
      <c r="U1852" t="str">
        <f>+IF(Tabla2[[#This Row],[dias de credito]]&gt;=Tabla2[[#This Row],[PLAZO Días]],"venc", "No venc")</f>
        <v>venc</v>
      </c>
      <c r="V1852" t="str">
        <f>+IF(Tabla2[[#This Row],[FECHA DE PAGO]]&gt;0,"pagada","por pagar")</f>
        <v>pagada</v>
      </c>
      <c r="W1852" s="141" t="str">
        <f>+IF(AND(Tabla2[[#This Row],[venc]]="venc",Tabla2[[#This Row],[Columna1]]="por pagar"),"vencida","no")</f>
        <v>no</v>
      </c>
    </row>
    <row r="1853" spans="1:23" ht="15.6" hidden="1" x14ac:dyDescent="0.3">
      <c r="A1853" s="20">
        <v>0</v>
      </c>
      <c r="B1853" s="25">
        <v>0</v>
      </c>
      <c r="C1853" s="25"/>
      <c r="D1853" s="56">
        <v>0</v>
      </c>
      <c r="E1853" s="426">
        <v>44730</v>
      </c>
      <c r="F1853" s="26" t="s">
        <v>754</v>
      </c>
      <c r="G1853" s="426">
        <v>44713</v>
      </c>
      <c r="H1853" s="35" t="s">
        <v>907</v>
      </c>
      <c r="I1853" s="21">
        <v>3000000</v>
      </c>
      <c r="J1853" s="21"/>
      <c r="K1853" s="22">
        <v>0</v>
      </c>
      <c r="L1853" s="23"/>
      <c r="M1853" s="22">
        <v>0</v>
      </c>
      <c r="N1853" s="74">
        <v>0</v>
      </c>
      <c r="O1853" s="22">
        <v>0</v>
      </c>
      <c r="P1853" s="21">
        <v>3000000</v>
      </c>
      <c r="S1853" s="108" t="b">
        <f>OR(COUNTIF(Tabla2[[#This Row],[PROVEEDOR]],"*"&amp;'Palabra no opera'!$A$2&amp;"*"))</f>
        <v>1</v>
      </c>
      <c r="T1853" s="139">
        <f>+$W$5-Tabla2[[#This Row],[FECHA DE FACTURACIÓN]]</f>
        <v>578</v>
      </c>
      <c r="U1853" t="str">
        <f>+IF(Tabla2[[#This Row],[dias de credito]]&gt;=Tabla2[[#This Row],[PLAZO Días]],"venc", "No venc")</f>
        <v>venc</v>
      </c>
      <c r="V1853" t="str">
        <f>+IF(Tabla2[[#This Row],[FECHA DE PAGO]]&gt;0,"pagada","por pagar")</f>
        <v>pagada</v>
      </c>
      <c r="W1853" s="141" t="str">
        <f>+IF(AND(Tabla2[[#This Row],[venc]]="venc",Tabla2[[#This Row],[Columna1]]="por pagar"),"vencida","no")</f>
        <v>no</v>
      </c>
    </row>
    <row r="1854" spans="1:23" ht="15.6" hidden="1" x14ac:dyDescent="0.3">
      <c r="A1854" s="20">
        <v>30</v>
      </c>
      <c r="B1854" s="25">
        <v>0</v>
      </c>
      <c r="C1854" s="25"/>
      <c r="D1854" s="56" t="s">
        <v>107</v>
      </c>
      <c r="E1854" s="426">
        <v>44729</v>
      </c>
      <c r="F1854" s="26" t="s">
        <v>390</v>
      </c>
      <c r="G1854" s="426">
        <v>44729</v>
      </c>
      <c r="H1854" s="35"/>
      <c r="I1854" s="21">
        <v>1000000</v>
      </c>
      <c r="J1854" s="21"/>
      <c r="K1854" s="22">
        <v>0</v>
      </c>
      <c r="L1854" s="23"/>
      <c r="M1854" s="22">
        <v>0</v>
      </c>
      <c r="N1854" s="74">
        <v>0</v>
      </c>
      <c r="O1854" s="22">
        <v>0</v>
      </c>
      <c r="P1854" s="21">
        <v>1000000</v>
      </c>
      <c r="S1854" s="108" t="b">
        <f>OR(COUNTIF(Tabla2[[#This Row],[PROVEEDOR]],"*"&amp;'Palabra no opera'!$A$2&amp;"*"))</f>
        <v>0</v>
      </c>
      <c r="T1854" s="139">
        <f>+$W$5-Tabla2[[#This Row],[FECHA DE FACTURACIÓN]]</f>
        <v>562</v>
      </c>
      <c r="U1854" t="str">
        <f>+IF(Tabla2[[#This Row],[dias de credito]]&gt;=Tabla2[[#This Row],[PLAZO Días]],"venc", "No venc")</f>
        <v>venc</v>
      </c>
      <c r="V1854" t="str">
        <f>+IF(Tabla2[[#This Row],[FECHA DE PAGO]]&gt;0,"pagada","por pagar")</f>
        <v>pagada</v>
      </c>
      <c r="W1854" s="141" t="str">
        <f>+IF(AND(Tabla2[[#This Row],[venc]]="venc",Tabla2[[#This Row],[Columna1]]="por pagar"),"vencida","no")</f>
        <v>no</v>
      </c>
    </row>
    <row r="1855" spans="1:23" ht="15.6" hidden="1" x14ac:dyDescent="0.3">
      <c r="A1855" s="20">
        <v>30</v>
      </c>
      <c r="B1855" s="25">
        <v>0</v>
      </c>
      <c r="C1855" s="25"/>
      <c r="D1855" s="56" t="s">
        <v>659</v>
      </c>
      <c r="E1855" s="426">
        <v>44729</v>
      </c>
      <c r="F1855" s="26" t="s">
        <v>227</v>
      </c>
      <c r="G1855" s="426">
        <v>44729</v>
      </c>
      <c r="H1855" s="35" t="s">
        <v>806</v>
      </c>
      <c r="I1855" s="21">
        <v>195297.47</v>
      </c>
      <c r="J1855" s="21"/>
      <c r="K1855" s="22">
        <v>0</v>
      </c>
      <c r="L1855" s="23"/>
      <c r="M1855" s="22">
        <v>0</v>
      </c>
      <c r="N1855" s="74">
        <v>0</v>
      </c>
      <c r="O1855" s="22">
        <v>0</v>
      </c>
      <c r="P1855" s="21">
        <v>195297.47</v>
      </c>
      <c r="S1855" s="108" t="b">
        <f>OR(COUNTIF(Tabla2[[#This Row],[PROVEEDOR]],"*"&amp;'Palabra no opera'!$A$2&amp;"*"))</f>
        <v>0</v>
      </c>
      <c r="T1855" s="139">
        <f>+$W$5-Tabla2[[#This Row],[FECHA DE FACTURACIÓN]]</f>
        <v>562</v>
      </c>
      <c r="U1855" t="str">
        <f>+IF(Tabla2[[#This Row],[dias de credito]]&gt;=Tabla2[[#This Row],[PLAZO Días]],"venc", "No venc")</f>
        <v>venc</v>
      </c>
      <c r="V1855" t="str">
        <f>+IF(Tabla2[[#This Row],[FECHA DE PAGO]]&gt;0,"pagada","por pagar")</f>
        <v>pagada</v>
      </c>
      <c r="W1855" s="141" t="str">
        <f>+IF(AND(Tabla2[[#This Row],[venc]]="venc",Tabla2[[#This Row],[Columna1]]="por pagar"),"vencida","no")</f>
        <v>no</v>
      </c>
    </row>
    <row r="1856" spans="1:23" ht="15.6" hidden="1" x14ac:dyDescent="0.3">
      <c r="A1856" s="20">
        <v>30</v>
      </c>
      <c r="B1856" s="25">
        <v>0</v>
      </c>
      <c r="C1856" s="25"/>
      <c r="D1856" s="56" t="s">
        <v>176</v>
      </c>
      <c r="E1856" s="426">
        <v>44729</v>
      </c>
      <c r="F1856" s="26" t="s">
        <v>967</v>
      </c>
      <c r="G1856" s="426">
        <v>44727</v>
      </c>
      <c r="H1856" s="35">
        <v>237</v>
      </c>
      <c r="I1856" s="21">
        <v>300000</v>
      </c>
      <c r="J1856" s="21"/>
      <c r="K1856" s="22">
        <v>0</v>
      </c>
      <c r="L1856" s="23"/>
      <c r="M1856" s="22">
        <v>0</v>
      </c>
      <c r="N1856" s="74">
        <v>0.01</v>
      </c>
      <c r="O1856" s="22">
        <v>3000</v>
      </c>
      <c r="P1856" s="21">
        <v>297000</v>
      </c>
      <c r="S1856" s="108" t="b">
        <f>OR(COUNTIF(Tabla2[[#This Row],[PROVEEDOR]],"*"&amp;'Palabra no opera'!$A$2&amp;"*"))</f>
        <v>0</v>
      </c>
      <c r="T1856" s="139">
        <f>+$W$5-Tabla2[[#This Row],[FECHA DE FACTURACIÓN]]</f>
        <v>564</v>
      </c>
      <c r="U1856" t="str">
        <f>+IF(Tabla2[[#This Row],[dias de credito]]&gt;=Tabla2[[#This Row],[PLAZO Días]],"venc", "No venc")</f>
        <v>venc</v>
      </c>
      <c r="V1856" t="str">
        <f>+IF(Tabla2[[#This Row],[FECHA DE PAGO]]&gt;0,"pagada","por pagar")</f>
        <v>pagada</v>
      </c>
      <c r="W1856" s="141" t="str">
        <f>+IF(AND(Tabla2[[#This Row],[venc]]="venc",Tabla2[[#This Row],[Columna1]]="por pagar"),"vencida","no")</f>
        <v>no</v>
      </c>
    </row>
    <row r="1857" spans="1:23" ht="15.6" hidden="1" x14ac:dyDescent="0.3">
      <c r="A1857" s="20">
        <v>30</v>
      </c>
      <c r="B1857" s="25">
        <v>0</v>
      </c>
      <c r="C1857" s="25"/>
      <c r="D1857" s="56" t="s">
        <v>368</v>
      </c>
      <c r="E1857" s="426">
        <v>44729</v>
      </c>
      <c r="F1857" s="26" t="s">
        <v>623</v>
      </c>
      <c r="G1857" s="426">
        <v>44713</v>
      </c>
      <c r="H1857" s="35" t="s">
        <v>712</v>
      </c>
      <c r="I1857" s="21">
        <v>4222</v>
      </c>
      <c r="J1857" s="21"/>
      <c r="K1857" s="22">
        <v>802.18000000000006</v>
      </c>
      <c r="L1857" s="23"/>
      <c r="M1857" s="22">
        <v>0</v>
      </c>
      <c r="N1857" s="74">
        <v>0</v>
      </c>
      <c r="O1857" s="22">
        <v>0</v>
      </c>
      <c r="P1857" s="21">
        <v>5024.18</v>
      </c>
      <c r="S1857" s="108" t="b">
        <f>OR(COUNTIF(Tabla2[[#This Row],[PROVEEDOR]],"*"&amp;'Palabra no opera'!$A$2&amp;"*"))</f>
        <v>1</v>
      </c>
      <c r="T1857" s="139">
        <f>+$W$5-Tabla2[[#This Row],[FECHA DE FACTURACIÓN]]</f>
        <v>578</v>
      </c>
      <c r="U1857" t="str">
        <f>+IF(Tabla2[[#This Row],[dias de credito]]&gt;=Tabla2[[#This Row],[PLAZO Días]],"venc", "No venc")</f>
        <v>venc</v>
      </c>
      <c r="V1857" t="str">
        <f>+IF(Tabla2[[#This Row],[FECHA DE PAGO]]&gt;0,"pagada","por pagar")</f>
        <v>pagada</v>
      </c>
      <c r="W1857" s="141" t="str">
        <f>+IF(AND(Tabla2[[#This Row],[venc]]="venc",Tabla2[[#This Row],[Columna1]]="por pagar"),"vencida","no")</f>
        <v>no</v>
      </c>
    </row>
    <row r="1858" spans="1:23" ht="15.6" hidden="1" x14ac:dyDescent="0.3">
      <c r="A1858" s="20">
        <v>30</v>
      </c>
      <c r="B1858" s="25">
        <v>0</v>
      </c>
      <c r="C1858" s="25"/>
      <c r="D1858" s="56" t="s">
        <v>368</v>
      </c>
      <c r="E1858" s="426">
        <v>44729</v>
      </c>
      <c r="F1858" s="26" t="s">
        <v>623</v>
      </c>
      <c r="G1858" s="426">
        <v>44713</v>
      </c>
      <c r="H1858" s="35" t="s">
        <v>715</v>
      </c>
      <c r="I1858" s="21">
        <v>17570</v>
      </c>
      <c r="J1858" s="21"/>
      <c r="K1858" s="22">
        <v>3338.3</v>
      </c>
      <c r="L1858" s="23"/>
      <c r="M1858" s="22">
        <v>0</v>
      </c>
      <c r="N1858" s="74">
        <v>0</v>
      </c>
      <c r="O1858" s="22">
        <v>0</v>
      </c>
      <c r="P1858" s="21">
        <v>20908.3</v>
      </c>
      <c r="S1858" s="108" t="b">
        <f>OR(COUNTIF(Tabla2[[#This Row],[PROVEEDOR]],"*"&amp;'Palabra no opera'!$A$2&amp;"*"))</f>
        <v>1</v>
      </c>
      <c r="T1858" s="139">
        <f>+$W$5-Tabla2[[#This Row],[FECHA DE FACTURACIÓN]]</f>
        <v>578</v>
      </c>
      <c r="U1858" t="str">
        <f>+IF(Tabla2[[#This Row],[dias de credito]]&gt;=Tabla2[[#This Row],[PLAZO Días]],"venc", "No venc")</f>
        <v>venc</v>
      </c>
      <c r="V1858" t="str">
        <f>+IF(Tabla2[[#This Row],[FECHA DE PAGO]]&gt;0,"pagada","por pagar")</f>
        <v>pagada</v>
      </c>
      <c r="W1858" s="141" t="str">
        <f>+IF(AND(Tabla2[[#This Row],[venc]]="venc",Tabla2[[#This Row],[Columna1]]="por pagar"),"vencida","no")</f>
        <v>no</v>
      </c>
    </row>
    <row r="1859" spans="1:23" ht="15.6" hidden="1" x14ac:dyDescent="0.3">
      <c r="A1859" s="20">
        <v>30</v>
      </c>
      <c r="B1859" s="25">
        <v>0</v>
      </c>
      <c r="C1859" s="25"/>
      <c r="D1859" s="56" t="s">
        <v>368</v>
      </c>
      <c r="E1859" s="426">
        <v>44729</v>
      </c>
      <c r="F1859" s="26" t="s">
        <v>623</v>
      </c>
      <c r="G1859" s="426">
        <v>44713</v>
      </c>
      <c r="H1859" s="35" t="s">
        <v>714</v>
      </c>
      <c r="I1859" s="21">
        <v>791781</v>
      </c>
      <c r="J1859" s="21"/>
      <c r="K1859" s="22">
        <v>150438.39000000001</v>
      </c>
      <c r="L1859" s="23"/>
      <c r="M1859" s="22">
        <v>0</v>
      </c>
      <c r="N1859" s="74">
        <v>0</v>
      </c>
      <c r="O1859" s="22">
        <v>0</v>
      </c>
      <c r="P1859" s="21">
        <v>942219.39</v>
      </c>
      <c r="S1859" s="108" t="b">
        <f>OR(COUNTIF(Tabla2[[#This Row],[PROVEEDOR]],"*"&amp;'Palabra no opera'!$A$2&amp;"*"))</f>
        <v>1</v>
      </c>
      <c r="T1859" s="139">
        <f>+$W$5-Tabla2[[#This Row],[FECHA DE FACTURACIÓN]]</f>
        <v>578</v>
      </c>
      <c r="U1859" t="str">
        <f>+IF(Tabla2[[#This Row],[dias de credito]]&gt;=Tabla2[[#This Row],[PLAZO Días]],"venc", "No venc")</f>
        <v>venc</v>
      </c>
      <c r="V1859" t="str">
        <f>+IF(Tabla2[[#This Row],[FECHA DE PAGO]]&gt;0,"pagada","por pagar")</f>
        <v>pagada</v>
      </c>
      <c r="W1859" s="141" t="str">
        <f>+IF(AND(Tabla2[[#This Row],[venc]]="venc",Tabla2[[#This Row],[Columna1]]="por pagar"),"vencida","no")</f>
        <v>no</v>
      </c>
    </row>
    <row r="1860" spans="1:23" ht="15.6" hidden="1" x14ac:dyDescent="0.3">
      <c r="A1860" s="20">
        <v>30</v>
      </c>
      <c r="B1860" s="25">
        <v>0</v>
      </c>
      <c r="C1860" s="25"/>
      <c r="D1860" s="56" t="s">
        <v>368</v>
      </c>
      <c r="E1860" s="426">
        <v>44729</v>
      </c>
      <c r="F1860" s="26" t="s">
        <v>623</v>
      </c>
      <c r="G1860" s="426">
        <v>44713</v>
      </c>
      <c r="H1860" s="35" t="s">
        <v>713</v>
      </c>
      <c r="I1860" s="21">
        <v>3294426</v>
      </c>
      <c r="J1860" s="21"/>
      <c r="K1860" s="22">
        <v>625940.94000000006</v>
      </c>
      <c r="L1860" s="23"/>
      <c r="M1860" s="22">
        <v>0</v>
      </c>
      <c r="N1860" s="74">
        <v>0</v>
      </c>
      <c r="O1860" s="22">
        <v>0</v>
      </c>
      <c r="P1860" s="21">
        <v>3920366.94</v>
      </c>
      <c r="S1860" s="108" t="b">
        <f>OR(COUNTIF(Tabla2[[#This Row],[PROVEEDOR]],"*"&amp;'Palabra no opera'!$A$2&amp;"*"))</f>
        <v>1</v>
      </c>
      <c r="T1860" s="139">
        <f>+$W$5-Tabla2[[#This Row],[FECHA DE FACTURACIÓN]]</f>
        <v>578</v>
      </c>
      <c r="U1860" t="str">
        <f>+IF(Tabla2[[#This Row],[dias de credito]]&gt;=Tabla2[[#This Row],[PLAZO Días]],"venc", "No venc")</f>
        <v>venc</v>
      </c>
      <c r="V1860" t="str">
        <f>+IF(Tabla2[[#This Row],[FECHA DE PAGO]]&gt;0,"pagada","por pagar")</f>
        <v>pagada</v>
      </c>
      <c r="W1860" s="141" t="str">
        <f>+IF(AND(Tabla2[[#This Row],[venc]]="venc",Tabla2[[#This Row],[Columna1]]="por pagar"),"vencida","no")</f>
        <v>no</v>
      </c>
    </row>
    <row r="1861" spans="1:23" ht="15.6" hidden="1" x14ac:dyDescent="0.3">
      <c r="A1861" s="20">
        <v>30</v>
      </c>
      <c r="B1861" s="25">
        <v>352505.48</v>
      </c>
      <c r="C1861" s="25"/>
      <c r="D1861" s="56" t="s">
        <v>393</v>
      </c>
      <c r="E1861" s="426">
        <v>44729</v>
      </c>
      <c r="F1861" s="26" t="s">
        <v>650</v>
      </c>
      <c r="G1861" s="426">
        <v>44713</v>
      </c>
      <c r="H1861" s="35">
        <v>67699</v>
      </c>
      <c r="I1861" s="21">
        <v>284467</v>
      </c>
      <c r="J1861" s="21"/>
      <c r="K1861" s="22">
        <v>0</v>
      </c>
      <c r="L1861" s="23"/>
      <c r="M1861" s="22">
        <v>0</v>
      </c>
      <c r="N1861" s="74">
        <v>0</v>
      </c>
      <c r="O1861" s="22">
        <v>0</v>
      </c>
      <c r="P1861" s="21">
        <v>284467</v>
      </c>
      <c r="S1861" s="108" t="b">
        <f>OR(COUNTIF(Tabla2[[#This Row],[PROVEEDOR]],"*"&amp;'Palabra no opera'!$A$2&amp;"*"))</f>
        <v>1</v>
      </c>
      <c r="T1861" s="139">
        <f>+$W$5-Tabla2[[#This Row],[FECHA DE FACTURACIÓN]]</f>
        <v>578</v>
      </c>
      <c r="U1861" t="str">
        <f>+IF(Tabla2[[#This Row],[dias de credito]]&gt;=Tabla2[[#This Row],[PLAZO Días]],"venc", "No venc")</f>
        <v>venc</v>
      </c>
      <c r="V1861" t="str">
        <f>+IF(Tabla2[[#This Row],[FECHA DE PAGO]]&gt;0,"pagada","por pagar")</f>
        <v>pagada</v>
      </c>
      <c r="W1861" s="141" t="str">
        <f>+IF(AND(Tabla2[[#This Row],[venc]]="venc",Tabla2[[#This Row],[Columna1]]="por pagar"),"vencida","no")</f>
        <v>no</v>
      </c>
    </row>
    <row r="1862" spans="1:23" ht="15.6" hidden="1" x14ac:dyDescent="0.3">
      <c r="A1862" s="20">
        <v>30</v>
      </c>
      <c r="B1862" s="25">
        <v>0</v>
      </c>
      <c r="C1862" s="25"/>
      <c r="D1862" s="56" t="s">
        <v>740</v>
      </c>
      <c r="E1862" s="426">
        <v>44729</v>
      </c>
      <c r="F1862" s="26" t="s">
        <v>637</v>
      </c>
      <c r="G1862" s="426">
        <v>44713</v>
      </c>
      <c r="H1862" s="35" t="s">
        <v>219</v>
      </c>
      <c r="I1862" s="21">
        <v>59583</v>
      </c>
      <c r="J1862" s="21"/>
      <c r="K1862" s="22">
        <v>0</v>
      </c>
      <c r="L1862" s="23"/>
      <c r="M1862" s="22">
        <v>0</v>
      </c>
      <c r="N1862" s="74">
        <v>0</v>
      </c>
      <c r="O1862" s="22">
        <v>0</v>
      </c>
      <c r="P1862" s="21">
        <v>59583</v>
      </c>
      <c r="S1862" s="108" t="b">
        <f>OR(COUNTIF(Tabla2[[#This Row],[PROVEEDOR]],"*"&amp;'Palabra no opera'!$A$2&amp;"*"))</f>
        <v>1</v>
      </c>
      <c r="T1862" s="139">
        <f>+$W$5-Tabla2[[#This Row],[FECHA DE FACTURACIÓN]]</f>
        <v>578</v>
      </c>
      <c r="U1862" t="str">
        <f>+IF(Tabla2[[#This Row],[dias de credito]]&gt;=Tabla2[[#This Row],[PLAZO Días]],"venc", "No venc")</f>
        <v>venc</v>
      </c>
      <c r="V1862" t="str">
        <f>+IF(Tabla2[[#This Row],[FECHA DE PAGO]]&gt;0,"pagada","por pagar")</f>
        <v>pagada</v>
      </c>
      <c r="W1862" s="141" t="str">
        <f>+IF(AND(Tabla2[[#This Row],[venc]]="venc",Tabla2[[#This Row],[Columna1]]="por pagar"),"vencida","no")</f>
        <v>no</v>
      </c>
    </row>
    <row r="1863" spans="1:23" ht="15.6" hidden="1" x14ac:dyDescent="0.3">
      <c r="A1863" s="20">
        <v>30</v>
      </c>
      <c r="B1863" s="25">
        <v>0</v>
      </c>
      <c r="C1863" s="25"/>
      <c r="D1863" s="56" t="s">
        <v>740</v>
      </c>
      <c r="E1863" s="426">
        <v>44729</v>
      </c>
      <c r="F1863" s="26" t="s">
        <v>637</v>
      </c>
      <c r="G1863" s="426">
        <v>44713</v>
      </c>
      <c r="H1863" s="35" t="s">
        <v>220</v>
      </c>
      <c r="I1863" s="21">
        <v>68166</v>
      </c>
      <c r="J1863" s="21"/>
      <c r="K1863" s="22">
        <v>0</v>
      </c>
      <c r="L1863" s="23"/>
      <c r="M1863" s="22">
        <v>0</v>
      </c>
      <c r="N1863" s="74">
        <v>0</v>
      </c>
      <c r="O1863" s="22">
        <v>0</v>
      </c>
      <c r="P1863" s="21">
        <v>68166</v>
      </c>
      <c r="S1863" s="108" t="b">
        <f>OR(COUNTIF(Tabla2[[#This Row],[PROVEEDOR]],"*"&amp;'Palabra no opera'!$A$2&amp;"*"))</f>
        <v>1</v>
      </c>
      <c r="T1863" s="139">
        <f>+$W$5-Tabla2[[#This Row],[FECHA DE FACTURACIÓN]]</f>
        <v>578</v>
      </c>
      <c r="U1863" t="str">
        <f>+IF(Tabla2[[#This Row],[dias de credito]]&gt;=Tabla2[[#This Row],[PLAZO Días]],"venc", "No venc")</f>
        <v>venc</v>
      </c>
      <c r="V1863" t="str">
        <f>+IF(Tabla2[[#This Row],[FECHA DE PAGO]]&gt;0,"pagada","por pagar")</f>
        <v>pagada</v>
      </c>
      <c r="W1863" s="141" t="str">
        <f>+IF(AND(Tabla2[[#This Row],[venc]]="venc",Tabla2[[#This Row],[Columna1]]="por pagar"),"vencida","no")</f>
        <v>no</v>
      </c>
    </row>
    <row r="1864" spans="1:23" ht="15.6" hidden="1" x14ac:dyDescent="0.3">
      <c r="A1864" s="20">
        <v>30</v>
      </c>
      <c r="B1864" s="25">
        <v>0</v>
      </c>
      <c r="C1864" s="25"/>
      <c r="D1864" s="56" t="s">
        <v>740</v>
      </c>
      <c r="E1864" s="426">
        <v>44729</v>
      </c>
      <c r="F1864" s="26" t="s">
        <v>637</v>
      </c>
      <c r="G1864" s="426">
        <v>44713</v>
      </c>
      <c r="H1864" s="35" t="s">
        <v>220</v>
      </c>
      <c r="I1864" s="21">
        <v>818875</v>
      </c>
      <c r="J1864" s="21"/>
      <c r="K1864" s="22">
        <v>0</v>
      </c>
      <c r="L1864" s="23"/>
      <c r="M1864" s="22">
        <v>0</v>
      </c>
      <c r="N1864" s="74">
        <v>0</v>
      </c>
      <c r="O1864" s="22">
        <v>0</v>
      </c>
      <c r="P1864" s="21">
        <v>818875</v>
      </c>
      <c r="S1864" s="108" t="b">
        <f>OR(COUNTIF(Tabla2[[#This Row],[PROVEEDOR]],"*"&amp;'Palabra no opera'!$A$2&amp;"*"))</f>
        <v>1</v>
      </c>
      <c r="T1864" s="139">
        <f>+$W$5-Tabla2[[#This Row],[FECHA DE FACTURACIÓN]]</f>
        <v>578</v>
      </c>
      <c r="U1864" t="str">
        <f>+IF(Tabla2[[#This Row],[dias de credito]]&gt;=Tabla2[[#This Row],[PLAZO Días]],"venc", "No venc")</f>
        <v>venc</v>
      </c>
      <c r="V1864" t="str">
        <f>+IF(Tabla2[[#This Row],[FECHA DE PAGO]]&gt;0,"pagada","por pagar")</f>
        <v>pagada</v>
      </c>
      <c r="W1864" s="141" t="str">
        <f>+IF(AND(Tabla2[[#This Row],[venc]]="venc",Tabla2[[#This Row],[Columna1]]="por pagar"),"vencida","no")</f>
        <v>no</v>
      </c>
    </row>
    <row r="1865" spans="1:23" ht="15.6" hidden="1" x14ac:dyDescent="0.3">
      <c r="A1865" s="20">
        <v>30</v>
      </c>
      <c r="B1865" s="25">
        <v>0</v>
      </c>
      <c r="C1865" s="25"/>
      <c r="D1865" s="56" t="s">
        <v>740</v>
      </c>
      <c r="E1865" s="426">
        <v>44729</v>
      </c>
      <c r="F1865" s="26" t="s">
        <v>637</v>
      </c>
      <c r="G1865" s="426">
        <v>44713</v>
      </c>
      <c r="H1865" s="35" t="s">
        <v>219</v>
      </c>
      <c r="I1865" s="21">
        <v>825349</v>
      </c>
      <c r="J1865" s="21"/>
      <c r="K1865" s="22">
        <v>0</v>
      </c>
      <c r="L1865" s="23"/>
      <c r="M1865" s="22">
        <v>0</v>
      </c>
      <c r="N1865" s="74">
        <v>0</v>
      </c>
      <c r="O1865" s="22">
        <v>0</v>
      </c>
      <c r="P1865" s="21">
        <v>825349</v>
      </c>
      <c r="S1865" s="108" t="b">
        <f>OR(COUNTIF(Tabla2[[#This Row],[PROVEEDOR]],"*"&amp;'Palabra no opera'!$A$2&amp;"*"))</f>
        <v>1</v>
      </c>
      <c r="T1865" s="139">
        <f>+$W$5-Tabla2[[#This Row],[FECHA DE FACTURACIÓN]]</f>
        <v>578</v>
      </c>
      <c r="U1865" t="str">
        <f>+IF(Tabla2[[#This Row],[dias de credito]]&gt;=Tabla2[[#This Row],[PLAZO Días]],"venc", "No venc")</f>
        <v>venc</v>
      </c>
      <c r="V1865" t="str">
        <f>+IF(Tabla2[[#This Row],[FECHA DE PAGO]]&gt;0,"pagada","por pagar")</f>
        <v>pagada</v>
      </c>
      <c r="W1865" s="141" t="str">
        <f>+IF(AND(Tabla2[[#This Row],[venc]]="venc",Tabla2[[#This Row],[Columna1]]="por pagar"),"vencida","no")</f>
        <v>no</v>
      </c>
    </row>
    <row r="1866" spans="1:23" ht="15.6" hidden="1" x14ac:dyDescent="0.3">
      <c r="A1866" s="20">
        <v>30</v>
      </c>
      <c r="B1866" s="25">
        <v>0</v>
      </c>
      <c r="C1866" s="25"/>
      <c r="D1866" s="56">
        <v>0</v>
      </c>
      <c r="E1866" s="426">
        <v>44729</v>
      </c>
      <c r="F1866" s="26" t="s">
        <v>642</v>
      </c>
      <c r="G1866" s="426">
        <v>44713</v>
      </c>
      <c r="H1866" s="35" t="s">
        <v>216</v>
      </c>
      <c r="I1866" s="21">
        <v>1527459</v>
      </c>
      <c r="J1866" s="21"/>
      <c r="K1866" s="22">
        <v>0</v>
      </c>
      <c r="L1866" s="23"/>
      <c r="M1866" s="22">
        <v>0</v>
      </c>
      <c r="N1866" s="74">
        <v>0</v>
      </c>
      <c r="O1866" s="22">
        <v>0</v>
      </c>
      <c r="P1866" s="21">
        <v>1527459</v>
      </c>
      <c r="S1866" s="108" t="b">
        <f>OR(COUNTIF(Tabla2[[#This Row],[PROVEEDOR]],"*"&amp;'Palabra no opera'!$A$2&amp;"*"))</f>
        <v>1</v>
      </c>
      <c r="T1866" s="139">
        <f>+$W$5-Tabla2[[#This Row],[FECHA DE FACTURACIÓN]]</f>
        <v>578</v>
      </c>
      <c r="U1866" t="str">
        <f>+IF(Tabla2[[#This Row],[dias de credito]]&gt;=Tabla2[[#This Row],[PLAZO Días]],"venc", "No venc")</f>
        <v>venc</v>
      </c>
      <c r="V1866" t="str">
        <f>+IF(Tabla2[[#This Row],[FECHA DE PAGO]]&gt;0,"pagada","por pagar")</f>
        <v>pagada</v>
      </c>
      <c r="W1866" s="141" t="str">
        <f>+IF(AND(Tabla2[[#This Row],[venc]]="venc",Tabla2[[#This Row],[Columna1]]="por pagar"),"vencida","no")</f>
        <v>no</v>
      </c>
    </row>
    <row r="1867" spans="1:23" ht="15.6" hidden="1" x14ac:dyDescent="0.3">
      <c r="A1867" s="20">
        <v>30</v>
      </c>
      <c r="B1867" s="25">
        <v>0</v>
      </c>
      <c r="C1867" s="25"/>
      <c r="D1867" s="56" t="s">
        <v>109</v>
      </c>
      <c r="E1867" s="426">
        <v>44729</v>
      </c>
      <c r="F1867" s="26" t="s">
        <v>645</v>
      </c>
      <c r="G1867" s="426">
        <v>44713</v>
      </c>
      <c r="H1867" s="35"/>
      <c r="I1867" s="21">
        <v>326243</v>
      </c>
      <c r="J1867" s="21"/>
      <c r="K1867" s="22">
        <v>0</v>
      </c>
      <c r="L1867" s="23"/>
      <c r="M1867" s="22">
        <v>0</v>
      </c>
      <c r="N1867" s="74">
        <v>0</v>
      </c>
      <c r="O1867" s="22">
        <v>0</v>
      </c>
      <c r="P1867" s="21">
        <v>326243</v>
      </c>
      <c r="S1867" s="108" t="b">
        <f>OR(COUNTIF(Tabla2[[#This Row],[PROVEEDOR]],"*"&amp;'Palabra no opera'!$A$2&amp;"*"))</f>
        <v>1</v>
      </c>
      <c r="T1867" s="139">
        <f>+$W$5-Tabla2[[#This Row],[FECHA DE FACTURACIÓN]]</f>
        <v>578</v>
      </c>
      <c r="U1867" t="str">
        <f>+IF(Tabla2[[#This Row],[dias de credito]]&gt;=Tabla2[[#This Row],[PLAZO Días]],"venc", "No venc")</f>
        <v>venc</v>
      </c>
      <c r="V1867" t="str">
        <f>+IF(Tabla2[[#This Row],[FECHA DE PAGO]]&gt;0,"pagada","por pagar")</f>
        <v>pagada</v>
      </c>
      <c r="W1867" s="141" t="str">
        <f>+IF(AND(Tabla2[[#This Row],[venc]]="venc",Tabla2[[#This Row],[Columna1]]="por pagar"),"vencida","no")</f>
        <v>no</v>
      </c>
    </row>
    <row r="1868" spans="1:23" ht="15.6" hidden="1" x14ac:dyDescent="0.3">
      <c r="A1868" s="20">
        <v>45</v>
      </c>
      <c r="B1868" s="25">
        <v>15770594</v>
      </c>
      <c r="C1868" s="25"/>
      <c r="D1868" s="56" t="s">
        <v>594</v>
      </c>
      <c r="E1868" s="426">
        <v>44729</v>
      </c>
      <c r="F1868" s="26" t="s">
        <v>19</v>
      </c>
      <c r="G1868" s="426">
        <v>44679</v>
      </c>
      <c r="H1868" s="35" t="s">
        <v>607</v>
      </c>
      <c r="I1868" s="21">
        <v>146240</v>
      </c>
      <c r="J1868" s="21"/>
      <c r="K1868" s="22">
        <v>27785.599999999999</v>
      </c>
      <c r="L1868" s="23"/>
      <c r="M1868" s="22">
        <v>0</v>
      </c>
      <c r="N1868" s="74">
        <v>0</v>
      </c>
      <c r="O1868" s="22">
        <v>0</v>
      </c>
      <c r="P1868" s="21">
        <v>174025.60000000001</v>
      </c>
      <c r="S1868" s="108" t="b">
        <f>OR(COUNTIF(Tabla2[[#This Row],[PROVEEDOR]],"*"&amp;'Palabra no opera'!$A$2&amp;"*"))</f>
        <v>0</v>
      </c>
      <c r="T1868" s="139">
        <f>+$W$5-Tabla2[[#This Row],[FECHA DE FACTURACIÓN]]</f>
        <v>612</v>
      </c>
      <c r="U1868" t="str">
        <f>+IF(Tabla2[[#This Row],[dias de credito]]&gt;=Tabla2[[#This Row],[PLAZO Días]],"venc", "No venc")</f>
        <v>venc</v>
      </c>
      <c r="V1868" t="str">
        <f>+IF(Tabla2[[#This Row],[FECHA DE PAGO]]&gt;0,"pagada","por pagar")</f>
        <v>pagada</v>
      </c>
      <c r="W1868" s="141" t="str">
        <f>+IF(AND(Tabla2[[#This Row],[venc]]="venc",Tabla2[[#This Row],[Columna1]]="por pagar"),"vencida","no")</f>
        <v>no</v>
      </c>
    </row>
    <row r="1869" spans="1:23" ht="15.6" hidden="1" x14ac:dyDescent="0.3">
      <c r="A1869" s="20">
        <v>45</v>
      </c>
      <c r="B1869" s="25">
        <v>15770594</v>
      </c>
      <c r="C1869" s="25"/>
      <c r="D1869" s="56" t="s">
        <v>594</v>
      </c>
      <c r="E1869" s="426">
        <v>44729</v>
      </c>
      <c r="F1869" s="26" t="s">
        <v>19</v>
      </c>
      <c r="G1869" s="426">
        <v>44677</v>
      </c>
      <c r="H1869" s="35" t="s">
        <v>606</v>
      </c>
      <c r="I1869" s="21">
        <v>16175936</v>
      </c>
      <c r="J1869" s="21"/>
      <c r="K1869" s="22">
        <v>3073427.84</v>
      </c>
      <c r="L1869" s="23"/>
      <c r="M1869" s="22">
        <v>0</v>
      </c>
      <c r="N1869" s="74">
        <v>0</v>
      </c>
      <c r="O1869" s="22">
        <v>0</v>
      </c>
      <c r="P1869" s="21">
        <v>19249363.84</v>
      </c>
      <c r="S1869" s="108" t="b">
        <f>OR(COUNTIF(Tabla2[[#This Row],[PROVEEDOR]],"*"&amp;'Palabra no opera'!$A$2&amp;"*"))</f>
        <v>0</v>
      </c>
      <c r="T1869" s="139">
        <f>+$W$5-Tabla2[[#This Row],[FECHA DE FACTURACIÓN]]</f>
        <v>614</v>
      </c>
      <c r="U1869" t="str">
        <f>+IF(Tabla2[[#This Row],[dias de credito]]&gt;=Tabla2[[#This Row],[PLAZO Días]],"venc", "No venc")</f>
        <v>venc</v>
      </c>
      <c r="V1869" t="str">
        <f>+IF(Tabla2[[#This Row],[FECHA DE PAGO]]&gt;0,"pagada","por pagar")</f>
        <v>pagada</v>
      </c>
      <c r="W1869" s="141" t="str">
        <f>+IF(AND(Tabla2[[#This Row],[venc]]="venc",Tabla2[[#This Row],[Columna1]]="por pagar"),"vencida","no")</f>
        <v>no</v>
      </c>
    </row>
    <row r="1870" spans="1:23" ht="15.6" hidden="1" x14ac:dyDescent="0.3">
      <c r="A1870" s="20">
        <v>30</v>
      </c>
      <c r="B1870" s="25">
        <v>0</v>
      </c>
      <c r="C1870" s="25"/>
      <c r="D1870" s="56" t="s">
        <v>107</v>
      </c>
      <c r="E1870" s="426">
        <v>44728</v>
      </c>
      <c r="F1870" s="26" t="s">
        <v>53</v>
      </c>
      <c r="G1870" s="426">
        <v>44727</v>
      </c>
      <c r="H1870" s="35">
        <v>291707</v>
      </c>
      <c r="I1870" s="21">
        <v>2134000</v>
      </c>
      <c r="J1870" s="21"/>
      <c r="K1870" s="22">
        <v>0</v>
      </c>
      <c r="L1870" s="23"/>
      <c r="M1870" s="22">
        <v>0</v>
      </c>
      <c r="N1870" s="74">
        <v>0</v>
      </c>
      <c r="O1870" s="22">
        <v>0</v>
      </c>
      <c r="P1870" s="21">
        <v>2134000</v>
      </c>
      <c r="S1870" s="108" t="b">
        <f>OR(COUNTIF(Tabla2[[#This Row],[PROVEEDOR]],"*"&amp;'Palabra no opera'!$A$2&amp;"*"))</f>
        <v>0</v>
      </c>
      <c r="T1870" s="139">
        <f>+$W$5-Tabla2[[#This Row],[FECHA DE FACTURACIÓN]]</f>
        <v>564</v>
      </c>
      <c r="U1870" t="str">
        <f>+IF(Tabla2[[#This Row],[dias de credito]]&gt;=Tabla2[[#This Row],[PLAZO Días]],"venc", "No venc")</f>
        <v>venc</v>
      </c>
      <c r="V1870" t="str">
        <f>+IF(Tabla2[[#This Row],[FECHA DE PAGO]]&gt;0,"pagada","por pagar")</f>
        <v>pagada</v>
      </c>
      <c r="W1870" s="141" t="str">
        <f>+IF(AND(Tabla2[[#This Row],[venc]]="venc",Tabla2[[#This Row],[Columna1]]="por pagar"),"vencida","no")</f>
        <v>no</v>
      </c>
    </row>
    <row r="1871" spans="1:23" ht="15.6" hidden="1" x14ac:dyDescent="0.3">
      <c r="A1871" s="20">
        <v>30</v>
      </c>
      <c r="B1871" s="25">
        <v>0</v>
      </c>
      <c r="C1871" s="25"/>
      <c r="D1871" s="56" t="s">
        <v>659</v>
      </c>
      <c r="E1871" s="426">
        <v>44728</v>
      </c>
      <c r="F1871" s="26" t="s">
        <v>227</v>
      </c>
      <c r="G1871" s="426">
        <v>44727</v>
      </c>
      <c r="H1871" s="35" t="s">
        <v>808</v>
      </c>
      <c r="I1871" s="21">
        <v>1919000</v>
      </c>
      <c r="J1871" s="21"/>
      <c r="K1871" s="22">
        <v>0</v>
      </c>
      <c r="L1871" s="23"/>
      <c r="M1871" s="22">
        <v>0</v>
      </c>
      <c r="N1871" s="74">
        <v>0</v>
      </c>
      <c r="O1871" s="22">
        <v>0</v>
      </c>
      <c r="P1871" s="21">
        <v>1919000</v>
      </c>
      <c r="S1871" s="108" t="b">
        <f>OR(COUNTIF(Tabla2[[#This Row],[PROVEEDOR]],"*"&amp;'Palabra no opera'!$A$2&amp;"*"))</f>
        <v>0</v>
      </c>
      <c r="T1871" s="139">
        <f>+$W$5-Tabla2[[#This Row],[FECHA DE FACTURACIÓN]]</f>
        <v>564</v>
      </c>
      <c r="U1871" t="str">
        <f>+IF(Tabla2[[#This Row],[dias de credito]]&gt;=Tabla2[[#This Row],[PLAZO Días]],"venc", "No venc")</f>
        <v>venc</v>
      </c>
      <c r="V1871" t="str">
        <f>+IF(Tabla2[[#This Row],[FECHA DE PAGO]]&gt;0,"pagada","por pagar")</f>
        <v>pagada</v>
      </c>
      <c r="W1871" s="141" t="str">
        <f>+IF(AND(Tabla2[[#This Row],[venc]]="venc",Tabla2[[#This Row],[Columna1]]="por pagar"),"vencida","no")</f>
        <v>no</v>
      </c>
    </row>
    <row r="1872" spans="1:23" ht="15.6" hidden="1" x14ac:dyDescent="0.3">
      <c r="A1872" s="20">
        <v>30</v>
      </c>
      <c r="B1872" s="25">
        <v>0</v>
      </c>
      <c r="C1872" s="25"/>
      <c r="D1872" s="56" t="s">
        <v>107</v>
      </c>
      <c r="E1872" s="426">
        <v>44727</v>
      </c>
      <c r="F1872" s="26" t="s">
        <v>832</v>
      </c>
      <c r="G1872" s="426">
        <v>44725</v>
      </c>
      <c r="H1872" s="35" t="s">
        <v>733</v>
      </c>
      <c r="I1872" s="21">
        <v>128900</v>
      </c>
      <c r="J1872" s="21"/>
      <c r="K1872" s="22">
        <v>0</v>
      </c>
      <c r="L1872" s="23"/>
      <c r="M1872" s="22">
        <v>0</v>
      </c>
      <c r="N1872" s="74">
        <v>0</v>
      </c>
      <c r="O1872" s="22">
        <v>0</v>
      </c>
      <c r="P1872" s="21">
        <v>128900</v>
      </c>
      <c r="S1872" s="108" t="b">
        <f>OR(COUNTIF(Tabla2[[#This Row],[PROVEEDOR]],"*"&amp;'Palabra no opera'!$A$2&amp;"*"))</f>
        <v>1</v>
      </c>
      <c r="T1872" s="139">
        <f>+$W$5-Tabla2[[#This Row],[FECHA DE FACTURACIÓN]]</f>
        <v>566</v>
      </c>
      <c r="U1872" t="str">
        <f>+IF(Tabla2[[#This Row],[dias de credito]]&gt;=Tabla2[[#This Row],[PLAZO Días]],"venc", "No venc")</f>
        <v>venc</v>
      </c>
      <c r="V1872" t="str">
        <f>+IF(Tabla2[[#This Row],[FECHA DE PAGO]]&gt;0,"pagada","por pagar")</f>
        <v>pagada</v>
      </c>
      <c r="W1872" s="141" t="str">
        <f>+IF(AND(Tabla2[[#This Row],[venc]]="venc",Tabla2[[#This Row],[Columna1]]="por pagar"),"vencida","no")</f>
        <v>no</v>
      </c>
    </row>
    <row r="1873" spans="1:23" ht="15.6" hidden="1" x14ac:dyDescent="0.3">
      <c r="A1873" s="20">
        <v>30</v>
      </c>
      <c r="B1873" s="25">
        <v>0</v>
      </c>
      <c r="C1873" s="25"/>
      <c r="D1873" s="56" t="s">
        <v>107</v>
      </c>
      <c r="E1873" s="426">
        <v>44727</v>
      </c>
      <c r="F1873" s="26" t="s">
        <v>832</v>
      </c>
      <c r="G1873" s="426">
        <v>44713</v>
      </c>
      <c r="H1873" s="35" t="s">
        <v>718</v>
      </c>
      <c r="I1873" s="21">
        <v>239600</v>
      </c>
      <c r="J1873" s="21"/>
      <c r="K1873" s="22">
        <v>0</v>
      </c>
      <c r="L1873" s="23"/>
      <c r="M1873" s="22">
        <v>0</v>
      </c>
      <c r="N1873" s="74">
        <v>0</v>
      </c>
      <c r="O1873" s="22">
        <v>0</v>
      </c>
      <c r="P1873" s="21">
        <v>239600</v>
      </c>
      <c r="S1873" s="108" t="b">
        <f>OR(COUNTIF(Tabla2[[#This Row],[PROVEEDOR]],"*"&amp;'Palabra no opera'!$A$2&amp;"*"))</f>
        <v>1</v>
      </c>
      <c r="T1873" s="139">
        <f>+$W$5-Tabla2[[#This Row],[FECHA DE FACTURACIÓN]]</f>
        <v>578</v>
      </c>
      <c r="U1873" t="str">
        <f>+IF(Tabla2[[#This Row],[dias de credito]]&gt;=Tabla2[[#This Row],[PLAZO Días]],"venc", "No venc")</f>
        <v>venc</v>
      </c>
      <c r="V1873" t="str">
        <f>+IF(Tabla2[[#This Row],[FECHA DE PAGO]]&gt;0,"pagada","por pagar")</f>
        <v>pagada</v>
      </c>
      <c r="W1873" s="141" t="str">
        <f>+IF(AND(Tabla2[[#This Row],[venc]]="venc",Tabla2[[#This Row],[Columna1]]="por pagar"),"vencida","no")</f>
        <v>no</v>
      </c>
    </row>
    <row r="1874" spans="1:23" ht="15.6" hidden="1" x14ac:dyDescent="0.3">
      <c r="A1874" s="20">
        <v>30</v>
      </c>
      <c r="B1874" s="25">
        <v>0</v>
      </c>
      <c r="C1874" s="25"/>
      <c r="D1874" s="56"/>
      <c r="E1874" s="426">
        <v>44726</v>
      </c>
      <c r="F1874" s="26" t="s">
        <v>734</v>
      </c>
      <c r="G1874" s="426">
        <v>44726</v>
      </c>
      <c r="H1874" s="35" t="s">
        <v>749</v>
      </c>
      <c r="I1874" s="21">
        <v>499800</v>
      </c>
      <c r="J1874" s="21"/>
      <c r="K1874" s="22">
        <v>94962</v>
      </c>
      <c r="L1874" s="23"/>
      <c r="M1874" s="22">
        <v>0</v>
      </c>
      <c r="N1874" s="74">
        <v>0</v>
      </c>
      <c r="O1874" s="22">
        <v>0</v>
      </c>
      <c r="P1874" s="21">
        <v>594762</v>
      </c>
      <c r="S1874" s="108" t="b">
        <f>OR(COUNTIF(Tabla2[[#This Row],[PROVEEDOR]],"*"&amp;'Palabra no opera'!$A$2&amp;"*"))</f>
        <v>0</v>
      </c>
      <c r="T1874" s="139">
        <f>+$W$5-Tabla2[[#This Row],[FECHA DE FACTURACIÓN]]</f>
        <v>565</v>
      </c>
      <c r="U1874" t="str">
        <f>+IF(Tabla2[[#This Row],[dias de credito]]&gt;=Tabla2[[#This Row],[PLAZO Días]],"venc", "No venc")</f>
        <v>venc</v>
      </c>
      <c r="V1874" t="str">
        <f>+IF(Tabla2[[#This Row],[FECHA DE PAGO]]&gt;0,"pagada","por pagar")</f>
        <v>pagada</v>
      </c>
      <c r="W1874" s="141" t="str">
        <f>+IF(AND(Tabla2[[#This Row],[venc]]="venc",Tabla2[[#This Row],[Columna1]]="por pagar"),"vencida","no")</f>
        <v>no</v>
      </c>
    </row>
    <row r="1875" spans="1:23" ht="15.6" hidden="1" x14ac:dyDescent="0.3">
      <c r="A1875" s="20">
        <v>30</v>
      </c>
      <c r="B1875" s="25">
        <v>0</v>
      </c>
      <c r="C1875" s="25"/>
      <c r="D1875" s="56" t="s">
        <v>107</v>
      </c>
      <c r="E1875" s="426">
        <v>44726</v>
      </c>
      <c r="F1875" s="26" t="s">
        <v>53</v>
      </c>
      <c r="G1875" s="426">
        <v>44725</v>
      </c>
      <c r="H1875" s="35">
        <v>291706</v>
      </c>
      <c r="I1875" s="21">
        <v>2763000</v>
      </c>
      <c r="J1875" s="21"/>
      <c r="K1875" s="22">
        <v>0</v>
      </c>
      <c r="L1875" s="23"/>
      <c r="M1875" s="22">
        <v>0</v>
      </c>
      <c r="N1875" s="74">
        <v>0</v>
      </c>
      <c r="O1875" s="22">
        <v>0</v>
      </c>
      <c r="P1875" s="21">
        <v>2763000</v>
      </c>
      <c r="S1875" s="108" t="b">
        <f>OR(COUNTIF(Tabla2[[#This Row],[PROVEEDOR]],"*"&amp;'Palabra no opera'!$A$2&amp;"*"))</f>
        <v>0</v>
      </c>
      <c r="T1875" s="139">
        <f>+$W$5-Tabla2[[#This Row],[FECHA DE FACTURACIÓN]]</f>
        <v>566</v>
      </c>
      <c r="U1875" t="str">
        <f>+IF(Tabla2[[#This Row],[dias de credito]]&gt;=Tabla2[[#This Row],[PLAZO Días]],"venc", "No venc")</f>
        <v>venc</v>
      </c>
      <c r="V1875" t="str">
        <f>+IF(Tabla2[[#This Row],[FECHA DE PAGO]]&gt;0,"pagada","por pagar")</f>
        <v>pagada</v>
      </c>
      <c r="W1875" s="141" t="str">
        <f>+IF(AND(Tabla2[[#This Row],[venc]]="venc",Tabla2[[#This Row],[Columna1]]="por pagar"),"vencida","no")</f>
        <v>no</v>
      </c>
    </row>
    <row r="1876" spans="1:23" ht="15.6" hidden="1" x14ac:dyDescent="0.3">
      <c r="A1876" s="20">
        <v>30</v>
      </c>
      <c r="B1876" s="25">
        <v>0</v>
      </c>
      <c r="C1876" s="25"/>
      <c r="D1876" s="56" t="s">
        <v>659</v>
      </c>
      <c r="E1876" s="426">
        <v>44726</v>
      </c>
      <c r="F1876" s="26" t="s">
        <v>227</v>
      </c>
      <c r="G1876" s="426">
        <v>44725</v>
      </c>
      <c r="H1876" s="35" t="s">
        <v>807</v>
      </c>
      <c r="I1876" s="21">
        <v>1796000</v>
      </c>
      <c r="J1876" s="21"/>
      <c r="K1876" s="22">
        <v>0</v>
      </c>
      <c r="L1876" s="23"/>
      <c r="M1876" s="22">
        <v>0</v>
      </c>
      <c r="N1876" s="74">
        <v>0</v>
      </c>
      <c r="O1876" s="22">
        <v>0</v>
      </c>
      <c r="P1876" s="21">
        <v>1796000</v>
      </c>
      <c r="S1876" s="108" t="b">
        <f>OR(COUNTIF(Tabla2[[#This Row],[PROVEEDOR]],"*"&amp;'Palabra no opera'!$A$2&amp;"*"))</f>
        <v>0</v>
      </c>
      <c r="T1876" s="139">
        <f>+$W$5-Tabla2[[#This Row],[FECHA DE FACTURACIÓN]]</f>
        <v>566</v>
      </c>
      <c r="U1876" t="str">
        <f>+IF(Tabla2[[#This Row],[dias de credito]]&gt;=Tabla2[[#This Row],[PLAZO Días]],"venc", "No venc")</f>
        <v>venc</v>
      </c>
      <c r="V1876" t="str">
        <f>+IF(Tabla2[[#This Row],[FECHA DE PAGO]]&gt;0,"pagada","por pagar")</f>
        <v>pagada</v>
      </c>
      <c r="W1876" s="141" t="str">
        <f>+IF(AND(Tabla2[[#This Row],[venc]]="venc",Tabla2[[#This Row],[Columna1]]="por pagar"),"vencida","no")</f>
        <v>no</v>
      </c>
    </row>
    <row r="1877" spans="1:23" ht="15.6" hidden="1" x14ac:dyDescent="0.3">
      <c r="A1877" s="20">
        <v>30</v>
      </c>
      <c r="B1877" s="25">
        <v>0</v>
      </c>
      <c r="C1877" s="25"/>
      <c r="D1877" s="56" t="s">
        <v>190</v>
      </c>
      <c r="E1877" s="426">
        <v>44726</v>
      </c>
      <c r="F1877" s="26" t="s">
        <v>964</v>
      </c>
      <c r="G1877" s="426">
        <v>44692</v>
      </c>
      <c r="H1877" s="35">
        <v>30587</v>
      </c>
      <c r="I1877" s="21">
        <v>1872000</v>
      </c>
      <c r="J1877" s="21"/>
      <c r="K1877" s="22">
        <v>355680</v>
      </c>
      <c r="L1877" s="23"/>
      <c r="M1877" s="22">
        <v>0</v>
      </c>
      <c r="N1877" s="74">
        <v>2.5000000000000001E-2</v>
      </c>
      <c r="O1877" s="22">
        <v>46800</v>
      </c>
      <c r="P1877" s="21">
        <v>2180880</v>
      </c>
      <c r="S1877" s="108" t="b">
        <f>OR(COUNTIF(Tabla2[[#This Row],[PROVEEDOR]],"*"&amp;'Palabra no opera'!$A$2&amp;"*"))</f>
        <v>0</v>
      </c>
      <c r="T1877" s="139">
        <f>+$W$5-Tabla2[[#This Row],[FECHA DE FACTURACIÓN]]</f>
        <v>599</v>
      </c>
      <c r="U1877" t="str">
        <f>+IF(Tabla2[[#This Row],[dias de credito]]&gt;=Tabla2[[#This Row],[PLAZO Días]],"venc", "No venc")</f>
        <v>venc</v>
      </c>
      <c r="V1877" t="str">
        <f>+IF(Tabla2[[#This Row],[FECHA DE PAGO]]&gt;0,"pagada","por pagar")</f>
        <v>pagada</v>
      </c>
      <c r="W1877" s="141" t="str">
        <f>+IF(AND(Tabla2[[#This Row],[venc]]="venc",Tabla2[[#This Row],[Columna1]]="por pagar"),"vencida","no")</f>
        <v>no</v>
      </c>
    </row>
    <row r="1878" spans="1:23" ht="15.6" hidden="1" x14ac:dyDescent="0.3">
      <c r="A1878" s="20">
        <v>30</v>
      </c>
      <c r="B1878" s="25">
        <v>0</v>
      </c>
      <c r="C1878" s="25"/>
      <c r="D1878" s="56" t="s">
        <v>190</v>
      </c>
      <c r="E1878" s="426">
        <v>44726</v>
      </c>
      <c r="F1878" s="26" t="s">
        <v>964</v>
      </c>
      <c r="G1878" s="426">
        <v>44687</v>
      </c>
      <c r="H1878" s="35">
        <v>30402</v>
      </c>
      <c r="I1878" s="21">
        <v>3744000</v>
      </c>
      <c r="J1878" s="21"/>
      <c r="K1878" s="22">
        <v>711360</v>
      </c>
      <c r="L1878" s="23"/>
      <c r="M1878" s="22">
        <v>0</v>
      </c>
      <c r="N1878" s="74">
        <v>2.5000000000000001E-2</v>
      </c>
      <c r="O1878" s="22">
        <v>93600</v>
      </c>
      <c r="P1878" s="21">
        <v>4361760</v>
      </c>
      <c r="S1878" s="108" t="b">
        <f>OR(COUNTIF(Tabla2[[#This Row],[PROVEEDOR]],"*"&amp;'Palabra no opera'!$A$2&amp;"*"))</f>
        <v>0</v>
      </c>
      <c r="T1878" s="139">
        <f>+$W$5-Tabla2[[#This Row],[FECHA DE FACTURACIÓN]]</f>
        <v>604</v>
      </c>
      <c r="U1878" t="str">
        <f>+IF(Tabla2[[#This Row],[dias de credito]]&gt;=Tabla2[[#This Row],[PLAZO Días]],"venc", "No venc")</f>
        <v>venc</v>
      </c>
      <c r="V1878" t="str">
        <f>+IF(Tabla2[[#This Row],[FECHA DE PAGO]]&gt;0,"pagada","por pagar")</f>
        <v>pagada</v>
      </c>
      <c r="W1878" s="141" t="str">
        <f>+IF(AND(Tabla2[[#This Row],[venc]]="venc",Tabla2[[#This Row],[Columna1]]="por pagar"),"vencida","no")</f>
        <v>no</v>
      </c>
    </row>
    <row r="1879" spans="1:23" ht="15.6" hidden="1" x14ac:dyDescent="0.3">
      <c r="A1879" s="20">
        <v>30</v>
      </c>
      <c r="B1879" s="25">
        <v>0</v>
      </c>
      <c r="C1879" s="25"/>
      <c r="D1879" s="56">
        <v>0</v>
      </c>
      <c r="E1879" s="426">
        <v>44725</v>
      </c>
      <c r="F1879" s="26" t="s">
        <v>642</v>
      </c>
      <c r="G1879" s="426">
        <v>44713</v>
      </c>
      <c r="H1879" s="35" t="s">
        <v>217</v>
      </c>
      <c r="I1879" s="21">
        <v>455823</v>
      </c>
      <c r="J1879" s="21"/>
      <c r="K1879" s="22">
        <v>0</v>
      </c>
      <c r="L1879" s="23"/>
      <c r="M1879" s="22">
        <v>0</v>
      </c>
      <c r="N1879" s="74">
        <v>0</v>
      </c>
      <c r="O1879" s="22">
        <v>0</v>
      </c>
      <c r="P1879" s="21">
        <v>455823</v>
      </c>
      <c r="S1879" s="108" t="b">
        <f>OR(COUNTIF(Tabla2[[#This Row],[PROVEEDOR]],"*"&amp;'Palabra no opera'!$A$2&amp;"*"))</f>
        <v>1</v>
      </c>
      <c r="T1879" s="139">
        <f>+$W$5-Tabla2[[#This Row],[FECHA DE FACTURACIÓN]]</f>
        <v>578</v>
      </c>
      <c r="U1879" t="str">
        <f>+IF(Tabla2[[#This Row],[dias de credito]]&gt;=Tabla2[[#This Row],[PLAZO Días]],"venc", "No venc")</f>
        <v>venc</v>
      </c>
      <c r="V1879" t="str">
        <f>+IF(Tabla2[[#This Row],[FECHA DE PAGO]]&gt;0,"pagada","por pagar")</f>
        <v>pagada</v>
      </c>
      <c r="W1879" s="141" t="str">
        <f>+IF(AND(Tabla2[[#This Row],[venc]]="venc",Tabla2[[#This Row],[Columna1]]="por pagar"),"vencida","no")</f>
        <v>no</v>
      </c>
    </row>
    <row r="1880" spans="1:23" ht="15.6" hidden="1" x14ac:dyDescent="0.3">
      <c r="A1880" s="20">
        <v>13</v>
      </c>
      <c r="B1880" s="25">
        <v>0</v>
      </c>
      <c r="C1880" s="25"/>
      <c r="D1880" s="56">
        <v>0</v>
      </c>
      <c r="E1880" s="426">
        <v>44725</v>
      </c>
      <c r="F1880" s="26" t="s">
        <v>644</v>
      </c>
      <c r="G1880" s="426">
        <v>44713</v>
      </c>
      <c r="H1880" s="35"/>
      <c r="I1880" s="21">
        <v>948924</v>
      </c>
      <c r="J1880" s="21"/>
      <c r="K1880" s="22">
        <v>0</v>
      </c>
      <c r="L1880" s="23"/>
      <c r="M1880" s="22">
        <v>0</v>
      </c>
      <c r="N1880" s="74">
        <v>0</v>
      </c>
      <c r="O1880" s="22">
        <v>0</v>
      </c>
      <c r="P1880" s="21">
        <v>948924</v>
      </c>
      <c r="S1880" s="108" t="b">
        <f>OR(COUNTIF(Tabla2[[#This Row],[PROVEEDOR]],"*"&amp;'Palabra no opera'!$A$2&amp;"*"))</f>
        <v>1</v>
      </c>
      <c r="T1880" s="139">
        <f>+$W$5-Tabla2[[#This Row],[FECHA DE FACTURACIÓN]]</f>
        <v>578</v>
      </c>
      <c r="U1880" t="str">
        <f>+IF(Tabla2[[#This Row],[dias de credito]]&gt;=Tabla2[[#This Row],[PLAZO Días]],"venc", "No venc")</f>
        <v>venc</v>
      </c>
      <c r="V1880" t="str">
        <f>+IF(Tabla2[[#This Row],[FECHA DE PAGO]]&gt;0,"pagada","por pagar")</f>
        <v>pagada</v>
      </c>
      <c r="W1880" s="141" t="str">
        <f>+IF(AND(Tabla2[[#This Row],[venc]]="venc",Tabla2[[#This Row],[Columna1]]="por pagar"),"vencida","no")</f>
        <v>no</v>
      </c>
    </row>
    <row r="1881" spans="1:23" ht="15.6" hidden="1" x14ac:dyDescent="0.3">
      <c r="A1881" s="20">
        <v>30</v>
      </c>
      <c r="B1881" s="25">
        <v>18444236.894999996</v>
      </c>
      <c r="C1881" s="25"/>
      <c r="D1881" s="56" t="s">
        <v>731</v>
      </c>
      <c r="E1881" s="426">
        <v>44725</v>
      </c>
      <c r="F1881" s="26" t="s">
        <v>11</v>
      </c>
      <c r="G1881" s="426">
        <v>44693</v>
      </c>
      <c r="H1881" s="35" t="s">
        <v>661</v>
      </c>
      <c r="I1881" s="21">
        <v>1980000</v>
      </c>
      <c r="J1881" s="21"/>
      <c r="K1881" s="22">
        <v>376200</v>
      </c>
      <c r="L1881" s="23"/>
      <c r="M1881" s="22">
        <v>0</v>
      </c>
      <c r="N1881" s="74">
        <v>2.5000000000000001E-2</v>
      </c>
      <c r="O1881" s="22">
        <v>49500</v>
      </c>
      <c r="P1881" s="21">
        <v>2306700</v>
      </c>
      <c r="S1881" s="108" t="b">
        <f>OR(COUNTIF(Tabla2[[#This Row],[PROVEEDOR]],"*"&amp;'Palabra no opera'!$A$2&amp;"*"))</f>
        <v>0</v>
      </c>
      <c r="T1881" s="139">
        <f>+$W$5-Tabla2[[#This Row],[FECHA DE FACTURACIÓN]]</f>
        <v>598</v>
      </c>
      <c r="U1881" t="str">
        <f>+IF(Tabla2[[#This Row],[dias de credito]]&gt;=Tabla2[[#This Row],[PLAZO Días]],"venc", "No venc")</f>
        <v>venc</v>
      </c>
      <c r="V1881" t="str">
        <f>+IF(Tabla2[[#This Row],[FECHA DE PAGO]]&gt;0,"pagada","por pagar")</f>
        <v>pagada</v>
      </c>
      <c r="W1881" s="141" t="str">
        <f>+IF(AND(Tabla2[[#This Row],[venc]]="venc",Tabla2[[#This Row],[Columna1]]="por pagar"),"vencida","no")</f>
        <v>no</v>
      </c>
    </row>
    <row r="1882" spans="1:23" ht="15.6" hidden="1" x14ac:dyDescent="0.3">
      <c r="A1882" s="20">
        <v>30</v>
      </c>
      <c r="B1882" s="25">
        <v>17870934.149999999</v>
      </c>
      <c r="C1882" s="25"/>
      <c r="D1882" s="56" t="s">
        <v>182</v>
      </c>
      <c r="E1882" s="426">
        <v>44725</v>
      </c>
      <c r="F1882" s="26" t="s">
        <v>18</v>
      </c>
      <c r="G1882" s="426">
        <v>44691</v>
      </c>
      <c r="H1882" s="35">
        <v>1053351</v>
      </c>
      <c r="I1882" s="21">
        <v>1234232.6399999999</v>
      </c>
      <c r="J1882" s="21"/>
      <c r="K1882" s="22">
        <v>234504.20159999997</v>
      </c>
      <c r="L1882" s="23"/>
      <c r="M1882" s="22">
        <v>0</v>
      </c>
      <c r="N1882" s="74">
        <v>2.5000000000000001E-2</v>
      </c>
      <c r="O1882" s="22">
        <v>30855.815999999999</v>
      </c>
      <c r="P1882" s="21">
        <v>1437881.0255999998</v>
      </c>
      <c r="S1882" s="108" t="b">
        <f>OR(COUNTIF(Tabla2[[#This Row],[PROVEEDOR]],"*"&amp;'Palabra no opera'!$A$2&amp;"*"))</f>
        <v>0</v>
      </c>
      <c r="T1882" s="139">
        <f>+$W$5-Tabla2[[#This Row],[FECHA DE FACTURACIÓN]]</f>
        <v>600</v>
      </c>
      <c r="U1882" t="str">
        <f>+IF(Tabla2[[#This Row],[dias de credito]]&gt;=Tabla2[[#This Row],[PLAZO Días]],"venc", "No venc")</f>
        <v>venc</v>
      </c>
      <c r="V1882" t="str">
        <f>+IF(Tabla2[[#This Row],[FECHA DE PAGO]]&gt;0,"pagada","por pagar")</f>
        <v>pagada</v>
      </c>
      <c r="W1882" s="141" t="str">
        <f>+IF(AND(Tabla2[[#This Row],[venc]]="venc",Tabla2[[#This Row],[Columna1]]="por pagar"),"vencida","no")</f>
        <v>no</v>
      </c>
    </row>
    <row r="1883" spans="1:23" ht="15.6" hidden="1" x14ac:dyDescent="0.3">
      <c r="A1883" s="20">
        <v>30</v>
      </c>
      <c r="B1883" s="25">
        <v>0</v>
      </c>
      <c r="C1883" s="25"/>
      <c r="D1883" s="56" t="s">
        <v>258</v>
      </c>
      <c r="E1883" s="426">
        <v>44725</v>
      </c>
      <c r="F1883" s="26" t="s">
        <v>394</v>
      </c>
      <c r="G1883" s="426">
        <v>44690</v>
      </c>
      <c r="H1883" s="35" t="s">
        <v>1024</v>
      </c>
      <c r="I1883" s="21">
        <v>1735000</v>
      </c>
      <c r="J1883" s="21"/>
      <c r="K1883" s="22">
        <v>0</v>
      </c>
      <c r="L1883" s="23"/>
      <c r="M1883" s="22">
        <v>0</v>
      </c>
      <c r="N1883" s="74">
        <v>0</v>
      </c>
      <c r="O1883" s="22">
        <v>0</v>
      </c>
      <c r="P1883" s="21">
        <v>1735000</v>
      </c>
      <c r="S1883" s="108" t="b">
        <f>OR(COUNTIF(Tabla2[[#This Row],[PROVEEDOR]],"*"&amp;'Palabra no opera'!$A$2&amp;"*"))</f>
        <v>0</v>
      </c>
      <c r="T1883" s="139">
        <f>+$W$5-Tabla2[[#This Row],[FECHA DE FACTURACIÓN]]</f>
        <v>601</v>
      </c>
      <c r="U1883" t="str">
        <f>+IF(Tabla2[[#This Row],[dias de credito]]&gt;=Tabla2[[#This Row],[PLAZO Días]],"venc", "No venc")</f>
        <v>venc</v>
      </c>
      <c r="V1883" t="str">
        <f>+IF(Tabla2[[#This Row],[FECHA DE PAGO]]&gt;0,"pagada","por pagar")</f>
        <v>pagada</v>
      </c>
      <c r="W1883" s="141" t="str">
        <f>+IF(AND(Tabla2[[#This Row],[venc]]="venc",Tabla2[[#This Row],[Columna1]]="por pagar"),"vencida","no")</f>
        <v>no</v>
      </c>
    </row>
    <row r="1884" spans="1:23" ht="15.6" hidden="1" x14ac:dyDescent="0.3">
      <c r="A1884" s="20">
        <v>30</v>
      </c>
      <c r="B1884" s="25">
        <v>17870934.149999999</v>
      </c>
      <c r="C1884" s="25"/>
      <c r="D1884" s="56" t="s">
        <v>182</v>
      </c>
      <c r="E1884" s="426">
        <v>44725</v>
      </c>
      <c r="F1884" s="26" t="s">
        <v>18</v>
      </c>
      <c r="G1884" s="426">
        <v>44685</v>
      </c>
      <c r="H1884" s="35">
        <v>1053105</v>
      </c>
      <c r="I1884" s="21">
        <v>1962124.48</v>
      </c>
      <c r="J1884" s="21"/>
      <c r="K1884" s="22">
        <v>372803.65120000002</v>
      </c>
      <c r="L1884" s="23"/>
      <c r="M1884" s="22">
        <v>0</v>
      </c>
      <c r="N1884" s="74">
        <v>2.5000000000000001E-2</v>
      </c>
      <c r="O1884" s="22">
        <v>49053.112000000001</v>
      </c>
      <c r="P1884" s="21">
        <v>2285875.0192</v>
      </c>
      <c r="S1884" s="108" t="b">
        <f>OR(COUNTIF(Tabla2[[#This Row],[PROVEEDOR]],"*"&amp;'Palabra no opera'!$A$2&amp;"*"))</f>
        <v>0</v>
      </c>
      <c r="T1884" s="139">
        <f>+$W$5-Tabla2[[#This Row],[FECHA DE FACTURACIÓN]]</f>
        <v>606</v>
      </c>
      <c r="U1884" t="str">
        <f>+IF(Tabla2[[#This Row],[dias de credito]]&gt;=Tabla2[[#This Row],[PLAZO Días]],"venc", "No venc")</f>
        <v>venc</v>
      </c>
      <c r="V1884" t="str">
        <f>+IF(Tabla2[[#This Row],[FECHA DE PAGO]]&gt;0,"pagada","por pagar")</f>
        <v>pagada</v>
      </c>
      <c r="W1884" s="141" t="str">
        <f>+IF(AND(Tabla2[[#This Row],[venc]]="venc",Tabla2[[#This Row],[Columna1]]="por pagar"),"vencida","no")</f>
        <v>no</v>
      </c>
    </row>
    <row r="1885" spans="1:23" ht="15.6" hidden="1" x14ac:dyDescent="0.3">
      <c r="A1885" s="20">
        <v>30</v>
      </c>
      <c r="B1885" s="25">
        <v>18444236.894999996</v>
      </c>
      <c r="C1885" s="25"/>
      <c r="D1885" s="56" t="s">
        <v>731</v>
      </c>
      <c r="E1885" s="426">
        <v>44725</v>
      </c>
      <c r="F1885" s="26" t="s">
        <v>11</v>
      </c>
      <c r="G1885" s="426">
        <v>44685</v>
      </c>
      <c r="H1885" s="35" t="s">
        <v>660</v>
      </c>
      <c r="I1885" s="21">
        <v>151261</v>
      </c>
      <c r="J1885" s="21"/>
      <c r="K1885" s="22">
        <v>28739.59</v>
      </c>
      <c r="L1885" s="23"/>
      <c r="M1885" s="22">
        <v>0</v>
      </c>
      <c r="N1885" s="74">
        <v>0</v>
      </c>
      <c r="O1885" s="22">
        <v>0</v>
      </c>
      <c r="P1885" s="21">
        <v>180000.59</v>
      </c>
      <c r="S1885" s="108" t="b">
        <f>OR(COUNTIF(Tabla2[[#This Row],[PROVEEDOR]],"*"&amp;'Palabra no opera'!$A$2&amp;"*"))</f>
        <v>0</v>
      </c>
      <c r="T1885" s="139">
        <f>+$W$5-Tabla2[[#This Row],[FECHA DE FACTURACIÓN]]</f>
        <v>606</v>
      </c>
      <c r="U1885" t="str">
        <f>+IF(Tabla2[[#This Row],[dias de credito]]&gt;=Tabla2[[#This Row],[PLAZO Días]],"venc", "No venc")</f>
        <v>venc</v>
      </c>
      <c r="V1885" t="str">
        <f>+IF(Tabla2[[#This Row],[FECHA DE PAGO]]&gt;0,"pagada","por pagar")</f>
        <v>pagada</v>
      </c>
      <c r="W1885" s="141" t="str">
        <f>+IF(AND(Tabla2[[#This Row],[venc]]="venc",Tabla2[[#This Row],[Columna1]]="por pagar"),"vencida","no")</f>
        <v>no</v>
      </c>
    </row>
    <row r="1886" spans="1:23" ht="15.6" hidden="1" x14ac:dyDescent="0.3">
      <c r="A1886" s="20">
        <v>30</v>
      </c>
      <c r="B1886" s="25">
        <v>18444236.894999996</v>
      </c>
      <c r="C1886" s="25"/>
      <c r="D1886" s="56" t="s">
        <v>731</v>
      </c>
      <c r="E1886" s="426">
        <v>44725</v>
      </c>
      <c r="F1886" s="26" t="s">
        <v>11</v>
      </c>
      <c r="G1886" s="426">
        <v>44685</v>
      </c>
      <c r="H1886" s="35" t="s">
        <v>657</v>
      </c>
      <c r="I1886" s="21">
        <v>660000</v>
      </c>
      <c r="J1886" s="21"/>
      <c r="K1886" s="22">
        <v>125400</v>
      </c>
      <c r="L1886" s="23"/>
      <c r="M1886" s="22">
        <v>0</v>
      </c>
      <c r="N1886" s="74">
        <v>0</v>
      </c>
      <c r="O1886" s="22">
        <v>0</v>
      </c>
      <c r="P1886" s="21">
        <v>785400</v>
      </c>
      <c r="S1886" s="108" t="b">
        <f>OR(COUNTIF(Tabla2[[#This Row],[PROVEEDOR]],"*"&amp;'Palabra no opera'!$A$2&amp;"*"))</f>
        <v>0</v>
      </c>
      <c r="T1886" s="139">
        <f>+$W$5-Tabla2[[#This Row],[FECHA DE FACTURACIÓN]]</f>
        <v>606</v>
      </c>
      <c r="U1886" t="str">
        <f>+IF(Tabla2[[#This Row],[dias de credito]]&gt;=Tabla2[[#This Row],[PLAZO Días]],"venc", "No venc")</f>
        <v>venc</v>
      </c>
      <c r="V1886" t="str">
        <f>+IF(Tabla2[[#This Row],[FECHA DE PAGO]]&gt;0,"pagada","por pagar")</f>
        <v>pagada</v>
      </c>
      <c r="W1886" s="141" t="str">
        <f>+IF(AND(Tabla2[[#This Row],[venc]]="venc",Tabla2[[#This Row],[Columna1]]="por pagar"),"vencida","no")</f>
        <v>no</v>
      </c>
    </row>
    <row r="1887" spans="1:23" ht="15.6" hidden="1" x14ac:dyDescent="0.3">
      <c r="A1887" s="20">
        <v>30</v>
      </c>
      <c r="B1887" s="25">
        <v>4282200</v>
      </c>
      <c r="C1887" s="25"/>
      <c r="D1887" s="56" t="s">
        <v>244</v>
      </c>
      <c r="E1887" s="426">
        <v>44725</v>
      </c>
      <c r="F1887" s="26" t="s">
        <v>406</v>
      </c>
      <c r="G1887" s="426">
        <v>44684</v>
      </c>
      <c r="H1887" s="35" t="s">
        <v>958</v>
      </c>
      <c r="I1887" s="21">
        <v>233700</v>
      </c>
      <c r="J1887" s="21"/>
      <c r="K1887" s="22">
        <v>0</v>
      </c>
      <c r="L1887" s="23"/>
      <c r="M1887" s="22">
        <v>0</v>
      </c>
      <c r="N1887" s="74">
        <v>0</v>
      </c>
      <c r="O1887" s="22">
        <v>0</v>
      </c>
      <c r="P1887" s="21">
        <v>233700</v>
      </c>
      <c r="S1887" s="108" t="b">
        <f>OR(COUNTIF(Tabla2[[#This Row],[PROVEEDOR]],"*"&amp;'Palabra no opera'!$A$2&amp;"*"))</f>
        <v>0</v>
      </c>
      <c r="T1887" s="139">
        <f>+$W$5-Tabla2[[#This Row],[FECHA DE FACTURACIÓN]]</f>
        <v>607</v>
      </c>
      <c r="U1887" t="str">
        <f>+IF(Tabla2[[#This Row],[dias de credito]]&gt;=Tabla2[[#This Row],[PLAZO Días]],"venc", "No venc")</f>
        <v>venc</v>
      </c>
      <c r="V1887" t="str">
        <f>+IF(Tabla2[[#This Row],[FECHA DE PAGO]]&gt;0,"pagada","por pagar")</f>
        <v>pagada</v>
      </c>
      <c r="W1887" s="141" t="str">
        <f>+IF(AND(Tabla2[[#This Row],[venc]]="venc",Tabla2[[#This Row],[Columna1]]="por pagar"),"vencida","no")</f>
        <v>no</v>
      </c>
    </row>
    <row r="1888" spans="1:23" ht="15.6" hidden="1" x14ac:dyDescent="0.3">
      <c r="A1888" s="20">
        <v>30</v>
      </c>
      <c r="B1888" s="25">
        <v>4282200</v>
      </c>
      <c r="C1888" s="25"/>
      <c r="D1888" s="56" t="s">
        <v>244</v>
      </c>
      <c r="E1888" s="426">
        <v>44725</v>
      </c>
      <c r="F1888" s="26" t="s">
        <v>406</v>
      </c>
      <c r="G1888" s="426">
        <v>44684</v>
      </c>
      <c r="H1888" s="35" t="s">
        <v>959</v>
      </c>
      <c r="I1888" s="21">
        <v>858500</v>
      </c>
      <c r="J1888" s="21"/>
      <c r="K1888" s="22">
        <v>0</v>
      </c>
      <c r="L1888" s="23"/>
      <c r="M1888" s="22">
        <v>0</v>
      </c>
      <c r="N1888" s="74">
        <v>0</v>
      </c>
      <c r="O1888" s="22">
        <v>0</v>
      </c>
      <c r="P1888" s="21">
        <v>858500</v>
      </c>
      <c r="S1888" s="108" t="b">
        <f>OR(COUNTIF(Tabla2[[#This Row],[PROVEEDOR]],"*"&amp;'Palabra no opera'!$A$2&amp;"*"))</f>
        <v>0</v>
      </c>
      <c r="T1888" s="139">
        <f>+$W$5-Tabla2[[#This Row],[FECHA DE FACTURACIÓN]]</f>
        <v>607</v>
      </c>
      <c r="U1888" t="str">
        <f>+IF(Tabla2[[#This Row],[dias de credito]]&gt;=Tabla2[[#This Row],[PLAZO Días]],"venc", "No venc")</f>
        <v>venc</v>
      </c>
      <c r="V1888" t="str">
        <f>+IF(Tabla2[[#This Row],[FECHA DE PAGO]]&gt;0,"pagada","por pagar")</f>
        <v>pagada</v>
      </c>
      <c r="W1888" s="141" t="str">
        <f>+IF(AND(Tabla2[[#This Row],[venc]]="venc",Tabla2[[#This Row],[Columna1]]="por pagar"),"vencida","no")</f>
        <v>no</v>
      </c>
    </row>
    <row r="1889" spans="1:23" ht="15.6" hidden="1" x14ac:dyDescent="0.3">
      <c r="A1889" s="20">
        <v>30</v>
      </c>
      <c r="B1889" s="25">
        <v>0</v>
      </c>
      <c r="C1889" s="25"/>
      <c r="D1889" s="56">
        <v>0</v>
      </c>
      <c r="E1889" s="426">
        <v>44725</v>
      </c>
      <c r="F1889" s="26" t="s">
        <v>642</v>
      </c>
      <c r="G1889" s="426">
        <v>44682</v>
      </c>
      <c r="H1889" s="35" t="s">
        <v>691</v>
      </c>
      <c r="I1889" s="21">
        <v>6054880</v>
      </c>
      <c r="J1889" s="21"/>
      <c r="K1889" s="22">
        <v>0</v>
      </c>
      <c r="L1889" s="23"/>
      <c r="M1889" s="22">
        <v>0</v>
      </c>
      <c r="N1889" s="74">
        <v>0</v>
      </c>
      <c r="O1889" s="22">
        <v>0</v>
      </c>
      <c r="P1889" s="21">
        <v>6054880</v>
      </c>
      <c r="S1889" s="108" t="b">
        <f>OR(COUNTIF(Tabla2[[#This Row],[PROVEEDOR]],"*"&amp;'Palabra no opera'!$A$2&amp;"*"))</f>
        <v>1</v>
      </c>
      <c r="T1889" s="139">
        <f>+$W$5-Tabla2[[#This Row],[FECHA DE FACTURACIÓN]]</f>
        <v>609</v>
      </c>
      <c r="U1889" t="str">
        <f>+IF(Tabla2[[#This Row],[dias de credito]]&gt;=Tabla2[[#This Row],[PLAZO Días]],"venc", "No venc")</f>
        <v>venc</v>
      </c>
      <c r="V1889" t="str">
        <f>+IF(Tabla2[[#This Row],[FECHA DE PAGO]]&gt;0,"pagada","por pagar")</f>
        <v>pagada</v>
      </c>
      <c r="W1889" s="141" t="str">
        <f>+IF(AND(Tabla2[[#This Row],[venc]]="venc",Tabla2[[#This Row],[Columna1]]="por pagar"),"vencida","no")</f>
        <v>no</v>
      </c>
    </row>
    <row r="1890" spans="1:23" ht="15.6" hidden="1" x14ac:dyDescent="0.3">
      <c r="A1890" s="20">
        <v>30</v>
      </c>
      <c r="B1890" s="25">
        <v>4282200</v>
      </c>
      <c r="C1890" s="25"/>
      <c r="D1890" s="56" t="s">
        <v>244</v>
      </c>
      <c r="E1890" s="426">
        <v>44725</v>
      </c>
      <c r="F1890" s="26" t="s">
        <v>406</v>
      </c>
      <c r="G1890" s="426">
        <v>44679</v>
      </c>
      <c r="H1890" s="35" t="s">
        <v>956</v>
      </c>
      <c r="I1890" s="21">
        <v>144400</v>
      </c>
      <c r="J1890" s="21"/>
      <c r="K1890" s="22">
        <v>0</v>
      </c>
      <c r="L1890" s="23"/>
      <c r="M1890" s="22">
        <v>0</v>
      </c>
      <c r="N1890" s="74">
        <v>0</v>
      </c>
      <c r="O1890" s="22">
        <v>0</v>
      </c>
      <c r="P1890" s="21">
        <v>144400</v>
      </c>
      <c r="S1890" s="108" t="b">
        <f>OR(COUNTIF(Tabla2[[#This Row],[PROVEEDOR]],"*"&amp;'Palabra no opera'!$A$2&amp;"*"))</f>
        <v>0</v>
      </c>
      <c r="T1890" s="139">
        <f>+$W$5-Tabla2[[#This Row],[FECHA DE FACTURACIÓN]]</f>
        <v>612</v>
      </c>
      <c r="U1890" t="str">
        <f>+IF(Tabla2[[#This Row],[dias de credito]]&gt;=Tabla2[[#This Row],[PLAZO Días]],"venc", "No venc")</f>
        <v>venc</v>
      </c>
      <c r="V1890" t="str">
        <f>+IF(Tabla2[[#This Row],[FECHA DE PAGO]]&gt;0,"pagada","por pagar")</f>
        <v>pagada</v>
      </c>
      <c r="W1890" s="141" t="str">
        <f>+IF(AND(Tabla2[[#This Row],[venc]]="venc",Tabla2[[#This Row],[Columna1]]="por pagar"),"vencida","no")</f>
        <v>no</v>
      </c>
    </row>
    <row r="1891" spans="1:23" ht="15.6" hidden="1" x14ac:dyDescent="0.3">
      <c r="A1891" s="20">
        <v>30</v>
      </c>
      <c r="B1891" s="25">
        <v>4282200</v>
      </c>
      <c r="C1891" s="25"/>
      <c r="D1891" s="56" t="s">
        <v>244</v>
      </c>
      <c r="E1891" s="426">
        <v>44725</v>
      </c>
      <c r="F1891" s="26" t="s">
        <v>406</v>
      </c>
      <c r="G1891" s="426">
        <v>44679</v>
      </c>
      <c r="H1891" s="35" t="s">
        <v>957</v>
      </c>
      <c r="I1891" s="21">
        <v>2905300</v>
      </c>
      <c r="J1891" s="21"/>
      <c r="K1891" s="22">
        <v>0</v>
      </c>
      <c r="L1891" s="23"/>
      <c r="M1891" s="22">
        <v>0</v>
      </c>
      <c r="N1891" s="74">
        <v>0</v>
      </c>
      <c r="O1891" s="22">
        <v>0</v>
      </c>
      <c r="P1891" s="21">
        <v>2905300</v>
      </c>
      <c r="S1891" s="108" t="b">
        <f>OR(COUNTIF(Tabla2[[#This Row],[PROVEEDOR]],"*"&amp;'Palabra no opera'!$A$2&amp;"*"))</f>
        <v>0</v>
      </c>
      <c r="T1891" s="139">
        <f>+$W$5-Tabla2[[#This Row],[FECHA DE FACTURACIÓN]]</f>
        <v>612</v>
      </c>
      <c r="U1891" t="str">
        <f>+IF(Tabla2[[#This Row],[dias de credito]]&gt;=Tabla2[[#This Row],[PLAZO Días]],"venc", "No venc")</f>
        <v>venc</v>
      </c>
      <c r="V1891" t="str">
        <f>+IF(Tabla2[[#This Row],[FECHA DE PAGO]]&gt;0,"pagada","por pagar")</f>
        <v>pagada</v>
      </c>
      <c r="W1891" s="141" t="str">
        <f>+IF(AND(Tabla2[[#This Row],[venc]]="venc",Tabla2[[#This Row],[Columna1]]="por pagar"),"vencida","no")</f>
        <v>no</v>
      </c>
    </row>
    <row r="1892" spans="1:23" ht="15.6" hidden="1" x14ac:dyDescent="0.3">
      <c r="A1892" s="20">
        <v>90</v>
      </c>
      <c r="B1892" s="25">
        <v>0</v>
      </c>
      <c r="C1892" s="25"/>
      <c r="D1892" s="56">
        <v>0</v>
      </c>
      <c r="E1892" s="426">
        <v>44725</v>
      </c>
      <c r="F1892" s="26" t="s">
        <v>642</v>
      </c>
      <c r="G1892" s="426">
        <v>44671</v>
      </c>
      <c r="H1892" s="35" t="s">
        <v>595</v>
      </c>
      <c r="I1892" s="21">
        <v>188646</v>
      </c>
      <c r="J1892" s="21"/>
      <c r="K1892" s="22">
        <v>0</v>
      </c>
      <c r="L1892" s="23"/>
      <c r="M1892" s="22">
        <v>0</v>
      </c>
      <c r="N1892" s="74">
        <v>0</v>
      </c>
      <c r="O1892" s="22">
        <v>0</v>
      </c>
      <c r="P1892" s="21">
        <v>188646</v>
      </c>
      <c r="S1892" s="108" t="b">
        <f>OR(COUNTIF(Tabla2[[#This Row],[PROVEEDOR]],"*"&amp;'Palabra no opera'!$A$2&amp;"*"))</f>
        <v>1</v>
      </c>
      <c r="T1892" s="139">
        <f>+$W$5-Tabla2[[#This Row],[FECHA DE FACTURACIÓN]]</f>
        <v>620</v>
      </c>
      <c r="U1892" t="str">
        <f>+IF(Tabla2[[#This Row],[dias de credito]]&gt;=Tabla2[[#This Row],[PLAZO Días]],"venc", "No venc")</f>
        <v>venc</v>
      </c>
      <c r="V1892" t="str">
        <f>+IF(Tabla2[[#This Row],[FECHA DE PAGO]]&gt;0,"pagada","por pagar")</f>
        <v>pagada</v>
      </c>
      <c r="W1892" s="141" t="str">
        <f>+IF(AND(Tabla2[[#This Row],[venc]]="venc",Tabla2[[#This Row],[Columna1]]="por pagar"),"vencida","no")</f>
        <v>no</v>
      </c>
    </row>
    <row r="1893" spans="1:23" ht="15.6" hidden="1" x14ac:dyDescent="0.3">
      <c r="A1893" s="20">
        <v>90</v>
      </c>
      <c r="B1893" s="25">
        <v>0</v>
      </c>
      <c r="C1893" s="25"/>
      <c r="D1893" s="56">
        <v>0</v>
      </c>
      <c r="E1893" s="426">
        <v>44725</v>
      </c>
      <c r="F1893" s="26" t="s">
        <v>642</v>
      </c>
      <c r="G1893" s="426">
        <v>44671</v>
      </c>
      <c r="H1893" s="35" t="s">
        <v>595</v>
      </c>
      <c r="I1893" s="21">
        <v>1527459</v>
      </c>
      <c r="J1893" s="21"/>
      <c r="K1893" s="22">
        <v>0</v>
      </c>
      <c r="L1893" s="23"/>
      <c r="M1893" s="22">
        <v>0</v>
      </c>
      <c r="N1893" s="74">
        <v>0</v>
      </c>
      <c r="O1893" s="22">
        <v>0</v>
      </c>
      <c r="P1893" s="21">
        <v>1527459</v>
      </c>
      <c r="S1893" s="108" t="b">
        <f>OR(COUNTIF(Tabla2[[#This Row],[PROVEEDOR]],"*"&amp;'Palabra no opera'!$A$2&amp;"*"))</f>
        <v>1</v>
      </c>
      <c r="T1893" s="139">
        <f>+$W$5-Tabla2[[#This Row],[FECHA DE FACTURACIÓN]]</f>
        <v>620</v>
      </c>
      <c r="U1893" t="str">
        <f>+IF(Tabla2[[#This Row],[dias de credito]]&gt;=Tabla2[[#This Row],[PLAZO Días]],"venc", "No venc")</f>
        <v>venc</v>
      </c>
      <c r="V1893" t="str">
        <f>+IF(Tabla2[[#This Row],[FECHA DE PAGO]]&gt;0,"pagada","por pagar")</f>
        <v>pagada</v>
      </c>
      <c r="W1893" s="141" t="str">
        <f>+IF(AND(Tabla2[[#This Row],[venc]]="venc",Tabla2[[#This Row],[Columna1]]="por pagar"),"vencida","no")</f>
        <v>no</v>
      </c>
    </row>
    <row r="1894" spans="1:23" ht="15.6" hidden="1" x14ac:dyDescent="0.3">
      <c r="A1894" s="20">
        <v>30</v>
      </c>
      <c r="B1894" s="25">
        <v>0</v>
      </c>
      <c r="C1894" s="25"/>
      <c r="D1894" s="56" t="s">
        <v>107</v>
      </c>
      <c r="E1894" s="426">
        <v>44722</v>
      </c>
      <c r="F1894" s="26" t="s">
        <v>390</v>
      </c>
      <c r="G1894" s="426">
        <v>44722</v>
      </c>
      <c r="H1894" s="35"/>
      <c r="I1894" s="21">
        <v>782000</v>
      </c>
      <c r="J1894" s="21"/>
      <c r="K1894" s="22">
        <v>0</v>
      </c>
      <c r="L1894" s="23"/>
      <c r="M1894" s="22">
        <v>0</v>
      </c>
      <c r="N1894" s="74">
        <v>0</v>
      </c>
      <c r="O1894" s="22">
        <v>0</v>
      </c>
      <c r="P1894" s="21">
        <v>782000</v>
      </c>
      <c r="S1894" s="108" t="b">
        <f>OR(COUNTIF(Tabla2[[#This Row],[PROVEEDOR]],"*"&amp;'Palabra no opera'!$A$2&amp;"*"))</f>
        <v>0</v>
      </c>
      <c r="T1894" s="139">
        <f>+$W$5-Tabla2[[#This Row],[FECHA DE FACTURACIÓN]]</f>
        <v>569</v>
      </c>
      <c r="U1894" t="str">
        <f>+IF(Tabla2[[#This Row],[dias de credito]]&gt;=Tabla2[[#This Row],[PLAZO Días]],"venc", "No venc")</f>
        <v>venc</v>
      </c>
      <c r="V1894" t="str">
        <f>+IF(Tabla2[[#This Row],[FECHA DE PAGO]]&gt;0,"pagada","por pagar")</f>
        <v>pagada</v>
      </c>
      <c r="W1894" s="141" t="str">
        <f>+IF(AND(Tabla2[[#This Row],[venc]]="venc",Tabla2[[#This Row],[Columna1]]="por pagar"),"vencida","no")</f>
        <v>no</v>
      </c>
    </row>
    <row r="1895" spans="1:23" ht="15.6" hidden="1" x14ac:dyDescent="0.3">
      <c r="A1895" s="20">
        <v>30</v>
      </c>
      <c r="B1895" s="25">
        <v>2100000</v>
      </c>
      <c r="C1895" s="25"/>
      <c r="D1895" s="56" t="s">
        <v>107</v>
      </c>
      <c r="E1895" s="426">
        <v>44721</v>
      </c>
      <c r="F1895" s="26" t="s">
        <v>349</v>
      </c>
      <c r="G1895" s="426">
        <v>44690</v>
      </c>
      <c r="H1895" s="35" t="s">
        <v>674</v>
      </c>
      <c r="I1895" s="21">
        <v>2320000</v>
      </c>
      <c r="J1895" s="21"/>
      <c r="K1895" s="22">
        <v>0</v>
      </c>
      <c r="L1895" s="23"/>
      <c r="M1895" s="22">
        <v>0</v>
      </c>
      <c r="N1895" s="74">
        <v>0</v>
      </c>
      <c r="O1895" s="22">
        <v>0</v>
      </c>
      <c r="P1895" s="21">
        <v>2320000</v>
      </c>
      <c r="S1895" s="108" t="b">
        <f>OR(COUNTIF(Tabla2[[#This Row],[PROVEEDOR]],"*"&amp;'Palabra no opera'!$A$2&amp;"*"))</f>
        <v>0</v>
      </c>
      <c r="T1895" s="139">
        <f>+$W$5-Tabla2[[#This Row],[FECHA DE FACTURACIÓN]]</f>
        <v>601</v>
      </c>
      <c r="U1895" t="str">
        <f>+IF(Tabla2[[#This Row],[dias de credito]]&gt;=Tabla2[[#This Row],[PLAZO Días]],"venc", "No venc")</f>
        <v>venc</v>
      </c>
      <c r="V1895" t="str">
        <f>+IF(Tabla2[[#This Row],[FECHA DE PAGO]]&gt;0,"pagada","por pagar")</f>
        <v>pagada</v>
      </c>
      <c r="W1895" s="141" t="str">
        <f>+IF(AND(Tabla2[[#This Row],[venc]]="venc",Tabla2[[#This Row],[Columna1]]="por pagar"),"vencida","no")</f>
        <v>no</v>
      </c>
    </row>
    <row r="1896" spans="1:23" ht="15.6" hidden="1" x14ac:dyDescent="0.3">
      <c r="A1896" s="20">
        <v>30</v>
      </c>
      <c r="B1896" s="25">
        <v>0</v>
      </c>
      <c r="C1896" s="25"/>
      <c r="D1896" s="56">
        <v>0</v>
      </c>
      <c r="E1896" s="426">
        <v>44720</v>
      </c>
      <c r="F1896" s="26" t="s">
        <v>413</v>
      </c>
      <c r="G1896" s="426">
        <v>44720</v>
      </c>
      <c r="H1896" s="35" t="s">
        <v>775</v>
      </c>
      <c r="I1896" s="21">
        <v>968000</v>
      </c>
      <c r="J1896" s="21"/>
      <c r="K1896" s="22">
        <v>0</v>
      </c>
      <c r="L1896" s="23"/>
      <c r="M1896" s="22">
        <v>0</v>
      </c>
      <c r="N1896" s="74">
        <v>0</v>
      </c>
      <c r="O1896" s="22">
        <v>0</v>
      </c>
      <c r="P1896" s="21">
        <v>968000</v>
      </c>
      <c r="S1896" s="108" t="b">
        <f>OR(COUNTIF(Tabla2[[#This Row],[PROVEEDOR]],"*"&amp;'Palabra no opera'!$A$2&amp;"*"))</f>
        <v>0</v>
      </c>
      <c r="T1896" s="139">
        <f>+$W$5-Tabla2[[#This Row],[FECHA DE FACTURACIÓN]]</f>
        <v>571</v>
      </c>
      <c r="U1896" t="str">
        <f>+IF(Tabla2[[#This Row],[dias de credito]]&gt;=Tabla2[[#This Row],[PLAZO Días]],"venc", "No venc")</f>
        <v>venc</v>
      </c>
      <c r="V1896" t="str">
        <f>+IF(Tabla2[[#This Row],[FECHA DE PAGO]]&gt;0,"pagada","por pagar")</f>
        <v>pagada</v>
      </c>
      <c r="W1896" s="141" t="str">
        <f>+IF(AND(Tabla2[[#This Row],[venc]]="venc",Tabla2[[#This Row],[Columna1]]="por pagar"),"vencida","no")</f>
        <v>no</v>
      </c>
    </row>
    <row r="1897" spans="1:23" ht="15.6" hidden="1" x14ac:dyDescent="0.3">
      <c r="A1897" s="20">
        <v>30</v>
      </c>
      <c r="B1897" s="25">
        <v>22881826.27</v>
      </c>
      <c r="C1897" s="25"/>
      <c r="D1897" s="56" t="s">
        <v>197</v>
      </c>
      <c r="E1897" s="426">
        <v>44718</v>
      </c>
      <c r="F1897" s="26" t="s">
        <v>9</v>
      </c>
      <c r="G1897" s="426">
        <v>44718</v>
      </c>
      <c r="H1897" s="35" t="s">
        <v>1032</v>
      </c>
      <c r="I1897" s="21">
        <v>-14832130</v>
      </c>
      <c r="J1897" s="21"/>
      <c r="K1897" s="22">
        <v>-2818104.7</v>
      </c>
      <c r="L1897" s="23"/>
      <c r="M1897" s="22">
        <v>0</v>
      </c>
      <c r="N1897" s="74">
        <v>0</v>
      </c>
      <c r="O1897" s="22">
        <v>0</v>
      </c>
      <c r="P1897" s="21">
        <v>0</v>
      </c>
      <c r="S1897" s="108" t="b">
        <f>OR(COUNTIF(Tabla2[[#This Row],[PROVEEDOR]],"*"&amp;'Palabra no opera'!$A$2&amp;"*"))</f>
        <v>0</v>
      </c>
      <c r="T1897" s="139">
        <f>+$W$5-Tabla2[[#This Row],[FECHA DE FACTURACIÓN]]</f>
        <v>573</v>
      </c>
      <c r="U1897" t="str">
        <f>+IF(Tabla2[[#This Row],[dias de credito]]&gt;=Tabla2[[#This Row],[PLAZO Días]],"venc", "No venc")</f>
        <v>venc</v>
      </c>
      <c r="V1897" t="str">
        <f>+IF(Tabla2[[#This Row],[FECHA DE PAGO]]&gt;0,"pagada","por pagar")</f>
        <v>pagada</v>
      </c>
      <c r="W1897" s="141" t="str">
        <f>+IF(AND(Tabla2[[#This Row],[venc]]="venc",Tabla2[[#This Row],[Columna1]]="por pagar"),"vencida","no")</f>
        <v>no</v>
      </c>
    </row>
    <row r="1898" spans="1:23" ht="15.6" hidden="1" x14ac:dyDescent="0.3">
      <c r="A1898" s="20">
        <v>30</v>
      </c>
      <c r="B1898" s="25">
        <v>22881826.27</v>
      </c>
      <c r="C1898" s="25"/>
      <c r="D1898" s="56" t="s">
        <v>197</v>
      </c>
      <c r="E1898" s="426">
        <v>44718</v>
      </c>
      <c r="F1898" s="26" t="s">
        <v>9</v>
      </c>
      <c r="G1898" s="426">
        <v>44704</v>
      </c>
      <c r="H1898" s="35" t="s">
        <v>1032</v>
      </c>
      <c r="I1898" s="21">
        <v>-7000000</v>
      </c>
      <c r="J1898" s="21"/>
      <c r="K1898" s="22">
        <v>-1330000</v>
      </c>
      <c r="L1898" s="23"/>
      <c r="M1898" s="22">
        <v>0</v>
      </c>
      <c r="N1898" s="74">
        <v>0</v>
      </c>
      <c r="O1898" s="22">
        <v>0</v>
      </c>
      <c r="P1898" s="21">
        <v>0</v>
      </c>
      <c r="S1898" s="108" t="b">
        <f>OR(COUNTIF(Tabla2[[#This Row],[PROVEEDOR]],"*"&amp;'Palabra no opera'!$A$2&amp;"*"))</f>
        <v>0</v>
      </c>
      <c r="T1898" s="139">
        <f>+$W$5-Tabla2[[#This Row],[FECHA DE FACTURACIÓN]]</f>
        <v>587</v>
      </c>
      <c r="U1898" t="str">
        <f>+IF(Tabla2[[#This Row],[dias de credito]]&gt;=Tabla2[[#This Row],[PLAZO Días]],"venc", "No venc")</f>
        <v>venc</v>
      </c>
      <c r="V1898" t="str">
        <f>+IF(Tabla2[[#This Row],[FECHA DE PAGO]]&gt;0,"pagada","por pagar")</f>
        <v>pagada</v>
      </c>
      <c r="W1898" s="141" t="str">
        <f>+IF(AND(Tabla2[[#This Row],[venc]]="venc",Tabla2[[#This Row],[Columna1]]="por pagar"),"vencida","no")</f>
        <v>no</v>
      </c>
    </row>
    <row r="1899" spans="1:23" ht="15.6" hidden="1" x14ac:dyDescent="0.3">
      <c r="A1899" s="20">
        <v>30</v>
      </c>
      <c r="B1899" s="25">
        <v>-139600.09</v>
      </c>
      <c r="C1899" s="25"/>
      <c r="D1899" s="56" t="s">
        <v>728</v>
      </c>
      <c r="E1899" s="426">
        <v>44718</v>
      </c>
      <c r="F1899" s="26" t="s">
        <v>32</v>
      </c>
      <c r="G1899" s="426">
        <v>44697</v>
      </c>
      <c r="H1899" s="35" t="s">
        <v>682</v>
      </c>
      <c r="I1899" s="21">
        <v>149369.75</v>
      </c>
      <c r="J1899" s="21"/>
      <c r="K1899" s="22">
        <v>28380.252499999999</v>
      </c>
      <c r="L1899" s="23"/>
      <c r="M1899" s="22">
        <v>0</v>
      </c>
      <c r="N1899" s="74">
        <v>0</v>
      </c>
      <c r="O1899" s="22">
        <v>0</v>
      </c>
      <c r="P1899" s="21">
        <v>177750.0025</v>
      </c>
      <c r="S1899" s="108" t="b">
        <f>OR(COUNTIF(Tabla2[[#This Row],[PROVEEDOR]],"*"&amp;'Palabra no opera'!$A$2&amp;"*"))</f>
        <v>0</v>
      </c>
      <c r="T1899" s="139">
        <f>+$W$5-Tabla2[[#This Row],[FECHA DE FACTURACIÓN]]</f>
        <v>594</v>
      </c>
      <c r="U1899" t="str">
        <f>+IF(Tabla2[[#This Row],[dias de credito]]&gt;=Tabla2[[#This Row],[PLAZO Días]],"venc", "No venc")</f>
        <v>venc</v>
      </c>
      <c r="V1899" t="str">
        <f>+IF(Tabla2[[#This Row],[FECHA DE PAGO]]&gt;0,"pagada","por pagar")</f>
        <v>pagada</v>
      </c>
      <c r="W1899" s="141" t="str">
        <f>+IF(AND(Tabla2[[#This Row],[venc]]="venc",Tabla2[[#This Row],[Columna1]]="por pagar"),"vencida","no")</f>
        <v>no</v>
      </c>
    </row>
    <row r="1900" spans="1:23" ht="15.6" hidden="1" x14ac:dyDescent="0.3">
      <c r="A1900" s="20">
        <v>30</v>
      </c>
      <c r="B1900" s="25">
        <v>18444236.894999996</v>
      </c>
      <c r="C1900" s="25"/>
      <c r="D1900" s="56" t="s">
        <v>731</v>
      </c>
      <c r="E1900" s="426">
        <v>44718</v>
      </c>
      <c r="F1900" s="26" t="s">
        <v>11</v>
      </c>
      <c r="G1900" s="426">
        <v>44683</v>
      </c>
      <c r="H1900" s="35" t="s">
        <v>656</v>
      </c>
      <c r="I1900" s="21">
        <v>1320000</v>
      </c>
      <c r="J1900" s="21"/>
      <c r="K1900" s="22">
        <v>250800</v>
      </c>
      <c r="L1900" s="23"/>
      <c r="M1900" s="22">
        <v>0</v>
      </c>
      <c r="N1900" s="74">
        <v>2.5000000000000001E-2</v>
      </c>
      <c r="O1900" s="22">
        <v>33000</v>
      </c>
      <c r="P1900" s="21">
        <v>1537800</v>
      </c>
      <c r="S1900" s="108" t="b">
        <f>OR(COUNTIF(Tabla2[[#This Row],[PROVEEDOR]],"*"&amp;'Palabra no opera'!$A$2&amp;"*"))</f>
        <v>0</v>
      </c>
      <c r="T1900" s="139">
        <f>+$W$5-Tabla2[[#This Row],[FECHA DE FACTURACIÓN]]</f>
        <v>608</v>
      </c>
      <c r="U1900" t="str">
        <f>+IF(Tabla2[[#This Row],[dias de credito]]&gt;=Tabla2[[#This Row],[PLAZO Días]],"venc", "No venc")</f>
        <v>venc</v>
      </c>
      <c r="V1900" t="str">
        <f>+IF(Tabla2[[#This Row],[FECHA DE PAGO]]&gt;0,"pagada","por pagar")</f>
        <v>pagada</v>
      </c>
      <c r="W1900" s="141" t="str">
        <f>+IF(AND(Tabla2[[#This Row],[venc]]="venc",Tabla2[[#This Row],[Columna1]]="por pagar"),"vencida","no")</f>
        <v>no</v>
      </c>
    </row>
    <row r="1901" spans="1:23" ht="15.6" hidden="1" x14ac:dyDescent="0.3">
      <c r="A1901" s="20">
        <v>30</v>
      </c>
      <c r="B1901" s="25">
        <v>0</v>
      </c>
      <c r="C1901" s="25"/>
      <c r="D1901" s="56" t="s">
        <v>210</v>
      </c>
      <c r="E1901" s="426">
        <v>44718</v>
      </c>
      <c r="F1901" s="26" t="s">
        <v>47</v>
      </c>
      <c r="G1901" s="426">
        <v>44676</v>
      </c>
      <c r="H1901" s="35" t="s">
        <v>610</v>
      </c>
      <c r="I1901" s="21">
        <v>523580</v>
      </c>
      <c r="J1901" s="21"/>
      <c r="K1901" s="22">
        <v>99480.2</v>
      </c>
      <c r="L1901" s="23"/>
      <c r="M1901" s="22">
        <v>0</v>
      </c>
      <c r="N1901" s="74">
        <v>0</v>
      </c>
      <c r="O1901" s="22">
        <v>0</v>
      </c>
      <c r="P1901" s="21">
        <v>623060.19999999995</v>
      </c>
      <c r="S1901" s="108" t="b">
        <f>OR(COUNTIF(Tabla2[[#This Row],[PROVEEDOR]],"*"&amp;'Palabra no opera'!$A$2&amp;"*"))</f>
        <v>0</v>
      </c>
      <c r="T1901" s="139">
        <f>+$W$5-Tabla2[[#This Row],[FECHA DE FACTURACIÓN]]</f>
        <v>615</v>
      </c>
      <c r="U1901" t="str">
        <f>+IF(Tabla2[[#This Row],[dias de credito]]&gt;=Tabla2[[#This Row],[PLAZO Días]],"venc", "No venc")</f>
        <v>venc</v>
      </c>
      <c r="V1901" t="str">
        <f>+IF(Tabla2[[#This Row],[FECHA DE PAGO]]&gt;0,"pagada","por pagar")</f>
        <v>pagada</v>
      </c>
      <c r="W1901" s="141" t="str">
        <f>+IF(AND(Tabla2[[#This Row],[venc]]="venc",Tabla2[[#This Row],[Columna1]]="por pagar"),"vencida","no")</f>
        <v>no</v>
      </c>
    </row>
    <row r="1902" spans="1:23" ht="15.6" hidden="1" x14ac:dyDescent="0.3">
      <c r="A1902" s="20">
        <v>30</v>
      </c>
      <c r="B1902" s="25">
        <v>-66999.998800000001</v>
      </c>
      <c r="C1902" s="25"/>
      <c r="D1902" s="56" t="s">
        <v>187</v>
      </c>
      <c r="E1902" s="426">
        <v>44718</v>
      </c>
      <c r="F1902" s="26" t="s">
        <v>459</v>
      </c>
      <c r="G1902" s="426">
        <v>44672</v>
      </c>
      <c r="H1902" s="35">
        <v>2150</v>
      </c>
      <c r="I1902" s="21">
        <v>428571.42</v>
      </c>
      <c r="J1902" s="21"/>
      <c r="K1902" s="22">
        <v>81428.569799999997</v>
      </c>
      <c r="L1902" s="23"/>
      <c r="M1902" s="22">
        <v>0</v>
      </c>
      <c r="N1902" s="74">
        <v>0</v>
      </c>
      <c r="O1902" s="22">
        <v>0</v>
      </c>
      <c r="P1902" s="21">
        <v>509999.98979999998</v>
      </c>
      <c r="S1902" s="108" t="b">
        <f>OR(COUNTIF(Tabla2[[#This Row],[PROVEEDOR]],"*"&amp;'Palabra no opera'!$A$2&amp;"*"))</f>
        <v>0</v>
      </c>
      <c r="T1902" s="139">
        <f>+$W$5-Tabla2[[#This Row],[FECHA DE FACTURACIÓN]]</f>
        <v>619</v>
      </c>
      <c r="U1902" t="str">
        <f>+IF(Tabla2[[#This Row],[dias de credito]]&gt;=Tabla2[[#This Row],[PLAZO Días]],"venc", "No venc")</f>
        <v>venc</v>
      </c>
      <c r="V1902" t="str">
        <f>+IF(Tabla2[[#This Row],[FECHA DE PAGO]]&gt;0,"pagada","por pagar")</f>
        <v>pagada</v>
      </c>
      <c r="W1902" s="141" t="str">
        <f>+IF(AND(Tabla2[[#This Row],[venc]]="venc",Tabla2[[#This Row],[Columna1]]="por pagar"),"vencida","no")</f>
        <v>no</v>
      </c>
    </row>
    <row r="1903" spans="1:23" ht="15.6" hidden="1" x14ac:dyDescent="0.3">
      <c r="A1903" s="20">
        <v>45</v>
      </c>
      <c r="B1903" s="25">
        <v>8072960</v>
      </c>
      <c r="C1903" s="25"/>
      <c r="D1903" s="56" t="s">
        <v>198</v>
      </c>
      <c r="E1903" s="426">
        <v>44718</v>
      </c>
      <c r="F1903" s="26" t="s">
        <v>10</v>
      </c>
      <c r="G1903" s="426">
        <v>44657</v>
      </c>
      <c r="H1903" s="35" t="s">
        <v>570</v>
      </c>
      <c r="I1903" s="21">
        <v>516000</v>
      </c>
      <c r="J1903" s="21"/>
      <c r="K1903" s="22">
        <v>98040</v>
      </c>
      <c r="L1903" s="23"/>
      <c r="M1903" s="22">
        <v>0</v>
      </c>
      <c r="N1903" s="74">
        <v>0</v>
      </c>
      <c r="O1903" s="22">
        <v>0</v>
      </c>
      <c r="P1903" s="21">
        <v>614040</v>
      </c>
      <c r="S1903" s="108" t="b">
        <f>OR(COUNTIF(Tabla2[[#This Row],[PROVEEDOR]],"*"&amp;'Palabra no opera'!$A$2&amp;"*"))</f>
        <v>0</v>
      </c>
      <c r="T1903" s="139">
        <f>+$W$5-Tabla2[[#This Row],[FECHA DE FACTURACIÓN]]</f>
        <v>634</v>
      </c>
      <c r="U1903" t="str">
        <f>+IF(Tabla2[[#This Row],[dias de credito]]&gt;=Tabla2[[#This Row],[PLAZO Días]],"venc", "No venc")</f>
        <v>venc</v>
      </c>
      <c r="V1903" t="str">
        <f>+IF(Tabla2[[#This Row],[FECHA DE PAGO]]&gt;0,"pagada","por pagar")</f>
        <v>pagada</v>
      </c>
      <c r="W1903" s="141" t="str">
        <f>+IF(AND(Tabla2[[#This Row],[venc]]="venc",Tabla2[[#This Row],[Columna1]]="por pagar"),"vencida","no")</f>
        <v>no</v>
      </c>
    </row>
    <row r="1904" spans="1:23" ht="15.6" hidden="1" x14ac:dyDescent="0.3">
      <c r="A1904" s="20">
        <v>30</v>
      </c>
      <c r="B1904" s="25">
        <v>0</v>
      </c>
      <c r="C1904" s="25"/>
      <c r="D1904" s="56" t="s">
        <v>210</v>
      </c>
      <c r="E1904" s="426">
        <v>44718</v>
      </c>
      <c r="F1904" s="26" t="s">
        <v>47</v>
      </c>
      <c r="G1904" s="426">
        <v>44655</v>
      </c>
      <c r="H1904" s="35" t="s">
        <v>360</v>
      </c>
      <c r="I1904" s="21">
        <v>3406</v>
      </c>
      <c r="J1904" s="21"/>
      <c r="K1904" s="22">
        <v>647.14</v>
      </c>
      <c r="L1904" s="23"/>
      <c r="M1904" s="22">
        <v>0</v>
      </c>
      <c r="N1904" s="74">
        <v>0</v>
      </c>
      <c r="O1904" s="22">
        <v>0</v>
      </c>
      <c r="P1904" s="21">
        <v>4053.14</v>
      </c>
      <c r="S1904" s="108" t="b">
        <f>OR(COUNTIF(Tabla2[[#This Row],[PROVEEDOR]],"*"&amp;'Palabra no opera'!$A$2&amp;"*"))</f>
        <v>0</v>
      </c>
      <c r="T1904" s="139">
        <f>+$W$5-Tabla2[[#This Row],[FECHA DE FACTURACIÓN]]</f>
        <v>636</v>
      </c>
      <c r="U1904" t="str">
        <f>+IF(Tabla2[[#This Row],[dias de credito]]&gt;=Tabla2[[#This Row],[PLAZO Días]],"venc", "No venc")</f>
        <v>venc</v>
      </c>
      <c r="V1904" t="str">
        <f>+IF(Tabla2[[#This Row],[FECHA DE PAGO]]&gt;0,"pagada","por pagar")</f>
        <v>pagada</v>
      </c>
      <c r="W1904" s="141" t="str">
        <f>+IF(AND(Tabla2[[#This Row],[venc]]="venc",Tabla2[[#This Row],[Columna1]]="por pagar"),"vencida","no")</f>
        <v>no</v>
      </c>
    </row>
    <row r="1905" spans="1:23" ht="15.6" hidden="1" x14ac:dyDescent="0.3">
      <c r="A1905" s="20">
        <v>45</v>
      </c>
      <c r="B1905" s="25">
        <v>8072960</v>
      </c>
      <c r="C1905" s="25"/>
      <c r="D1905" s="56" t="s">
        <v>198</v>
      </c>
      <c r="E1905" s="426">
        <v>44718</v>
      </c>
      <c r="F1905" s="26" t="s">
        <v>10</v>
      </c>
      <c r="G1905" s="426">
        <v>44650</v>
      </c>
      <c r="H1905" s="35" t="s">
        <v>421</v>
      </c>
      <c r="I1905" s="21">
        <v>322000</v>
      </c>
      <c r="J1905" s="21"/>
      <c r="K1905" s="22">
        <v>61180</v>
      </c>
      <c r="L1905" s="23"/>
      <c r="M1905" s="22">
        <v>0</v>
      </c>
      <c r="N1905" s="74">
        <v>0</v>
      </c>
      <c r="O1905" s="22">
        <v>0</v>
      </c>
      <c r="P1905" s="21">
        <v>383180</v>
      </c>
      <c r="S1905" s="108" t="b">
        <f>OR(COUNTIF(Tabla2[[#This Row],[PROVEEDOR]],"*"&amp;'Palabra no opera'!$A$2&amp;"*"))</f>
        <v>0</v>
      </c>
      <c r="T1905" s="139">
        <f>+$W$5-Tabla2[[#This Row],[FECHA DE FACTURACIÓN]]</f>
        <v>641</v>
      </c>
      <c r="U1905" t="str">
        <f>+IF(Tabla2[[#This Row],[dias de credito]]&gt;=Tabla2[[#This Row],[PLAZO Días]],"venc", "No venc")</f>
        <v>venc</v>
      </c>
      <c r="V1905" t="str">
        <f>+IF(Tabla2[[#This Row],[FECHA DE PAGO]]&gt;0,"pagada","por pagar")</f>
        <v>pagada</v>
      </c>
      <c r="W1905" s="141" t="str">
        <f>+IF(AND(Tabla2[[#This Row],[venc]]="venc",Tabla2[[#This Row],[Columna1]]="por pagar"),"vencida","no")</f>
        <v>no</v>
      </c>
    </row>
    <row r="1906" spans="1:23" ht="15.6" hidden="1" x14ac:dyDescent="0.3">
      <c r="A1906" s="20">
        <v>30</v>
      </c>
      <c r="B1906" s="25">
        <v>22881826.27</v>
      </c>
      <c r="C1906" s="25"/>
      <c r="D1906" s="56" t="s">
        <v>197</v>
      </c>
      <c r="E1906" s="426">
        <v>44718</v>
      </c>
      <c r="F1906" s="26" t="s">
        <v>9</v>
      </c>
      <c r="G1906" s="426">
        <v>44649</v>
      </c>
      <c r="H1906" s="35" t="s">
        <v>568</v>
      </c>
      <c r="I1906" s="21">
        <v>-344533</v>
      </c>
      <c r="J1906" s="21"/>
      <c r="K1906" s="22">
        <v>-65461.270000000004</v>
      </c>
      <c r="L1906" s="23"/>
      <c r="M1906" s="22">
        <v>0</v>
      </c>
      <c r="N1906" s="74">
        <v>0</v>
      </c>
      <c r="O1906" s="22">
        <v>0</v>
      </c>
      <c r="P1906" s="21">
        <v>0</v>
      </c>
      <c r="S1906" s="108" t="b">
        <f>OR(COUNTIF(Tabla2[[#This Row],[PROVEEDOR]],"*"&amp;'Palabra no opera'!$A$2&amp;"*"))</f>
        <v>0</v>
      </c>
      <c r="T1906" s="139">
        <f>+$W$5-Tabla2[[#This Row],[FECHA DE FACTURACIÓN]]</f>
        <v>642</v>
      </c>
      <c r="U1906" t="str">
        <f>+IF(Tabla2[[#This Row],[dias de credito]]&gt;=Tabla2[[#This Row],[PLAZO Días]],"venc", "No venc")</f>
        <v>venc</v>
      </c>
      <c r="V1906" t="str">
        <f>+IF(Tabla2[[#This Row],[FECHA DE PAGO]]&gt;0,"pagada","por pagar")</f>
        <v>pagada</v>
      </c>
      <c r="W1906" s="141" t="str">
        <f>+IF(AND(Tabla2[[#This Row],[venc]]="venc",Tabla2[[#This Row],[Columna1]]="por pagar"),"vencida","no")</f>
        <v>no</v>
      </c>
    </row>
    <row r="1907" spans="1:23" ht="15.6" hidden="1" x14ac:dyDescent="0.3">
      <c r="A1907" s="20">
        <v>30</v>
      </c>
      <c r="B1907" s="25">
        <v>22881826.27</v>
      </c>
      <c r="C1907" s="25"/>
      <c r="D1907" s="56" t="s">
        <v>197</v>
      </c>
      <c r="E1907" s="426">
        <v>44718</v>
      </c>
      <c r="F1907" s="26" t="s">
        <v>9</v>
      </c>
      <c r="G1907" s="426">
        <v>44649</v>
      </c>
      <c r="H1907" s="35">
        <v>75600</v>
      </c>
      <c r="I1907" s="21">
        <v>19035762</v>
      </c>
      <c r="J1907" s="21"/>
      <c r="K1907" s="22">
        <v>3616794.7800000003</v>
      </c>
      <c r="L1907" s="23"/>
      <c r="M1907" s="22">
        <v>0</v>
      </c>
      <c r="N1907" s="74">
        <v>2.5000000000000001E-2</v>
      </c>
      <c r="O1907" s="22">
        <v>475894.05000000005</v>
      </c>
      <c r="P1907" s="21">
        <v>22176662.73</v>
      </c>
      <c r="S1907" s="108" t="b">
        <f>OR(COUNTIF(Tabla2[[#This Row],[PROVEEDOR]],"*"&amp;'Palabra no opera'!$A$2&amp;"*"))</f>
        <v>0</v>
      </c>
      <c r="T1907" s="139">
        <f>+$W$5-Tabla2[[#This Row],[FECHA DE FACTURACIÓN]]</f>
        <v>642</v>
      </c>
      <c r="U1907" t="str">
        <f>+IF(Tabla2[[#This Row],[dias de credito]]&gt;=Tabla2[[#This Row],[PLAZO Días]],"venc", "No venc")</f>
        <v>venc</v>
      </c>
      <c r="V1907" t="str">
        <f>+IF(Tabla2[[#This Row],[FECHA DE PAGO]]&gt;0,"pagada","por pagar")</f>
        <v>pagada</v>
      </c>
      <c r="W1907" s="141" t="str">
        <f>+IF(AND(Tabla2[[#This Row],[venc]]="venc",Tabla2[[#This Row],[Columna1]]="por pagar"),"vencida","no")</f>
        <v>no</v>
      </c>
    </row>
    <row r="1908" spans="1:23" ht="15.6" hidden="1" x14ac:dyDescent="0.3">
      <c r="A1908" s="20">
        <v>30</v>
      </c>
      <c r="B1908" s="25">
        <v>1034000.52</v>
      </c>
      <c r="C1908" s="25"/>
      <c r="D1908" s="56" t="s">
        <v>177</v>
      </c>
      <c r="E1908" s="426">
        <v>44718</v>
      </c>
      <c r="F1908" s="26" t="s">
        <v>168</v>
      </c>
      <c r="G1908" s="426">
        <v>44648</v>
      </c>
      <c r="H1908" s="35">
        <v>556</v>
      </c>
      <c r="I1908" s="21">
        <v>352941</v>
      </c>
      <c r="J1908" s="21"/>
      <c r="K1908" s="22">
        <v>67058.789999999994</v>
      </c>
      <c r="L1908" s="23"/>
      <c r="M1908" s="22">
        <v>0</v>
      </c>
      <c r="N1908" s="74">
        <v>0</v>
      </c>
      <c r="O1908" s="22">
        <v>0</v>
      </c>
      <c r="P1908" s="21">
        <v>419999.79</v>
      </c>
      <c r="S1908" s="108" t="b">
        <f>OR(COUNTIF(Tabla2[[#This Row],[PROVEEDOR]],"*"&amp;'Palabra no opera'!$A$2&amp;"*"))</f>
        <v>0</v>
      </c>
      <c r="T1908" s="139">
        <f>+$W$5-Tabla2[[#This Row],[FECHA DE FACTURACIÓN]]</f>
        <v>643</v>
      </c>
      <c r="U1908" t="str">
        <f>+IF(Tabla2[[#This Row],[dias de credito]]&gt;=Tabla2[[#This Row],[PLAZO Días]],"venc", "No venc")</f>
        <v>venc</v>
      </c>
      <c r="V1908" t="str">
        <f>+IF(Tabla2[[#This Row],[FECHA DE PAGO]]&gt;0,"pagada","por pagar")</f>
        <v>pagada</v>
      </c>
      <c r="W1908" s="141" t="str">
        <f>+IF(AND(Tabla2[[#This Row],[venc]]="venc",Tabla2[[#This Row],[Columna1]]="por pagar"),"vencida","no")</f>
        <v>no</v>
      </c>
    </row>
    <row r="1909" spans="1:23" ht="15.6" hidden="1" x14ac:dyDescent="0.3">
      <c r="A1909" s="20">
        <v>30</v>
      </c>
      <c r="B1909" s="25">
        <v>1034000.52</v>
      </c>
      <c r="C1909" s="25"/>
      <c r="D1909" s="56" t="s">
        <v>177</v>
      </c>
      <c r="E1909" s="426">
        <v>44718</v>
      </c>
      <c r="F1909" s="26" t="s">
        <v>168</v>
      </c>
      <c r="G1909" s="426">
        <v>44636</v>
      </c>
      <c r="H1909" s="35">
        <v>544</v>
      </c>
      <c r="I1909" s="21">
        <v>2519329</v>
      </c>
      <c r="J1909" s="21"/>
      <c r="K1909" s="22">
        <v>478672.51</v>
      </c>
      <c r="L1909" s="23"/>
      <c r="M1909" s="22">
        <v>0</v>
      </c>
      <c r="N1909" s="74">
        <v>2.5000000000000001E-2</v>
      </c>
      <c r="O1909" s="22">
        <v>62983.225000000006</v>
      </c>
      <c r="P1909" s="21">
        <v>2935018.2849999997</v>
      </c>
      <c r="S1909" s="108" t="b">
        <f>OR(COUNTIF(Tabla2[[#This Row],[PROVEEDOR]],"*"&amp;'Palabra no opera'!$A$2&amp;"*"))</f>
        <v>0</v>
      </c>
      <c r="T1909" s="139">
        <f>+$W$5-Tabla2[[#This Row],[FECHA DE FACTURACIÓN]]</f>
        <v>655</v>
      </c>
      <c r="U1909" t="str">
        <f>+IF(Tabla2[[#This Row],[dias de credito]]&gt;=Tabla2[[#This Row],[PLAZO Días]],"venc", "No venc")</f>
        <v>venc</v>
      </c>
      <c r="V1909" t="str">
        <f>+IF(Tabla2[[#This Row],[FECHA DE PAGO]]&gt;0,"pagada","por pagar")</f>
        <v>pagada</v>
      </c>
      <c r="W1909" s="141" t="str">
        <f>+IF(AND(Tabla2[[#This Row],[venc]]="venc",Tabla2[[#This Row],[Columna1]]="por pagar"),"vencida","no")</f>
        <v>no</v>
      </c>
    </row>
    <row r="1910" spans="1:23" ht="15.6" hidden="1" x14ac:dyDescent="0.3">
      <c r="A1910" s="20">
        <v>30</v>
      </c>
      <c r="B1910" s="25">
        <v>-66999.998800000001</v>
      </c>
      <c r="C1910" s="25"/>
      <c r="D1910" s="56" t="s">
        <v>187</v>
      </c>
      <c r="E1910" s="426">
        <v>44718</v>
      </c>
      <c r="F1910" s="26" t="s">
        <v>459</v>
      </c>
      <c r="G1910" s="426">
        <v>44592</v>
      </c>
      <c r="H1910" s="35" t="s">
        <v>487</v>
      </c>
      <c r="I1910" s="21">
        <v>-21428.57</v>
      </c>
      <c r="J1910" s="21"/>
      <c r="K1910" s="22">
        <v>-4071.4283</v>
      </c>
      <c r="L1910" s="23"/>
      <c r="M1910" s="22">
        <v>0</v>
      </c>
      <c r="N1910" s="74">
        <v>0</v>
      </c>
      <c r="O1910" s="22">
        <v>0</v>
      </c>
      <c r="P1910" s="21">
        <v>-25499.998299999999</v>
      </c>
      <c r="S1910" s="108" t="b">
        <f>OR(COUNTIF(Tabla2[[#This Row],[PROVEEDOR]],"*"&amp;'Palabra no opera'!$A$2&amp;"*"))</f>
        <v>0</v>
      </c>
      <c r="T1910" s="139">
        <f>+$W$5-Tabla2[[#This Row],[FECHA DE FACTURACIÓN]]</f>
        <v>699</v>
      </c>
      <c r="U1910" t="str">
        <f>+IF(Tabla2[[#This Row],[dias de credito]]&gt;=Tabla2[[#This Row],[PLAZO Días]],"venc", "No venc")</f>
        <v>venc</v>
      </c>
      <c r="V1910" t="str">
        <f>+IF(Tabla2[[#This Row],[FECHA DE PAGO]]&gt;0,"pagada","por pagar")</f>
        <v>pagada</v>
      </c>
      <c r="W1910" s="141" t="str">
        <f>+IF(AND(Tabla2[[#This Row],[venc]]="venc",Tabla2[[#This Row],[Columna1]]="por pagar"),"vencida","no")</f>
        <v>no</v>
      </c>
    </row>
    <row r="1911" spans="1:23" ht="15.6" hidden="1" x14ac:dyDescent="0.3">
      <c r="A1911" s="20">
        <v>30</v>
      </c>
      <c r="B1911" s="25">
        <v>0</v>
      </c>
      <c r="C1911" s="25"/>
      <c r="D1911" s="56" t="s">
        <v>107</v>
      </c>
      <c r="E1911" s="426">
        <v>44715</v>
      </c>
      <c r="F1911" s="26" t="s">
        <v>390</v>
      </c>
      <c r="G1911" s="426">
        <v>44715</v>
      </c>
      <c r="H1911" s="35"/>
      <c r="I1911" s="21">
        <v>1000000</v>
      </c>
      <c r="J1911" s="21"/>
      <c r="K1911" s="22">
        <v>0</v>
      </c>
      <c r="L1911" s="23"/>
      <c r="M1911" s="22">
        <v>0</v>
      </c>
      <c r="N1911" s="74">
        <v>0</v>
      </c>
      <c r="O1911" s="22">
        <v>0</v>
      </c>
      <c r="P1911" s="21">
        <v>1000000</v>
      </c>
      <c r="S1911" s="108" t="b">
        <f>OR(COUNTIF(Tabla2[[#This Row],[PROVEEDOR]],"*"&amp;'Palabra no opera'!$A$2&amp;"*"))</f>
        <v>0</v>
      </c>
      <c r="T1911" s="139">
        <f>+$W$5-Tabla2[[#This Row],[FECHA DE FACTURACIÓN]]</f>
        <v>576</v>
      </c>
      <c r="U1911" t="str">
        <f>+IF(Tabla2[[#This Row],[dias de credito]]&gt;=Tabla2[[#This Row],[PLAZO Días]],"venc", "No venc")</f>
        <v>venc</v>
      </c>
      <c r="V1911" t="str">
        <f>+IF(Tabla2[[#This Row],[FECHA DE PAGO]]&gt;0,"pagada","por pagar")</f>
        <v>pagada</v>
      </c>
      <c r="W1911" s="141" t="str">
        <f>+IF(AND(Tabla2[[#This Row],[venc]]="venc",Tabla2[[#This Row],[Columna1]]="por pagar"),"vencida","no")</f>
        <v>no</v>
      </c>
    </row>
    <row r="1912" spans="1:23" ht="15.6" hidden="1" x14ac:dyDescent="0.3">
      <c r="A1912" s="20">
        <v>30</v>
      </c>
      <c r="B1912" s="25">
        <v>0</v>
      </c>
      <c r="C1912" s="25"/>
      <c r="D1912" s="56" t="s">
        <v>107</v>
      </c>
      <c r="E1912" s="426">
        <v>44714</v>
      </c>
      <c r="F1912" s="26" t="s">
        <v>23</v>
      </c>
      <c r="G1912" s="426">
        <v>44713</v>
      </c>
      <c r="H1912" s="35">
        <v>291707</v>
      </c>
      <c r="I1912" s="21">
        <v>10303644</v>
      </c>
      <c r="J1912" s="21"/>
      <c r="K1912" s="22">
        <v>0</v>
      </c>
      <c r="L1912" s="23"/>
      <c r="M1912" s="22">
        <v>0</v>
      </c>
      <c r="N1912" s="74">
        <v>0</v>
      </c>
      <c r="O1912" s="22">
        <v>0</v>
      </c>
      <c r="P1912" s="21">
        <v>10303644</v>
      </c>
      <c r="S1912" s="108" t="b">
        <f>OR(COUNTIF(Tabla2[[#This Row],[PROVEEDOR]],"*"&amp;'Palabra no opera'!$A$2&amp;"*"))</f>
        <v>0</v>
      </c>
      <c r="T1912" s="139">
        <f>+$W$5-Tabla2[[#This Row],[FECHA DE FACTURACIÓN]]</f>
        <v>578</v>
      </c>
      <c r="U1912" t="str">
        <f>+IF(Tabla2[[#This Row],[dias de credito]]&gt;=Tabla2[[#This Row],[PLAZO Días]],"venc", "No venc")</f>
        <v>venc</v>
      </c>
      <c r="V1912" t="str">
        <f>+IF(Tabla2[[#This Row],[FECHA DE PAGO]]&gt;0,"pagada","por pagar")</f>
        <v>pagada</v>
      </c>
      <c r="W1912" s="141" t="str">
        <f>+IF(AND(Tabla2[[#This Row],[venc]]="venc",Tabla2[[#This Row],[Columna1]]="por pagar"),"vencida","no")</f>
        <v>no</v>
      </c>
    </row>
    <row r="1913" spans="1:23" ht="15.6" hidden="1" x14ac:dyDescent="0.3">
      <c r="A1913" s="20">
        <v>30</v>
      </c>
      <c r="B1913" s="25">
        <v>0</v>
      </c>
      <c r="C1913" s="25"/>
      <c r="D1913" s="56" t="s">
        <v>107</v>
      </c>
      <c r="E1913" s="426">
        <v>44714</v>
      </c>
      <c r="F1913" s="26" t="s">
        <v>23</v>
      </c>
      <c r="G1913" s="426">
        <v>44713</v>
      </c>
      <c r="H1913" s="35">
        <v>291706</v>
      </c>
      <c r="I1913" s="21">
        <v>11058911.52</v>
      </c>
      <c r="J1913" s="21"/>
      <c r="K1913" s="22">
        <v>0</v>
      </c>
      <c r="L1913" s="23"/>
      <c r="M1913" s="22">
        <v>0</v>
      </c>
      <c r="N1913" s="74">
        <v>0</v>
      </c>
      <c r="O1913" s="22">
        <v>0</v>
      </c>
      <c r="P1913" s="21">
        <v>11058911.52</v>
      </c>
      <c r="S1913" s="108" t="b">
        <f>OR(COUNTIF(Tabla2[[#This Row],[PROVEEDOR]],"*"&amp;'Palabra no opera'!$A$2&amp;"*"))</f>
        <v>0</v>
      </c>
      <c r="T1913" s="139">
        <f>+$W$5-Tabla2[[#This Row],[FECHA DE FACTURACIÓN]]</f>
        <v>578</v>
      </c>
      <c r="U1913" t="str">
        <f>+IF(Tabla2[[#This Row],[dias de credito]]&gt;=Tabla2[[#This Row],[PLAZO Días]],"venc", "No venc")</f>
        <v>venc</v>
      </c>
      <c r="V1913" t="str">
        <f>+IF(Tabla2[[#This Row],[FECHA DE PAGO]]&gt;0,"pagada","por pagar")</f>
        <v>pagada</v>
      </c>
      <c r="W1913" s="141" t="str">
        <f>+IF(AND(Tabla2[[#This Row],[venc]]="venc",Tabla2[[#This Row],[Columna1]]="por pagar"),"vencida","no")</f>
        <v>no</v>
      </c>
    </row>
    <row r="1914" spans="1:23" ht="15.6" hidden="1" x14ac:dyDescent="0.3">
      <c r="A1914" s="20">
        <v>0</v>
      </c>
      <c r="B1914" s="25">
        <v>0</v>
      </c>
      <c r="C1914" s="25"/>
      <c r="D1914" s="56">
        <v>0</v>
      </c>
      <c r="E1914" s="426">
        <v>44713</v>
      </c>
      <c r="F1914" s="26" t="s">
        <v>711</v>
      </c>
      <c r="G1914" s="426">
        <v>44713</v>
      </c>
      <c r="H1914" s="35" t="s">
        <v>908</v>
      </c>
      <c r="I1914" s="21">
        <v>159663.87</v>
      </c>
      <c r="J1914" s="21"/>
      <c r="K1914" s="22">
        <v>30336.135299999998</v>
      </c>
      <c r="L1914" s="23"/>
      <c r="M1914" s="22">
        <v>0</v>
      </c>
      <c r="N1914" s="74">
        <v>0</v>
      </c>
      <c r="O1914" s="22">
        <v>0</v>
      </c>
      <c r="P1914" s="21">
        <v>190000.00529999999</v>
      </c>
      <c r="S1914" s="108" t="b">
        <f>OR(COUNTIF(Tabla2[[#This Row],[PROVEEDOR]],"*"&amp;'Palabra no opera'!$A$2&amp;"*"))</f>
        <v>1</v>
      </c>
      <c r="T1914" s="139">
        <f>+$W$5-Tabla2[[#This Row],[FECHA DE FACTURACIÓN]]</f>
        <v>578</v>
      </c>
      <c r="U1914" t="str">
        <f>+IF(Tabla2[[#This Row],[dias de credito]]&gt;=Tabla2[[#This Row],[PLAZO Días]],"venc", "No venc")</f>
        <v>venc</v>
      </c>
      <c r="V1914" t="str">
        <f>+IF(Tabla2[[#This Row],[FECHA DE PAGO]]&gt;0,"pagada","por pagar")</f>
        <v>pagada</v>
      </c>
      <c r="W1914" s="141" t="str">
        <f>+IF(AND(Tabla2[[#This Row],[venc]]="venc",Tabla2[[#This Row],[Columna1]]="por pagar"),"vencida","no")</f>
        <v>no</v>
      </c>
    </row>
    <row r="1915" spans="1:23" ht="15.6" hidden="1" x14ac:dyDescent="0.3">
      <c r="A1915" s="20">
        <v>30</v>
      </c>
      <c r="B1915" s="25">
        <v>0</v>
      </c>
      <c r="C1915" s="25"/>
      <c r="D1915" s="56" t="s">
        <v>199</v>
      </c>
      <c r="E1915" s="426">
        <v>44713</v>
      </c>
      <c r="F1915" s="26" t="s">
        <v>1069</v>
      </c>
      <c r="G1915" s="426">
        <v>44691</v>
      </c>
      <c r="H1915" s="35" t="s">
        <v>662</v>
      </c>
      <c r="I1915" s="21">
        <v>142857.5</v>
      </c>
      <c r="J1915" s="21"/>
      <c r="K1915" s="22">
        <v>27142.924999999999</v>
      </c>
      <c r="L1915" s="23"/>
      <c r="M1915" s="22">
        <v>0</v>
      </c>
      <c r="N1915" s="74">
        <v>0</v>
      </c>
      <c r="O1915" s="22">
        <v>0</v>
      </c>
      <c r="P1915" s="21">
        <v>170000.42499999999</v>
      </c>
      <c r="S1915" s="108" t="b">
        <f>OR(COUNTIF(Tabla2[[#This Row],[PROVEEDOR]],"*"&amp;'Palabra no opera'!$A$2&amp;"*"))</f>
        <v>0</v>
      </c>
      <c r="T1915" s="139">
        <f>+$W$5-Tabla2[[#This Row],[FECHA DE FACTURACIÓN]]</f>
        <v>600</v>
      </c>
      <c r="U1915" t="str">
        <f>+IF(Tabla2[[#This Row],[dias de credito]]&gt;=Tabla2[[#This Row],[PLAZO Días]],"venc", "No venc")</f>
        <v>venc</v>
      </c>
      <c r="V1915" t="str">
        <f>+IF(Tabla2[[#This Row],[FECHA DE PAGO]]&gt;0,"pagada","por pagar")</f>
        <v>pagada</v>
      </c>
      <c r="W1915" s="141" t="str">
        <f>+IF(AND(Tabla2[[#This Row],[venc]]="venc",Tabla2[[#This Row],[Columna1]]="por pagar"),"vencida","no")</f>
        <v>no</v>
      </c>
    </row>
    <row r="1916" spans="1:23" ht="15.6" hidden="1" x14ac:dyDescent="0.3">
      <c r="A1916" s="20">
        <v>30</v>
      </c>
      <c r="B1916" s="25">
        <v>0</v>
      </c>
      <c r="C1916" s="25"/>
      <c r="D1916" s="56" t="s">
        <v>184</v>
      </c>
      <c r="E1916" s="426">
        <v>44713</v>
      </c>
      <c r="F1916" s="26" t="s">
        <v>384</v>
      </c>
      <c r="G1916" s="426">
        <v>44672</v>
      </c>
      <c r="H1916" s="35" t="s">
        <v>1019</v>
      </c>
      <c r="I1916" s="21">
        <v>750000</v>
      </c>
      <c r="J1916" s="21"/>
      <c r="K1916" s="22">
        <v>0</v>
      </c>
      <c r="L1916" s="23"/>
      <c r="M1916" s="22">
        <v>0</v>
      </c>
      <c r="N1916" s="74">
        <v>0</v>
      </c>
      <c r="O1916" s="22">
        <v>0</v>
      </c>
      <c r="P1916" s="21">
        <v>750000</v>
      </c>
      <c r="S1916" s="108" t="b">
        <f>OR(COUNTIF(Tabla2[[#This Row],[PROVEEDOR]],"*"&amp;'Palabra no opera'!$A$2&amp;"*"))</f>
        <v>0</v>
      </c>
      <c r="T1916" s="139">
        <f>+$W$5-Tabla2[[#This Row],[FECHA DE FACTURACIÓN]]</f>
        <v>619</v>
      </c>
      <c r="U1916" t="str">
        <f>+IF(Tabla2[[#This Row],[dias de credito]]&gt;=Tabla2[[#This Row],[PLAZO Días]],"venc", "No venc")</f>
        <v>venc</v>
      </c>
      <c r="V1916" t="str">
        <f>+IF(Tabla2[[#This Row],[FECHA DE PAGO]]&gt;0,"pagada","por pagar")</f>
        <v>pagada</v>
      </c>
      <c r="W1916" s="141" t="str">
        <f>+IF(AND(Tabla2[[#This Row],[venc]]="venc",Tabla2[[#This Row],[Columna1]]="por pagar"),"vencida","no")</f>
        <v>no</v>
      </c>
    </row>
    <row r="1917" spans="1:23" ht="15.6" hidden="1" x14ac:dyDescent="0.3">
      <c r="A1917" s="20">
        <v>30</v>
      </c>
      <c r="B1917" s="25">
        <v>0</v>
      </c>
      <c r="C1917" s="25"/>
      <c r="D1917" s="56" t="s">
        <v>107</v>
      </c>
      <c r="E1917" s="426">
        <v>44712</v>
      </c>
      <c r="F1917" s="26" t="s">
        <v>362</v>
      </c>
      <c r="G1917" s="426">
        <v>44712</v>
      </c>
      <c r="H1917" s="35" t="s">
        <v>319</v>
      </c>
      <c r="I1917" s="21">
        <v>45000</v>
      </c>
      <c r="J1917" s="21"/>
      <c r="K1917" s="22">
        <v>0</v>
      </c>
      <c r="L1917" s="23"/>
      <c r="M1917" s="22">
        <v>0</v>
      </c>
      <c r="N1917" s="74">
        <v>0</v>
      </c>
      <c r="O1917" s="22">
        <v>0</v>
      </c>
      <c r="P1917" s="21">
        <v>45000</v>
      </c>
      <c r="S1917" s="108" t="b">
        <f>OR(COUNTIF(Tabla2[[#This Row],[PROVEEDOR]],"*"&amp;'Palabra no opera'!$A$2&amp;"*"))</f>
        <v>0</v>
      </c>
      <c r="T1917" s="139">
        <f>+$W$5-Tabla2[[#This Row],[FECHA DE FACTURACIÓN]]</f>
        <v>579</v>
      </c>
      <c r="U1917" t="str">
        <f>+IF(Tabla2[[#This Row],[dias de credito]]&gt;=Tabla2[[#This Row],[PLAZO Días]],"venc", "No venc")</f>
        <v>venc</v>
      </c>
      <c r="V1917" t="str">
        <f>+IF(Tabla2[[#This Row],[FECHA DE PAGO]]&gt;0,"pagada","por pagar")</f>
        <v>pagada</v>
      </c>
      <c r="W1917" s="141" t="str">
        <f>+IF(AND(Tabla2[[#This Row],[venc]]="venc",Tabla2[[#This Row],[Columna1]]="por pagar"),"vencida","no")</f>
        <v>no</v>
      </c>
    </row>
    <row r="1918" spans="1:23" ht="15.6" hidden="1" x14ac:dyDescent="0.3">
      <c r="A1918" s="20">
        <v>30</v>
      </c>
      <c r="B1918" s="25">
        <v>0</v>
      </c>
      <c r="C1918" s="25"/>
      <c r="D1918" s="56" t="s">
        <v>107</v>
      </c>
      <c r="E1918" s="426">
        <v>44712</v>
      </c>
      <c r="F1918" s="26" t="s">
        <v>362</v>
      </c>
      <c r="G1918" s="426">
        <v>44712</v>
      </c>
      <c r="H1918" s="35" t="s">
        <v>655</v>
      </c>
      <c r="I1918" s="21">
        <v>60000</v>
      </c>
      <c r="J1918" s="21"/>
      <c r="K1918" s="22">
        <v>0</v>
      </c>
      <c r="L1918" s="23"/>
      <c r="M1918" s="22">
        <v>0</v>
      </c>
      <c r="N1918" s="74">
        <v>0</v>
      </c>
      <c r="O1918" s="22">
        <v>0</v>
      </c>
      <c r="P1918" s="21">
        <v>60000</v>
      </c>
      <c r="S1918" s="108" t="b">
        <f>OR(COUNTIF(Tabla2[[#This Row],[PROVEEDOR]],"*"&amp;'Palabra no opera'!$A$2&amp;"*"))</f>
        <v>0</v>
      </c>
      <c r="T1918" s="139">
        <f>+$W$5-Tabla2[[#This Row],[FECHA DE FACTURACIÓN]]</f>
        <v>579</v>
      </c>
      <c r="U1918" t="str">
        <f>+IF(Tabla2[[#This Row],[dias de credito]]&gt;=Tabla2[[#This Row],[PLAZO Días]],"venc", "No venc")</f>
        <v>venc</v>
      </c>
      <c r="V1918" t="str">
        <f>+IF(Tabla2[[#This Row],[FECHA DE PAGO]]&gt;0,"pagada","por pagar")</f>
        <v>pagada</v>
      </c>
      <c r="W1918" s="141" t="str">
        <f>+IF(AND(Tabla2[[#This Row],[venc]]="venc",Tabla2[[#This Row],[Columna1]]="por pagar"),"vencida","no")</f>
        <v>no</v>
      </c>
    </row>
    <row r="1919" spans="1:23" ht="15.6" hidden="1" x14ac:dyDescent="0.3">
      <c r="A1919" s="20">
        <v>30</v>
      </c>
      <c r="B1919" s="25">
        <v>0</v>
      </c>
      <c r="C1919" s="25"/>
      <c r="D1919" s="56" t="s">
        <v>107</v>
      </c>
      <c r="E1919" s="426">
        <v>44712</v>
      </c>
      <c r="F1919" s="26" t="s">
        <v>362</v>
      </c>
      <c r="G1919" s="426">
        <v>44712</v>
      </c>
      <c r="H1919" s="35" t="s">
        <v>317</v>
      </c>
      <c r="I1919" s="21">
        <v>79900</v>
      </c>
      <c r="J1919" s="21"/>
      <c r="K1919" s="22">
        <v>0</v>
      </c>
      <c r="L1919" s="23"/>
      <c r="M1919" s="22">
        <v>0</v>
      </c>
      <c r="N1919" s="74">
        <v>0</v>
      </c>
      <c r="O1919" s="22">
        <v>0</v>
      </c>
      <c r="P1919" s="21">
        <v>79900</v>
      </c>
      <c r="S1919" s="108" t="b">
        <f>OR(COUNTIF(Tabla2[[#This Row],[PROVEEDOR]],"*"&amp;'Palabra no opera'!$A$2&amp;"*"))</f>
        <v>0</v>
      </c>
      <c r="T1919" s="139">
        <f>+$W$5-Tabla2[[#This Row],[FECHA DE FACTURACIÓN]]</f>
        <v>579</v>
      </c>
      <c r="U1919" t="str">
        <f>+IF(Tabla2[[#This Row],[dias de credito]]&gt;=Tabla2[[#This Row],[PLAZO Días]],"venc", "No venc")</f>
        <v>venc</v>
      </c>
      <c r="V1919" t="str">
        <f>+IF(Tabla2[[#This Row],[FECHA DE PAGO]]&gt;0,"pagada","por pagar")</f>
        <v>pagada</v>
      </c>
      <c r="W1919" s="141" t="str">
        <f>+IF(AND(Tabla2[[#This Row],[venc]]="venc",Tabla2[[#This Row],[Columna1]]="por pagar"),"vencida","no")</f>
        <v>no</v>
      </c>
    </row>
    <row r="1920" spans="1:23" ht="15.6" hidden="1" x14ac:dyDescent="0.3">
      <c r="A1920" s="20">
        <v>30</v>
      </c>
      <c r="B1920" s="25">
        <v>0</v>
      </c>
      <c r="C1920" s="25"/>
      <c r="D1920" s="56" t="s">
        <v>107</v>
      </c>
      <c r="E1920" s="426">
        <v>44712</v>
      </c>
      <c r="F1920" s="26" t="s">
        <v>362</v>
      </c>
      <c r="G1920" s="426">
        <v>44712</v>
      </c>
      <c r="H1920" s="35" t="s">
        <v>318</v>
      </c>
      <c r="I1920" s="21">
        <v>274800</v>
      </c>
      <c r="J1920" s="21"/>
      <c r="K1920" s="22">
        <v>0</v>
      </c>
      <c r="L1920" s="23"/>
      <c r="M1920" s="22">
        <v>0</v>
      </c>
      <c r="N1920" s="74">
        <v>0</v>
      </c>
      <c r="O1920" s="22">
        <v>0</v>
      </c>
      <c r="P1920" s="21">
        <v>274800</v>
      </c>
      <c r="S1920" s="108" t="b">
        <f>OR(COUNTIF(Tabla2[[#This Row],[PROVEEDOR]],"*"&amp;'Palabra no opera'!$A$2&amp;"*"))</f>
        <v>0</v>
      </c>
      <c r="T1920" s="139">
        <f>+$W$5-Tabla2[[#This Row],[FECHA DE FACTURACIÓN]]</f>
        <v>579</v>
      </c>
      <c r="U1920" t="str">
        <f>+IF(Tabla2[[#This Row],[dias de credito]]&gt;=Tabla2[[#This Row],[PLAZO Días]],"venc", "No venc")</f>
        <v>venc</v>
      </c>
      <c r="V1920" t="str">
        <f>+IF(Tabla2[[#This Row],[FECHA DE PAGO]]&gt;0,"pagada","por pagar")</f>
        <v>pagada</v>
      </c>
      <c r="W1920" s="141" t="str">
        <f>+IF(AND(Tabla2[[#This Row],[venc]]="venc",Tabla2[[#This Row],[Columna1]]="por pagar"),"vencida","no")</f>
        <v>no</v>
      </c>
    </row>
    <row r="1921" spans="1:23" ht="15.6" hidden="1" x14ac:dyDescent="0.3">
      <c r="A1921" s="20">
        <v>30</v>
      </c>
      <c r="B1921" s="25">
        <v>0</v>
      </c>
      <c r="C1921" s="25"/>
      <c r="D1921" s="56" t="s">
        <v>107</v>
      </c>
      <c r="E1921" s="426">
        <v>44712</v>
      </c>
      <c r="F1921" s="26" t="s">
        <v>362</v>
      </c>
      <c r="G1921" s="426">
        <v>44712</v>
      </c>
      <c r="H1921" s="35" t="s">
        <v>139</v>
      </c>
      <c r="I1921" s="21">
        <v>594600</v>
      </c>
      <c r="J1921" s="21"/>
      <c r="K1921" s="22">
        <v>0</v>
      </c>
      <c r="L1921" s="23"/>
      <c r="M1921" s="22">
        <v>0</v>
      </c>
      <c r="N1921" s="74">
        <v>0</v>
      </c>
      <c r="O1921" s="22">
        <v>0</v>
      </c>
      <c r="P1921" s="21">
        <v>594600</v>
      </c>
      <c r="S1921" s="108" t="b">
        <f>OR(COUNTIF(Tabla2[[#This Row],[PROVEEDOR]],"*"&amp;'Palabra no opera'!$A$2&amp;"*"))</f>
        <v>0</v>
      </c>
      <c r="T1921" s="139">
        <f>+$W$5-Tabla2[[#This Row],[FECHA DE FACTURACIÓN]]</f>
        <v>579</v>
      </c>
      <c r="U1921" t="str">
        <f>+IF(Tabla2[[#This Row],[dias de credito]]&gt;=Tabla2[[#This Row],[PLAZO Días]],"venc", "No venc")</f>
        <v>venc</v>
      </c>
      <c r="V1921" t="str">
        <f>+IF(Tabla2[[#This Row],[FECHA DE PAGO]]&gt;0,"pagada","por pagar")</f>
        <v>pagada</v>
      </c>
      <c r="W1921" s="141" t="str">
        <f>+IF(AND(Tabla2[[#This Row],[venc]]="venc",Tabla2[[#This Row],[Columna1]]="por pagar"),"vencida","no")</f>
        <v>no</v>
      </c>
    </row>
    <row r="1922" spans="1:23" ht="15.6" hidden="1" x14ac:dyDescent="0.3">
      <c r="A1922" s="20">
        <v>30</v>
      </c>
      <c r="B1922" s="25">
        <v>0</v>
      </c>
      <c r="C1922" s="25"/>
      <c r="D1922" s="56" t="s">
        <v>107</v>
      </c>
      <c r="E1922" s="426">
        <v>44712</v>
      </c>
      <c r="F1922" s="26" t="s">
        <v>362</v>
      </c>
      <c r="G1922" s="426">
        <v>44712</v>
      </c>
      <c r="H1922" s="35" t="s">
        <v>316</v>
      </c>
      <c r="I1922" s="21">
        <v>2633897</v>
      </c>
      <c r="J1922" s="21"/>
      <c r="K1922" s="22">
        <v>0</v>
      </c>
      <c r="L1922" s="23"/>
      <c r="M1922" s="22">
        <v>0</v>
      </c>
      <c r="N1922" s="74">
        <v>0</v>
      </c>
      <c r="O1922" s="22">
        <v>0</v>
      </c>
      <c r="P1922" s="21">
        <v>2633897</v>
      </c>
      <c r="S1922" s="108" t="b">
        <f>OR(COUNTIF(Tabla2[[#This Row],[PROVEEDOR]],"*"&amp;'Palabra no opera'!$A$2&amp;"*"))</f>
        <v>0</v>
      </c>
      <c r="T1922" s="139">
        <f>+$W$5-Tabla2[[#This Row],[FECHA DE FACTURACIÓN]]</f>
        <v>579</v>
      </c>
      <c r="U1922" t="str">
        <f>+IF(Tabla2[[#This Row],[dias de credito]]&gt;=Tabla2[[#This Row],[PLAZO Días]],"venc", "No venc")</f>
        <v>venc</v>
      </c>
      <c r="V1922" t="str">
        <f>+IF(Tabla2[[#This Row],[FECHA DE PAGO]]&gt;0,"pagada","por pagar")</f>
        <v>pagada</v>
      </c>
      <c r="W1922" s="141" t="str">
        <f>+IF(AND(Tabla2[[#This Row],[venc]]="venc",Tabla2[[#This Row],[Columna1]]="por pagar"),"vencida","no")</f>
        <v>no</v>
      </c>
    </row>
    <row r="1923" spans="1:23" ht="15.6" hidden="1" x14ac:dyDescent="0.3">
      <c r="A1923" s="20">
        <v>30</v>
      </c>
      <c r="B1923" s="25">
        <v>0</v>
      </c>
      <c r="C1923" s="25"/>
      <c r="D1923" s="56" t="s">
        <v>107</v>
      </c>
      <c r="E1923" s="426">
        <v>44712</v>
      </c>
      <c r="F1923" s="26" t="s">
        <v>356</v>
      </c>
      <c r="G1923" s="426">
        <v>44711</v>
      </c>
      <c r="H1923" s="35" t="s">
        <v>710</v>
      </c>
      <c r="I1923" s="21">
        <v>25376000</v>
      </c>
      <c r="J1923" s="21"/>
      <c r="K1923" s="22">
        <v>0</v>
      </c>
      <c r="L1923" s="23"/>
      <c r="M1923" s="22">
        <v>0</v>
      </c>
      <c r="N1923" s="74">
        <v>0</v>
      </c>
      <c r="O1923" s="22">
        <v>0</v>
      </c>
      <c r="P1923" s="21">
        <v>25376000</v>
      </c>
      <c r="S1923" s="108" t="b">
        <f>OR(COUNTIF(Tabla2[[#This Row],[PROVEEDOR]],"*"&amp;'Palabra no opera'!$A$2&amp;"*"))</f>
        <v>0</v>
      </c>
      <c r="T1923" s="139">
        <f>+$W$5-Tabla2[[#This Row],[FECHA DE FACTURACIÓN]]</f>
        <v>580</v>
      </c>
      <c r="U1923" t="str">
        <f>+IF(Tabla2[[#This Row],[dias de credito]]&gt;=Tabla2[[#This Row],[PLAZO Días]],"venc", "No venc")</f>
        <v>venc</v>
      </c>
      <c r="V1923" t="str">
        <f>+IF(Tabla2[[#This Row],[FECHA DE PAGO]]&gt;0,"pagada","por pagar")</f>
        <v>pagada</v>
      </c>
      <c r="W1923" s="141" t="str">
        <f>+IF(AND(Tabla2[[#This Row],[venc]]="venc",Tabla2[[#This Row],[Columna1]]="por pagar"),"vencida","no")</f>
        <v>no</v>
      </c>
    </row>
    <row r="1924" spans="1:23" ht="15.6" hidden="1" x14ac:dyDescent="0.3">
      <c r="A1924" s="20">
        <v>30</v>
      </c>
      <c r="B1924" s="25">
        <v>0</v>
      </c>
      <c r="C1924" s="25"/>
      <c r="D1924" s="56" t="s">
        <v>186</v>
      </c>
      <c r="E1924" s="426">
        <v>44712</v>
      </c>
      <c r="F1924" s="26" t="s">
        <v>76</v>
      </c>
      <c r="G1924" s="426">
        <v>44669</v>
      </c>
      <c r="H1924" s="35" t="s">
        <v>600</v>
      </c>
      <c r="I1924" s="21">
        <v>2642854</v>
      </c>
      <c r="J1924" s="21"/>
      <c r="K1924" s="22">
        <v>502142.26</v>
      </c>
      <c r="L1924" s="23">
        <v>0.05</v>
      </c>
      <c r="M1924" s="22">
        <v>132142.70000000001</v>
      </c>
      <c r="N1924" s="74">
        <v>2.5000000000000001E-2</v>
      </c>
      <c r="O1924" s="22">
        <v>66071.350000000006</v>
      </c>
      <c r="P1924" s="21">
        <v>2946782.2099999995</v>
      </c>
      <c r="S1924" s="108" t="b">
        <f>OR(COUNTIF(Tabla2[[#This Row],[PROVEEDOR]],"*"&amp;'Palabra no opera'!$A$2&amp;"*"))</f>
        <v>0</v>
      </c>
      <c r="T1924" s="139">
        <f>+$W$5-Tabla2[[#This Row],[FECHA DE FACTURACIÓN]]</f>
        <v>622</v>
      </c>
      <c r="U1924" t="str">
        <f>+IF(Tabla2[[#This Row],[dias de credito]]&gt;=Tabla2[[#This Row],[PLAZO Días]],"venc", "No venc")</f>
        <v>venc</v>
      </c>
      <c r="V1924" t="str">
        <f>+IF(Tabla2[[#This Row],[FECHA DE PAGO]]&gt;0,"pagada","por pagar")</f>
        <v>pagada</v>
      </c>
      <c r="W1924" s="141" t="str">
        <f>+IF(AND(Tabla2[[#This Row],[venc]]="venc",Tabla2[[#This Row],[Columna1]]="por pagar"),"vencida","no")</f>
        <v>no</v>
      </c>
    </row>
    <row r="1925" spans="1:23" ht="15.6" hidden="1" x14ac:dyDescent="0.3">
      <c r="A1925" s="20">
        <v>30</v>
      </c>
      <c r="B1925" s="25">
        <v>0</v>
      </c>
      <c r="C1925" s="25"/>
      <c r="D1925" s="56" t="s">
        <v>186</v>
      </c>
      <c r="E1925" s="426">
        <v>44712</v>
      </c>
      <c r="F1925" s="26" t="s">
        <v>76</v>
      </c>
      <c r="G1925" s="426">
        <v>44651</v>
      </c>
      <c r="H1925" s="35" t="s">
        <v>593</v>
      </c>
      <c r="I1925" s="21">
        <v>-1920170</v>
      </c>
      <c r="J1925" s="21"/>
      <c r="K1925" s="22">
        <v>-364832.3</v>
      </c>
      <c r="L1925" s="23">
        <v>0.05</v>
      </c>
      <c r="M1925" s="22">
        <v>-96008.5</v>
      </c>
      <c r="N1925" s="74">
        <v>2.5000000000000001E-2</v>
      </c>
      <c r="O1925" s="22">
        <v>-48004.25</v>
      </c>
      <c r="P1925" s="21">
        <v>-2140989.5499999998</v>
      </c>
      <c r="S1925" s="108" t="b">
        <f>OR(COUNTIF(Tabla2[[#This Row],[PROVEEDOR]],"*"&amp;'Palabra no opera'!$A$2&amp;"*"))</f>
        <v>0</v>
      </c>
      <c r="T1925" s="139">
        <f>+$W$5-Tabla2[[#This Row],[FECHA DE FACTURACIÓN]]</f>
        <v>640</v>
      </c>
      <c r="U1925" t="str">
        <f>+IF(Tabla2[[#This Row],[dias de credito]]&gt;=Tabla2[[#This Row],[PLAZO Días]],"venc", "No venc")</f>
        <v>venc</v>
      </c>
      <c r="V1925" t="str">
        <f>+IF(Tabla2[[#This Row],[FECHA DE PAGO]]&gt;0,"pagada","por pagar")</f>
        <v>pagada</v>
      </c>
      <c r="W1925" s="141" t="str">
        <f>+IF(AND(Tabla2[[#This Row],[venc]]="venc",Tabla2[[#This Row],[Columna1]]="por pagar"),"vencida","no")</f>
        <v>no</v>
      </c>
    </row>
    <row r="1926" spans="1:23" ht="15.6" hidden="1" x14ac:dyDescent="0.3">
      <c r="A1926" s="20">
        <v>30</v>
      </c>
      <c r="B1926" s="25">
        <v>0</v>
      </c>
      <c r="C1926" s="25"/>
      <c r="D1926" s="56" t="s">
        <v>186</v>
      </c>
      <c r="E1926" s="426">
        <v>44712</v>
      </c>
      <c r="F1926" s="26" t="s">
        <v>76</v>
      </c>
      <c r="G1926" s="426">
        <v>44639</v>
      </c>
      <c r="H1926" s="35" t="s">
        <v>442</v>
      </c>
      <c r="I1926" s="21">
        <v>23357104</v>
      </c>
      <c r="J1926" s="21"/>
      <c r="K1926" s="22">
        <v>4437849.76</v>
      </c>
      <c r="L1926" s="23">
        <v>0.05</v>
      </c>
      <c r="M1926" s="22">
        <v>1167855.2</v>
      </c>
      <c r="N1926" s="74">
        <v>2.5000000000000001E-2</v>
      </c>
      <c r="O1926" s="22">
        <v>583927.6</v>
      </c>
      <c r="P1926" s="21">
        <v>26043170.959999997</v>
      </c>
      <c r="S1926" s="108" t="b">
        <f>OR(COUNTIF(Tabla2[[#This Row],[PROVEEDOR]],"*"&amp;'Palabra no opera'!$A$2&amp;"*"))</f>
        <v>0</v>
      </c>
      <c r="T1926" s="139">
        <f>+$W$5-Tabla2[[#This Row],[FECHA DE FACTURACIÓN]]</f>
        <v>652</v>
      </c>
      <c r="U1926" t="str">
        <f>+IF(Tabla2[[#This Row],[dias de credito]]&gt;=Tabla2[[#This Row],[PLAZO Días]],"venc", "No venc")</f>
        <v>venc</v>
      </c>
      <c r="V1926" t="str">
        <f>+IF(Tabla2[[#This Row],[FECHA DE PAGO]]&gt;0,"pagada","por pagar")</f>
        <v>pagada</v>
      </c>
      <c r="W1926" s="141" t="str">
        <f>+IF(AND(Tabla2[[#This Row],[venc]]="venc",Tabla2[[#This Row],[Columna1]]="por pagar"),"vencida","no")</f>
        <v>no</v>
      </c>
    </row>
    <row r="1927" spans="1:23" ht="15.6" hidden="1" x14ac:dyDescent="0.3">
      <c r="A1927" s="20">
        <v>30</v>
      </c>
      <c r="B1927" s="25">
        <v>342000</v>
      </c>
      <c r="C1927" s="25"/>
      <c r="D1927" s="56" t="s">
        <v>107</v>
      </c>
      <c r="E1927" s="426">
        <v>44707</v>
      </c>
      <c r="F1927" s="26" t="s">
        <v>344</v>
      </c>
      <c r="G1927" s="426">
        <v>44707</v>
      </c>
      <c r="H1927" s="35" t="s">
        <v>1035</v>
      </c>
      <c r="I1927" s="21">
        <v>275500</v>
      </c>
      <c r="J1927" s="21"/>
      <c r="K1927" s="22">
        <v>0</v>
      </c>
      <c r="L1927" s="23"/>
      <c r="M1927" s="22">
        <v>0</v>
      </c>
      <c r="N1927" s="74">
        <v>0</v>
      </c>
      <c r="O1927" s="22">
        <v>0</v>
      </c>
      <c r="P1927" s="21">
        <v>275500</v>
      </c>
      <c r="S1927" s="108" t="b">
        <f>OR(COUNTIF(Tabla2[[#This Row],[PROVEEDOR]],"*"&amp;'Palabra no opera'!$A$2&amp;"*"))</f>
        <v>0</v>
      </c>
      <c r="T1927" s="139">
        <f>+$W$5-Tabla2[[#This Row],[FECHA DE FACTURACIÓN]]</f>
        <v>584</v>
      </c>
      <c r="U1927" t="str">
        <f>+IF(Tabla2[[#This Row],[dias de credito]]&gt;=Tabla2[[#This Row],[PLAZO Días]],"venc", "No venc")</f>
        <v>venc</v>
      </c>
      <c r="V1927" t="str">
        <f>+IF(Tabla2[[#This Row],[FECHA DE PAGO]]&gt;0,"pagada","por pagar")</f>
        <v>pagada</v>
      </c>
      <c r="W1927" s="141" t="str">
        <f>+IF(AND(Tabla2[[#This Row],[venc]]="venc",Tabla2[[#This Row],[Columna1]]="por pagar"),"vencida","no")</f>
        <v>no</v>
      </c>
    </row>
    <row r="1928" spans="1:23" ht="15.6" hidden="1" x14ac:dyDescent="0.3">
      <c r="A1928" s="20">
        <v>30</v>
      </c>
      <c r="B1928" s="25">
        <v>0</v>
      </c>
      <c r="C1928" s="25"/>
      <c r="D1928" s="56" t="s">
        <v>107</v>
      </c>
      <c r="E1928" s="426">
        <v>44707</v>
      </c>
      <c r="F1928" s="26" t="s">
        <v>390</v>
      </c>
      <c r="G1928" s="426">
        <v>44707</v>
      </c>
      <c r="H1928" s="35"/>
      <c r="I1928" s="21">
        <v>1000000</v>
      </c>
      <c r="J1928" s="21"/>
      <c r="K1928" s="22">
        <v>0</v>
      </c>
      <c r="L1928" s="23"/>
      <c r="M1928" s="22">
        <v>0</v>
      </c>
      <c r="N1928" s="74">
        <v>0</v>
      </c>
      <c r="O1928" s="22">
        <v>0</v>
      </c>
      <c r="P1928" s="21">
        <v>1000000</v>
      </c>
      <c r="S1928" s="108" t="b">
        <f>OR(COUNTIF(Tabla2[[#This Row],[PROVEEDOR]],"*"&amp;'Palabra no opera'!$A$2&amp;"*"))</f>
        <v>0</v>
      </c>
      <c r="T1928" s="139">
        <f>+$W$5-Tabla2[[#This Row],[FECHA DE FACTURACIÓN]]</f>
        <v>584</v>
      </c>
      <c r="U1928" t="str">
        <f>+IF(Tabla2[[#This Row],[dias de credito]]&gt;=Tabla2[[#This Row],[PLAZO Días]],"venc", "No venc")</f>
        <v>venc</v>
      </c>
      <c r="V1928" t="str">
        <f>+IF(Tabla2[[#This Row],[FECHA DE PAGO]]&gt;0,"pagada","por pagar")</f>
        <v>pagada</v>
      </c>
      <c r="W1928" s="141" t="str">
        <f>+IF(AND(Tabla2[[#This Row],[venc]]="venc",Tabla2[[#This Row],[Columna1]]="por pagar"),"vencida","no")</f>
        <v>no</v>
      </c>
    </row>
    <row r="1929" spans="1:23" ht="15.6" hidden="1" x14ac:dyDescent="0.3">
      <c r="A1929" s="20">
        <v>30</v>
      </c>
      <c r="B1929" s="25">
        <v>0</v>
      </c>
      <c r="C1929" s="25"/>
      <c r="D1929" s="56" t="s">
        <v>226</v>
      </c>
      <c r="E1929" s="426">
        <v>44707</v>
      </c>
      <c r="F1929" s="26" t="s">
        <v>636</v>
      </c>
      <c r="G1929" s="426">
        <v>44704</v>
      </c>
      <c r="H1929" s="35" t="s">
        <v>689</v>
      </c>
      <c r="I1929" s="21">
        <v>1650000</v>
      </c>
      <c r="J1929" s="21"/>
      <c r="K1929" s="22">
        <v>313500</v>
      </c>
      <c r="L1929" s="23"/>
      <c r="M1929" s="22">
        <v>0</v>
      </c>
      <c r="N1929" s="74">
        <v>0.11</v>
      </c>
      <c r="O1929" s="22">
        <v>181500</v>
      </c>
      <c r="P1929" s="21">
        <v>1782000</v>
      </c>
      <c r="S1929" s="108" t="b">
        <f>OR(COUNTIF(Tabla2[[#This Row],[PROVEEDOR]],"*"&amp;'Palabra no opera'!$A$2&amp;"*"))</f>
        <v>1</v>
      </c>
      <c r="T1929" s="139">
        <f>+$W$5-Tabla2[[#This Row],[FECHA DE FACTURACIÓN]]</f>
        <v>587</v>
      </c>
      <c r="U1929" t="str">
        <f>+IF(Tabla2[[#This Row],[dias de credito]]&gt;=Tabla2[[#This Row],[PLAZO Días]],"venc", "No venc")</f>
        <v>venc</v>
      </c>
      <c r="V1929" t="str">
        <f>+IF(Tabla2[[#This Row],[FECHA DE PAGO]]&gt;0,"pagada","por pagar")</f>
        <v>pagada</v>
      </c>
      <c r="W1929" s="141" t="str">
        <f>+IF(AND(Tabla2[[#This Row],[venc]]="venc",Tabla2[[#This Row],[Columna1]]="por pagar"),"vencida","no")</f>
        <v>no</v>
      </c>
    </row>
    <row r="1930" spans="1:23" ht="15.6" hidden="1" x14ac:dyDescent="0.3">
      <c r="A1930" s="20">
        <v>30</v>
      </c>
      <c r="B1930" s="25">
        <v>0</v>
      </c>
      <c r="C1930" s="25"/>
      <c r="D1930" s="56" t="s">
        <v>185</v>
      </c>
      <c r="E1930" s="426">
        <v>44707</v>
      </c>
      <c r="F1930" s="26" t="s">
        <v>628</v>
      </c>
      <c r="G1930" s="426">
        <v>44682</v>
      </c>
      <c r="H1930" s="35">
        <v>10533</v>
      </c>
      <c r="I1930" s="21">
        <v>1649859</v>
      </c>
      <c r="J1930" s="21"/>
      <c r="K1930" s="22">
        <v>0</v>
      </c>
      <c r="L1930" s="23"/>
      <c r="M1930" s="22">
        <v>0</v>
      </c>
      <c r="N1930" s="74">
        <v>0</v>
      </c>
      <c r="O1930" s="22">
        <v>0</v>
      </c>
      <c r="P1930" s="21">
        <v>1649859</v>
      </c>
      <c r="S1930" s="108" t="b">
        <f>OR(COUNTIF(Tabla2[[#This Row],[PROVEEDOR]],"*"&amp;'Palabra no opera'!$A$2&amp;"*"))</f>
        <v>1</v>
      </c>
      <c r="T1930" s="139">
        <f>+$W$5-Tabla2[[#This Row],[FECHA DE FACTURACIÓN]]</f>
        <v>609</v>
      </c>
      <c r="U1930" t="str">
        <f>+IF(Tabla2[[#This Row],[dias de credito]]&gt;=Tabla2[[#This Row],[PLAZO Días]],"venc", "No venc")</f>
        <v>venc</v>
      </c>
      <c r="V1930" t="str">
        <f>+IF(Tabla2[[#This Row],[FECHA DE PAGO]]&gt;0,"pagada","por pagar")</f>
        <v>pagada</v>
      </c>
      <c r="W1930" s="141" t="str">
        <f>+IF(AND(Tabla2[[#This Row],[venc]]="venc",Tabla2[[#This Row],[Columna1]]="por pagar"),"vencida","no")</f>
        <v>no</v>
      </c>
    </row>
    <row r="1931" spans="1:23" ht="15.6" hidden="1" x14ac:dyDescent="0.3">
      <c r="A1931" s="20">
        <v>30</v>
      </c>
      <c r="B1931" s="25">
        <v>0</v>
      </c>
      <c r="C1931" s="25"/>
      <c r="D1931" s="56" t="s">
        <v>260</v>
      </c>
      <c r="E1931" s="426">
        <v>44707</v>
      </c>
      <c r="F1931" s="26" t="s">
        <v>635</v>
      </c>
      <c r="G1931" s="426">
        <v>44682</v>
      </c>
      <c r="H1931" s="35">
        <v>3118</v>
      </c>
      <c r="I1931" s="21">
        <v>3002200</v>
      </c>
      <c r="J1931" s="21"/>
      <c r="K1931" s="22">
        <v>0</v>
      </c>
      <c r="L1931" s="23"/>
      <c r="M1931" s="22">
        <v>0</v>
      </c>
      <c r="N1931" s="74">
        <v>3.5000000000000003E-2</v>
      </c>
      <c r="O1931" s="22">
        <v>105077.00000000001</v>
      </c>
      <c r="P1931" s="21">
        <v>2897123</v>
      </c>
      <c r="S1931" s="108" t="b">
        <f>OR(COUNTIF(Tabla2[[#This Row],[PROVEEDOR]],"*"&amp;'Palabra no opera'!$A$2&amp;"*"))</f>
        <v>1</v>
      </c>
      <c r="T1931" s="139">
        <f>+$W$5-Tabla2[[#This Row],[FECHA DE FACTURACIÓN]]</f>
        <v>609</v>
      </c>
      <c r="U1931" t="str">
        <f>+IF(Tabla2[[#This Row],[dias de credito]]&gt;=Tabla2[[#This Row],[PLAZO Días]],"venc", "No venc")</f>
        <v>venc</v>
      </c>
      <c r="V1931" t="str">
        <f>+IF(Tabla2[[#This Row],[FECHA DE PAGO]]&gt;0,"pagada","por pagar")</f>
        <v>pagada</v>
      </c>
      <c r="W1931" s="141" t="str">
        <f>+IF(AND(Tabla2[[#This Row],[venc]]="venc",Tabla2[[#This Row],[Columna1]]="por pagar"),"vencida","no")</f>
        <v>no</v>
      </c>
    </row>
    <row r="1932" spans="1:23" ht="15.6" hidden="1" x14ac:dyDescent="0.3">
      <c r="A1932" s="20">
        <v>30</v>
      </c>
      <c r="B1932" s="25">
        <v>0</v>
      </c>
      <c r="C1932" s="25"/>
      <c r="D1932" s="56" t="s">
        <v>1116</v>
      </c>
      <c r="E1932" s="426">
        <v>44707</v>
      </c>
      <c r="F1932" s="26" t="s">
        <v>638</v>
      </c>
      <c r="G1932" s="426">
        <v>44682</v>
      </c>
      <c r="H1932" s="35" t="s">
        <v>695</v>
      </c>
      <c r="I1932" s="21">
        <v>-12815</v>
      </c>
      <c r="J1932" s="21"/>
      <c r="K1932" s="22">
        <v>-2434.85</v>
      </c>
      <c r="L1932" s="23"/>
      <c r="M1932" s="22">
        <v>0</v>
      </c>
      <c r="N1932" s="74">
        <v>0</v>
      </c>
      <c r="O1932" s="22">
        <v>0</v>
      </c>
      <c r="P1932" s="21">
        <v>-15249.85</v>
      </c>
      <c r="S1932" s="108" t="b">
        <f>OR(COUNTIF(Tabla2[[#This Row],[PROVEEDOR]],"*"&amp;'Palabra no opera'!$A$2&amp;"*"))</f>
        <v>1</v>
      </c>
      <c r="T1932" s="139">
        <f>+$W$5-Tabla2[[#This Row],[FECHA DE FACTURACIÓN]]</f>
        <v>609</v>
      </c>
      <c r="U1932" t="str">
        <f>+IF(Tabla2[[#This Row],[dias de credito]]&gt;=Tabla2[[#This Row],[PLAZO Días]],"venc", "No venc")</f>
        <v>venc</v>
      </c>
      <c r="V1932" t="str">
        <f>+IF(Tabla2[[#This Row],[FECHA DE PAGO]]&gt;0,"pagada","por pagar")</f>
        <v>pagada</v>
      </c>
      <c r="W1932" s="141" t="str">
        <f>+IF(AND(Tabla2[[#This Row],[venc]]="venc",Tabla2[[#This Row],[Columna1]]="por pagar"),"vencida","no")</f>
        <v>no</v>
      </c>
    </row>
    <row r="1933" spans="1:23" ht="15.6" hidden="1" x14ac:dyDescent="0.3">
      <c r="A1933" s="20">
        <v>30</v>
      </c>
      <c r="B1933" s="25">
        <v>0</v>
      </c>
      <c r="C1933" s="25"/>
      <c r="D1933" s="56" t="s">
        <v>1116</v>
      </c>
      <c r="E1933" s="426">
        <v>44707</v>
      </c>
      <c r="F1933" s="26" t="s">
        <v>638</v>
      </c>
      <c r="G1933" s="426">
        <v>44682</v>
      </c>
      <c r="H1933" s="35" t="s">
        <v>700</v>
      </c>
      <c r="I1933" s="21">
        <v>5105</v>
      </c>
      <c r="J1933" s="21"/>
      <c r="K1933" s="22">
        <v>969.95</v>
      </c>
      <c r="L1933" s="23"/>
      <c r="M1933" s="22">
        <v>0</v>
      </c>
      <c r="N1933" s="74">
        <v>3.5000000000000003E-2</v>
      </c>
      <c r="O1933" s="22">
        <v>178.67500000000001</v>
      </c>
      <c r="P1933" s="21">
        <v>5896.2749999999996</v>
      </c>
      <c r="S1933" s="108" t="b">
        <f>OR(COUNTIF(Tabla2[[#This Row],[PROVEEDOR]],"*"&amp;'Palabra no opera'!$A$2&amp;"*"))</f>
        <v>1</v>
      </c>
      <c r="T1933" s="139">
        <f>+$W$5-Tabla2[[#This Row],[FECHA DE FACTURACIÓN]]</f>
        <v>609</v>
      </c>
      <c r="U1933" t="str">
        <f>+IF(Tabla2[[#This Row],[dias de credito]]&gt;=Tabla2[[#This Row],[PLAZO Días]],"venc", "No venc")</f>
        <v>venc</v>
      </c>
      <c r="V1933" t="str">
        <f>+IF(Tabla2[[#This Row],[FECHA DE PAGO]]&gt;0,"pagada","por pagar")</f>
        <v>pagada</v>
      </c>
      <c r="W1933" s="141" t="str">
        <f>+IF(AND(Tabla2[[#This Row],[venc]]="venc",Tabla2[[#This Row],[Columna1]]="por pagar"),"vencida","no")</f>
        <v>no</v>
      </c>
    </row>
    <row r="1934" spans="1:23" ht="15.6" hidden="1" x14ac:dyDescent="0.3">
      <c r="A1934" s="20">
        <v>30</v>
      </c>
      <c r="B1934" s="25">
        <v>0</v>
      </c>
      <c r="C1934" s="25"/>
      <c r="D1934" s="56" t="s">
        <v>1116</v>
      </c>
      <c r="E1934" s="426">
        <v>44707</v>
      </c>
      <c r="F1934" s="26" t="s">
        <v>638</v>
      </c>
      <c r="G1934" s="426">
        <v>44682</v>
      </c>
      <c r="H1934" s="35" t="s">
        <v>699</v>
      </c>
      <c r="I1934" s="21">
        <v>3958317</v>
      </c>
      <c r="J1934" s="21"/>
      <c r="K1934" s="22">
        <v>752080.23</v>
      </c>
      <c r="L1934" s="23"/>
      <c r="M1934" s="22">
        <v>0</v>
      </c>
      <c r="N1934" s="74">
        <v>3.5000000000000003E-2</v>
      </c>
      <c r="O1934" s="22">
        <v>138541.095</v>
      </c>
      <c r="P1934" s="21">
        <v>4571856.1350000007</v>
      </c>
      <c r="S1934" s="108" t="b">
        <f>OR(COUNTIF(Tabla2[[#This Row],[PROVEEDOR]],"*"&amp;'Palabra no opera'!$A$2&amp;"*"))</f>
        <v>1</v>
      </c>
      <c r="T1934" s="139">
        <f>+$W$5-Tabla2[[#This Row],[FECHA DE FACTURACIÓN]]</f>
        <v>609</v>
      </c>
      <c r="U1934" t="str">
        <f>+IF(Tabla2[[#This Row],[dias de credito]]&gt;=Tabla2[[#This Row],[PLAZO Días]],"venc", "No venc")</f>
        <v>venc</v>
      </c>
      <c r="V1934" t="str">
        <f>+IF(Tabla2[[#This Row],[FECHA DE PAGO]]&gt;0,"pagada","por pagar")</f>
        <v>pagada</v>
      </c>
      <c r="W1934" s="141" t="str">
        <f>+IF(AND(Tabla2[[#This Row],[venc]]="venc",Tabla2[[#This Row],[Columna1]]="por pagar"),"vencida","no")</f>
        <v>no</v>
      </c>
    </row>
    <row r="1935" spans="1:23" ht="15.6" hidden="1" x14ac:dyDescent="0.3">
      <c r="A1935" s="20">
        <v>30</v>
      </c>
      <c r="B1935" s="25">
        <v>0</v>
      </c>
      <c r="C1935" s="25"/>
      <c r="D1935" s="56" t="s">
        <v>193</v>
      </c>
      <c r="E1935" s="426">
        <v>44707</v>
      </c>
      <c r="F1935" s="26" t="s">
        <v>651</v>
      </c>
      <c r="G1935" s="426">
        <v>44682</v>
      </c>
      <c r="H1935" s="35">
        <v>4923</v>
      </c>
      <c r="I1935" s="21">
        <v>215356</v>
      </c>
      <c r="J1935" s="21"/>
      <c r="K1935" s="22">
        <v>40917.64</v>
      </c>
      <c r="L1935" s="23"/>
      <c r="M1935" s="22">
        <v>0</v>
      </c>
      <c r="N1935" s="74">
        <v>3.5000000000000003E-2</v>
      </c>
      <c r="O1935" s="22">
        <v>7537.4600000000009</v>
      </c>
      <c r="P1935" s="21">
        <v>248736.18000000002</v>
      </c>
      <c r="S1935" s="108" t="b">
        <f>OR(COUNTIF(Tabla2[[#This Row],[PROVEEDOR]],"*"&amp;'Palabra no opera'!$A$2&amp;"*"))</f>
        <v>1</v>
      </c>
      <c r="T1935" s="139">
        <f>+$W$5-Tabla2[[#This Row],[FECHA DE FACTURACIÓN]]</f>
        <v>609</v>
      </c>
      <c r="U1935" t="str">
        <f>+IF(Tabla2[[#This Row],[dias de credito]]&gt;=Tabla2[[#This Row],[PLAZO Días]],"venc", "No venc")</f>
        <v>venc</v>
      </c>
      <c r="V1935" t="str">
        <f>+IF(Tabla2[[#This Row],[FECHA DE PAGO]]&gt;0,"pagada","por pagar")</f>
        <v>pagada</v>
      </c>
      <c r="W1935" s="141" t="str">
        <f>+IF(AND(Tabla2[[#This Row],[venc]]="venc",Tabla2[[#This Row],[Columna1]]="por pagar"),"vencida","no")</f>
        <v>no</v>
      </c>
    </row>
    <row r="1936" spans="1:23" ht="15.6" hidden="1" x14ac:dyDescent="0.3">
      <c r="A1936" s="20">
        <v>20</v>
      </c>
      <c r="B1936" s="25">
        <v>0</v>
      </c>
      <c r="C1936" s="25"/>
      <c r="D1936" s="56" t="s">
        <v>201</v>
      </c>
      <c r="E1936" s="426">
        <v>44707</v>
      </c>
      <c r="F1936" s="26" t="s">
        <v>652</v>
      </c>
      <c r="G1936" s="426">
        <v>44682</v>
      </c>
      <c r="H1936" s="35">
        <v>43002</v>
      </c>
      <c r="I1936" s="21">
        <v>4730000</v>
      </c>
      <c r="J1936" s="21"/>
      <c r="K1936" s="22">
        <v>898700</v>
      </c>
      <c r="L1936" s="23"/>
      <c r="M1936" s="22">
        <v>0</v>
      </c>
      <c r="N1936" s="74">
        <v>3.5000000000000003E-2</v>
      </c>
      <c r="O1936" s="22">
        <v>165550.00000000003</v>
      </c>
      <c r="P1936" s="21">
        <v>5463150</v>
      </c>
      <c r="S1936" s="108" t="b">
        <f>OR(COUNTIF(Tabla2[[#This Row],[PROVEEDOR]],"*"&amp;'Palabra no opera'!$A$2&amp;"*"))</f>
        <v>1</v>
      </c>
      <c r="T1936" s="139">
        <f>+$W$5-Tabla2[[#This Row],[FECHA DE FACTURACIÓN]]</f>
        <v>609</v>
      </c>
      <c r="U1936" t="str">
        <f>+IF(Tabla2[[#This Row],[dias de credito]]&gt;=Tabla2[[#This Row],[PLAZO Días]],"venc", "No venc")</f>
        <v>venc</v>
      </c>
      <c r="V1936" t="str">
        <f>+IF(Tabla2[[#This Row],[FECHA DE PAGO]]&gt;0,"pagada","por pagar")</f>
        <v>pagada</v>
      </c>
      <c r="W1936" s="141" t="str">
        <f>+IF(AND(Tabla2[[#This Row],[venc]]="venc",Tabla2[[#This Row],[Columna1]]="por pagar"),"vencida","no")</f>
        <v>no</v>
      </c>
    </row>
    <row r="1937" spans="1:23" ht="15.6" hidden="1" x14ac:dyDescent="0.3">
      <c r="A1937" s="20">
        <v>30</v>
      </c>
      <c r="B1937" s="25">
        <v>0</v>
      </c>
      <c r="C1937" s="25"/>
      <c r="D1937" s="56" t="s">
        <v>175</v>
      </c>
      <c r="E1937" s="426">
        <v>44707</v>
      </c>
      <c r="F1937" s="26" t="s">
        <v>49</v>
      </c>
      <c r="G1937" s="426">
        <v>44678</v>
      </c>
      <c r="H1937" s="35">
        <v>6844</v>
      </c>
      <c r="I1937" s="21">
        <v>700840.2</v>
      </c>
      <c r="J1937" s="21"/>
      <c r="K1937" s="22">
        <v>133159.63800000001</v>
      </c>
      <c r="L1937" s="23"/>
      <c r="M1937" s="22">
        <v>0</v>
      </c>
      <c r="N1937" s="74">
        <v>0</v>
      </c>
      <c r="O1937" s="22">
        <v>0</v>
      </c>
      <c r="P1937" s="21">
        <v>833999.83799999999</v>
      </c>
      <c r="S1937" s="108" t="b">
        <f>OR(COUNTIF(Tabla2[[#This Row],[PROVEEDOR]],"*"&amp;'Palabra no opera'!$A$2&amp;"*"))</f>
        <v>0</v>
      </c>
      <c r="T1937" s="139">
        <f>+$W$5-Tabla2[[#This Row],[FECHA DE FACTURACIÓN]]</f>
        <v>613</v>
      </c>
      <c r="U1937" t="str">
        <f>+IF(Tabla2[[#This Row],[dias de credito]]&gt;=Tabla2[[#This Row],[PLAZO Días]],"venc", "No venc")</f>
        <v>venc</v>
      </c>
      <c r="V1937" t="str">
        <f>+IF(Tabla2[[#This Row],[FECHA DE PAGO]]&gt;0,"pagada","por pagar")</f>
        <v>pagada</v>
      </c>
      <c r="W1937" s="141" t="str">
        <f>+IF(AND(Tabla2[[#This Row],[venc]]="venc",Tabla2[[#This Row],[Columna1]]="por pagar"),"vencida","no")</f>
        <v>no</v>
      </c>
    </row>
    <row r="1938" spans="1:23" ht="15.6" hidden="1" x14ac:dyDescent="0.3">
      <c r="A1938" s="20">
        <v>30</v>
      </c>
      <c r="B1938" s="25">
        <v>229206</v>
      </c>
      <c r="C1938" s="25"/>
      <c r="D1938" s="56" t="s">
        <v>659</v>
      </c>
      <c r="E1938" s="426">
        <v>44707</v>
      </c>
      <c r="F1938" s="26" t="s">
        <v>95</v>
      </c>
      <c r="G1938" s="426">
        <v>44676</v>
      </c>
      <c r="H1938" s="35" t="s">
        <v>784</v>
      </c>
      <c r="I1938" s="21">
        <v>1793000</v>
      </c>
      <c r="J1938" s="21"/>
      <c r="K1938" s="22">
        <v>0</v>
      </c>
      <c r="L1938" s="23"/>
      <c r="M1938" s="22">
        <v>0</v>
      </c>
      <c r="N1938" s="74">
        <v>0</v>
      </c>
      <c r="O1938" s="22">
        <v>0</v>
      </c>
      <c r="P1938" s="21">
        <v>1793000</v>
      </c>
      <c r="S1938" s="108" t="b">
        <f>OR(COUNTIF(Tabla2[[#This Row],[PROVEEDOR]],"*"&amp;'Palabra no opera'!$A$2&amp;"*"))</f>
        <v>0</v>
      </c>
      <c r="T1938" s="139">
        <f>+$W$5-Tabla2[[#This Row],[FECHA DE FACTURACIÓN]]</f>
        <v>615</v>
      </c>
      <c r="U1938" t="str">
        <f>+IF(Tabla2[[#This Row],[dias de credito]]&gt;=Tabla2[[#This Row],[PLAZO Días]],"venc", "No venc")</f>
        <v>venc</v>
      </c>
      <c r="V1938" t="str">
        <f>+IF(Tabla2[[#This Row],[FECHA DE PAGO]]&gt;0,"pagada","por pagar")</f>
        <v>pagada</v>
      </c>
      <c r="W1938" s="141" t="str">
        <f>+IF(AND(Tabla2[[#This Row],[venc]]="venc",Tabla2[[#This Row],[Columna1]]="por pagar"),"vencida","no")</f>
        <v>no</v>
      </c>
    </row>
    <row r="1939" spans="1:23" ht="15.6" hidden="1" x14ac:dyDescent="0.3">
      <c r="A1939" s="20">
        <v>30</v>
      </c>
      <c r="B1939" s="25">
        <v>2950000</v>
      </c>
      <c r="C1939" s="25"/>
      <c r="D1939" s="56">
        <v>0</v>
      </c>
      <c r="E1939" s="426">
        <v>44706</v>
      </c>
      <c r="F1939" s="26" t="s">
        <v>703</v>
      </c>
      <c r="G1939" s="426">
        <v>44706</v>
      </c>
      <c r="H1939" s="35" t="s">
        <v>1034</v>
      </c>
      <c r="I1939" s="21">
        <v>744000</v>
      </c>
      <c r="J1939" s="21"/>
      <c r="K1939" s="22">
        <v>0</v>
      </c>
      <c r="L1939" s="23"/>
      <c r="M1939" s="22">
        <v>0</v>
      </c>
      <c r="N1939" s="74">
        <v>0</v>
      </c>
      <c r="O1939" s="22">
        <v>0</v>
      </c>
      <c r="P1939" s="21">
        <v>744000</v>
      </c>
      <c r="S1939" s="108" t="b">
        <f>OR(COUNTIF(Tabla2[[#This Row],[PROVEEDOR]],"*"&amp;'Palabra no opera'!$A$2&amp;"*"))</f>
        <v>0</v>
      </c>
      <c r="T1939" s="139">
        <f>+$W$5-Tabla2[[#This Row],[FECHA DE FACTURACIÓN]]</f>
        <v>585</v>
      </c>
      <c r="U1939" t="str">
        <f>+IF(Tabla2[[#This Row],[dias de credito]]&gt;=Tabla2[[#This Row],[PLAZO Días]],"venc", "No venc")</f>
        <v>venc</v>
      </c>
      <c r="V1939" t="str">
        <f>+IF(Tabla2[[#This Row],[FECHA DE PAGO]]&gt;0,"pagada","por pagar")</f>
        <v>pagada</v>
      </c>
      <c r="W1939" s="141" t="str">
        <f>+IF(AND(Tabla2[[#This Row],[venc]]="venc",Tabla2[[#This Row],[Columna1]]="por pagar"),"vencida","no")</f>
        <v>no</v>
      </c>
    </row>
    <row r="1940" spans="1:23" ht="15.6" hidden="1" x14ac:dyDescent="0.3">
      <c r="A1940" s="20">
        <v>30</v>
      </c>
      <c r="B1940" s="25">
        <v>0</v>
      </c>
      <c r="C1940" s="25"/>
      <c r="D1940" s="56" t="s">
        <v>942</v>
      </c>
      <c r="E1940" s="426">
        <v>44704</v>
      </c>
      <c r="F1940" s="26" t="s">
        <v>829</v>
      </c>
      <c r="G1940" s="426">
        <v>44704</v>
      </c>
      <c r="H1940" s="35" t="s">
        <v>687</v>
      </c>
      <c r="I1940" s="21">
        <v>52100</v>
      </c>
      <c r="J1940" s="21"/>
      <c r="K1940" s="22">
        <v>9899</v>
      </c>
      <c r="L1940" s="23"/>
      <c r="M1940" s="22">
        <v>0</v>
      </c>
      <c r="N1940" s="74">
        <v>0</v>
      </c>
      <c r="O1940" s="22">
        <v>0</v>
      </c>
      <c r="P1940" s="21">
        <v>61999</v>
      </c>
      <c r="S1940" s="108" t="b">
        <f>OR(COUNTIF(Tabla2[[#This Row],[PROVEEDOR]],"*"&amp;'Palabra no opera'!$A$2&amp;"*"))</f>
        <v>1</v>
      </c>
      <c r="T1940" s="139">
        <f>+$W$5-Tabla2[[#This Row],[FECHA DE FACTURACIÓN]]</f>
        <v>587</v>
      </c>
      <c r="U1940" t="str">
        <f>+IF(Tabla2[[#This Row],[dias de credito]]&gt;=Tabla2[[#This Row],[PLAZO Días]],"venc", "No venc")</f>
        <v>venc</v>
      </c>
      <c r="V1940" t="str">
        <f>+IF(Tabla2[[#This Row],[FECHA DE PAGO]]&gt;0,"pagada","por pagar")</f>
        <v>pagada</v>
      </c>
      <c r="W1940" s="141" t="str">
        <f>+IF(AND(Tabla2[[#This Row],[venc]]="venc",Tabla2[[#This Row],[Columna1]]="por pagar"),"vencida","no")</f>
        <v>no</v>
      </c>
    </row>
    <row r="1941" spans="1:23" ht="15.6" hidden="1" x14ac:dyDescent="0.3">
      <c r="A1941" s="20">
        <v>30</v>
      </c>
      <c r="B1941" s="25">
        <v>0</v>
      </c>
      <c r="C1941" s="25"/>
      <c r="D1941" s="56" t="s">
        <v>107</v>
      </c>
      <c r="E1941" s="426">
        <v>44704</v>
      </c>
      <c r="F1941" s="26" t="s">
        <v>356</v>
      </c>
      <c r="G1941" s="426">
        <v>44703</v>
      </c>
      <c r="H1941" s="35" t="s">
        <v>709</v>
      </c>
      <c r="I1941" s="21">
        <v>377597</v>
      </c>
      <c r="J1941" s="21"/>
      <c r="K1941" s="22">
        <v>0</v>
      </c>
      <c r="L1941" s="23"/>
      <c r="M1941" s="22">
        <v>0</v>
      </c>
      <c r="N1941" s="74">
        <v>0</v>
      </c>
      <c r="O1941" s="22">
        <v>0</v>
      </c>
      <c r="P1941" s="21">
        <v>377597</v>
      </c>
      <c r="S1941" s="108" t="b">
        <f>OR(COUNTIF(Tabla2[[#This Row],[PROVEEDOR]],"*"&amp;'Palabra no opera'!$A$2&amp;"*"))</f>
        <v>0</v>
      </c>
      <c r="T1941" s="139">
        <f>+$W$5-Tabla2[[#This Row],[FECHA DE FACTURACIÓN]]</f>
        <v>588</v>
      </c>
      <c r="U1941" t="str">
        <f>+IF(Tabla2[[#This Row],[dias de credito]]&gt;=Tabla2[[#This Row],[PLAZO Días]],"venc", "No venc")</f>
        <v>venc</v>
      </c>
      <c r="V1941" t="str">
        <f>+IF(Tabla2[[#This Row],[FECHA DE PAGO]]&gt;0,"pagada","por pagar")</f>
        <v>pagada</v>
      </c>
      <c r="W1941" s="141" t="str">
        <f>+IF(AND(Tabla2[[#This Row],[venc]]="venc",Tabla2[[#This Row],[Columna1]]="por pagar"),"vencida","no")</f>
        <v>no</v>
      </c>
    </row>
    <row r="1942" spans="1:23" ht="15.6" hidden="1" x14ac:dyDescent="0.3">
      <c r="A1942" s="20">
        <v>30</v>
      </c>
      <c r="B1942" s="25">
        <v>0</v>
      </c>
      <c r="C1942" s="25"/>
      <c r="D1942" s="56" t="s">
        <v>199</v>
      </c>
      <c r="E1942" s="426">
        <v>44704</v>
      </c>
      <c r="F1942" s="26" t="s">
        <v>1069</v>
      </c>
      <c r="G1942" s="426">
        <v>44672</v>
      </c>
      <c r="H1942" s="35" t="s">
        <v>598</v>
      </c>
      <c r="I1942" s="21">
        <v>161344.56</v>
      </c>
      <c r="J1942" s="21"/>
      <c r="K1942" s="22">
        <v>30655.466400000001</v>
      </c>
      <c r="L1942" s="23"/>
      <c r="M1942" s="22">
        <v>0</v>
      </c>
      <c r="N1942" s="74">
        <v>0</v>
      </c>
      <c r="O1942" s="22">
        <v>0</v>
      </c>
      <c r="P1942" s="21">
        <v>192000.0264</v>
      </c>
      <c r="S1942" s="108" t="b">
        <f>OR(COUNTIF(Tabla2[[#This Row],[PROVEEDOR]],"*"&amp;'Palabra no opera'!$A$2&amp;"*"))</f>
        <v>0</v>
      </c>
      <c r="T1942" s="139">
        <f>+$W$5-Tabla2[[#This Row],[FECHA DE FACTURACIÓN]]</f>
        <v>619</v>
      </c>
      <c r="U1942" t="str">
        <f>+IF(Tabla2[[#This Row],[dias de credito]]&gt;=Tabla2[[#This Row],[PLAZO Días]],"venc", "No venc")</f>
        <v>venc</v>
      </c>
      <c r="V1942" t="str">
        <f>+IF(Tabla2[[#This Row],[FECHA DE PAGO]]&gt;0,"pagada","por pagar")</f>
        <v>pagada</v>
      </c>
      <c r="W1942" s="141" t="str">
        <f>+IF(AND(Tabla2[[#This Row],[venc]]="venc",Tabla2[[#This Row],[Columna1]]="por pagar"),"vencida","no")</f>
        <v>no</v>
      </c>
    </row>
    <row r="1943" spans="1:23" ht="15.6" hidden="1" x14ac:dyDescent="0.3">
      <c r="A1943" s="20">
        <v>30</v>
      </c>
      <c r="B1943" s="25">
        <v>1316890.8900000001</v>
      </c>
      <c r="C1943" s="25"/>
      <c r="D1943" s="56" t="s">
        <v>188</v>
      </c>
      <c r="E1943" s="426">
        <v>44704</v>
      </c>
      <c r="F1943" s="26" t="s">
        <v>17</v>
      </c>
      <c r="G1943" s="426">
        <v>44670</v>
      </c>
      <c r="H1943" s="35">
        <v>1903629</v>
      </c>
      <c r="I1943" s="21">
        <v>1663470</v>
      </c>
      <c r="J1943" s="21"/>
      <c r="K1943" s="22">
        <v>316059.3</v>
      </c>
      <c r="L1943" s="23"/>
      <c r="M1943" s="22">
        <v>0</v>
      </c>
      <c r="N1943" s="74">
        <v>0</v>
      </c>
      <c r="O1943" s="22">
        <v>0</v>
      </c>
      <c r="P1943" s="21">
        <v>1979529.3</v>
      </c>
      <c r="S1943" s="108" t="b">
        <f>OR(COUNTIF(Tabla2[[#This Row],[PROVEEDOR]],"*"&amp;'Palabra no opera'!$A$2&amp;"*"))</f>
        <v>0</v>
      </c>
      <c r="T1943" s="139">
        <f>+$W$5-Tabla2[[#This Row],[FECHA DE FACTURACIÓN]]</f>
        <v>621</v>
      </c>
      <c r="U1943" t="str">
        <f>+IF(Tabla2[[#This Row],[dias de credito]]&gt;=Tabla2[[#This Row],[PLAZO Días]],"venc", "No venc")</f>
        <v>venc</v>
      </c>
      <c r="V1943" t="str">
        <f>+IF(Tabla2[[#This Row],[FECHA DE PAGO]]&gt;0,"pagada","por pagar")</f>
        <v>pagada</v>
      </c>
      <c r="W1943" s="141" t="str">
        <f>+IF(AND(Tabla2[[#This Row],[venc]]="venc",Tabla2[[#This Row],[Columna1]]="por pagar"),"vencida","no")</f>
        <v>no</v>
      </c>
    </row>
    <row r="1944" spans="1:23" ht="15.6" hidden="1" x14ac:dyDescent="0.3">
      <c r="A1944" s="20">
        <v>30</v>
      </c>
      <c r="B1944" s="25">
        <v>17870934.149999999</v>
      </c>
      <c r="C1944" s="25"/>
      <c r="D1944" s="56" t="s">
        <v>182</v>
      </c>
      <c r="E1944" s="426">
        <v>44704</v>
      </c>
      <c r="F1944" s="26" t="s">
        <v>18</v>
      </c>
      <c r="G1944" s="426">
        <v>44670</v>
      </c>
      <c r="H1944" s="35">
        <v>1052292</v>
      </c>
      <c r="I1944" s="21">
        <v>2216230.56</v>
      </c>
      <c r="J1944" s="21"/>
      <c r="K1944" s="22">
        <v>421083.8064</v>
      </c>
      <c r="L1944" s="23"/>
      <c r="M1944" s="22">
        <v>0</v>
      </c>
      <c r="N1944" s="74">
        <v>2.5000000000000001E-2</v>
      </c>
      <c r="O1944" s="22">
        <v>55405.764000000003</v>
      </c>
      <c r="P1944" s="21">
        <v>2581908.6024000002</v>
      </c>
      <c r="S1944" s="108" t="b">
        <f>OR(COUNTIF(Tabla2[[#This Row],[PROVEEDOR]],"*"&amp;'Palabra no opera'!$A$2&amp;"*"))</f>
        <v>0</v>
      </c>
      <c r="T1944" s="139">
        <f>+$W$5-Tabla2[[#This Row],[FECHA DE FACTURACIÓN]]</f>
        <v>621</v>
      </c>
      <c r="U1944" t="str">
        <f>+IF(Tabla2[[#This Row],[dias de credito]]&gt;=Tabla2[[#This Row],[PLAZO Días]],"venc", "No venc")</f>
        <v>venc</v>
      </c>
      <c r="V1944" t="str">
        <f>+IF(Tabla2[[#This Row],[FECHA DE PAGO]]&gt;0,"pagada","por pagar")</f>
        <v>pagada</v>
      </c>
      <c r="W1944" s="141" t="str">
        <f>+IF(AND(Tabla2[[#This Row],[venc]]="venc",Tabla2[[#This Row],[Columna1]]="por pagar"),"vencida","no")</f>
        <v>no</v>
      </c>
    </row>
    <row r="1945" spans="1:23" ht="15.6" hidden="1" x14ac:dyDescent="0.3">
      <c r="A1945" s="20">
        <v>30</v>
      </c>
      <c r="B1945" s="25">
        <v>10321993.199999999</v>
      </c>
      <c r="C1945" s="25"/>
      <c r="D1945" s="56" t="s">
        <v>189</v>
      </c>
      <c r="E1945" s="426">
        <v>44704</v>
      </c>
      <c r="F1945" s="26" t="s">
        <v>1068</v>
      </c>
      <c r="G1945" s="426">
        <v>44669</v>
      </c>
      <c r="H1945" s="35">
        <v>25352</v>
      </c>
      <c r="I1945" s="21">
        <v>640000</v>
      </c>
      <c r="J1945" s="21"/>
      <c r="K1945" s="22">
        <v>121600</v>
      </c>
      <c r="L1945" s="23"/>
      <c r="M1945" s="22">
        <v>0</v>
      </c>
      <c r="N1945" s="74">
        <v>0</v>
      </c>
      <c r="O1945" s="22">
        <v>0</v>
      </c>
      <c r="P1945" s="21">
        <v>761600</v>
      </c>
      <c r="S1945" s="108" t="b">
        <f>OR(COUNTIF(Tabla2[[#This Row],[PROVEEDOR]],"*"&amp;'Palabra no opera'!$A$2&amp;"*"))</f>
        <v>0</v>
      </c>
      <c r="T1945" s="139">
        <f>+$W$5-Tabla2[[#This Row],[FECHA DE FACTURACIÓN]]</f>
        <v>622</v>
      </c>
      <c r="U1945" t="str">
        <f>+IF(Tabla2[[#This Row],[dias de credito]]&gt;=Tabla2[[#This Row],[PLAZO Días]],"venc", "No venc")</f>
        <v>venc</v>
      </c>
      <c r="V1945" t="str">
        <f>+IF(Tabla2[[#This Row],[FECHA DE PAGO]]&gt;0,"pagada","por pagar")</f>
        <v>pagada</v>
      </c>
      <c r="W1945" s="141" t="str">
        <f>+IF(AND(Tabla2[[#This Row],[venc]]="venc",Tabla2[[#This Row],[Columna1]]="por pagar"),"vencida","no")</f>
        <v>no</v>
      </c>
    </row>
    <row r="1946" spans="1:23" ht="15.6" hidden="1" x14ac:dyDescent="0.3">
      <c r="A1946" s="20">
        <v>30</v>
      </c>
      <c r="B1946" s="25">
        <v>17870934.149999999</v>
      </c>
      <c r="C1946" s="25"/>
      <c r="D1946" s="56" t="s">
        <v>182</v>
      </c>
      <c r="E1946" s="426">
        <v>44704</v>
      </c>
      <c r="F1946" s="26" t="s">
        <v>18</v>
      </c>
      <c r="G1946" s="426">
        <v>44660</v>
      </c>
      <c r="H1946" s="35">
        <v>15</v>
      </c>
      <c r="I1946" s="21">
        <v>1083711.5</v>
      </c>
      <c r="J1946" s="21"/>
      <c r="K1946" s="22">
        <v>205905.185</v>
      </c>
      <c r="L1946" s="23"/>
      <c r="M1946" s="22">
        <v>0</v>
      </c>
      <c r="N1946" s="74">
        <v>2.5000000000000001E-2</v>
      </c>
      <c r="O1946" s="22">
        <v>27092.787500000002</v>
      </c>
      <c r="P1946" s="21">
        <v>1262523.8975</v>
      </c>
      <c r="S1946" s="108" t="b">
        <f>OR(COUNTIF(Tabla2[[#This Row],[PROVEEDOR]],"*"&amp;'Palabra no opera'!$A$2&amp;"*"))</f>
        <v>0</v>
      </c>
      <c r="T1946" s="139">
        <f>+$W$5-Tabla2[[#This Row],[FECHA DE FACTURACIÓN]]</f>
        <v>631</v>
      </c>
      <c r="U1946" t="str">
        <f>+IF(Tabla2[[#This Row],[dias de credito]]&gt;=Tabla2[[#This Row],[PLAZO Días]],"venc", "No venc")</f>
        <v>venc</v>
      </c>
      <c r="V1946" t="str">
        <f>+IF(Tabla2[[#This Row],[FECHA DE PAGO]]&gt;0,"pagada","por pagar")</f>
        <v>pagada</v>
      </c>
      <c r="W1946" s="141" t="str">
        <f>+IF(AND(Tabla2[[#This Row],[venc]]="venc",Tabla2[[#This Row],[Columna1]]="por pagar"),"vencida","no")</f>
        <v>no</v>
      </c>
    </row>
    <row r="1947" spans="1:23" ht="15.6" hidden="1" x14ac:dyDescent="0.3">
      <c r="A1947" s="20">
        <v>45</v>
      </c>
      <c r="B1947" s="25">
        <v>15770594</v>
      </c>
      <c r="C1947" s="25"/>
      <c r="D1947" s="56" t="s">
        <v>594</v>
      </c>
      <c r="E1947" s="426">
        <v>44704</v>
      </c>
      <c r="F1947" s="26" t="s">
        <v>19</v>
      </c>
      <c r="G1947" s="426">
        <v>44658</v>
      </c>
      <c r="H1947" s="35" t="s">
        <v>569</v>
      </c>
      <c r="I1947" s="21">
        <v>1503180</v>
      </c>
      <c r="J1947" s="21"/>
      <c r="K1947" s="22">
        <v>285604.2</v>
      </c>
      <c r="L1947" s="23"/>
      <c r="M1947" s="22">
        <v>0</v>
      </c>
      <c r="N1947" s="74">
        <v>0</v>
      </c>
      <c r="O1947" s="22">
        <v>0</v>
      </c>
      <c r="P1947" s="21">
        <v>1788784.2</v>
      </c>
      <c r="S1947" s="108" t="b">
        <f>OR(COUNTIF(Tabla2[[#This Row],[PROVEEDOR]],"*"&amp;'Palabra no opera'!$A$2&amp;"*"))</f>
        <v>0</v>
      </c>
      <c r="T1947" s="139">
        <f>+$W$5-Tabla2[[#This Row],[FECHA DE FACTURACIÓN]]</f>
        <v>633</v>
      </c>
      <c r="U1947" t="str">
        <f>+IF(Tabla2[[#This Row],[dias de credito]]&gt;=Tabla2[[#This Row],[PLAZO Días]],"venc", "No venc")</f>
        <v>venc</v>
      </c>
      <c r="V1947" t="str">
        <f>+IF(Tabla2[[#This Row],[FECHA DE PAGO]]&gt;0,"pagada","por pagar")</f>
        <v>pagada</v>
      </c>
      <c r="W1947" s="141" t="str">
        <f>+IF(AND(Tabla2[[#This Row],[venc]]="venc",Tabla2[[#This Row],[Columna1]]="por pagar"),"vencida","no")</f>
        <v>no</v>
      </c>
    </row>
    <row r="1948" spans="1:23" ht="15.6" hidden="1" x14ac:dyDescent="0.3">
      <c r="A1948" s="20">
        <v>30</v>
      </c>
      <c r="B1948" s="25">
        <v>18444236.894999996</v>
      </c>
      <c r="C1948" s="25"/>
      <c r="D1948" s="56" t="s">
        <v>731</v>
      </c>
      <c r="E1948" s="426">
        <v>44704</v>
      </c>
      <c r="F1948" s="26" t="s">
        <v>11</v>
      </c>
      <c r="G1948" s="426">
        <v>44657</v>
      </c>
      <c r="H1948" s="35" t="s">
        <v>571</v>
      </c>
      <c r="I1948" s="21">
        <v>5280000</v>
      </c>
      <c r="J1948" s="21"/>
      <c r="K1948" s="22">
        <v>1003200</v>
      </c>
      <c r="L1948" s="23"/>
      <c r="M1948" s="22">
        <v>0</v>
      </c>
      <c r="N1948" s="74">
        <v>2.5000000000000001E-2</v>
      </c>
      <c r="O1948" s="22">
        <v>132000</v>
      </c>
      <c r="P1948" s="21">
        <v>6151200</v>
      </c>
      <c r="S1948" s="108" t="b">
        <f>OR(COUNTIF(Tabla2[[#This Row],[PROVEEDOR]],"*"&amp;'Palabra no opera'!$A$2&amp;"*"))</f>
        <v>0</v>
      </c>
      <c r="T1948" s="139">
        <f>+$W$5-Tabla2[[#This Row],[FECHA DE FACTURACIÓN]]</f>
        <v>634</v>
      </c>
      <c r="U1948" t="str">
        <f>+IF(Tabla2[[#This Row],[dias de credito]]&gt;=Tabla2[[#This Row],[PLAZO Días]],"venc", "No venc")</f>
        <v>venc</v>
      </c>
      <c r="V1948" t="str">
        <f>+IF(Tabla2[[#This Row],[FECHA DE PAGO]]&gt;0,"pagada","por pagar")</f>
        <v>pagada</v>
      </c>
      <c r="W1948" s="141" t="str">
        <f>+IF(AND(Tabla2[[#This Row],[venc]]="venc",Tabla2[[#This Row],[Columna1]]="por pagar"),"vencida","no")</f>
        <v>no</v>
      </c>
    </row>
    <row r="1949" spans="1:23" ht="15.6" hidden="1" x14ac:dyDescent="0.3">
      <c r="A1949" s="20">
        <v>30</v>
      </c>
      <c r="B1949" s="25">
        <v>10321993.199999999</v>
      </c>
      <c r="C1949" s="25"/>
      <c r="D1949" s="56" t="s">
        <v>189</v>
      </c>
      <c r="E1949" s="426">
        <v>44704</v>
      </c>
      <c r="F1949" s="26" t="s">
        <v>1068</v>
      </c>
      <c r="G1949" s="426">
        <v>44650</v>
      </c>
      <c r="H1949" s="35">
        <v>25208</v>
      </c>
      <c r="I1949" s="21">
        <v>1728540</v>
      </c>
      <c r="J1949" s="21">
        <v>157140</v>
      </c>
      <c r="K1949" s="22">
        <v>298566</v>
      </c>
      <c r="L1949" s="23"/>
      <c r="M1949" s="22">
        <v>0</v>
      </c>
      <c r="N1949" s="74">
        <v>2.5000000000000001E-2</v>
      </c>
      <c r="O1949" s="22">
        <v>39285</v>
      </c>
      <c r="P1949" s="21">
        <v>1830681</v>
      </c>
      <c r="S1949" s="108" t="b">
        <f>OR(COUNTIF(Tabla2[[#This Row],[PROVEEDOR]],"*"&amp;'Palabra no opera'!$A$2&amp;"*"))</f>
        <v>0</v>
      </c>
      <c r="T1949" s="139">
        <f>+$W$5-Tabla2[[#This Row],[FECHA DE FACTURACIÓN]]</f>
        <v>641</v>
      </c>
      <c r="U1949" t="str">
        <f>+IF(Tabla2[[#This Row],[dias de credito]]&gt;=Tabla2[[#This Row],[PLAZO Días]],"venc", "No venc")</f>
        <v>venc</v>
      </c>
      <c r="V1949" t="str">
        <f>+IF(Tabla2[[#This Row],[FECHA DE PAGO]]&gt;0,"pagada","por pagar")</f>
        <v>pagada</v>
      </c>
      <c r="W1949" s="141" t="str">
        <f>+IF(AND(Tabla2[[#This Row],[venc]]="venc",Tabla2[[#This Row],[Columna1]]="por pagar"),"vencida","no")</f>
        <v>no</v>
      </c>
    </row>
    <row r="1950" spans="1:23" ht="15.6" hidden="1" x14ac:dyDescent="0.3">
      <c r="A1950" s="20">
        <v>30</v>
      </c>
      <c r="B1950" s="25">
        <v>0</v>
      </c>
      <c r="C1950" s="25"/>
      <c r="D1950" s="56" t="s">
        <v>107</v>
      </c>
      <c r="E1950" s="426">
        <v>44704</v>
      </c>
      <c r="F1950" s="26" t="s">
        <v>388</v>
      </c>
      <c r="G1950" s="426">
        <v>44624</v>
      </c>
      <c r="H1950" s="35" t="s">
        <v>462</v>
      </c>
      <c r="I1950" s="21">
        <v>6748000</v>
      </c>
      <c r="J1950" s="21"/>
      <c r="K1950" s="22">
        <v>0</v>
      </c>
      <c r="L1950" s="23"/>
      <c r="M1950" s="22">
        <v>0</v>
      </c>
      <c r="N1950" s="74">
        <v>0</v>
      </c>
      <c r="O1950" s="22">
        <v>0</v>
      </c>
      <c r="P1950" s="21">
        <v>6748000</v>
      </c>
      <c r="S1950" s="108" t="b">
        <f>OR(COUNTIF(Tabla2[[#This Row],[PROVEEDOR]],"*"&amp;'Palabra no opera'!$A$2&amp;"*"))</f>
        <v>0</v>
      </c>
      <c r="T1950" s="139">
        <f>+$W$5-Tabla2[[#This Row],[FECHA DE FACTURACIÓN]]</f>
        <v>667</v>
      </c>
      <c r="U1950" t="str">
        <f>+IF(Tabla2[[#This Row],[dias de credito]]&gt;=Tabla2[[#This Row],[PLAZO Días]],"venc", "No venc")</f>
        <v>venc</v>
      </c>
      <c r="V1950" t="str">
        <f>+IF(Tabla2[[#This Row],[FECHA DE PAGO]]&gt;0,"pagada","por pagar")</f>
        <v>pagada</v>
      </c>
      <c r="W1950" s="141" t="str">
        <f>+IF(AND(Tabla2[[#This Row],[venc]]="venc",Tabla2[[#This Row],[Columna1]]="por pagar"),"vencida","no")</f>
        <v>no</v>
      </c>
    </row>
    <row r="1951" spans="1:23" ht="15.6" hidden="1" x14ac:dyDescent="0.3">
      <c r="A1951" s="20">
        <v>30</v>
      </c>
      <c r="B1951" s="25">
        <v>0</v>
      </c>
      <c r="C1951" s="25"/>
      <c r="D1951" s="56" t="s">
        <v>107</v>
      </c>
      <c r="E1951" s="426">
        <v>44704</v>
      </c>
      <c r="F1951" s="26" t="s">
        <v>388</v>
      </c>
      <c r="G1951" s="426">
        <v>44607</v>
      </c>
      <c r="H1951" s="35" t="s">
        <v>473</v>
      </c>
      <c r="I1951" s="21">
        <v>710000</v>
      </c>
      <c r="J1951" s="21"/>
      <c r="K1951" s="22">
        <v>0</v>
      </c>
      <c r="L1951" s="23"/>
      <c r="M1951" s="22">
        <v>0</v>
      </c>
      <c r="N1951" s="74">
        <v>0</v>
      </c>
      <c r="O1951" s="22">
        <v>0</v>
      </c>
      <c r="P1951" s="21">
        <v>710000</v>
      </c>
      <c r="S1951" s="108" t="b">
        <f>OR(COUNTIF(Tabla2[[#This Row],[PROVEEDOR]],"*"&amp;'Palabra no opera'!$A$2&amp;"*"))</f>
        <v>0</v>
      </c>
      <c r="T1951" s="139">
        <f>+$W$5-Tabla2[[#This Row],[FECHA DE FACTURACIÓN]]</f>
        <v>684</v>
      </c>
      <c r="U1951" t="str">
        <f>+IF(Tabla2[[#This Row],[dias de credito]]&gt;=Tabla2[[#This Row],[PLAZO Días]],"venc", "No venc")</f>
        <v>venc</v>
      </c>
      <c r="V1951" t="str">
        <f>+IF(Tabla2[[#This Row],[FECHA DE PAGO]]&gt;0,"pagada","por pagar")</f>
        <v>pagada</v>
      </c>
      <c r="W1951" s="141" t="str">
        <f>+IF(AND(Tabla2[[#This Row],[venc]]="venc",Tabla2[[#This Row],[Columna1]]="por pagar"),"vencida","no")</f>
        <v>no</v>
      </c>
    </row>
    <row r="1952" spans="1:23" ht="15.6" hidden="1" x14ac:dyDescent="0.3">
      <c r="A1952" s="20">
        <v>30</v>
      </c>
      <c r="B1952" s="25">
        <v>0</v>
      </c>
      <c r="C1952" s="25"/>
      <c r="D1952" s="56" t="s">
        <v>942</v>
      </c>
      <c r="E1952" s="426">
        <v>44704</v>
      </c>
      <c r="F1952" s="26" t="s">
        <v>21</v>
      </c>
      <c r="G1952" s="426">
        <v>44587</v>
      </c>
      <c r="H1952" s="35" t="s">
        <v>489</v>
      </c>
      <c r="I1952" s="21">
        <v>0</v>
      </c>
      <c r="J1952" s="21"/>
      <c r="K1952" s="22">
        <v>0</v>
      </c>
      <c r="L1952" s="23"/>
      <c r="M1952" s="22">
        <v>0</v>
      </c>
      <c r="N1952" s="74">
        <v>0</v>
      </c>
      <c r="O1952" s="22">
        <v>0</v>
      </c>
      <c r="P1952" s="21">
        <v>-34393</v>
      </c>
      <c r="S1952" s="108" t="b">
        <f>OR(COUNTIF(Tabla2[[#This Row],[PROVEEDOR]],"*"&amp;'Palabra no opera'!$A$2&amp;"*"))</f>
        <v>0</v>
      </c>
      <c r="T1952" s="139">
        <f>+$W$5-Tabla2[[#This Row],[FECHA DE FACTURACIÓN]]</f>
        <v>704</v>
      </c>
      <c r="U1952" t="str">
        <f>+IF(Tabla2[[#This Row],[dias de credito]]&gt;=Tabla2[[#This Row],[PLAZO Días]],"venc", "No venc")</f>
        <v>venc</v>
      </c>
      <c r="V1952" t="str">
        <f>+IF(Tabla2[[#This Row],[FECHA DE PAGO]]&gt;0,"pagada","por pagar")</f>
        <v>pagada</v>
      </c>
      <c r="W1952" s="141" t="str">
        <f>+IF(AND(Tabla2[[#This Row],[venc]]="venc",Tabla2[[#This Row],[Columna1]]="por pagar"),"vencida","no")</f>
        <v>no</v>
      </c>
    </row>
    <row r="1953" spans="1:23" ht="15.6" hidden="1" x14ac:dyDescent="0.3">
      <c r="A1953" s="20">
        <v>30</v>
      </c>
      <c r="B1953" s="25">
        <v>0</v>
      </c>
      <c r="C1953" s="25"/>
      <c r="D1953" s="56" t="s">
        <v>107</v>
      </c>
      <c r="E1953" s="426">
        <v>44701</v>
      </c>
      <c r="F1953" s="26" t="s">
        <v>378</v>
      </c>
      <c r="G1953" s="426">
        <v>44701</v>
      </c>
      <c r="H1953" s="35" t="s">
        <v>905</v>
      </c>
      <c r="I1953" s="21">
        <v>1240000</v>
      </c>
      <c r="J1953" s="21"/>
      <c r="K1953" s="22">
        <v>0</v>
      </c>
      <c r="L1953" s="23"/>
      <c r="M1953" s="22">
        <v>0</v>
      </c>
      <c r="N1953" s="74">
        <v>0</v>
      </c>
      <c r="O1953" s="22">
        <v>0</v>
      </c>
      <c r="P1953" s="21">
        <v>1240000</v>
      </c>
      <c r="S1953" s="108" t="b">
        <f>OR(COUNTIF(Tabla2[[#This Row],[PROVEEDOR]],"*"&amp;'Palabra no opera'!$A$2&amp;"*"))</f>
        <v>0</v>
      </c>
      <c r="T1953" s="139">
        <f>+$W$5-Tabla2[[#This Row],[FECHA DE FACTURACIÓN]]</f>
        <v>590</v>
      </c>
      <c r="U1953" t="str">
        <f>+IF(Tabla2[[#This Row],[dias de credito]]&gt;=Tabla2[[#This Row],[PLAZO Días]],"venc", "No venc")</f>
        <v>venc</v>
      </c>
      <c r="V1953" t="str">
        <f>+IF(Tabla2[[#This Row],[FECHA DE PAGO]]&gt;0,"pagada","por pagar")</f>
        <v>pagada</v>
      </c>
      <c r="W1953" s="141" t="str">
        <f>+IF(AND(Tabla2[[#This Row],[venc]]="venc",Tabla2[[#This Row],[Columna1]]="por pagar"),"vencida","no")</f>
        <v>no</v>
      </c>
    </row>
    <row r="1954" spans="1:23" ht="15.6" hidden="1" x14ac:dyDescent="0.3">
      <c r="A1954" s="20">
        <v>30</v>
      </c>
      <c r="B1954" s="25">
        <v>121187115</v>
      </c>
      <c r="C1954" s="25"/>
      <c r="D1954" s="56" t="s">
        <v>233</v>
      </c>
      <c r="E1954" s="426">
        <v>44701</v>
      </c>
      <c r="F1954" s="26" t="s">
        <v>31</v>
      </c>
      <c r="G1954" s="426">
        <v>44629</v>
      </c>
      <c r="H1954" s="35">
        <v>56143</v>
      </c>
      <c r="I1954" s="21">
        <v>39058718</v>
      </c>
      <c r="J1954" s="21"/>
      <c r="K1954" s="22">
        <v>0</v>
      </c>
      <c r="L1954" s="23"/>
      <c r="M1954" s="22">
        <v>0</v>
      </c>
      <c r="N1954" s="74">
        <v>0</v>
      </c>
      <c r="O1954" s="22">
        <v>0</v>
      </c>
      <c r="P1954" s="21">
        <v>39058718</v>
      </c>
      <c r="S1954" s="108" t="b">
        <f>OR(COUNTIF(Tabla2[[#This Row],[PROVEEDOR]],"*"&amp;'Palabra no opera'!$A$2&amp;"*"))</f>
        <v>0</v>
      </c>
      <c r="T1954" s="139">
        <f>+$W$5-Tabla2[[#This Row],[FECHA DE FACTURACIÓN]]</f>
        <v>662</v>
      </c>
      <c r="U1954" t="str">
        <f>+IF(Tabla2[[#This Row],[dias de credito]]&gt;=Tabla2[[#This Row],[PLAZO Días]],"venc", "No venc")</f>
        <v>venc</v>
      </c>
      <c r="V1954" t="str">
        <f>+IF(Tabla2[[#This Row],[FECHA DE PAGO]]&gt;0,"pagada","por pagar")</f>
        <v>pagada</v>
      </c>
      <c r="W1954" s="141" t="str">
        <f>+IF(AND(Tabla2[[#This Row],[venc]]="venc",Tabla2[[#This Row],[Columna1]]="por pagar"),"vencida","no")</f>
        <v>no</v>
      </c>
    </row>
    <row r="1955" spans="1:23" ht="15.6" hidden="1" x14ac:dyDescent="0.3">
      <c r="A1955" s="20">
        <v>30</v>
      </c>
      <c r="B1955" s="25">
        <v>680000</v>
      </c>
      <c r="C1955" s="25"/>
      <c r="D1955" s="56" t="s">
        <v>177</v>
      </c>
      <c r="E1955" s="426">
        <v>44700</v>
      </c>
      <c r="F1955" s="26" t="s">
        <v>412</v>
      </c>
      <c r="G1955" s="426">
        <v>44669</v>
      </c>
      <c r="H1955" s="35" t="s">
        <v>1016</v>
      </c>
      <c r="I1955" s="21">
        <v>703500</v>
      </c>
      <c r="J1955" s="21"/>
      <c r="K1955" s="22">
        <v>0</v>
      </c>
      <c r="L1955" s="23"/>
      <c r="M1955" s="22">
        <v>0</v>
      </c>
      <c r="N1955" s="74">
        <v>0</v>
      </c>
      <c r="O1955" s="22">
        <v>0</v>
      </c>
      <c r="P1955" s="21">
        <v>703500</v>
      </c>
      <c r="S1955" s="108" t="b">
        <f>OR(COUNTIF(Tabla2[[#This Row],[PROVEEDOR]],"*"&amp;'Palabra no opera'!$A$2&amp;"*"))</f>
        <v>0</v>
      </c>
      <c r="T1955" s="139">
        <f>+$W$5-Tabla2[[#This Row],[FECHA DE FACTURACIÓN]]</f>
        <v>622</v>
      </c>
      <c r="U1955" t="str">
        <f>+IF(Tabla2[[#This Row],[dias de credito]]&gt;=Tabla2[[#This Row],[PLAZO Días]],"venc", "No venc")</f>
        <v>venc</v>
      </c>
      <c r="V1955" t="str">
        <f>+IF(Tabla2[[#This Row],[FECHA DE PAGO]]&gt;0,"pagada","por pagar")</f>
        <v>pagada</v>
      </c>
      <c r="W1955" s="141" t="str">
        <f>+IF(AND(Tabla2[[#This Row],[venc]]="venc",Tabla2[[#This Row],[Columna1]]="por pagar"),"vencida","no")</f>
        <v>no</v>
      </c>
    </row>
    <row r="1956" spans="1:23" ht="15.6" hidden="1" x14ac:dyDescent="0.3">
      <c r="A1956" s="20">
        <v>30</v>
      </c>
      <c r="B1956" s="25">
        <v>680000</v>
      </c>
      <c r="C1956" s="25"/>
      <c r="D1956" s="56" t="s">
        <v>177</v>
      </c>
      <c r="E1956" s="426">
        <v>44700</v>
      </c>
      <c r="F1956" s="26" t="s">
        <v>412</v>
      </c>
      <c r="G1956" s="426">
        <v>44669</v>
      </c>
      <c r="H1956" s="35" t="s">
        <v>1018</v>
      </c>
      <c r="I1956" s="21">
        <v>1054000</v>
      </c>
      <c r="J1956" s="21"/>
      <c r="K1956" s="22">
        <v>0</v>
      </c>
      <c r="L1956" s="23"/>
      <c r="M1956" s="22">
        <v>0</v>
      </c>
      <c r="N1956" s="74">
        <v>0</v>
      </c>
      <c r="O1956" s="22">
        <v>0</v>
      </c>
      <c r="P1956" s="21">
        <v>1054000</v>
      </c>
      <c r="S1956" s="108" t="b">
        <f>OR(COUNTIF(Tabla2[[#This Row],[PROVEEDOR]],"*"&amp;'Palabra no opera'!$A$2&amp;"*"))</f>
        <v>0</v>
      </c>
      <c r="T1956" s="139">
        <f>+$W$5-Tabla2[[#This Row],[FECHA DE FACTURACIÓN]]</f>
        <v>622</v>
      </c>
      <c r="U1956" t="str">
        <f>+IF(Tabla2[[#This Row],[dias de credito]]&gt;=Tabla2[[#This Row],[PLAZO Días]],"venc", "No venc")</f>
        <v>venc</v>
      </c>
      <c r="V1956" t="str">
        <f>+IF(Tabla2[[#This Row],[FECHA DE PAGO]]&gt;0,"pagada","por pagar")</f>
        <v>pagada</v>
      </c>
      <c r="W1956" s="141" t="str">
        <f>+IF(AND(Tabla2[[#This Row],[venc]]="venc",Tabla2[[#This Row],[Columna1]]="por pagar"),"vencida","no")</f>
        <v>no</v>
      </c>
    </row>
    <row r="1957" spans="1:23" ht="15.6" hidden="1" x14ac:dyDescent="0.3">
      <c r="A1957" s="20">
        <v>30</v>
      </c>
      <c r="B1957" s="25">
        <v>680000</v>
      </c>
      <c r="C1957" s="25"/>
      <c r="D1957" s="56" t="s">
        <v>177</v>
      </c>
      <c r="E1957" s="426">
        <v>44700</v>
      </c>
      <c r="F1957" s="26" t="s">
        <v>412</v>
      </c>
      <c r="G1957" s="426">
        <v>44669</v>
      </c>
      <c r="H1957" s="35" t="s">
        <v>1017</v>
      </c>
      <c r="I1957" s="21">
        <v>1341500</v>
      </c>
      <c r="J1957" s="21"/>
      <c r="K1957" s="22">
        <v>0</v>
      </c>
      <c r="L1957" s="23"/>
      <c r="M1957" s="22">
        <v>0</v>
      </c>
      <c r="N1957" s="74">
        <v>0</v>
      </c>
      <c r="O1957" s="22">
        <v>0</v>
      </c>
      <c r="P1957" s="21">
        <v>1341500</v>
      </c>
      <c r="S1957" s="108" t="b">
        <f>OR(COUNTIF(Tabla2[[#This Row],[PROVEEDOR]],"*"&amp;'Palabra no opera'!$A$2&amp;"*"))</f>
        <v>0</v>
      </c>
      <c r="T1957" s="139">
        <f>+$W$5-Tabla2[[#This Row],[FECHA DE FACTURACIÓN]]</f>
        <v>622</v>
      </c>
      <c r="U1957" t="str">
        <f>+IF(Tabla2[[#This Row],[dias de credito]]&gt;=Tabla2[[#This Row],[PLAZO Días]],"venc", "No venc")</f>
        <v>venc</v>
      </c>
      <c r="V1957" t="str">
        <f>+IF(Tabla2[[#This Row],[FECHA DE PAGO]]&gt;0,"pagada","por pagar")</f>
        <v>pagada</v>
      </c>
      <c r="W1957" s="141" t="str">
        <f>+IF(AND(Tabla2[[#This Row],[venc]]="venc",Tabla2[[#This Row],[Columna1]]="por pagar"),"vencida","no")</f>
        <v>no</v>
      </c>
    </row>
    <row r="1958" spans="1:23" ht="15.6" hidden="1" x14ac:dyDescent="0.3">
      <c r="A1958" s="20">
        <v>30</v>
      </c>
      <c r="B1958" s="25">
        <v>27189617.395</v>
      </c>
      <c r="C1958" s="25"/>
      <c r="D1958" s="56" t="s">
        <v>686</v>
      </c>
      <c r="E1958" s="426">
        <v>44699</v>
      </c>
      <c r="F1958" s="26" t="s">
        <v>77</v>
      </c>
      <c r="G1958" s="426">
        <v>44692</v>
      </c>
      <c r="H1958" s="35" t="s">
        <v>677</v>
      </c>
      <c r="I1958" s="21">
        <v>4704300</v>
      </c>
      <c r="J1958" s="21"/>
      <c r="K1958" s="22">
        <v>893817</v>
      </c>
      <c r="L1958" s="23"/>
      <c r="M1958" s="22">
        <v>0</v>
      </c>
      <c r="N1958" s="74">
        <v>2.5000000000000001E-2</v>
      </c>
      <c r="O1958" s="22">
        <v>117607.5</v>
      </c>
      <c r="P1958" s="21">
        <v>5480509.5</v>
      </c>
      <c r="S1958" s="108" t="b">
        <f>OR(COUNTIF(Tabla2[[#This Row],[PROVEEDOR]],"*"&amp;'Palabra no opera'!$A$2&amp;"*"))</f>
        <v>0</v>
      </c>
      <c r="T1958" s="139">
        <f>+$W$5-Tabla2[[#This Row],[FECHA DE FACTURACIÓN]]</f>
        <v>599</v>
      </c>
      <c r="U1958" t="str">
        <f>+IF(Tabla2[[#This Row],[dias de credito]]&gt;=Tabla2[[#This Row],[PLAZO Días]],"venc", "No venc")</f>
        <v>venc</v>
      </c>
      <c r="V1958" t="str">
        <f>+IF(Tabla2[[#This Row],[FECHA DE PAGO]]&gt;0,"pagada","por pagar")</f>
        <v>pagada</v>
      </c>
      <c r="W1958" s="141" t="str">
        <f>+IF(AND(Tabla2[[#This Row],[venc]]="venc",Tabla2[[#This Row],[Columna1]]="por pagar"),"vencida","no")</f>
        <v>no</v>
      </c>
    </row>
    <row r="1959" spans="1:23" ht="15.6" hidden="1" x14ac:dyDescent="0.3">
      <c r="A1959" s="20">
        <v>30</v>
      </c>
      <c r="B1959" s="25">
        <v>0</v>
      </c>
      <c r="C1959" s="25"/>
      <c r="D1959" s="56" t="s">
        <v>176</v>
      </c>
      <c r="E1959" s="426">
        <v>44699</v>
      </c>
      <c r="F1959" s="26" t="s">
        <v>967</v>
      </c>
      <c r="G1959" s="426">
        <v>44691</v>
      </c>
      <c r="H1959" s="35">
        <v>339</v>
      </c>
      <c r="I1959" s="21">
        <v>253000</v>
      </c>
      <c r="J1959" s="21"/>
      <c r="K1959" s="22">
        <v>0</v>
      </c>
      <c r="L1959" s="23"/>
      <c r="M1959" s="22">
        <v>0</v>
      </c>
      <c r="N1959" s="74">
        <v>0.01</v>
      </c>
      <c r="O1959" s="22">
        <v>2530</v>
      </c>
      <c r="P1959" s="21">
        <v>250470</v>
      </c>
      <c r="S1959" s="108" t="b">
        <f>OR(COUNTIF(Tabla2[[#This Row],[PROVEEDOR]],"*"&amp;'Palabra no opera'!$A$2&amp;"*"))</f>
        <v>0</v>
      </c>
      <c r="T1959" s="139">
        <f>+$W$5-Tabla2[[#This Row],[FECHA DE FACTURACIÓN]]</f>
        <v>600</v>
      </c>
      <c r="U1959" t="str">
        <f>+IF(Tabla2[[#This Row],[dias de credito]]&gt;=Tabla2[[#This Row],[PLAZO Días]],"venc", "No venc")</f>
        <v>venc</v>
      </c>
      <c r="V1959" t="str">
        <f>+IF(Tabla2[[#This Row],[FECHA DE PAGO]]&gt;0,"pagada","por pagar")</f>
        <v>pagada</v>
      </c>
      <c r="W1959" s="141" t="str">
        <f>+IF(AND(Tabla2[[#This Row],[venc]]="venc",Tabla2[[#This Row],[Columna1]]="por pagar"),"vencida","no")</f>
        <v>no</v>
      </c>
    </row>
    <row r="1960" spans="1:23" ht="15.6" hidden="1" x14ac:dyDescent="0.3">
      <c r="A1960" s="20">
        <v>30</v>
      </c>
      <c r="B1960" s="25">
        <v>0</v>
      </c>
      <c r="C1960" s="25"/>
      <c r="D1960" s="56" t="s">
        <v>368</v>
      </c>
      <c r="E1960" s="426">
        <v>44699</v>
      </c>
      <c r="F1960" s="26" t="s">
        <v>623</v>
      </c>
      <c r="G1960" s="426">
        <v>44682</v>
      </c>
      <c r="H1960" s="35" t="s">
        <v>666</v>
      </c>
      <c r="I1960" s="21">
        <v>9501</v>
      </c>
      <c r="J1960" s="21"/>
      <c r="K1960" s="22">
        <v>1805.19</v>
      </c>
      <c r="L1960" s="23"/>
      <c r="M1960" s="22">
        <v>0</v>
      </c>
      <c r="N1960" s="74">
        <v>0</v>
      </c>
      <c r="O1960" s="22">
        <v>0</v>
      </c>
      <c r="P1960" s="21">
        <v>11306.19</v>
      </c>
      <c r="S1960" s="108" t="b">
        <f>OR(COUNTIF(Tabla2[[#This Row],[PROVEEDOR]],"*"&amp;'Palabra no opera'!$A$2&amp;"*"))</f>
        <v>1</v>
      </c>
      <c r="T1960" s="139">
        <f>+$W$5-Tabla2[[#This Row],[FECHA DE FACTURACIÓN]]</f>
        <v>609</v>
      </c>
      <c r="U1960" t="str">
        <f>+IF(Tabla2[[#This Row],[dias de credito]]&gt;=Tabla2[[#This Row],[PLAZO Días]],"venc", "No venc")</f>
        <v>venc</v>
      </c>
      <c r="V1960" t="str">
        <f>+IF(Tabla2[[#This Row],[FECHA DE PAGO]]&gt;0,"pagada","por pagar")</f>
        <v>pagada</v>
      </c>
      <c r="W1960" s="141" t="str">
        <f>+IF(AND(Tabla2[[#This Row],[venc]]="venc",Tabla2[[#This Row],[Columna1]]="por pagar"),"vencida","no")</f>
        <v>no</v>
      </c>
    </row>
    <row r="1961" spans="1:23" ht="15.6" hidden="1" x14ac:dyDescent="0.3">
      <c r="A1961" s="20">
        <v>30</v>
      </c>
      <c r="B1961" s="25">
        <v>0</v>
      </c>
      <c r="C1961" s="25"/>
      <c r="D1961" s="56" t="s">
        <v>368</v>
      </c>
      <c r="E1961" s="426">
        <v>44699</v>
      </c>
      <c r="F1961" s="26" t="s">
        <v>623</v>
      </c>
      <c r="G1961" s="426">
        <v>44682</v>
      </c>
      <c r="H1961" s="35" t="s">
        <v>665</v>
      </c>
      <c r="I1961" s="21">
        <v>39533</v>
      </c>
      <c r="J1961" s="21"/>
      <c r="K1961" s="22">
        <v>7511.27</v>
      </c>
      <c r="L1961" s="23"/>
      <c r="M1961" s="22">
        <v>0</v>
      </c>
      <c r="N1961" s="74">
        <v>0</v>
      </c>
      <c r="O1961" s="22">
        <v>0</v>
      </c>
      <c r="P1961" s="21">
        <v>47044.270000000004</v>
      </c>
      <c r="S1961" s="108" t="b">
        <f>OR(COUNTIF(Tabla2[[#This Row],[PROVEEDOR]],"*"&amp;'Palabra no opera'!$A$2&amp;"*"))</f>
        <v>1</v>
      </c>
      <c r="T1961" s="139">
        <f>+$W$5-Tabla2[[#This Row],[FECHA DE FACTURACIÓN]]</f>
        <v>609</v>
      </c>
      <c r="U1961" t="str">
        <f>+IF(Tabla2[[#This Row],[dias de credito]]&gt;=Tabla2[[#This Row],[PLAZO Días]],"venc", "No venc")</f>
        <v>venc</v>
      </c>
      <c r="V1961" t="str">
        <f>+IF(Tabla2[[#This Row],[FECHA DE PAGO]]&gt;0,"pagada","por pagar")</f>
        <v>pagada</v>
      </c>
      <c r="W1961" s="141" t="str">
        <f>+IF(AND(Tabla2[[#This Row],[venc]]="venc",Tabla2[[#This Row],[Columna1]]="por pagar"),"vencida","no")</f>
        <v>no</v>
      </c>
    </row>
    <row r="1962" spans="1:23" ht="15.6" hidden="1" x14ac:dyDescent="0.3">
      <c r="A1962" s="20">
        <v>30</v>
      </c>
      <c r="B1962" s="25">
        <v>0</v>
      </c>
      <c r="C1962" s="25"/>
      <c r="D1962" s="56" t="s">
        <v>368</v>
      </c>
      <c r="E1962" s="426">
        <v>44699</v>
      </c>
      <c r="F1962" s="26" t="s">
        <v>623</v>
      </c>
      <c r="G1962" s="426">
        <v>44682</v>
      </c>
      <c r="H1962" s="35" t="s">
        <v>664</v>
      </c>
      <c r="I1962" s="21">
        <v>791781</v>
      </c>
      <c r="J1962" s="21"/>
      <c r="K1962" s="22">
        <v>150438.39000000001</v>
      </c>
      <c r="L1962" s="23"/>
      <c r="M1962" s="22">
        <v>0</v>
      </c>
      <c r="N1962" s="74">
        <v>0</v>
      </c>
      <c r="O1962" s="22">
        <v>0</v>
      </c>
      <c r="P1962" s="21">
        <v>942219.39</v>
      </c>
      <c r="S1962" s="108" t="b">
        <f>OR(COUNTIF(Tabla2[[#This Row],[PROVEEDOR]],"*"&amp;'Palabra no opera'!$A$2&amp;"*"))</f>
        <v>1</v>
      </c>
      <c r="T1962" s="139">
        <f>+$W$5-Tabla2[[#This Row],[FECHA DE FACTURACIÓN]]</f>
        <v>609</v>
      </c>
      <c r="U1962" t="str">
        <f>+IF(Tabla2[[#This Row],[dias de credito]]&gt;=Tabla2[[#This Row],[PLAZO Días]],"venc", "No venc")</f>
        <v>venc</v>
      </c>
      <c r="V1962" t="str">
        <f>+IF(Tabla2[[#This Row],[FECHA DE PAGO]]&gt;0,"pagada","por pagar")</f>
        <v>pagada</v>
      </c>
      <c r="W1962" s="141" t="str">
        <f>+IF(AND(Tabla2[[#This Row],[venc]]="venc",Tabla2[[#This Row],[Columna1]]="por pagar"),"vencida","no")</f>
        <v>no</v>
      </c>
    </row>
    <row r="1963" spans="1:23" ht="15.6" hidden="1" x14ac:dyDescent="0.3">
      <c r="A1963" s="20">
        <v>30</v>
      </c>
      <c r="B1963" s="25">
        <v>0</v>
      </c>
      <c r="C1963" s="25"/>
      <c r="D1963" s="56" t="s">
        <v>368</v>
      </c>
      <c r="E1963" s="426">
        <v>44699</v>
      </c>
      <c r="F1963" s="26" t="s">
        <v>623</v>
      </c>
      <c r="G1963" s="426">
        <v>44682</v>
      </c>
      <c r="H1963" s="35" t="s">
        <v>663</v>
      </c>
      <c r="I1963" s="21">
        <v>3294426</v>
      </c>
      <c r="J1963" s="21"/>
      <c r="K1963" s="22">
        <v>625940.94000000006</v>
      </c>
      <c r="L1963" s="23"/>
      <c r="M1963" s="22">
        <v>0</v>
      </c>
      <c r="N1963" s="74">
        <v>0</v>
      </c>
      <c r="O1963" s="22">
        <v>0</v>
      </c>
      <c r="P1963" s="21">
        <v>3920366.94</v>
      </c>
      <c r="S1963" s="108" t="b">
        <f>OR(COUNTIF(Tabla2[[#This Row],[PROVEEDOR]],"*"&amp;'Palabra no opera'!$A$2&amp;"*"))</f>
        <v>1</v>
      </c>
      <c r="T1963" s="139">
        <f>+$W$5-Tabla2[[#This Row],[FECHA DE FACTURACIÓN]]</f>
        <v>609</v>
      </c>
      <c r="U1963" t="str">
        <f>+IF(Tabla2[[#This Row],[dias de credito]]&gt;=Tabla2[[#This Row],[PLAZO Días]],"venc", "No venc")</f>
        <v>venc</v>
      </c>
      <c r="V1963" t="str">
        <f>+IF(Tabla2[[#This Row],[FECHA DE PAGO]]&gt;0,"pagada","por pagar")</f>
        <v>pagada</v>
      </c>
      <c r="W1963" s="141" t="str">
        <f>+IF(AND(Tabla2[[#This Row],[venc]]="venc",Tabla2[[#This Row],[Columna1]]="por pagar"),"vencida","no")</f>
        <v>no</v>
      </c>
    </row>
    <row r="1964" spans="1:23" ht="15.6" hidden="1" x14ac:dyDescent="0.3">
      <c r="A1964" s="20">
        <v>30</v>
      </c>
      <c r="B1964" s="25">
        <v>0</v>
      </c>
      <c r="C1964" s="25"/>
      <c r="D1964" s="56" t="s">
        <v>277</v>
      </c>
      <c r="E1964" s="426">
        <v>44699</v>
      </c>
      <c r="F1964" s="26" t="s">
        <v>248</v>
      </c>
      <c r="G1964" s="426">
        <v>44669</v>
      </c>
      <c r="H1964" s="35" t="s">
        <v>599</v>
      </c>
      <c r="I1964" s="21">
        <v>1887203.25</v>
      </c>
      <c r="J1964" s="21"/>
      <c r="K1964" s="22">
        <v>358568.61749999999</v>
      </c>
      <c r="L1964" s="23"/>
      <c r="M1964" s="22">
        <v>0</v>
      </c>
      <c r="N1964" s="74">
        <v>0</v>
      </c>
      <c r="O1964" s="22">
        <v>0</v>
      </c>
      <c r="P1964" s="21">
        <v>2245771.8675000002</v>
      </c>
      <c r="S1964" s="108" t="b">
        <f>OR(COUNTIF(Tabla2[[#This Row],[PROVEEDOR]],"*"&amp;'Palabra no opera'!$A$2&amp;"*"))</f>
        <v>0</v>
      </c>
      <c r="T1964" s="139">
        <f>+$W$5-Tabla2[[#This Row],[FECHA DE FACTURACIÓN]]</f>
        <v>622</v>
      </c>
      <c r="U1964" t="str">
        <f>+IF(Tabla2[[#This Row],[dias de credito]]&gt;=Tabla2[[#This Row],[PLAZO Días]],"venc", "No venc")</f>
        <v>venc</v>
      </c>
      <c r="V1964" t="str">
        <f>+IF(Tabla2[[#This Row],[FECHA DE PAGO]]&gt;0,"pagada","por pagar")</f>
        <v>pagada</v>
      </c>
      <c r="W1964" s="141" t="str">
        <f>+IF(AND(Tabla2[[#This Row],[venc]]="venc",Tabla2[[#This Row],[Columna1]]="por pagar"),"vencida","no")</f>
        <v>no</v>
      </c>
    </row>
    <row r="1965" spans="1:23" ht="15.6" hidden="1" x14ac:dyDescent="0.3">
      <c r="A1965" s="20">
        <v>30</v>
      </c>
      <c r="B1965" s="25">
        <v>229206</v>
      </c>
      <c r="C1965" s="25"/>
      <c r="D1965" s="56" t="s">
        <v>659</v>
      </c>
      <c r="E1965" s="426">
        <v>44699</v>
      </c>
      <c r="F1965" s="26" t="s">
        <v>95</v>
      </c>
      <c r="G1965" s="426">
        <v>44505</v>
      </c>
      <c r="H1965" s="35" t="s">
        <v>609</v>
      </c>
      <c r="I1965" s="21">
        <v>367873.4</v>
      </c>
      <c r="J1965" s="21"/>
      <c r="K1965" s="22">
        <v>0</v>
      </c>
      <c r="L1965" s="23"/>
      <c r="M1965" s="22">
        <v>0</v>
      </c>
      <c r="N1965" s="74">
        <v>0</v>
      </c>
      <c r="O1965" s="22">
        <v>0</v>
      </c>
      <c r="P1965" s="21">
        <v>367873.4</v>
      </c>
      <c r="S1965" s="108" t="b">
        <f>OR(COUNTIF(Tabla2[[#This Row],[PROVEEDOR]],"*"&amp;'Palabra no opera'!$A$2&amp;"*"))</f>
        <v>0</v>
      </c>
      <c r="T1965" s="139">
        <f>+$W$5-Tabla2[[#This Row],[FECHA DE FACTURACIÓN]]</f>
        <v>786</v>
      </c>
      <c r="U1965" t="str">
        <f>+IF(Tabla2[[#This Row],[dias de credito]]&gt;=Tabla2[[#This Row],[PLAZO Días]],"venc", "No venc")</f>
        <v>venc</v>
      </c>
      <c r="V1965" t="str">
        <f>+IF(Tabla2[[#This Row],[FECHA DE PAGO]]&gt;0,"pagada","por pagar")</f>
        <v>pagada</v>
      </c>
      <c r="W1965" s="141" t="str">
        <f>+IF(AND(Tabla2[[#This Row],[venc]]="venc",Tabla2[[#This Row],[Columna1]]="por pagar"),"vencida","no")</f>
        <v>no</v>
      </c>
    </row>
    <row r="1966" spans="1:23" ht="15.6" hidden="1" x14ac:dyDescent="0.3">
      <c r="A1966" s="20">
        <v>30</v>
      </c>
      <c r="B1966" s="25">
        <v>27189617.395</v>
      </c>
      <c r="C1966" s="25"/>
      <c r="D1966" s="56" t="s">
        <v>686</v>
      </c>
      <c r="E1966" s="426">
        <v>44699</v>
      </c>
      <c r="F1966" s="26" t="s">
        <v>77</v>
      </c>
      <c r="G1966" s="426">
        <v>44425</v>
      </c>
      <c r="H1966" s="35" t="s">
        <v>264</v>
      </c>
      <c r="I1966" s="21">
        <v>-358200</v>
      </c>
      <c r="J1966" s="21"/>
      <c r="K1966" s="22">
        <v>-68058</v>
      </c>
      <c r="L1966" s="23"/>
      <c r="M1966" s="22">
        <v>0</v>
      </c>
      <c r="N1966" s="74">
        <v>0</v>
      </c>
      <c r="O1966" s="22">
        <v>0</v>
      </c>
      <c r="P1966" s="21">
        <v>-417303</v>
      </c>
      <c r="S1966" s="108" t="b">
        <f>OR(COUNTIF(Tabla2[[#This Row],[PROVEEDOR]],"*"&amp;'Palabra no opera'!$A$2&amp;"*"))</f>
        <v>0</v>
      </c>
      <c r="T1966" s="139">
        <f>+$W$5-Tabla2[[#This Row],[FECHA DE FACTURACIÓN]]</f>
        <v>866</v>
      </c>
      <c r="U1966" t="str">
        <f>+IF(Tabla2[[#This Row],[dias de credito]]&gt;=Tabla2[[#This Row],[PLAZO Días]],"venc", "No venc")</f>
        <v>venc</v>
      </c>
      <c r="V1966" t="str">
        <f>+IF(Tabla2[[#This Row],[FECHA DE PAGO]]&gt;0,"pagada","por pagar")</f>
        <v>pagada</v>
      </c>
      <c r="W1966" s="141" t="str">
        <f>+IF(AND(Tabla2[[#This Row],[venc]]="venc",Tabla2[[#This Row],[Columna1]]="por pagar"),"vencida","no")</f>
        <v>no</v>
      </c>
    </row>
    <row r="1967" spans="1:23" ht="15.6" hidden="1" x14ac:dyDescent="0.3">
      <c r="A1967" s="20">
        <v>8</v>
      </c>
      <c r="B1967" s="25">
        <v>0</v>
      </c>
      <c r="C1967" s="25"/>
      <c r="D1967" s="56">
        <v>0</v>
      </c>
      <c r="E1967" s="426">
        <v>44698</v>
      </c>
      <c r="F1967" s="26" t="s">
        <v>676</v>
      </c>
      <c r="G1967" s="426">
        <v>44691</v>
      </c>
      <c r="H1967" s="35" t="s">
        <v>1026</v>
      </c>
      <c r="I1967" s="21">
        <v>608000</v>
      </c>
      <c r="J1967" s="21"/>
      <c r="K1967" s="22">
        <v>0</v>
      </c>
      <c r="L1967" s="23"/>
      <c r="M1967" s="22">
        <v>0</v>
      </c>
      <c r="N1967" s="74">
        <v>0</v>
      </c>
      <c r="O1967" s="22">
        <v>0</v>
      </c>
      <c r="P1967" s="21">
        <v>608000</v>
      </c>
      <c r="S1967" s="108" t="b">
        <f>OR(COUNTIF(Tabla2[[#This Row],[PROVEEDOR]],"*"&amp;'Palabra no opera'!$A$2&amp;"*"))</f>
        <v>0</v>
      </c>
      <c r="T1967" s="139">
        <f>+$W$5-Tabla2[[#This Row],[FECHA DE FACTURACIÓN]]</f>
        <v>600</v>
      </c>
      <c r="U1967" t="str">
        <f>+IF(Tabla2[[#This Row],[dias de credito]]&gt;=Tabla2[[#This Row],[PLAZO Días]],"venc", "No venc")</f>
        <v>venc</v>
      </c>
      <c r="V1967" t="str">
        <f>+IF(Tabla2[[#This Row],[FECHA DE PAGO]]&gt;0,"pagada","por pagar")</f>
        <v>pagada</v>
      </c>
      <c r="W1967" s="141" t="str">
        <f>+IF(AND(Tabla2[[#This Row],[venc]]="venc",Tabla2[[#This Row],[Columna1]]="por pagar"),"vencida","no")</f>
        <v>no</v>
      </c>
    </row>
    <row r="1968" spans="1:23" ht="15.6" hidden="1" x14ac:dyDescent="0.3">
      <c r="A1968" s="20">
        <v>8</v>
      </c>
      <c r="B1968" s="25">
        <v>0</v>
      </c>
      <c r="C1968" s="25"/>
      <c r="D1968" s="56">
        <v>0</v>
      </c>
      <c r="E1968" s="426">
        <v>44698</v>
      </c>
      <c r="F1968" s="26" t="s">
        <v>676</v>
      </c>
      <c r="G1968" s="426">
        <v>44691</v>
      </c>
      <c r="H1968" s="35" t="s">
        <v>1027</v>
      </c>
      <c r="I1968" s="21">
        <v>815000</v>
      </c>
      <c r="J1968" s="21"/>
      <c r="K1968" s="22">
        <v>0</v>
      </c>
      <c r="L1968" s="23"/>
      <c r="M1968" s="22">
        <v>0</v>
      </c>
      <c r="N1968" s="74">
        <v>0</v>
      </c>
      <c r="O1968" s="22">
        <v>0</v>
      </c>
      <c r="P1968" s="21">
        <v>815000</v>
      </c>
      <c r="S1968" s="108" t="b">
        <f>OR(COUNTIF(Tabla2[[#This Row],[PROVEEDOR]],"*"&amp;'Palabra no opera'!$A$2&amp;"*"))</f>
        <v>0</v>
      </c>
      <c r="T1968" s="139">
        <f>+$W$5-Tabla2[[#This Row],[FECHA DE FACTURACIÓN]]</f>
        <v>600</v>
      </c>
      <c r="U1968" t="str">
        <f>+IF(Tabla2[[#This Row],[dias de credito]]&gt;=Tabla2[[#This Row],[PLAZO Días]],"venc", "No venc")</f>
        <v>venc</v>
      </c>
      <c r="V1968" t="str">
        <f>+IF(Tabla2[[#This Row],[FECHA DE PAGO]]&gt;0,"pagada","por pagar")</f>
        <v>pagada</v>
      </c>
      <c r="W1968" s="141" t="str">
        <f>+IF(AND(Tabla2[[#This Row],[venc]]="venc",Tabla2[[#This Row],[Columna1]]="por pagar"),"vencida","no")</f>
        <v>no</v>
      </c>
    </row>
    <row r="1969" spans="1:23" ht="15.6" hidden="1" x14ac:dyDescent="0.3">
      <c r="A1969" s="20">
        <v>8</v>
      </c>
      <c r="B1969" s="25">
        <v>0</v>
      </c>
      <c r="C1969" s="25"/>
      <c r="D1969" s="56">
        <v>0</v>
      </c>
      <c r="E1969" s="426">
        <v>44698</v>
      </c>
      <c r="F1969" s="26" t="s">
        <v>676</v>
      </c>
      <c r="G1969" s="426">
        <v>44690</v>
      </c>
      <c r="H1969" s="35" t="s">
        <v>1025</v>
      </c>
      <c r="I1969" s="21">
        <v>111000</v>
      </c>
      <c r="J1969" s="21"/>
      <c r="K1969" s="22">
        <v>0</v>
      </c>
      <c r="L1969" s="23"/>
      <c r="M1969" s="22">
        <v>0</v>
      </c>
      <c r="N1969" s="74">
        <v>0</v>
      </c>
      <c r="O1969" s="22">
        <v>0</v>
      </c>
      <c r="P1969" s="21">
        <v>111000</v>
      </c>
      <c r="S1969" s="108" t="b">
        <f>OR(COUNTIF(Tabla2[[#This Row],[PROVEEDOR]],"*"&amp;'Palabra no opera'!$A$2&amp;"*"))</f>
        <v>0</v>
      </c>
      <c r="T1969" s="139">
        <f>+$W$5-Tabla2[[#This Row],[FECHA DE FACTURACIÓN]]</f>
        <v>601</v>
      </c>
      <c r="U1969" t="str">
        <f>+IF(Tabla2[[#This Row],[dias de credito]]&gt;=Tabla2[[#This Row],[PLAZO Días]],"venc", "No venc")</f>
        <v>venc</v>
      </c>
      <c r="V1969" t="str">
        <f>+IF(Tabla2[[#This Row],[FECHA DE PAGO]]&gt;0,"pagada","por pagar")</f>
        <v>pagada</v>
      </c>
      <c r="W1969" s="141" t="str">
        <f>+IF(AND(Tabla2[[#This Row],[venc]]="venc",Tabla2[[#This Row],[Columna1]]="por pagar"),"vencida","no")</f>
        <v>no</v>
      </c>
    </row>
    <row r="1970" spans="1:23" ht="15.6" hidden="1" x14ac:dyDescent="0.3">
      <c r="A1970" s="20">
        <v>30</v>
      </c>
      <c r="B1970" s="25">
        <v>0</v>
      </c>
      <c r="C1970" s="25"/>
      <c r="D1970" s="56" t="s">
        <v>109</v>
      </c>
      <c r="E1970" s="426">
        <v>44698</v>
      </c>
      <c r="F1970" s="26" t="s">
        <v>645</v>
      </c>
      <c r="G1970" s="426">
        <v>44682</v>
      </c>
      <c r="H1970" s="35"/>
      <c r="I1970" s="21">
        <v>326243</v>
      </c>
      <c r="J1970" s="21"/>
      <c r="K1970" s="22">
        <v>0</v>
      </c>
      <c r="L1970" s="23"/>
      <c r="M1970" s="22">
        <v>0</v>
      </c>
      <c r="N1970" s="74">
        <v>0</v>
      </c>
      <c r="O1970" s="22">
        <v>0</v>
      </c>
      <c r="P1970" s="21">
        <v>326243</v>
      </c>
      <c r="S1970" s="108" t="b">
        <f>OR(COUNTIF(Tabla2[[#This Row],[PROVEEDOR]],"*"&amp;'Palabra no opera'!$A$2&amp;"*"))</f>
        <v>1</v>
      </c>
      <c r="T1970" s="139">
        <f>+$W$5-Tabla2[[#This Row],[FECHA DE FACTURACIÓN]]</f>
        <v>609</v>
      </c>
      <c r="U1970" t="str">
        <f>+IF(Tabla2[[#This Row],[dias de credito]]&gt;=Tabla2[[#This Row],[PLAZO Días]],"venc", "No venc")</f>
        <v>venc</v>
      </c>
      <c r="V1970" t="str">
        <f>+IF(Tabla2[[#This Row],[FECHA DE PAGO]]&gt;0,"pagada","por pagar")</f>
        <v>pagada</v>
      </c>
      <c r="W1970" s="141" t="str">
        <f>+IF(AND(Tabla2[[#This Row],[venc]]="venc",Tabla2[[#This Row],[Columna1]]="por pagar"),"vencida","no")</f>
        <v>no</v>
      </c>
    </row>
    <row r="1971" spans="1:23" ht="15.6" hidden="1" x14ac:dyDescent="0.3">
      <c r="A1971" s="20">
        <v>30</v>
      </c>
      <c r="B1971" s="25">
        <v>1125118.8199999998</v>
      </c>
      <c r="C1971" s="25"/>
      <c r="D1971" s="56" t="s">
        <v>431</v>
      </c>
      <c r="E1971" s="426">
        <v>44698</v>
      </c>
      <c r="F1971" s="26" t="s">
        <v>279</v>
      </c>
      <c r="G1971" s="426">
        <v>44646</v>
      </c>
      <c r="H1971" s="35" t="s">
        <v>432</v>
      </c>
      <c r="I1971" s="21">
        <v>1494455</v>
      </c>
      <c r="J1971" s="21"/>
      <c r="K1971" s="22">
        <v>283946.45</v>
      </c>
      <c r="L1971" s="23"/>
      <c r="M1971" s="22">
        <v>0</v>
      </c>
      <c r="N1971" s="74">
        <v>2.5000000000000001E-2</v>
      </c>
      <c r="O1971" s="22">
        <v>37361.375</v>
      </c>
      <c r="P1971" s="21">
        <v>1741040.075</v>
      </c>
      <c r="S1971" s="108" t="b">
        <f>OR(COUNTIF(Tabla2[[#This Row],[PROVEEDOR]],"*"&amp;'Palabra no opera'!$A$2&amp;"*"))</f>
        <v>0</v>
      </c>
      <c r="T1971" s="139">
        <f>+$W$5-Tabla2[[#This Row],[FECHA DE FACTURACIÓN]]</f>
        <v>645</v>
      </c>
      <c r="U1971" t="str">
        <f>+IF(Tabla2[[#This Row],[dias de credito]]&gt;=Tabla2[[#This Row],[PLAZO Días]],"venc", "No venc")</f>
        <v>venc</v>
      </c>
      <c r="V1971" t="str">
        <f>+IF(Tabla2[[#This Row],[FECHA DE PAGO]]&gt;0,"pagada","por pagar")</f>
        <v>pagada</v>
      </c>
      <c r="W1971" s="141" t="str">
        <f>+IF(AND(Tabla2[[#This Row],[venc]]="venc",Tabla2[[#This Row],[Columna1]]="por pagar"),"vencida","no")</f>
        <v>no</v>
      </c>
    </row>
    <row r="1972" spans="1:23" ht="15.6" hidden="1" x14ac:dyDescent="0.3">
      <c r="A1972" s="20">
        <v>30</v>
      </c>
      <c r="B1972" s="25">
        <v>0</v>
      </c>
      <c r="C1972" s="25"/>
      <c r="D1972" s="56" t="s">
        <v>176</v>
      </c>
      <c r="E1972" s="426">
        <v>44697</v>
      </c>
      <c r="F1972" s="26" t="s">
        <v>966</v>
      </c>
      <c r="G1972" s="426">
        <v>44691</v>
      </c>
      <c r="H1972" s="35">
        <v>229</v>
      </c>
      <c r="I1972" s="21">
        <v>253000</v>
      </c>
      <c r="J1972" s="21"/>
      <c r="K1972" s="22">
        <v>0</v>
      </c>
      <c r="L1972" s="23"/>
      <c r="M1972" s="22">
        <v>0</v>
      </c>
      <c r="N1972" s="74">
        <v>0</v>
      </c>
      <c r="O1972" s="22">
        <v>0</v>
      </c>
      <c r="P1972" s="21">
        <v>253000</v>
      </c>
      <c r="S1972" s="108" t="b">
        <f>OR(COUNTIF(Tabla2[[#This Row],[PROVEEDOR]],"*"&amp;'Palabra no opera'!$A$2&amp;"*"))</f>
        <v>0</v>
      </c>
      <c r="T1972" s="139">
        <f>+$W$5-Tabla2[[#This Row],[FECHA DE FACTURACIÓN]]</f>
        <v>600</v>
      </c>
      <c r="U1972" t="str">
        <f>+IF(Tabla2[[#This Row],[dias de credito]]&gt;=Tabla2[[#This Row],[PLAZO Días]],"venc", "No venc")</f>
        <v>venc</v>
      </c>
      <c r="V1972" t="str">
        <f>+IF(Tabla2[[#This Row],[FECHA DE PAGO]]&gt;0,"pagada","por pagar")</f>
        <v>pagada</v>
      </c>
      <c r="W1972" s="141" t="str">
        <f>+IF(AND(Tabla2[[#This Row],[venc]]="venc",Tabla2[[#This Row],[Columna1]]="por pagar"),"vencida","no")</f>
        <v>no</v>
      </c>
    </row>
    <row r="1973" spans="1:23" ht="15.6" hidden="1" x14ac:dyDescent="0.3">
      <c r="A1973" s="20">
        <v>30</v>
      </c>
      <c r="B1973" s="25">
        <v>0</v>
      </c>
      <c r="C1973" s="25"/>
      <c r="D1973" s="56" t="s">
        <v>107</v>
      </c>
      <c r="E1973" s="426">
        <v>44695</v>
      </c>
      <c r="F1973" s="26" t="s">
        <v>354</v>
      </c>
      <c r="G1973" s="426">
        <v>44695</v>
      </c>
      <c r="H1973" s="35">
        <v>2403</v>
      </c>
      <c r="I1973" s="21">
        <v>600000</v>
      </c>
      <c r="J1973" s="21"/>
      <c r="K1973" s="22">
        <v>0</v>
      </c>
      <c r="L1973" s="23"/>
      <c r="M1973" s="22">
        <v>0</v>
      </c>
      <c r="N1973" s="74">
        <v>0</v>
      </c>
      <c r="O1973" s="22">
        <v>0</v>
      </c>
      <c r="P1973" s="21">
        <v>600000</v>
      </c>
      <c r="S1973" s="108" t="b">
        <f>OR(COUNTIF(Tabla2[[#This Row],[PROVEEDOR]],"*"&amp;'Palabra no opera'!$A$2&amp;"*"))</f>
        <v>0</v>
      </c>
      <c r="T1973" s="139">
        <f>+$W$5-Tabla2[[#This Row],[FECHA DE FACTURACIÓN]]</f>
        <v>596</v>
      </c>
      <c r="U1973" t="str">
        <f>+IF(Tabla2[[#This Row],[dias de credito]]&gt;=Tabla2[[#This Row],[PLAZO Días]],"venc", "No venc")</f>
        <v>venc</v>
      </c>
      <c r="V1973" t="str">
        <f>+IF(Tabla2[[#This Row],[FECHA DE PAGO]]&gt;0,"pagada","por pagar")</f>
        <v>pagada</v>
      </c>
      <c r="W1973" s="141" t="str">
        <f>+IF(AND(Tabla2[[#This Row],[venc]]="venc",Tabla2[[#This Row],[Columna1]]="por pagar"),"vencida","no")</f>
        <v>no</v>
      </c>
    </row>
    <row r="1974" spans="1:23" ht="15.6" hidden="1" x14ac:dyDescent="0.3">
      <c r="A1974" s="20">
        <v>30</v>
      </c>
      <c r="B1974" s="25">
        <v>0</v>
      </c>
      <c r="C1974" s="25"/>
      <c r="D1974" s="56" t="s">
        <v>107</v>
      </c>
      <c r="E1974" s="426">
        <v>44694</v>
      </c>
      <c r="F1974" s="26" t="s">
        <v>390</v>
      </c>
      <c r="G1974" s="426">
        <v>44694</v>
      </c>
      <c r="H1974" s="35"/>
      <c r="I1974" s="21">
        <v>1000000</v>
      </c>
      <c r="J1974" s="21"/>
      <c r="K1974" s="22">
        <v>0</v>
      </c>
      <c r="L1974" s="23"/>
      <c r="M1974" s="22">
        <v>0</v>
      </c>
      <c r="N1974" s="74">
        <v>0</v>
      </c>
      <c r="O1974" s="22">
        <v>0</v>
      </c>
      <c r="P1974" s="21">
        <v>1000000</v>
      </c>
      <c r="S1974" s="108" t="b">
        <f>OR(COUNTIF(Tabla2[[#This Row],[PROVEEDOR]],"*"&amp;'Palabra no opera'!$A$2&amp;"*"))</f>
        <v>0</v>
      </c>
      <c r="T1974" s="139">
        <f>+$W$5-Tabla2[[#This Row],[FECHA DE FACTURACIÓN]]</f>
        <v>597</v>
      </c>
      <c r="U1974" t="str">
        <f>+IF(Tabla2[[#This Row],[dias de credito]]&gt;=Tabla2[[#This Row],[PLAZO Días]],"venc", "No venc")</f>
        <v>venc</v>
      </c>
      <c r="V1974" t="str">
        <f>+IF(Tabla2[[#This Row],[FECHA DE PAGO]]&gt;0,"pagada","por pagar")</f>
        <v>pagada</v>
      </c>
      <c r="W1974" s="141" t="str">
        <f>+IF(AND(Tabla2[[#This Row],[venc]]="venc",Tabla2[[#This Row],[Columna1]]="por pagar"),"vencida","no")</f>
        <v>no</v>
      </c>
    </row>
    <row r="1975" spans="1:23" ht="15.6" hidden="1" x14ac:dyDescent="0.3">
      <c r="A1975" s="20">
        <v>30</v>
      </c>
      <c r="B1975" s="25">
        <v>0</v>
      </c>
      <c r="C1975" s="25"/>
      <c r="D1975" s="56" t="s">
        <v>574</v>
      </c>
      <c r="E1975" s="426">
        <v>44693</v>
      </c>
      <c r="F1975" s="26" t="s">
        <v>573</v>
      </c>
      <c r="G1975" s="426">
        <v>44663</v>
      </c>
      <c r="H1975" s="35" t="s">
        <v>575</v>
      </c>
      <c r="I1975" s="21">
        <v>1013201</v>
      </c>
      <c r="J1975" s="21"/>
      <c r="K1975" s="22">
        <v>192508.19</v>
      </c>
      <c r="L1975" s="23"/>
      <c r="M1975" s="22">
        <v>0</v>
      </c>
      <c r="N1975" s="74">
        <v>0</v>
      </c>
      <c r="O1975" s="22">
        <v>0</v>
      </c>
      <c r="P1975" s="21">
        <v>1205709.19</v>
      </c>
      <c r="S1975" s="108" t="b">
        <f>OR(COUNTIF(Tabla2[[#This Row],[PROVEEDOR]],"*"&amp;'Palabra no opera'!$A$2&amp;"*"))</f>
        <v>0</v>
      </c>
      <c r="T1975" s="139">
        <f>+$W$5-Tabla2[[#This Row],[FECHA DE FACTURACIÓN]]</f>
        <v>628</v>
      </c>
      <c r="U1975" t="str">
        <f>+IF(Tabla2[[#This Row],[dias de credito]]&gt;=Tabla2[[#This Row],[PLAZO Días]],"venc", "No venc")</f>
        <v>venc</v>
      </c>
      <c r="V1975" t="str">
        <f>+IF(Tabla2[[#This Row],[FECHA DE PAGO]]&gt;0,"pagada","por pagar")</f>
        <v>pagada</v>
      </c>
      <c r="W1975" s="141" t="str">
        <f>+IF(AND(Tabla2[[#This Row],[venc]]="venc",Tabla2[[#This Row],[Columna1]]="por pagar"),"vencida","no")</f>
        <v>no</v>
      </c>
    </row>
    <row r="1976" spans="1:23" ht="15.6" hidden="1" x14ac:dyDescent="0.3">
      <c r="A1976" s="20">
        <v>30</v>
      </c>
      <c r="B1976" s="25">
        <v>0</v>
      </c>
      <c r="C1976" s="25"/>
      <c r="D1976" s="56" t="s">
        <v>260</v>
      </c>
      <c r="E1976" s="426">
        <v>44693</v>
      </c>
      <c r="F1976" s="26" t="s">
        <v>635</v>
      </c>
      <c r="G1976" s="426">
        <v>44652</v>
      </c>
      <c r="H1976" s="35">
        <v>2784</v>
      </c>
      <c r="I1976" s="21">
        <v>3002200</v>
      </c>
      <c r="J1976" s="21"/>
      <c r="K1976" s="22">
        <v>0</v>
      </c>
      <c r="L1976" s="23"/>
      <c r="M1976" s="22">
        <v>0</v>
      </c>
      <c r="N1976" s="74">
        <v>3.5000000000000003E-2</v>
      </c>
      <c r="O1976" s="22">
        <v>105077.00000000001</v>
      </c>
      <c r="P1976" s="21">
        <v>2897123</v>
      </c>
      <c r="S1976" s="108" t="b">
        <f>OR(COUNTIF(Tabla2[[#This Row],[PROVEEDOR]],"*"&amp;'Palabra no opera'!$A$2&amp;"*"))</f>
        <v>1</v>
      </c>
      <c r="T1976" s="139">
        <f>+$W$5-Tabla2[[#This Row],[FECHA DE FACTURACIÓN]]</f>
        <v>639</v>
      </c>
      <c r="U1976" t="str">
        <f>+IF(Tabla2[[#This Row],[dias de credito]]&gt;=Tabla2[[#This Row],[PLAZO Días]],"venc", "No venc")</f>
        <v>venc</v>
      </c>
      <c r="V1976" t="str">
        <f>+IF(Tabla2[[#This Row],[FECHA DE PAGO]]&gt;0,"pagada","por pagar")</f>
        <v>pagada</v>
      </c>
      <c r="W1976" s="141" t="str">
        <f>+IF(AND(Tabla2[[#This Row],[venc]]="venc",Tabla2[[#This Row],[Columna1]]="por pagar"),"vencida","no")</f>
        <v>no</v>
      </c>
    </row>
    <row r="1977" spans="1:23" ht="15.6" hidden="1" x14ac:dyDescent="0.3">
      <c r="A1977" s="20">
        <v>30</v>
      </c>
      <c r="B1977" s="25">
        <v>352505.48</v>
      </c>
      <c r="C1977" s="25"/>
      <c r="D1977" s="56" t="s">
        <v>393</v>
      </c>
      <c r="E1977" s="426">
        <v>44691</v>
      </c>
      <c r="F1977" s="26" t="s">
        <v>650</v>
      </c>
      <c r="G1977" s="426">
        <v>44682</v>
      </c>
      <c r="H1977" s="35">
        <v>67313</v>
      </c>
      <c r="I1977" s="21">
        <v>284467</v>
      </c>
      <c r="J1977" s="21"/>
      <c r="K1977" s="22">
        <v>0</v>
      </c>
      <c r="L1977" s="23"/>
      <c r="M1977" s="22">
        <v>0</v>
      </c>
      <c r="N1977" s="74">
        <v>0</v>
      </c>
      <c r="O1977" s="22">
        <v>0</v>
      </c>
      <c r="P1977" s="21">
        <v>284467</v>
      </c>
      <c r="S1977" s="108" t="b">
        <f>OR(COUNTIF(Tabla2[[#This Row],[PROVEEDOR]],"*"&amp;'Palabra no opera'!$A$2&amp;"*"))</f>
        <v>1</v>
      </c>
      <c r="T1977" s="139">
        <f>+$W$5-Tabla2[[#This Row],[FECHA DE FACTURACIÓN]]</f>
        <v>609</v>
      </c>
      <c r="U1977" t="str">
        <f>+IF(Tabla2[[#This Row],[dias de credito]]&gt;=Tabla2[[#This Row],[PLAZO Días]],"venc", "No venc")</f>
        <v>venc</v>
      </c>
      <c r="V1977" t="str">
        <f>+IF(Tabla2[[#This Row],[FECHA DE PAGO]]&gt;0,"pagada","por pagar")</f>
        <v>pagada</v>
      </c>
      <c r="W1977" s="141" t="str">
        <f>+IF(AND(Tabla2[[#This Row],[venc]]="venc",Tabla2[[#This Row],[Columna1]]="por pagar"),"vencida","no")</f>
        <v>no</v>
      </c>
    </row>
    <row r="1978" spans="1:23" ht="15.6" hidden="1" x14ac:dyDescent="0.3">
      <c r="A1978" s="20">
        <v>30</v>
      </c>
      <c r="B1978" s="25">
        <v>0</v>
      </c>
      <c r="C1978" s="25"/>
      <c r="D1978" s="56" t="s">
        <v>740</v>
      </c>
      <c r="E1978" s="426">
        <v>44691</v>
      </c>
      <c r="F1978" s="26" t="s">
        <v>637</v>
      </c>
      <c r="G1978" s="426">
        <v>44682</v>
      </c>
      <c r="H1978" s="35" t="s">
        <v>219</v>
      </c>
      <c r="I1978" s="21">
        <v>59583</v>
      </c>
      <c r="J1978" s="21"/>
      <c r="K1978" s="22">
        <v>0</v>
      </c>
      <c r="L1978" s="23"/>
      <c r="M1978" s="22">
        <v>0</v>
      </c>
      <c r="N1978" s="74">
        <v>0</v>
      </c>
      <c r="O1978" s="22">
        <v>0</v>
      </c>
      <c r="P1978" s="21">
        <v>59583</v>
      </c>
      <c r="S1978" s="108" t="b">
        <f>OR(COUNTIF(Tabla2[[#This Row],[PROVEEDOR]],"*"&amp;'Palabra no opera'!$A$2&amp;"*"))</f>
        <v>1</v>
      </c>
      <c r="T1978" s="139">
        <f>+$W$5-Tabla2[[#This Row],[FECHA DE FACTURACIÓN]]</f>
        <v>609</v>
      </c>
      <c r="U1978" t="str">
        <f>+IF(Tabla2[[#This Row],[dias de credito]]&gt;=Tabla2[[#This Row],[PLAZO Días]],"venc", "No venc")</f>
        <v>venc</v>
      </c>
      <c r="V1978" t="str">
        <f>+IF(Tabla2[[#This Row],[FECHA DE PAGO]]&gt;0,"pagada","por pagar")</f>
        <v>pagada</v>
      </c>
      <c r="W1978" s="141" t="str">
        <f>+IF(AND(Tabla2[[#This Row],[venc]]="venc",Tabla2[[#This Row],[Columna1]]="por pagar"),"vencida","no")</f>
        <v>no</v>
      </c>
    </row>
    <row r="1979" spans="1:23" ht="15.6" hidden="1" x14ac:dyDescent="0.3">
      <c r="A1979" s="20">
        <v>30</v>
      </c>
      <c r="B1979" s="25">
        <v>0</v>
      </c>
      <c r="C1979" s="25"/>
      <c r="D1979" s="56" t="s">
        <v>740</v>
      </c>
      <c r="E1979" s="426">
        <v>44691</v>
      </c>
      <c r="F1979" s="26" t="s">
        <v>637</v>
      </c>
      <c r="G1979" s="426">
        <v>44682</v>
      </c>
      <c r="H1979" s="35" t="s">
        <v>220</v>
      </c>
      <c r="I1979" s="21">
        <v>68166</v>
      </c>
      <c r="J1979" s="21"/>
      <c r="K1979" s="22">
        <v>0</v>
      </c>
      <c r="L1979" s="23"/>
      <c r="M1979" s="22">
        <v>0</v>
      </c>
      <c r="N1979" s="74">
        <v>0</v>
      </c>
      <c r="O1979" s="22">
        <v>0</v>
      </c>
      <c r="P1979" s="21">
        <v>68166</v>
      </c>
      <c r="S1979" s="108" t="b">
        <f>OR(COUNTIF(Tabla2[[#This Row],[PROVEEDOR]],"*"&amp;'Palabra no opera'!$A$2&amp;"*"))</f>
        <v>1</v>
      </c>
      <c r="T1979" s="139">
        <f>+$W$5-Tabla2[[#This Row],[FECHA DE FACTURACIÓN]]</f>
        <v>609</v>
      </c>
      <c r="U1979" t="str">
        <f>+IF(Tabla2[[#This Row],[dias de credito]]&gt;=Tabla2[[#This Row],[PLAZO Días]],"venc", "No venc")</f>
        <v>venc</v>
      </c>
      <c r="V1979" t="str">
        <f>+IF(Tabla2[[#This Row],[FECHA DE PAGO]]&gt;0,"pagada","por pagar")</f>
        <v>pagada</v>
      </c>
      <c r="W1979" s="141" t="str">
        <f>+IF(AND(Tabla2[[#This Row],[venc]]="venc",Tabla2[[#This Row],[Columna1]]="por pagar"),"vencida","no")</f>
        <v>no</v>
      </c>
    </row>
    <row r="1980" spans="1:23" ht="15.6" hidden="1" x14ac:dyDescent="0.3">
      <c r="A1980" s="20">
        <v>30</v>
      </c>
      <c r="B1980" s="25">
        <v>0</v>
      </c>
      <c r="C1980" s="25"/>
      <c r="D1980" s="56" t="s">
        <v>740</v>
      </c>
      <c r="E1980" s="426">
        <v>44691</v>
      </c>
      <c r="F1980" s="26" t="s">
        <v>637</v>
      </c>
      <c r="G1980" s="426">
        <v>44682</v>
      </c>
      <c r="H1980" s="35" t="s">
        <v>220</v>
      </c>
      <c r="I1980" s="21">
        <v>818874</v>
      </c>
      <c r="J1980" s="21"/>
      <c r="K1980" s="22">
        <v>0</v>
      </c>
      <c r="L1980" s="23"/>
      <c r="M1980" s="22">
        <v>0</v>
      </c>
      <c r="N1980" s="74">
        <v>0</v>
      </c>
      <c r="O1980" s="22">
        <v>0</v>
      </c>
      <c r="P1980" s="21">
        <v>818874</v>
      </c>
      <c r="S1980" s="108" t="b">
        <f>OR(COUNTIF(Tabla2[[#This Row],[PROVEEDOR]],"*"&amp;'Palabra no opera'!$A$2&amp;"*"))</f>
        <v>1</v>
      </c>
      <c r="T1980" s="139">
        <f>+$W$5-Tabla2[[#This Row],[FECHA DE FACTURACIÓN]]</f>
        <v>609</v>
      </c>
      <c r="U1980" t="str">
        <f>+IF(Tabla2[[#This Row],[dias de credito]]&gt;=Tabla2[[#This Row],[PLAZO Días]],"venc", "No venc")</f>
        <v>venc</v>
      </c>
      <c r="V1980" t="str">
        <f>+IF(Tabla2[[#This Row],[FECHA DE PAGO]]&gt;0,"pagada","por pagar")</f>
        <v>pagada</v>
      </c>
      <c r="W1980" s="141" t="str">
        <f>+IF(AND(Tabla2[[#This Row],[venc]]="venc",Tabla2[[#This Row],[Columna1]]="por pagar"),"vencida","no")</f>
        <v>no</v>
      </c>
    </row>
    <row r="1981" spans="1:23" ht="15.6" hidden="1" x14ac:dyDescent="0.3">
      <c r="A1981" s="20">
        <v>30</v>
      </c>
      <c r="B1981" s="25">
        <v>0</v>
      </c>
      <c r="C1981" s="25"/>
      <c r="D1981" s="56" t="s">
        <v>740</v>
      </c>
      <c r="E1981" s="426">
        <v>44691</v>
      </c>
      <c r="F1981" s="26" t="s">
        <v>637</v>
      </c>
      <c r="G1981" s="426">
        <v>44682</v>
      </c>
      <c r="H1981" s="35" t="s">
        <v>219</v>
      </c>
      <c r="I1981" s="21">
        <v>825349</v>
      </c>
      <c r="J1981" s="21"/>
      <c r="K1981" s="22">
        <v>0</v>
      </c>
      <c r="L1981" s="23"/>
      <c r="M1981" s="22">
        <v>0</v>
      </c>
      <c r="N1981" s="74">
        <v>0</v>
      </c>
      <c r="O1981" s="22">
        <v>0</v>
      </c>
      <c r="P1981" s="21">
        <v>825349</v>
      </c>
      <c r="S1981" s="108" t="b">
        <f>OR(COUNTIF(Tabla2[[#This Row],[PROVEEDOR]],"*"&amp;'Palabra no opera'!$A$2&amp;"*"))</f>
        <v>1</v>
      </c>
      <c r="T1981" s="139">
        <f>+$W$5-Tabla2[[#This Row],[FECHA DE FACTURACIÓN]]</f>
        <v>609</v>
      </c>
      <c r="U1981" t="str">
        <f>+IF(Tabla2[[#This Row],[dias de credito]]&gt;=Tabla2[[#This Row],[PLAZO Días]],"venc", "No venc")</f>
        <v>venc</v>
      </c>
      <c r="V1981" t="str">
        <f>+IF(Tabla2[[#This Row],[FECHA DE PAGO]]&gt;0,"pagada","por pagar")</f>
        <v>pagada</v>
      </c>
      <c r="W1981" s="141" t="str">
        <f>+IF(AND(Tabla2[[#This Row],[venc]]="venc",Tabla2[[#This Row],[Columna1]]="por pagar"),"vencida","no")</f>
        <v>no</v>
      </c>
    </row>
    <row r="1982" spans="1:23" ht="15.6" hidden="1" x14ac:dyDescent="0.3">
      <c r="A1982" s="20">
        <v>12</v>
      </c>
      <c r="B1982" s="25">
        <v>0</v>
      </c>
      <c r="C1982" s="25"/>
      <c r="D1982" s="56">
        <v>0</v>
      </c>
      <c r="E1982" s="426">
        <v>44691</v>
      </c>
      <c r="F1982" s="26" t="s">
        <v>641</v>
      </c>
      <c r="G1982" s="426">
        <v>44682</v>
      </c>
      <c r="H1982" s="35" t="s">
        <v>904</v>
      </c>
      <c r="I1982" s="21">
        <v>6445820</v>
      </c>
      <c r="J1982" s="21"/>
      <c r="K1982" s="22">
        <v>1224705.8</v>
      </c>
      <c r="L1982" s="23"/>
      <c r="M1982" s="22">
        <v>0</v>
      </c>
      <c r="N1982" s="74">
        <v>3.5000000000000003E-2</v>
      </c>
      <c r="O1982" s="22">
        <v>225603.7</v>
      </c>
      <c r="P1982" s="21">
        <v>7444922.0999999996</v>
      </c>
      <c r="S1982" s="108" t="b">
        <f>OR(COUNTIF(Tabla2[[#This Row],[PROVEEDOR]],"*"&amp;'Palabra no opera'!$A$2&amp;"*"))</f>
        <v>1</v>
      </c>
      <c r="T1982" s="139">
        <f>+$W$5-Tabla2[[#This Row],[FECHA DE FACTURACIÓN]]</f>
        <v>609</v>
      </c>
      <c r="U1982" t="str">
        <f>+IF(Tabla2[[#This Row],[dias de credito]]&gt;=Tabla2[[#This Row],[PLAZO Días]],"venc", "No venc")</f>
        <v>venc</v>
      </c>
      <c r="V1982" t="str">
        <f>+IF(Tabla2[[#This Row],[FECHA DE PAGO]]&gt;0,"pagada","por pagar")</f>
        <v>pagada</v>
      </c>
      <c r="W1982" s="141" t="str">
        <f>+IF(AND(Tabla2[[#This Row],[venc]]="venc",Tabla2[[#This Row],[Columna1]]="por pagar"),"vencida","no")</f>
        <v>no</v>
      </c>
    </row>
    <row r="1983" spans="1:23" ht="15.6" hidden="1" x14ac:dyDescent="0.3">
      <c r="A1983" s="20">
        <v>30</v>
      </c>
      <c r="B1983" s="25">
        <v>0</v>
      </c>
      <c r="C1983" s="25"/>
      <c r="D1983" s="56">
        <v>0</v>
      </c>
      <c r="E1983" s="426">
        <v>44691</v>
      </c>
      <c r="F1983" s="26" t="s">
        <v>642</v>
      </c>
      <c r="G1983" s="426">
        <v>44682</v>
      </c>
      <c r="H1983" s="35" t="s">
        <v>217</v>
      </c>
      <c r="I1983" s="21">
        <v>414178</v>
      </c>
      <c r="J1983" s="21"/>
      <c r="K1983" s="22">
        <v>0</v>
      </c>
      <c r="L1983" s="23"/>
      <c r="M1983" s="22">
        <v>0</v>
      </c>
      <c r="N1983" s="74">
        <v>0</v>
      </c>
      <c r="O1983" s="22">
        <v>0</v>
      </c>
      <c r="P1983" s="21">
        <v>414178</v>
      </c>
      <c r="S1983" s="108" t="b">
        <f>OR(COUNTIF(Tabla2[[#This Row],[PROVEEDOR]],"*"&amp;'Palabra no opera'!$A$2&amp;"*"))</f>
        <v>1</v>
      </c>
      <c r="T1983" s="139">
        <f>+$W$5-Tabla2[[#This Row],[FECHA DE FACTURACIÓN]]</f>
        <v>609</v>
      </c>
      <c r="U1983" t="str">
        <f>+IF(Tabla2[[#This Row],[dias de credito]]&gt;=Tabla2[[#This Row],[PLAZO Días]],"venc", "No venc")</f>
        <v>venc</v>
      </c>
      <c r="V1983" t="str">
        <f>+IF(Tabla2[[#This Row],[FECHA DE PAGO]]&gt;0,"pagada","por pagar")</f>
        <v>pagada</v>
      </c>
      <c r="W1983" s="141" t="str">
        <f>+IF(AND(Tabla2[[#This Row],[venc]]="venc",Tabla2[[#This Row],[Columna1]]="por pagar"),"vencida","no")</f>
        <v>no</v>
      </c>
    </row>
    <row r="1984" spans="1:23" ht="15.6" hidden="1" x14ac:dyDescent="0.3">
      <c r="A1984" s="20">
        <v>13</v>
      </c>
      <c r="B1984" s="25">
        <v>0</v>
      </c>
      <c r="C1984" s="25"/>
      <c r="D1984" s="56">
        <v>0</v>
      </c>
      <c r="E1984" s="426">
        <v>44691</v>
      </c>
      <c r="F1984" s="26" t="s">
        <v>644</v>
      </c>
      <c r="G1984" s="426">
        <v>44682</v>
      </c>
      <c r="H1984" s="35"/>
      <c r="I1984" s="21">
        <v>948924</v>
      </c>
      <c r="J1984" s="21"/>
      <c r="K1984" s="22">
        <v>0</v>
      </c>
      <c r="L1984" s="23"/>
      <c r="M1984" s="22">
        <v>0</v>
      </c>
      <c r="N1984" s="74">
        <v>0</v>
      </c>
      <c r="O1984" s="22">
        <v>0</v>
      </c>
      <c r="P1984" s="21">
        <v>948924</v>
      </c>
      <c r="S1984" s="108" t="b">
        <f>OR(COUNTIF(Tabla2[[#This Row],[PROVEEDOR]],"*"&amp;'Palabra no opera'!$A$2&amp;"*"))</f>
        <v>1</v>
      </c>
      <c r="T1984" s="139">
        <f>+$W$5-Tabla2[[#This Row],[FECHA DE FACTURACIÓN]]</f>
        <v>609</v>
      </c>
      <c r="U1984" t="str">
        <f>+IF(Tabla2[[#This Row],[dias de credito]]&gt;=Tabla2[[#This Row],[PLAZO Días]],"venc", "No venc")</f>
        <v>venc</v>
      </c>
      <c r="V1984" t="str">
        <f>+IF(Tabla2[[#This Row],[FECHA DE PAGO]]&gt;0,"pagada","por pagar")</f>
        <v>pagada</v>
      </c>
      <c r="W1984" s="141" t="str">
        <f>+IF(AND(Tabla2[[#This Row],[venc]]="venc",Tabla2[[#This Row],[Columna1]]="por pagar"),"vencida","no")</f>
        <v>no</v>
      </c>
    </row>
    <row r="1985" spans="1:23" ht="15.6" hidden="1" x14ac:dyDescent="0.3">
      <c r="A1985" s="20">
        <v>30</v>
      </c>
      <c r="B1985" s="25">
        <v>2773899.95</v>
      </c>
      <c r="C1985" s="25"/>
      <c r="D1985" s="56" t="s">
        <v>135</v>
      </c>
      <c r="E1985" s="426">
        <v>44691</v>
      </c>
      <c r="F1985" s="26" t="s">
        <v>20</v>
      </c>
      <c r="G1985" s="426">
        <v>44658</v>
      </c>
      <c r="H1985" s="35">
        <v>6737</v>
      </c>
      <c r="I1985" s="21">
        <v>1065430</v>
      </c>
      <c r="J1985" s="21"/>
      <c r="K1985" s="22">
        <v>202431.7</v>
      </c>
      <c r="L1985" s="23"/>
      <c r="M1985" s="22">
        <v>0</v>
      </c>
      <c r="N1985" s="74">
        <v>2.5000000000000001E-2</v>
      </c>
      <c r="O1985" s="22">
        <v>26635.75</v>
      </c>
      <c r="P1985" s="21">
        <v>1241225.95</v>
      </c>
      <c r="S1985" s="108" t="b">
        <f>OR(COUNTIF(Tabla2[[#This Row],[PROVEEDOR]],"*"&amp;'Palabra no opera'!$A$2&amp;"*"))</f>
        <v>0</v>
      </c>
      <c r="T1985" s="139">
        <f>+$W$5-Tabla2[[#This Row],[FECHA DE FACTURACIÓN]]</f>
        <v>633</v>
      </c>
      <c r="U1985" t="str">
        <f>+IF(Tabla2[[#This Row],[dias de credito]]&gt;=Tabla2[[#This Row],[PLAZO Días]],"venc", "No venc")</f>
        <v>venc</v>
      </c>
      <c r="V1985" t="str">
        <f>+IF(Tabla2[[#This Row],[FECHA DE PAGO]]&gt;0,"pagada","por pagar")</f>
        <v>pagada</v>
      </c>
      <c r="W1985" s="141" t="str">
        <f>+IF(AND(Tabla2[[#This Row],[venc]]="venc",Tabla2[[#This Row],[Columna1]]="por pagar"),"vencida","no")</f>
        <v>no</v>
      </c>
    </row>
    <row r="1986" spans="1:23" ht="15.6" hidden="1" x14ac:dyDescent="0.3">
      <c r="A1986" s="20">
        <v>30</v>
      </c>
      <c r="B1986" s="25">
        <v>0</v>
      </c>
      <c r="C1986" s="25"/>
      <c r="D1986" s="56">
        <v>0</v>
      </c>
      <c r="E1986" s="426">
        <v>44691</v>
      </c>
      <c r="F1986" s="26" t="s">
        <v>633</v>
      </c>
      <c r="G1986" s="426">
        <v>44655</v>
      </c>
      <c r="H1986" s="35" t="s">
        <v>882</v>
      </c>
      <c r="I1986" s="21">
        <v>264114</v>
      </c>
      <c r="J1986" s="21"/>
      <c r="K1986" s="22">
        <v>0</v>
      </c>
      <c r="L1986" s="23"/>
      <c r="M1986" s="22">
        <v>0</v>
      </c>
      <c r="N1986" s="74">
        <v>0</v>
      </c>
      <c r="O1986" s="22">
        <v>0</v>
      </c>
      <c r="P1986" s="21">
        <v>264114</v>
      </c>
      <c r="S1986" s="108" t="b">
        <f>OR(COUNTIF(Tabla2[[#This Row],[PROVEEDOR]],"*"&amp;'Palabra no opera'!$A$2&amp;"*"))</f>
        <v>1</v>
      </c>
      <c r="T1986" s="139">
        <f>+$W$5-Tabla2[[#This Row],[FECHA DE FACTURACIÓN]]</f>
        <v>636</v>
      </c>
      <c r="U1986" t="str">
        <f>+IF(Tabla2[[#This Row],[dias de credito]]&gt;=Tabla2[[#This Row],[PLAZO Días]],"venc", "No venc")</f>
        <v>venc</v>
      </c>
      <c r="V1986" t="str">
        <f>+IF(Tabla2[[#This Row],[FECHA DE PAGO]]&gt;0,"pagada","por pagar")</f>
        <v>pagada</v>
      </c>
      <c r="W1986" s="141" t="str">
        <f>+IF(AND(Tabla2[[#This Row],[venc]]="venc",Tabla2[[#This Row],[Columna1]]="por pagar"),"vencida","no")</f>
        <v>no</v>
      </c>
    </row>
    <row r="1987" spans="1:23" ht="15.6" hidden="1" x14ac:dyDescent="0.3">
      <c r="A1987" s="20">
        <v>30</v>
      </c>
      <c r="B1987" s="25">
        <v>0</v>
      </c>
      <c r="C1987" s="25"/>
      <c r="D1987" s="56">
        <v>0</v>
      </c>
      <c r="E1987" s="426">
        <v>44691</v>
      </c>
      <c r="F1987" s="26" t="s">
        <v>633</v>
      </c>
      <c r="G1987" s="426">
        <v>44655</v>
      </c>
      <c r="H1987" s="35" t="s">
        <v>883</v>
      </c>
      <c r="I1987" s="21">
        <v>1592378</v>
      </c>
      <c r="J1987" s="21"/>
      <c r="K1987" s="22">
        <v>0</v>
      </c>
      <c r="L1987" s="23"/>
      <c r="M1987" s="22">
        <v>0</v>
      </c>
      <c r="N1987" s="74">
        <v>0</v>
      </c>
      <c r="O1987" s="22">
        <v>0</v>
      </c>
      <c r="P1987" s="21">
        <v>1592378</v>
      </c>
      <c r="S1987" s="108" t="b">
        <f>OR(COUNTIF(Tabla2[[#This Row],[PROVEEDOR]],"*"&amp;'Palabra no opera'!$A$2&amp;"*"))</f>
        <v>1</v>
      </c>
      <c r="T1987" s="139">
        <f>+$W$5-Tabla2[[#This Row],[FECHA DE FACTURACIÓN]]</f>
        <v>636</v>
      </c>
      <c r="U1987" t="str">
        <f>+IF(Tabla2[[#This Row],[dias de credito]]&gt;=Tabla2[[#This Row],[PLAZO Días]],"venc", "No venc")</f>
        <v>venc</v>
      </c>
      <c r="V1987" t="str">
        <f>+IF(Tabla2[[#This Row],[FECHA DE PAGO]]&gt;0,"pagada","por pagar")</f>
        <v>pagada</v>
      </c>
      <c r="W1987" s="141" t="str">
        <f>+IF(AND(Tabla2[[#This Row],[venc]]="venc",Tabla2[[#This Row],[Columna1]]="por pagar"),"vencida","no")</f>
        <v>no</v>
      </c>
    </row>
    <row r="1988" spans="1:23" ht="15.6" hidden="1" x14ac:dyDescent="0.3">
      <c r="A1988" s="20">
        <v>30</v>
      </c>
      <c r="B1988" s="25">
        <v>429590</v>
      </c>
      <c r="C1988" s="25"/>
      <c r="D1988" s="56" t="s">
        <v>196</v>
      </c>
      <c r="E1988" s="426">
        <v>44690</v>
      </c>
      <c r="F1988" s="26" t="s">
        <v>39</v>
      </c>
      <c r="G1988" s="426">
        <v>44658</v>
      </c>
      <c r="H1988" s="35">
        <v>1218</v>
      </c>
      <c r="I1988" s="21">
        <v>380410</v>
      </c>
      <c r="J1988" s="21"/>
      <c r="K1988" s="22">
        <v>72277.899999999994</v>
      </c>
      <c r="L1988" s="23"/>
      <c r="M1988" s="22">
        <v>0</v>
      </c>
      <c r="N1988" s="74">
        <v>0</v>
      </c>
      <c r="O1988" s="22">
        <v>0</v>
      </c>
      <c r="P1988" s="21">
        <v>452687.9</v>
      </c>
      <c r="S1988" s="108" t="b">
        <f>OR(COUNTIF(Tabla2[[#This Row],[PROVEEDOR]],"*"&amp;'Palabra no opera'!$A$2&amp;"*"))</f>
        <v>0</v>
      </c>
      <c r="T1988" s="139">
        <f>+$W$5-Tabla2[[#This Row],[FECHA DE FACTURACIÓN]]</f>
        <v>633</v>
      </c>
      <c r="U1988" t="str">
        <f>+IF(Tabla2[[#This Row],[dias de credito]]&gt;=Tabla2[[#This Row],[PLAZO Días]],"venc", "No venc")</f>
        <v>venc</v>
      </c>
      <c r="V1988" t="str">
        <f>+IF(Tabla2[[#This Row],[FECHA DE PAGO]]&gt;0,"pagada","por pagar")</f>
        <v>pagada</v>
      </c>
      <c r="W1988" s="141" t="str">
        <f>+IF(AND(Tabla2[[#This Row],[venc]]="venc",Tabla2[[#This Row],[Columna1]]="por pagar"),"vencida","no")</f>
        <v>no</v>
      </c>
    </row>
    <row r="1989" spans="1:23" ht="15.6" hidden="1" x14ac:dyDescent="0.3">
      <c r="A1989" s="20">
        <v>30</v>
      </c>
      <c r="B1989" s="25">
        <v>0</v>
      </c>
      <c r="C1989" s="25"/>
      <c r="D1989" s="56" t="s">
        <v>277</v>
      </c>
      <c r="E1989" s="426">
        <v>44690</v>
      </c>
      <c r="F1989" s="26" t="s">
        <v>248</v>
      </c>
      <c r="G1989" s="426">
        <v>44650</v>
      </c>
      <c r="H1989" s="35" t="s">
        <v>420</v>
      </c>
      <c r="I1989" s="21">
        <v>2285686.25</v>
      </c>
      <c r="J1989" s="21"/>
      <c r="K1989" s="22">
        <v>434280.38750000001</v>
      </c>
      <c r="L1989" s="23"/>
      <c r="M1989" s="22">
        <v>0</v>
      </c>
      <c r="N1989" s="74">
        <v>0</v>
      </c>
      <c r="O1989" s="22">
        <v>0</v>
      </c>
      <c r="P1989" s="21">
        <v>2719966.6375000002</v>
      </c>
      <c r="S1989" s="108" t="b">
        <f>OR(COUNTIF(Tabla2[[#This Row],[PROVEEDOR]],"*"&amp;'Palabra no opera'!$A$2&amp;"*"))</f>
        <v>0</v>
      </c>
      <c r="T1989" s="139">
        <f>+$W$5-Tabla2[[#This Row],[FECHA DE FACTURACIÓN]]</f>
        <v>641</v>
      </c>
      <c r="U1989" t="str">
        <f>+IF(Tabla2[[#This Row],[dias de credito]]&gt;=Tabla2[[#This Row],[PLAZO Días]],"venc", "No venc")</f>
        <v>venc</v>
      </c>
      <c r="V1989" t="str">
        <f>+IF(Tabla2[[#This Row],[FECHA DE PAGO]]&gt;0,"pagada","por pagar")</f>
        <v>pagada</v>
      </c>
      <c r="W1989" s="141" t="str">
        <f>+IF(AND(Tabla2[[#This Row],[venc]]="venc",Tabla2[[#This Row],[Columna1]]="por pagar"),"vencida","no")</f>
        <v>no</v>
      </c>
    </row>
    <row r="1990" spans="1:23" ht="15.6" hidden="1" x14ac:dyDescent="0.3">
      <c r="A1990" s="20">
        <v>30</v>
      </c>
      <c r="B1990" s="25">
        <v>229206</v>
      </c>
      <c r="C1990" s="25"/>
      <c r="D1990" s="56" t="s">
        <v>659</v>
      </c>
      <c r="E1990" s="426">
        <v>44690</v>
      </c>
      <c r="F1990" s="26" t="s">
        <v>95</v>
      </c>
      <c r="G1990" s="426">
        <v>44645</v>
      </c>
      <c r="H1990" s="35" t="s">
        <v>654</v>
      </c>
      <c r="I1990" s="21">
        <v>51495</v>
      </c>
      <c r="J1990" s="21"/>
      <c r="K1990" s="22">
        <v>0</v>
      </c>
      <c r="L1990" s="23"/>
      <c r="M1990" s="22">
        <v>0</v>
      </c>
      <c r="N1990" s="74">
        <v>0</v>
      </c>
      <c r="O1990" s="22">
        <v>0</v>
      </c>
      <c r="P1990" s="21">
        <v>51495</v>
      </c>
      <c r="S1990" s="108" t="b">
        <f>OR(COUNTIF(Tabla2[[#This Row],[PROVEEDOR]],"*"&amp;'Palabra no opera'!$A$2&amp;"*"))</f>
        <v>0</v>
      </c>
      <c r="T1990" s="139">
        <f>+$W$5-Tabla2[[#This Row],[FECHA DE FACTURACIÓN]]</f>
        <v>646</v>
      </c>
      <c r="U1990" t="str">
        <f>+IF(Tabla2[[#This Row],[dias de credito]]&gt;=Tabla2[[#This Row],[PLAZO Días]],"venc", "No venc")</f>
        <v>venc</v>
      </c>
      <c r="V1990" t="str">
        <f>+IF(Tabla2[[#This Row],[FECHA DE PAGO]]&gt;0,"pagada","por pagar")</f>
        <v>pagada</v>
      </c>
      <c r="W1990" s="141" t="str">
        <f>+IF(AND(Tabla2[[#This Row],[venc]]="venc",Tabla2[[#This Row],[Columna1]]="por pagar"),"vencida","no")</f>
        <v>no</v>
      </c>
    </row>
    <row r="1991" spans="1:23" ht="15.6" hidden="1" x14ac:dyDescent="0.3">
      <c r="A1991" s="20">
        <v>45</v>
      </c>
      <c r="B1991" s="25">
        <v>15770594</v>
      </c>
      <c r="C1991" s="25"/>
      <c r="D1991" s="56" t="s">
        <v>594</v>
      </c>
      <c r="E1991" s="426">
        <v>44690</v>
      </c>
      <c r="F1991" s="26" t="s">
        <v>19</v>
      </c>
      <c r="G1991" s="426">
        <v>44638</v>
      </c>
      <c r="H1991" s="35" t="s">
        <v>446</v>
      </c>
      <c r="I1991" s="21">
        <v>2756160</v>
      </c>
      <c r="J1991" s="21"/>
      <c r="K1991" s="22">
        <v>523670.4</v>
      </c>
      <c r="L1991" s="23"/>
      <c r="M1991" s="22">
        <v>0</v>
      </c>
      <c r="N1991" s="74">
        <v>0</v>
      </c>
      <c r="O1991" s="22">
        <v>0</v>
      </c>
      <c r="P1991" s="21">
        <v>3279830.4</v>
      </c>
      <c r="S1991" s="108" t="b">
        <f>OR(COUNTIF(Tabla2[[#This Row],[PROVEEDOR]],"*"&amp;'Palabra no opera'!$A$2&amp;"*"))</f>
        <v>0</v>
      </c>
      <c r="T1991" s="139">
        <f>+$W$5-Tabla2[[#This Row],[FECHA DE FACTURACIÓN]]</f>
        <v>653</v>
      </c>
      <c r="U1991" t="str">
        <f>+IF(Tabla2[[#This Row],[dias de credito]]&gt;=Tabla2[[#This Row],[PLAZO Días]],"venc", "No venc")</f>
        <v>venc</v>
      </c>
      <c r="V1991" t="str">
        <f>+IF(Tabla2[[#This Row],[FECHA DE PAGO]]&gt;0,"pagada","por pagar")</f>
        <v>pagada</v>
      </c>
      <c r="W1991" s="141" t="str">
        <f>+IF(AND(Tabla2[[#This Row],[venc]]="venc",Tabla2[[#This Row],[Columna1]]="por pagar"),"vencida","no")</f>
        <v>no</v>
      </c>
    </row>
    <row r="1992" spans="1:23" ht="15.6" hidden="1" x14ac:dyDescent="0.3">
      <c r="A1992" s="20">
        <v>45</v>
      </c>
      <c r="B1992" s="25">
        <v>15770594</v>
      </c>
      <c r="C1992" s="25"/>
      <c r="D1992" s="56" t="s">
        <v>594</v>
      </c>
      <c r="E1992" s="426">
        <v>44690</v>
      </c>
      <c r="F1992" s="26" t="s">
        <v>19</v>
      </c>
      <c r="G1992" s="426">
        <v>44638</v>
      </c>
      <c r="H1992" s="35" t="s">
        <v>445</v>
      </c>
      <c r="I1992" s="21">
        <v>10665600</v>
      </c>
      <c r="J1992" s="21"/>
      <c r="K1992" s="22">
        <v>2026464</v>
      </c>
      <c r="L1992" s="23"/>
      <c r="M1992" s="22">
        <v>0</v>
      </c>
      <c r="N1992" s="74">
        <v>0</v>
      </c>
      <c r="O1992" s="22">
        <v>0</v>
      </c>
      <c r="P1992" s="21">
        <v>12692064</v>
      </c>
      <c r="S1992" s="108" t="b">
        <f>OR(COUNTIF(Tabla2[[#This Row],[PROVEEDOR]],"*"&amp;'Palabra no opera'!$A$2&amp;"*"))</f>
        <v>0</v>
      </c>
      <c r="T1992" s="139">
        <f>+$W$5-Tabla2[[#This Row],[FECHA DE FACTURACIÓN]]</f>
        <v>653</v>
      </c>
      <c r="U1992" t="str">
        <f>+IF(Tabla2[[#This Row],[dias de credito]]&gt;=Tabla2[[#This Row],[PLAZO Días]],"venc", "No venc")</f>
        <v>venc</v>
      </c>
      <c r="V1992" t="str">
        <f>+IF(Tabla2[[#This Row],[FECHA DE PAGO]]&gt;0,"pagada","por pagar")</f>
        <v>pagada</v>
      </c>
      <c r="W1992" s="141" t="str">
        <f>+IF(AND(Tabla2[[#This Row],[venc]]="venc",Tabla2[[#This Row],[Columna1]]="por pagar"),"vencida","no")</f>
        <v>no</v>
      </c>
    </row>
    <row r="1993" spans="1:23" ht="15.6" hidden="1" x14ac:dyDescent="0.3">
      <c r="A1993" s="20">
        <v>30</v>
      </c>
      <c r="B1993" s="25">
        <v>0</v>
      </c>
      <c r="C1993" s="25"/>
      <c r="D1993" s="56" t="s">
        <v>259</v>
      </c>
      <c r="E1993" s="426">
        <v>44690</v>
      </c>
      <c r="F1993" s="26" t="s">
        <v>33</v>
      </c>
      <c r="G1993" s="426">
        <v>44627</v>
      </c>
      <c r="H1993" s="35">
        <v>2342</v>
      </c>
      <c r="I1993" s="21">
        <v>93000</v>
      </c>
      <c r="J1993" s="21"/>
      <c r="K1993" s="22">
        <v>17670</v>
      </c>
      <c r="L1993" s="23"/>
      <c r="M1993" s="22">
        <v>0</v>
      </c>
      <c r="N1993" s="74">
        <v>0</v>
      </c>
      <c r="O1993" s="22">
        <v>0</v>
      </c>
      <c r="P1993" s="21">
        <v>110670</v>
      </c>
      <c r="S1993" s="108" t="b">
        <f>OR(COUNTIF(Tabla2[[#This Row],[PROVEEDOR]],"*"&amp;'Palabra no opera'!$A$2&amp;"*"))</f>
        <v>0</v>
      </c>
      <c r="T1993" s="139">
        <f>+$W$5-Tabla2[[#This Row],[FECHA DE FACTURACIÓN]]</f>
        <v>664</v>
      </c>
      <c r="U1993" t="str">
        <f>+IF(Tabla2[[#This Row],[dias de credito]]&gt;=Tabla2[[#This Row],[PLAZO Días]],"venc", "No venc")</f>
        <v>venc</v>
      </c>
      <c r="V1993" t="str">
        <f>+IF(Tabla2[[#This Row],[FECHA DE PAGO]]&gt;0,"pagada","por pagar")</f>
        <v>pagada</v>
      </c>
      <c r="W1993" s="141" t="str">
        <f>+IF(AND(Tabla2[[#This Row],[venc]]="venc",Tabla2[[#This Row],[Columna1]]="por pagar"),"vencida","no")</f>
        <v>no</v>
      </c>
    </row>
    <row r="1994" spans="1:23" ht="15.6" hidden="1" x14ac:dyDescent="0.3">
      <c r="A1994" s="20">
        <v>30</v>
      </c>
      <c r="B1994" s="25">
        <v>0</v>
      </c>
      <c r="C1994" s="25"/>
      <c r="D1994" s="56" t="s">
        <v>259</v>
      </c>
      <c r="E1994" s="426">
        <v>44690</v>
      </c>
      <c r="F1994" s="26" t="s">
        <v>33</v>
      </c>
      <c r="G1994" s="426">
        <v>44623</v>
      </c>
      <c r="H1994" s="35">
        <v>2314</v>
      </c>
      <c r="I1994" s="21">
        <v>5856000</v>
      </c>
      <c r="J1994" s="21"/>
      <c r="K1994" s="22">
        <v>1112640</v>
      </c>
      <c r="L1994" s="23"/>
      <c r="M1994" s="22">
        <v>0</v>
      </c>
      <c r="N1994" s="74">
        <v>2.5000000000000001E-2</v>
      </c>
      <c r="O1994" s="22">
        <v>146400</v>
      </c>
      <c r="P1994" s="21">
        <v>6822240</v>
      </c>
      <c r="S1994" s="108" t="b">
        <f>OR(COUNTIF(Tabla2[[#This Row],[PROVEEDOR]],"*"&amp;'Palabra no opera'!$A$2&amp;"*"))</f>
        <v>0</v>
      </c>
      <c r="T1994" s="139">
        <f>+$W$5-Tabla2[[#This Row],[FECHA DE FACTURACIÓN]]</f>
        <v>668</v>
      </c>
      <c r="U1994" t="str">
        <f>+IF(Tabla2[[#This Row],[dias de credito]]&gt;=Tabla2[[#This Row],[PLAZO Días]],"venc", "No venc")</f>
        <v>venc</v>
      </c>
      <c r="V1994" t="str">
        <f>+IF(Tabla2[[#This Row],[FECHA DE PAGO]]&gt;0,"pagada","por pagar")</f>
        <v>pagada</v>
      </c>
      <c r="W1994" s="141" t="str">
        <f>+IF(AND(Tabla2[[#This Row],[venc]]="venc",Tabla2[[#This Row],[Columna1]]="por pagar"),"vencida","no")</f>
        <v>no</v>
      </c>
    </row>
    <row r="1995" spans="1:23" ht="15.6" hidden="1" x14ac:dyDescent="0.3">
      <c r="A1995" s="20">
        <v>60</v>
      </c>
      <c r="B1995" s="25">
        <v>0</v>
      </c>
      <c r="C1995" s="25"/>
      <c r="D1995" s="56">
        <v>0</v>
      </c>
      <c r="E1995" s="426">
        <v>44689</v>
      </c>
      <c r="F1995" s="26" t="s">
        <v>951</v>
      </c>
      <c r="G1995" s="426">
        <v>44688</v>
      </c>
      <c r="H1995" s="35" t="s">
        <v>671</v>
      </c>
      <c r="I1995" s="21">
        <v>-4374000</v>
      </c>
      <c r="J1995" s="21"/>
      <c r="K1995" s="22">
        <v>-831060</v>
      </c>
      <c r="L1995" s="23"/>
      <c r="M1995" s="22">
        <v>0</v>
      </c>
      <c r="N1995" s="74">
        <v>0</v>
      </c>
      <c r="O1995" s="22">
        <v>0</v>
      </c>
      <c r="P1995" s="21">
        <v>-5205060</v>
      </c>
      <c r="S1995" s="108" t="b">
        <f>OR(COUNTIF(Tabla2[[#This Row],[PROVEEDOR]],"*"&amp;'Palabra no opera'!$A$2&amp;"*"))</f>
        <v>1</v>
      </c>
      <c r="T1995" s="139">
        <f>+$W$5-Tabla2[[#This Row],[FECHA DE FACTURACIÓN]]</f>
        <v>603</v>
      </c>
      <c r="U1995" t="str">
        <f>+IF(Tabla2[[#This Row],[dias de credito]]&gt;=Tabla2[[#This Row],[PLAZO Días]],"venc", "No venc")</f>
        <v>venc</v>
      </c>
      <c r="V1995" t="str">
        <f>+IF(Tabla2[[#This Row],[FECHA DE PAGO]]&gt;0,"pagada","por pagar")</f>
        <v>pagada</v>
      </c>
      <c r="W1995" s="141" t="str">
        <f>+IF(AND(Tabla2[[#This Row],[venc]]="venc",Tabla2[[#This Row],[Columna1]]="por pagar"),"vencida","no")</f>
        <v>no</v>
      </c>
    </row>
    <row r="1996" spans="1:23" ht="15.6" hidden="1" x14ac:dyDescent="0.3">
      <c r="A1996" s="20">
        <v>60</v>
      </c>
      <c r="B1996" s="25">
        <v>0</v>
      </c>
      <c r="C1996" s="25"/>
      <c r="D1996" s="56">
        <v>0</v>
      </c>
      <c r="E1996" s="426">
        <v>44688</v>
      </c>
      <c r="F1996" s="26" t="s">
        <v>951</v>
      </c>
      <c r="G1996" s="426">
        <v>44680</v>
      </c>
      <c r="H1996" s="35" t="s">
        <v>611</v>
      </c>
      <c r="I1996" s="21">
        <v>4374000</v>
      </c>
      <c r="J1996" s="21"/>
      <c r="K1996" s="22">
        <v>831060</v>
      </c>
      <c r="L1996" s="23"/>
      <c r="M1996" s="22">
        <v>0</v>
      </c>
      <c r="N1996" s="74">
        <v>0</v>
      </c>
      <c r="O1996" s="22">
        <v>0</v>
      </c>
      <c r="P1996" s="21">
        <v>5205060</v>
      </c>
      <c r="S1996" s="108" t="b">
        <f>OR(COUNTIF(Tabla2[[#This Row],[PROVEEDOR]],"*"&amp;'Palabra no opera'!$A$2&amp;"*"))</f>
        <v>1</v>
      </c>
      <c r="T1996" s="139">
        <f>+$W$5-Tabla2[[#This Row],[FECHA DE FACTURACIÓN]]</f>
        <v>611</v>
      </c>
      <c r="U1996" t="str">
        <f>+IF(Tabla2[[#This Row],[dias de credito]]&gt;=Tabla2[[#This Row],[PLAZO Días]],"venc", "No venc")</f>
        <v>venc</v>
      </c>
      <c r="V1996" t="str">
        <f>+IF(Tabla2[[#This Row],[FECHA DE PAGO]]&gt;0,"pagada","por pagar")</f>
        <v>pagada</v>
      </c>
      <c r="W1996" s="141" t="str">
        <f>+IF(AND(Tabla2[[#This Row],[venc]]="venc",Tabla2[[#This Row],[Columna1]]="por pagar"),"vencida","no")</f>
        <v>no</v>
      </c>
    </row>
    <row r="1997" spans="1:23" ht="15.6" hidden="1" x14ac:dyDescent="0.3">
      <c r="A1997" s="20">
        <v>30</v>
      </c>
      <c r="B1997" s="25">
        <v>0</v>
      </c>
      <c r="C1997" s="25"/>
      <c r="D1997" s="56" t="s">
        <v>211</v>
      </c>
      <c r="E1997" s="426">
        <v>44688</v>
      </c>
      <c r="F1997" s="26" t="s">
        <v>400</v>
      </c>
      <c r="G1997" s="426">
        <v>44632</v>
      </c>
      <c r="H1997" s="35" t="s">
        <v>453</v>
      </c>
      <c r="I1997" s="21">
        <v>3320000</v>
      </c>
      <c r="J1997" s="21"/>
      <c r="K1997" s="22">
        <v>0</v>
      </c>
      <c r="L1997" s="23"/>
      <c r="M1997" s="22">
        <v>0</v>
      </c>
      <c r="N1997" s="74">
        <v>0</v>
      </c>
      <c r="O1997" s="22">
        <v>0</v>
      </c>
      <c r="P1997" s="21">
        <v>3320000</v>
      </c>
      <c r="S1997" s="108" t="b">
        <f>OR(COUNTIF(Tabla2[[#This Row],[PROVEEDOR]],"*"&amp;'Palabra no opera'!$A$2&amp;"*"))</f>
        <v>0</v>
      </c>
      <c r="T1997" s="139">
        <f>+$W$5-Tabla2[[#This Row],[FECHA DE FACTURACIÓN]]</f>
        <v>659</v>
      </c>
      <c r="U1997" t="str">
        <f>+IF(Tabla2[[#This Row],[dias de credito]]&gt;=Tabla2[[#This Row],[PLAZO Días]],"venc", "No venc")</f>
        <v>venc</v>
      </c>
      <c r="V1997" t="str">
        <f>+IF(Tabla2[[#This Row],[FECHA DE PAGO]]&gt;0,"pagada","por pagar")</f>
        <v>pagada</v>
      </c>
      <c r="W1997" s="141" t="str">
        <f>+IF(AND(Tabla2[[#This Row],[venc]]="venc",Tabla2[[#This Row],[Columna1]]="por pagar"),"vencida","no")</f>
        <v>no</v>
      </c>
    </row>
    <row r="1998" spans="1:23" ht="15.6" hidden="1" x14ac:dyDescent="0.3">
      <c r="A1998" s="20">
        <v>30</v>
      </c>
      <c r="B1998" s="25">
        <v>0</v>
      </c>
      <c r="C1998" s="25"/>
      <c r="D1998" s="56" t="s">
        <v>107</v>
      </c>
      <c r="E1998" s="426">
        <v>44687</v>
      </c>
      <c r="F1998" s="26" t="s">
        <v>401</v>
      </c>
      <c r="G1998" s="426">
        <v>44672</v>
      </c>
      <c r="H1998" s="35" t="s">
        <v>1020</v>
      </c>
      <c r="I1998" s="21">
        <v>215500</v>
      </c>
      <c r="J1998" s="21"/>
      <c r="K1998" s="22">
        <v>0</v>
      </c>
      <c r="L1998" s="23"/>
      <c r="M1998" s="22">
        <v>0</v>
      </c>
      <c r="N1998" s="74">
        <v>0</v>
      </c>
      <c r="O1998" s="22">
        <v>0</v>
      </c>
      <c r="P1998" s="21">
        <v>215500</v>
      </c>
      <c r="S1998" s="108" t="b">
        <f>OR(COUNTIF(Tabla2[[#This Row],[PROVEEDOR]],"*"&amp;'Palabra no opera'!$A$2&amp;"*"))</f>
        <v>0</v>
      </c>
      <c r="T1998" s="139">
        <f>+$W$5-Tabla2[[#This Row],[FECHA DE FACTURACIÓN]]</f>
        <v>619</v>
      </c>
      <c r="U1998" t="str">
        <f>+IF(Tabla2[[#This Row],[dias de credito]]&gt;=Tabla2[[#This Row],[PLAZO Días]],"venc", "No venc")</f>
        <v>venc</v>
      </c>
      <c r="V1998" t="str">
        <f>+IF(Tabla2[[#This Row],[FECHA DE PAGO]]&gt;0,"pagada","por pagar")</f>
        <v>pagada</v>
      </c>
      <c r="W1998" s="141" t="str">
        <f>+IF(AND(Tabla2[[#This Row],[venc]]="venc",Tabla2[[#This Row],[Columna1]]="por pagar"),"vencida","no")</f>
        <v>no</v>
      </c>
    </row>
    <row r="1999" spans="1:23" ht="15.6" hidden="1" x14ac:dyDescent="0.3">
      <c r="A1999" s="20">
        <v>30</v>
      </c>
      <c r="B1999" s="25">
        <v>0</v>
      </c>
      <c r="C1999" s="25"/>
      <c r="D1999" s="56" t="s">
        <v>107</v>
      </c>
      <c r="E1999" s="426">
        <v>44687</v>
      </c>
      <c r="F1999" s="26" t="s">
        <v>401</v>
      </c>
      <c r="G1999" s="426">
        <v>44644</v>
      </c>
      <c r="H1999" s="35" t="s">
        <v>439</v>
      </c>
      <c r="I1999" s="21">
        <v>1645000</v>
      </c>
      <c r="J1999" s="21"/>
      <c r="K1999" s="22">
        <v>0</v>
      </c>
      <c r="L1999" s="23"/>
      <c r="M1999" s="22">
        <v>0</v>
      </c>
      <c r="N1999" s="74">
        <v>0</v>
      </c>
      <c r="O1999" s="22">
        <v>0</v>
      </c>
      <c r="P1999" s="21">
        <v>1645000</v>
      </c>
      <c r="S1999" s="108" t="b">
        <f>OR(COUNTIF(Tabla2[[#This Row],[PROVEEDOR]],"*"&amp;'Palabra no opera'!$A$2&amp;"*"))</f>
        <v>0</v>
      </c>
      <c r="T1999" s="139">
        <f>+$W$5-Tabla2[[#This Row],[FECHA DE FACTURACIÓN]]</f>
        <v>647</v>
      </c>
      <c r="U1999" t="str">
        <f>+IF(Tabla2[[#This Row],[dias de credito]]&gt;=Tabla2[[#This Row],[PLAZO Días]],"venc", "No venc")</f>
        <v>venc</v>
      </c>
      <c r="V1999" t="str">
        <f>+IF(Tabla2[[#This Row],[FECHA DE PAGO]]&gt;0,"pagada","por pagar")</f>
        <v>pagada</v>
      </c>
      <c r="W1999" s="141" t="str">
        <f>+IF(AND(Tabla2[[#This Row],[venc]]="venc",Tabla2[[#This Row],[Columna1]]="por pagar"),"vencida","no")</f>
        <v>no</v>
      </c>
    </row>
    <row r="2000" spans="1:23" ht="15.6" hidden="1" x14ac:dyDescent="0.3">
      <c r="A2000" s="20">
        <v>30</v>
      </c>
      <c r="B2000" s="25">
        <v>0</v>
      </c>
      <c r="C2000" s="25"/>
      <c r="D2000" s="56" t="s">
        <v>258</v>
      </c>
      <c r="E2000" s="426">
        <v>44687</v>
      </c>
      <c r="F2000" s="26" t="s">
        <v>394</v>
      </c>
      <c r="G2000" s="426">
        <v>44623</v>
      </c>
      <c r="H2000" s="35" t="s">
        <v>1007</v>
      </c>
      <c r="I2000" s="21">
        <v>1850000</v>
      </c>
      <c r="J2000" s="21"/>
      <c r="K2000" s="22">
        <v>0</v>
      </c>
      <c r="L2000" s="23"/>
      <c r="M2000" s="22">
        <v>0</v>
      </c>
      <c r="N2000" s="74">
        <v>0</v>
      </c>
      <c r="O2000" s="22">
        <v>0</v>
      </c>
      <c r="P2000" s="21">
        <v>1850000</v>
      </c>
      <c r="S2000" s="108" t="b">
        <f>OR(COUNTIF(Tabla2[[#This Row],[PROVEEDOR]],"*"&amp;'Palabra no opera'!$A$2&amp;"*"))</f>
        <v>0</v>
      </c>
      <c r="T2000" s="139">
        <f>+$W$5-Tabla2[[#This Row],[FECHA DE FACTURACIÓN]]</f>
        <v>668</v>
      </c>
      <c r="U2000" t="str">
        <f>+IF(Tabla2[[#This Row],[dias de credito]]&gt;=Tabla2[[#This Row],[PLAZO Días]],"venc", "No venc")</f>
        <v>venc</v>
      </c>
      <c r="V2000" t="str">
        <f>+IF(Tabla2[[#This Row],[FECHA DE PAGO]]&gt;0,"pagada","por pagar")</f>
        <v>pagada</v>
      </c>
      <c r="W2000" s="141" t="str">
        <f>+IF(AND(Tabla2[[#This Row],[venc]]="venc",Tabla2[[#This Row],[Columna1]]="por pagar"),"vencida","no")</f>
        <v>no</v>
      </c>
    </row>
    <row r="2001" spans="1:23" ht="15.6" hidden="1" x14ac:dyDescent="0.3">
      <c r="A2001" s="20">
        <v>30</v>
      </c>
      <c r="B2001" s="25">
        <v>0</v>
      </c>
      <c r="C2001" s="25"/>
      <c r="D2001" s="56" t="s">
        <v>107</v>
      </c>
      <c r="E2001" s="426">
        <v>44686</v>
      </c>
      <c r="F2001" s="26" t="s">
        <v>390</v>
      </c>
      <c r="G2001" s="426">
        <v>44686</v>
      </c>
      <c r="H2001" s="35"/>
      <c r="I2001" s="21">
        <v>1000000</v>
      </c>
      <c r="J2001" s="21"/>
      <c r="K2001" s="22">
        <v>0</v>
      </c>
      <c r="L2001" s="23"/>
      <c r="M2001" s="22">
        <v>0</v>
      </c>
      <c r="N2001" s="74">
        <v>0</v>
      </c>
      <c r="O2001" s="22">
        <v>0</v>
      </c>
      <c r="P2001" s="21">
        <v>1000000</v>
      </c>
      <c r="S2001" s="108" t="b">
        <f>OR(COUNTIF(Tabla2[[#This Row],[PROVEEDOR]],"*"&amp;'Palabra no opera'!$A$2&amp;"*"))</f>
        <v>0</v>
      </c>
      <c r="T2001" s="139">
        <f>+$W$5-Tabla2[[#This Row],[FECHA DE FACTURACIÓN]]</f>
        <v>605</v>
      </c>
      <c r="U2001" t="str">
        <f>+IF(Tabla2[[#This Row],[dias de credito]]&gt;=Tabla2[[#This Row],[PLAZO Días]],"venc", "No venc")</f>
        <v>venc</v>
      </c>
      <c r="V2001" t="str">
        <f>+IF(Tabla2[[#This Row],[FECHA DE PAGO]]&gt;0,"pagada","por pagar")</f>
        <v>pagada</v>
      </c>
      <c r="W2001" s="141" t="str">
        <f>+IF(AND(Tabla2[[#This Row],[venc]]="venc",Tabla2[[#This Row],[Columna1]]="por pagar"),"vencida","no")</f>
        <v>no</v>
      </c>
    </row>
    <row r="2002" spans="1:23" ht="15.6" hidden="1" x14ac:dyDescent="0.3">
      <c r="A2002" s="20">
        <v>30</v>
      </c>
      <c r="B2002" s="25">
        <v>2100000</v>
      </c>
      <c r="C2002" s="25"/>
      <c r="D2002" s="56" t="s">
        <v>107</v>
      </c>
      <c r="E2002" s="426">
        <v>44686</v>
      </c>
      <c r="F2002" s="26" t="s">
        <v>349</v>
      </c>
      <c r="G2002" s="426">
        <v>44649</v>
      </c>
      <c r="H2002" s="35" t="s">
        <v>424</v>
      </c>
      <c r="I2002" s="21">
        <v>3750700</v>
      </c>
      <c r="J2002" s="21"/>
      <c r="K2002" s="22">
        <v>0</v>
      </c>
      <c r="L2002" s="23"/>
      <c r="M2002" s="22">
        <v>0</v>
      </c>
      <c r="N2002" s="74">
        <v>0</v>
      </c>
      <c r="O2002" s="22">
        <v>0</v>
      </c>
      <c r="P2002" s="21">
        <v>3750700</v>
      </c>
      <c r="S2002" s="108" t="b">
        <f>OR(COUNTIF(Tabla2[[#This Row],[PROVEEDOR]],"*"&amp;'Palabra no opera'!$A$2&amp;"*"))</f>
        <v>0</v>
      </c>
      <c r="T2002" s="139">
        <f>+$W$5-Tabla2[[#This Row],[FECHA DE FACTURACIÓN]]</f>
        <v>642</v>
      </c>
      <c r="U2002" t="str">
        <f>+IF(Tabla2[[#This Row],[dias de credito]]&gt;=Tabla2[[#This Row],[PLAZO Días]],"venc", "No venc")</f>
        <v>venc</v>
      </c>
      <c r="V2002" t="str">
        <f>+IF(Tabla2[[#This Row],[FECHA DE PAGO]]&gt;0,"pagada","por pagar")</f>
        <v>pagada</v>
      </c>
      <c r="W2002" s="141" t="str">
        <f>+IF(AND(Tabla2[[#This Row],[venc]]="venc",Tabla2[[#This Row],[Columna1]]="por pagar"),"vencida","no")</f>
        <v>no</v>
      </c>
    </row>
    <row r="2003" spans="1:23" ht="15.6" hidden="1" x14ac:dyDescent="0.3">
      <c r="A2003" s="20">
        <v>30</v>
      </c>
      <c r="B2003" s="25">
        <v>0</v>
      </c>
      <c r="C2003" s="25"/>
      <c r="D2003" s="56" t="s">
        <v>402</v>
      </c>
      <c r="E2003" s="426">
        <v>44686</v>
      </c>
      <c r="F2003" s="26" t="s">
        <v>403</v>
      </c>
      <c r="G2003" s="426">
        <v>44649</v>
      </c>
      <c r="H2003" s="35" t="s">
        <v>1013</v>
      </c>
      <c r="I2003" s="21">
        <v>936000</v>
      </c>
      <c r="J2003" s="21"/>
      <c r="K2003" s="22">
        <v>0</v>
      </c>
      <c r="L2003" s="23"/>
      <c r="M2003" s="22">
        <v>0</v>
      </c>
      <c r="N2003" s="74">
        <v>0</v>
      </c>
      <c r="O2003" s="22">
        <v>0</v>
      </c>
      <c r="P2003" s="21">
        <v>936000</v>
      </c>
      <c r="S2003" s="108" t="b">
        <f>OR(COUNTIF(Tabla2[[#This Row],[PROVEEDOR]],"*"&amp;'Palabra no opera'!$A$2&amp;"*"))</f>
        <v>0</v>
      </c>
      <c r="T2003" s="139">
        <f>+$W$5-Tabla2[[#This Row],[FECHA DE FACTURACIÓN]]</f>
        <v>642</v>
      </c>
      <c r="U2003" t="str">
        <f>+IF(Tabla2[[#This Row],[dias de credito]]&gt;=Tabla2[[#This Row],[PLAZO Días]],"venc", "No venc")</f>
        <v>venc</v>
      </c>
      <c r="V2003" t="str">
        <f>+IF(Tabla2[[#This Row],[FECHA DE PAGO]]&gt;0,"pagada","por pagar")</f>
        <v>pagada</v>
      </c>
      <c r="W2003" s="141" t="str">
        <f>+IF(AND(Tabla2[[#This Row],[venc]]="venc",Tabla2[[#This Row],[Columna1]]="por pagar"),"vencida","no")</f>
        <v>no</v>
      </c>
    </row>
    <row r="2004" spans="1:23" ht="15.6" hidden="1" x14ac:dyDescent="0.3">
      <c r="A2004" s="20">
        <v>30</v>
      </c>
      <c r="B2004" s="25">
        <v>0</v>
      </c>
      <c r="C2004" s="25"/>
      <c r="D2004" s="56" t="s">
        <v>402</v>
      </c>
      <c r="E2004" s="426">
        <v>44686</v>
      </c>
      <c r="F2004" s="26" t="s">
        <v>403</v>
      </c>
      <c r="G2004" s="426">
        <v>44617</v>
      </c>
      <c r="H2004" s="35" t="s">
        <v>1005</v>
      </c>
      <c r="I2004" s="21">
        <v>2760000</v>
      </c>
      <c r="J2004" s="21"/>
      <c r="K2004" s="22">
        <v>0</v>
      </c>
      <c r="L2004" s="23"/>
      <c r="M2004" s="22">
        <v>0</v>
      </c>
      <c r="N2004" s="74">
        <v>0</v>
      </c>
      <c r="O2004" s="22">
        <v>0</v>
      </c>
      <c r="P2004" s="21">
        <v>2760000</v>
      </c>
      <c r="S2004" s="108" t="b">
        <f>OR(COUNTIF(Tabla2[[#This Row],[PROVEEDOR]],"*"&amp;'Palabra no opera'!$A$2&amp;"*"))</f>
        <v>0</v>
      </c>
      <c r="T2004" s="139">
        <f>+$W$5-Tabla2[[#This Row],[FECHA DE FACTURACIÓN]]</f>
        <v>674</v>
      </c>
      <c r="U2004" t="str">
        <f>+IF(Tabla2[[#This Row],[dias de credito]]&gt;=Tabla2[[#This Row],[PLAZO Días]],"venc", "No venc")</f>
        <v>venc</v>
      </c>
      <c r="V2004" t="str">
        <f>+IF(Tabla2[[#This Row],[FECHA DE PAGO]]&gt;0,"pagada","por pagar")</f>
        <v>pagada</v>
      </c>
      <c r="W2004" s="141" t="str">
        <f>+IF(AND(Tabla2[[#This Row],[venc]]="venc",Tabla2[[#This Row],[Columna1]]="por pagar"),"vencida","no")</f>
        <v>no</v>
      </c>
    </row>
    <row r="2005" spans="1:23" ht="15.6" hidden="1" x14ac:dyDescent="0.3">
      <c r="A2005" s="20">
        <v>30</v>
      </c>
      <c r="B2005" s="25">
        <v>0</v>
      </c>
      <c r="C2005" s="25"/>
      <c r="D2005" s="56" t="s">
        <v>176</v>
      </c>
      <c r="E2005" s="426">
        <v>44685</v>
      </c>
      <c r="F2005" s="26" t="s">
        <v>967</v>
      </c>
      <c r="G2005" s="426">
        <v>44668</v>
      </c>
      <c r="H2005" s="35">
        <v>220</v>
      </c>
      <c r="I2005" s="21">
        <v>399000</v>
      </c>
      <c r="J2005" s="21"/>
      <c r="K2005" s="22">
        <v>0</v>
      </c>
      <c r="L2005" s="23"/>
      <c r="M2005" s="22">
        <v>0</v>
      </c>
      <c r="N2005" s="74">
        <v>0.01</v>
      </c>
      <c r="O2005" s="22">
        <v>3990</v>
      </c>
      <c r="P2005" s="21">
        <v>395010</v>
      </c>
      <c r="S2005" s="108" t="b">
        <f>OR(COUNTIF(Tabla2[[#This Row],[PROVEEDOR]],"*"&amp;'Palabra no opera'!$A$2&amp;"*"))</f>
        <v>0</v>
      </c>
      <c r="T2005" s="139">
        <f>+$W$5-Tabla2[[#This Row],[FECHA DE FACTURACIÓN]]</f>
        <v>623</v>
      </c>
      <c r="U2005" t="str">
        <f>+IF(Tabla2[[#This Row],[dias de credito]]&gt;=Tabla2[[#This Row],[PLAZO Días]],"venc", "No venc")</f>
        <v>venc</v>
      </c>
      <c r="V2005" t="str">
        <f>+IF(Tabla2[[#This Row],[FECHA DE PAGO]]&gt;0,"pagada","por pagar")</f>
        <v>pagada</v>
      </c>
      <c r="W2005" s="141" t="str">
        <f>+IF(AND(Tabla2[[#This Row],[venc]]="venc",Tabla2[[#This Row],[Columna1]]="por pagar"),"vencida","no")</f>
        <v>no</v>
      </c>
    </row>
    <row r="2006" spans="1:23" ht="15.6" hidden="1" x14ac:dyDescent="0.3">
      <c r="A2006" s="20">
        <v>30</v>
      </c>
      <c r="B2006" s="25">
        <v>0</v>
      </c>
      <c r="C2006" s="25"/>
      <c r="D2006" s="56" t="s">
        <v>659</v>
      </c>
      <c r="E2006" s="426">
        <v>44685</v>
      </c>
      <c r="F2006" s="26" t="s">
        <v>227</v>
      </c>
      <c r="G2006" s="426">
        <v>44665</v>
      </c>
      <c r="H2006" s="35" t="s">
        <v>572</v>
      </c>
      <c r="I2006" s="21">
        <v>264406</v>
      </c>
      <c r="J2006" s="21"/>
      <c r="K2006" s="22">
        <v>0</v>
      </c>
      <c r="L2006" s="23"/>
      <c r="M2006" s="22">
        <v>0</v>
      </c>
      <c r="N2006" s="74">
        <v>0</v>
      </c>
      <c r="O2006" s="22">
        <v>0</v>
      </c>
      <c r="P2006" s="21">
        <v>264406</v>
      </c>
      <c r="S2006" s="108" t="b">
        <f>OR(COUNTIF(Tabla2[[#This Row],[PROVEEDOR]],"*"&amp;'Palabra no opera'!$A$2&amp;"*"))</f>
        <v>0</v>
      </c>
      <c r="T2006" s="139">
        <f>+$W$5-Tabla2[[#This Row],[FECHA DE FACTURACIÓN]]</f>
        <v>626</v>
      </c>
      <c r="U2006" t="str">
        <f>+IF(Tabla2[[#This Row],[dias de credito]]&gt;=Tabla2[[#This Row],[PLAZO Días]],"venc", "No venc")</f>
        <v>venc</v>
      </c>
      <c r="V2006" t="str">
        <f>+IF(Tabla2[[#This Row],[FECHA DE PAGO]]&gt;0,"pagada","por pagar")</f>
        <v>pagada</v>
      </c>
      <c r="W2006" s="141" t="str">
        <f>+IF(AND(Tabla2[[#This Row],[venc]]="venc",Tabla2[[#This Row],[Columna1]]="por pagar"),"vencida","no")</f>
        <v>no</v>
      </c>
    </row>
    <row r="2007" spans="1:23" ht="15.6" hidden="1" x14ac:dyDescent="0.3">
      <c r="A2007" s="20">
        <v>30</v>
      </c>
      <c r="B2007" s="25">
        <v>2773899.95</v>
      </c>
      <c r="C2007" s="25"/>
      <c r="D2007" s="56" t="s">
        <v>135</v>
      </c>
      <c r="E2007" s="426">
        <v>44685</v>
      </c>
      <c r="F2007" s="26" t="s">
        <v>20</v>
      </c>
      <c r="G2007" s="426">
        <v>44636</v>
      </c>
      <c r="H2007" s="35">
        <v>6577</v>
      </c>
      <c r="I2007" s="21">
        <v>2918615.3</v>
      </c>
      <c r="J2007" s="21"/>
      <c r="K2007" s="22">
        <v>554536.90700000001</v>
      </c>
      <c r="L2007" s="23"/>
      <c r="M2007" s="22">
        <v>0</v>
      </c>
      <c r="N2007" s="74">
        <v>2.5000000000000001E-2</v>
      </c>
      <c r="O2007" s="22">
        <v>72965.382499999992</v>
      </c>
      <c r="P2007" s="21">
        <v>3400186.8245000001</v>
      </c>
      <c r="S2007" s="108" t="b">
        <f>OR(COUNTIF(Tabla2[[#This Row],[PROVEEDOR]],"*"&amp;'Palabra no opera'!$A$2&amp;"*"))</f>
        <v>0</v>
      </c>
      <c r="T2007" s="139">
        <f>+$W$5-Tabla2[[#This Row],[FECHA DE FACTURACIÓN]]</f>
        <v>655</v>
      </c>
      <c r="U2007" t="str">
        <f>+IF(Tabla2[[#This Row],[dias de credito]]&gt;=Tabla2[[#This Row],[PLAZO Días]],"venc", "No venc")</f>
        <v>venc</v>
      </c>
      <c r="V2007" t="str">
        <f>+IF(Tabla2[[#This Row],[FECHA DE PAGO]]&gt;0,"pagada","por pagar")</f>
        <v>pagada</v>
      </c>
      <c r="W2007" s="141" t="str">
        <f>+IF(AND(Tabla2[[#This Row],[venc]]="venc",Tabla2[[#This Row],[Columna1]]="por pagar"),"vencida","no")</f>
        <v>no</v>
      </c>
    </row>
    <row r="2008" spans="1:23" ht="15.6" hidden="1" x14ac:dyDescent="0.3">
      <c r="A2008" s="20">
        <v>30</v>
      </c>
      <c r="B2008" s="25">
        <v>0</v>
      </c>
      <c r="C2008" s="25"/>
      <c r="D2008" s="56">
        <v>0</v>
      </c>
      <c r="E2008" s="426">
        <v>44684</v>
      </c>
      <c r="F2008" s="26" t="s">
        <v>413</v>
      </c>
      <c r="G2008" s="426">
        <v>44707</v>
      </c>
      <c r="H2008" s="35" t="s">
        <v>1037</v>
      </c>
      <c r="I2008" s="21">
        <v>390000</v>
      </c>
      <c r="J2008" s="21"/>
      <c r="K2008" s="22">
        <v>0</v>
      </c>
      <c r="L2008" s="23"/>
      <c r="M2008" s="22">
        <v>0</v>
      </c>
      <c r="N2008" s="74">
        <v>0</v>
      </c>
      <c r="O2008" s="22">
        <v>0</v>
      </c>
      <c r="P2008" s="21">
        <v>390000</v>
      </c>
      <c r="S2008" s="108" t="b">
        <f>OR(COUNTIF(Tabla2[[#This Row],[PROVEEDOR]],"*"&amp;'Palabra no opera'!$A$2&amp;"*"))</f>
        <v>0</v>
      </c>
      <c r="T2008" s="139">
        <f>+$W$5-Tabla2[[#This Row],[FECHA DE FACTURACIÓN]]</f>
        <v>584</v>
      </c>
      <c r="U2008" t="str">
        <f>+IF(Tabla2[[#This Row],[dias de credito]]&gt;=Tabla2[[#This Row],[PLAZO Días]],"venc", "No venc")</f>
        <v>venc</v>
      </c>
      <c r="V2008" t="str">
        <f>+IF(Tabla2[[#This Row],[FECHA DE PAGO]]&gt;0,"pagada","por pagar")</f>
        <v>pagada</v>
      </c>
      <c r="W2008" s="141" t="str">
        <f>+IF(AND(Tabla2[[#This Row],[venc]]="venc",Tabla2[[#This Row],[Columna1]]="por pagar"),"vencida","no")</f>
        <v>no</v>
      </c>
    </row>
    <row r="2009" spans="1:23" ht="15.6" hidden="1" x14ac:dyDescent="0.3">
      <c r="A2009" s="20">
        <v>30</v>
      </c>
      <c r="B2009" s="25">
        <v>17870934.149999999</v>
      </c>
      <c r="C2009" s="25"/>
      <c r="D2009" s="56" t="s">
        <v>182</v>
      </c>
      <c r="E2009" s="426">
        <v>44684</v>
      </c>
      <c r="F2009" s="26" t="s">
        <v>18</v>
      </c>
      <c r="G2009" s="426">
        <v>44645</v>
      </c>
      <c r="H2009" s="35">
        <v>1051505</v>
      </c>
      <c r="I2009" s="21">
        <v>713143.68</v>
      </c>
      <c r="J2009" s="21"/>
      <c r="K2009" s="22">
        <v>135497.29920000001</v>
      </c>
      <c r="L2009" s="23"/>
      <c r="M2009" s="22">
        <v>0</v>
      </c>
      <c r="N2009" s="74">
        <v>0</v>
      </c>
      <c r="O2009" s="22">
        <v>0</v>
      </c>
      <c r="P2009" s="21">
        <v>848640.97920000006</v>
      </c>
      <c r="S2009" s="108" t="b">
        <f>OR(COUNTIF(Tabla2[[#This Row],[PROVEEDOR]],"*"&amp;'Palabra no opera'!$A$2&amp;"*"))</f>
        <v>0</v>
      </c>
      <c r="T2009" s="139">
        <f>+$W$5-Tabla2[[#This Row],[FECHA DE FACTURACIÓN]]</f>
        <v>646</v>
      </c>
      <c r="U2009" t="str">
        <f>+IF(Tabla2[[#This Row],[dias de credito]]&gt;=Tabla2[[#This Row],[PLAZO Días]],"venc", "No venc")</f>
        <v>venc</v>
      </c>
      <c r="V2009" t="str">
        <f>+IF(Tabla2[[#This Row],[FECHA DE PAGO]]&gt;0,"pagada","por pagar")</f>
        <v>pagada</v>
      </c>
      <c r="W2009" s="141" t="str">
        <f>+IF(AND(Tabla2[[#This Row],[venc]]="venc",Tabla2[[#This Row],[Columna1]]="por pagar"),"vencida","no")</f>
        <v>no</v>
      </c>
    </row>
    <row r="2010" spans="1:23" ht="15.6" hidden="1" x14ac:dyDescent="0.3">
      <c r="A2010" s="20">
        <v>30</v>
      </c>
      <c r="B2010" s="25">
        <v>10321993.199999999</v>
      </c>
      <c r="C2010" s="25"/>
      <c r="D2010" s="56" t="s">
        <v>189</v>
      </c>
      <c r="E2010" s="426">
        <v>44684</v>
      </c>
      <c r="F2010" s="26" t="s">
        <v>1068</v>
      </c>
      <c r="G2010" s="426">
        <v>44644</v>
      </c>
      <c r="H2010" s="35">
        <v>25131</v>
      </c>
      <c r="I2010" s="21">
        <v>297600</v>
      </c>
      <c r="J2010" s="21">
        <v>29760</v>
      </c>
      <c r="K2010" s="22">
        <v>50889.599999999999</v>
      </c>
      <c r="L2010" s="23"/>
      <c r="M2010" s="22">
        <v>0</v>
      </c>
      <c r="N2010" s="74">
        <v>0</v>
      </c>
      <c r="O2010" s="22">
        <v>0</v>
      </c>
      <c r="P2010" s="21">
        <v>318729.59999999998</v>
      </c>
      <c r="S2010" s="108" t="b">
        <f>OR(COUNTIF(Tabla2[[#This Row],[PROVEEDOR]],"*"&amp;'Palabra no opera'!$A$2&amp;"*"))</f>
        <v>0</v>
      </c>
      <c r="T2010" s="139">
        <f>+$W$5-Tabla2[[#This Row],[FECHA DE FACTURACIÓN]]</f>
        <v>647</v>
      </c>
      <c r="U2010" t="str">
        <f>+IF(Tabla2[[#This Row],[dias de credito]]&gt;=Tabla2[[#This Row],[PLAZO Días]],"venc", "No venc")</f>
        <v>venc</v>
      </c>
      <c r="V2010" t="str">
        <f>+IF(Tabla2[[#This Row],[FECHA DE PAGO]]&gt;0,"pagada","por pagar")</f>
        <v>pagada</v>
      </c>
      <c r="W2010" s="141" t="str">
        <f>+IF(AND(Tabla2[[#This Row],[venc]]="venc",Tabla2[[#This Row],[Columna1]]="por pagar"),"vencida","no")</f>
        <v>no</v>
      </c>
    </row>
    <row r="2011" spans="1:23" ht="15.6" hidden="1" x14ac:dyDescent="0.3">
      <c r="A2011" s="20">
        <v>30</v>
      </c>
      <c r="B2011" s="25">
        <v>17870934.149999999</v>
      </c>
      <c r="C2011" s="25"/>
      <c r="D2011" s="56" t="s">
        <v>182</v>
      </c>
      <c r="E2011" s="426">
        <v>44684</v>
      </c>
      <c r="F2011" s="26" t="s">
        <v>18</v>
      </c>
      <c r="G2011" s="426">
        <v>44638</v>
      </c>
      <c r="H2011" s="35">
        <v>1051239</v>
      </c>
      <c r="I2011" s="21">
        <v>378530.4</v>
      </c>
      <c r="J2011" s="21"/>
      <c r="K2011" s="22">
        <v>71920.775999999998</v>
      </c>
      <c r="L2011" s="23"/>
      <c r="M2011" s="22">
        <v>0</v>
      </c>
      <c r="N2011" s="74">
        <v>0</v>
      </c>
      <c r="O2011" s="22">
        <v>0</v>
      </c>
      <c r="P2011" s="21">
        <v>450451.17600000004</v>
      </c>
      <c r="S2011" s="108" t="b">
        <f>OR(COUNTIF(Tabla2[[#This Row],[PROVEEDOR]],"*"&amp;'Palabra no opera'!$A$2&amp;"*"))</f>
        <v>0</v>
      </c>
      <c r="T2011" s="139">
        <f>+$W$5-Tabla2[[#This Row],[FECHA DE FACTURACIÓN]]</f>
        <v>653</v>
      </c>
      <c r="U2011" t="str">
        <f>+IF(Tabla2[[#This Row],[dias de credito]]&gt;=Tabla2[[#This Row],[PLAZO Días]],"venc", "No venc")</f>
        <v>venc</v>
      </c>
      <c r="V2011" t="str">
        <f>+IF(Tabla2[[#This Row],[FECHA DE PAGO]]&gt;0,"pagada","por pagar")</f>
        <v>pagada</v>
      </c>
      <c r="W2011" s="141" t="str">
        <f>+IF(AND(Tabla2[[#This Row],[venc]]="venc",Tabla2[[#This Row],[Columna1]]="por pagar"),"vencida","no")</f>
        <v>no</v>
      </c>
    </row>
    <row r="2012" spans="1:23" ht="15.6" hidden="1" x14ac:dyDescent="0.3">
      <c r="A2012" s="20">
        <v>30</v>
      </c>
      <c r="B2012" s="25">
        <v>17870934.149999999</v>
      </c>
      <c r="C2012" s="25"/>
      <c r="D2012" s="56" t="s">
        <v>182</v>
      </c>
      <c r="E2012" s="426">
        <v>44684</v>
      </c>
      <c r="F2012" s="26" t="s">
        <v>18</v>
      </c>
      <c r="G2012" s="426">
        <v>44634</v>
      </c>
      <c r="H2012" s="35">
        <v>1051102</v>
      </c>
      <c r="I2012" s="21">
        <v>3580988</v>
      </c>
      <c r="J2012" s="21"/>
      <c r="K2012" s="22">
        <v>680387.72</v>
      </c>
      <c r="L2012" s="23"/>
      <c r="M2012" s="22">
        <v>0</v>
      </c>
      <c r="N2012" s="74">
        <v>2.5000000000000001E-2</v>
      </c>
      <c r="O2012" s="22">
        <v>89524.700000000012</v>
      </c>
      <c r="P2012" s="21">
        <v>4171851.0199999996</v>
      </c>
      <c r="S2012" s="108" t="b">
        <f>OR(COUNTIF(Tabla2[[#This Row],[PROVEEDOR]],"*"&amp;'Palabra no opera'!$A$2&amp;"*"))</f>
        <v>0</v>
      </c>
      <c r="T2012" s="139">
        <f>+$W$5-Tabla2[[#This Row],[FECHA DE FACTURACIÓN]]</f>
        <v>657</v>
      </c>
      <c r="U2012" t="str">
        <f>+IF(Tabla2[[#This Row],[dias de credito]]&gt;=Tabla2[[#This Row],[PLAZO Días]],"venc", "No venc")</f>
        <v>venc</v>
      </c>
      <c r="V2012" t="str">
        <f>+IF(Tabla2[[#This Row],[FECHA DE PAGO]]&gt;0,"pagada","por pagar")</f>
        <v>pagada</v>
      </c>
      <c r="W2012" s="141" t="str">
        <f>+IF(AND(Tabla2[[#This Row],[venc]]="venc",Tabla2[[#This Row],[Columna1]]="por pagar"),"vencida","no")</f>
        <v>no</v>
      </c>
    </row>
    <row r="2013" spans="1:23" ht="15.6" hidden="1" x14ac:dyDescent="0.3">
      <c r="A2013" s="20">
        <v>30</v>
      </c>
      <c r="B2013" s="25">
        <v>0</v>
      </c>
      <c r="C2013" s="25"/>
      <c r="D2013" s="56" t="s">
        <v>190</v>
      </c>
      <c r="E2013" s="426">
        <v>44684</v>
      </c>
      <c r="F2013" s="26" t="s">
        <v>964</v>
      </c>
      <c r="G2013" s="426">
        <v>44632</v>
      </c>
      <c r="H2013" s="35">
        <v>28365</v>
      </c>
      <c r="I2013" s="21">
        <v>1246200</v>
      </c>
      <c r="J2013" s="21"/>
      <c r="K2013" s="22">
        <v>236778</v>
      </c>
      <c r="L2013" s="23"/>
      <c r="M2013" s="22">
        <v>0</v>
      </c>
      <c r="N2013" s="74">
        <v>2.5000000000000001E-2</v>
      </c>
      <c r="O2013" s="22">
        <v>31155</v>
      </c>
      <c r="P2013" s="21">
        <v>1451823</v>
      </c>
      <c r="S2013" s="108" t="b">
        <f>OR(COUNTIF(Tabla2[[#This Row],[PROVEEDOR]],"*"&amp;'Palabra no opera'!$A$2&amp;"*"))</f>
        <v>0</v>
      </c>
      <c r="T2013" s="139">
        <f>+$W$5-Tabla2[[#This Row],[FECHA DE FACTURACIÓN]]</f>
        <v>659</v>
      </c>
      <c r="U2013" t="str">
        <f>+IF(Tabla2[[#This Row],[dias de credito]]&gt;=Tabla2[[#This Row],[PLAZO Días]],"venc", "No venc")</f>
        <v>venc</v>
      </c>
      <c r="V2013" t="str">
        <f>+IF(Tabla2[[#This Row],[FECHA DE PAGO]]&gt;0,"pagada","por pagar")</f>
        <v>pagada</v>
      </c>
      <c r="W2013" s="141" t="str">
        <f>+IF(AND(Tabla2[[#This Row],[venc]]="venc",Tabla2[[#This Row],[Columna1]]="por pagar"),"vencida","no")</f>
        <v>no</v>
      </c>
    </row>
    <row r="2014" spans="1:23" ht="15.6" hidden="1" x14ac:dyDescent="0.3">
      <c r="A2014" s="20">
        <v>30</v>
      </c>
      <c r="B2014" s="25">
        <v>3669750</v>
      </c>
      <c r="C2014" s="25"/>
      <c r="D2014" s="56" t="s">
        <v>1082</v>
      </c>
      <c r="E2014" s="426">
        <v>44684</v>
      </c>
      <c r="F2014" s="26" t="s">
        <v>24</v>
      </c>
      <c r="G2014" s="426">
        <v>44631</v>
      </c>
      <c r="H2014" s="35" t="s">
        <v>454</v>
      </c>
      <c r="I2014" s="21">
        <v>1995291</v>
      </c>
      <c r="J2014" s="21"/>
      <c r="K2014" s="22">
        <v>379105.29</v>
      </c>
      <c r="L2014" s="23"/>
      <c r="M2014" s="22">
        <v>0</v>
      </c>
      <c r="N2014" s="74">
        <v>2.5000000000000001E-2</v>
      </c>
      <c r="O2014" s="22">
        <v>49882.275000000001</v>
      </c>
      <c r="P2014" s="21">
        <v>2324514.0150000001</v>
      </c>
      <c r="S2014" s="108" t="b">
        <f>OR(COUNTIF(Tabla2[[#This Row],[PROVEEDOR]],"*"&amp;'Palabra no opera'!$A$2&amp;"*"))</f>
        <v>0</v>
      </c>
      <c r="T2014" s="139">
        <f>+$W$5-Tabla2[[#This Row],[FECHA DE FACTURACIÓN]]</f>
        <v>660</v>
      </c>
      <c r="U2014" t="str">
        <f>+IF(Tabla2[[#This Row],[dias de credito]]&gt;=Tabla2[[#This Row],[PLAZO Días]],"venc", "No venc")</f>
        <v>venc</v>
      </c>
      <c r="V2014" t="str">
        <f>+IF(Tabla2[[#This Row],[FECHA DE PAGO]]&gt;0,"pagada","por pagar")</f>
        <v>pagada</v>
      </c>
      <c r="W2014" s="141" t="str">
        <f>+IF(AND(Tabla2[[#This Row],[venc]]="venc",Tabla2[[#This Row],[Columna1]]="por pagar"),"vencida","no")</f>
        <v>no</v>
      </c>
    </row>
    <row r="2015" spans="1:23" ht="15.6" hidden="1" x14ac:dyDescent="0.3">
      <c r="A2015" s="20">
        <v>30</v>
      </c>
      <c r="B2015" s="25">
        <v>17870934.149999999</v>
      </c>
      <c r="C2015" s="25"/>
      <c r="D2015" s="56" t="s">
        <v>182</v>
      </c>
      <c r="E2015" s="426">
        <v>44684</v>
      </c>
      <c r="F2015" s="26" t="s">
        <v>18</v>
      </c>
      <c r="G2015" s="426">
        <v>44629</v>
      </c>
      <c r="H2015" s="35">
        <v>1050807</v>
      </c>
      <c r="I2015" s="21">
        <v>850000</v>
      </c>
      <c r="J2015" s="21"/>
      <c r="K2015" s="22">
        <v>161500</v>
      </c>
      <c r="L2015" s="23"/>
      <c r="M2015" s="22">
        <v>0</v>
      </c>
      <c r="N2015" s="74">
        <v>0</v>
      </c>
      <c r="O2015" s="22">
        <v>0</v>
      </c>
      <c r="P2015" s="21">
        <v>1011500</v>
      </c>
      <c r="S2015" s="108" t="b">
        <f>OR(COUNTIF(Tabla2[[#This Row],[PROVEEDOR]],"*"&amp;'Palabra no opera'!$A$2&amp;"*"))</f>
        <v>0</v>
      </c>
      <c r="T2015" s="139">
        <f>+$W$5-Tabla2[[#This Row],[FECHA DE FACTURACIÓN]]</f>
        <v>662</v>
      </c>
      <c r="U2015" t="str">
        <f>+IF(Tabla2[[#This Row],[dias de credito]]&gt;=Tabla2[[#This Row],[PLAZO Días]],"venc", "No venc")</f>
        <v>venc</v>
      </c>
      <c r="V2015" t="str">
        <f>+IF(Tabla2[[#This Row],[FECHA DE PAGO]]&gt;0,"pagada","por pagar")</f>
        <v>pagada</v>
      </c>
      <c r="W2015" s="141" t="str">
        <f>+IF(AND(Tabla2[[#This Row],[venc]]="venc",Tabla2[[#This Row],[Columna1]]="por pagar"),"vencida","no")</f>
        <v>no</v>
      </c>
    </row>
    <row r="2016" spans="1:23" ht="15.6" hidden="1" x14ac:dyDescent="0.3">
      <c r="A2016" s="20">
        <v>30</v>
      </c>
      <c r="B2016" s="25">
        <v>18444236.894999996</v>
      </c>
      <c r="C2016" s="25"/>
      <c r="D2016" s="56" t="s">
        <v>731</v>
      </c>
      <c r="E2016" s="426">
        <v>44684</v>
      </c>
      <c r="F2016" s="26" t="s">
        <v>11</v>
      </c>
      <c r="G2016" s="426">
        <v>44627</v>
      </c>
      <c r="H2016" s="35" t="s">
        <v>460</v>
      </c>
      <c r="I2016" s="21">
        <v>3960000</v>
      </c>
      <c r="J2016" s="21"/>
      <c r="K2016" s="22">
        <v>752400</v>
      </c>
      <c r="L2016" s="23"/>
      <c r="M2016" s="22">
        <v>0</v>
      </c>
      <c r="N2016" s="74">
        <v>2.5000000000000001E-2</v>
      </c>
      <c r="O2016" s="22">
        <v>99000</v>
      </c>
      <c r="P2016" s="21">
        <v>4613400</v>
      </c>
      <c r="S2016" s="108" t="b">
        <f>OR(COUNTIF(Tabla2[[#This Row],[PROVEEDOR]],"*"&amp;'Palabra no opera'!$A$2&amp;"*"))</f>
        <v>0</v>
      </c>
      <c r="T2016" s="139">
        <f>+$W$5-Tabla2[[#This Row],[FECHA DE FACTURACIÓN]]</f>
        <v>664</v>
      </c>
      <c r="U2016" t="str">
        <f>+IF(Tabla2[[#This Row],[dias de credito]]&gt;=Tabla2[[#This Row],[PLAZO Días]],"venc", "No venc")</f>
        <v>venc</v>
      </c>
      <c r="V2016" t="str">
        <f>+IF(Tabla2[[#This Row],[FECHA DE PAGO]]&gt;0,"pagada","por pagar")</f>
        <v>pagada</v>
      </c>
      <c r="W2016" s="141" t="str">
        <f>+IF(AND(Tabla2[[#This Row],[venc]]="venc",Tabla2[[#This Row],[Columna1]]="por pagar"),"vencida","no")</f>
        <v>no</v>
      </c>
    </row>
    <row r="2017" spans="1:23" ht="15.6" hidden="1" x14ac:dyDescent="0.3">
      <c r="A2017" s="20">
        <v>30</v>
      </c>
      <c r="B2017" s="25">
        <v>10321993.199999999</v>
      </c>
      <c r="C2017" s="25"/>
      <c r="D2017" s="56" t="s">
        <v>189</v>
      </c>
      <c r="E2017" s="426">
        <v>44684</v>
      </c>
      <c r="F2017" s="26" t="s">
        <v>1068</v>
      </c>
      <c r="G2017" s="426">
        <v>44614</v>
      </c>
      <c r="H2017" s="35">
        <v>53415</v>
      </c>
      <c r="I2017" s="21">
        <v>0</v>
      </c>
      <c r="J2017" s="21"/>
      <c r="K2017" s="22">
        <v>0</v>
      </c>
      <c r="L2017" s="23"/>
      <c r="M2017" s="22">
        <v>0</v>
      </c>
      <c r="N2017" s="74">
        <v>0</v>
      </c>
      <c r="O2017" s="22">
        <v>0</v>
      </c>
      <c r="P2017" s="21">
        <v>-66594</v>
      </c>
      <c r="S2017" s="108" t="b">
        <f>OR(COUNTIF(Tabla2[[#This Row],[PROVEEDOR]],"*"&amp;'Palabra no opera'!$A$2&amp;"*"))</f>
        <v>0</v>
      </c>
      <c r="T2017" s="139">
        <f>+$W$5-Tabla2[[#This Row],[FECHA DE FACTURACIÓN]]</f>
        <v>677</v>
      </c>
      <c r="U2017" t="str">
        <f>+IF(Tabla2[[#This Row],[dias de credito]]&gt;=Tabla2[[#This Row],[PLAZO Días]],"venc", "No venc")</f>
        <v>venc</v>
      </c>
      <c r="V2017" t="str">
        <f>+IF(Tabla2[[#This Row],[FECHA DE PAGO]]&gt;0,"pagada","por pagar")</f>
        <v>pagada</v>
      </c>
      <c r="W2017" s="141" t="str">
        <f>+IF(AND(Tabla2[[#This Row],[venc]]="venc",Tabla2[[#This Row],[Columna1]]="por pagar"),"vencida","no")</f>
        <v>no</v>
      </c>
    </row>
    <row r="2018" spans="1:23" ht="15.6" hidden="1" x14ac:dyDescent="0.3">
      <c r="A2018" s="20">
        <v>30</v>
      </c>
      <c r="B2018" s="25">
        <v>10321993.199999999</v>
      </c>
      <c r="C2018" s="25"/>
      <c r="D2018" s="56" t="s">
        <v>189</v>
      </c>
      <c r="E2018" s="426">
        <v>44684</v>
      </c>
      <c r="F2018" s="26" t="s">
        <v>1068</v>
      </c>
      <c r="G2018" s="426">
        <v>44610</v>
      </c>
      <c r="H2018" s="35">
        <v>24751</v>
      </c>
      <c r="I2018" s="21">
        <v>1656000</v>
      </c>
      <c r="J2018" s="21"/>
      <c r="K2018" s="22">
        <v>314640</v>
      </c>
      <c r="L2018" s="23"/>
      <c r="M2018" s="22">
        <v>0</v>
      </c>
      <c r="N2018" s="74">
        <v>2.5000000000000001E-2</v>
      </c>
      <c r="O2018" s="22">
        <v>41400</v>
      </c>
      <c r="P2018" s="21">
        <v>1929240</v>
      </c>
      <c r="S2018" s="108" t="b">
        <f>OR(COUNTIF(Tabla2[[#This Row],[PROVEEDOR]],"*"&amp;'Palabra no opera'!$A$2&amp;"*"))</f>
        <v>0</v>
      </c>
      <c r="T2018" s="139">
        <f>+$W$5-Tabla2[[#This Row],[FECHA DE FACTURACIÓN]]</f>
        <v>681</v>
      </c>
      <c r="U2018" t="str">
        <f>+IF(Tabla2[[#This Row],[dias de credito]]&gt;=Tabla2[[#This Row],[PLAZO Días]],"venc", "No venc")</f>
        <v>venc</v>
      </c>
      <c r="V2018" t="str">
        <f>+IF(Tabla2[[#This Row],[FECHA DE PAGO]]&gt;0,"pagada","por pagar")</f>
        <v>pagada</v>
      </c>
      <c r="W2018" s="141" t="str">
        <f>+IF(AND(Tabla2[[#This Row],[venc]]="venc",Tabla2[[#This Row],[Columna1]]="por pagar"),"vencida","no")</f>
        <v>no</v>
      </c>
    </row>
    <row r="2019" spans="1:23" ht="15.6" hidden="1" x14ac:dyDescent="0.3">
      <c r="A2019" s="20">
        <v>30</v>
      </c>
      <c r="B2019" s="25">
        <v>0</v>
      </c>
      <c r="C2019" s="25"/>
      <c r="D2019" s="56" t="s">
        <v>203</v>
      </c>
      <c r="E2019" s="426">
        <v>44684</v>
      </c>
      <c r="F2019" s="26" t="s">
        <v>105</v>
      </c>
      <c r="G2019" s="426">
        <v>44597</v>
      </c>
      <c r="H2019" s="35">
        <v>51</v>
      </c>
      <c r="I2019" s="21">
        <v>914118</v>
      </c>
      <c r="J2019" s="21"/>
      <c r="K2019" s="22">
        <v>173682.42</v>
      </c>
      <c r="L2019" s="23"/>
      <c r="M2019" s="22">
        <v>0</v>
      </c>
      <c r="N2019" s="74">
        <v>0</v>
      </c>
      <c r="O2019" s="22">
        <v>0</v>
      </c>
      <c r="P2019" s="21">
        <v>1087800.42</v>
      </c>
      <c r="S2019" s="108" t="b">
        <f>OR(COUNTIF(Tabla2[[#This Row],[PROVEEDOR]],"*"&amp;'Palabra no opera'!$A$2&amp;"*"))</f>
        <v>0</v>
      </c>
      <c r="T2019" s="139">
        <f>+$W$5-Tabla2[[#This Row],[FECHA DE FACTURACIÓN]]</f>
        <v>694</v>
      </c>
      <c r="U2019" t="str">
        <f>+IF(Tabla2[[#This Row],[dias de credito]]&gt;=Tabla2[[#This Row],[PLAZO Días]],"venc", "No venc")</f>
        <v>venc</v>
      </c>
      <c r="V2019" t="str">
        <f>+IF(Tabla2[[#This Row],[FECHA DE PAGO]]&gt;0,"pagada","por pagar")</f>
        <v>pagada</v>
      </c>
      <c r="W2019" s="141" t="str">
        <f>+IF(AND(Tabla2[[#This Row],[venc]]="venc",Tabla2[[#This Row],[Columna1]]="por pagar"),"vencida","no")</f>
        <v>no</v>
      </c>
    </row>
    <row r="2020" spans="1:23" ht="15.6" hidden="1" x14ac:dyDescent="0.3">
      <c r="A2020" s="20">
        <v>30</v>
      </c>
      <c r="B2020" s="25">
        <v>0</v>
      </c>
      <c r="C2020" s="25"/>
      <c r="D2020" s="56">
        <v>0</v>
      </c>
      <c r="E2020" s="426">
        <v>44684</v>
      </c>
      <c r="F2020" s="26" t="s">
        <v>367</v>
      </c>
      <c r="G2020" s="426">
        <v>44594</v>
      </c>
      <c r="H2020" s="35" t="s">
        <v>901</v>
      </c>
      <c r="I2020" s="21">
        <v>1356000</v>
      </c>
      <c r="J2020" s="21"/>
      <c r="K2020" s="22">
        <v>0</v>
      </c>
      <c r="L2020" s="23"/>
      <c r="M2020" s="22">
        <v>0</v>
      </c>
      <c r="N2020" s="74">
        <v>0</v>
      </c>
      <c r="O2020" s="22">
        <v>0</v>
      </c>
      <c r="P2020" s="21">
        <v>1356000</v>
      </c>
      <c r="S2020" s="108" t="b">
        <f>OR(COUNTIF(Tabla2[[#This Row],[PROVEEDOR]],"*"&amp;'Palabra no opera'!$A$2&amp;"*"))</f>
        <v>0</v>
      </c>
      <c r="T2020" s="139">
        <f>+$W$5-Tabla2[[#This Row],[FECHA DE FACTURACIÓN]]</f>
        <v>697</v>
      </c>
      <c r="U2020" t="str">
        <f>+IF(Tabla2[[#This Row],[dias de credito]]&gt;=Tabla2[[#This Row],[PLAZO Días]],"venc", "No venc")</f>
        <v>venc</v>
      </c>
      <c r="V2020" t="str">
        <f>+IF(Tabla2[[#This Row],[FECHA DE PAGO]]&gt;0,"pagada","por pagar")</f>
        <v>pagada</v>
      </c>
      <c r="W2020" s="141" t="str">
        <f>+IF(AND(Tabla2[[#This Row],[venc]]="venc",Tabla2[[#This Row],[Columna1]]="por pagar"),"vencida","no")</f>
        <v>no</v>
      </c>
    </row>
    <row r="2021" spans="1:23" ht="15.6" hidden="1" x14ac:dyDescent="0.3">
      <c r="A2021" s="20">
        <v>60</v>
      </c>
      <c r="B2021" s="25">
        <v>0</v>
      </c>
      <c r="C2021" s="25"/>
      <c r="D2021" s="56">
        <v>0</v>
      </c>
      <c r="E2021" s="426">
        <v>44684</v>
      </c>
      <c r="F2021" s="26" t="s">
        <v>951</v>
      </c>
      <c r="G2021" s="426">
        <v>44593</v>
      </c>
      <c r="H2021" s="35" t="s">
        <v>486</v>
      </c>
      <c r="I2021" s="21">
        <v>7278800</v>
      </c>
      <c r="J2021" s="21"/>
      <c r="K2021" s="22">
        <v>1382972</v>
      </c>
      <c r="L2021" s="23"/>
      <c r="M2021" s="22">
        <v>0</v>
      </c>
      <c r="N2021" s="74">
        <v>0</v>
      </c>
      <c r="O2021" s="22">
        <v>0</v>
      </c>
      <c r="P2021" s="21">
        <v>8661772</v>
      </c>
      <c r="S2021" s="108" t="b">
        <f>OR(COUNTIF(Tabla2[[#This Row],[PROVEEDOR]],"*"&amp;'Palabra no opera'!$A$2&amp;"*"))</f>
        <v>1</v>
      </c>
      <c r="T2021" s="139">
        <f>+$W$5-Tabla2[[#This Row],[FECHA DE FACTURACIÓN]]</f>
        <v>698</v>
      </c>
      <c r="U2021" t="str">
        <f>+IF(Tabla2[[#This Row],[dias de credito]]&gt;=Tabla2[[#This Row],[PLAZO Días]],"venc", "No venc")</f>
        <v>venc</v>
      </c>
      <c r="V2021" t="str">
        <f>+IF(Tabla2[[#This Row],[FECHA DE PAGO]]&gt;0,"pagada","por pagar")</f>
        <v>pagada</v>
      </c>
      <c r="W2021" s="141" t="str">
        <f>+IF(AND(Tabla2[[#This Row],[venc]]="venc",Tabla2[[#This Row],[Columna1]]="por pagar"),"vencida","no")</f>
        <v>no</v>
      </c>
    </row>
    <row r="2022" spans="1:23" ht="15.6" hidden="1" x14ac:dyDescent="0.3">
      <c r="A2022" s="20">
        <v>30</v>
      </c>
      <c r="B2022" s="25">
        <v>0</v>
      </c>
      <c r="C2022" s="25"/>
      <c r="D2022" s="56" t="s">
        <v>107</v>
      </c>
      <c r="E2022" s="426">
        <v>44683</v>
      </c>
      <c r="F2022" s="26" t="s">
        <v>832</v>
      </c>
      <c r="G2022" s="426">
        <v>44699</v>
      </c>
      <c r="H2022" s="35" t="s">
        <v>683</v>
      </c>
      <c r="I2022" s="21">
        <v>76000</v>
      </c>
      <c r="J2022" s="21"/>
      <c r="K2022" s="22">
        <v>0</v>
      </c>
      <c r="L2022" s="23"/>
      <c r="M2022" s="22">
        <v>0</v>
      </c>
      <c r="N2022" s="74">
        <v>0</v>
      </c>
      <c r="O2022" s="22">
        <v>0</v>
      </c>
      <c r="P2022" s="21">
        <v>76000</v>
      </c>
      <c r="S2022" s="108" t="b">
        <f>OR(COUNTIF(Tabla2[[#This Row],[PROVEEDOR]],"*"&amp;'Palabra no opera'!$A$2&amp;"*"))</f>
        <v>1</v>
      </c>
      <c r="T2022" s="139">
        <f>+$W$5-Tabla2[[#This Row],[FECHA DE FACTURACIÓN]]</f>
        <v>592</v>
      </c>
      <c r="U2022" t="str">
        <f>+IF(Tabla2[[#This Row],[dias de credito]]&gt;=Tabla2[[#This Row],[PLAZO Días]],"venc", "No venc")</f>
        <v>venc</v>
      </c>
      <c r="V2022" t="str">
        <f>+IF(Tabla2[[#This Row],[FECHA DE PAGO]]&gt;0,"pagada","por pagar")</f>
        <v>pagada</v>
      </c>
      <c r="W2022" s="141" t="str">
        <f>+IF(AND(Tabla2[[#This Row],[venc]]="venc",Tabla2[[#This Row],[Columna1]]="por pagar"),"vencida","no")</f>
        <v>no</v>
      </c>
    </row>
    <row r="2023" spans="1:23" ht="15.6" hidden="1" x14ac:dyDescent="0.3">
      <c r="A2023" s="20">
        <v>30</v>
      </c>
      <c r="B2023" s="25">
        <v>0</v>
      </c>
      <c r="C2023" s="25"/>
      <c r="D2023" s="56" t="s">
        <v>107</v>
      </c>
      <c r="E2023" s="426">
        <v>44683</v>
      </c>
      <c r="F2023" s="26" t="s">
        <v>356</v>
      </c>
      <c r="G2023" s="426">
        <v>44682</v>
      </c>
      <c r="H2023" s="35" t="s">
        <v>675</v>
      </c>
      <c r="I2023" s="21">
        <v>4438000</v>
      </c>
      <c r="J2023" s="21"/>
      <c r="K2023" s="22">
        <v>0</v>
      </c>
      <c r="L2023" s="23"/>
      <c r="M2023" s="22">
        <v>0</v>
      </c>
      <c r="N2023" s="74">
        <v>0</v>
      </c>
      <c r="O2023" s="22">
        <v>0</v>
      </c>
      <c r="P2023" s="21">
        <v>4438000</v>
      </c>
      <c r="S2023" s="108" t="b">
        <f>OR(COUNTIF(Tabla2[[#This Row],[PROVEEDOR]],"*"&amp;'Palabra no opera'!$A$2&amp;"*"))</f>
        <v>0</v>
      </c>
      <c r="T2023" s="139">
        <f>+$W$5-Tabla2[[#This Row],[FECHA DE FACTURACIÓN]]</f>
        <v>609</v>
      </c>
      <c r="U2023" t="str">
        <f>+IF(Tabla2[[#This Row],[dias de credito]]&gt;=Tabla2[[#This Row],[PLAZO Días]],"venc", "No venc")</f>
        <v>venc</v>
      </c>
      <c r="V2023" t="str">
        <f>+IF(Tabla2[[#This Row],[FECHA DE PAGO]]&gt;0,"pagada","por pagar")</f>
        <v>pagada</v>
      </c>
      <c r="W2023" s="141" t="str">
        <f>+IF(AND(Tabla2[[#This Row],[venc]]="venc",Tabla2[[#This Row],[Columna1]]="por pagar"),"vencida","no")</f>
        <v>no</v>
      </c>
    </row>
    <row r="2024" spans="1:23" ht="15.6" hidden="1" x14ac:dyDescent="0.3">
      <c r="A2024" s="20">
        <v>30</v>
      </c>
      <c r="B2024" s="25">
        <v>0</v>
      </c>
      <c r="C2024" s="25"/>
      <c r="D2024" s="56" t="s">
        <v>107</v>
      </c>
      <c r="E2024" s="426">
        <v>44681</v>
      </c>
      <c r="F2024" s="26" t="s">
        <v>362</v>
      </c>
      <c r="G2024" s="426">
        <v>44681</v>
      </c>
      <c r="H2024" s="35" t="s">
        <v>655</v>
      </c>
      <c r="I2024" s="21">
        <v>118000</v>
      </c>
      <c r="J2024" s="21"/>
      <c r="K2024" s="22">
        <v>0</v>
      </c>
      <c r="L2024" s="23"/>
      <c r="M2024" s="22">
        <v>0</v>
      </c>
      <c r="N2024" s="74">
        <v>0</v>
      </c>
      <c r="O2024" s="22">
        <v>0</v>
      </c>
      <c r="P2024" s="21">
        <v>118000</v>
      </c>
      <c r="S2024" s="108" t="b">
        <f>OR(COUNTIF(Tabla2[[#This Row],[PROVEEDOR]],"*"&amp;'Palabra no opera'!$A$2&amp;"*"))</f>
        <v>0</v>
      </c>
      <c r="T2024" s="139">
        <f>+$W$5-Tabla2[[#This Row],[FECHA DE FACTURACIÓN]]</f>
        <v>610</v>
      </c>
      <c r="U2024" t="str">
        <f>+IF(Tabla2[[#This Row],[dias de credito]]&gt;=Tabla2[[#This Row],[PLAZO Días]],"venc", "No venc")</f>
        <v>venc</v>
      </c>
      <c r="V2024" t="str">
        <f>+IF(Tabla2[[#This Row],[FECHA DE PAGO]]&gt;0,"pagada","por pagar")</f>
        <v>pagada</v>
      </c>
      <c r="W2024" s="141" t="str">
        <f>+IF(AND(Tabla2[[#This Row],[venc]]="venc",Tabla2[[#This Row],[Columna1]]="por pagar"),"vencida","no")</f>
        <v>no</v>
      </c>
    </row>
    <row r="2025" spans="1:23" ht="15.6" hidden="1" x14ac:dyDescent="0.3">
      <c r="A2025" s="20">
        <v>30</v>
      </c>
      <c r="B2025" s="25">
        <v>0</v>
      </c>
      <c r="C2025" s="25"/>
      <c r="D2025" s="56" t="s">
        <v>107</v>
      </c>
      <c r="E2025" s="426">
        <v>44681</v>
      </c>
      <c r="F2025" s="26" t="s">
        <v>362</v>
      </c>
      <c r="G2025" s="426">
        <v>44681</v>
      </c>
      <c r="H2025" s="35" t="s">
        <v>317</v>
      </c>
      <c r="I2025" s="21">
        <v>126000</v>
      </c>
      <c r="J2025" s="21"/>
      <c r="K2025" s="22">
        <v>0</v>
      </c>
      <c r="L2025" s="23"/>
      <c r="M2025" s="22">
        <v>0</v>
      </c>
      <c r="N2025" s="74">
        <v>0</v>
      </c>
      <c r="O2025" s="22">
        <v>0</v>
      </c>
      <c r="P2025" s="21">
        <v>126000</v>
      </c>
      <c r="S2025" s="108" t="b">
        <f>OR(COUNTIF(Tabla2[[#This Row],[PROVEEDOR]],"*"&amp;'Palabra no opera'!$A$2&amp;"*"))</f>
        <v>0</v>
      </c>
      <c r="T2025" s="139">
        <f>+$W$5-Tabla2[[#This Row],[FECHA DE FACTURACIÓN]]</f>
        <v>610</v>
      </c>
      <c r="U2025" t="str">
        <f>+IF(Tabla2[[#This Row],[dias de credito]]&gt;=Tabla2[[#This Row],[PLAZO Días]],"venc", "No venc")</f>
        <v>venc</v>
      </c>
      <c r="V2025" t="str">
        <f>+IF(Tabla2[[#This Row],[FECHA DE PAGO]]&gt;0,"pagada","por pagar")</f>
        <v>pagada</v>
      </c>
      <c r="W2025" s="141" t="str">
        <f>+IF(AND(Tabla2[[#This Row],[venc]]="venc",Tabla2[[#This Row],[Columna1]]="por pagar"),"vencida","no")</f>
        <v>no</v>
      </c>
    </row>
    <row r="2026" spans="1:23" ht="15.6" hidden="1" x14ac:dyDescent="0.3">
      <c r="A2026" s="20">
        <v>30</v>
      </c>
      <c r="B2026" s="25">
        <v>0</v>
      </c>
      <c r="C2026" s="25"/>
      <c r="D2026" s="56" t="s">
        <v>107</v>
      </c>
      <c r="E2026" s="426">
        <v>44681</v>
      </c>
      <c r="F2026" s="26" t="s">
        <v>362</v>
      </c>
      <c r="G2026" s="426">
        <v>44681</v>
      </c>
      <c r="H2026" s="35" t="s">
        <v>319</v>
      </c>
      <c r="I2026" s="21">
        <v>370000</v>
      </c>
      <c r="J2026" s="21"/>
      <c r="K2026" s="22">
        <v>0</v>
      </c>
      <c r="L2026" s="23"/>
      <c r="M2026" s="22">
        <v>0</v>
      </c>
      <c r="N2026" s="74">
        <v>0</v>
      </c>
      <c r="O2026" s="22">
        <v>0</v>
      </c>
      <c r="P2026" s="21">
        <v>370000</v>
      </c>
      <c r="S2026" s="108" t="b">
        <f>OR(COUNTIF(Tabla2[[#This Row],[PROVEEDOR]],"*"&amp;'Palabra no opera'!$A$2&amp;"*"))</f>
        <v>0</v>
      </c>
      <c r="T2026" s="139">
        <f>+$W$5-Tabla2[[#This Row],[FECHA DE FACTURACIÓN]]</f>
        <v>610</v>
      </c>
      <c r="U2026" t="str">
        <f>+IF(Tabla2[[#This Row],[dias de credito]]&gt;=Tabla2[[#This Row],[PLAZO Días]],"venc", "No venc")</f>
        <v>venc</v>
      </c>
      <c r="V2026" t="str">
        <f>+IF(Tabla2[[#This Row],[FECHA DE PAGO]]&gt;0,"pagada","por pagar")</f>
        <v>pagada</v>
      </c>
      <c r="W2026" s="141" t="str">
        <f>+IF(AND(Tabla2[[#This Row],[venc]]="venc",Tabla2[[#This Row],[Columna1]]="por pagar"),"vencida","no")</f>
        <v>no</v>
      </c>
    </row>
    <row r="2027" spans="1:23" ht="15.6" hidden="1" x14ac:dyDescent="0.3">
      <c r="A2027" s="20">
        <v>30</v>
      </c>
      <c r="B2027" s="25">
        <v>0</v>
      </c>
      <c r="C2027" s="25"/>
      <c r="D2027" s="56" t="s">
        <v>107</v>
      </c>
      <c r="E2027" s="426">
        <v>44681</v>
      </c>
      <c r="F2027" s="26" t="s">
        <v>362</v>
      </c>
      <c r="G2027" s="426">
        <v>44681</v>
      </c>
      <c r="H2027" s="35" t="s">
        <v>318</v>
      </c>
      <c r="I2027" s="21">
        <v>447000</v>
      </c>
      <c r="J2027" s="21"/>
      <c r="K2027" s="22">
        <v>0</v>
      </c>
      <c r="L2027" s="23"/>
      <c r="M2027" s="22">
        <v>0</v>
      </c>
      <c r="N2027" s="74">
        <v>0</v>
      </c>
      <c r="O2027" s="22">
        <v>0</v>
      </c>
      <c r="P2027" s="21">
        <v>447000</v>
      </c>
      <c r="S2027" s="108" t="b">
        <f>OR(COUNTIF(Tabla2[[#This Row],[PROVEEDOR]],"*"&amp;'Palabra no opera'!$A$2&amp;"*"))</f>
        <v>0</v>
      </c>
      <c r="T2027" s="139">
        <f>+$W$5-Tabla2[[#This Row],[FECHA DE FACTURACIÓN]]</f>
        <v>610</v>
      </c>
      <c r="U2027" t="str">
        <f>+IF(Tabla2[[#This Row],[dias de credito]]&gt;=Tabla2[[#This Row],[PLAZO Días]],"venc", "No venc")</f>
        <v>venc</v>
      </c>
      <c r="V2027" t="str">
        <f>+IF(Tabla2[[#This Row],[FECHA DE PAGO]]&gt;0,"pagada","por pagar")</f>
        <v>pagada</v>
      </c>
      <c r="W2027" s="141" t="str">
        <f>+IF(AND(Tabla2[[#This Row],[venc]]="venc",Tabla2[[#This Row],[Columna1]]="por pagar"),"vencida","no")</f>
        <v>no</v>
      </c>
    </row>
    <row r="2028" spans="1:23" ht="15.6" hidden="1" x14ac:dyDescent="0.3">
      <c r="A2028" s="20">
        <v>30</v>
      </c>
      <c r="B2028" s="25">
        <v>0</v>
      </c>
      <c r="C2028" s="25"/>
      <c r="D2028" s="56" t="s">
        <v>107</v>
      </c>
      <c r="E2028" s="426">
        <v>44681</v>
      </c>
      <c r="F2028" s="26" t="s">
        <v>362</v>
      </c>
      <c r="G2028" s="426">
        <v>44681</v>
      </c>
      <c r="H2028" s="35" t="s">
        <v>139</v>
      </c>
      <c r="I2028" s="21">
        <v>775000</v>
      </c>
      <c r="J2028" s="21"/>
      <c r="K2028" s="22">
        <v>0</v>
      </c>
      <c r="L2028" s="23"/>
      <c r="M2028" s="22">
        <v>0</v>
      </c>
      <c r="N2028" s="74">
        <v>0</v>
      </c>
      <c r="O2028" s="22">
        <v>0</v>
      </c>
      <c r="P2028" s="21">
        <v>775000</v>
      </c>
      <c r="S2028" s="108" t="b">
        <f>OR(COUNTIF(Tabla2[[#This Row],[PROVEEDOR]],"*"&amp;'Palabra no opera'!$A$2&amp;"*"))</f>
        <v>0</v>
      </c>
      <c r="T2028" s="139">
        <f>+$W$5-Tabla2[[#This Row],[FECHA DE FACTURACIÓN]]</f>
        <v>610</v>
      </c>
      <c r="U2028" t="str">
        <f>+IF(Tabla2[[#This Row],[dias de credito]]&gt;=Tabla2[[#This Row],[PLAZO Días]],"venc", "No venc")</f>
        <v>venc</v>
      </c>
      <c r="V2028" t="str">
        <f>+IF(Tabla2[[#This Row],[FECHA DE PAGO]]&gt;0,"pagada","por pagar")</f>
        <v>pagada</v>
      </c>
      <c r="W2028" s="141" t="str">
        <f>+IF(AND(Tabla2[[#This Row],[venc]]="venc",Tabla2[[#This Row],[Columna1]]="por pagar"),"vencida","no")</f>
        <v>no</v>
      </c>
    </row>
    <row r="2029" spans="1:23" ht="15.6" hidden="1" x14ac:dyDescent="0.3">
      <c r="A2029" s="20">
        <v>30</v>
      </c>
      <c r="B2029" s="25">
        <v>0</v>
      </c>
      <c r="C2029" s="25"/>
      <c r="D2029" s="56" t="s">
        <v>107</v>
      </c>
      <c r="E2029" s="426">
        <v>44681</v>
      </c>
      <c r="F2029" s="26" t="s">
        <v>362</v>
      </c>
      <c r="G2029" s="426">
        <v>44681</v>
      </c>
      <c r="H2029" s="35" t="s">
        <v>316</v>
      </c>
      <c r="I2029" s="21">
        <v>2012800</v>
      </c>
      <c r="J2029" s="21"/>
      <c r="K2029" s="22">
        <v>0</v>
      </c>
      <c r="L2029" s="23"/>
      <c r="M2029" s="22">
        <v>0</v>
      </c>
      <c r="N2029" s="74">
        <v>0</v>
      </c>
      <c r="O2029" s="22">
        <v>0</v>
      </c>
      <c r="P2029" s="21">
        <v>2012800</v>
      </c>
      <c r="S2029" s="108" t="b">
        <f>OR(COUNTIF(Tabla2[[#This Row],[PROVEEDOR]],"*"&amp;'Palabra no opera'!$A$2&amp;"*"))</f>
        <v>0</v>
      </c>
      <c r="T2029" s="139">
        <f>+$W$5-Tabla2[[#This Row],[FECHA DE FACTURACIÓN]]</f>
        <v>610</v>
      </c>
      <c r="U2029" t="str">
        <f>+IF(Tabla2[[#This Row],[dias de credito]]&gt;=Tabla2[[#This Row],[PLAZO Días]],"venc", "No venc")</f>
        <v>venc</v>
      </c>
      <c r="V2029" t="str">
        <f>+IF(Tabla2[[#This Row],[FECHA DE PAGO]]&gt;0,"pagada","por pagar")</f>
        <v>pagada</v>
      </c>
      <c r="W2029" s="141" t="str">
        <f>+IF(AND(Tabla2[[#This Row],[venc]]="venc",Tabla2[[#This Row],[Columna1]]="por pagar"),"vencida","no")</f>
        <v>no</v>
      </c>
    </row>
    <row r="2030" spans="1:23" ht="15.6" hidden="1" x14ac:dyDescent="0.3">
      <c r="A2030" s="20">
        <v>30</v>
      </c>
      <c r="B2030" s="25">
        <v>0</v>
      </c>
      <c r="C2030" s="25"/>
      <c r="D2030" s="56" t="s">
        <v>107</v>
      </c>
      <c r="E2030" s="426">
        <v>44680</v>
      </c>
      <c r="F2030" s="26" t="s">
        <v>378</v>
      </c>
      <c r="G2030" s="426">
        <v>44680</v>
      </c>
      <c r="H2030" s="35" t="s">
        <v>903</v>
      </c>
      <c r="I2030" s="21">
        <v>1300000</v>
      </c>
      <c r="J2030" s="21"/>
      <c r="K2030" s="22">
        <v>0</v>
      </c>
      <c r="L2030" s="23"/>
      <c r="M2030" s="22">
        <v>0</v>
      </c>
      <c r="N2030" s="74">
        <v>0</v>
      </c>
      <c r="O2030" s="22">
        <v>0</v>
      </c>
      <c r="P2030" s="21">
        <v>1300000</v>
      </c>
      <c r="S2030" s="108" t="b">
        <f>OR(COUNTIF(Tabla2[[#This Row],[PROVEEDOR]],"*"&amp;'Palabra no opera'!$A$2&amp;"*"))</f>
        <v>0</v>
      </c>
      <c r="T2030" s="139">
        <f>+$W$5-Tabla2[[#This Row],[FECHA DE FACTURACIÓN]]</f>
        <v>611</v>
      </c>
      <c r="U2030" t="str">
        <f>+IF(Tabla2[[#This Row],[dias de credito]]&gt;=Tabla2[[#This Row],[PLAZO Días]],"venc", "No venc")</f>
        <v>venc</v>
      </c>
      <c r="V2030" t="str">
        <f>+IF(Tabla2[[#This Row],[FECHA DE PAGO]]&gt;0,"pagada","por pagar")</f>
        <v>pagada</v>
      </c>
      <c r="W2030" s="141" t="str">
        <f>+IF(AND(Tabla2[[#This Row],[venc]]="venc",Tabla2[[#This Row],[Columna1]]="por pagar"),"vencida","no")</f>
        <v>no</v>
      </c>
    </row>
    <row r="2031" spans="1:23" ht="15.6" hidden="1" x14ac:dyDescent="0.3">
      <c r="A2031" s="20">
        <v>30</v>
      </c>
      <c r="B2031" s="25">
        <v>0</v>
      </c>
      <c r="C2031" s="25"/>
      <c r="D2031" s="56" t="s">
        <v>107</v>
      </c>
      <c r="E2031" s="426">
        <v>44680</v>
      </c>
      <c r="F2031" s="26" t="s">
        <v>390</v>
      </c>
      <c r="G2031" s="426">
        <v>44680</v>
      </c>
      <c r="H2031" s="35"/>
      <c r="I2031" s="21">
        <v>900000</v>
      </c>
      <c r="J2031" s="21"/>
      <c r="K2031" s="22">
        <v>0</v>
      </c>
      <c r="L2031" s="23"/>
      <c r="M2031" s="22">
        <v>0</v>
      </c>
      <c r="N2031" s="74">
        <v>0</v>
      </c>
      <c r="O2031" s="22">
        <v>0</v>
      </c>
      <c r="P2031" s="21">
        <v>900000</v>
      </c>
      <c r="S2031" s="108" t="b">
        <f>OR(COUNTIF(Tabla2[[#This Row],[PROVEEDOR]],"*"&amp;'Palabra no opera'!$A$2&amp;"*"))</f>
        <v>0</v>
      </c>
      <c r="T2031" s="139">
        <f>+$W$5-Tabla2[[#This Row],[FECHA DE FACTURACIÓN]]</f>
        <v>611</v>
      </c>
      <c r="U2031" t="str">
        <f>+IF(Tabla2[[#This Row],[dias de credito]]&gt;=Tabla2[[#This Row],[PLAZO Días]],"venc", "No venc")</f>
        <v>venc</v>
      </c>
      <c r="V2031" t="str">
        <f>+IF(Tabla2[[#This Row],[FECHA DE PAGO]]&gt;0,"pagada","por pagar")</f>
        <v>pagada</v>
      </c>
      <c r="W2031" s="141" t="str">
        <f>+IF(AND(Tabla2[[#This Row],[venc]]="venc",Tabla2[[#This Row],[Columna1]]="por pagar"),"vencida","no")</f>
        <v>no</v>
      </c>
    </row>
    <row r="2032" spans="1:23" ht="15.6" hidden="1" x14ac:dyDescent="0.3">
      <c r="A2032" s="20">
        <v>60</v>
      </c>
      <c r="B2032" s="25">
        <v>0</v>
      </c>
      <c r="C2032" s="25"/>
      <c r="D2032" s="56">
        <v>0</v>
      </c>
      <c r="E2032" s="426">
        <v>44678</v>
      </c>
      <c r="F2032" s="26" t="s">
        <v>951</v>
      </c>
      <c r="G2032" s="426">
        <v>44678</v>
      </c>
      <c r="H2032" s="35" t="s">
        <v>787</v>
      </c>
      <c r="I2032" s="21">
        <v>-615900</v>
      </c>
      <c r="J2032" s="21"/>
      <c r="K2032" s="22">
        <v>-117021</v>
      </c>
      <c r="L2032" s="23"/>
      <c r="M2032" s="22">
        <v>0</v>
      </c>
      <c r="N2032" s="74">
        <v>0</v>
      </c>
      <c r="O2032" s="22">
        <v>0</v>
      </c>
      <c r="P2032" s="21">
        <v>-732921</v>
      </c>
      <c r="S2032" s="108" t="b">
        <f>OR(COUNTIF(Tabla2[[#This Row],[PROVEEDOR]],"*"&amp;'Palabra no opera'!$A$2&amp;"*"))</f>
        <v>1</v>
      </c>
      <c r="T2032" s="139">
        <f>+$W$5-Tabla2[[#This Row],[FECHA DE FACTURACIÓN]]</f>
        <v>613</v>
      </c>
      <c r="U2032" t="str">
        <f>+IF(Tabla2[[#This Row],[dias de credito]]&gt;=Tabla2[[#This Row],[PLAZO Días]],"venc", "No venc")</f>
        <v>venc</v>
      </c>
      <c r="V2032" t="str">
        <f>+IF(Tabla2[[#This Row],[FECHA DE PAGO]]&gt;0,"pagada","por pagar")</f>
        <v>pagada</v>
      </c>
      <c r="W2032" s="141" t="str">
        <f>+IF(AND(Tabla2[[#This Row],[venc]]="venc",Tabla2[[#This Row],[Columna1]]="por pagar"),"vencida","no")</f>
        <v>no</v>
      </c>
    </row>
    <row r="2033" spans="1:23" ht="15.6" hidden="1" x14ac:dyDescent="0.3">
      <c r="A2033" s="20">
        <v>60</v>
      </c>
      <c r="B2033" s="25">
        <v>0</v>
      </c>
      <c r="C2033" s="25"/>
      <c r="D2033" s="56">
        <v>0</v>
      </c>
      <c r="E2033" s="426">
        <v>44678</v>
      </c>
      <c r="F2033" s="26" t="s">
        <v>951</v>
      </c>
      <c r="G2033" s="426">
        <v>44672</v>
      </c>
      <c r="H2033" s="35" t="s">
        <v>601</v>
      </c>
      <c r="I2033" s="21">
        <v>615900</v>
      </c>
      <c r="J2033" s="21"/>
      <c r="K2033" s="22">
        <v>117021</v>
      </c>
      <c r="L2033" s="23"/>
      <c r="M2033" s="22">
        <v>0</v>
      </c>
      <c r="N2033" s="74">
        <v>0</v>
      </c>
      <c r="O2033" s="22">
        <v>0</v>
      </c>
      <c r="P2033" s="21">
        <v>732921</v>
      </c>
      <c r="S2033" s="108" t="b">
        <f>OR(COUNTIF(Tabla2[[#This Row],[PROVEEDOR]],"*"&amp;'Palabra no opera'!$A$2&amp;"*"))</f>
        <v>1</v>
      </c>
      <c r="T2033" s="139">
        <f>+$W$5-Tabla2[[#This Row],[FECHA DE FACTURACIÓN]]</f>
        <v>619</v>
      </c>
      <c r="U2033" t="str">
        <f>+IF(Tabla2[[#This Row],[dias de credito]]&gt;=Tabla2[[#This Row],[PLAZO Días]],"venc", "No venc")</f>
        <v>venc</v>
      </c>
      <c r="V2033" t="str">
        <f>+IF(Tabla2[[#This Row],[FECHA DE PAGO]]&gt;0,"pagada","por pagar")</f>
        <v>pagada</v>
      </c>
      <c r="W2033" s="141" t="str">
        <f>+IF(AND(Tabla2[[#This Row],[venc]]="venc",Tabla2[[#This Row],[Columna1]]="por pagar"),"vencida","no")</f>
        <v>no</v>
      </c>
    </row>
    <row r="2034" spans="1:23" ht="15.6" hidden="1" x14ac:dyDescent="0.3">
      <c r="A2034" s="20">
        <v>30</v>
      </c>
      <c r="B2034" s="25">
        <v>0</v>
      </c>
      <c r="C2034" s="25"/>
      <c r="D2034" s="56" t="s">
        <v>368</v>
      </c>
      <c r="E2034" s="426">
        <v>44678</v>
      </c>
      <c r="F2034" s="26" t="s">
        <v>623</v>
      </c>
      <c r="G2034" s="426">
        <v>44652</v>
      </c>
      <c r="H2034" s="35" t="s">
        <v>670</v>
      </c>
      <c r="I2034" s="21">
        <v>791781</v>
      </c>
      <c r="J2034" s="21"/>
      <c r="K2034" s="22">
        <v>150438.39000000001</v>
      </c>
      <c r="L2034" s="23"/>
      <c r="M2034" s="22">
        <v>0</v>
      </c>
      <c r="N2034" s="74">
        <v>0</v>
      </c>
      <c r="O2034" s="22">
        <v>0</v>
      </c>
      <c r="P2034" s="21">
        <v>942219.39</v>
      </c>
      <c r="S2034" s="108" t="b">
        <f>OR(COUNTIF(Tabla2[[#This Row],[PROVEEDOR]],"*"&amp;'Palabra no opera'!$A$2&amp;"*"))</f>
        <v>1</v>
      </c>
      <c r="T2034" s="139">
        <f>+$W$5-Tabla2[[#This Row],[FECHA DE FACTURACIÓN]]</f>
        <v>639</v>
      </c>
      <c r="U2034" t="str">
        <f>+IF(Tabla2[[#This Row],[dias de credito]]&gt;=Tabla2[[#This Row],[PLAZO Días]],"venc", "No venc")</f>
        <v>venc</v>
      </c>
      <c r="V2034" t="str">
        <f>+IF(Tabla2[[#This Row],[FECHA DE PAGO]]&gt;0,"pagada","por pagar")</f>
        <v>pagada</v>
      </c>
      <c r="W2034" s="141" t="str">
        <f>+IF(AND(Tabla2[[#This Row],[venc]]="venc",Tabla2[[#This Row],[Columna1]]="por pagar"),"vencida","no")</f>
        <v>no</v>
      </c>
    </row>
    <row r="2035" spans="1:23" ht="15.6" hidden="1" x14ac:dyDescent="0.3">
      <c r="A2035" s="20">
        <v>30</v>
      </c>
      <c r="B2035" s="25">
        <v>0</v>
      </c>
      <c r="C2035" s="25"/>
      <c r="D2035" s="56" t="s">
        <v>368</v>
      </c>
      <c r="E2035" s="426">
        <v>44678</v>
      </c>
      <c r="F2035" s="26" t="s">
        <v>623</v>
      </c>
      <c r="G2035" s="426">
        <v>44652</v>
      </c>
      <c r="H2035" s="35" t="s">
        <v>669</v>
      </c>
      <c r="I2035" s="21">
        <v>3294426</v>
      </c>
      <c r="J2035" s="21"/>
      <c r="K2035" s="22">
        <v>625940.94000000006</v>
      </c>
      <c r="L2035" s="23"/>
      <c r="M2035" s="22">
        <v>0</v>
      </c>
      <c r="N2035" s="74">
        <v>0</v>
      </c>
      <c r="O2035" s="22">
        <v>0</v>
      </c>
      <c r="P2035" s="21">
        <v>3920366.94</v>
      </c>
      <c r="S2035" s="108" t="b">
        <f>OR(COUNTIF(Tabla2[[#This Row],[PROVEEDOR]],"*"&amp;'Palabra no opera'!$A$2&amp;"*"))</f>
        <v>1</v>
      </c>
      <c r="T2035" s="139">
        <f>+$W$5-Tabla2[[#This Row],[FECHA DE FACTURACIÓN]]</f>
        <v>639</v>
      </c>
      <c r="U2035" t="str">
        <f>+IF(Tabla2[[#This Row],[dias de credito]]&gt;=Tabla2[[#This Row],[PLAZO Días]],"venc", "No venc")</f>
        <v>venc</v>
      </c>
      <c r="V2035" t="str">
        <f>+IF(Tabla2[[#This Row],[FECHA DE PAGO]]&gt;0,"pagada","por pagar")</f>
        <v>pagada</v>
      </c>
      <c r="W2035" s="141" t="str">
        <f>+IF(AND(Tabla2[[#This Row],[venc]]="venc",Tabla2[[#This Row],[Columna1]]="por pagar"),"vencida","no")</f>
        <v>no</v>
      </c>
    </row>
    <row r="2036" spans="1:23" ht="15.6" hidden="1" x14ac:dyDescent="0.3">
      <c r="A2036" s="20">
        <v>30</v>
      </c>
      <c r="B2036" s="25">
        <v>0</v>
      </c>
      <c r="C2036" s="25"/>
      <c r="D2036" s="56" t="s">
        <v>185</v>
      </c>
      <c r="E2036" s="426">
        <v>44678</v>
      </c>
      <c r="F2036" s="26" t="s">
        <v>628</v>
      </c>
      <c r="G2036" s="426">
        <v>44652</v>
      </c>
      <c r="H2036" s="35">
        <v>10316</v>
      </c>
      <c r="I2036" s="21">
        <v>1922190</v>
      </c>
      <c r="J2036" s="21"/>
      <c r="K2036" s="22">
        <v>0</v>
      </c>
      <c r="L2036" s="23"/>
      <c r="M2036" s="22">
        <v>0</v>
      </c>
      <c r="N2036" s="74">
        <v>0</v>
      </c>
      <c r="O2036" s="22">
        <v>0</v>
      </c>
      <c r="P2036" s="21">
        <v>1922190</v>
      </c>
      <c r="S2036" s="108" t="b">
        <f>OR(COUNTIF(Tabla2[[#This Row],[PROVEEDOR]],"*"&amp;'Palabra no opera'!$A$2&amp;"*"))</f>
        <v>1</v>
      </c>
      <c r="T2036" s="139">
        <f>+$W$5-Tabla2[[#This Row],[FECHA DE FACTURACIÓN]]</f>
        <v>639</v>
      </c>
      <c r="U2036" t="str">
        <f>+IF(Tabla2[[#This Row],[dias de credito]]&gt;=Tabla2[[#This Row],[PLAZO Días]],"venc", "No venc")</f>
        <v>venc</v>
      </c>
      <c r="V2036" t="str">
        <f>+IF(Tabla2[[#This Row],[FECHA DE PAGO]]&gt;0,"pagada","por pagar")</f>
        <v>pagada</v>
      </c>
      <c r="W2036" s="141" t="str">
        <f>+IF(AND(Tabla2[[#This Row],[venc]]="venc",Tabla2[[#This Row],[Columna1]]="por pagar"),"vencida","no")</f>
        <v>no</v>
      </c>
    </row>
    <row r="2037" spans="1:23" ht="15.6" hidden="1" x14ac:dyDescent="0.3">
      <c r="A2037" s="20">
        <v>30</v>
      </c>
      <c r="B2037" s="25">
        <v>0</v>
      </c>
      <c r="C2037" s="25"/>
      <c r="D2037" s="56" t="s">
        <v>1116</v>
      </c>
      <c r="E2037" s="426">
        <v>44678</v>
      </c>
      <c r="F2037" s="26" t="s">
        <v>638</v>
      </c>
      <c r="G2037" s="426">
        <v>44652</v>
      </c>
      <c r="H2037" s="35" t="s">
        <v>605</v>
      </c>
      <c r="I2037" s="21">
        <v>3958317</v>
      </c>
      <c r="J2037" s="21"/>
      <c r="K2037" s="22">
        <v>752080.23</v>
      </c>
      <c r="L2037" s="23"/>
      <c r="M2037" s="22">
        <v>0</v>
      </c>
      <c r="N2037" s="74">
        <v>3.5000000000000003E-2</v>
      </c>
      <c r="O2037" s="22">
        <v>138541.095</v>
      </c>
      <c r="P2037" s="21">
        <v>4571856.1350000007</v>
      </c>
      <c r="S2037" s="108" t="b">
        <f>OR(COUNTIF(Tabla2[[#This Row],[PROVEEDOR]],"*"&amp;'Palabra no opera'!$A$2&amp;"*"))</f>
        <v>1</v>
      </c>
      <c r="T2037" s="139">
        <f>+$W$5-Tabla2[[#This Row],[FECHA DE FACTURACIÓN]]</f>
        <v>639</v>
      </c>
      <c r="U2037" t="str">
        <f>+IF(Tabla2[[#This Row],[dias de credito]]&gt;=Tabla2[[#This Row],[PLAZO Días]],"venc", "No venc")</f>
        <v>venc</v>
      </c>
      <c r="V2037" t="str">
        <f>+IF(Tabla2[[#This Row],[FECHA DE PAGO]]&gt;0,"pagada","por pagar")</f>
        <v>pagada</v>
      </c>
      <c r="W2037" s="141" t="str">
        <f>+IF(AND(Tabla2[[#This Row],[venc]]="venc",Tabla2[[#This Row],[Columna1]]="por pagar"),"vencida","no")</f>
        <v>no</v>
      </c>
    </row>
    <row r="2038" spans="1:23" ht="15.6" hidden="1" x14ac:dyDescent="0.3">
      <c r="A2038" s="20">
        <v>30</v>
      </c>
      <c r="B2038" s="25">
        <v>0</v>
      </c>
      <c r="C2038" s="25"/>
      <c r="D2038" s="56" t="s">
        <v>193</v>
      </c>
      <c r="E2038" s="426">
        <v>44678</v>
      </c>
      <c r="F2038" s="26" t="s">
        <v>651</v>
      </c>
      <c r="G2038" s="426">
        <v>44652</v>
      </c>
      <c r="H2038" s="35">
        <v>4651</v>
      </c>
      <c r="I2038" s="21">
        <v>215356</v>
      </c>
      <c r="J2038" s="21"/>
      <c r="K2038" s="22">
        <v>40917.64</v>
      </c>
      <c r="L2038" s="23"/>
      <c r="M2038" s="22">
        <v>0</v>
      </c>
      <c r="N2038" s="74">
        <v>3.5000000000000003E-2</v>
      </c>
      <c r="O2038" s="22">
        <v>7537.4600000000009</v>
      </c>
      <c r="P2038" s="21">
        <v>248736.18000000002</v>
      </c>
      <c r="S2038" s="108" t="b">
        <f>OR(COUNTIF(Tabla2[[#This Row],[PROVEEDOR]],"*"&amp;'Palabra no opera'!$A$2&amp;"*"))</f>
        <v>1</v>
      </c>
      <c r="T2038" s="139">
        <f>+$W$5-Tabla2[[#This Row],[FECHA DE FACTURACIÓN]]</f>
        <v>639</v>
      </c>
      <c r="U2038" t="str">
        <f>+IF(Tabla2[[#This Row],[dias de credito]]&gt;=Tabla2[[#This Row],[PLAZO Días]],"venc", "No venc")</f>
        <v>venc</v>
      </c>
      <c r="V2038" t="str">
        <f>+IF(Tabla2[[#This Row],[FECHA DE PAGO]]&gt;0,"pagada","por pagar")</f>
        <v>pagada</v>
      </c>
      <c r="W2038" s="141" t="str">
        <f>+IF(AND(Tabla2[[#This Row],[venc]]="venc",Tabla2[[#This Row],[Columna1]]="por pagar"),"vencida","no")</f>
        <v>no</v>
      </c>
    </row>
    <row r="2039" spans="1:23" ht="15.6" hidden="1" x14ac:dyDescent="0.3">
      <c r="A2039" s="20">
        <v>20</v>
      </c>
      <c r="B2039" s="25">
        <v>0</v>
      </c>
      <c r="C2039" s="25"/>
      <c r="D2039" s="56" t="s">
        <v>201</v>
      </c>
      <c r="E2039" s="426">
        <v>44678</v>
      </c>
      <c r="F2039" s="26" t="s">
        <v>652</v>
      </c>
      <c r="G2039" s="426">
        <v>44652</v>
      </c>
      <c r="H2039" s="35" t="s">
        <v>604</v>
      </c>
      <c r="I2039" s="21">
        <v>0</v>
      </c>
      <c r="J2039" s="21"/>
      <c r="K2039" s="22">
        <v>0</v>
      </c>
      <c r="L2039" s="23"/>
      <c r="M2039" s="22">
        <v>0</v>
      </c>
      <c r="N2039" s="74">
        <v>3.5000000000000003E-2</v>
      </c>
      <c r="O2039" s="22">
        <v>0</v>
      </c>
      <c r="P2039" s="21">
        <v>47260</v>
      </c>
      <c r="S2039" s="108" t="b">
        <f>OR(COUNTIF(Tabla2[[#This Row],[PROVEEDOR]],"*"&amp;'Palabra no opera'!$A$2&amp;"*"))</f>
        <v>1</v>
      </c>
      <c r="T2039" s="139">
        <f>+$W$5-Tabla2[[#This Row],[FECHA DE FACTURACIÓN]]</f>
        <v>639</v>
      </c>
      <c r="U2039" t="str">
        <f>+IF(Tabla2[[#This Row],[dias de credito]]&gt;=Tabla2[[#This Row],[PLAZO Días]],"venc", "No venc")</f>
        <v>venc</v>
      </c>
      <c r="V2039" t="str">
        <f>+IF(Tabla2[[#This Row],[FECHA DE PAGO]]&gt;0,"pagada","por pagar")</f>
        <v>pagada</v>
      </c>
      <c r="W2039" s="141" t="str">
        <f>+IF(AND(Tabla2[[#This Row],[venc]]="venc",Tabla2[[#This Row],[Columna1]]="por pagar"),"vencida","no")</f>
        <v>no</v>
      </c>
    </row>
    <row r="2040" spans="1:23" ht="15.6" hidden="1" x14ac:dyDescent="0.3">
      <c r="A2040" s="20">
        <v>20</v>
      </c>
      <c r="B2040" s="25">
        <v>0</v>
      </c>
      <c r="C2040" s="25"/>
      <c r="D2040" s="56" t="s">
        <v>201</v>
      </c>
      <c r="E2040" s="426">
        <v>44678</v>
      </c>
      <c r="F2040" s="26" t="s">
        <v>652</v>
      </c>
      <c r="G2040" s="426">
        <v>44652</v>
      </c>
      <c r="H2040" s="35">
        <v>42651</v>
      </c>
      <c r="I2040" s="21">
        <v>4430000</v>
      </c>
      <c r="J2040" s="21"/>
      <c r="K2040" s="22">
        <v>841700</v>
      </c>
      <c r="L2040" s="23"/>
      <c r="M2040" s="22">
        <v>0</v>
      </c>
      <c r="N2040" s="74">
        <v>3.5000000000000003E-2</v>
      </c>
      <c r="O2040" s="22">
        <v>155050.00000000003</v>
      </c>
      <c r="P2040" s="21">
        <v>5116650</v>
      </c>
      <c r="S2040" s="108" t="b">
        <f>OR(COUNTIF(Tabla2[[#This Row],[PROVEEDOR]],"*"&amp;'Palabra no opera'!$A$2&amp;"*"))</f>
        <v>1</v>
      </c>
      <c r="T2040" s="139">
        <f>+$W$5-Tabla2[[#This Row],[FECHA DE FACTURACIÓN]]</f>
        <v>639</v>
      </c>
      <c r="U2040" t="str">
        <f>+IF(Tabla2[[#This Row],[dias de credito]]&gt;=Tabla2[[#This Row],[PLAZO Días]],"venc", "No venc")</f>
        <v>venc</v>
      </c>
      <c r="V2040" t="str">
        <f>+IF(Tabla2[[#This Row],[FECHA DE PAGO]]&gt;0,"pagada","por pagar")</f>
        <v>pagada</v>
      </c>
      <c r="W2040" s="141" t="str">
        <f>+IF(AND(Tabla2[[#This Row],[venc]]="venc",Tabla2[[#This Row],[Columna1]]="por pagar"),"vencida","no")</f>
        <v>no</v>
      </c>
    </row>
    <row r="2041" spans="1:23" ht="15.6" hidden="1" x14ac:dyDescent="0.3">
      <c r="A2041" s="20">
        <v>30</v>
      </c>
      <c r="B2041" s="25">
        <v>0</v>
      </c>
      <c r="C2041" s="25"/>
      <c r="D2041" s="56" t="s">
        <v>185</v>
      </c>
      <c r="E2041" s="426">
        <v>44678</v>
      </c>
      <c r="F2041" s="26" t="s">
        <v>628</v>
      </c>
      <c r="G2041" s="426">
        <v>44650</v>
      </c>
      <c r="H2041" s="35" t="s">
        <v>418</v>
      </c>
      <c r="I2041" s="21">
        <v>-272331</v>
      </c>
      <c r="J2041" s="21"/>
      <c r="K2041" s="22">
        <v>0</v>
      </c>
      <c r="L2041" s="23"/>
      <c r="M2041" s="22">
        <v>0</v>
      </c>
      <c r="N2041" s="74">
        <v>0</v>
      </c>
      <c r="O2041" s="22">
        <v>0</v>
      </c>
      <c r="P2041" s="21">
        <v>-272331</v>
      </c>
      <c r="S2041" s="108" t="b">
        <f>OR(COUNTIF(Tabla2[[#This Row],[PROVEEDOR]],"*"&amp;'Palabra no opera'!$A$2&amp;"*"))</f>
        <v>1</v>
      </c>
      <c r="T2041" s="139">
        <f>+$W$5-Tabla2[[#This Row],[FECHA DE FACTURACIÓN]]</f>
        <v>641</v>
      </c>
      <c r="U2041" t="str">
        <f>+IF(Tabla2[[#This Row],[dias de credito]]&gt;=Tabla2[[#This Row],[PLAZO Días]],"venc", "No venc")</f>
        <v>venc</v>
      </c>
      <c r="V2041" t="str">
        <f>+IF(Tabla2[[#This Row],[FECHA DE PAGO]]&gt;0,"pagada","por pagar")</f>
        <v>pagada</v>
      </c>
      <c r="W2041" s="141" t="str">
        <f>+IF(AND(Tabla2[[#This Row],[venc]]="venc",Tabla2[[#This Row],[Columna1]]="por pagar"),"vencida","no")</f>
        <v>no</v>
      </c>
    </row>
    <row r="2042" spans="1:23" ht="15.6" hidden="1" x14ac:dyDescent="0.3">
      <c r="A2042" s="20">
        <v>20</v>
      </c>
      <c r="B2042" s="25">
        <v>0</v>
      </c>
      <c r="C2042" s="25"/>
      <c r="D2042" s="56" t="s">
        <v>143</v>
      </c>
      <c r="E2042" s="426">
        <v>44678</v>
      </c>
      <c r="F2042" s="26" t="s">
        <v>647</v>
      </c>
      <c r="G2042" s="426">
        <v>44617</v>
      </c>
      <c r="H2042" s="35" t="s">
        <v>427</v>
      </c>
      <c r="I2042" s="21">
        <v>-600000</v>
      </c>
      <c r="J2042" s="21"/>
      <c r="K2042" s="22">
        <v>0</v>
      </c>
      <c r="L2042" s="23"/>
      <c r="M2042" s="22">
        <v>0</v>
      </c>
      <c r="N2042" s="74">
        <v>0</v>
      </c>
      <c r="O2042" s="22">
        <v>0</v>
      </c>
      <c r="P2042" s="21">
        <v>-600000</v>
      </c>
      <c r="S2042" s="108" t="b">
        <f>OR(COUNTIF(Tabla2[[#This Row],[PROVEEDOR]],"*"&amp;'Palabra no opera'!$A$2&amp;"*"))</f>
        <v>1</v>
      </c>
      <c r="T2042" s="139">
        <f>+$W$5-Tabla2[[#This Row],[FECHA DE FACTURACIÓN]]</f>
        <v>674</v>
      </c>
      <c r="U2042" t="str">
        <f>+IF(Tabla2[[#This Row],[dias de credito]]&gt;=Tabla2[[#This Row],[PLAZO Días]],"venc", "No venc")</f>
        <v>venc</v>
      </c>
      <c r="V2042" t="str">
        <f>+IF(Tabla2[[#This Row],[FECHA DE PAGO]]&gt;0,"pagada","por pagar")</f>
        <v>pagada</v>
      </c>
      <c r="W2042" s="141" t="str">
        <f>+IF(AND(Tabla2[[#This Row],[venc]]="venc",Tabla2[[#This Row],[Columna1]]="por pagar"),"vencida","no")</f>
        <v>no</v>
      </c>
    </row>
    <row r="2043" spans="1:23" ht="15.6" hidden="1" x14ac:dyDescent="0.3">
      <c r="A2043" s="20">
        <v>20</v>
      </c>
      <c r="B2043" s="25">
        <v>0</v>
      </c>
      <c r="C2043" s="25"/>
      <c r="D2043" s="56" t="s">
        <v>143</v>
      </c>
      <c r="E2043" s="426">
        <v>44678</v>
      </c>
      <c r="F2043" s="26" t="s">
        <v>647</v>
      </c>
      <c r="G2043" s="426">
        <v>44606</v>
      </c>
      <c r="H2043" s="35">
        <v>556</v>
      </c>
      <c r="I2043" s="21">
        <v>1890000</v>
      </c>
      <c r="J2043" s="21"/>
      <c r="K2043" s="22">
        <v>0</v>
      </c>
      <c r="L2043" s="23"/>
      <c r="M2043" s="22">
        <v>0</v>
      </c>
      <c r="N2043" s="74">
        <v>0</v>
      </c>
      <c r="O2043" s="22">
        <v>0</v>
      </c>
      <c r="P2043" s="21">
        <v>1890000</v>
      </c>
      <c r="S2043" s="108" t="b">
        <f>OR(COUNTIF(Tabla2[[#This Row],[PROVEEDOR]],"*"&amp;'Palabra no opera'!$A$2&amp;"*"))</f>
        <v>1</v>
      </c>
      <c r="T2043" s="139">
        <f>+$W$5-Tabla2[[#This Row],[FECHA DE FACTURACIÓN]]</f>
        <v>685</v>
      </c>
      <c r="U2043" t="str">
        <f>+IF(Tabla2[[#This Row],[dias de credito]]&gt;=Tabla2[[#This Row],[PLAZO Días]],"venc", "No venc")</f>
        <v>venc</v>
      </c>
      <c r="V2043" t="str">
        <f>+IF(Tabla2[[#This Row],[FECHA DE PAGO]]&gt;0,"pagada","por pagar")</f>
        <v>pagada</v>
      </c>
      <c r="W2043" s="141" t="str">
        <f>+IF(AND(Tabla2[[#This Row],[venc]]="venc",Tabla2[[#This Row],[Columna1]]="por pagar"),"vencida","no")</f>
        <v>no</v>
      </c>
    </row>
    <row r="2044" spans="1:23" ht="15.6" hidden="1" x14ac:dyDescent="0.3">
      <c r="A2044" s="20">
        <v>60</v>
      </c>
      <c r="B2044" s="25">
        <v>0</v>
      </c>
      <c r="C2044" s="25"/>
      <c r="D2044" s="56">
        <v>0</v>
      </c>
      <c r="E2044" s="426">
        <v>44678</v>
      </c>
      <c r="F2044" s="26" t="s">
        <v>951</v>
      </c>
      <c r="G2044" s="426">
        <v>44585</v>
      </c>
      <c r="H2044" s="35" t="s">
        <v>490</v>
      </c>
      <c r="I2044" s="21">
        <v>6152000</v>
      </c>
      <c r="J2044" s="21"/>
      <c r="K2044" s="22">
        <v>1168880</v>
      </c>
      <c r="L2044" s="23"/>
      <c r="M2044" s="22">
        <v>0</v>
      </c>
      <c r="N2044" s="74">
        <v>0</v>
      </c>
      <c r="O2044" s="22">
        <v>0</v>
      </c>
      <c r="P2044" s="21">
        <v>7320880</v>
      </c>
      <c r="S2044" s="108" t="b">
        <f>OR(COUNTIF(Tabla2[[#This Row],[PROVEEDOR]],"*"&amp;'Palabra no opera'!$A$2&amp;"*"))</f>
        <v>1</v>
      </c>
      <c r="T2044" s="139">
        <f>+$W$5-Tabla2[[#This Row],[FECHA DE FACTURACIÓN]]</f>
        <v>706</v>
      </c>
      <c r="U2044" t="str">
        <f>+IF(Tabla2[[#This Row],[dias de credito]]&gt;=Tabla2[[#This Row],[PLAZO Días]],"venc", "No venc")</f>
        <v>venc</v>
      </c>
      <c r="V2044" t="str">
        <f>+IF(Tabla2[[#This Row],[FECHA DE PAGO]]&gt;0,"pagada","por pagar")</f>
        <v>pagada</v>
      </c>
      <c r="W2044" s="141" t="str">
        <f>+IF(AND(Tabla2[[#This Row],[venc]]="venc",Tabla2[[#This Row],[Columna1]]="por pagar"),"vencida","no")</f>
        <v>no</v>
      </c>
    </row>
    <row r="2045" spans="1:23" ht="15.6" hidden="1" x14ac:dyDescent="0.3">
      <c r="A2045" s="20">
        <v>45</v>
      </c>
      <c r="B2045" s="25">
        <v>15770594</v>
      </c>
      <c r="C2045" s="25"/>
      <c r="D2045" s="56" t="s">
        <v>594</v>
      </c>
      <c r="E2045" s="426">
        <v>44676</v>
      </c>
      <c r="F2045" s="26" t="s">
        <v>19</v>
      </c>
      <c r="G2045" s="426">
        <v>44622</v>
      </c>
      <c r="H2045" s="35" t="s">
        <v>591</v>
      </c>
      <c r="I2045" s="21">
        <v>14220800</v>
      </c>
      <c r="J2045" s="21"/>
      <c r="K2045" s="22">
        <v>2701952</v>
      </c>
      <c r="L2045" s="23"/>
      <c r="M2045" s="22">
        <v>0</v>
      </c>
      <c r="N2045" s="74">
        <v>0</v>
      </c>
      <c r="O2045" s="22">
        <v>0</v>
      </c>
      <c r="P2045" s="21">
        <v>16922752</v>
      </c>
      <c r="S2045" s="108" t="b">
        <f>OR(COUNTIF(Tabla2[[#This Row],[PROVEEDOR]],"*"&amp;'Palabra no opera'!$A$2&amp;"*"))</f>
        <v>0</v>
      </c>
      <c r="T2045" s="139">
        <f>+$W$5-Tabla2[[#This Row],[FECHA DE FACTURACIÓN]]</f>
        <v>669</v>
      </c>
      <c r="U2045" t="str">
        <f>+IF(Tabla2[[#This Row],[dias de credito]]&gt;=Tabla2[[#This Row],[PLAZO Días]],"venc", "No venc")</f>
        <v>venc</v>
      </c>
      <c r="V2045" t="str">
        <f>+IF(Tabla2[[#This Row],[FECHA DE PAGO]]&gt;0,"pagada","por pagar")</f>
        <v>pagada</v>
      </c>
      <c r="W2045" s="141" t="str">
        <f>+IF(AND(Tabla2[[#This Row],[venc]]="venc",Tabla2[[#This Row],[Columna1]]="por pagar"),"vencida","no")</f>
        <v>no</v>
      </c>
    </row>
    <row r="2046" spans="1:23" ht="15.6" hidden="1" x14ac:dyDescent="0.3">
      <c r="A2046" s="20">
        <v>60</v>
      </c>
      <c r="B2046" s="25">
        <v>0</v>
      </c>
      <c r="C2046" s="25"/>
      <c r="D2046" s="56">
        <v>0</v>
      </c>
      <c r="E2046" s="426">
        <v>44676</v>
      </c>
      <c r="F2046" s="26" t="s">
        <v>951</v>
      </c>
      <c r="G2046" s="426">
        <v>44591</v>
      </c>
      <c r="H2046" s="35" t="s">
        <v>488</v>
      </c>
      <c r="I2046" s="21">
        <v>7278800</v>
      </c>
      <c r="J2046" s="21"/>
      <c r="K2046" s="22">
        <v>1382972</v>
      </c>
      <c r="L2046" s="23"/>
      <c r="M2046" s="22">
        <v>0</v>
      </c>
      <c r="N2046" s="74">
        <v>0</v>
      </c>
      <c r="O2046" s="22">
        <v>0</v>
      </c>
      <c r="P2046" s="21">
        <v>8661772</v>
      </c>
      <c r="S2046" s="108" t="b">
        <f>OR(COUNTIF(Tabla2[[#This Row],[PROVEEDOR]],"*"&amp;'Palabra no opera'!$A$2&amp;"*"))</f>
        <v>1</v>
      </c>
      <c r="T2046" s="139">
        <f>+$W$5-Tabla2[[#This Row],[FECHA DE FACTURACIÓN]]</f>
        <v>700</v>
      </c>
      <c r="U2046" t="str">
        <f>+IF(Tabla2[[#This Row],[dias de credito]]&gt;=Tabla2[[#This Row],[PLAZO Días]],"venc", "No venc")</f>
        <v>venc</v>
      </c>
      <c r="V2046" t="str">
        <f>+IF(Tabla2[[#This Row],[FECHA DE PAGO]]&gt;0,"pagada","por pagar")</f>
        <v>pagada</v>
      </c>
      <c r="W2046" s="141" t="str">
        <f>+IF(AND(Tabla2[[#This Row],[venc]]="venc",Tabla2[[#This Row],[Columna1]]="por pagar"),"vencida","no")</f>
        <v>no</v>
      </c>
    </row>
    <row r="2047" spans="1:23" ht="15.6" hidden="1" x14ac:dyDescent="0.3">
      <c r="A2047" s="20">
        <v>30</v>
      </c>
      <c r="B2047" s="25">
        <v>0</v>
      </c>
      <c r="C2047" s="25"/>
      <c r="D2047" s="56" t="s">
        <v>107</v>
      </c>
      <c r="E2047" s="426">
        <v>44673</v>
      </c>
      <c r="F2047" s="26" t="s">
        <v>390</v>
      </c>
      <c r="G2047" s="426">
        <v>44673</v>
      </c>
      <c r="H2047" s="35"/>
      <c r="I2047" s="21">
        <v>1000000</v>
      </c>
      <c r="J2047" s="21"/>
      <c r="K2047" s="22">
        <v>0</v>
      </c>
      <c r="L2047" s="23"/>
      <c r="M2047" s="22">
        <v>0</v>
      </c>
      <c r="N2047" s="74">
        <v>0</v>
      </c>
      <c r="O2047" s="22">
        <v>0</v>
      </c>
      <c r="P2047" s="21">
        <v>1000000</v>
      </c>
      <c r="S2047" s="108" t="b">
        <f>OR(COUNTIF(Tabla2[[#This Row],[PROVEEDOR]],"*"&amp;'Palabra no opera'!$A$2&amp;"*"))</f>
        <v>0</v>
      </c>
      <c r="T2047" s="139">
        <f>+$W$5-Tabla2[[#This Row],[FECHA DE FACTURACIÓN]]</f>
        <v>618</v>
      </c>
      <c r="U2047" t="str">
        <f>+IF(Tabla2[[#This Row],[dias de credito]]&gt;=Tabla2[[#This Row],[PLAZO Días]],"venc", "No venc")</f>
        <v>venc</v>
      </c>
      <c r="V2047" t="str">
        <f>+IF(Tabla2[[#This Row],[FECHA DE PAGO]]&gt;0,"pagada","por pagar")</f>
        <v>pagada</v>
      </c>
      <c r="W2047" s="141" t="str">
        <f>+IF(AND(Tabla2[[#This Row],[venc]]="venc",Tabla2[[#This Row],[Columna1]]="por pagar"),"vencida","no")</f>
        <v>no</v>
      </c>
    </row>
    <row r="2048" spans="1:23" ht="15.6" hidden="1" x14ac:dyDescent="0.3">
      <c r="A2048" s="20">
        <v>30</v>
      </c>
      <c r="B2048" s="25">
        <v>0</v>
      </c>
      <c r="C2048" s="25"/>
      <c r="D2048" s="56" t="s">
        <v>258</v>
      </c>
      <c r="E2048" s="426">
        <v>44673</v>
      </c>
      <c r="F2048" s="26" t="s">
        <v>257</v>
      </c>
      <c r="G2048" s="426">
        <v>44648</v>
      </c>
      <c r="H2048" s="35">
        <v>28</v>
      </c>
      <c r="I2048" s="21">
        <v>3480500</v>
      </c>
      <c r="J2048" s="21"/>
      <c r="K2048" s="22">
        <v>661295</v>
      </c>
      <c r="L2048" s="23"/>
      <c r="M2048" s="22">
        <v>0</v>
      </c>
      <c r="N2048" s="74">
        <v>2.5000000000000001E-2</v>
      </c>
      <c r="O2048" s="22">
        <v>87012.5</v>
      </c>
      <c r="P2048" s="21">
        <v>4054782.5</v>
      </c>
      <c r="S2048" s="108" t="b">
        <f>OR(COUNTIF(Tabla2[[#This Row],[PROVEEDOR]],"*"&amp;'Palabra no opera'!$A$2&amp;"*"))</f>
        <v>0</v>
      </c>
      <c r="T2048" s="139">
        <f>+$W$5-Tabla2[[#This Row],[FECHA DE FACTURACIÓN]]</f>
        <v>643</v>
      </c>
      <c r="U2048" t="str">
        <f>+IF(Tabla2[[#This Row],[dias de credito]]&gt;=Tabla2[[#This Row],[PLAZO Días]],"venc", "No venc")</f>
        <v>venc</v>
      </c>
      <c r="V2048" t="str">
        <f>+IF(Tabla2[[#This Row],[FECHA DE PAGO]]&gt;0,"pagada","por pagar")</f>
        <v>pagada</v>
      </c>
      <c r="W2048" s="141" t="str">
        <f>+IF(AND(Tabla2[[#This Row],[venc]]="venc",Tabla2[[#This Row],[Columna1]]="por pagar"),"vencida","no")</f>
        <v>no</v>
      </c>
    </row>
    <row r="2049" spans="1:23" ht="15.6" hidden="1" x14ac:dyDescent="0.3">
      <c r="A2049" s="20">
        <v>30</v>
      </c>
      <c r="B2049" s="25">
        <v>0</v>
      </c>
      <c r="C2049" s="25"/>
      <c r="D2049" s="56">
        <v>0</v>
      </c>
      <c r="E2049" s="426">
        <v>44671</v>
      </c>
      <c r="F2049" s="26" t="s">
        <v>361</v>
      </c>
      <c r="G2049" s="426">
        <v>44671</v>
      </c>
      <c r="H2049" s="35" t="s">
        <v>608</v>
      </c>
      <c r="I2049" s="21">
        <v>348000</v>
      </c>
      <c r="J2049" s="21"/>
      <c r="K2049" s="22">
        <v>0</v>
      </c>
      <c r="L2049" s="23"/>
      <c r="M2049" s="22">
        <v>0</v>
      </c>
      <c r="N2049" s="74">
        <v>0</v>
      </c>
      <c r="O2049" s="22">
        <v>0</v>
      </c>
      <c r="P2049" s="21">
        <v>348000</v>
      </c>
      <c r="S2049" s="108" t="b">
        <f>OR(COUNTIF(Tabla2[[#This Row],[PROVEEDOR]],"*"&amp;'Palabra no opera'!$A$2&amp;"*"))</f>
        <v>0</v>
      </c>
      <c r="T2049" s="139">
        <f>+$W$5-Tabla2[[#This Row],[FECHA DE FACTURACIÓN]]</f>
        <v>620</v>
      </c>
      <c r="U2049" t="str">
        <f>+IF(Tabla2[[#This Row],[dias de credito]]&gt;=Tabla2[[#This Row],[PLAZO Días]],"venc", "No venc")</f>
        <v>venc</v>
      </c>
      <c r="V2049" t="str">
        <f>+IF(Tabla2[[#This Row],[FECHA DE PAGO]]&gt;0,"pagada","por pagar")</f>
        <v>pagada</v>
      </c>
      <c r="W2049" s="141" t="str">
        <f>+IF(AND(Tabla2[[#This Row],[venc]]="venc",Tabla2[[#This Row],[Columna1]]="por pagar"),"vencida","no")</f>
        <v>no</v>
      </c>
    </row>
    <row r="2050" spans="1:23" ht="15.6" hidden="1" x14ac:dyDescent="0.3">
      <c r="A2050" s="20">
        <v>30</v>
      </c>
      <c r="B2050" s="25">
        <v>0</v>
      </c>
      <c r="C2050" s="25"/>
      <c r="D2050" s="56" t="s">
        <v>176</v>
      </c>
      <c r="E2050" s="426">
        <v>44671</v>
      </c>
      <c r="F2050" s="26" t="s">
        <v>966</v>
      </c>
      <c r="G2050" s="426">
        <v>44668</v>
      </c>
      <c r="H2050" s="35"/>
      <c r="I2050" s="21">
        <v>400000</v>
      </c>
      <c r="J2050" s="21"/>
      <c r="K2050" s="22">
        <v>0</v>
      </c>
      <c r="L2050" s="23"/>
      <c r="M2050" s="22">
        <v>0</v>
      </c>
      <c r="N2050" s="74">
        <v>0</v>
      </c>
      <c r="O2050" s="22">
        <v>0</v>
      </c>
      <c r="P2050" s="21">
        <v>400000</v>
      </c>
      <c r="S2050" s="108" t="b">
        <f>OR(COUNTIF(Tabla2[[#This Row],[PROVEEDOR]],"*"&amp;'Palabra no opera'!$A$2&amp;"*"))</f>
        <v>0</v>
      </c>
      <c r="T2050" s="139">
        <f>+$W$5-Tabla2[[#This Row],[FECHA DE FACTURACIÓN]]</f>
        <v>623</v>
      </c>
      <c r="U2050" t="str">
        <f>+IF(Tabla2[[#This Row],[dias de credito]]&gt;=Tabla2[[#This Row],[PLAZO Días]],"venc", "No venc")</f>
        <v>venc</v>
      </c>
      <c r="V2050" t="str">
        <f>+IF(Tabla2[[#This Row],[FECHA DE PAGO]]&gt;0,"pagada","por pagar")</f>
        <v>pagada</v>
      </c>
      <c r="W2050" s="141" t="str">
        <f>+IF(AND(Tabla2[[#This Row],[venc]]="venc",Tabla2[[#This Row],[Columna1]]="por pagar"),"vencida","no")</f>
        <v>no</v>
      </c>
    </row>
    <row r="2051" spans="1:23" ht="15.6" hidden="1" x14ac:dyDescent="0.3">
      <c r="A2051" s="20">
        <v>30</v>
      </c>
      <c r="B2051" s="25">
        <v>0</v>
      </c>
      <c r="C2051" s="25"/>
      <c r="D2051" s="56" t="s">
        <v>270</v>
      </c>
      <c r="E2051" s="426">
        <v>44671</v>
      </c>
      <c r="F2051" s="26" t="s">
        <v>387</v>
      </c>
      <c r="G2051" s="426">
        <v>44588</v>
      </c>
      <c r="H2051" s="35" t="s">
        <v>997</v>
      </c>
      <c r="I2051" s="21">
        <v>148000</v>
      </c>
      <c r="J2051" s="21"/>
      <c r="K2051" s="22">
        <v>0</v>
      </c>
      <c r="L2051" s="23"/>
      <c r="M2051" s="22">
        <v>0</v>
      </c>
      <c r="N2051" s="74">
        <v>0</v>
      </c>
      <c r="O2051" s="22">
        <v>0</v>
      </c>
      <c r="P2051" s="21">
        <v>148000</v>
      </c>
      <c r="S2051" s="108" t="b">
        <f>OR(COUNTIF(Tabla2[[#This Row],[PROVEEDOR]],"*"&amp;'Palabra no opera'!$A$2&amp;"*"))</f>
        <v>0</v>
      </c>
      <c r="T2051" s="139">
        <f>+$W$5-Tabla2[[#This Row],[FECHA DE FACTURACIÓN]]</f>
        <v>703</v>
      </c>
      <c r="U2051" t="str">
        <f>+IF(Tabla2[[#This Row],[dias de credito]]&gt;=Tabla2[[#This Row],[PLAZO Días]],"venc", "No venc")</f>
        <v>venc</v>
      </c>
      <c r="V2051" t="str">
        <f>+IF(Tabla2[[#This Row],[FECHA DE PAGO]]&gt;0,"pagada","por pagar")</f>
        <v>pagada</v>
      </c>
      <c r="W2051" s="141" t="str">
        <f>+IF(AND(Tabla2[[#This Row],[venc]]="venc",Tabla2[[#This Row],[Columna1]]="por pagar"),"vencida","no")</f>
        <v>no</v>
      </c>
    </row>
    <row r="2052" spans="1:23" ht="15.6" hidden="1" x14ac:dyDescent="0.3">
      <c r="A2052" s="20">
        <v>30</v>
      </c>
      <c r="B2052" s="25">
        <v>680000</v>
      </c>
      <c r="C2052" s="25"/>
      <c r="D2052" s="56" t="s">
        <v>177</v>
      </c>
      <c r="E2052" s="426">
        <v>44671</v>
      </c>
      <c r="F2052" s="26" t="s">
        <v>412</v>
      </c>
      <c r="G2052" s="426">
        <v>44511</v>
      </c>
      <c r="H2052" s="35" t="s">
        <v>971</v>
      </c>
      <c r="I2052" s="21">
        <v>1306000</v>
      </c>
      <c r="J2052" s="21"/>
      <c r="K2052" s="22">
        <v>0</v>
      </c>
      <c r="L2052" s="23"/>
      <c r="M2052" s="22">
        <v>0</v>
      </c>
      <c r="N2052" s="74">
        <v>0</v>
      </c>
      <c r="O2052" s="22">
        <v>0</v>
      </c>
      <c r="P2052" s="21">
        <v>1306000</v>
      </c>
      <c r="S2052" s="108" t="b">
        <f>OR(COUNTIF(Tabla2[[#This Row],[PROVEEDOR]],"*"&amp;'Palabra no opera'!$A$2&amp;"*"))</f>
        <v>0</v>
      </c>
      <c r="T2052" s="139">
        <f>+$W$5-Tabla2[[#This Row],[FECHA DE FACTURACIÓN]]</f>
        <v>780</v>
      </c>
      <c r="U2052" t="str">
        <f>+IF(Tabla2[[#This Row],[dias de credito]]&gt;=Tabla2[[#This Row],[PLAZO Días]],"venc", "No venc")</f>
        <v>venc</v>
      </c>
      <c r="V2052" t="str">
        <f>+IF(Tabla2[[#This Row],[FECHA DE PAGO]]&gt;0,"pagada","por pagar")</f>
        <v>pagada</v>
      </c>
      <c r="W2052" s="141" t="str">
        <f>+IF(AND(Tabla2[[#This Row],[venc]]="venc",Tabla2[[#This Row],[Columna1]]="por pagar"),"vencida","no")</f>
        <v>no</v>
      </c>
    </row>
    <row r="2053" spans="1:23" ht="15.6" hidden="1" x14ac:dyDescent="0.3">
      <c r="A2053" s="20">
        <v>30</v>
      </c>
      <c r="B2053" s="25">
        <v>0</v>
      </c>
      <c r="C2053" s="25"/>
      <c r="D2053" s="56" t="s">
        <v>199</v>
      </c>
      <c r="E2053" s="426">
        <v>44670</v>
      </c>
      <c r="F2053" s="26" t="s">
        <v>1069</v>
      </c>
      <c r="G2053" s="426">
        <v>44670</v>
      </c>
      <c r="H2053" s="35" t="s">
        <v>592</v>
      </c>
      <c r="I2053" s="21">
        <v>201681</v>
      </c>
      <c r="J2053" s="21"/>
      <c r="K2053" s="22">
        <v>38319.39</v>
      </c>
      <c r="L2053" s="23"/>
      <c r="M2053" s="22">
        <v>0</v>
      </c>
      <c r="N2053" s="74">
        <v>0</v>
      </c>
      <c r="O2053" s="22">
        <v>0</v>
      </c>
      <c r="P2053" s="21">
        <v>240000.39</v>
      </c>
      <c r="S2053" s="108" t="b">
        <f>OR(COUNTIF(Tabla2[[#This Row],[PROVEEDOR]],"*"&amp;'Palabra no opera'!$A$2&amp;"*"))</f>
        <v>0</v>
      </c>
      <c r="T2053" s="139">
        <f>+$W$5-Tabla2[[#This Row],[FECHA DE FACTURACIÓN]]</f>
        <v>621</v>
      </c>
      <c r="U2053" t="str">
        <f>+IF(Tabla2[[#This Row],[dias de credito]]&gt;=Tabla2[[#This Row],[PLAZO Días]],"venc", "No venc")</f>
        <v>venc</v>
      </c>
      <c r="V2053" t="str">
        <f>+IF(Tabla2[[#This Row],[FECHA DE PAGO]]&gt;0,"pagada","por pagar")</f>
        <v>pagada</v>
      </c>
      <c r="W2053" s="141" t="str">
        <f>+IF(AND(Tabla2[[#This Row],[venc]]="venc",Tabla2[[#This Row],[Columna1]]="por pagar"),"vencida","no")</f>
        <v>no</v>
      </c>
    </row>
    <row r="2054" spans="1:23" ht="15.6" hidden="1" x14ac:dyDescent="0.3">
      <c r="A2054" s="20">
        <v>30</v>
      </c>
      <c r="B2054" s="25">
        <v>1316890.8900000001</v>
      </c>
      <c r="C2054" s="25"/>
      <c r="D2054" s="56" t="s">
        <v>188</v>
      </c>
      <c r="E2054" s="426">
        <v>44670</v>
      </c>
      <c r="F2054" s="26" t="s">
        <v>17</v>
      </c>
      <c r="G2054" s="426">
        <v>44634</v>
      </c>
      <c r="H2054" s="35">
        <v>1890430</v>
      </c>
      <c r="I2054" s="21">
        <v>371000</v>
      </c>
      <c r="J2054" s="21"/>
      <c r="K2054" s="22">
        <v>70490</v>
      </c>
      <c r="L2054" s="23"/>
      <c r="M2054" s="22">
        <v>0</v>
      </c>
      <c r="N2054" s="74">
        <v>0</v>
      </c>
      <c r="O2054" s="22">
        <v>0</v>
      </c>
      <c r="P2054" s="21">
        <v>441490</v>
      </c>
      <c r="S2054" s="108" t="b">
        <f>OR(COUNTIF(Tabla2[[#This Row],[PROVEEDOR]],"*"&amp;'Palabra no opera'!$A$2&amp;"*"))</f>
        <v>0</v>
      </c>
      <c r="T2054" s="139">
        <f>+$W$5-Tabla2[[#This Row],[FECHA DE FACTURACIÓN]]</f>
        <v>657</v>
      </c>
      <c r="U2054" t="str">
        <f>+IF(Tabla2[[#This Row],[dias de credito]]&gt;=Tabla2[[#This Row],[PLAZO Días]],"venc", "No venc")</f>
        <v>venc</v>
      </c>
      <c r="V2054" t="str">
        <f>+IF(Tabla2[[#This Row],[FECHA DE PAGO]]&gt;0,"pagada","por pagar")</f>
        <v>pagada</v>
      </c>
      <c r="W2054" s="141" t="str">
        <f>+IF(AND(Tabla2[[#This Row],[venc]]="venc",Tabla2[[#This Row],[Columna1]]="por pagar"),"vencida","no")</f>
        <v>no</v>
      </c>
    </row>
    <row r="2055" spans="1:23" ht="15.6" hidden="1" x14ac:dyDescent="0.3">
      <c r="A2055" s="20">
        <v>30</v>
      </c>
      <c r="B2055" s="25">
        <v>1316890.8900000001</v>
      </c>
      <c r="C2055" s="25"/>
      <c r="D2055" s="56" t="s">
        <v>188</v>
      </c>
      <c r="E2055" s="426">
        <v>44670</v>
      </c>
      <c r="F2055" s="26" t="s">
        <v>17</v>
      </c>
      <c r="G2055" s="426">
        <v>44634</v>
      </c>
      <c r="H2055" s="35">
        <v>1890377</v>
      </c>
      <c r="I2055" s="21">
        <v>570000</v>
      </c>
      <c r="J2055" s="21"/>
      <c r="K2055" s="22">
        <v>108300</v>
      </c>
      <c r="L2055" s="23"/>
      <c r="M2055" s="22">
        <v>0</v>
      </c>
      <c r="N2055" s="74">
        <v>0</v>
      </c>
      <c r="O2055" s="22">
        <v>0</v>
      </c>
      <c r="P2055" s="21">
        <v>678300</v>
      </c>
      <c r="S2055" s="108" t="b">
        <f>OR(COUNTIF(Tabla2[[#This Row],[PROVEEDOR]],"*"&amp;'Palabra no opera'!$A$2&amp;"*"))</f>
        <v>0</v>
      </c>
      <c r="T2055" s="139">
        <f>+$W$5-Tabla2[[#This Row],[FECHA DE FACTURACIÓN]]</f>
        <v>657</v>
      </c>
      <c r="U2055" t="str">
        <f>+IF(Tabla2[[#This Row],[dias de credito]]&gt;=Tabla2[[#This Row],[PLAZO Días]],"venc", "No venc")</f>
        <v>venc</v>
      </c>
      <c r="V2055" t="str">
        <f>+IF(Tabla2[[#This Row],[FECHA DE PAGO]]&gt;0,"pagada","por pagar")</f>
        <v>pagada</v>
      </c>
      <c r="W2055" s="141" t="str">
        <f>+IF(AND(Tabla2[[#This Row],[venc]]="venc",Tabla2[[#This Row],[Columna1]]="por pagar"),"vencida","no")</f>
        <v>no</v>
      </c>
    </row>
    <row r="2056" spans="1:23" ht="15.6" hidden="1" x14ac:dyDescent="0.3">
      <c r="A2056" s="20">
        <v>30</v>
      </c>
      <c r="B2056" s="25">
        <v>2773899.95</v>
      </c>
      <c r="C2056" s="25"/>
      <c r="D2056" s="56" t="s">
        <v>135</v>
      </c>
      <c r="E2056" s="426">
        <v>44670</v>
      </c>
      <c r="F2056" s="26" t="s">
        <v>20</v>
      </c>
      <c r="G2056" s="426">
        <v>44615</v>
      </c>
      <c r="H2056" s="35">
        <v>6379</v>
      </c>
      <c r="I2056" s="21">
        <v>614042</v>
      </c>
      <c r="J2056" s="21"/>
      <c r="K2056" s="22">
        <v>116667.98</v>
      </c>
      <c r="L2056" s="23"/>
      <c r="M2056" s="22">
        <v>0</v>
      </c>
      <c r="N2056" s="74">
        <v>0</v>
      </c>
      <c r="O2056" s="22">
        <v>0</v>
      </c>
      <c r="P2056" s="21">
        <v>730709.98</v>
      </c>
      <c r="S2056" s="108" t="b">
        <f>OR(COUNTIF(Tabla2[[#This Row],[PROVEEDOR]],"*"&amp;'Palabra no opera'!$A$2&amp;"*"))</f>
        <v>0</v>
      </c>
      <c r="T2056" s="139">
        <f>+$W$5-Tabla2[[#This Row],[FECHA DE FACTURACIÓN]]</f>
        <v>676</v>
      </c>
      <c r="U2056" t="str">
        <f>+IF(Tabla2[[#This Row],[dias de credito]]&gt;=Tabla2[[#This Row],[PLAZO Días]],"venc", "No venc")</f>
        <v>venc</v>
      </c>
      <c r="V2056" t="str">
        <f>+IF(Tabla2[[#This Row],[FECHA DE PAGO]]&gt;0,"pagada","por pagar")</f>
        <v>pagada</v>
      </c>
      <c r="W2056" s="141" t="str">
        <f>+IF(AND(Tabla2[[#This Row],[venc]]="venc",Tabla2[[#This Row],[Columna1]]="por pagar"),"vencida","no")</f>
        <v>no</v>
      </c>
    </row>
    <row r="2057" spans="1:23" ht="15.6" hidden="1" x14ac:dyDescent="0.3">
      <c r="A2057" s="20">
        <v>30</v>
      </c>
      <c r="B2057" s="25">
        <v>0</v>
      </c>
      <c r="C2057" s="25"/>
      <c r="D2057" s="56" t="s">
        <v>109</v>
      </c>
      <c r="E2057" s="426">
        <v>44669</v>
      </c>
      <c r="F2057" s="26" t="s">
        <v>645</v>
      </c>
      <c r="G2057" s="426">
        <v>44652</v>
      </c>
      <c r="H2057" s="35"/>
      <c r="I2057" s="21">
        <v>326243</v>
      </c>
      <c r="J2057" s="21"/>
      <c r="K2057" s="22">
        <v>0</v>
      </c>
      <c r="L2057" s="23"/>
      <c r="M2057" s="22">
        <v>0</v>
      </c>
      <c r="N2057" s="74">
        <v>0</v>
      </c>
      <c r="O2057" s="22">
        <v>0</v>
      </c>
      <c r="P2057" s="21">
        <v>326243</v>
      </c>
      <c r="S2057" s="108" t="b">
        <f>OR(COUNTIF(Tabla2[[#This Row],[PROVEEDOR]],"*"&amp;'Palabra no opera'!$A$2&amp;"*"))</f>
        <v>1</v>
      </c>
      <c r="T2057" s="139">
        <f>+$W$5-Tabla2[[#This Row],[FECHA DE FACTURACIÓN]]</f>
        <v>639</v>
      </c>
      <c r="U2057" t="str">
        <f>+IF(Tabla2[[#This Row],[dias de credito]]&gt;=Tabla2[[#This Row],[PLAZO Días]],"venc", "No venc")</f>
        <v>venc</v>
      </c>
      <c r="V2057" t="str">
        <f>+IF(Tabla2[[#This Row],[FECHA DE PAGO]]&gt;0,"pagada","por pagar")</f>
        <v>pagada</v>
      </c>
      <c r="W2057" s="141" t="str">
        <f>+IF(AND(Tabla2[[#This Row],[venc]]="venc",Tabla2[[#This Row],[Columna1]]="por pagar"),"vencida","no")</f>
        <v>no</v>
      </c>
    </row>
    <row r="2058" spans="1:23" ht="15.6" hidden="1" x14ac:dyDescent="0.3">
      <c r="A2058" s="20">
        <v>30</v>
      </c>
      <c r="B2058" s="25">
        <v>352505.48</v>
      </c>
      <c r="C2058" s="25"/>
      <c r="D2058" s="56" t="s">
        <v>393</v>
      </c>
      <c r="E2058" s="426">
        <v>44663</v>
      </c>
      <c r="F2058" s="26" t="s">
        <v>650</v>
      </c>
      <c r="G2058" s="426">
        <v>44652</v>
      </c>
      <c r="H2058" s="35">
        <v>66928</v>
      </c>
      <c r="I2058" s="21">
        <v>284467</v>
      </c>
      <c r="J2058" s="21"/>
      <c r="K2058" s="22">
        <v>0</v>
      </c>
      <c r="L2058" s="23"/>
      <c r="M2058" s="22">
        <v>0</v>
      </c>
      <c r="N2058" s="74">
        <v>0</v>
      </c>
      <c r="O2058" s="22">
        <v>0</v>
      </c>
      <c r="P2058" s="21">
        <v>275944.33</v>
      </c>
      <c r="S2058" s="108" t="b">
        <f>OR(COUNTIF(Tabla2[[#This Row],[PROVEEDOR]],"*"&amp;'Palabra no opera'!$A$2&amp;"*"))</f>
        <v>1</v>
      </c>
      <c r="T2058" s="139">
        <f>+$W$5-Tabla2[[#This Row],[FECHA DE FACTURACIÓN]]</f>
        <v>639</v>
      </c>
      <c r="U2058" t="str">
        <f>+IF(Tabla2[[#This Row],[dias de credito]]&gt;=Tabla2[[#This Row],[PLAZO Días]],"venc", "No venc")</f>
        <v>venc</v>
      </c>
      <c r="V2058" t="str">
        <f>+IF(Tabla2[[#This Row],[FECHA DE PAGO]]&gt;0,"pagada","por pagar")</f>
        <v>pagada</v>
      </c>
      <c r="W2058" s="141" t="str">
        <f>+IF(AND(Tabla2[[#This Row],[venc]]="venc",Tabla2[[#This Row],[Columna1]]="por pagar"),"vencida","no")</f>
        <v>no</v>
      </c>
    </row>
    <row r="2059" spans="1:23" ht="15.6" hidden="1" x14ac:dyDescent="0.3">
      <c r="A2059" s="20">
        <v>30</v>
      </c>
      <c r="B2059" s="25">
        <v>0</v>
      </c>
      <c r="C2059" s="25"/>
      <c r="D2059" s="56" t="s">
        <v>740</v>
      </c>
      <c r="E2059" s="426">
        <v>44663</v>
      </c>
      <c r="F2059" s="26" t="s">
        <v>637</v>
      </c>
      <c r="G2059" s="426">
        <v>44652</v>
      </c>
      <c r="H2059" s="35" t="s">
        <v>565</v>
      </c>
      <c r="I2059" s="21">
        <v>127749</v>
      </c>
      <c r="J2059" s="21"/>
      <c r="K2059" s="22">
        <v>0</v>
      </c>
      <c r="L2059" s="23"/>
      <c r="M2059" s="22">
        <v>0</v>
      </c>
      <c r="N2059" s="74">
        <v>0</v>
      </c>
      <c r="O2059" s="22">
        <v>0</v>
      </c>
      <c r="P2059" s="21">
        <v>127749</v>
      </c>
      <c r="S2059" s="108" t="b">
        <f>OR(COUNTIF(Tabla2[[#This Row],[PROVEEDOR]],"*"&amp;'Palabra no opera'!$A$2&amp;"*"))</f>
        <v>1</v>
      </c>
      <c r="T2059" s="139">
        <f>+$W$5-Tabla2[[#This Row],[FECHA DE FACTURACIÓN]]</f>
        <v>639</v>
      </c>
      <c r="U2059" t="str">
        <f>+IF(Tabla2[[#This Row],[dias de credito]]&gt;=Tabla2[[#This Row],[PLAZO Días]],"venc", "No venc")</f>
        <v>venc</v>
      </c>
      <c r="V2059" t="str">
        <f>+IF(Tabla2[[#This Row],[FECHA DE PAGO]]&gt;0,"pagada","por pagar")</f>
        <v>pagada</v>
      </c>
      <c r="W2059" s="141" t="str">
        <f>+IF(AND(Tabla2[[#This Row],[venc]]="venc",Tabla2[[#This Row],[Columna1]]="por pagar"),"vencida","no")</f>
        <v>no</v>
      </c>
    </row>
    <row r="2060" spans="1:23" ht="15.6" hidden="1" x14ac:dyDescent="0.3">
      <c r="A2060" s="20">
        <v>30</v>
      </c>
      <c r="B2060" s="25">
        <v>0</v>
      </c>
      <c r="C2060" s="25"/>
      <c r="D2060" s="56" t="s">
        <v>740</v>
      </c>
      <c r="E2060" s="426">
        <v>44663</v>
      </c>
      <c r="F2060" s="26" t="s">
        <v>637</v>
      </c>
      <c r="G2060" s="426">
        <v>44652</v>
      </c>
      <c r="H2060" s="35" t="s">
        <v>220</v>
      </c>
      <c r="I2060" s="21">
        <v>818874</v>
      </c>
      <c r="J2060" s="21"/>
      <c r="K2060" s="22">
        <v>0</v>
      </c>
      <c r="L2060" s="23"/>
      <c r="M2060" s="22">
        <v>0</v>
      </c>
      <c r="N2060" s="74">
        <v>0</v>
      </c>
      <c r="O2060" s="22">
        <v>0</v>
      </c>
      <c r="P2060" s="21">
        <v>818874</v>
      </c>
      <c r="S2060" s="108" t="b">
        <f>OR(COUNTIF(Tabla2[[#This Row],[PROVEEDOR]],"*"&amp;'Palabra no opera'!$A$2&amp;"*"))</f>
        <v>1</v>
      </c>
      <c r="T2060" s="139">
        <f>+$W$5-Tabla2[[#This Row],[FECHA DE FACTURACIÓN]]</f>
        <v>639</v>
      </c>
      <c r="U2060" t="str">
        <f>+IF(Tabla2[[#This Row],[dias de credito]]&gt;=Tabla2[[#This Row],[PLAZO Días]],"venc", "No venc")</f>
        <v>venc</v>
      </c>
      <c r="V2060" t="str">
        <f>+IF(Tabla2[[#This Row],[FECHA DE PAGO]]&gt;0,"pagada","por pagar")</f>
        <v>pagada</v>
      </c>
      <c r="W2060" s="141" t="str">
        <f>+IF(AND(Tabla2[[#This Row],[venc]]="venc",Tabla2[[#This Row],[Columna1]]="por pagar"),"vencida","no")</f>
        <v>no</v>
      </c>
    </row>
    <row r="2061" spans="1:23" ht="15.6" hidden="1" x14ac:dyDescent="0.3">
      <c r="A2061" s="20">
        <v>30</v>
      </c>
      <c r="B2061" s="25">
        <v>0</v>
      </c>
      <c r="C2061" s="25"/>
      <c r="D2061" s="56" t="s">
        <v>740</v>
      </c>
      <c r="E2061" s="426">
        <v>44663</v>
      </c>
      <c r="F2061" s="26" t="s">
        <v>637</v>
      </c>
      <c r="G2061" s="426">
        <v>44652</v>
      </c>
      <c r="H2061" s="35" t="s">
        <v>219</v>
      </c>
      <c r="I2061" s="21">
        <v>825349</v>
      </c>
      <c r="J2061" s="21"/>
      <c r="K2061" s="22">
        <v>0</v>
      </c>
      <c r="L2061" s="23"/>
      <c r="M2061" s="22">
        <v>0</v>
      </c>
      <c r="N2061" s="74">
        <v>0</v>
      </c>
      <c r="O2061" s="22">
        <v>0</v>
      </c>
      <c r="P2061" s="21">
        <v>825349</v>
      </c>
      <c r="S2061" s="108" t="b">
        <f>OR(COUNTIF(Tabla2[[#This Row],[PROVEEDOR]],"*"&amp;'Palabra no opera'!$A$2&amp;"*"))</f>
        <v>1</v>
      </c>
      <c r="T2061" s="139">
        <f>+$W$5-Tabla2[[#This Row],[FECHA DE FACTURACIÓN]]</f>
        <v>639</v>
      </c>
      <c r="U2061" t="str">
        <f>+IF(Tabla2[[#This Row],[dias de credito]]&gt;=Tabla2[[#This Row],[PLAZO Días]],"venc", "No venc")</f>
        <v>venc</v>
      </c>
      <c r="V2061" t="str">
        <f>+IF(Tabla2[[#This Row],[FECHA DE PAGO]]&gt;0,"pagada","por pagar")</f>
        <v>pagada</v>
      </c>
      <c r="W2061" s="141" t="str">
        <f>+IF(AND(Tabla2[[#This Row],[venc]]="venc",Tabla2[[#This Row],[Columna1]]="por pagar"),"vencida","no")</f>
        <v>no</v>
      </c>
    </row>
    <row r="2062" spans="1:23" ht="15.6" hidden="1" x14ac:dyDescent="0.3">
      <c r="A2062" s="20">
        <v>30</v>
      </c>
      <c r="B2062" s="25">
        <v>0</v>
      </c>
      <c r="C2062" s="25"/>
      <c r="D2062" s="56">
        <v>0</v>
      </c>
      <c r="E2062" s="426">
        <v>44663</v>
      </c>
      <c r="F2062" s="26" t="s">
        <v>642</v>
      </c>
      <c r="G2062" s="426">
        <v>44652</v>
      </c>
      <c r="H2062" s="35" t="s">
        <v>217</v>
      </c>
      <c r="I2062" s="21">
        <v>342453</v>
      </c>
      <c r="J2062" s="21"/>
      <c r="K2062" s="22">
        <v>0</v>
      </c>
      <c r="L2062" s="23"/>
      <c r="M2062" s="22">
        <v>0</v>
      </c>
      <c r="N2062" s="74">
        <v>0</v>
      </c>
      <c r="O2062" s="22">
        <v>0</v>
      </c>
      <c r="P2062" s="21">
        <v>342453</v>
      </c>
      <c r="S2062" s="108" t="b">
        <f>OR(COUNTIF(Tabla2[[#This Row],[PROVEEDOR]],"*"&amp;'Palabra no opera'!$A$2&amp;"*"))</f>
        <v>1</v>
      </c>
      <c r="T2062" s="139">
        <f>+$W$5-Tabla2[[#This Row],[FECHA DE FACTURACIÓN]]</f>
        <v>639</v>
      </c>
      <c r="U2062" t="str">
        <f>+IF(Tabla2[[#This Row],[dias de credito]]&gt;=Tabla2[[#This Row],[PLAZO Días]],"venc", "No venc")</f>
        <v>venc</v>
      </c>
      <c r="V2062" t="str">
        <f>+IF(Tabla2[[#This Row],[FECHA DE PAGO]]&gt;0,"pagada","por pagar")</f>
        <v>pagada</v>
      </c>
      <c r="W2062" s="141" t="str">
        <f>+IF(AND(Tabla2[[#This Row],[venc]]="venc",Tabla2[[#This Row],[Columna1]]="por pagar"),"vencida","no")</f>
        <v>no</v>
      </c>
    </row>
    <row r="2063" spans="1:23" ht="15.6" hidden="1" x14ac:dyDescent="0.3">
      <c r="A2063" s="20">
        <v>13</v>
      </c>
      <c r="B2063" s="25">
        <v>0</v>
      </c>
      <c r="C2063" s="25"/>
      <c r="D2063" s="56">
        <v>0</v>
      </c>
      <c r="E2063" s="426">
        <v>44663</v>
      </c>
      <c r="F2063" s="26" t="s">
        <v>644</v>
      </c>
      <c r="G2063" s="426">
        <v>44652</v>
      </c>
      <c r="H2063" s="35"/>
      <c r="I2063" s="21">
        <v>948924</v>
      </c>
      <c r="J2063" s="21"/>
      <c r="K2063" s="22">
        <v>0</v>
      </c>
      <c r="L2063" s="23"/>
      <c r="M2063" s="22">
        <v>0</v>
      </c>
      <c r="N2063" s="74">
        <v>0</v>
      </c>
      <c r="O2063" s="22">
        <v>0</v>
      </c>
      <c r="P2063" s="21">
        <v>948924</v>
      </c>
      <c r="S2063" s="108" t="b">
        <f>OR(COUNTIF(Tabla2[[#This Row],[PROVEEDOR]],"*"&amp;'Palabra no opera'!$A$2&amp;"*"))</f>
        <v>1</v>
      </c>
      <c r="T2063" s="139">
        <f>+$W$5-Tabla2[[#This Row],[FECHA DE FACTURACIÓN]]</f>
        <v>639</v>
      </c>
      <c r="U2063" t="str">
        <f>+IF(Tabla2[[#This Row],[dias de credito]]&gt;=Tabla2[[#This Row],[PLAZO Días]],"venc", "No venc")</f>
        <v>venc</v>
      </c>
      <c r="V2063" t="str">
        <f>+IF(Tabla2[[#This Row],[FECHA DE PAGO]]&gt;0,"pagada","por pagar")</f>
        <v>pagada</v>
      </c>
      <c r="W2063" s="141" t="str">
        <f>+IF(AND(Tabla2[[#This Row],[venc]]="venc",Tabla2[[#This Row],[Columna1]]="por pagar"),"vencida","no")</f>
        <v>no</v>
      </c>
    </row>
    <row r="2064" spans="1:23" ht="15.6" hidden="1" x14ac:dyDescent="0.3">
      <c r="A2064" s="20">
        <v>30</v>
      </c>
      <c r="B2064" s="25">
        <v>3669750</v>
      </c>
      <c r="C2064" s="25"/>
      <c r="D2064" s="56" t="s">
        <v>1082</v>
      </c>
      <c r="E2064" s="426">
        <v>44662</v>
      </c>
      <c r="F2064" s="26" t="s">
        <v>24</v>
      </c>
      <c r="G2064" s="426">
        <v>44623</v>
      </c>
      <c r="H2064" s="35" t="s">
        <v>463</v>
      </c>
      <c r="I2064" s="21">
        <v>806050</v>
      </c>
      <c r="J2064" s="21"/>
      <c r="K2064" s="22">
        <v>153149.5</v>
      </c>
      <c r="L2064" s="23"/>
      <c r="M2064" s="22">
        <v>0</v>
      </c>
      <c r="N2064" s="74">
        <v>0</v>
      </c>
      <c r="O2064" s="22">
        <v>0</v>
      </c>
      <c r="P2064" s="21">
        <v>959199.5</v>
      </c>
      <c r="S2064" s="108" t="b">
        <f>OR(COUNTIF(Tabla2[[#This Row],[PROVEEDOR]],"*"&amp;'Palabra no opera'!$A$2&amp;"*"))</f>
        <v>0</v>
      </c>
      <c r="T2064" s="139">
        <f>+$W$5-Tabla2[[#This Row],[FECHA DE FACTURACIÓN]]</f>
        <v>668</v>
      </c>
      <c r="U2064" t="str">
        <f>+IF(Tabla2[[#This Row],[dias de credito]]&gt;=Tabla2[[#This Row],[PLAZO Días]],"venc", "No venc")</f>
        <v>venc</v>
      </c>
      <c r="V2064" t="str">
        <f>+IF(Tabla2[[#This Row],[FECHA DE PAGO]]&gt;0,"pagada","por pagar")</f>
        <v>pagada</v>
      </c>
      <c r="W2064" s="141" t="str">
        <f>+IF(AND(Tabla2[[#This Row],[venc]]="venc",Tabla2[[#This Row],[Columna1]]="por pagar"),"vencida","no")</f>
        <v>no</v>
      </c>
    </row>
    <row r="2065" spans="1:23" ht="15.6" hidden="1" x14ac:dyDescent="0.3">
      <c r="A2065" s="20">
        <v>30</v>
      </c>
      <c r="B2065" s="25">
        <v>17870934.149999999</v>
      </c>
      <c r="C2065" s="25"/>
      <c r="D2065" s="56" t="s">
        <v>182</v>
      </c>
      <c r="E2065" s="426">
        <v>44662</v>
      </c>
      <c r="F2065" s="26" t="s">
        <v>18</v>
      </c>
      <c r="G2065" s="426">
        <v>44622</v>
      </c>
      <c r="H2065" s="35">
        <v>1050509</v>
      </c>
      <c r="I2065" s="21">
        <v>545207</v>
      </c>
      <c r="J2065" s="21"/>
      <c r="K2065" s="22">
        <v>103589.33</v>
      </c>
      <c r="L2065" s="23"/>
      <c r="M2065" s="22">
        <v>0</v>
      </c>
      <c r="N2065" s="74">
        <v>0</v>
      </c>
      <c r="O2065" s="22">
        <v>0</v>
      </c>
      <c r="P2065" s="21">
        <v>648796.32999999996</v>
      </c>
      <c r="S2065" s="108" t="b">
        <f>OR(COUNTIF(Tabla2[[#This Row],[PROVEEDOR]],"*"&amp;'Palabra no opera'!$A$2&amp;"*"))</f>
        <v>0</v>
      </c>
      <c r="T2065" s="139">
        <f>+$W$5-Tabla2[[#This Row],[FECHA DE FACTURACIÓN]]</f>
        <v>669</v>
      </c>
      <c r="U2065" t="str">
        <f>+IF(Tabla2[[#This Row],[dias de credito]]&gt;=Tabla2[[#This Row],[PLAZO Días]],"venc", "No venc")</f>
        <v>venc</v>
      </c>
      <c r="V2065" t="str">
        <f>+IF(Tabla2[[#This Row],[FECHA DE PAGO]]&gt;0,"pagada","por pagar")</f>
        <v>pagada</v>
      </c>
      <c r="W2065" s="141" t="str">
        <f>+IF(AND(Tabla2[[#This Row],[venc]]="venc",Tabla2[[#This Row],[Columna1]]="por pagar"),"vencida","no")</f>
        <v>no</v>
      </c>
    </row>
    <row r="2066" spans="1:23" ht="15.6" hidden="1" x14ac:dyDescent="0.3">
      <c r="A2066" s="20">
        <v>30</v>
      </c>
      <c r="B2066" s="25">
        <v>17870934.149999999</v>
      </c>
      <c r="C2066" s="25"/>
      <c r="D2066" s="56" t="s">
        <v>182</v>
      </c>
      <c r="E2066" s="426">
        <v>44662</v>
      </c>
      <c r="F2066" s="26" t="s">
        <v>18</v>
      </c>
      <c r="G2066" s="426">
        <v>44622</v>
      </c>
      <c r="H2066" s="35">
        <v>1050519</v>
      </c>
      <c r="I2066" s="21">
        <v>1020000</v>
      </c>
      <c r="J2066" s="21"/>
      <c r="K2066" s="22">
        <v>193800</v>
      </c>
      <c r="L2066" s="23"/>
      <c r="M2066" s="22">
        <v>0</v>
      </c>
      <c r="N2066" s="74">
        <v>0</v>
      </c>
      <c r="O2066" s="22">
        <v>0</v>
      </c>
      <c r="P2066" s="21">
        <v>1213800</v>
      </c>
      <c r="S2066" s="108" t="b">
        <f>OR(COUNTIF(Tabla2[[#This Row],[PROVEEDOR]],"*"&amp;'Palabra no opera'!$A$2&amp;"*"))</f>
        <v>0</v>
      </c>
      <c r="T2066" s="139">
        <f>+$W$5-Tabla2[[#This Row],[FECHA DE FACTURACIÓN]]</f>
        <v>669</v>
      </c>
      <c r="U2066" t="str">
        <f>+IF(Tabla2[[#This Row],[dias de credito]]&gt;=Tabla2[[#This Row],[PLAZO Días]],"venc", "No venc")</f>
        <v>venc</v>
      </c>
      <c r="V2066" t="str">
        <f>+IF(Tabla2[[#This Row],[FECHA DE PAGO]]&gt;0,"pagada","por pagar")</f>
        <v>pagada</v>
      </c>
      <c r="W2066" s="141" t="str">
        <f>+IF(AND(Tabla2[[#This Row],[venc]]="venc",Tabla2[[#This Row],[Columna1]]="por pagar"),"vencida","no")</f>
        <v>no</v>
      </c>
    </row>
    <row r="2067" spans="1:23" ht="15.6" hidden="1" x14ac:dyDescent="0.3">
      <c r="A2067" s="20">
        <v>30</v>
      </c>
      <c r="B2067" s="25">
        <v>0</v>
      </c>
      <c r="C2067" s="25"/>
      <c r="D2067" s="56" t="s">
        <v>296</v>
      </c>
      <c r="E2067" s="426">
        <v>44662</v>
      </c>
      <c r="F2067" s="26" t="s">
        <v>281</v>
      </c>
      <c r="G2067" s="426">
        <v>44595</v>
      </c>
      <c r="H2067" s="35" t="s">
        <v>485</v>
      </c>
      <c r="I2067" s="21">
        <v>2130920</v>
      </c>
      <c r="J2067" s="21"/>
      <c r="K2067" s="22">
        <v>404874.8</v>
      </c>
      <c r="L2067" s="23"/>
      <c r="M2067" s="22">
        <v>0</v>
      </c>
      <c r="N2067" s="74">
        <v>0</v>
      </c>
      <c r="O2067" s="22">
        <v>0</v>
      </c>
      <c r="P2067" s="21">
        <v>2535794.7999999998</v>
      </c>
      <c r="S2067" s="108" t="b">
        <f>OR(COUNTIF(Tabla2[[#This Row],[PROVEEDOR]],"*"&amp;'Palabra no opera'!$A$2&amp;"*"))</f>
        <v>0</v>
      </c>
      <c r="T2067" s="139">
        <f>+$W$5-Tabla2[[#This Row],[FECHA DE FACTURACIÓN]]</f>
        <v>696</v>
      </c>
      <c r="U2067" t="str">
        <f>+IF(Tabla2[[#This Row],[dias de credito]]&gt;=Tabla2[[#This Row],[PLAZO Días]],"venc", "No venc")</f>
        <v>venc</v>
      </c>
      <c r="V2067" t="str">
        <f>+IF(Tabla2[[#This Row],[FECHA DE PAGO]]&gt;0,"pagada","por pagar")</f>
        <v>pagada</v>
      </c>
      <c r="W2067" s="141" t="str">
        <f>+IF(AND(Tabla2[[#This Row],[venc]]="venc",Tabla2[[#This Row],[Columna1]]="por pagar"),"vencida","no")</f>
        <v>no</v>
      </c>
    </row>
    <row r="2068" spans="1:23" ht="15.6" hidden="1" x14ac:dyDescent="0.3">
      <c r="A2068" s="20">
        <v>30</v>
      </c>
      <c r="B2068" s="25">
        <v>0</v>
      </c>
      <c r="C2068" s="25"/>
      <c r="D2068" s="56" t="s">
        <v>296</v>
      </c>
      <c r="E2068" s="426">
        <v>44662</v>
      </c>
      <c r="F2068" s="26" t="s">
        <v>281</v>
      </c>
      <c r="G2068" s="426">
        <v>44595</v>
      </c>
      <c r="H2068" s="35" t="s">
        <v>481</v>
      </c>
      <c r="I2068" s="21">
        <v>3264000</v>
      </c>
      <c r="J2068" s="21"/>
      <c r="K2068" s="22">
        <v>620160</v>
      </c>
      <c r="L2068" s="23"/>
      <c r="M2068" s="22">
        <v>0</v>
      </c>
      <c r="N2068" s="74">
        <v>0</v>
      </c>
      <c r="O2068" s="22">
        <v>0</v>
      </c>
      <c r="P2068" s="21">
        <v>3884160</v>
      </c>
      <c r="S2068" s="108" t="b">
        <f>OR(COUNTIF(Tabla2[[#This Row],[PROVEEDOR]],"*"&amp;'Palabra no opera'!$A$2&amp;"*"))</f>
        <v>0</v>
      </c>
      <c r="T2068" s="139">
        <f>+$W$5-Tabla2[[#This Row],[FECHA DE FACTURACIÓN]]</f>
        <v>696</v>
      </c>
      <c r="U2068" t="str">
        <f>+IF(Tabla2[[#This Row],[dias de credito]]&gt;=Tabla2[[#This Row],[PLAZO Días]],"venc", "No venc")</f>
        <v>venc</v>
      </c>
      <c r="V2068" t="str">
        <f>+IF(Tabla2[[#This Row],[FECHA DE PAGO]]&gt;0,"pagada","por pagar")</f>
        <v>pagada</v>
      </c>
      <c r="W2068" s="141" t="str">
        <f>+IF(AND(Tabla2[[#This Row],[venc]]="venc",Tabla2[[#This Row],[Columna1]]="por pagar"),"vencida","no")</f>
        <v>no</v>
      </c>
    </row>
    <row r="2069" spans="1:23" ht="15.6" hidden="1" x14ac:dyDescent="0.3">
      <c r="A2069" s="20">
        <v>30</v>
      </c>
      <c r="B2069" s="25">
        <v>0</v>
      </c>
      <c r="C2069" s="25"/>
      <c r="D2069" s="56" t="s">
        <v>107</v>
      </c>
      <c r="E2069" s="426">
        <v>44660</v>
      </c>
      <c r="F2069" s="26" t="s">
        <v>378</v>
      </c>
      <c r="G2069" s="426">
        <v>44660</v>
      </c>
      <c r="H2069" s="35" t="s">
        <v>566</v>
      </c>
      <c r="I2069" s="21">
        <v>150000</v>
      </c>
      <c r="J2069" s="21"/>
      <c r="K2069" s="22">
        <v>0</v>
      </c>
      <c r="L2069" s="23"/>
      <c r="M2069" s="22">
        <v>0</v>
      </c>
      <c r="N2069" s="74">
        <v>0</v>
      </c>
      <c r="O2069" s="22">
        <v>0</v>
      </c>
      <c r="P2069" s="21">
        <v>150000</v>
      </c>
      <c r="S2069" s="108" t="b">
        <f>OR(COUNTIF(Tabla2[[#This Row],[PROVEEDOR]],"*"&amp;'Palabra no opera'!$A$2&amp;"*"))</f>
        <v>0</v>
      </c>
      <c r="T2069" s="139">
        <f>+$W$5-Tabla2[[#This Row],[FECHA DE FACTURACIÓN]]</f>
        <v>631</v>
      </c>
      <c r="U2069" t="str">
        <f>+IF(Tabla2[[#This Row],[dias de credito]]&gt;=Tabla2[[#This Row],[PLAZO Días]],"venc", "No venc")</f>
        <v>venc</v>
      </c>
      <c r="V2069" t="str">
        <f>+IF(Tabla2[[#This Row],[FECHA DE PAGO]]&gt;0,"pagada","por pagar")</f>
        <v>pagada</v>
      </c>
      <c r="W2069" s="141" t="str">
        <f>+IF(AND(Tabla2[[#This Row],[venc]]="venc",Tabla2[[#This Row],[Columna1]]="por pagar"),"vencida","no")</f>
        <v>no</v>
      </c>
    </row>
    <row r="2070" spans="1:23" ht="15.6" hidden="1" x14ac:dyDescent="0.3">
      <c r="A2070" s="20">
        <v>30</v>
      </c>
      <c r="B2070" s="25">
        <v>0</v>
      </c>
      <c r="C2070" s="25"/>
      <c r="D2070" s="56">
        <v>0</v>
      </c>
      <c r="E2070" s="426">
        <v>44658</v>
      </c>
      <c r="F2070" s="26" t="s">
        <v>413</v>
      </c>
      <c r="G2070" s="426">
        <v>44652</v>
      </c>
      <c r="H2070" s="35" t="s">
        <v>1015</v>
      </c>
      <c r="I2070" s="21">
        <v>856000</v>
      </c>
      <c r="J2070" s="21"/>
      <c r="K2070" s="22">
        <v>0</v>
      </c>
      <c r="L2070" s="23"/>
      <c r="M2070" s="22">
        <v>0</v>
      </c>
      <c r="N2070" s="74">
        <v>0</v>
      </c>
      <c r="O2070" s="22">
        <v>0</v>
      </c>
      <c r="P2070" s="21">
        <v>856000</v>
      </c>
      <c r="S2070" s="108" t="b">
        <f>OR(COUNTIF(Tabla2[[#This Row],[PROVEEDOR]],"*"&amp;'Palabra no opera'!$A$2&amp;"*"))</f>
        <v>0</v>
      </c>
      <c r="T2070" s="139">
        <f>+$W$5-Tabla2[[#This Row],[FECHA DE FACTURACIÓN]]</f>
        <v>639</v>
      </c>
      <c r="U2070" t="str">
        <f>+IF(Tabla2[[#This Row],[dias de credito]]&gt;=Tabla2[[#This Row],[PLAZO Días]],"venc", "No venc")</f>
        <v>venc</v>
      </c>
      <c r="V2070" t="str">
        <f>+IF(Tabla2[[#This Row],[FECHA DE PAGO]]&gt;0,"pagada","por pagar")</f>
        <v>pagada</v>
      </c>
      <c r="W2070" s="141" t="str">
        <f>+IF(AND(Tabla2[[#This Row],[venc]]="venc",Tabla2[[#This Row],[Columna1]]="por pagar"),"vencida","no")</f>
        <v>no</v>
      </c>
    </row>
    <row r="2071" spans="1:23" ht="15.6" hidden="1" x14ac:dyDescent="0.3">
      <c r="A2071" s="20">
        <v>30</v>
      </c>
      <c r="B2071" s="25">
        <v>0</v>
      </c>
      <c r="C2071" s="25"/>
      <c r="D2071" s="56" t="s">
        <v>342</v>
      </c>
      <c r="E2071" s="426">
        <v>44658</v>
      </c>
      <c r="F2071" s="26" t="s">
        <v>343</v>
      </c>
      <c r="G2071" s="426">
        <v>44573</v>
      </c>
      <c r="H2071" s="35" t="s">
        <v>987</v>
      </c>
      <c r="I2071" s="21">
        <v>5650500</v>
      </c>
      <c r="J2071" s="21"/>
      <c r="K2071" s="22">
        <v>0</v>
      </c>
      <c r="L2071" s="23"/>
      <c r="M2071" s="22">
        <v>0</v>
      </c>
      <c r="N2071" s="74">
        <v>0</v>
      </c>
      <c r="O2071" s="22">
        <v>0</v>
      </c>
      <c r="P2071" s="21">
        <v>5650500</v>
      </c>
      <c r="S2071" s="108" t="b">
        <f>OR(COUNTIF(Tabla2[[#This Row],[PROVEEDOR]],"*"&amp;'Palabra no opera'!$A$2&amp;"*"))</f>
        <v>0</v>
      </c>
      <c r="T2071" s="139">
        <f>+$W$5-Tabla2[[#This Row],[FECHA DE FACTURACIÓN]]</f>
        <v>718</v>
      </c>
      <c r="U2071" t="str">
        <f>+IF(Tabla2[[#This Row],[dias de credito]]&gt;=Tabla2[[#This Row],[PLAZO Días]],"venc", "No venc")</f>
        <v>venc</v>
      </c>
      <c r="V2071" t="str">
        <f>+IF(Tabla2[[#This Row],[FECHA DE PAGO]]&gt;0,"pagada","por pagar")</f>
        <v>pagada</v>
      </c>
      <c r="W2071" s="141" t="str">
        <f>+IF(AND(Tabla2[[#This Row],[venc]]="venc",Tabla2[[#This Row],[Columna1]]="por pagar"),"vencida","no")</f>
        <v>no</v>
      </c>
    </row>
    <row r="2072" spans="1:23" ht="15.6" hidden="1" x14ac:dyDescent="0.3">
      <c r="A2072" s="20">
        <v>60</v>
      </c>
      <c r="B2072" s="25">
        <v>0</v>
      </c>
      <c r="C2072" s="25"/>
      <c r="D2072" s="56" t="s">
        <v>376</v>
      </c>
      <c r="E2072" s="426">
        <v>44658</v>
      </c>
      <c r="F2072" s="26" t="s">
        <v>377</v>
      </c>
      <c r="G2072" s="426">
        <v>44531</v>
      </c>
      <c r="H2072" s="35" t="s">
        <v>885</v>
      </c>
      <c r="I2072" s="21">
        <v>5285000</v>
      </c>
      <c r="J2072" s="21"/>
      <c r="K2072" s="22">
        <v>0</v>
      </c>
      <c r="L2072" s="23"/>
      <c r="M2072" s="22">
        <v>0</v>
      </c>
      <c r="N2072" s="74">
        <v>0</v>
      </c>
      <c r="O2072" s="22">
        <v>0</v>
      </c>
      <c r="P2072" s="21">
        <v>5285000</v>
      </c>
      <c r="S2072" s="108" t="b">
        <f>OR(COUNTIF(Tabla2[[#This Row],[PROVEEDOR]],"*"&amp;'Palabra no opera'!$A$2&amp;"*"))</f>
        <v>0</v>
      </c>
      <c r="T2072" s="139">
        <f>+$W$5-Tabla2[[#This Row],[FECHA DE FACTURACIÓN]]</f>
        <v>760</v>
      </c>
      <c r="U2072" t="str">
        <f>+IF(Tabla2[[#This Row],[dias de credito]]&gt;=Tabla2[[#This Row],[PLAZO Días]],"venc", "No venc")</f>
        <v>venc</v>
      </c>
      <c r="V2072" t="str">
        <f>+IF(Tabla2[[#This Row],[FECHA DE PAGO]]&gt;0,"pagada","por pagar")</f>
        <v>pagada</v>
      </c>
      <c r="W2072" s="141" t="str">
        <f>+IF(AND(Tabla2[[#This Row],[venc]]="venc",Tabla2[[#This Row],[Columna1]]="por pagar"),"vencida","no")</f>
        <v>no</v>
      </c>
    </row>
    <row r="2073" spans="1:23" ht="15.6" hidden="1" x14ac:dyDescent="0.3">
      <c r="A2073" s="20">
        <v>30</v>
      </c>
      <c r="B2073" s="25">
        <v>0</v>
      </c>
      <c r="C2073" s="25"/>
      <c r="D2073" s="56" t="s">
        <v>107</v>
      </c>
      <c r="E2073" s="426">
        <v>44657</v>
      </c>
      <c r="F2073" s="26" t="s">
        <v>390</v>
      </c>
      <c r="G2073" s="426">
        <v>44657</v>
      </c>
      <c r="H2073" s="35"/>
      <c r="I2073" s="21">
        <v>1000000</v>
      </c>
      <c r="J2073" s="21"/>
      <c r="K2073" s="22">
        <v>0</v>
      </c>
      <c r="L2073" s="23"/>
      <c r="M2073" s="22">
        <v>0</v>
      </c>
      <c r="N2073" s="74">
        <v>0</v>
      </c>
      <c r="O2073" s="22">
        <v>0</v>
      </c>
      <c r="P2073" s="21">
        <v>1000000</v>
      </c>
      <c r="S2073" s="108" t="b">
        <f>OR(COUNTIF(Tabla2[[#This Row],[PROVEEDOR]],"*"&amp;'Palabra no opera'!$A$2&amp;"*"))</f>
        <v>0</v>
      </c>
      <c r="T2073" s="139">
        <f>+$W$5-Tabla2[[#This Row],[FECHA DE FACTURACIÓN]]</f>
        <v>634</v>
      </c>
      <c r="U2073" t="str">
        <f>+IF(Tabla2[[#This Row],[dias de credito]]&gt;=Tabla2[[#This Row],[PLAZO Días]],"venc", "No venc")</f>
        <v>venc</v>
      </c>
      <c r="V2073" t="str">
        <f>+IF(Tabla2[[#This Row],[FECHA DE PAGO]]&gt;0,"pagada","por pagar")</f>
        <v>pagada</v>
      </c>
      <c r="W2073" s="141" t="str">
        <f>+IF(AND(Tabla2[[#This Row],[venc]]="venc",Tabla2[[#This Row],[Columna1]]="por pagar"),"vencida","no")</f>
        <v>no</v>
      </c>
    </row>
    <row r="2074" spans="1:23" ht="15.6" hidden="1" x14ac:dyDescent="0.3">
      <c r="A2074" s="20">
        <v>30</v>
      </c>
      <c r="B2074" s="25">
        <v>0</v>
      </c>
      <c r="C2074" s="25"/>
      <c r="D2074" s="56" t="s">
        <v>107</v>
      </c>
      <c r="E2074" s="426">
        <v>44657</v>
      </c>
      <c r="F2074" s="26" t="s">
        <v>53</v>
      </c>
      <c r="G2074" s="426">
        <v>44656</v>
      </c>
      <c r="H2074" s="35">
        <v>289692</v>
      </c>
      <c r="I2074" s="21">
        <v>3918000</v>
      </c>
      <c r="J2074" s="21"/>
      <c r="K2074" s="22">
        <v>0</v>
      </c>
      <c r="L2074" s="23"/>
      <c r="M2074" s="22">
        <v>0</v>
      </c>
      <c r="N2074" s="74">
        <v>0</v>
      </c>
      <c r="O2074" s="22">
        <v>0</v>
      </c>
      <c r="P2074" s="21">
        <v>3918000</v>
      </c>
      <c r="S2074" s="108" t="b">
        <f>OR(COUNTIF(Tabla2[[#This Row],[PROVEEDOR]],"*"&amp;'Palabra no opera'!$A$2&amp;"*"))</f>
        <v>0</v>
      </c>
      <c r="T2074" s="139">
        <f>+$W$5-Tabla2[[#This Row],[FECHA DE FACTURACIÓN]]</f>
        <v>635</v>
      </c>
      <c r="U2074" t="str">
        <f>+IF(Tabla2[[#This Row],[dias de credito]]&gt;=Tabla2[[#This Row],[PLAZO Días]],"venc", "No venc")</f>
        <v>venc</v>
      </c>
      <c r="V2074" t="str">
        <f>+IF(Tabla2[[#This Row],[FECHA DE PAGO]]&gt;0,"pagada","por pagar")</f>
        <v>pagada</v>
      </c>
      <c r="W2074" s="141" t="str">
        <f>+IF(AND(Tabla2[[#This Row],[venc]]="venc",Tabla2[[#This Row],[Columna1]]="por pagar"),"vencida","no")</f>
        <v>no</v>
      </c>
    </row>
    <row r="2075" spans="1:23" ht="15.6" hidden="1" x14ac:dyDescent="0.3">
      <c r="A2075" s="20">
        <v>30</v>
      </c>
      <c r="B2075" s="25">
        <v>0</v>
      </c>
      <c r="C2075" s="25"/>
      <c r="D2075" s="56" t="s">
        <v>659</v>
      </c>
      <c r="E2075" s="426">
        <v>44657</v>
      </c>
      <c r="F2075" s="26" t="s">
        <v>227</v>
      </c>
      <c r="G2075" s="426">
        <v>44656</v>
      </c>
      <c r="H2075" s="35" t="s">
        <v>491</v>
      </c>
      <c r="I2075" s="21">
        <v>1821000</v>
      </c>
      <c r="J2075" s="21"/>
      <c r="K2075" s="22">
        <v>0</v>
      </c>
      <c r="L2075" s="23"/>
      <c r="M2075" s="22">
        <v>0</v>
      </c>
      <c r="N2075" s="74">
        <v>0</v>
      </c>
      <c r="O2075" s="22">
        <v>0</v>
      </c>
      <c r="P2075" s="21">
        <v>1821000</v>
      </c>
      <c r="S2075" s="108" t="b">
        <f>OR(COUNTIF(Tabla2[[#This Row],[PROVEEDOR]],"*"&amp;'Palabra no opera'!$A$2&amp;"*"))</f>
        <v>0</v>
      </c>
      <c r="T2075" s="139">
        <f>+$W$5-Tabla2[[#This Row],[FECHA DE FACTURACIÓN]]</f>
        <v>635</v>
      </c>
      <c r="U2075" t="str">
        <f>+IF(Tabla2[[#This Row],[dias de credito]]&gt;=Tabla2[[#This Row],[PLAZO Días]],"venc", "No venc")</f>
        <v>venc</v>
      </c>
      <c r="V2075" t="str">
        <f>+IF(Tabla2[[#This Row],[FECHA DE PAGO]]&gt;0,"pagada","por pagar")</f>
        <v>pagada</v>
      </c>
      <c r="W2075" s="141" t="str">
        <f>+IF(AND(Tabla2[[#This Row],[venc]]="venc",Tabla2[[#This Row],[Columna1]]="por pagar"),"vencida","no")</f>
        <v>no</v>
      </c>
    </row>
    <row r="2076" spans="1:23" ht="15.6" hidden="1" x14ac:dyDescent="0.3">
      <c r="A2076" s="20">
        <v>30</v>
      </c>
      <c r="B2076" s="25">
        <v>0</v>
      </c>
      <c r="C2076" s="25"/>
      <c r="D2076" s="56" t="s">
        <v>270</v>
      </c>
      <c r="E2076" s="426">
        <v>44657</v>
      </c>
      <c r="F2076" s="26" t="s">
        <v>387</v>
      </c>
      <c r="G2076" s="426">
        <v>44594</v>
      </c>
      <c r="H2076" s="35" t="s">
        <v>999</v>
      </c>
      <c r="I2076" s="21">
        <v>532400</v>
      </c>
      <c r="J2076" s="21"/>
      <c r="K2076" s="22">
        <v>0</v>
      </c>
      <c r="L2076" s="23"/>
      <c r="M2076" s="22">
        <v>0</v>
      </c>
      <c r="N2076" s="74">
        <v>0</v>
      </c>
      <c r="O2076" s="22">
        <v>0</v>
      </c>
      <c r="P2076" s="21">
        <v>532400</v>
      </c>
      <c r="S2076" s="108" t="b">
        <f>OR(COUNTIF(Tabla2[[#This Row],[PROVEEDOR]],"*"&amp;'Palabra no opera'!$A$2&amp;"*"))</f>
        <v>0</v>
      </c>
      <c r="T2076" s="139">
        <f>+$W$5-Tabla2[[#This Row],[FECHA DE FACTURACIÓN]]</f>
        <v>697</v>
      </c>
      <c r="U2076" t="str">
        <f>+IF(Tabla2[[#This Row],[dias de credito]]&gt;=Tabla2[[#This Row],[PLAZO Días]],"venc", "No venc")</f>
        <v>venc</v>
      </c>
      <c r="V2076" t="str">
        <f>+IF(Tabla2[[#This Row],[FECHA DE PAGO]]&gt;0,"pagada","por pagar")</f>
        <v>pagada</v>
      </c>
      <c r="W2076" s="141" t="str">
        <f>+IF(AND(Tabla2[[#This Row],[venc]]="venc",Tabla2[[#This Row],[Columna1]]="por pagar"),"vencida","no")</f>
        <v>no</v>
      </c>
    </row>
    <row r="2077" spans="1:23" ht="15.6" hidden="1" x14ac:dyDescent="0.3">
      <c r="A2077" s="20">
        <v>30</v>
      </c>
      <c r="B2077" s="25">
        <v>2773899.95</v>
      </c>
      <c r="C2077" s="25"/>
      <c r="D2077" s="56" t="s">
        <v>135</v>
      </c>
      <c r="E2077" s="426">
        <v>44657</v>
      </c>
      <c r="F2077" s="26" t="s">
        <v>20</v>
      </c>
      <c r="G2077" s="426">
        <v>44588</v>
      </c>
      <c r="H2077" s="35" t="s">
        <v>416</v>
      </c>
      <c r="I2077" s="21">
        <v>-1591200</v>
      </c>
      <c r="J2077" s="21"/>
      <c r="K2077" s="22">
        <v>-302328</v>
      </c>
      <c r="L2077" s="23"/>
      <c r="M2077" s="22">
        <v>0</v>
      </c>
      <c r="N2077" s="74">
        <v>0</v>
      </c>
      <c r="O2077" s="22">
        <v>0</v>
      </c>
      <c r="P2077" s="21">
        <v>-1853748</v>
      </c>
      <c r="S2077" s="108" t="b">
        <f>OR(COUNTIF(Tabla2[[#This Row],[PROVEEDOR]],"*"&amp;'Palabra no opera'!$A$2&amp;"*"))</f>
        <v>0</v>
      </c>
      <c r="T2077" s="139">
        <f>+$W$5-Tabla2[[#This Row],[FECHA DE FACTURACIÓN]]</f>
        <v>703</v>
      </c>
      <c r="U2077" t="str">
        <f>+IF(Tabla2[[#This Row],[dias de credito]]&gt;=Tabla2[[#This Row],[PLAZO Días]],"venc", "No venc")</f>
        <v>venc</v>
      </c>
      <c r="V2077" t="str">
        <f>+IF(Tabla2[[#This Row],[FECHA DE PAGO]]&gt;0,"pagada","por pagar")</f>
        <v>pagada</v>
      </c>
      <c r="W2077" s="141" t="str">
        <f>+IF(AND(Tabla2[[#This Row],[venc]]="venc",Tabla2[[#This Row],[Columna1]]="por pagar"),"vencida","no")</f>
        <v>no</v>
      </c>
    </row>
    <row r="2078" spans="1:23" ht="15.6" hidden="1" x14ac:dyDescent="0.3">
      <c r="A2078" s="20">
        <v>30</v>
      </c>
      <c r="B2078" s="25">
        <v>2773899.95</v>
      </c>
      <c r="C2078" s="25"/>
      <c r="D2078" s="56" t="s">
        <v>135</v>
      </c>
      <c r="E2078" s="426">
        <v>44657</v>
      </c>
      <c r="F2078" s="26" t="s">
        <v>20</v>
      </c>
      <c r="G2078" s="426">
        <v>44585</v>
      </c>
      <c r="H2078" s="35">
        <v>6124</v>
      </c>
      <c r="I2078" s="21">
        <v>4330819.2</v>
      </c>
      <c r="J2078" s="21"/>
      <c r="K2078" s="22">
        <v>822855.64800000004</v>
      </c>
      <c r="L2078" s="23"/>
      <c r="M2078" s="22">
        <v>0</v>
      </c>
      <c r="N2078" s="74">
        <v>2.5000000000000001E-2</v>
      </c>
      <c r="O2078" s="22">
        <v>108270.48000000001</v>
      </c>
      <c r="P2078" s="21">
        <v>5045404.3679999998</v>
      </c>
      <c r="S2078" s="108" t="b">
        <f>OR(COUNTIF(Tabla2[[#This Row],[PROVEEDOR]],"*"&amp;'Palabra no opera'!$A$2&amp;"*"))</f>
        <v>0</v>
      </c>
      <c r="T2078" s="139">
        <f>+$W$5-Tabla2[[#This Row],[FECHA DE FACTURACIÓN]]</f>
        <v>706</v>
      </c>
      <c r="U2078" t="str">
        <f>+IF(Tabla2[[#This Row],[dias de credito]]&gt;=Tabla2[[#This Row],[PLAZO Días]],"venc", "No venc")</f>
        <v>venc</v>
      </c>
      <c r="V2078" t="str">
        <f>+IF(Tabla2[[#This Row],[FECHA DE PAGO]]&gt;0,"pagada","por pagar")</f>
        <v>pagada</v>
      </c>
      <c r="W2078" s="141" t="str">
        <f>+IF(AND(Tabla2[[#This Row],[venc]]="venc",Tabla2[[#This Row],[Columna1]]="por pagar"),"vencida","no")</f>
        <v>no</v>
      </c>
    </row>
    <row r="2079" spans="1:23" ht="15.6" hidden="1" x14ac:dyDescent="0.3">
      <c r="A2079" s="20">
        <v>30</v>
      </c>
      <c r="B2079" s="25">
        <v>0</v>
      </c>
      <c r="C2079" s="25"/>
      <c r="D2079" s="56" t="s">
        <v>270</v>
      </c>
      <c r="E2079" s="426">
        <v>44657</v>
      </c>
      <c r="F2079" s="26" t="s">
        <v>387</v>
      </c>
      <c r="G2079" s="426">
        <v>44573</v>
      </c>
      <c r="H2079" s="35" t="s">
        <v>988</v>
      </c>
      <c r="I2079" s="21">
        <v>854000</v>
      </c>
      <c r="J2079" s="21"/>
      <c r="K2079" s="22">
        <v>0</v>
      </c>
      <c r="L2079" s="23"/>
      <c r="M2079" s="22">
        <v>0</v>
      </c>
      <c r="N2079" s="74">
        <v>0</v>
      </c>
      <c r="O2079" s="22">
        <v>0</v>
      </c>
      <c r="P2079" s="21">
        <v>854000</v>
      </c>
      <c r="S2079" s="108" t="b">
        <f>OR(COUNTIF(Tabla2[[#This Row],[PROVEEDOR]],"*"&amp;'Palabra no opera'!$A$2&amp;"*"))</f>
        <v>0</v>
      </c>
      <c r="T2079" s="139">
        <f>+$W$5-Tabla2[[#This Row],[FECHA DE FACTURACIÓN]]</f>
        <v>718</v>
      </c>
      <c r="U2079" t="str">
        <f>+IF(Tabla2[[#This Row],[dias de credito]]&gt;=Tabla2[[#This Row],[PLAZO Días]],"venc", "No venc")</f>
        <v>venc</v>
      </c>
      <c r="V2079" t="str">
        <f>+IF(Tabla2[[#This Row],[FECHA DE PAGO]]&gt;0,"pagada","por pagar")</f>
        <v>pagada</v>
      </c>
      <c r="W2079" s="141" t="str">
        <f>+IF(AND(Tabla2[[#This Row],[venc]]="venc",Tabla2[[#This Row],[Columna1]]="por pagar"),"vencida","no")</f>
        <v>no</v>
      </c>
    </row>
    <row r="2080" spans="1:23" ht="15.6" hidden="1" x14ac:dyDescent="0.3">
      <c r="A2080" s="20">
        <v>30</v>
      </c>
      <c r="B2080" s="25">
        <v>0</v>
      </c>
      <c r="C2080" s="25"/>
      <c r="D2080" s="56" t="s">
        <v>270</v>
      </c>
      <c r="E2080" s="426">
        <v>44657</v>
      </c>
      <c r="F2080" s="26" t="s">
        <v>387</v>
      </c>
      <c r="G2080" s="426">
        <v>44573</v>
      </c>
      <c r="H2080" s="35" t="s">
        <v>989</v>
      </c>
      <c r="I2080" s="21">
        <v>2011600</v>
      </c>
      <c r="J2080" s="21"/>
      <c r="K2080" s="22">
        <v>0</v>
      </c>
      <c r="L2080" s="23"/>
      <c r="M2080" s="22">
        <v>0</v>
      </c>
      <c r="N2080" s="74">
        <v>0</v>
      </c>
      <c r="O2080" s="22">
        <v>0</v>
      </c>
      <c r="P2080" s="21">
        <v>2011600</v>
      </c>
      <c r="S2080" s="108" t="b">
        <f>OR(COUNTIF(Tabla2[[#This Row],[PROVEEDOR]],"*"&amp;'Palabra no opera'!$A$2&amp;"*"))</f>
        <v>0</v>
      </c>
      <c r="T2080" s="139">
        <f>+$W$5-Tabla2[[#This Row],[FECHA DE FACTURACIÓN]]</f>
        <v>718</v>
      </c>
      <c r="U2080" t="str">
        <f>+IF(Tabla2[[#This Row],[dias de credito]]&gt;=Tabla2[[#This Row],[PLAZO Días]],"venc", "No venc")</f>
        <v>venc</v>
      </c>
      <c r="V2080" t="str">
        <f>+IF(Tabla2[[#This Row],[FECHA DE PAGO]]&gt;0,"pagada","por pagar")</f>
        <v>pagada</v>
      </c>
      <c r="W2080" s="141" t="str">
        <f>+IF(AND(Tabla2[[#This Row],[venc]]="venc",Tabla2[[#This Row],[Columna1]]="por pagar"),"vencida","no")</f>
        <v>no</v>
      </c>
    </row>
    <row r="2081" spans="1:23" ht="15.6" hidden="1" x14ac:dyDescent="0.3">
      <c r="A2081" s="20">
        <v>30</v>
      </c>
      <c r="B2081" s="25">
        <v>0</v>
      </c>
      <c r="C2081" s="25"/>
      <c r="D2081" s="56" t="s">
        <v>402</v>
      </c>
      <c r="E2081" s="426">
        <v>44656</v>
      </c>
      <c r="F2081" s="26" t="s">
        <v>403</v>
      </c>
      <c r="G2081" s="426">
        <v>44649</v>
      </c>
      <c r="H2081" s="35" t="s">
        <v>1012</v>
      </c>
      <c r="I2081" s="21">
        <v>-1200000</v>
      </c>
      <c r="J2081" s="21"/>
      <c r="K2081" s="22">
        <v>0</v>
      </c>
      <c r="L2081" s="23"/>
      <c r="M2081" s="22">
        <v>0</v>
      </c>
      <c r="N2081" s="74">
        <v>0</v>
      </c>
      <c r="O2081" s="22">
        <v>0</v>
      </c>
      <c r="P2081" s="21">
        <v>0</v>
      </c>
      <c r="S2081" s="108" t="b">
        <f>OR(COUNTIF(Tabla2[[#This Row],[PROVEEDOR]],"*"&amp;'Palabra no opera'!$A$2&amp;"*"))</f>
        <v>0</v>
      </c>
      <c r="T2081" s="139">
        <f>+$W$5-Tabla2[[#This Row],[FECHA DE FACTURACIÓN]]</f>
        <v>642</v>
      </c>
      <c r="U2081" t="str">
        <f>+IF(Tabla2[[#This Row],[dias de credito]]&gt;=Tabla2[[#This Row],[PLAZO Días]],"venc", "No venc")</f>
        <v>venc</v>
      </c>
      <c r="V2081" t="str">
        <f>+IF(Tabla2[[#This Row],[FECHA DE PAGO]]&gt;0,"pagada","por pagar")</f>
        <v>pagada</v>
      </c>
      <c r="W2081" s="141" t="str">
        <f>+IF(AND(Tabla2[[#This Row],[venc]]="venc",Tabla2[[#This Row],[Columna1]]="por pagar"),"vencida","no")</f>
        <v>no</v>
      </c>
    </row>
    <row r="2082" spans="1:23" ht="15.6" hidden="1" x14ac:dyDescent="0.3">
      <c r="A2082" s="20">
        <v>30</v>
      </c>
      <c r="B2082" s="25">
        <v>1125118.8199999998</v>
      </c>
      <c r="C2082" s="25"/>
      <c r="D2082" s="56" t="s">
        <v>431</v>
      </c>
      <c r="E2082" s="426">
        <v>44656</v>
      </c>
      <c r="F2082" s="26" t="s">
        <v>279</v>
      </c>
      <c r="G2082" s="426">
        <v>44620</v>
      </c>
      <c r="H2082" s="35" t="s">
        <v>452</v>
      </c>
      <c r="I2082" s="21">
        <v>585212</v>
      </c>
      <c r="J2082" s="21"/>
      <c r="K2082" s="22">
        <v>111190.28</v>
      </c>
      <c r="L2082" s="23"/>
      <c r="M2082" s="22">
        <v>0</v>
      </c>
      <c r="N2082" s="74">
        <v>0</v>
      </c>
      <c r="O2082" s="22">
        <v>0</v>
      </c>
      <c r="P2082" s="21">
        <v>696402.28</v>
      </c>
      <c r="S2082" s="108" t="b">
        <f>OR(COUNTIF(Tabla2[[#This Row],[PROVEEDOR]],"*"&amp;'Palabra no opera'!$A$2&amp;"*"))</f>
        <v>0</v>
      </c>
      <c r="T2082" s="139">
        <f>+$W$5-Tabla2[[#This Row],[FECHA DE FACTURACIÓN]]</f>
        <v>671</v>
      </c>
      <c r="U2082" t="str">
        <f>+IF(Tabla2[[#This Row],[dias de credito]]&gt;=Tabla2[[#This Row],[PLAZO Días]],"venc", "No venc")</f>
        <v>venc</v>
      </c>
      <c r="V2082" t="str">
        <f>+IF(Tabla2[[#This Row],[FECHA DE PAGO]]&gt;0,"pagada","por pagar")</f>
        <v>pagada</v>
      </c>
      <c r="W2082" s="141" t="str">
        <f>+IF(AND(Tabla2[[#This Row],[venc]]="venc",Tabla2[[#This Row],[Columna1]]="por pagar"),"vencida","no")</f>
        <v>no</v>
      </c>
    </row>
    <row r="2083" spans="1:23" ht="15.6" hidden="1" x14ac:dyDescent="0.3">
      <c r="A2083" s="20">
        <v>30</v>
      </c>
      <c r="B2083" s="25">
        <v>0</v>
      </c>
      <c r="C2083" s="25"/>
      <c r="D2083" s="56" t="s">
        <v>402</v>
      </c>
      <c r="E2083" s="426">
        <v>44656</v>
      </c>
      <c r="F2083" s="26" t="s">
        <v>403</v>
      </c>
      <c r="G2083" s="426">
        <v>44597</v>
      </c>
      <c r="H2083" s="35" t="s">
        <v>1000</v>
      </c>
      <c r="I2083" s="21">
        <v>1510000</v>
      </c>
      <c r="J2083" s="21"/>
      <c r="K2083" s="22">
        <v>0</v>
      </c>
      <c r="L2083" s="23"/>
      <c r="M2083" s="22">
        <v>0</v>
      </c>
      <c r="N2083" s="74">
        <v>0</v>
      </c>
      <c r="O2083" s="22">
        <v>0</v>
      </c>
      <c r="P2083" s="21">
        <v>1510000</v>
      </c>
      <c r="S2083" s="108" t="b">
        <f>OR(COUNTIF(Tabla2[[#This Row],[PROVEEDOR]],"*"&amp;'Palabra no opera'!$A$2&amp;"*"))</f>
        <v>0</v>
      </c>
      <c r="T2083" s="139">
        <f>+$W$5-Tabla2[[#This Row],[FECHA DE FACTURACIÓN]]</f>
        <v>694</v>
      </c>
      <c r="U2083" t="str">
        <f>+IF(Tabla2[[#This Row],[dias de credito]]&gt;=Tabla2[[#This Row],[PLAZO Días]],"venc", "No venc")</f>
        <v>venc</v>
      </c>
      <c r="V2083" t="str">
        <f>+IF(Tabla2[[#This Row],[FECHA DE PAGO]]&gt;0,"pagada","por pagar")</f>
        <v>pagada</v>
      </c>
      <c r="W2083" s="141" t="str">
        <f>+IF(AND(Tabla2[[#This Row],[venc]]="venc",Tabla2[[#This Row],[Columna1]]="por pagar"),"vencida","no")</f>
        <v>no</v>
      </c>
    </row>
    <row r="2084" spans="1:23" ht="15.6" hidden="1" x14ac:dyDescent="0.3">
      <c r="A2084" s="20">
        <v>45</v>
      </c>
      <c r="B2084" s="25">
        <v>15770594</v>
      </c>
      <c r="C2084" s="25"/>
      <c r="D2084" s="56" t="s">
        <v>594</v>
      </c>
      <c r="E2084" s="426">
        <v>44656</v>
      </c>
      <c r="F2084" s="26" t="s">
        <v>19</v>
      </c>
      <c r="G2084" s="426">
        <v>44596</v>
      </c>
      <c r="H2084" s="35" t="s">
        <v>466</v>
      </c>
      <c r="I2084" s="21">
        <v>1164160</v>
      </c>
      <c r="J2084" s="21"/>
      <c r="K2084" s="22">
        <v>221190.39999999999</v>
      </c>
      <c r="L2084" s="23"/>
      <c r="M2084" s="22">
        <v>0</v>
      </c>
      <c r="N2084" s="74">
        <v>0</v>
      </c>
      <c r="O2084" s="22">
        <v>0</v>
      </c>
      <c r="P2084" s="21">
        <v>1385350.4</v>
      </c>
      <c r="S2084" s="108" t="b">
        <f>OR(COUNTIF(Tabla2[[#This Row],[PROVEEDOR]],"*"&amp;'Palabra no opera'!$A$2&amp;"*"))</f>
        <v>0</v>
      </c>
      <c r="T2084" s="139">
        <f>+$W$5-Tabla2[[#This Row],[FECHA DE FACTURACIÓN]]</f>
        <v>695</v>
      </c>
      <c r="U2084" t="str">
        <f>+IF(Tabla2[[#This Row],[dias de credito]]&gt;=Tabla2[[#This Row],[PLAZO Días]],"venc", "No venc")</f>
        <v>venc</v>
      </c>
      <c r="V2084" t="str">
        <f>+IF(Tabla2[[#This Row],[FECHA DE PAGO]]&gt;0,"pagada","por pagar")</f>
        <v>pagada</v>
      </c>
      <c r="W2084" s="141" t="str">
        <f>+IF(AND(Tabla2[[#This Row],[venc]]="venc",Tabla2[[#This Row],[Columna1]]="por pagar"),"vencida","no")</f>
        <v>no</v>
      </c>
    </row>
    <row r="2085" spans="1:23" ht="15.6" hidden="1" x14ac:dyDescent="0.3">
      <c r="A2085" s="20">
        <v>45</v>
      </c>
      <c r="B2085" s="25">
        <v>8072960</v>
      </c>
      <c r="C2085" s="25"/>
      <c r="D2085" s="56" t="s">
        <v>198</v>
      </c>
      <c r="E2085" s="426">
        <v>44656</v>
      </c>
      <c r="F2085" s="26" t="s">
        <v>10</v>
      </c>
      <c r="G2085" s="426">
        <v>44594</v>
      </c>
      <c r="H2085" s="35" t="s">
        <v>480</v>
      </c>
      <c r="I2085" s="21">
        <v>1140335.8999999999</v>
      </c>
      <c r="J2085" s="21"/>
      <c r="K2085" s="22">
        <v>216663.821</v>
      </c>
      <c r="L2085" s="23"/>
      <c r="M2085" s="22">
        <v>0</v>
      </c>
      <c r="N2085" s="74">
        <v>0</v>
      </c>
      <c r="O2085" s="22">
        <v>0</v>
      </c>
      <c r="P2085" s="21">
        <v>1356999.7209999999</v>
      </c>
      <c r="S2085" s="108" t="b">
        <f>OR(COUNTIF(Tabla2[[#This Row],[PROVEEDOR]],"*"&amp;'Palabra no opera'!$A$2&amp;"*"))</f>
        <v>0</v>
      </c>
      <c r="T2085" s="139">
        <f>+$W$5-Tabla2[[#This Row],[FECHA DE FACTURACIÓN]]</f>
        <v>697</v>
      </c>
      <c r="U2085" t="str">
        <f>+IF(Tabla2[[#This Row],[dias de credito]]&gt;=Tabla2[[#This Row],[PLAZO Días]],"venc", "No venc")</f>
        <v>venc</v>
      </c>
      <c r="V2085" t="str">
        <f>+IF(Tabla2[[#This Row],[FECHA DE PAGO]]&gt;0,"pagada","por pagar")</f>
        <v>pagada</v>
      </c>
      <c r="W2085" s="141" t="str">
        <f>+IF(AND(Tabla2[[#This Row],[venc]]="venc",Tabla2[[#This Row],[Columna1]]="por pagar"),"vencida","no")</f>
        <v>no</v>
      </c>
    </row>
    <row r="2086" spans="1:23" ht="15.6" hidden="1" x14ac:dyDescent="0.3">
      <c r="A2086" s="20">
        <v>45</v>
      </c>
      <c r="B2086" s="25">
        <v>8072960</v>
      </c>
      <c r="C2086" s="25"/>
      <c r="D2086" s="56" t="s">
        <v>198</v>
      </c>
      <c r="E2086" s="426">
        <v>44656</v>
      </c>
      <c r="F2086" s="26" t="s">
        <v>10</v>
      </c>
      <c r="G2086" s="426">
        <v>44594</v>
      </c>
      <c r="H2086" s="35" t="s">
        <v>479</v>
      </c>
      <c r="I2086" s="21">
        <v>1404200</v>
      </c>
      <c r="J2086" s="21"/>
      <c r="K2086" s="22">
        <v>266798</v>
      </c>
      <c r="L2086" s="23"/>
      <c r="M2086" s="22">
        <v>0</v>
      </c>
      <c r="N2086" s="74">
        <v>0</v>
      </c>
      <c r="O2086" s="22">
        <v>0</v>
      </c>
      <c r="P2086" s="21">
        <v>1670998</v>
      </c>
      <c r="S2086" s="108" t="b">
        <f>OR(COUNTIF(Tabla2[[#This Row],[PROVEEDOR]],"*"&amp;'Palabra no opera'!$A$2&amp;"*"))</f>
        <v>0</v>
      </c>
      <c r="T2086" s="139">
        <f>+$W$5-Tabla2[[#This Row],[FECHA DE FACTURACIÓN]]</f>
        <v>697</v>
      </c>
      <c r="U2086" t="str">
        <f>+IF(Tabla2[[#This Row],[dias de credito]]&gt;=Tabla2[[#This Row],[PLAZO Días]],"venc", "No venc")</f>
        <v>venc</v>
      </c>
      <c r="V2086" t="str">
        <f>+IF(Tabla2[[#This Row],[FECHA DE PAGO]]&gt;0,"pagada","por pagar")</f>
        <v>pagada</v>
      </c>
      <c r="W2086" s="141" t="str">
        <f>+IF(AND(Tabla2[[#This Row],[venc]]="venc",Tabla2[[#This Row],[Columna1]]="por pagar"),"vencida","no")</f>
        <v>no</v>
      </c>
    </row>
    <row r="2087" spans="1:23" ht="15.6" hidden="1" x14ac:dyDescent="0.3">
      <c r="A2087" s="20">
        <v>45</v>
      </c>
      <c r="B2087" s="25">
        <v>8072960</v>
      </c>
      <c r="C2087" s="25"/>
      <c r="D2087" s="56" t="s">
        <v>198</v>
      </c>
      <c r="E2087" s="426">
        <v>44656</v>
      </c>
      <c r="F2087" s="26" t="s">
        <v>10</v>
      </c>
      <c r="G2087" s="426">
        <v>44587</v>
      </c>
      <c r="H2087" s="35" t="s">
        <v>478</v>
      </c>
      <c r="I2087" s="21">
        <v>1200000</v>
      </c>
      <c r="J2087" s="21"/>
      <c r="K2087" s="22">
        <v>228000</v>
      </c>
      <c r="L2087" s="23"/>
      <c r="M2087" s="22">
        <v>0</v>
      </c>
      <c r="N2087" s="74">
        <v>0</v>
      </c>
      <c r="O2087" s="22">
        <v>0</v>
      </c>
      <c r="P2087" s="21">
        <v>1428000</v>
      </c>
      <c r="S2087" s="108" t="b">
        <f>OR(COUNTIF(Tabla2[[#This Row],[PROVEEDOR]],"*"&amp;'Palabra no opera'!$A$2&amp;"*"))</f>
        <v>0</v>
      </c>
      <c r="T2087" s="139">
        <f>+$W$5-Tabla2[[#This Row],[FECHA DE FACTURACIÓN]]</f>
        <v>704</v>
      </c>
      <c r="U2087" t="str">
        <f>+IF(Tabla2[[#This Row],[dias de credito]]&gt;=Tabla2[[#This Row],[PLAZO Días]],"venc", "No venc")</f>
        <v>venc</v>
      </c>
      <c r="V2087" t="str">
        <f>+IF(Tabla2[[#This Row],[FECHA DE PAGO]]&gt;0,"pagada","por pagar")</f>
        <v>pagada</v>
      </c>
      <c r="W2087" s="141" t="str">
        <f>+IF(AND(Tabla2[[#This Row],[venc]]="venc",Tabla2[[#This Row],[Columna1]]="por pagar"),"vencida","no")</f>
        <v>no</v>
      </c>
    </row>
    <row r="2088" spans="1:23" ht="15.6" hidden="1" x14ac:dyDescent="0.3">
      <c r="A2088" s="20">
        <v>45</v>
      </c>
      <c r="B2088" s="25">
        <v>8072960</v>
      </c>
      <c r="C2088" s="25"/>
      <c r="D2088" s="56" t="s">
        <v>198</v>
      </c>
      <c r="E2088" s="426">
        <v>44656</v>
      </c>
      <c r="F2088" s="26" t="s">
        <v>10</v>
      </c>
      <c r="G2088" s="426">
        <v>44587</v>
      </c>
      <c r="H2088" s="35" t="s">
        <v>477</v>
      </c>
      <c r="I2088" s="21">
        <v>1600000</v>
      </c>
      <c r="J2088" s="21"/>
      <c r="K2088" s="22">
        <v>304000</v>
      </c>
      <c r="L2088" s="23"/>
      <c r="M2088" s="22">
        <v>0</v>
      </c>
      <c r="N2088" s="74">
        <v>0</v>
      </c>
      <c r="O2088" s="22">
        <v>0</v>
      </c>
      <c r="P2088" s="21">
        <v>1904000</v>
      </c>
      <c r="S2088" s="108" t="b">
        <f>OR(COUNTIF(Tabla2[[#This Row],[PROVEEDOR]],"*"&amp;'Palabra no opera'!$A$2&amp;"*"))</f>
        <v>0</v>
      </c>
      <c r="T2088" s="139">
        <f>+$W$5-Tabla2[[#This Row],[FECHA DE FACTURACIÓN]]</f>
        <v>704</v>
      </c>
      <c r="U2088" t="str">
        <f>+IF(Tabla2[[#This Row],[dias de credito]]&gt;=Tabla2[[#This Row],[PLAZO Días]],"venc", "No venc")</f>
        <v>venc</v>
      </c>
      <c r="V2088" t="str">
        <f>+IF(Tabla2[[#This Row],[FECHA DE PAGO]]&gt;0,"pagada","por pagar")</f>
        <v>pagada</v>
      </c>
      <c r="W2088" s="141" t="str">
        <f>+IF(AND(Tabla2[[#This Row],[venc]]="venc",Tabla2[[#This Row],[Columna1]]="por pagar"),"vencida","no")</f>
        <v>no</v>
      </c>
    </row>
    <row r="2089" spans="1:23" ht="15.6" hidden="1" x14ac:dyDescent="0.3">
      <c r="A2089" s="20">
        <v>30</v>
      </c>
      <c r="B2089" s="25">
        <v>5480000</v>
      </c>
      <c r="C2089" s="25"/>
      <c r="D2089" s="56" t="s">
        <v>107</v>
      </c>
      <c r="E2089" s="426">
        <v>44656</v>
      </c>
      <c r="F2089" s="26" t="s">
        <v>369</v>
      </c>
      <c r="G2089" s="426">
        <v>44582</v>
      </c>
      <c r="H2089" s="35" t="s">
        <v>992</v>
      </c>
      <c r="I2089" s="21">
        <v>2842000</v>
      </c>
      <c r="J2089" s="21"/>
      <c r="K2089" s="22">
        <v>0</v>
      </c>
      <c r="L2089" s="23"/>
      <c r="M2089" s="22">
        <v>0</v>
      </c>
      <c r="N2089" s="74">
        <v>0</v>
      </c>
      <c r="O2089" s="22">
        <v>0</v>
      </c>
      <c r="P2089" s="21">
        <v>2842000</v>
      </c>
      <c r="S2089" s="108" t="b">
        <f>OR(COUNTIF(Tabla2[[#This Row],[PROVEEDOR]],"*"&amp;'Palabra no opera'!$A$2&amp;"*"))</f>
        <v>0</v>
      </c>
      <c r="T2089" s="139">
        <f>+$W$5-Tabla2[[#This Row],[FECHA DE FACTURACIÓN]]</f>
        <v>709</v>
      </c>
      <c r="U2089" t="str">
        <f>+IF(Tabla2[[#This Row],[dias de credito]]&gt;=Tabla2[[#This Row],[PLAZO Días]],"venc", "No venc")</f>
        <v>venc</v>
      </c>
      <c r="V2089" t="str">
        <f>+IF(Tabla2[[#This Row],[FECHA DE PAGO]]&gt;0,"pagada","por pagar")</f>
        <v>pagada</v>
      </c>
      <c r="W2089" s="141" t="str">
        <f>+IF(AND(Tabla2[[#This Row],[venc]]="venc",Tabla2[[#This Row],[Columna1]]="por pagar"),"vencida","no")</f>
        <v>no</v>
      </c>
    </row>
    <row r="2090" spans="1:23" ht="15.6" hidden="1" x14ac:dyDescent="0.3">
      <c r="A2090" s="20">
        <v>30</v>
      </c>
      <c r="B2090" s="25">
        <v>5480000</v>
      </c>
      <c r="C2090" s="25"/>
      <c r="D2090" s="56" t="s">
        <v>107</v>
      </c>
      <c r="E2090" s="426">
        <v>44656</v>
      </c>
      <c r="F2090" s="26" t="s">
        <v>369</v>
      </c>
      <c r="G2090" s="426">
        <v>44572</v>
      </c>
      <c r="H2090" s="35" t="s">
        <v>985</v>
      </c>
      <c r="I2090" s="21">
        <v>425000</v>
      </c>
      <c r="J2090" s="21"/>
      <c r="K2090" s="22">
        <v>0</v>
      </c>
      <c r="L2090" s="23"/>
      <c r="M2090" s="22">
        <v>0</v>
      </c>
      <c r="N2090" s="74">
        <v>0</v>
      </c>
      <c r="O2090" s="22">
        <v>0</v>
      </c>
      <c r="P2090" s="21">
        <v>425000</v>
      </c>
      <c r="S2090" s="108" t="b">
        <f>OR(COUNTIF(Tabla2[[#This Row],[PROVEEDOR]],"*"&amp;'Palabra no opera'!$A$2&amp;"*"))</f>
        <v>0</v>
      </c>
      <c r="T2090" s="139">
        <f>+$W$5-Tabla2[[#This Row],[FECHA DE FACTURACIÓN]]</f>
        <v>719</v>
      </c>
      <c r="U2090" t="str">
        <f>+IF(Tabla2[[#This Row],[dias de credito]]&gt;=Tabla2[[#This Row],[PLAZO Días]],"venc", "No venc")</f>
        <v>venc</v>
      </c>
      <c r="V2090" t="str">
        <f>+IF(Tabla2[[#This Row],[FECHA DE PAGO]]&gt;0,"pagada","por pagar")</f>
        <v>pagada</v>
      </c>
      <c r="W2090" s="141" t="str">
        <f>+IF(AND(Tabla2[[#This Row],[venc]]="venc",Tabla2[[#This Row],[Columna1]]="por pagar"),"vencida","no")</f>
        <v>no</v>
      </c>
    </row>
    <row r="2091" spans="1:23" ht="15.6" hidden="1" x14ac:dyDescent="0.3">
      <c r="A2091" s="20">
        <v>60</v>
      </c>
      <c r="B2091" s="25">
        <v>0</v>
      </c>
      <c r="C2091" s="25"/>
      <c r="D2091" s="56">
        <v>0</v>
      </c>
      <c r="E2091" s="426">
        <v>44656</v>
      </c>
      <c r="F2091" s="26" t="s">
        <v>951</v>
      </c>
      <c r="G2091" s="426">
        <v>44546</v>
      </c>
      <c r="H2091" s="35" t="s">
        <v>443</v>
      </c>
      <c r="I2091" s="21">
        <v>5190000</v>
      </c>
      <c r="J2091" s="21"/>
      <c r="K2091" s="22">
        <v>986100</v>
      </c>
      <c r="L2091" s="23"/>
      <c r="M2091" s="22">
        <v>0</v>
      </c>
      <c r="N2091" s="74">
        <v>0</v>
      </c>
      <c r="O2091" s="22">
        <v>0</v>
      </c>
      <c r="P2091" s="21">
        <v>6046350</v>
      </c>
      <c r="S2091" s="108" t="b">
        <f>OR(COUNTIF(Tabla2[[#This Row],[PROVEEDOR]],"*"&amp;'Palabra no opera'!$A$2&amp;"*"))</f>
        <v>1</v>
      </c>
      <c r="T2091" s="139">
        <f>+$W$5-Tabla2[[#This Row],[FECHA DE FACTURACIÓN]]</f>
        <v>745</v>
      </c>
      <c r="U2091" t="str">
        <f>+IF(Tabla2[[#This Row],[dias de credito]]&gt;=Tabla2[[#This Row],[PLAZO Días]],"venc", "No venc")</f>
        <v>venc</v>
      </c>
      <c r="V2091" t="str">
        <f>+IF(Tabla2[[#This Row],[FECHA DE PAGO]]&gt;0,"pagada","por pagar")</f>
        <v>pagada</v>
      </c>
      <c r="W2091" s="141" t="str">
        <f>+IF(AND(Tabla2[[#This Row],[venc]]="venc",Tabla2[[#This Row],[Columna1]]="por pagar"),"vencida","no")</f>
        <v>no</v>
      </c>
    </row>
    <row r="2092" spans="1:23" ht="15.6" hidden="1" x14ac:dyDescent="0.3">
      <c r="A2092" s="20">
        <v>30</v>
      </c>
      <c r="B2092" s="25">
        <v>0</v>
      </c>
      <c r="C2092" s="25"/>
      <c r="D2092" s="56" t="s">
        <v>107</v>
      </c>
      <c r="E2092" s="426">
        <v>44653</v>
      </c>
      <c r="F2092" s="26" t="s">
        <v>378</v>
      </c>
      <c r="G2092" s="426">
        <v>44653</v>
      </c>
      <c r="H2092" s="35" t="s">
        <v>567</v>
      </c>
      <c r="I2092" s="21">
        <v>640000</v>
      </c>
      <c r="J2092" s="21"/>
      <c r="K2092" s="22">
        <v>0</v>
      </c>
      <c r="L2092" s="23"/>
      <c r="M2092" s="22">
        <v>0</v>
      </c>
      <c r="N2092" s="74">
        <v>0</v>
      </c>
      <c r="O2092" s="22">
        <v>0</v>
      </c>
      <c r="P2092" s="21">
        <v>640000</v>
      </c>
      <c r="S2092" s="108" t="b">
        <f>OR(COUNTIF(Tabla2[[#This Row],[PROVEEDOR]],"*"&amp;'Palabra no opera'!$A$2&amp;"*"))</f>
        <v>0</v>
      </c>
      <c r="T2092" s="139">
        <f>+$W$5-Tabla2[[#This Row],[FECHA DE FACTURACIÓN]]</f>
        <v>638</v>
      </c>
      <c r="U2092" t="str">
        <f>+IF(Tabla2[[#This Row],[dias de credito]]&gt;=Tabla2[[#This Row],[PLAZO Días]],"venc", "No venc")</f>
        <v>venc</v>
      </c>
      <c r="V2092" t="str">
        <f>+IF(Tabla2[[#This Row],[FECHA DE PAGO]]&gt;0,"pagada","por pagar")</f>
        <v>pagada</v>
      </c>
      <c r="W2092" s="141" t="str">
        <f>+IF(AND(Tabla2[[#This Row],[venc]]="venc",Tabla2[[#This Row],[Columna1]]="por pagar"),"vencida","no")</f>
        <v>no</v>
      </c>
    </row>
    <row r="2093" spans="1:23" ht="15.6" hidden="1" x14ac:dyDescent="0.3">
      <c r="A2093" s="20">
        <v>30</v>
      </c>
      <c r="B2093" s="25">
        <v>342000</v>
      </c>
      <c r="C2093" s="25"/>
      <c r="D2093" s="56" t="s">
        <v>107</v>
      </c>
      <c r="E2093" s="426">
        <v>44652</v>
      </c>
      <c r="F2093" s="26" t="s">
        <v>344</v>
      </c>
      <c r="G2093" s="426">
        <v>44652</v>
      </c>
      <c r="H2093" s="35" t="s">
        <v>1014</v>
      </c>
      <c r="I2093" s="21">
        <v>118000</v>
      </c>
      <c r="J2093" s="21"/>
      <c r="K2093" s="22">
        <v>0</v>
      </c>
      <c r="L2093" s="23"/>
      <c r="M2093" s="22">
        <v>0</v>
      </c>
      <c r="N2093" s="74">
        <v>0</v>
      </c>
      <c r="O2093" s="22">
        <v>0</v>
      </c>
      <c r="P2093" s="21">
        <v>118000</v>
      </c>
      <c r="S2093" s="108" t="b">
        <f>OR(COUNTIF(Tabla2[[#This Row],[PROVEEDOR]],"*"&amp;'Palabra no opera'!$A$2&amp;"*"))</f>
        <v>0</v>
      </c>
      <c r="T2093" s="139">
        <f>+$W$5-Tabla2[[#This Row],[FECHA DE FACTURACIÓN]]</f>
        <v>639</v>
      </c>
      <c r="U2093" t="str">
        <f>+IF(Tabla2[[#This Row],[dias de credito]]&gt;=Tabla2[[#This Row],[PLAZO Días]],"venc", "No venc")</f>
        <v>venc</v>
      </c>
      <c r="V2093" t="str">
        <f>+IF(Tabla2[[#This Row],[FECHA DE PAGO]]&gt;0,"pagada","por pagar")</f>
        <v>pagada</v>
      </c>
      <c r="W2093" s="141" t="str">
        <f>+IF(AND(Tabla2[[#This Row],[venc]]="venc",Tabla2[[#This Row],[Columna1]]="por pagar"),"vencida","no")</f>
        <v>no</v>
      </c>
    </row>
    <row r="2094" spans="1:23" ht="15.6" hidden="1" x14ac:dyDescent="0.3">
      <c r="A2094" s="20">
        <v>30</v>
      </c>
      <c r="B2094" s="25">
        <v>0</v>
      </c>
      <c r="C2094" s="25"/>
      <c r="D2094" s="56" t="s">
        <v>210</v>
      </c>
      <c r="E2094" s="426">
        <v>44652</v>
      </c>
      <c r="F2094" s="26" t="s">
        <v>47</v>
      </c>
      <c r="G2094" s="426">
        <v>44629</v>
      </c>
      <c r="H2094" s="35" t="s">
        <v>451</v>
      </c>
      <c r="I2094" s="21">
        <v>643885</v>
      </c>
      <c r="J2094" s="21"/>
      <c r="K2094" s="22">
        <v>122338.15</v>
      </c>
      <c r="L2094" s="23"/>
      <c r="M2094" s="22">
        <v>0</v>
      </c>
      <c r="N2094" s="74">
        <v>0</v>
      </c>
      <c r="O2094" s="22">
        <v>0</v>
      </c>
      <c r="P2094" s="21">
        <v>766223.15</v>
      </c>
      <c r="S2094" s="108" t="b">
        <f>OR(COUNTIF(Tabla2[[#This Row],[PROVEEDOR]],"*"&amp;'Palabra no opera'!$A$2&amp;"*"))</f>
        <v>0</v>
      </c>
      <c r="T2094" s="139">
        <f>+$W$5-Tabla2[[#This Row],[FECHA DE FACTURACIÓN]]</f>
        <v>662</v>
      </c>
      <c r="U2094" t="str">
        <f>+IF(Tabla2[[#This Row],[dias de credito]]&gt;=Tabla2[[#This Row],[PLAZO Días]],"venc", "No venc")</f>
        <v>venc</v>
      </c>
      <c r="V2094" t="str">
        <f>+IF(Tabla2[[#This Row],[FECHA DE PAGO]]&gt;0,"pagada","por pagar")</f>
        <v>pagada</v>
      </c>
      <c r="W2094" s="141" t="str">
        <f>+IF(AND(Tabla2[[#This Row],[venc]]="venc",Tabla2[[#This Row],[Columna1]]="por pagar"),"vencida","no")</f>
        <v>no</v>
      </c>
    </row>
    <row r="2095" spans="1:23" ht="15.6" hidden="1" x14ac:dyDescent="0.3">
      <c r="A2095" s="20">
        <v>30</v>
      </c>
      <c r="B2095" s="25">
        <v>1316890.8900000001</v>
      </c>
      <c r="C2095" s="25"/>
      <c r="D2095" s="56" t="s">
        <v>188</v>
      </c>
      <c r="E2095" s="426">
        <v>44652</v>
      </c>
      <c r="F2095" s="26" t="s">
        <v>17</v>
      </c>
      <c r="G2095" s="426">
        <v>44621</v>
      </c>
      <c r="H2095" s="35" t="s">
        <v>461</v>
      </c>
      <c r="I2095" s="21">
        <v>-209000</v>
      </c>
      <c r="J2095" s="21"/>
      <c r="K2095" s="22">
        <v>-39710</v>
      </c>
      <c r="L2095" s="23"/>
      <c r="M2095" s="22">
        <v>0</v>
      </c>
      <c r="N2095" s="74">
        <v>0</v>
      </c>
      <c r="O2095" s="22">
        <v>0</v>
      </c>
      <c r="P2095" s="21">
        <v>-248710</v>
      </c>
      <c r="S2095" s="108" t="b">
        <f>OR(COUNTIF(Tabla2[[#This Row],[PROVEEDOR]],"*"&amp;'Palabra no opera'!$A$2&amp;"*"))</f>
        <v>0</v>
      </c>
      <c r="T2095" s="139">
        <f>+$W$5-Tabla2[[#This Row],[FECHA DE FACTURACIÓN]]</f>
        <v>670</v>
      </c>
      <c r="U2095" t="str">
        <f>+IF(Tabla2[[#This Row],[dias de credito]]&gt;=Tabla2[[#This Row],[PLAZO Días]],"venc", "No venc")</f>
        <v>venc</v>
      </c>
      <c r="V2095" t="str">
        <f>+IF(Tabla2[[#This Row],[FECHA DE PAGO]]&gt;0,"pagada","por pagar")</f>
        <v>pagada</v>
      </c>
      <c r="W2095" s="141" t="str">
        <f>+IF(AND(Tabla2[[#This Row],[venc]]="venc",Tabla2[[#This Row],[Columna1]]="por pagar"),"vencida","no")</f>
        <v>no</v>
      </c>
    </row>
    <row r="2096" spans="1:23" ht="15.6" hidden="1" x14ac:dyDescent="0.3">
      <c r="A2096" s="20">
        <v>30</v>
      </c>
      <c r="B2096" s="25">
        <v>1316890.8900000001</v>
      </c>
      <c r="C2096" s="25"/>
      <c r="D2096" s="56" t="s">
        <v>188</v>
      </c>
      <c r="E2096" s="426">
        <v>44652</v>
      </c>
      <c r="F2096" s="26" t="s">
        <v>17</v>
      </c>
      <c r="G2096" s="426">
        <v>44620</v>
      </c>
      <c r="H2096" s="35">
        <v>1882198</v>
      </c>
      <c r="I2096" s="21">
        <v>1817647</v>
      </c>
      <c r="J2096" s="21"/>
      <c r="K2096" s="22">
        <v>345352.93</v>
      </c>
      <c r="L2096" s="23"/>
      <c r="M2096" s="22">
        <v>0</v>
      </c>
      <c r="N2096" s="74">
        <v>0</v>
      </c>
      <c r="O2096" s="22">
        <v>0</v>
      </c>
      <c r="P2096" s="21">
        <v>2162999.9300000002</v>
      </c>
      <c r="S2096" s="108" t="b">
        <f>OR(COUNTIF(Tabla2[[#This Row],[PROVEEDOR]],"*"&amp;'Palabra no opera'!$A$2&amp;"*"))</f>
        <v>0</v>
      </c>
      <c r="T2096" s="139">
        <f>+$W$5-Tabla2[[#This Row],[FECHA DE FACTURACIÓN]]</f>
        <v>671</v>
      </c>
      <c r="U2096" t="str">
        <f>+IF(Tabla2[[#This Row],[dias de credito]]&gt;=Tabla2[[#This Row],[PLAZO Días]],"venc", "No venc")</f>
        <v>venc</v>
      </c>
      <c r="V2096" t="str">
        <f>+IF(Tabla2[[#This Row],[FECHA DE PAGO]]&gt;0,"pagada","por pagar")</f>
        <v>pagada</v>
      </c>
      <c r="W2096" s="141" t="str">
        <f>+IF(AND(Tabla2[[#This Row],[venc]]="venc",Tabla2[[#This Row],[Columna1]]="por pagar"),"vencida","no")</f>
        <v>no</v>
      </c>
    </row>
    <row r="2097" spans="1:23" ht="15.6" hidden="1" x14ac:dyDescent="0.3">
      <c r="A2097" s="20">
        <v>30</v>
      </c>
      <c r="B2097" s="25">
        <v>17870934.149999999</v>
      </c>
      <c r="C2097" s="25"/>
      <c r="D2097" s="56" t="s">
        <v>182</v>
      </c>
      <c r="E2097" s="426">
        <v>44652</v>
      </c>
      <c r="F2097" s="26" t="s">
        <v>18</v>
      </c>
      <c r="G2097" s="426">
        <v>44616</v>
      </c>
      <c r="H2097" s="35">
        <v>1050228</v>
      </c>
      <c r="I2097" s="21">
        <v>2199781.6800000002</v>
      </c>
      <c r="J2097" s="21"/>
      <c r="K2097" s="22">
        <v>417958.51920000004</v>
      </c>
      <c r="L2097" s="23"/>
      <c r="M2097" s="22">
        <v>0</v>
      </c>
      <c r="N2097" s="74">
        <v>2.5000000000000001E-2</v>
      </c>
      <c r="O2097" s="22">
        <v>54994.542000000009</v>
      </c>
      <c r="P2097" s="21">
        <v>2562745.6572000002</v>
      </c>
      <c r="S2097" s="108" t="b">
        <f>OR(COUNTIF(Tabla2[[#This Row],[PROVEEDOR]],"*"&amp;'Palabra no opera'!$A$2&amp;"*"))</f>
        <v>0</v>
      </c>
      <c r="T2097" s="139">
        <f>+$W$5-Tabla2[[#This Row],[FECHA DE FACTURACIÓN]]</f>
        <v>675</v>
      </c>
      <c r="U2097" t="str">
        <f>+IF(Tabla2[[#This Row],[dias de credito]]&gt;=Tabla2[[#This Row],[PLAZO Días]],"venc", "No venc")</f>
        <v>venc</v>
      </c>
      <c r="V2097" t="str">
        <f>+IF(Tabla2[[#This Row],[FECHA DE PAGO]]&gt;0,"pagada","por pagar")</f>
        <v>pagada</v>
      </c>
      <c r="W2097" s="141" t="str">
        <f>+IF(AND(Tabla2[[#This Row],[venc]]="venc",Tabla2[[#This Row],[Columna1]]="por pagar"),"vencida","no")</f>
        <v>no</v>
      </c>
    </row>
    <row r="2098" spans="1:23" ht="15.6" hidden="1" x14ac:dyDescent="0.3">
      <c r="A2098" s="20">
        <v>30</v>
      </c>
      <c r="B2098" s="25">
        <v>17870934.149999999</v>
      </c>
      <c r="C2098" s="25"/>
      <c r="D2098" s="56" t="s">
        <v>182</v>
      </c>
      <c r="E2098" s="426">
        <v>44652</v>
      </c>
      <c r="F2098" s="26" t="s">
        <v>18</v>
      </c>
      <c r="G2098" s="426">
        <v>44610</v>
      </c>
      <c r="H2098" s="35">
        <v>1050001</v>
      </c>
      <c r="I2098" s="21">
        <v>545207</v>
      </c>
      <c r="J2098" s="21"/>
      <c r="K2098" s="22">
        <v>103589.33</v>
      </c>
      <c r="L2098" s="23"/>
      <c r="M2098" s="22">
        <v>0</v>
      </c>
      <c r="N2098" s="74">
        <v>0</v>
      </c>
      <c r="O2098" s="22">
        <v>0</v>
      </c>
      <c r="P2098" s="21">
        <v>648796.32999999996</v>
      </c>
      <c r="S2098" s="108" t="b">
        <f>OR(COUNTIF(Tabla2[[#This Row],[PROVEEDOR]],"*"&amp;'Palabra no opera'!$A$2&amp;"*"))</f>
        <v>0</v>
      </c>
      <c r="T2098" s="139">
        <f>+$W$5-Tabla2[[#This Row],[FECHA DE FACTURACIÓN]]</f>
        <v>681</v>
      </c>
      <c r="U2098" t="str">
        <f>+IF(Tabla2[[#This Row],[dias de credito]]&gt;=Tabla2[[#This Row],[PLAZO Días]],"venc", "No venc")</f>
        <v>venc</v>
      </c>
      <c r="V2098" t="str">
        <f>+IF(Tabla2[[#This Row],[FECHA DE PAGO]]&gt;0,"pagada","por pagar")</f>
        <v>pagada</v>
      </c>
      <c r="W2098" s="141" t="str">
        <f>+IF(AND(Tabla2[[#This Row],[venc]]="venc",Tabla2[[#This Row],[Columna1]]="por pagar"),"vencida","no")</f>
        <v>no</v>
      </c>
    </row>
    <row r="2099" spans="1:23" ht="15.6" hidden="1" x14ac:dyDescent="0.3">
      <c r="A2099" s="20">
        <v>30</v>
      </c>
      <c r="B2099" s="25">
        <v>0</v>
      </c>
      <c r="C2099" s="25"/>
      <c r="D2099" s="56" t="s">
        <v>190</v>
      </c>
      <c r="E2099" s="426">
        <v>44652</v>
      </c>
      <c r="F2099" s="26" t="s">
        <v>964</v>
      </c>
      <c r="G2099" s="426">
        <v>44610</v>
      </c>
      <c r="H2099" s="35">
        <v>27516</v>
      </c>
      <c r="I2099" s="21">
        <v>8664000</v>
      </c>
      <c r="J2099" s="21"/>
      <c r="K2099" s="22">
        <v>1646160</v>
      </c>
      <c r="L2099" s="23"/>
      <c r="M2099" s="22">
        <v>0</v>
      </c>
      <c r="N2099" s="74">
        <v>2.5000000000000001E-2</v>
      </c>
      <c r="O2099" s="22">
        <v>216600</v>
      </c>
      <c r="P2099" s="21">
        <v>10093560</v>
      </c>
      <c r="S2099" s="108" t="b">
        <f>OR(COUNTIF(Tabla2[[#This Row],[PROVEEDOR]],"*"&amp;'Palabra no opera'!$A$2&amp;"*"))</f>
        <v>0</v>
      </c>
      <c r="T2099" s="139">
        <f>+$W$5-Tabla2[[#This Row],[FECHA DE FACTURACIÓN]]</f>
        <v>681</v>
      </c>
      <c r="U2099" t="str">
        <f>+IF(Tabla2[[#This Row],[dias de credito]]&gt;=Tabla2[[#This Row],[PLAZO Días]],"venc", "No venc")</f>
        <v>venc</v>
      </c>
      <c r="V2099" t="str">
        <f>+IF(Tabla2[[#This Row],[FECHA DE PAGO]]&gt;0,"pagada","por pagar")</f>
        <v>pagada</v>
      </c>
      <c r="W2099" s="141" t="str">
        <f>+IF(AND(Tabla2[[#This Row],[venc]]="venc",Tabla2[[#This Row],[Columna1]]="por pagar"),"vencida","no")</f>
        <v>no</v>
      </c>
    </row>
    <row r="2100" spans="1:23" ht="15.6" hidden="1" x14ac:dyDescent="0.3">
      <c r="A2100" s="20">
        <v>30</v>
      </c>
      <c r="B2100" s="25">
        <v>0</v>
      </c>
      <c r="C2100" s="25"/>
      <c r="D2100" s="56" t="s">
        <v>211</v>
      </c>
      <c r="E2100" s="426">
        <v>44652</v>
      </c>
      <c r="F2100" s="26" t="s">
        <v>400</v>
      </c>
      <c r="G2100" s="426">
        <v>44602</v>
      </c>
      <c r="H2100" s="35" t="s">
        <v>1002</v>
      </c>
      <c r="I2100" s="21">
        <v>1608000</v>
      </c>
      <c r="J2100" s="21"/>
      <c r="K2100" s="22">
        <v>0</v>
      </c>
      <c r="L2100" s="23"/>
      <c r="M2100" s="22">
        <v>0</v>
      </c>
      <c r="N2100" s="74">
        <v>0</v>
      </c>
      <c r="O2100" s="22">
        <v>0</v>
      </c>
      <c r="P2100" s="21">
        <v>1608000</v>
      </c>
      <c r="S2100" s="108" t="b">
        <f>OR(COUNTIF(Tabla2[[#This Row],[PROVEEDOR]],"*"&amp;'Palabra no opera'!$A$2&amp;"*"))</f>
        <v>0</v>
      </c>
      <c r="T2100" s="139">
        <f>+$W$5-Tabla2[[#This Row],[FECHA DE FACTURACIÓN]]</f>
        <v>689</v>
      </c>
      <c r="U2100" t="str">
        <f>+IF(Tabla2[[#This Row],[dias de credito]]&gt;=Tabla2[[#This Row],[PLAZO Días]],"venc", "No venc")</f>
        <v>venc</v>
      </c>
      <c r="V2100" t="str">
        <f>+IF(Tabla2[[#This Row],[FECHA DE PAGO]]&gt;0,"pagada","por pagar")</f>
        <v>pagada</v>
      </c>
      <c r="W2100" s="141" t="str">
        <f>+IF(AND(Tabla2[[#This Row],[venc]]="venc",Tabla2[[#This Row],[Columna1]]="por pagar"),"vencida","no")</f>
        <v>no</v>
      </c>
    </row>
    <row r="2101" spans="1:23" ht="15.6" hidden="1" x14ac:dyDescent="0.3">
      <c r="A2101" s="20">
        <v>30</v>
      </c>
      <c r="B2101" s="25">
        <v>18444236.894999996</v>
      </c>
      <c r="C2101" s="25"/>
      <c r="D2101" s="56" t="s">
        <v>731</v>
      </c>
      <c r="E2101" s="426">
        <v>44652</v>
      </c>
      <c r="F2101" s="26" t="s">
        <v>11</v>
      </c>
      <c r="G2101" s="426">
        <v>44602</v>
      </c>
      <c r="H2101" s="35" t="s">
        <v>484</v>
      </c>
      <c r="I2101" s="21">
        <v>3674790</v>
      </c>
      <c r="J2101" s="21"/>
      <c r="K2101" s="22">
        <v>698210.1</v>
      </c>
      <c r="L2101" s="23"/>
      <c r="M2101" s="22">
        <v>0</v>
      </c>
      <c r="N2101" s="74">
        <v>2.5000000000000001E-2</v>
      </c>
      <c r="O2101" s="22">
        <v>91869.75</v>
      </c>
      <c r="P2101" s="21">
        <v>4281130.3499999996</v>
      </c>
      <c r="S2101" s="108" t="b">
        <f>OR(COUNTIF(Tabla2[[#This Row],[PROVEEDOR]],"*"&amp;'Palabra no opera'!$A$2&amp;"*"))</f>
        <v>0</v>
      </c>
      <c r="T2101" s="139">
        <f>+$W$5-Tabla2[[#This Row],[FECHA DE FACTURACIÓN]]</f>
        <v>689</v>
      </c>
      <c r="U2101" t="str">
        <f>+IF(Tabla2[[#This Row],[dias de credito]]&gt;=Tabla2[[#This Row],[PLAZO Días]],"venc", "No venc")</f>
        <v>venc</v>
      </c>
      <c r="V2101" t="str">
        <f>+IF(Tabla2[[#This Row],[FECHA DE PAGO]]&gt;0,"pagada","por pagar")</f>
        <v>pagada</v>
      </c>
      <c r="W2101" s="141" t="str">
        <f>+IF(AND(Tabla2[[#This Row],[venc]]="venc",Tabla2[[#This Row],[Columna1]]="por pagar"),"vencida","no")</f>
        <v>no</v>
      </c>
    </row>
    <row r="2102" spans="1:23" ht="15.6" hidden="1" x14ac:dyDescent="0.3">
      <c r="A2102" s="20">
        <v>30</v>
      </c>
      <c r="B2102" s="25">
        <v>0</v>
      </c>
      <c r="C2102" s="25"/>
      <c r="D2102" s="56" t="s">
        <v>210</v>
      </c>
      <c r="E2102" s="426">
        <v>44652</v>
      </c>
      <c r="F2102" s="26" t="s">
        <v>47</v>
      </c>
      <c r="G2102" s="426">
        <v>44599</v>
      </c>
      <c r="H2102" s="35" t="s">
        <v>449</v>
      </c>
      <c r="I2102" s="21">
        <v>-97800</v>
      </c>
      <c r="J2102" s="21"/>
      <c r="K2102" s="22">
        <v>-18582</v>
      </c>
      <c r="L2102" s="23"/>
      <c r="M2102" s="22">
        <v>0</v>
      </c>
      <c r="N2102" s="74">
        <v>0</v>
      </c>
      <c r="O2102" s="22">
        <v>0</v>
      </c>
      <c r="P2102" s="21">
        <v>-113937</v>
      </c>
      <c r="S2102" s="108" t="b">
        <f>OR(COUNTIF(Tabla2[[#This Row],[PROVEEDOR]],"*"&amp;'Palabra no opera'!$A$2&amp;"*"))</f>
        <v>0</v>
      </c>
      <c r="T2102" s="139">
        <f>+$W$5-Tabla2[[#This Row],[FECHA DE FACTURACIÓN]]</f>
        <v>692</v>
      </c>
      <c r="U2102" t="str">
        <f>+IF(Tabla2[[#This Row],[dias de credito]]&gt;=Tabla2[[#This Row],[PLAZO Días]],"venc", "No venc")</f>
        <v>venc</v>
      </c>
      <c r="V2102" t="str">
        <f>+IF(Tabla2[[#This Row],[FECHA DE PAGO]]&gt;0,"pagada","por pagar")</f>
        <v>pagada</v>
      </c>
      <c r="W2102" s="141" t="str">
        <f>+IF(AND(Tabla2[[#This Row],[venc]]="venc",Tabla2[[#This Row],[Columna1]]="por pagar"),"vencida","no")</f>
        <v>no</v>
      </c>
    </row>
    <row r="2103" spans="1:23" ht="15.6" hidden="1" x14ac:dyDescent="0.3">
      <c r="A2103" s="20">
        <v>30</v>
      </c>
      <c r="B2103" s="25">
        <v>0</v>
      </c>
      <c r="C2103" s="25"/>
      <c r="D2103" s="56" t="s">
        <v>210</v>
      </c>
      <c r="E2103" s="426">
        <v>44652</v>
      </c>
      <c r="F2103" s="26" t="s">
        <v>47</v>
      </c>
      <c r="G2103" s="426">
        <v>44599</v>
      </c>
      <c r="H2103" s="35" t="s">
        <v>450</v>
      </c>
      <c r="I2103" s="21">
        <v>-5851</v>
      </c>
      <c r="J2103" s="21"/>
      <c r="K2103" s="22">
        <v>-1111.69</v>
      </c>
      <c r="L2103" s="23"/>
      <c r="M2103" s="22">
        <v>0</v>
      </c>
      <c r="N2103" s="74">
        <v>0</v>
      </c>
      <c r="O2103" s="22">
        <v>0</v>
      </c>
      <c r="P2103" s="21">
        <v>-5851</v>
      </c>
      <c r="S2103" s="108" t="b">
        <f>OR(COUNTIF(Tabla2[[#This Row],[PROVEEDOR]],"*"&amp;'Palabra no opera'!$A$2&amp;"*"))</f>
        <v>0</v>
      </c>
      <c r="T2103" s="139">
        <f>+$W$5-Tabla2[[#This Row],[FECHA DE FACTURACIÓN]]</f>
        <v>692</v>
      </c>
      <c r="U2103" t="str">
        <f>+IF(Tabla2[[#This Row],[dias de credito]]&gt;=Tabla2[[#This Row],[PLAZO Días]],"venc", "No venc")</f>
        <v>venc</v>
      </c>
      <c r="V2103" t="str">
        <f>+IF(Tabla2[[#This Row],[FECHA DE PAGO]]&gt;0,"pagada","por pagar")</f>
        <v>pagada</v>
      </c>
      <c r="W2103" s="141" t="str">
        <f>+IF(AND(Tabla2[[#This Row],[venc]]="venc",Tabla2[[#This Row],[Columna1]]="por pagar"),"vencida","no")</f>
        <v>no</v>
      </c>
    </row>
    <row r="2104" spans="1:23" ht="15.6" hidden="1" x14ac:dyDescent="0.3">
      <c r="A2104" s="20">
        <v>30</v>
      </c>
      <c r="B2104" s="25">
        <v>0</v>
      </c>
      <c r="C2104" s="25"/>
      <c r="D2104" s="56" t="s">
        <v>342</v>
      </c>
      <c r="E2104" s="426">
        <v>44652</v>
      </c>
      <c r="F2104" s="26" t="s">
        <v>343</v>
      </c>
      <c r="G2104" s="426">
        <v>44573</v>
      </c>
      <c r="H2104" s="35" t="s">
        <v>986</v>
      </c>
      <c r="I2104" s="21">
        <v>1120000</v>
      </c>
      <c r="J2104" s="21"/>
      <c r="K2104" s="22">
        <v>0</v>
      </c>
      <c r="L2104" s="23"/>
      <c r="M2104" s="22">
        <v>0</v>
      </c>
      <c r="N2104" s="74">
        <v>0</v>
      </c>
      <c r="O2104" s="22">
        <v>0</v>
      </c>
      <c r="P2104" s="21">
        <v>1120000</v>
      </c>
      <c r="S2104" s="108" t="b">
        <f>OR(COUNTIF(Tabla2[[#This Row],[PROVEEDOR]],"*"&amp;'Palabra no opera'!$A$2&amp;"*"))</f>
        <v>0</v>
      </c>
      <c r="T2104" s="139">
        <f>+$W$5-Tabla2[[#This Row],[FECHA DE FACTURACIÓN]]</f>
        <v>718</v>
      </c>
      <c r="U2104" t="str">
        <f>+IF(Tabla2[[#This Row],[dias de credito]]&gt;=Tabla2[[#This Row],[PLAZO Días]],"venc", "No venc")</f>
        <v>venc</v>
      </c>
      <c r="V2104" t="str">
        <f>+IF(Tabla2[[#This Row],[FECHA DE PAGO]]&gt;0,"pagada","por pagar")</f>
        <v>pagada</v>
      </c>
      <c r="W2104" s="141" t="str">
        <f>+IF(AND(Tabla2[[#This Row],[venc]]="venc",Tabla2[[#This Row],[Columna1]]="por pagar"),"vencida","no")</f>
        <v>no</v>
      </c>
    </row>
    <row r="2105" spans="1:23" ht="15.6" hidden="1" x14ac:dyDescent="0.3">
      <c r="A2105" s="20">
        <v>30</v>
      </c>
      <c r="B2105" s="25">
        <v>4282200</v>
      </c>
      <c r="C2105" s="25"/>
      <c r="D2105" s="56" t="s">
        <v>244</v>
      </c>
      <c r="E2105" s="426">
        <v>44652</v>
      </c>
      <c r="F2105" s="26" t="s">
        <v>406</v>
      </c>
      <c r="G2105" s="426">
        <v>44548</v>
      </c>
      <c r="H2105" s="35" t="s">
        <v>954</v>
      </c>
      <c r="I2105" s="21">
        <v>165300</v>
      </c>
      <c r="J2105" s="21"/>
      <c r="K2105" s="22">
        <v>0</v>
      </c>
      <c r="L2105" s="23"/>
      <c r="M2105" s="22">
        <v>0</v>
      </c>
      <c r="N2105" s="74">
        <v>0</v>
      </c>
      <c r="O2105" s="22">
        <v>0</v>
      </c>
      <c r="P2105" s="21">
        <v>165300</v>
      </c>
      <c r="S2105" s="108" t="b">
        <f>OR(COUNTIF(Tabla2[[#This Row],[PROVEEDOR]],"*"&amp;'Palabra no opera'!$A$2&amp;"*"))</f>
        <v>0</v>
      </c>
      <c r="T2105" s="139">
        <f>+$W$5-Tabla2[[#This Row],[FECHA DE FACTURACIÓN]]</f>
        <v>743</v>
      </c>
      <c r="U2105" t="str">
        <f>+IF(Tabla2[[#This Row],[dias de credito]]&gt;=Tabla2[[#This Row],[PLAZO Días]],"venc", "No venc")</f>
        <v>venc</v>
      </c>
      <c r="V2105" t="str">
        <f>+IF(Tabla2[[#This Row],[FECHA DE PAGO]]&gt;0,"pagada","por pagar")</f>
        <v>pagada</v>
      </c>
      <c r="W2105" s="141" t="str">
        <f>+IF(AND(Tabla2[[#This Row],[venc]]="venc",Tabla2[[#This Row],[Columna1]]="por pagar"),"vencida","no")</f>
        <v>no</v>
      </c>
    </row>
    <row r="2106" spans="1:23" ht="15.6" hidden="1" x14ac:dyDescent="0.3">
      <c r="A2106" s="20">
        <v>30</v>
      </c>
      <c r="B2106" s="25">
        <v>4282200</v>
      </c>
      <c r="C2106" s="25"/>
      <c r="D2106" s="56" t="s">
        <v>244</v>
      </c>
      <c r="E2106" s="426">
        <v>44652</v>
      </c>
      <c r="F2106" s="26" t="s">
        <v>406</v>
      </c>
      <c r="G2106" s="426">
        <v>44548</v>
      </c>
      <c r="H2106" s="35" t="s">
        <v>955</v>
      </c>
      <c r="I2106" s="21">
        <v>4056200</v>
      </c>
      <c r="J2106" s="21"/>
      <c r="K2106" s="22">
        <v>0</v>
      </c>
      <c r="L2106" s="23"/>
      <c r="M2106" s="22">
        <v>0</v>
      </c>
      <c r="N2106" s="74">
        <v>0</v>
      </c>
      <c r="O2106" s="22">
        <v>0</v>
      </c>
      <c r="P2106" s="21">
        <v>4056200</v>
      </c>
      <c r="S2106" s="108" t="b">
        <f>OR(COUNTIF(Tabla2[[#This Row],[PROVEEDOR]],"*"&amp;'Palabra no opera'!$A$2&amp;"*"))</f>
        <v>0</v>
      </c>
      <c r="T2106" s="139">
        <f>+$W$5-Tabla2[[#This Row],[FECHA DE FACTURACIÓN]]</f>
        <v>743</v>
      </c>
      <c r="U2106" t="str">
        <f>+IF(Tabla2[[#This Row],[dias de credito]]&gt;=Tabla2[[#This Row],[PLAZO Días]],"venc", "No venc")</f>
        <v>venc</v>
      </c>
      <c r="V2106" t="str">
        <f>+IF(Tabla2[[#This Row],[FECHA DE PAGO]]&gt;0,"pagada","por pagar")</f>
        <v>pagada</v>
      </c>
      <c r="W2106" s="141" t="str">
        <f>+IF(AND(Tabla2[[#This Row],[venc]]="venc",Tabla2[[#This Row],[Columna1]]="por pagar"),"vencida","no")</f>
        <v>no</v>
      </c>
    </row>
    <row r="2107" spans="1:23" ht="15.6" hidden="1" x14ac:dyDescent="0.3">
      <c r="A2107" s="20">
        <v>30</v>
      </c>
      <c r="B2107" s="25">
        <v>0</v>
      </c>
      <c r="C2107" s="25"/>
      <c r="D2107" s="56" t="s">
        <v>270</v>
      </c>
      <c r="E2107" s="426">
        <v>44652</v>
      </c>
      <c r="F2107" s="26" t="s">
        <v>387</v>
      </c>
      <c r="G2107" s="426">
        <v>44545</v>
      </c>
      <c r="H2107" s="35" t="s">
        <v>980</v>
      </c>
      <c r="I2107" s="21">
        <v>2365000</v>
      </c>
      <c r="J2107" s="21"/>
      <c r="K2107" s="22">
        <v>0</v>
      </c>
      <c r="L2107" s="23"/>
      <c r="M2107" s="22">
        <v>0</v>
      </c>
      <c r="N2107" s="74">
        <v>0</v>
      </c>
      <c r="O2107" s="22">
        <v>0</v>
      </c>
      <c r="P2107" s="21">
        <v>2365000</v>
      </c>
      <c r="S2107" s="108" t="b">
        <f>OR(COUNTIF(Tabla2[[#This Row],[PROVEEDOR]],"*"&amp;'Palabra no opera'!$A$2&amp;"*"))</f>
        <v>0</v>
      </c>
      <c r="T2107" s="139">
        <f>+$W$5-Tabla2[[#This Row],[FECHA DE FACTURACIÓN]]</f>
        <v>746</v>
      </c>
      <c r="U2107" t="str">
        <f>+IF(Tabla2[[#This Row],[dias de credito]]&gt;=Tabla2[[#This Row],[PLAZO Días]],"venc", "No venc")</f>
        <v>venc</v>
      </c>
      <c r="V2107" t="str">
        <f>+IF(Tabla2[[#This Row],[FECHA DE PAGO]]&gt;0,"pagada","por pagar")</f>
        <v>pagada</v>
      </c>
      <c r="W2107" s="141" t="str">
        <f>+IF(AND(Tabla2[[#This Row],[venc]]="venc",Tabla2[[#This Row],[Columna1]]="por pagar"),"vencida","no")</f>
        <v>no</v>
      </c>
    </row>
    <row r="2108" spans="1:23" ht="15.6" hidden="1" x14ac:dyDescent="0.3">
      <c r="A2108" s="20">
        <v>30</v>
      </c>
      <c r="B2108" s="25">
        <v>0</v>
      </c>
      <c r="C2108" s="25"/>
      <c r="D2108" s="56" t="s">
        <v>107</v>
      </c>
      <c r="E2108" s="426">
        <v>44651</v>
      </c>
      <c r="F2108" s="26" t="s">
        <v>362</v>
      </c>
      <c r="G2108" s="426">
        <v>44651</v>
      </c>
      <c r="H2108" s="35" t="s">
        <v>317</v>
      </c>
      <c r="I2108" s="21">
        <v>29400</v>
      </c>
      <c r="J2108" s="21"/>
      <c r="K2108" s="22">
        <v>0</v>
      </c>
      <c r="L2108" s="23"/>
      <c r="M2108" s="22">
        <v>0</v>
      </c>
      <c r="N2108" s="74">
        <v>0</v>
      </c>
      <c r="O2108" s="22">
        <v>0</v>
      </c>
      <c r="P2108" s="21">
        <v>29400</v>
      </c>
      <c r="S2108" s="108" t="b">
        <f>OR(COUNTIF(Tabla2[[#This Row],[PROVEEDOR]],"*"&amp;'Palabra no opera'!$A$2&amp;"*"))</f>
        <v>0</v>
      </c>
      <c r="T2108" s="139">
        <f>+$W$5-Tabla2[[#This Row],[FECHA DE FACTURACIÓN]]</f>
        <v>640</v>
      </c>
      <c r="U2108" t="str">
        <f>+IF(Tabla2[[#This Row],[dias de credito]]&gt;=Tabla2[[#This Row],[PLAZO Días]],"venc", "No venc")</f>
        <v>venc</v>
      </c>
      <c r="V2108" t="str">
        <f>+IF(Tabla2[[#This Row],[FECHA DE PAGO]]&gt;0,"pagada","por pagar")</f>
        <v>pagada</v>
      </c>
      <c r="W2108" s="141" t="str">
        <f>+IF(AND(Tabla2[[#This Row],[venc]]="venc",Tabla2[[#This Row],[Columna1]]="por pagar"),"vencida","no")</f>
        <v>no</v>
      </c>
    </row>
    <row r="2109" spans="1:23" ht="15.6" hidden="1" x14ac:dyDescent="0.3">
      <c r="A2109" s="20">
        <v>30</v>
      </c>
      <c r="B2109" s="25">
        <v>0</v>
      </c>
      <c r="C2109" s="25"/>
      <c r="D2109" s="56" t="s">
        <v>107</v>
      </c>
      <c r="E2109" s="426">
        <v>44651</v>
      </c>
      <c r="F2109" s="26" t="s">
        <v>362</v>
      </c>
      <c r="G2109" s="426">
        <v>44651</v>
      </c>
      <c r="H2109" s="35" t="s">
        <v>363</v>
      </c>
      <c r="I2109" s="21">
        <v>38200</v>
      </c>
      <c r="J2109" s="21"/>
      <c r="K2109" s="22">
        <v>0</v>
      </c>
      <c r="L2109" s="23"/>
      <c r="M2109" s="22">
        <v>0</v>
      </c>
      <c r="N2109" s="74">
        <v>0</v>
      </c>
      <c r="O2109" s="22">
        <v>0</v>
      </c>
      <c r="P2109" s="21">
        <v>38200</v>
      </c>
      <c r="S2109" s="108" t="b">
        <f>OR(COUNTIF(Tabla2[[#This Row],[PROVEEDOR]],"*"&amp;'Palabra no opera'!$A$2&amp;"*"))</f>
        <v>0</v>
      </c>
      <c r="T2109" s="139">
        <f>+$W$5-Tabla2[[#This Row],[FECHA DE FACTURACIÓN]]</f>
        <v>640</v>
      </c>
      <c r="U2109" t="str">
        <f>+IF(Tabla2[[#This Row],[dias de credito]]&gt;=Tabla2[[#This Row],[PLAZO Días]],"venc", "No venc")</f>
        <v>venc</v>
      </c>
      <c r="V2109" t="str">
        <f>+IF(Tabla2[[#This Row],[FECHA DE PAGO]]&gt;0,"pagada","por pagar")</f>
        <v>pagada</v>
      </c>
      <c r="W2109" s="141" t="str">
        <f>+IF(AND(Tabla2[[#This Row],[venc]]="venc",Tabla2[[#This Row],[Columna1]]="por pagar"),"vencida","no")</f>
        <v>no</v>
      </c>
    </row>
    <row r="2110" spans="1:23" ht="15.6" hidden="1" x14ac:dyDescent="0.3">
      <c r="A2110" s="20">
        <v>30</v>
      </c>
      <c r="B2110" s="25">
        <v>0</v>
      </c>
      <c r="C2110" s="25"/>
      <c r="D2110" s="56" t="s">
        <v>107</v>
      </c>
      <c r="E2110" s="426">
        <v>44651</v>
      </c>
      <c r="F2110" s="26" t="s">
        <v>362</v>
      </c>
      <c r="G2110" s="426">
        <v>44651</v>
      </c>
      <c r="H2110" s="35" t="s">
        <v>319</v>
      </c>
      <c r="I2110" s="21">
        <v>190500</v>
      </c>
      <c r="J2110" s="21"/>
      <c r="K2110" s="22">
        <v>0</v>
      </c>
      <c r="L2110" s="23"/>
      <c r="M2110" s="22">
        <v>0</v>
      </c>
      <c r="N2110" s="74">
        <v>0</v>
      </c>
      <c r="O2110" s="22">
        <v>0</v>
      </c>
      <c r="P2110" s="21">
        <v>190500</v>
      </c>
      <c r="S2110" s="108" t="b">
        <f>OR(COUNTIF(Tabla2[[#This Row],[PROVEEDOR]],"*"&amp;'Palabra no opera'!$A$2&amp;"*"))</f>
        <v>0</v>
      </c>
      <c r="T2110" s="139">
        <f>+$W$5-Tabla2[[#This Row],[FECHA DE FACTURACIÓN]]</f>
        <v>640</v>
      </c>
      <c r="U2110" t="str">
        <f>+IF(Tabla2[[#This Row],[dias de credito]]&gt;=Tabla2[[#This Row],[PLAZO Días]],"venc", "No venc")</f>
        <v>venc</v>
      </c>
      <c r="V2110" t="str">
        <f>+IF(Tabla2[[#This Row],[FECHA DE PAGO]]&gt;0,"pagada","por pagar")</f>
        <v>pagada</v>
      </c>
      <c r="W2110" s="141" t="str">
        <f>+IF(AND(Tabla2[[#This Row],[venc]]="venc",Tabla2[[#This Row],[Columna1]]="por pagar"),"vencida","no")</f>
        <v>no</v>
      </c>
    </row>
    <row r="2111" spans="1:23" ht="15.6" hidden="1" x14ac:dyDescent="0.3">
      <c r="A2111" s="20">
        <v>30</v>
      </c>
      <c r="B2111" s="25">
        <v>0</v>
      </c>
      <c r="C2111" s="25"/>
      <c r="D2111" s="56" t="s">
        <v>107</v>
      </c>
      <c r="E2111" s="426">
        <v>44651</v>
      </c>
      <c r="F2111" s="26" t="s">
        <v>362</v>
      </c>
      <c r="G2111" s="426">
        <v>44651</v>
      </c>
      <c r="H2111" s="35" t="s">
        <v>318</v>
      </c>
      <c r="I2111" s="21">
        <v>747150</v>
      </c>
      <c r="J2111" s="21"/>
      <c r="K2111" s="22">
        <v>0</v>
      </c>
      <c r="L2111" s="23"/>
      <c r="M2111" s="22">
        <v>0</v>
      </c>
      <c r="N2111" s="74">
        <v>0</v>
      </c>
      <c r="O2111" s="22">
        <v>0</v>
      </c>
      <c r="P2111" s="21">
        <v>747150</v>
      </c>
      <c r="S2111" s="108" t="b">
        <f>OR(COUNTIF(Tabla2[[#This Row],[PROVEEDOR]],"*"&amp;'Palabra no opera'!$A$2&amp;"*"))</f>
        <v>0</v>
      </c>
      <c r="T2111" s="139">
        <f>+$W$5-Tabla2[[#This Row],[FECHA DE FACTURACIÓN]]</f>
        <v>640</v>
      </c>
      <c r="U2111" t="str">
        <f>+IF(Tabla2[[#This Row],[dias de credito]]&gt;=Tabla2[[#This Row],[PLAZO Días]],"venc", "No venc")</f>
        <v>venc</v>
      </c>
      <c r="V2111" t="str">
        <f>+IF(Tabla2[[#This Row],[FECHA DE PAGO]]&gt;0,"pagada","por pagar")</f>
        <v>pagada</v>
      </c>
      <c r="W2111" s="141" t="str">
        <f>+IF(AND(Tabla2[[#This Row],[venc]]="venc",Tabla2[[#This Row],[Columna1]]="por pagar"),"vencida","no")</f>
        <v>no</v>
      </c>
    </row>
    <row r="2112" spans="1:23" ht="15.6" hidden="1" x14ac:dyDescent="0.3">
      <c r="A2112" s="20">
        <v>30</v>
      </c>
      <c r="B2112" s="25">
        <v>0</v>
      </c>
      <c r="C2112" s="25"/>
      <c r="D2112" s="56" t="s">
        <v>107</v>
      </c>
      <c r="E2112" s="426">
        <v>44651</v>
      </c>
      <c r="F2112" s="26" t="s">
        <v>362</v>
      </c>
      <c r="G2112" s="426">
        <v>44651</v>
      </c>
      <c r="H2112" s="35" t="s">
        <v>139</v>
      </c>
      <c r="I2112" s="21">
        <v>807600</v>
      </c>
      <c r="J2112" s="21"/>
      <c r="K2112" s="22">
        <v>0</v>
      </c>
      <c r="L2112" s="23"/>
      <c r="M2112" s="22">
        <v>0</v>
      </c>
      <c r="N2112" s="74">
        <v>0</v>
      </c>
      <c r="O2112" s="22">
        <v>0</v>
      </c>
      <c r="P2112" s="21">
        <v>807600</v>
      </c>
      <c r="S2112" s="108" t="b">
        <f>OR(COUNTIF(Tabla2[[#This Row],[PROVEEDOR]],"*"&amp;'Palabra no opera'!$A$2&amp;"*"))</f>
        <v>0</v>
      </c>
      <c r="T2112" s="139">
        <f>+$W$5-Tabla2[[#This Row],[FECHA DE FACTURACIÓN]]</f>
        <v>640</v>
      </c>
      <c r="U2112" t="str">
        <f>+IF(Tabla2[[#This Row],[dias de credito]]&gt;=Tabla2[[#This Row],[PLAZO Días]],"venc", "No venc")</f>
        <v>venc</v>
      </c>
      <c r="V2112" t="str">
        <f>+IF(Tabla2[[#This Row],[FECHA DE PAGO]]&gt;0,"pagada","por pagar")</f>
        <v>pagada</v>
      </c>
      <c r="W2112" s="141" t="str">
        <f>+IF(AND(Tabla2[[#This Row],[venc]]="venc",Tabla2[[#This Row],[Columna1]]="por pagar"),"vencida","no")</f>
        <v>no</v>
      </c>
    </row>
    <row r="2113" spans="1:23" ht="15.6" hidden="1" x14ac:dyDescent="0.3">
      <c r="A2113" s="20">
        <v>30</v>
      </c>
      <c r="B2113" s="25">
        <v>0</v>
      </c>
      <c r="C2113" s="25"/>
      <c r="D2113" s="56" t="s">
        <v>107</v>
      </c>
      <c r="E2113" s="426">
        <v>44651</v>
      </c>
      <c r="F2113" s="26" t="s">
        <v>362</v>
      </c>
      <c r="G2113" s="426">
        <v>44651</v>
      </c>
      <c r="H2113" s="35" t="s">
        <v>316</v>
      </c>
      <c r="I2113" s="21">
        <v>3637200</v>
      </c>
      <c r="J2113" s="21"/>
      <c r="K2113" s="22">
        <v>0</v>
      </c>
      <c r="L2113" s="23"/>
      <c r="M2113" s="22">
        <v>0</v>
      </c>
      <c r="N2113" s="74">
        <v>0</v>
      </c>
      <c r="O2113" s="22">
        <v>0</v>
      </c>
      <c r="P2113" s="21">
        <v>3637200</v>
      </c>
      <c r="S2113" s="108" t="b">
        <f>OR(COUNTIF(Tabla2[[#This Row],[PROVEEDOR]],"*"&amp;'Palabra no opera'!$A$2&amp;"*"))</f>
        <v>0</v>
      </c>
      <c r="T2113" s="139">
        <f>+$W$5-Tabla2[[#This Row],[FECHA DE FACTURACIÓN]]</f>
        <v>640</v>
      </c>
      <c r="U2113" t="str">
        <f>+IF(Tabla2[[#This Row],[dias de credito]]&gt;=Tabla2[[#This Row],[PLAZO Días]],"venc", "No venc")</f>
        <v>venc</v>
      </c>
      <c r="V2113" t="str">
        <f>+IF(Tabla2[[#This Row],[FECHA DE PAGO]]&gt;0,"pagada","por pagar")</f>
        <v>pagada</v>
      </c>
      <c r="W2113" s="141" t="str">
        <f>+IF(AND(Tabla2[[#This Row],[venc]]="venc",Tabla2[[#This Row],[Columna1]]="por pagar"),"vencida","no")</f>
        <v>no</v>
      </c>
    </row>
    <row r="2114" spans="1:23" ht="15.6" hidden="1" x14ac:dyDescent="0.3">
      <c r="A2114" s="20">
        <v>30</v>
      </c>
      <c r="B2114" s="25">
        <v>0</v>
      </c>
      <c r="C2114" s="25"/>
      <c r="D2114" s="56" t="s">
        <v>107</v>
      </c>
      <c r="E2114" s="426">
        <v>44651</v>
      </c>
      <c r="F2114" s="26" t="s">
        <v>832</v>
      </c>
      <c r="G2114" s="426">
        <v>44645</v>
      </c>
      <c r="H2114" s="35" t="s">
        <v>433</v>
      </c>
      <c r="I2114" s="21">
        <v>106000</v>
      </c>
      <c r="J2114" s="21"/>
      <c r="K2114" s="22">
        <v>0</v>
      </c>
      <c r="L2114" s="23"/>
      <c r="M2114" s="22">
        <v>0</v>
      </c>
      <c r="N2114" s="74">
        <v>0</v>
      </c>
      <c r="O2114" s="22">
        <v>0</v>
      </c>
      <c r="P2114" s="21">
        <v>106000</v>
      </c>
      <c r="S2114" s="108" t="b">
        <f>OR(COUNTIF(Tabla2[[#This Row],[PROVEEDOR]],"*"&amp;'Palabra no opera'!$A$2&amp;"*"))</f>
        <v>1</v>
      </c>
      <c r="T2114" s="139">
        <f>+$W$5-Tabla2[[#This Row],[FECHA DE FACTURACIÓN]]</f>
        <v>646</v>
      </c>
      <c r="U2114" t="str">
        <f>+IF(Tabla2[[#This Row],[dias de credito]]&gt;=Tabla2[[#This Row],[PLAZO Días]],"venc", "No venc")</f>
        <v>venc</v>
      </c>
      <c r="V2114" t="str">
        <f>+IF(Tabla2[[#This Row],[FECHA DE PAGO]]&gt;0,"pagada","por pagar")</f>
        <v>pagada</v>
      </c>
      <c r="W2114" s="141" t="str">
        <f>+IF(AND(Tabla2[[#This Row],[venc]]="venc",Tabla2[[#This Row],[Columna1]]="por pagar"),"vencida","no")</f>
        <v>no</v>
      </c>
    </row>
    <row r="2115" spans="1:23" ht="15.6" hidden="1" x14ac:dyDescent="0.3">
      <c r="A2115" s="20">
        <v>30</v>
      </c>
      <c r="B2115" s="25">
        <v>0</v>
      </c>
      <c r="C2115" s="25"/>
      <c r="D2115" s="56" t="s">
        <v>107</v>
      </c>
      <c r="E2115" s="426">
        <v>44651</v>
      </c>
      <c r="F2115" s="26" t="s">
        <v>832</v>
      </c>
      <c r="G2115" s="426">
        <v>44635</v>
      </c>
      <c r="H2115" s="35" t="s">
        <v>447</v>
      </c>
      <c r="I2115" s="21">
        <v>89500</v>
      </c>
      <c r="J2115" s="21"/>
      <c r="K2115" s="22">
        <v>0</v>
      </c>
      <c r="L2115" s="23"/>
      <c r="M2115" s="22">
        <v>0</v>
      </c>
      <c r="N2115" s="74">
        <v>0</v>
      </c>
      <c r="O2115" s="22">
        <v>0</v>
      </c>
      <c r="P2115" s="21">
        <v>89500</v>
      </c>
      <c r="S2115" s="108" t="b">
        <f>OR(COUNTIF(Tabla2[[#This Row],[PROVEEDOR]],"*"&amp;'Palabra no opera'!$A$2&amp;"*"))</f>
        <v>1</v>
      </c>
      <c r="T2115" s="139">
        <f>+$W$5-Tabla2[[#This Row],[FECHA DE FACTURACIÓN]]</f>
        <v>656</v>
      </c>
      <c r="U2115" t="str">
        <f>+IF(Tabla2[[#This Row],[dias de credito]]&gt;=Tabla2[[#This Row],[PLAZO Días]],"venc", "No venc")</f>
        <v>venc</v>
      </c>
      <c r="V2115" t="str">
        <f>+IF(Tabla2[[#This Row],[FECHA DE PAGO]]&gt;0,"pagada","por pagar")</f>
        <v>pagada</v>
      </c>
      <c r="W2115" s="141" t="str">
        <f>+IF(AND(Tabla2[[#This Row],[venc]]="venc",Tabla2[[#This Row],[Columna1]]="por pagar"),"vencida","no")</f>
        <v>no</v>
      </c>
    </row>
    <row r="2116" spans="1:23" ht="15.6" hidden="1" x14ac:dyDescent="0.3">
      <c r="A2116" s="20">
        <v>30</v>
      </c>
      <c r="B2116" s="25">
        <v>0</v>
      </c>
      <c r="C2116" s="25"/>
      <c r="D2116" s="56" t="s">
        <v>107</v>
      </c>
      <c r="E2116" s="426">
        <v>44650</v>
      </c>
      <c r="F2116" s="26" t="s">
        <v>390</v>
      </c>
      <c r="G2116" s="426">
        <v>44650</v>
      </c>
      <c r="H2116" s="35"/>
      <c r="I2116" s="21">
        <v>1300000</v>
      </c>
      <c r="J2116" s="21"/>
      <c r="K2116" s="22">
        <v>0</v>
      </c>
      <c r="L2116" s="23"/>
      <c r="M2116" s="22">
        <v>0</v>
      </c>
      <c r="N2116" s="74">
        <v>0</v>
      </c>
      <c r="O2116" s="22">
        <v>0</v>
      </c>
      <c r="P2116" s="21">
        <v>1300000</v>
      </c>
      <c r="S2116" s="108" t="b">
        <f>OR(COUNTIF(Tabla2[[#This Row],[PROVEEDOR]],"*"&amp;'Palabra no opera'!$A$2&amp;"*"))</f>
        <v>0</v>
      </c>
      <c r="T2116" s="139">
        <f>+$W$5-Tabla2[[#This Row],[FECHA DE FACTURACIÓN]]</f>
        <v>641</v>
      </c>
      <c r="U2116" t="str">
        <f>+IF(Tabla2[[#This Row],[dias de credito]]&gt;=Tabla2[[#This Row],[PLAZO Días]],"venc", "No venc")</f>
        <v>venc</v>
      </c>
      <c r="V2116" t="str">
        <f>+IF(Tabla2[[#This Row],[FECHA DE PAGO]]&gt;0,"pagada","por pagar")</f>
        <v>pagada</v>
      </c>
      <c r="W2116" s="141" t="str">
        <f>+IF(AND(Tabla2[[#This Row],[venc]]="venc",Tabla2[[#This Row],[Columna1]]="por pagar"),"vencida","no")</f>
        <v>no</v>
      </c>
    </row>
    <row r="2117" spans="1:23" ht="15.6" hidden="1" x14ac:dyDescent="0.3">
      <c r="A2117" s="20">
        <v>30</v>
      </c>
      <c r="B2117" s="25">
        <v>0</v>
      </c>
      <c r="C2117" s="25"/>
      <c r="D2117" s="56" t="s">
        <v>368</v>
      </c>
      <c r="E2117" s="426">
        <v>44650</v>
      </c>
      <c r="F2117" s="26" t="s">
        <v>623</v>
      </c>
      <c r="G2117" s="426">
        <v>44621</v>
      </c>
      <c r="H2117" s="35" t="s">
        <v>668</v>
      </c>
      <c r="I2117" s="21">
        <v>942255</v>
      </c>
      <c r="J2117" s="21"/>
      <c r="K2117" s="22">
        <v>179028.45</v>
      </c>
      <c r="L2117" s="23"/>
      <c r="M2117" s="22">
        <v>0</v>
      </c>
      <c r="N2117" s="74">
        <v>0</v>
      </c>
      <c r="O2117" s="22">
        <v>0</v>
      </c>
      <c r="P2117" s="21">
        <v>1121283.45</v>
      </c>
      <c r="S2117" s="108" t="b">
        <f>OR(COUNTIF(Tabla2[[#This Row],[PROVEEDOR]],"*"&amp;'Palabra no opera'!$A$2&amp;"*"))</f>
        <v>1</v>
      </c>
      <c r="T2117" s="139">
        <f>+$W$5-Tabla2[[#This Row],[FECHA DE FACTURACIÓN]]</f>
        <v>670</v>
      </c>
      <c r="U2117" t="str">
        <f>+IF(Tabla2[[#This Row],[dias de credito]]&gt;=Tabla2[[#This Row],[PLAZO Días]],"venc", "No venc")</f>
        <v>venc</v>
      </c>
      <c r="V2117" t="str">
        <f>+IF(Tabla2[[#This Row],[FECHA DE PAGO]]&gt;0,"pagada","por pagar")</f>
        <v>pagada</v>
      </c>
      <c r="W2117" s="141" t="str">
        <f>+IF(AND(Tabla2[[#This Row],[venc]]="venc",Tabla2[[#This Row],[Columna1]]="por pagar"),"vencida","no")</f>
        <v>no</v>
      </c>
    </row>
    <row r="2118" spans="1:23" ht="15.6" hidden="1" x14ac:dyDescent="0.3">
      <c r="A2118" s="20">
        <v>30</v>
      </c>
      <c r="B2118" s="25">
        <v>0</v>
      </c>
      <c r="C2118" s="25"/>
      <c r="D2118" s="56" t="s">
        <v>368</v>
      </c>
      <c r="E2118" s="426">
        <v>44650</v>
      </c>
      <c r="F2118" s="26" t="s">
        <v>623</v>
      </c>
      <c r="G2118" s="426">
        <v>44621</v>
      </c>
      <c r="H2118" s="35" t="s">
        <v>667</v>
      </c>
      <c r="I2118" s="21">
        <v>3061166</v>
      </c>
      <c r="J2118" s="21"/>
      <c r="K2118" s="22">
        <v>581621.54</v>
      </c>
      <c r="L2118" s="23"/>
      <c r="M2118" s="22">
        <v>0</v>
      </c>
      <c r="N2118" s="74">
        <v>0</v>
      </c>
      <c r="O2118" s="22">
        <v>0</v>
      </c>
      <c r="P2118" s="21">
        <v>3642787.54</v>
      </c>
      <c r="S2118" s="108" t="b">
        <f>OR(COUNTIF(Tabla2[[#This Row],[PROVEEDOR]],"*"&amp;'Palabra no opera'!$A$2&amp;"*"))</f>
        <v>1</v>
      </c>
      <c r="T2118" s="139">
        <f>+$W$5-Tabla2[[#This Row],[FECHA DE FACTURACIÓN]]</f>
        <v>670</v>
      </c>
      <c r="U2118" t="str">
        <f>+IF(Tabla2[[#This Row],[dias de credito]]&gt;=Tabla2[[#This Row],[PLAZO Días]],"venc", "No venc")</f>
        <v>venc</v>
      </c>
      <c r="V2118" t="str">
        <f>+IF(Tabla2[[#This Row],[FECHA DE PAGO]]&gt;0,"pagada","por pagar")</f>
        <v>pagada</v>
      </c>
      <c r="W2118" s="141" t="str">
        <f>+IF(AND(Tabla2[[#This Row],[venc]]="venc",Tabla2[[#This Row],[Columna1]]="por pagar"),"vencida","no")</f>
        <v>no</v>
      </c>
    </row>
    <row r="2119" spans="1:23" ht="15.6" hidden="1" x14ac:dyDescent="0.3">
      <c r="A2119" s="20">
        <v>30</v>
      </c>
      <c r="B2119" s="25">
        <v>0</v>
      </c>
      <c r="C2119" s="25"/>
      <c r="D2119" s="56" t="s">
        <v>185</v>
      </c>
      <c r="E2119" s="426">
        <v>44650</v>
      </c>
      <c r="F2119" s="26" t="s">
        <v>628</v>
      </c>
      <c r="G2119" s="426">
        <v>44621</v>
      </c>
      <c r="H2119" s="35">
        <v>10117</v>
      </c>
      <c r="I2119" s="21">
        <v>1922190</v>
      </c>
      <c r="J2119" s="21"/>
      <c r="K2119" s="22">
        <v>0</v>
      </c>
      <c r="L2119" s="23"/>
      <c r="M2119" s="22">
        <v>0</v>
      </c>
      <c r="N2119" s="74">
        <v>0</v>
      </c>
      <c r="O2119" s="22">
        <v>0</v>
      </c>
      <c r="P2119" s="21">
        <v>1922190</v>
      </c>
      <c r="S2119" s="108" t="b">
        <f>OR(COUNTIF(Tabla2[[#This Row],[PROVEEDOR]],"*"&amp;'Palabra no opera'!$A$2&amp;"*"))</f>
        <v>1</v>
      </c>
      <c r="T2119" s="139">
        <f>+$W$5-Tabla2[[#This Row],[FECHA DE FACTURACIÓN]]</f>
        <v>670</v>
      </c>
      <c r="U2119" t="str">
        <f>+IF(Tabla2[[#This Row],[dias de credito]]&gt;=Tabla2[[#This Row],[PLAZO Días]],"venc", "No venc")</f>
        <v>venc</v>
      </c>
      <c r="V2119" t="str">
        <f>+IF(Tabla2[[#This Row],[FECHA DE PAGO]]&gt;0,"pagada","por pagar")</f>
        <v>pagada</v>
      </c>
      <c r="W2119" s="141" t="str">
        <f>+IF(AND(Tabla2[[#This Row],[venc]]="venc",Tabla2[[#This Row],[Columna1]]="por pagar"),"vencida","no")</f>
        <v>no</v>
      </c>
    </row>
    <row r="2120" spans="1:23" ht="15.6" hidden="1" x14ac:dyDescent="0.3">
      <c r="A2120" s="20">
        <v>30</v>
      </c>
      <c r="B2120" s="25">
        <v>0</v>
      </c>
      <c r="C2120" s="25"/>
      <c r="D2120" s="56" t="s">
        <v>260</v>
      </c>
      <c r="E2120" s="426">
        <v>44650</v>
      </c>
      <c r="F2120" s="26" t="s">
        <v>635</v>
      </c>
      <c r="G2120" s="426">
        <v>44621</v>
      </c>
      <c r="H2120" s="35">
        <v>2524</v>
      </c>
      <c r="I2120" s="21">
        <v>2789636</v>
      </c>
      <c r="J2120" s="21"/>
      <c r="K2120" s="22">
        <v>0</v>
      </c>
      <c r="L2120" s="23"/>
      <c r="M2120" s="22">
        <v>0</v>
      </c>
      <c r="N2120" s="74">
        <v>3.5000000000000003E-2</v>
      </c>
      <c r="O2120" s="22">
        <v>97637.260000000009</v>
      </c>
      <c r="P2120" s="21">
        <v>2691998.74</v>
      </c>
      <c r="S2120" s="108" t="b">
        <f>OR(COUNTIF(Tabla2[[#This Row],[PROVEEDOR]],"*"&amp;'Palabra no opera'!$A$2&amp;"*"))</f>
        <v>1</v>
      </c>
      <c r="T2120" s="139">
        <f>+$W$5-Tabla2[[#This Row],[FECHA DE FACTURACIÓN]]</f>
        <v>670</v>
      </c>
      <c r="U2120" t="str">
        <f>+IF(Tabla2[[#This Row],[dias de credito]]&gt;=Tabla2[[#This Row],[PLAZO Días]],"venc", "No venc")</f>
        <v>venc</v>
      </c>
      <c r="V2120" t="str">
        <f>+IF(Tabla2[[#This Row],[FECHA DE PAGO]]&gt;0,"pagada","por pagar")</f>
        <v>pagada</v>
      </c>
      <c r="W2120" s="141" t="str">
        <f>+IF(AND(Tabla2[[#This Row],[venc]]="venc",Tabla2[[#This Row],[Columna1]]="por pagar"),"vencida","no")</f>
        <v>no</v>
      </c>
    </row>
    <row r="2121" spans="1:23" ht="15.6" hidden="1" x14ac:dyDescent="0.3">
      <c r="A2121" s="20">
        <v>30</v>
      </c>
      <c r="B2121" s="25">
        <v>0</v>
      </c>
      <c r="C2121" s="25"/>
      <c r="D2121" s="56" t="s">
        <v>193</v>
      </c>
      <c r="E2121" s="426">
        <v>44650</v>
      </c>
      <c r="F2121" s="26" t="s">
        <v>651</v>
      </c>
      <c r="G2121" s="426">
        <v>44621</v>
      </c>
      <c r="H2121" s="35">
        <v>4395</v>
      </c>
      <c r="I2121" s="21">
        <v>215356</v>
      </c>
      <c r="J2121" s="21"/>
      <c r="K2121" s="22">
        <v>40917.64</v>
      </c>
      <c r="L2121" s="23"/>
      <c r="M2121" s="22">
        <v>0</v>
      </c>
      <c r="N2121" s="74">
        <v>3.5000000000000003E-2</v>
      </c>
      <c r="O2121" s="22">
        <v>7537.4600000000009</v>
      </c>
      <c r="P2121" s="21">
        <v>248736.18000000002</v>
      </c>
      <c r="S2121" s="108" t="b">
        <f>OR(COUNTIF(Tabla2[[#This Row],[PROVEEDOR]],"*"&amp;'Palabra no opera'!$A$2&amp;"*"))</f>
        <v>1</v>
      </c>
      <c r="T2121" s="139">
        <f>+$W$5-Tabla2[[#This Row],[FECHA DE FACTURACIÓN]]</f>
        <v>670</v>
      </c>
      <c r="U2121" t="str">
        <f>+IF(Tabla2[[#This Row],[dias de credito]]&gt;=Tabla2[[#This Row],[PLAZO Días]],"venc", "No venc")</f>
        <v>venc</v>
      </c>
      <c r="V2121" t="str">
        <f>+IF(Tabla2[[#This Row],[FECHA DE PAGO]]&gt;0,"pagada","por pagar")</f>
        <v>pagada</v>
      </c>
      <c r="W2121" s="141" t="str">
        <f>+IF(AND(Tabla2[[#This Row],[venc]]="venc",Tabla2[[#This Row],[Columna1]]="por pagar"),"vencida","no")</f>
        <v>no</v>
      </c>
    </row>
    <row r="2122" spans="1:23" ht="15.6" hidden="1" x14ac:dyDescent="0.3">
      <c r="A2122" s="20">
        <v>20</v>
      </c>
      <c r="B2122" s="25">
        <v>0</v>
      </c>
      <c r="C2122" s="25"/>
      <c r="D2122" s="56" t="s">
        <v>201</v>
      </c>
      <c r="E2122" s="426">
        <v>44650</v>
      </c>
      <c r="F2122" s="26" t="s">
        <v>652</v>
      </c>
      <c r="G2122" s="426">
        <v>44621</v>
      </c>
      <c r="H2122" s="35">
        <v>42317</v>
      </c>
      <c r="I2122" s="21">
        <v>4430000</v>
      </c>
      <c r="J2122" s="21"/>
      <c r="K2122" s="22">
        <v>841700</v>
      </c>
      <c r="L2122" s="23"/>
      <c r="M2122" s="22">
        <v>0</v>
      </c>
      <c r="N2122" s="74">
        <v>3.5000000000000003E-2</v>
      </c>
      <c r="O2122" s="22">
        <v>155050.00000000003</v>
      </c>
      <c r="P2122" s="21">
        <v>5116650</v>
      </c>
      <c r="S2122" s="108" t="b">
        <f>OR(COUNTIF(Tabla2[[#This Row],[PROVEEDOR]],"*"&amp;'Palabra no opera'!$A$2&amp;"*"))</f>
        <v>1</v>
      </c>
      <c r="T2122" s="139">
        <f>+$W$5-Tabla2[[#This Row],[FECHA DE FACTURACIÓN]]</f>
        <v>670</v>
      </c>
      <c r="U2122" t="str">
        <f>+IF(Tabla2[[#This Row],[dias de credito]]&gt;=Tabla2[[#This Row],[PLAZO Días]],"venc", "No venc")</f>
        <v>venc</v>
      </c>
      <c r="V2122" t="str">
        <f>+IF(Tabla2[[#This Row],[FECHA DE PAGO]]&gt;0,"pagada","por pagar")</f>
        <v>pagada</v>
      </c>
      <c r="W2122" s="141" t="str">
        <f>+IF(AND(Tabla2[[#This Row],[venc]]="venc",Tabla2[[#This Row],[Columna1]]="por pagar"),"vencida","no")</f>
        <v>no</v>
      </c>
    </row>
    <row r="2123" spans="1:23" ht="15.6" hidden="1" x14ac:dyDescent="0.3">
      <c r="A2123" s="20">
        <v>30</v>
      </c>
      <c r="B2123" s="25">
        <v>0</v>
      </c>
      <c r="C2123" s="25"/>
      <c r="D2123" s="56" t="s">
        <v>368</v>
      </c>
      <c r="E2123" s="426">
        <v>44650</v>
      </c>
      <c r="F2123" s="26" t="s">
        <v>623</v>
      </c>
      <c r="G2123" s="426">
        <v>44617</v>
      </c>
      <c r="H2123" s="35" t="s">
        <v>430</v>
      </c>
      <c r="I2123" s="21">
        <v>-692129.53</v>
      </c>
      <c r="J2123" s="21"/>
      <c r="K2123" s="22">
        <v>0</v>
      </c>
      <c r="L2123" s="23"/>
      <c r="M2123" s="22">
        <v>0</v>
      </c>
      <c r="N2123" s="74">
        <v>0</v>
      </c>
      <c r="O2123" s="22">
        <v>0</v>
      </c>
      <c r="P2123" s="21">
        <v>-692129.53</v>
      </c>
      <c r="S2123" s="108" t="b">
        <f>OR(COUNTIF(Tabla2[[#This Row],[PROVEEDOR]],"*"&amp;'Palabra no opera'!$A$2&amp;"*"))</f>
        <v>1</v>
      </c>
      <c r="T2123" s="139">
        <f>+$W$5-Tabla2[[#This Row],[FECHA DE FACTURACIÓN]]</f>
        <v>674</v>
      </c>
      <c r="U2123" t="str">
        <f>+IF(Tabla2[[#This Row],[dias de credito]]&gt;=Tabla2[[#This Row],[PLAZO Días]],"venc", "No venc")</f>
        <v>venc</v>
      </c>
      <c r="V2123" t="str">
        <f>+IF(Tabla2[[#This Row],[FECHA DE PAGO]]&gt;0,"pagada","por pagar")</f>
        <v>pagada</v>
      </c>
      <c r="W2123" s="141" t="str">
        <f>+IF(AND(Tabla2[[#This Row],[venc]]="venc",Tabla2[[#This Row],[Columna1]]="por pagar"),"vencida","no")</f>
        <v>no</v>
      </c>
    </row>
    <row r="2124" spans="1:23" ht="15.6" hidden="1" x14ac:dyDescent="0.3">
      <c r="A2124" s="20">
        <v>20</v>
      </c>
      <c r="B2124" s="25">
        <v>0</v>
      </c>
      <c r="C2124" s="25"/>
      <c r="D2124" s="56" t="s">
        <v>201</v>
      </c>
      <c r="E2124" s="426">
        <v>44650</v>
      </c>
      <c r="F2124" s="26" t="s">
        <v>652</v>
      </c>
      <c r="G2124" s="426">
        <v>44617</v>
      </c>
      <c r="H2124" s="35" t="s">
        <v>440</v>
      </c>
      <c r="I2124" s="21">
        <v>-248736</v>
      </c>
      <c r="J2124" s="21"/>
      <c r="K2124" s="22">
        <v>-47259.840000000004</v>
      </c>
      <c r="L2124" s="23"/>
      <c r="M2124" s="22">
        <v>0</v>
      </c>
      <c r="N2124" s="74">
        <v>0</v>
      </c>
      <c r="O2124" s="22">
        <v>0</v>
      </c>
      <c r="P2124" s="21">
        <v>-295995.84000000003</v>
      </c>
      <c r="S2124" s="108" t="b">
        <f>OR(COUNTIF(Tabla2[[#This Row],[PROVEEDOR]],"*"&amp;'Palabra no opera'!$A$2&amp;"*"))</f>
        <v>1</v>
      </c>
      <c r="T2124" s="139">
        <f>+$W$5-Tabla2[[#This Row],[FECHA DE FACTURACIÓN]]</f>
        <v>674</v>
      </c>
      <c r="U2124" t="str">
        <f>+IF(Tabla2[[#This Row],[dias de credito]]&gt;=Tabla2[[#This Row],[PLAZO Días]],"venc", "No venc")</f>
        <v>venc</v>
      </c>
      <c r="V2124" t="str">
        <f>+IF(Tabla2[[#This Row],[FECHA DE PAGO]]&gt;0,"pagada","por pagar")</f>
        <v>pagada</v>
      </c>
      <c r="W2124" s="141" t="str">
        <f>+IF(AND(Tabla2[[#This Row],[venc]]="venc",Tabla2[[#This Row],[Columna1]]="por pagar"),"vencida","no")</f>
        <v>no</v>
      </c>
    </row>
    <row r="2125" spans="1:23" ht="15.6" hidden="1" x14ac:dyDescent="0.3">
      <c r="A2125" s="20">
        <v>45</v>
      </c>
      <c r="B2125" s="25">
        <v>8072960</v>
      </c>
      <c r="C2125" s="25"/>
      <c r="D2125" s="56" t="s">
        <v>198</v>
      </c>
      <c r="E2125" s="426">
        <v>44650</v>
      </c>
      <c r="F2125" s="26" t="s">
        <v>10</v>
      </c>
      <c r="G2125" s="426">
        <v>44579</v>
      </c>
      <c r="H2125" s="35" t="s">
        <v>476</v>
      </c>
      <c r="I2125" s="21">
        <v>990000</v>
      </c>
      <c r="J2125" s="21"/>
      <c r="K2125" s="22">
        <v>188100</v>
      </c>
      <c r="L2125" s="23"/>
      <c r="M2125" s="22">
        <v>0</v>
      </c>
      <c r="N2125" s="74">
        <v>0</v>
      </c>
      <c r="O2125" s="22">
        <v>0</v>
      </c>
      <c r="P2125" s="21">
        <v>1178100</v>
      </c>
      <c r="S2125" s="108" t="b">
        <f>OR(COUNTIF(Tabla2[[#This Row],[PROVEEDOR]],"*"&amp;'Palabra no opera'!$A$2&amp;"*"))</f>
        <v>0</v>
      </c>
      <c r="T2125" s="139">
        <f>+$W$5-Tabla2[[#This Row],[FECHA DE FACTURACIÓN]]</f>
        <v>712</v>
      </c>
      <c r="U2125" t="str">
        <f>+IF(Tabla2[[#This Row],[dias de credito]]&gt;=Tabla2[[#This Row],[PLAZO Días]],"venc", "No venc")</f>
        <v>venc</v>
      </c>
      <c r="V2125" t="str">
        <f>+IF(Tabla2[[#This Row],[FECHA DE PAGO]]&gt;0,"pagada","por pagar")</f>
        <v>pagada</v>
      </c>
      <c r="W2125" s="141" t="str">
        <f>+IF(AND(Tabla2[[#This Row],[venc]]="venc",Tabla2[[#This Row],[Columna1]]="por pagar"),"vencida","no")</f>
        <v>no</v>
      </c>
    </row>
    <row r="2126" spans="1:23" ht="15.6" hidden="1" x14ac:dyDescent="0.3">
      <c r="A2126" s="20">
        <v>30</v>
      </c>
      <c r="B2126" s="25">
        <v>0</v>
      </c>
      <c r="C2126" s="25"/>
      <c r="D2126" s="56" t="s">
        <v>107</v>
      </c>
      <c r="E2126" s="426">
        <v>44649</v>
      </c>
      <c r="F2126" s="26" t="s">
        <v>23</v>
      </c>
      <c r="G2126" s="426">
        <v>44640</v>
      </c>
      <c r="H2126" s="35">
        <v>289692</v>
      </c>
      <c r="I2126" s="21">
        <v>17000987.710000001</v>
      </c>
      <c r="J2126" s="21"/>
      <c r="K2126" s="22">
        <v>0</v>
      </c>
      <c r="L2126" s="23"/>
      <c r="M2126" s="22">
        <v>0</v>
      </c>
      <c r="N2126" s="74">
        <v>0</v>
      </c>
      <c r="O2126" s="22">
        <v>0</v>
      </c>
      <c r="P2126" s="21">
        <v>17000987.710000001</v>
      </c>
      <c r="S2126" s="108" t="b">
        <f>OR(COUNTIF(Tabla2[[#This Row],[PROVEEDOR]],"*"&amp;'Palabra no opera'!$A$2&amp;"*"))</f>
        <v>0</v>
      </c>
      <c r="T2126" s="139">
        <f>+$W$5-Tabla2[[#This Row],[FECHA DE FACTURACIÓN]]</f>
        <v>651</v>
      </c>
      <c r="U2126" t="str">
        <f>+IF(Tabla2[[#This Row],[dias de credito]]&gt;=Tabla2[[#This Row],[PLAZO Días]],"venc", "No venc")</f>
        <v>venc</v>
      </c>
      <c r="V2126" t="str">
        <f>+IF(Tabla2[[#This Row],[FECHA DE PAGO]]&gt;0,"pagada","por pagar")</f>
        <v>pagada</v>
      </c>
      <c r="W2126" s="141" t="str">
        <f>+IF(AND(Tabla2[[#This Row],[venc]]="venc",Tabla2[[#This Row],[Columna1]]="por pagar"),"vencida","no")</f>
        <v>no</v>
      </c>
    </row>
    <row r="2127" spans="1:23" ht="15.6" hidden="1" x14ac:dyDescent="0.3">
      <c r="A2127" s="20">
        <v>30</v>
      </c>
      <c r="B2127" s="25">
        <v>0</v>
      </c>
      <c r="C2127" s="25"/>
      <c r="D2127" s="56" t="s">
        <v>258</v>
      </c>
      <c r="E2127" s="426">
        <v>44649</v>
      </c>
      <c r="F2127" s="26" t="s">
        <v>257</v>
      </c>
      <c r="G2127" s="426">
        <v>44616</v>
      </c>
      <c r="H2127" s="35">
        <v>26</v>
      </c>
      <c r="I2127" s="21">
        <v>913000</v>
      </c>
      <c r="J2127" s="21"/>
      <c r="K2127" s="22">
        <v>173470</v>
      </c>
      <c r="L2127" s="23"/>
      <c r="M2127" s="22">
        <v>0</v>
      </c>
      <c r="N2127" s="74">
        <v>0</v>
      </c>
      <c r="O2127" s="22">
        <v>0</v>
      </c>
      <c r="P2127" s="21">
        <v>1086470</v>
      </c>
      <c r="S2127" s="108" t="b">
        <f>OR(COUNTIF(Tabla2[[#This Row],[PROVEEDOR]],"*"&amp;'Palabra no opera'!$A$2&amp;"*"))</f>
        <v>0</v>
      </c>
      <c r="T2127" s="139">
        <f>+$W$5-Tabla2[[#This Row],[FECHA DE FACTURACIÓN]]</f>
        <v>675</v>
      </c>
      <c r="U2127" t="str">
        <f>+IF(Tabla2[[#This Row],[dias de credito]]&gt;=Tabla2[[#This Row],[PLAZO Días]],"venc", "No venc")</f>
        <v>venc</v>
      </c>
      <c r="V2127" t="str">
        <f>+IF(Tabla2[[#This Row],[FECHA DE PAGO]]&gt;0,"pagada","por pagar")</f>
        <v>pagada</v>
      </c>
      <c r="W2127" s="141" t="str">
        <f>+IF(AND(Tabla2[[#This Row],[venc]]="venc",Tabla2[[#This Row],[Columna1]]="por pagar"),"vencida","no")</f>
        <v>no</v>
      </c>
    </row>
    <row r="2128" spans="1:23" ht="15.6" hidden="1" x14ac:dyDescent="0.3">
      <c r="A2128" s="20">
        <v>30</v>
      </c>
      <c r="B2128" s="25">
        <v>3209330.35</v>
      </c>
      <c r="C2128" s="25"/>
      <c r="D2128" s="56" t="s">
        <v>187</v>
      </c>
      <c r="E2128" s="426">
        <v>44648</v>
      </c>
      <c r="F2128" s="26" t="s">
        <v>282</v>
      </c>
      <c r="G2128" s="426">
        <v>44635</v>
      </c>
      <c r="H2128" s="35" t="s">
        <v>423</v>
      </c>
      <c r="I2128" s="21">
        <v>-37815.129999999997</v>
      </c>
      <c r="J2128" s="21"/>
      <c r="K2128" s="22">
        <v>-7184.8746999999994</v>
      </c>
      <c r="L2128" s="23"/>
      <c r="M2128" s="22">
        <v>0</v>
      </c>
      <c r="N2128" s="74">
        <v>0</v>
      </c>
      <c r="O2128" s="22">
        <v>0</v>
      </c>
      <c r="P2128" s="21">
        <v>-44054.626449999996</v>
      </c>
      <c r="S2128" s="108" t="b">
        <f>OR(COUNTIF(Tabla2[[#This Row],[PROVEEDOR]],"*"&amp;'Palabra no opera'!$A$2&amp;"*"))</f>
        <v>0</v>
      </c>
      <c r="T2128" s="139">
        <f>+$W$5-Tabla2[[#This Row],[FECHA DE FACTURACIÓN]]</f>
        <v>656</v>
      </c>
      <c r="U2128" t="str">
        <f>+IF(Tabla2[[#This Row],[dias de credito]]&gt;=Tabla2[[#This Row],[PLAZO Días]],"venc", "No venc")</f>
        <v>venc</v>
      </c>
      <c r="V2128" t="str">
        <f>+IF(Tabla2[[#This Row],[FECHA DE PAGO]]&gt;0,"pagada","por pagar")</f>
        <v>pagada</v>
      </c>
      <c r="W2128" s="141" t="str">
        <f>+IF(AND(Tabla2[[#This Row],[venc]]="venc",Tabla2[[#This Row],[Columna1]]="por pagar"),"vencida","no")</f>
        <v>no</v>
      </c>
    </row>
    <row r="2129" spans="1:23" ht="15.6" hidden="1" x14ac:dyDescent="0.3">
      <c r="A2129" s="20">
        <v>30</v>
      </c>
      <c r="B2129" s="25">
        <v>0</v>
      </c>
      <c r="C2129" s="25"/>
      <c r="D2129" s="56" t="s">
        <v>1116</v>
      </c>
      <c r="E2129" s="426">
        <v>44648</v>
      </c>
      <c r="F2129" s="26" t="s">
        <v>638</v>
      </c>
      <c r="G2129" s="426">
        <v>44621</v>
      </c>
      <c r="H2129" s="35" t="s">
        <v>438</v>
      </c>
      <c r="I2129" s="21">
        <v>3958317</v>
      </c>
      <c r="J2129" s="21"/>
      <c r="K2129" s="22">
        <v>752080.23</v>
      </c>
      <c r="L2129" s="23"/>
      <c r="M2129" s="22">
        <v>0</v>
      </c>
      <c r="N2129" s="74">
        <v>3.5000000000000003E-2</v>
      </c>
      <c r="O2129" s="22">
        <v>138541.095</v>
      </c>
      <c r="P2129" s="21">
        <v>3819775.9049999998</v>
      </c>
      <c r="S2129" s="108" t="b">
        <f>OR(COUNTIF(Tabla2[[#This Row],[PROVEEDOR]],"*"&amp;'Palabra no opera'!$A$2&amp;"*"))</f>
        <v>1</v>
      </c>
      <c r="T2129" s="139">
        <f>+$W$5-Tabla2[[#This Row],[FECHA DE FACTURACIÓN]]</f>
        <v>670</v>
      </c>
      <c r="U2129" t="str">
        <f>+IF(Tabla2[[#This Row],[dias de credito]]&gt;=Tabla2[[#This Row],[PLAZO Días]],"venc", "No venc")</f>
        <v>venc</v>
      </c>
      <c r="V2129" t="str">
        <f>+IF(Tabla2[[#This Row],[FECHA DE PAGO]]&gt;0,"pagada","por pagar")</f>
        <v>pagada</v>
      </c>
      <c r="W2129" s="141" t="str">
        <f>+IF(AND(Tabla2[[#This Row],[venc]]="venc",Tabla2[[#This Row],[Columna1]]="por pagar"),"vencida","no")</f>
        <v>no</v>
      </c>
    </row>
    <row r="2130" spans="1:23" ht="15.6" hidden="1" x14ac:dyDescent="0.3">
      <c r="A2130" s="20">
        <v>30</v>
      </c>
      <c r="B2130" s="25">
        <v>0</v>
      </c>
      <c r="C2130" s="25"/>
      <c r="D2130" s="56" t="s">
        <v>199</v>
      </c>
      <c r="E2130" s="426">
        <v>44648</v>
      </c>
      <c r="F2130" s="26" t="s">
        <v>1069</v>
      </c>
      <c r="G2130" s="426">
        <v>44613</v>
      </c>
      <c r="H2130" s="35" t="s">
        <v>482</v>
      </c>
      <c r="I2130" s="21">
        <v>1575633.5</v>
      </c>
      <c r="J2130" s="21"/>
      <c r="K2130" s="22">
        <v>299370.36499999999</v>
      </c>
      <c r="L2130" s="23"/>
      <c r="M2130" s="22">
        <v>0</v>
      </c>
      <c r="N2130" s="74">
        <v>2.5000000000000001E-2</v>
      </c>
      <c r="O2130" s="22">
        <v>39390.837500000001</v>
      </c>
      <c r="P2130" s="21">
        <v>1835613.0275000001</v>
      </c>
      <c r="S2130" s="108" t="b">
        <f>OR(COUNTIF(Tabla2[[#This Row],[PROVEEDOR]],"*"&amp;'Palabra no opera'!$A$2&amp;"*"))</f>
        <v>0</v>
      </c>
      <c r="T2130" s="139">
        <f>+$W$5-Tabla2[[#This Row],[FECHA DE FACTURACIÓN]]</f>
        <v>678</v>
      </c>
      <c r="U2130" t="str">
        <f>+IF(Tabla2[[#This Row],[dias de credito]]&gt;=Tabla2[[#This Row],[PLAZO Días]],"venc", "No venc")</f>
        <v>venc</v>
      </c>
      <c r="V2130" t="str">
        <f>+IF(Tabla2[[#This Row],[FECHA DE PAGO]]&gt;0,"pagada","por pagar")</f>
        <v>pagada</v>
      </c>
      <c r="W2130" s="141" t="str">
        <f>+IF(AND(Tabla2[[#This Row],[venc]]="venc",Tabla2[[#This Row],[Columna1]]="por pagar"),"vencida","no")</f>
        <v>no</v>
      </c>
    </row>
    <row r="2131" spans="1:23" ht="15.6" hidden="1" x14ac:dyDescent="0.3">
      <c r="A2131" s="20">
        <v>30</v>
      </c>
      <c r="B2131" s="25">
        <v>3209330.35</v>
      </c>
      <c r="C2131" s="25"/>
      <c r="D2131" s="56" t="s">
        <v>187</v>
      </c>
      <c r="E2131" s="426">
        <v>44648</v>
      </c>
      <c r="F2131" s="26" t="s">
        <v>282</v>
      </c>
      <c r="G2131" s="426">
        <v>44574</v>
      </c>
      <c r="H2131" s="35">
        <v>635</v>
      </c>
      <c r="I2131" s="21">
        <v>3807563.02</v>
      </c>
      <c r="J2131" s="21"/>
      <c r="K2131" s="22">
        <v>723436.97380000004</v>
      </c>
      <c r="L2131" s="23"/>
      <c r="M2131" s="22">
        <v>0</v>
      </c>
      <c r="N2131" s="74">
        <v>2.5000000000000001E-2</v>
      </c>
      <c r="O2131" s="22">
        <v>95189.075500000006</v>
      </c>
      <c r="P2131" s="21">
        <v>4435810.9183</v>
      </c>
      <c r="S2131" s="108" t="b">
        <f>OR(COUNTIF(Tabla2[[#This Row],[PROVEEDOR]],"*"&amp;'Palabra no opera'!$A$2&amp;"*"))</f>
        <v>0</v>
      </c>
      <c r="T2131" s="139">
        <f>+$W$5-Tabla2[[#This Row],[FECHA DE FACTURACIÓN]]</f>
        <v>717</v>
      </c>
      <c r="U2131" t="str">
        <f>+IF(Tabla2[[#This Row],[dias de credito]]&gt;=Tabla2[[#This Row],[PLAZO Días]],"venc", "No venc")</f>
        <v>venc</v>
      </c>
      <c r="V2131" t="str">
        <f>+IF(Tabla2[[#This Row],[FECHA DE PAGO]]&gt;0,"pagada","por pagar")</f>
        <v>pagada</v>
      </c>
      <c r="W2131" s="141" t="str">
        <f>+IF(AND(Tabla2[[#This Row],[venc]]="venc",Tabla2[[#This Row],[Columna1]]="por pagar"),"vencida","no")</f>
        <v>no</v>
      </c>
    </row>
    <row r="2132" spans="1:23" ht="15.6" hidden="1" x14ac:dyDescent="0.3">
      <c r="A2132" s="20">
        <v>30</v>
      </c>
      <c r="B2132" s="25">
        <v>12030261.305</v>
      </c>
      <c r="C2132" s="25"/>
      <c r="D2132" s="56" t="s">
        <v>179</v>
      </c>
      <c r="E2132" s="426">
        <v>44648</v>
      </c>
      <c r="F2132" s="26" t="s">
        <v>12</v>
      </c>
      <c r="G2132" s="426">
        <v>44551</v>
      </c>
      <c r="H2132" s="35" t="s">
        <v>308</v>
      </c>
      <c r="I2132" s="21">
        <v>7573109</v>
      </c>
      <c r="J2132" s="21"/>
      <c r="K2132" s="22">
        <v>1438890.71</v>
      </c>
      <c r="L2132" s="23"/>
      <c r="M2132" s="22">
        <v>0</v>
      </c>
      <c r="N2132" s="74">
        <v>2.5000000000000001E-2</v>
      </c>
      <c r="O2132" s="22">
        <v>189327.72500000001</v>
      </c>
      <c r="P2132" s="21">
        <v>8822671.9850000013</v>
      </c>
      <c r="S2132" s="108" t="b">
        <f>OR(COUNTIF(Tabla2[[#This Row],[PROVEEDOR]],"*"&amp;'Palabra no opera'!$A$2&amp;"*"))</f>
        <v>0</v>
      </c>
      <c r="T2132" s="139">
        <f>+$W$5-Tabla2[[#This Row],[FECHA DE FACTURACIÓN]]</f>
        <v>740</v>
      </c>
      <c r="U2132" t="str">
        <f>+IF(Tabla2[[#This Row],[dias de credito]]&gt;=Tabla2[[#This Row],[PLAZO Días]],"venc", "No venc")</f>
        <v>venc</v>
      </c>
      <c r="V2132" t="str">
        <f>+IF(Tabla2[[#This Row],[FECHA DE PAGO]]&gt;0,"pagada","por pagar")</f>
        <v>pagada</v>
      </c>
      <c r="W2132" s="141" t="str">
        <f>+IF(AND(Tabla2[[#This Row],[venc]]="venc",Tabla2[[#This Row],[Columna1]]="por pagar"),"vencida","no")</f>
        <v>no</v>
      </c>
    </row>
    <row r="2133" spans="1:23" ht="15.6" hidden="1" x14ac:dyDescent="0.3">
      <c r="A2133" s="20">
        <v>30</v>
      </c>
      <c r="B2133" s="25">
        <v>0</v>
      </c>
      <c r="C2133" s="25"/>
      <c r="D2133" s="56">
        <v>0</v>
      </c>
      <c r="E2133" s="426">
        <v>44644</v>
      </c>
      <c r="F2133" s="26" t="s">
        <v>361</v>
      </c>
      <c r="G2133" s="426">
        <v>44644</v>
      </c>
      <c r="H2133" s="35">
        <v>101134</v>
      </c>
      <c r="I2133" s="21">
        <v>255000</v>
      </c>
      <c r="J2133" s="21"/>
      <c r="K2133" s="22">
        <v>0</v>
      </c>
      <c r="L2133" s="23"/>
      <c r="M2133" s="22">
        <v>0</v>
      </c>
      <c r="N2133" s="74">
        <v>0</v>
      </c>
      <c r="O2133" s="22">
        <v>0</v>
      </c>
      <c r="P2133" s="21">
        <v>255000</v>
      </c>
      <c r="S2133" s="108" t="b">
        <f>OR(COUNTIF(Tabla2[[#This Row],[PROVEEDOR]],"*"&amp;'Palabra no opera'!$A$2&amp;"*"))</f>
        <v>0</v>
      </c>
      <c r="T2133" s="139">
        <f>+$W$5-Tabla2[[#This Row],[FECHA DE FACTURACIÓN]]</f>
        <v>647</v>
      </c>
      <c r="U2133" t="str">
        <f>+IF(Tabla2[[#This Row],[dias de credito]]&gt;=Tabla2[[#This Row],[PLAZO Días]],"venc", "No venc")</f>
        <v>venc</v>
      </c>
      <c r="V2133" t="str">
        <f>+IF(Tabla2[[#This Row],[FECHA DE PAGO]]&gt;0,"pagada","por pagar")</f>
        <v>pagada</v>
      </c>
      <c r="W2133" s="141" t="str">
        <f>+IF(AND(Tabla2[[#This Row],[venc]]="venc",Tabla2[[#This Row],[Columna1]]="por pagar"),"vencida","no")</f>
        <v>no</v>
      </c>
    </row>
    <row r="2134" spans="1:23" ht="15.6" hidden="1" x14ac:dyDescent="0.3">
      <c r="A2134" s="20">
        <v>30</v>
      </c>
      <c r="B2134" s="25">
        <v>0</v>
      </c>
      <c r="C2134" s="25"/>
      <c r="D2134" s="56" t="s">
        <v>107</v>
      </c>
      <c r="E2134" s="426">
        <v>44644</v>
      </c>
      <c r="F2134" s="26" t="s">
        <v>356</v>
      </c>
      <c r="G2134" s="426">
        <v>44643</v>
      </c>
      <c r="H2134" s="35" t="s">
        <v>1011</v>
      </c>
      <c r="I2134" s="21">
        <v>425600</v>
      </c>
      <c r="J2134" s="21"/>
      <c r="K2134" s="22">
        <v>0</v>
      </c>
      <c r="L2134" s="23"/>
      <c r="M2134" s="22">
        <v>0</v>
      </c>
      <c r="N2134" s="74">
        <v>0</v>
      </c>
      <c r="O2134" s="22">
        <v>0</v>
      </c>
      <c r="P2134" s="21">
        <v>425600</v>
      </c>
      <c r="S2134" s="108" t="b">
        <f>OR(COUNTIF(Tabla2[[#This Row],[PROVEEDOR]],"*"&amp;'Palabra no opera'!$A$2&amp;"*"))</f>
        <v>0</v>
      </c>
      <c r="T2134" s="139">
        <f>+$W$5-Tabla2[[#This Row],[FECHA DE FACTURACIÓN]]</f>
        <v>648</v>
      </c>
      <c r="U2134" t="str">
        <f>+IF(Tabla2[[#This Row],[dias de credito]]&gt;=Tabla2[[#This Row],[PLAZO Días]],"venc", "No venc")</f>
        <v>venc</v>
      </c>
      <c r="V2134" t="str">
        <f>+IF(Tabla2[[#This Row],[FECHA DE PAGO]]&gt;0,"pagada","por pagar")</f>
        <v>pagada</v>
      </c>
      <c r="W2134" s="141" t="str">
        <f>+IF(AND(Tabla2[[#This Row],[venc]]="venc",Tabla2[[#This Row],[Columna1]]="por pagar"),"vencida","no")</f>
        <v>no</v>
      </c>
    </row>
    <row r="2135" spans="1:23" ht="15.6" hidden="1" x14ac:dyDescent="0.3">
      <c r="A2135" s="20">
        <v>30</v>
      </c>
      <c r="B2135" s="25">
        <v>0</v>
      </c>
      <c r="C2135" s="25"/>
      <c r="D2135" s="56" t="s">
        <v>210</v>
      </c>
      <c r="E2135" s="426">
        <v>44644</v>
      </c>
      <c r="F2135" s="26" t="s">
        <v>47</v>
      </c>
      <c r="G2135" s="426">
        <v>44592</v>
      </c>
      <c r="H2135" s="35" t="s">
        <v>448</v>
      </c>
      <c r="I2135" s="21">
        <v>1609330</v>
      </c>
      <c r="J2135" s="21"/>
      <c r="K2135" s="22">
        <v>305772.7</v>
      </c>
      <c r="L2135" s="23"/>
      <c r="M2135" s="22">
        <v>0</v>
      </c>
      <c r="N2135" s="74">
        <v>2.5000000000000001E-2</v>
      </c>
      <c r="O2135" s="22">
        <v>40233.25</v>
      </c>
      <c r="P2135" s="21">
        <v>1874869.45</v>
      </c>
      <c r="S2135" s="108" t="b">
        <f>OR(COUNTIF(Tabla2[[#This Row],[PROVEEDOR]],"*"&amp;'Palabra no opera'!$A$2&amp;"*"))</f>
        <v>0</v>
      </c>
      <c r="T2135" s="139">
        <f>+$W$5-Tabla2[[#This Row],[FECHA DE FACTURACIÓN]]</f>
        <v>699</v>
      </c>
      <c r="U2135" t="str">
        <f>+IF(Tabla2[[#This Row],[dias de credito]]&gt;=Tabla2[[#This Row],[PLAZO Días]],"venc", "No venc")</f>
        <v>venc</v>
      </c>
      <c r="V2135" t="str">
        <f>+IF(Tabla2[[#This Row],[FECHA DE PAGO]]&gt;0,"pagada","por pagar")</f>
        <v>pagada</v>
      </c>
      <c r="W2135" s="141" t="str">
        <f>+IF(AND(Tabla2[[#This Row],[venc]]="venc",Tabla2[[#This Row],[Columna1]]="por pagar"),"vencida","no")</f>
        <v>no</v>
      </c>
    </row>
    <row r="2136" spans="1:23" ht="15.6" hidden="1" x14ac:dyDescent="0.3">
      <c r="A2136" s="20">
        <v>30</v>
      </c>
      <c r="B2136" s="25">
        <v>0</v>
      </c>
      <c r="C2136" s="25"/>
      <c r="D2136" s="56" t="s">
        <v>107</v>
      </c>
      <c r="E2136" s="426">
        <v>44643</v>
      </c>
      <c r="F2136" s="26" t="s">
        <v>378</v>
      </c>
      <c r="G2136" s="426">
        <v>44643</v>
      </c>
      <c r="H2136" s="35" t="s">
        <v>381</v>
      </c>
      <c r="I2136" s="21">
        <v>240000</v>
      </c>
      <c r="J2136" s="21"/>
      <c r="K2136" s="22">
        <v>0</v>
      </c>
      <c r="L2136" s="23"/>
      <c r="M2136" s="22">
        <v>0</v>
      </c>
      <c r="N2136" s="74">
        <v>0</v>
      </c>
      <c r="O2136" s="22">
        <v>0</v>
      </c>
      <c r="P2136" s="21">
        <v>240000</v>
      </c>
      <c r="S2136" s="108" t="b">
        <f>OR(COUNTIF(Tabla2[[#This Row],[PROVEEDOR]],"*"&amp;'Palabra no opera'!$A$2&amp;"*"))</f>
        <v>0</v>
      </c>
      <c r="T2136" s="139">
        <f>+$W$5-Tabla2[[#This Row],[FECHA DE FACTURACIÓN]]</f>
        <v>648</v>
      </c>
      <c r="U2136" t="str">
        <f>+IF(Tabla2[[#This Row],[dias de credito]]&gt;=Tabla2[[#This Row],[PLAZO Días]],"venc", "No venc")</f>
        <v>venc</v>
      </c>
      <c r="V2136" t="str">
        <f>+IF(Tabla2[[#This Row],[FECHA DE PAGO]]&gt;0,"pagada","por pagar")</f>
        <v>pagada</v>
      </c>
      <c r="W2136" s="141" t="str">
        <f>+IF(AND(Tabla2[[#This Row],[venc]]="venc",Tabla2[[#This Row],[Columna1]]="por pagar"),"vencida","no")</f>
        <v>no</v>
      </c>
    </row>
    <row r="2137" spans="1:23" ht="15.6" hidden="1" x14ac:dyDescent="0.3">
      <c r="A2137" s="20">
        <v>30</v>
      </c>
      <c r="B2137" s="25">
        <v>0</v>
      </c>
      <c r="C2137" s="25"/>
      <c r="D2137" s="56" t="s">
        <v>107</v>
      </c>
      <c r="E2137" s="426">
        <v>44643</v>
      </c>
      <c r="F2137" s="26" t="s">
        <v>356</v>
      </c>
      <c r="G2137" s="426">
        <v>44642</v>
      </c>
      <c r="H2137" s="35" t="s">
        <v>359</v>
      </c>
      <c r="I2137" s="21">
        <v>4891000</v>
      </c>
      <c r="J2137" s="21"/>
      <c r="K2137" s="22">
        <v>0</v>
      </c>
      <c r="L2137" s="23"/>
      <c r="M2137" s="22">
        <v>0</v>
      </c>
      <c r="N2137" s="74">
        <v>0</v>
      </c>
      <c r="O2137" s="22">
        <v>0</v>
      </c>
      <c r="P2137" s="21">
        <v>4891000</v>
      </c>
      <c r="S2137" s="108" t="b">
        <f>OR(COUNTIF(Tabla2[[#This Row],[PROVEEDOR]],"*"&amp;'Palabra no opera'!$A$2&amp;"*"))</f>
        <v>0</v>
      </c>
      <c r="T2137" s="139">
        <f>+$W$5-Tabla2[[#This Row],[FECHA DE FACTURACIÓN]]</f>
        <v>649</v>
      </c>
      <c r="U2137" t="str">
        <f>+IF(Tabla2[[#This Row],[dias de credito]]&gt;=Tabla2[[#This Row],[PLAZO Días]],"venc", "No venc")</f>
        <v>venc</v>
      </c>
      <c r="V2137" t="str">
        <f>+IF(Tabla2[[#This Row],[FECHA DE PAGO]]&gt;0,"pagada","por pagar")</f>
        <v>pagada</v>
      </c>
      <c r="W2137" s="141" t="str">
        <f>+IF(AND(Tabla2[[#This Row],[venc]]="venc",Tabla2[[#This Row],[Columna1]]="por pagar"),"vencida","no")</f>
        <v>no</v>
      </c>
    </row>
    <row r="2138" spans="1:23" ht="15.6" hidden="1" x14ac:dyDescent="0.3">
      <c r="A2138" s="20">
        <v>30</v>
      </c>
      <c r="B2138" s="25">
        <v>0</v>
      </c>
      <c r="C2138" s="25"/>
      <c r="D2138" s="56" t="s">
        <v>107</v>
      </c>
      <c r="E2138" s="426">
        <v>44643</v>
      </c>
      <c r="F2138" s="26" t="s">
        <v>55</v>
      </c>
      <c r="G2138" s="426">
        <v>44641</v>
      </c>
      <c r="H2138" s="35">
        <v>56143</v>
      </c>
      <c r="I2138" s="21">
        <v>10531000</v>
      </c>
      <c r="J2138" s="21"/>
      <c r="K2138" s="22">
        <v>0</v>
      </c>
      <c r="L2138" s="23"/>
      <c r="M2138" s="22">
        <v>0</v>
      </c>
      <c r="N2138" s="74">
        <v>0</v>
      </c>
      <c r="O2138" s="22">
        <v>0</v>
      </c>
      <c r="P2138" s="21">
        <v>10531000</v>
      </c>
      <c r="S2138" s="108" t="b">
        <f>OR(COUNTIF(Tabla2[[#This Row],[PROVEEDOR]],"*"&amp;'Palabra no opera'!$A$2&amp;"*"))</f>
        <v>0</v>
      </c>
      <c r="T2138" s="139">
        <f>+$W$5-Tabla2[[#This Row],[FECHA DE FACTURACIÓN]]</f>
        <v>650</v>
      </c>
      <c r="U2138" t="str">
        <f>+IF(Tabla2[[#This Row],[dias de credito]]&gt;=Tabla2[[#This Row],[PLAZO Días]],"venc", "No venc")</f>
        <v>venc</v>
      </c>
      <c r="V2138" t="str">
        <f>+IF(Tabla2[[#This Row],[FECHA DE PAGO]]&gt;0,"pagada","por pagar")</f>
        <v>pagada</v>
      </c>
      <c r="W2138" s="141" t="str">
        <f>+IF(AND(Tabla2[[#This Row],[venc]]="venc",Tabla2[[#This Row],[Columna1]]="por pagar"),"vencida","no")</f>
        <v>no</v>
      </c>
    </row>
    <row r="2139" spans="1:23" ht="15.6" hidden="1" x14ac:dyDescent="0.3">
      <c r="A2139" s="20">
        <v>30</v>
      </c>
      <c r="B2139" s="25">
        <v>229206</v>
      </c>
      <c r="C2139" s="25"/>
      <c r="D2139" s="56" t="s">
        <v>659</v>
      </c>
      <c r="E2139" s="426">
        <v>44643</v>
      </c>
      <c r="F2139" s="26" t="s">
        <v>95</v>
      </c>
      <c r="G2139" s="426">
        <v>44641</v>
      </c>
      <c r="H2139" s="35" t="s">
        <v>658</v>
      </c>
      <c r="I2139" s="21">
        <v>1793000</v>
      </c>
      <c r="J2139" s="21"/>
      <c r="K2139" s="22">
        <v>0</v>
      </c>
      <c r="L2139" s="23"/>
      <c r="M2139" s="22">
        <v>0</v>
      </c>
      <c r="N2139" s="74">
        <v>0</v>
      </c>
      <c r="O2139" s="22">
        <v>0</v>
      </c>
      <c r="P2139" s="21">
        <v>1793000</v>
      </c>
      <c r="S2139" s="108" t="b">
        <f>OR(COUNTIF(Tabla2[[#This Row],[PROVEEDOR]],"*"&amp;'Palabra no opera'!$A$2&amp;"*"))</f>
        <v>0</v>
      </c>
      <c r="T2139" s="139">
        <f>+$W$5-Tabla2[[#This Row],[FECHA DE FACTURACIÓN]]</f>
        <v>650</v>
      </c>
      <c r="U2139" t="str">
        <f>+IF(Tabla2[[#This Row],[dias de credito]]&gt;=Tabla2[[#This Row],[PLAZO Días]],"venc", "No venc")</f>
        <v>venc</v>
      </c>
      <c r="V2139" t="str">
        <f>+IF(Tabla2[[#This Row],[FECHA DE PAGO]]&gt;0,"pagada","por pagar")</f>
        <v>pagada</v>
      </c>
      <c r="W2139" s="141" t="str">
        <f>+IF(AND(Tabla2[[#This Row],[venc]]="venc",Tabla2[[#This Row],[Columna1]]="por pagar"),"vencida","no")</f>
        <v>no</v>
      </c>
    </row>
    <row r="2140" spans="1:23" ht="15.6" hidden="1" x14ac:dyDescent="0.3">
      <c r="A2140" s="20">
        <v>30</v>
      </c>
      <c r="B2140" s="25">
        <v>22881826.27</v>
      </c>
      <c r="C2140" s="25"/>
      <c r="D2140" s="56" t="s">
        <v>197</v>
      </c>
      <c r="E2140" s="426">
        <v>44643</v>
      </c>
      <c r="F2140" s="26" t="s">
        <v>9</v>
      </c>
      <c r="G2140" s="426">
        <v>44609</v>
      </c>
      <c r="H2140" s="35" t="s">
        <v>475</v>
      </c>
      <c r="I2140" s="21">
        <v>0</v>
      </c>
      <c r="J2140" s="21"/>
      <c r="K2140" s="22">
        <v>0</v>
      </c>
      <c r="L2140" s="23"/>
      <c r="M2140" s="22">
        <v>0</v>
      </c>
      <c r="N2140" s="74">
        <v>0</v>
      </c>
      <c r="O2140" s="22">
        <v>0</v>
      </c>
      <c r="P2140" s="21">
        <v>-5000000</v>
      </c>
      <c r="S2140" s="108" t="b">
        <f>OR(COUNTIF(Tabla2[[#This Row],[PROVEEDOR]],"*"&amp;'Palabra no opera'!$A$2&amp;"*"))</f>
        <v>0</v>
      </c>
      <c r="T2140" s="139">
        <f>+$W$5-Tabla2[[#This Row],[FECHA DE FACTURACIÓN]]</f>
        <v>682</v>
      </c>
      <c r="U2140" t="str">
        <f>+IF(Tabla2[[#This Row],[dias de credito]]&gt;=Tabla2[[#This Row],[PLAZO Días]],"venc", "No venc")</f>
        <v>venc</v>
      </c>
      <c r="V2140" t="str">
        <f>+IF(Tabla2[[#This Row],[FECHA DE PAGO]]&gt;0,"pagada","por pagar")</f>
        <v>pagada</v>
      </c>
      <c r="W2140" s="141" t="str">
        <f>+IF(AND(Tabla2[[#This Row],[venc]]="venc",Tabla2[[#This Row],[Columna1]]="por pagar"),"vencida","no")</f>
        <v>no</v>
      </c>
    </row>
    <row r="2141" spans="1:23" ht="15.6" hidden="1" x14ac:dyDescent="0.3">
      <c r="A2141" s="20">
        <v>30</v>
      </c>
      <c r="B2141" s="25">
        <v>2100000</v>
      </c>
      <c r="C2141" s="25"/>
      <c r="D2141" s="56" t="s">
        <v>107</v>
      </c>
      <c r="E2141" s="426">
        <v>44643</v>
      </c>
      <c r="F2141" s="26" t="s">
        <v>349</v>
      </c>
      <c r="G2141" s="426">
        <v>44594</v>
      </c>
      <c r="H2141" s="35" t="s">
        <v>350</v>
      </c>
      <c r="I2141" s="21">
        <v>1778500</v>
      </c>
      <c r="J2141" s="21"/>
      <c r="K2141" s="22">
        <v>0</v>
      </c>
      <c r="L2141" s="23"/>
      <c r="M2141" s="22">
        <v>0</v>
      </c>
      <c r="N2141" s="74">
        <v>0</v>
      </c>
      <c r="O2141" s="22">
        <v>0</v>
      </c>
      <c r="P2141" s="21">
        <v>1778500</v>
      </c>
      <c r="S2141" s="108" t="b">
        <f>OR(COUNTIF(Tabla2[[#This Row],[PROVEEDOR]],"*"&amp;'Palabra no opera'!$A$2&amp;"*"))</f>
        <v>0</v>
      </c>
      <c r="T2141" s="139">
        <f>+$W$5-Tabla2[[#This Row],[FECHA DE FACTURACIÓN]]</f>
        <v>697</v>
      </c>
      <c r="U2141" t="str">
        <f>+IF(Tabla2[[#This Row],[dias de credito]]&gt;=Tabla2[[#This Row],[PLAZO Días]],"venc", "No venc")</f>
        <v>venc</v>
      </c>
      <c r="V2141" t="str">
        <f>+IF(Tabla2[[#This Row],[FECHA DE PAGO]]&gt;0,"pagada","por pagar")</f>
        <v>pagada</v>
      </c>
      <c r="W2141" s="141" t="str">
        <f>+IF(AND(Tabla2[[#This Row],[venc]]="venc",Tabla2[[#This Row],[Columna1]]="por pagar"),"vencida","no")</f>
        <v>no</v>
      </c>
    </row>
    <row r="2142" spans="1:23" ht="15.6" hidden="1" x14ac:dyDescent="0.3">
      <c r="A2142" s="20">
        <v>30</v>
      </c>
      <c r="B2142" s="25">
        <v>22881826.27</v>
      </c>
      <c r="C2142" s="25"/>
      <c r="D2142" s="56" t="s">
        <v>197</v>
      </c>
      <c r="E2142" s="426">
        <v>44643</v>
      </c>
      <c r="F2142" s="26" t="s">
        <v>9</v>
      </c>
      <c r="G2142" s="426">
        <v>44539</v>
      </c>
      <c r="H2142" s="35">
        <v>73279</v>
      </c>
      <c r="I2142" s="21">
        <v>25587085</v>
      </c>
      <c r="J2142" s="21"/>
      <c r="K2142" s="22">
        <v>4861546.1500000004</v>
      </c>
      <c r="L2142" s="23"/>
      <c r="M2142" s="22">
        <v>0</v>
      </c>
      <c r="N2142" s="74">
        <v>2.5000000000000001E-2</v>
      </c>
      <c r="O2142" s="22">
        <v>639677.125</v>
      </c>
      <c r="P2142" s="21">
        <v>29808954.024999999</v>
      </c>
      <c r="S2142" s="108" t="b">
        <f>OR(COUNTIF(Tabla2[[#This Row],[PROVEEDOR]],"*"&amp;'Palabra no opera'!$A$2&amp;"*"))</f>
        <v>0</v>
      </c>
      <c r="T2142" s="139">
        <f>+$W$5-Tabla2[[#This Row],[FECHA DE FACTURACIÓN]]</f>
        <v>752</v>
      </c>
      <c r="U2142" t="str">
        <f>+IF(Tabla2[[#This Row],[dias de credito]]&gt;=Tabla2[[#This Row],[PLAZO Días]],"venc", "No venc")</f>
        <v>venc</v>
      </c>
      <c r="V2142" t="str">
        <f>+IF(Tabla2[[#This Row],[FECHA DE PAGO]]&gt;0,"pagada","por pagar")</f>
        <v>pagada</v>
      </c>
      <c r="W2142" s="141" t="str">
        <f>+IF(AND(Tabla2[[#This Row],[venc]]="venc",Tabla2[[#This Row],[Columna1]]="por pagar"),"vencida","no")</f>
        <v>no</v>
      </c>
    </row>
    <row r="2143" spans="1:23" ht="15.6" hidden="1" x14ac:dyDescent="0.3">
      <c r="A2143" s="20">
        <v>30</v>
      </c>
      <c r="B2143" s="25">
        <v>1316890.8900000001</v>
      </c>
      <c r="C2143" s="25"/>
      <c r="D2143" s="56" t="s">
        <v>188</v>
      </c>
      <c r="E2143" s="426">
        <v>44642</v>
      </c>
      <c r="F2143" s="26" t="s">
        <v>17</v>
      </c>
      <c r="G2143" s="426">
        <v>44610</v>
      </c>
      <c r="H2143" s="35">
        <v>1878591</v>
      </c>
      <c r="I2143" s="21">
        <v>1415605.8</v>
      </c>
      <c r="J2143" s="21"/>
      <c r="K2143" s="22">
        <v>268965.10200000001</v>
      </c>
      <c r="L2143" s="23"/>
      <c r="M2143" s="22">
        <v>0</v>
      </c>
      <c r="N2143" s="74">
        <v>0</v>
      </c>
      <c r="O2143" s="22">
        <v>0</v>
      </c>
      <c r="P2143" s="21">
        <v>1415605.8</v>
      </c>
      <c r="S2143" s="108" t="b">
        <f>OR(COUNTIF(Tabla2[[#This Row],[PROVEEDOR]],"*"&amp;'Palabra no opera'!$A$2&amp;"*"))</f>
        <v>0</v>
      </c>
      <c r="T2143" s="139">
        <f>+$W$5-Tabla2[[#This Row],[FECHA DE FACTURACIÓN]]</f>
        <v>681</v>
      </c>
      <c r="U2143" t="str">
        <f>+IF(Tabla2[[#This Row],[dias de credito]]&gt;=Tabla2[[#This Row],[PLAZO Días]],"venc", "No venc")</f>
        <v>venc</v>
      </c>
      <c r="V2143" t="str">
        <f>+IF(Tabla2[[#This Row],[FECHA DE PAGO]]&gt;0,"pagada","por pagar")</f>
        <v>pagada</v>
      </c>
      <c r="W2143" s="141" t="str">
        <f>+IF(AND(Tabla2[[#This Row],[venc]]="venc",Tabla2[[#This Row],[Columna1]]="por pagar"),"vencida","no")</f>
        <v>no</v>
      </c>
    </row>
    <row r="2144" spans="1:23" ht="15.6" hidden="1" x14ac:dyDescent="0.3">
      <c r="A2144" s="20">
        <v>30</v>
      </c>
      <c r="B2144" s="25">
        <v>0</v>
      </c>
      <c r="C2144" s="25"/>
      <c r="D2144" s="56" t="s">
        <v>175</v>
      </c>
      <c r="E2144" s="426">
        <v>44642</v>
      </c>
      <c r="F2144" s="26" t="s">
        <v>49</v>
      </c>
      <c r="G2144" s="426">
        <v>44610</v>
      </c>
      <c r="H2144" s="35">
        <v>6049</v>
      </c>
      <c r="I2144" s="21">
        <v>840336</v>
      </c>
      <c r="J2144" s="21"/>
      <c r="K2144" s="22">
        <v>159663.84</v>
      </c>
      <c r="L2144" s="23"/>
      <c r="M2144" s="22">
        <v>0</v>
      </c>
      <c r="N2144" s="74">
        <v>0</v>
      </c>
      <c r="O2144" s="22">
        <v>0</v>
      </c>
      <c r="P2144" s="21">
        <v>999999.84</v>
      </c>
      <c r="S2144" s="108" t="b">
        <f>OR(COUNTIF(Tabla2[[#This Row],[PROVEEDOR]],"*"&amp;'Palabra no opera'!$A$2&amp;"*"))</f>
        <v>0</v>
      </c>
      <c r="T2144" s="139">
        <f>+$W$5-Tabla2[[#This Row],[FECHA DE FACTURACIÓN]]</f>
        <v>681</v>
      </c>
      <c r="U2144" t="str">
        <f>+IF(Tabla2[[#This Row],[dias de credito]]&gt;=Tabla2[[#This Row],[PLAZO Días]],"venc", "No venc")</f>
        <v>venc</v>
      </c>
      <c r="V2144" t="str">
        <f>+IF(Tabla2[[#This Row],[FECHA DE PAGO]]&gt;0,"pagada","por pagar")</f>
        <v>pagada</v>
      </c>
      <c r="W2144" s="141" t="str">
        <f>+IF(AND(Tabla2[[#This Row],[venc]]="venc",Tabla2[[#This Row],[Columna1]]="por pagar"),"vencida","no")</f>
        <v>no</v>
      </c>
    </row>
    <row r="2145" spans="1:23" ht="15.6" hidden="1" x14ac:dyDescent="0.3">
      <c r="A2145" s="20">
        <v>30</v>
      </c>
      <c r="B2145" s="25">
        <v>0</v>
      </c>
      <c r="C2145" s="25"/>
      <c r="D2145" s="56" t="s">
        <v>109</v>
      </c>
      <c r="E2145" s="426">
        <v>44638</v>
      </c>
      <c r="F2145" s="26" t="s">
        <v>645</v>
      </c>
      <c r="G2145" s="426">
        <v>44621</v>
      </c>
      <c r="H2145" s="35"/>
      <c r="I2145" s="21">
        <v>326243</v>
      </c>
      <c r="J2145" s="21"/>
      <c r="K2145" s="22">
        <v>0</v>
      </c>
      <c r="L2145" s="23"/>
      <c r="M2145" s="22">
        <v>0</v>
      </c>
      <c r="N2145" s="74">
        <v>0</v>
      </c>
      <c r="O2145" s="22">
        <v>0</v>
      </c>
      <c r="P2145" s="21">
        <v>326243</v>
      </c>
      <c r="S2145" s="108" t="b">
        <f>OR(COUNTIF(Tabla2[[#This Row],[PROVEEDOR]],"*"&amp;'Palabra no opera'!$A$2&amp;"*"))</f>
        <v>1</v>
      </c>
      <c r="T2145" s="139">
        <f>+$W$5-Tabla2[[#This Row],[FECHA DE FACTURACIÓN]]</f>
        <v>670</v>
      </c>
      <c r="U2145" t="str">
        <f>+IF(Tabla2[[#This Row],[dias de credito]]&gt;=Tabla2[[#This Row],[PLAZO Días]],"venc", "No venc")</f>
        <v>venc</v>
      </c>
      <c r="V2145" t="str">
        <f>+IF(Tabla2[[#This Row],[FECHA DE PAGO]]&gt;0,"pagada","por pagar")</f>
        <v>pagada</v>
      </c>
      <c r="W2145" s="141" t="str">
        <f>+IF(AND(Tabla2[[#This Row],[venc]]="venc",Tabla2[[#This Row],[Columna1]]="por pagar"),"vencida","no")</f>
        <v>no</v>
      </c>
    </row>
    <row r="2146" spans="1:23" ht="15.6" hidden="1" x14ac:dyDescent="0.3">
      <c r="A2146" s="20">
        <v>60</v>
      </c>
      <c r="B2146" s="25">
        <v>0</v>
      </c>
      <c r="C2146" s="25"/>
      <c r="D2146" s="56">
        <v>0</v>
      </c>
      <c r="E2146" s="426">
        <v>44638</v>
      </c>
      <c r="F2146" s="26" t="s">
        <v>951</v>
      </c>
      <c r="G2146" s="426">
        <v>44550</v>
      </c>
      <c r="H2146" s="35" t="s">
        <v>444</v>
      </c>
      <c r="I2146" s="21">
        <v>6258400</v>
      </c>
      <c r="J2146" s="21"/>
      <c r="K2146" s="22">
        <v>1189096</v>
      </c>
      <c r="L2146" s="23"/>
      <c r="M2146" s="22">
        <v>0</v>
      </c>
      <c r="N2146" s="74">
        <v>0</v>
      </c>
      <c r="O2146" s="22">
        <v>0</v>
      </c>
      <c r="P2146" s="21">
        <v>7291036</v>
      </c>
      <c r="S2146" s="108" t="b">
        <f>OR(COUNTIF(Tabla2[[#This Row],[PROVEEDOR]],"*"&amp;'Palabra no opera'!$A$2&amp;"*"))</f>
        <v>1</v>
      </c>
      <c r="T2146" s="139">
        <f>+$W$5-Tabla2[[#This Row],[FECHA DE FACTURACIÓN]]</f>
        <v>741</v>
      </c>
      <c r="U2146" t="str">
        <f>+IF(Tabla2[[#This Row],[dias de credito]]&gt;=Tabla2[[#This Row],[PLAZO Días]],"venc", "No venc")</f>
        <v>venc</v>
      </c>
      <c r="V2146" t="str">
        <f>+IF(Tabla2[[#This Row],[FECHA DE PAGO]]&gt;0,"pagada","por pagar")</f>
        <v>pagada</v>
      </c>
      <c r="W2146" s="141" t="str">
        <f>+IF(AND(Tabla2[[#This Row],[venc]]="venc",Tabla2[[#This Row],[Columna1]]="por pagar"),"vencida","no")</f>
        <v>no</v>
      </c>
    </row>
    <row r="2147" spans="1:23" ht="15.6" hidden="1" x14ac:dyDescent="0.3">
      <c r="A2147" s="20">
        <v>30</v>
      </c>
      <c r="B2147" s="25">
        <v>0</v>
      </c>
      <c r="C2147" s="25"/>
      <c r="D2147" s="56">
        <v>0</v>
      </c>
      <c r="E2147" s="426">
        <v>44637</v>
      </c>
      <c r="F2147" s="26" t="s">
        <v>361</v>
      </c>
      <c r="G2147" s="426">
        <v>44637</v>
      </c>
      <c r="H2147" s="35" t="s">
        <v>1010</v>
      </c>
      <c r="I2147" s="21">
        <v>564000</v>
      </c>
      <c r="J2147" s="21"/>
      <c r="K2147" s="22">
        <v>0</v>
      </c>
      <c r="L2147" s="23"/>
      <c r="M2147" s="22">
        <v>0</v>
      </c>
      <c r="N2147" s="74">
        <v>0</v>
      </c>
      <c r="O2147" s="22">
        <v>0</v>
      </c>
      <c r="P2147" s="21">
        <v>564000</v>
      </c>
      <c r="S2147" s="108" t="b">
        <f>OR(COUNTIF(Tabla2[[#This Row],[PROVEEDOR]],"*"&amp;'Palabra no opera'!$A$2&amp;"*"))</f>
        <v>0</v>
      </c>
      <c r="T2147" s="139">
        <f>+$W$5-Tabla2[[#This Row],[FECHA DE FACTURACIÓN]]</f>
        <v>654</v>
      </c>
      <c r="U2147" t="str">
        <f>+IF(Tabla2[[#This Row],[dias de credito]]&gt;=Tabla2[[#This Row],[PLAZO Días]],"venc", "No venc")</f>
        <v>venc</v>
      </c>
      <c r="V2147" t="str">
        <f>+IF(Tabla2[[#This Row],[FECHA DE PAGO]]&gt;0,"pagada","por pagar")</f>
        <v>pagada</v>
      </c>
      <c r="W2147" s="141" t="str">
        <f>+IF(AND(Tabla2[[#This Row],[venc]]="venc",Tabla2[[#This Row],[Columna1]]="por pagar"),"vencida","no")</f>
        <v>no</v>
      </c>
    </row>
    <row r="2148" spans="1:23" ht="15.6" hidden="1" x14ac:dyDescent="0.3">
      <c r="A2148" s="20">
        <v>30</v>
      </c>
      <c r="B2148" s="25">
        <v>380979.69</v>
      </c>
      <c r="C2148" s="25"/>
      <c r="D2148" s="56" t="s">
        <v>296</v>
      </c>
      <c r="E2148" s="426">
        <v>44637</v>
      </c>
      <c r="F2148" s="26" t="s">
        <v>615</v>
      </c>
      <c r="G2148" s="426">
        <v>44588</v>
      </c>
      <c r="H2148" s="35" t="s">
        <v>422</v>
      </c>
      <c r="I2148" s="21">
        <v>7179945</v>
      </c>
      <c r="J2148" s="21"/>
      <c r="K2148" s="22">
        <v>1364189.55</v>
      </c>
      <c r="L2148" s="23"/>
      <c r="M2148" s="22">
        <v>0</v>
      </c>
      <c r="N2148" s="74">
        <v>0</v>
      </c>
      <c r="O2148" s="22">
        <v>0</v>
      </c>
      <c r="P2148" s="21">
        <v>8544134.5500000007</v>
      </c>
      <c r="S2148" s="108" t="b">
        <f>OR(COUNTIF(Tabla2[[#This Row],[PROVEEDOR]],"*"&amp;'Palabra no opera'!$A$2&amp;"*"))</f>
        <v>1</v>
      </c>
      <c r="T2148" s="139">
        <f>+$W$5-Tabla2[[#This Row],[FECHA DE FACTURACIÓN]]</f>
        <v>703</v>
      </c>
      <c r="U2148" t="str">
        <f>+IF(Tabla2[[#This Row],[dias de credito]]&gt;=Tabla2[[#This Row],[PLAZO Días]],"venc", "No venc")</f>
        <v>venc</v>
      </c>
      <c r="V2148" t="str">
        <f>+IF(Tabla2[[#This Row],[FECHA DE PAGO]]&gt;0,"pagada","por pagar")</f>
        <v>pagada</v>
      </c>
      <c r="W2148" s="141" t="str">
        <f>+IF(AND(Tabla2[[#This Row],[venc]]="venc",Tabla2[[#This Row],[Columna1]]="por pagar"),"vencida","no")</f>
        <v>no</v>
      </c>
    </row>
    <row r="2149" spans="1:23" ht="15.6" hidden="1" x14ac:dyDescent="0.3">
      <c r="A2149" s="20">
        <v>45</v>
      </c>
      <c r="B2149" s="25">
        <v>15770594</v>
      </c>
      <c r="C2149" s="25"/>
      <c r="D2149" s="56" t="s">
        <v>594</v>
      </c>
      <c r="E2149" s="426">
        <v>44637</v>
      </c>
      <c r="F2149" s="26" t="s">
        <v>19</v>
      </c>
      <c r="G2149" s="426">
        <v>44588</v>
      </c>
      <c r="H2149" s="35" t="s">
        <v>465</v>
      </c>
      <c r="I2149" s="21">
        <v>11068800</v>
      </c>
      <c r="J2149" s="21"/>
      <c r="K2149" s="22">
        <v>2103072</v>
      </c>
      <c r="L2149" s="23"/>
      <c r="M2149" s="22">
        <v>0</v>
      </c>
      <c r="N2149" s="74">
        <v>0</v>
      </c>
      <c r="O2149" s="22">
        <v>0</v>
      </c>
      <c r="P2149" s="21">
        <v>13171872</v>
      </c>
      <c r="S2149" s="108" t="b">
        <f>OR(COUNTIF(Tabla2[[#This Row],[PROVEEDOR]],"*"&amp;'Palabra no opera'!$A$2&amp;"*"))</f>
        <v>0</v>
      </c>
      <c r="T2149" s="139">
        <f>+$W$5-Tabla2[[#This Row],[FECHA DE FACTURACIÓN]]</f>
        <v>703</v>
      </c>
      <c r="U2149" t="str">
        <f>+IF(Tabla2[[#This Row],[dias de credito]]&gt;=Tabla2[[#This Row],[PLAZO Días]],"venc", "No venc")</f>
        <v>venc</v>
      </c>
      <c r="V2149" t="str">
        <f>+IF(Tabla2[[#This Row],[FECHA DE PAGO]]&gt;0,"pagada","por pagar")</f>
        <v>pagada</v>
      </c>
      <c r="W2149" s="141" t="str">
        <f>+IF(AND(Tabla2[[#This Row],[venc]]="venc",Tabla2[[#This Row],[Columna1]]="por pagar"),"vencida","no")</f>
        <v>no</v>
      </c>
    </row>
    <row r="2150" spans="1:23" ht="15.6" hidden="1" x14ac:dyDescent="0.3">
      <c r="A2150" s="20">
        <v>30</v>
      </c>
      <c r="B2150" s="25">
        <v>0</v>
      </c>
      <c r="C2150" s="25"/>
      <c r="D2150" s="56">
        <v>0</v>
      </c>
      <c r="E2150" s="426">
        <v>44636</v>
      </c>
      <c r="F2150" s="26" t="s">
        <v>471</v>
      </c>
      <c r="G2150" s="426">
        <v>44635</v>
      </c>
      <c r="H2150" s="35" t="s">
        <v>472</v>
      </c>
      <c r="I2150" s="21">
        <v>1573500.6</v>
      </c>
      <c r="J2150" s="21"/>
      <c r="K2150" s="22">
        <v>298965.114</v>
      </c>
      <c r="L2150" s="23"/>
      <c r="M2150" s="22">
        <v>0</v>
      </c>
      <c r="N2150" s="74">
        <v>2.5000000000000001E-2</v>
      </c>
      <c r="O2150" s="22">
        <v>39337.515000000007</v>
      </c>
      <c r="P2150" s="21">
        <v>1833128.1990000003</v>
      </c>
      <c r="S2150" s="108" t="b">
        <f>OR(COUNTIF(Tabla2[[#This Row],[PROVEEDOR]],"*"&amp;'Palabra no opera'!$A$2&amp;"*"))</f>
        <v>0</v>
      </c>
      <c r="T2150" s="139">
        <f>+$W$5-Tabla2[[#This Row],[FECHA DE FACTURACIÓN]]</f>
        <v>656</v>
      </c>
      <c r="U2150" t="str">
        <f>+IF(Tabla2[[#This Row],[dias de credito]]&gt;=Tabla2[[#This Row],[PLAZO Días]],"venc", "No venc")</f>
        <v>venc</v>
      </c>
      <c r="V2150" t="str">
        <f>+IF(Tabla2[[#This Row],[FECHA DE PAGO]]&gt;0,"pagada","por pagar")</f>
        <v>pagada</v>
      </c>
      <c r="W2150" s="141" t="str">
        <f>+IF(AND(Tabla2[[#This Row],[venc]]="venc",Tabla2[[#This Row],[Columna1]]="por pagar"),"vencida","no")</f>
        <v>no</v>
      </c>
    </row>
    <row r="2151" spans="1:23" ht="15.6" hidden="1" x14ac:dyDescent="0.3">
      <c r="A2151" s="20">
        <v>30</v>
      </c>
      <c r="B2151" s="25">
        <v>1034000.52</v>
      </c>
      <c r="C2151" s="25"/>
      <c r="D2151" s="56" t="s">
        <v>177</v>
      </c>
      <c r="E2151" s="426">
        <v>44636</v>
      </c>
      <c r="F2151" s="26" t="s">
        <v>168</v>
      </c>
      <c r="G2151" s="426">
        <v>44551</v>
      </c>
      <c r="H2151" s="35">
        <v>458</v>
      </c>
      <c r="I2151" s="21">
        <v>1281933</v>
      </c>
      <c r="J2151" s="21"/>
      <c r="K2151" s="22">
        <v>243567.27</v>
      </c>
      <c r="L2151" s="23"/>
      <c r="M2151" s="22">
        <v>0</v>
      </c>
      <c r="N2151" s="74">
        <v>2.5000000000000001E-2</v>
      </c>
      <c r="O2151" s="22">
        <v>32048.325000000001</v>
      </c>
      <c r="P2151" s="21">
        <v>1493451.9450000001</v>
      </c>
      <c r="S2151" s="108" t="b">
        <f>OR(COUNTIF(Tabla2[[#This Row],[PROVEEDOR]],"*"&amp;'Palabra no opera'!$A$2&amp;"*"))</f>
        <v>0</v>
      </c>
      <c r="T2151" s="139">
        <f>+$W$5-Tabla2[[#This Row],[FECHA DE FACTURACIÓN]]</f>
        <v>740</v>
      </c>
      <c r="U2151" t="str">
        <f>+IF(Tabla2[[#This Row],[dias de credito]]&gt;=Tabla2[[#This Row],[PLAZO Días]],"venc", "No venc")</f>
        <v>venc</v>
      </c>
      <c r="V2151" t="str">
        <f>+IF(Tabla2[[#This Row],[FECHA DE PAGO]]&gt;0,"pagada","por pagar")</f>
        <v>pagada</v>
      </c>
      <c r="W2151" s="141" t="str">
        <f>+IF(AND(Tabla2[[#This Row],[venc]]="venc",Tabla2[[#This Row],[Columna1]]="por pagar"),"vencida","no")</f>
        <v>no</v>
      </c>
    </row>
    <row r="2152" spans="1:23" ht="15.6" hidden="1" x14ac:dyDescent="0.3">
      <c r="A2152" s="20">
        <v>30</v>
      </c>
      <c r="B2152" s="25">
        <v>0</v>
      </c>
      <c r="C2152" s="25"/>
      <c r="D2152" s="56" t="s">
        <v>176</v>
      </c>
      <c r="E2152" s="426">
        <v>44635</v>
      </c>
      <c r="F2152" s="26" t="s">
        <v>966</v>
      </c>
      <c r="G2152" s="426">
        <v>44627</v>
      </c>
      <c r="H2152" s="35">
        <v>330</v>
      </c>
      <c r="I2152" s="21">
        <v>359500</v>
      </c>
      <c r="J2152" s="21"/>
      <c r="K2152" s="22">
        <v>0</v>
      </c>
      <c r="L2152" s="23"/>
      <c r="M2152" s="22">
        <v>0</v>
      </c>
      <c r="N2152" s="74">
        <v>0</v>
      </c>
      <c r="O2152" s="22">
        <v>0</v>
      </c>
      <c r="P2152" s="21">
        <v>359500</v>
      </c>
      <c r="S2152" s="108" t="b">
        <f>OR(COUNTIF(Tabla2[[#This Row],[PROVEEDOR]],"*"&amp;'Palabra no opera'!$A$2&amp;"*"))</f>
        <v>0</v>
      </c>
      <c r="T2152" s="139">
        <f>+$W$5-Tabla2[[#This Row],[FECHA DE FACTURACIÓN]]</f>
        <v>664</v>
      </c>
      <c r="U2152" t="str">
        <f>+IF(Tabla2[[#This Row],[dias de credito]]&gt;=Tabla2[[#This Row],[PLAZO Días]],"venc", "No venc")</f>
        <v>venc</v>
      </c>
      <c r="V2152" t="str">
        <f>+IF(Tabla2[[#This Row],[FECHA DE PAGO]]&gt;0,"pagada","por pagar")</f>
        <v>pagada</v>
      </c>
      <c r="W2152" s="141" t="str">
        <f>+IF(AND(Tabla2[[#This Row],[venc]]="venc",Tabla2[[#This Row],[Columna1]]="por pagar"),"vencida","no")</f>
        <v>no</v>
      </c>
    </row>
    <row r="2153" spans="1:23" ht="15.6" hidden="1" x14ac:dyDescent="0.3">
      <c r="A2153" s="20">
        <v>30</v>
      </c>
      <c r="B2153" s="25">
        <v>0</v>
      </c>
      <c r="C2153" s="25"/>
      <c r="D2153" s="56" t="s">
        <v>176</v>
      </c>
      <c r="E2153" s="426">
        <v>44635</v>
      </c>
      <c r="F2153" s="26" t="s">
        <v>967</v>
      </c>
      <c r="G2153" s="426">
        <v>44627</v>
      </c>
      <c r="H2153" s="35">
        <v>211</v>
      </c>
      <c r="I2153" s="21">
        <v>359500</v>
      </c>
      <c r="J2153" s="21"/>
      <c r="K2153" s="22">
        <v>0</v>
      </c>
      <c r="L2153" s="23"/>
      <c r="M2153" s="22">
        <v>0</v>
      </c>
      <c r="N2153" s="74">
        <v>0.01</v>
      </c>
      <c r="O2153" s="22">
        <v>3595</v>
      </c>
      <c r="P2153" s="21">
        <v>359500</v>
      </c>
      <c r="S2153" s="108" t="b">
        <f>OR(COUNTIF(Tabla2[[#This Row],[PROVEEDOR]],"*"&amp;'Palabra no opera'!$A$2&amp;"*"))</f>
        <v>0</v>
      </c>
      <c r="T2153" s="139">
        <f>+$W$5-Tabla2[[#This Row],[FECHA DE FACTURACIÓN]]</f>
        <v>664</v>
      </c>
      <c r="U2153" t="str">
        <f>+IF(Tabla2[[#This Row],[dias de credito]]&gt;=Tabla2[[#This Row],[PLAZO Días]],"venc", "No venc")</f>
        <v>venc</v>
      </c>
      <c r="V2153" t="str">
        <f>+IF(Tabla2[[#This Row],[FECHA DE PAGO]]&gt;0,"pagada","por pagar")</f>
        <v>pagada</v>
      </c>
      <c r="W2153" s="141" t="str">
        <f>+IF(AND(Tabla2[[#This Row],[venc]]="venc",Tabla2[[#This Row],[Columna1]]="por pagar"),"vencida","no")</f>
        <v>no</v>
      </c>
    </row>
    <row r="2154" spans="1:23" ht="15.6" hidden="1" x14ac:dyDescent="0.3">
      <c r="A2154" s="20">
        <v>30</v>
      </c>
      <c r="B2154" s="25">
        <v>10321993.199999999</v>
      </c>
      <c r="C2154" s="25"/>
      <c r="D2154" s="56" t="s">
        <v>189</v>
      </c>
      <c r="E2154" s="426">
        <v>44635</v>
      </c>
      <c r="F2154" s="26" t="s">
        <v>1068</v>
      </c>
      <c r="G2154" s="426">
        <v>44614</v>
      </c>
      <c r="H2154" s="35" t="s">
        <v>467</v>
      </c>
      <c r="I2154" s="21">
        <v>-258607</v>
      </c>
      <c r="J2154" s="21"/>
      <c r="K2154" s="22">
        <v>-49135.33</v>
      </c>
      <c r="L2154" s="23"/>
      <c r="M2154" s="22">
        <v>0</v>
      </c>
      <c r="N2154" s="74">
        <v>0</v>
      </c>
      <c r="O2154" s="22">
        <v>0</v>
      </c>
      <c r="P2154" s="21">
        <v>-258607</v>
      </c>
      <c r="S2154" s="108" t="b">
        <f>OR(COUNTIF(Tabla2[[#This Row],[PROVEEDOR]],"*"&amp;'Palabra no opera'!$A$2&amp;"*"))</f>
        <v>0</v>
      </c>
      <c r="T2154" s="139">
        <f>+$W$5-Tabla2[[#This Row],[FECHA DE FACTURACIÓN]]</f>
        <v>677</v>
      </c>
      <c r="U2154" t="str">
        <f>+IF(Tabla2[[#This Row],[dias de credito]]&gt;=Tabla2[[#This Row],[PLAZO Días]],"venc", "No venc")</f>
        <v>venc</v>
      </c>
      <c r="V2154" t="str">
        <f>+IF(Tabla2[[#This Row],[FECHA DE PAGO]]&gt;0,"pagada","por pagar")</f>
        <v>pagada</v>
      </c>
      <c r="W2154" s="141" t="str">
        <f>+IF(AND(Tabla2[[#This Row],[venc]]="venc",Tabla2[[#This Row],[Columna1]]="por pagar"),"vencida","no")</f>
        <v>no</v>
      </c>
    </row>
    <row r="2155" spans="1:23" ht="15.6" hidden="1" x14ac:dyDescent="0.3">
      <c r="A2155" s="20">
        <v>30</v>
      </c>
      <c r="B2155" s="25">
        <v>0</v>
      </c>
      <c r="C2155" s="25"/>
      <c r="D2155" s="56" t="s">
        <v>190</v>
      </c>
      <c r="E2155" s="426">
        <v>44635</v>
      </c>
      <c r="F2155" s="26" t="s">
        <v>964</v>
      </c>
      <c r="G2155" s="426">
        <v>44601</v>
      </c>
      <c r="H2155" s="35">
        <v>27066</v>
      </c>
      <c r="I2155" s="21">
        <v>3840000</v>
      </c>
      <c r="J2155" s="21"/>
      <c r="K2155" s="22">
        <v>729600</v>
      </c>
      <c r="L2155" s="23"/>
      <c r="M2155" s="22">
        <v>0</v>
      </c>
      <c r="N2155" s="74">
        <v>2.5000000000000001E-2</v>
      </c>
      <c r="O2155" s="22">
        <v>96000</v>
      </c>
      <c r="P2155" s="21">
        <v>4473600</v>
      </c>
      <c r="S2155" s="108" t="b">
        <f>OR(COUNTIF(Tabla2[[#This Row],[PROVEEDOR]],"*"&amp;'Palabra no opera'!$A$2&amp;"*"))</f>
        <v>0</v>
      </c>
      <c r="T2155" s="139">
        <f>+$W$5-Tabla2[[#This Row],[FECHA DE FACTURACIÓN]]</f>
        <v>690</v>
      </c>
      <c r="U2155" t="str">
        <f>+IF(Tabla2[[#This Row],[dias de credito]]&gt;=Tabla2[[#This Row],[PLAZO Días]],"venc", "No venc")</f>
        <v>venc</v>
      </c>
      <c r="V2155" t="str">
        <f>+IF(Tabla2[[#This Row],[FECHA DE PAGO]]&gt;0,"pagada","por pagar")</f>
        <v>pagada</v>
      </c>
      <c r="W2155" s="141" t="str">
        <f>+IF(AND(Tabla2[[#This Row],[venc]]="venc",Tabla2[[#This Row],[Columna1]]="por pagar"),"vencida","no")</f>
        <v>no</v>
      </c>
    </row>
    <row r="2156" spans="1:23" ht="15.6" hidden="1" x14ac:dyDescent="0.3">
      <c r="A2156" s="20">
        <v>30</v>
      </c>
      <c r="B2156" s="25">
        <v>10321993.199999999</v>
      </c>
      <c r="C2156" s="25"/>
      <c r="D2156" s="56" t="s">
        <v>189</v>
      </c>
      <c r="E2156" s="426">
        <v>44635</v>
      </c>
      <c r="F2156" s="26" t="s">
        <v>1068</v>
      </c>
      <c r="G2156" s="426">
        <v>44589</v>
      </c>
      <c r="H2156" s="35">
        <v>24466</v>
      </c>
      <c r="I2156" s="21">
        <v>384000</v>
      </c>
      <c r="J2156" s="21"/>
      <c r="K2156" s="22">
        <v>72960</v>
      </c>
      <c r="L2156" s="23"/>
      <c r="M2156" s="22">
        <v>0</v>
      </c>
      <c r="N2156" s="74">
        <v>0</v>
      </c>
      <c r="O2156" s="22">
        <v>0</v>
      </c>
      <c r="P2156" s="21">
        <v>456960</v>
      </c>
      <c r="S2156" s="108" t="b">
        <f>OR(COUNTIF(Tabla2[[#This Row],[PROVEEDOR]],"*"&amp;'Palabra no opera'!$A$2&amp;"*"))</f>
        <v>0</v>
      </c>
      <c r="T2156" s="139">
        <f>+$W$5-Tabla2[[#This Row],[FECHA DE FACTURACIÓN]]</f>
        <v>702</v>
      </c>
      <c r="U2156" t="str">
        <f>+IF(Tabla2[[#This Row],[dias de credito]]&gt;=Tabla2[[#This Row],[PLAZO Días]],"venc", "No venc")</f>
        <v>venc</v>
      </c>
      <c r="V2156" t="str">
        <f>+IF(Tabla2[[#This Row],[FECHA DE PAGO]]&gt;0,"pagada","por pagar")</f>
        <v>pagada</v>
      </c>
      <c r="W2156" s="141" t="str">
        <f>+IF(AND(Tabla2[[#This Row],[venc]]="venc",Tabla2[[#This Row],[Columna1]]="por pagar"),"vencida","no")</f>
        <v>no</v>
      </c>
    </row>
    <row r="2157" spans="1:23" ht="15.6" hidden="1" x14ac:dyDescent="0.3">
      <c r="A2157" s="20">
        <v>30</v>
      </c>
      <c r="B2157" s="25">
        <v>2773899.95</v>
      </c>
      <c r="C2157" s="25"/>
      <c r="D2157" s="56" t="s">
        <v>135</v>
      </c>
      <c r="E2157" s="426">
        <v>44635</v>
      </c>
      <c r="F2157" s="26" t="s">
        <v>20</v>
      </c>
      <c r="G2157" s="426">
        <v>44588</v>
      </c>
      <c r="H2157" s="35">
        <v>6152</v>
      </c>
      <c r="I2157" s="21">
        <v>1591200</v>
      </c>
      <c r="J2157" s="21"/>
      <c r="K2157" s="22">
        <v>302328</v>
      </c>
      <c r="L2157" s="23"/>
      <c r="M2157" s="22">
        <v>0</v>
      </c>
      <c r="N2157" s="74">
        <v>2.5000000000000001E-2</v>
      </c>
      <c r="O2157" s="22">
        <v>39780</v>
      </c>
      <c r="P2157" s="21">
        <v>1853748</v>
      </c>
      <c r="S2157" s="108" t="b">
        <f>OR(COUNTIF(Tabla2[[#This Row],[PROVEEDOR]],"*"&amp;'Palabra no opera'!$A$2&amp;"*"))</f>
        <v>0</v>
      </c>
      <c r="T2157" s="139">
        <f>+$W$5-Tabla2[[#This Row],[FECHA DE FACTURACIÓN]]</f>
        <v>703</v>
      </c>
      <c r="U2157" t="str">
        <f>+IF(Tabla2[[#This Row],[dias de credito]]&gt;=Tabla2[[#This Row],[PLAZO Días]],"venc", "No venc")</f>
        <v>venc</v>
      </c>
      <c r="V2157" t="str">
        <f>+IF(Tabla2[[#This Row],[FECHA DE PAGO]]&gt;0,"pagada","por pagar")</f>
        <v>pagada</v>
      </c>
      <c r="W2157" s="141" t="str">
        <f>+IF(AND(Tabla2[[#This Row],[venc]]="venc",Tabla2[[#This Row],[Columna1]]="por pagar"),"vencida","no")</f>
        <v>no</v>
      </c>
    </row>
    <row r="2158" spans="1:23" ht="15.6" hidden="1" x14ac:dyDescent="0.3">
      <c r="A2158" s="20">
        <v>30</v>
      </c>
      <c r="B2158" s="25">
        <v>0</v>
      </c>
      <c r="C2158" s="25"/>
      <c r="D2158" s="56" t="s">
        <v>203</v>
      </c>
      <c r="E2158" s="426">
        <v>44635</v>
      </c>
      <c r="F2158" s="26" t="s">
        <v>105</v>
      </c>
      <c r="G2158" s="426">
        <v>44541</v>
      </c>
      <c r="H2158" s="35"/>
      <c r="I2158" s="21">
        <v>3986635</v>
      </c>
      <c r="J2158" s="21"/>
      <c r="K2158" s="22">
        <v>757460.65</v>
      </c>
      <c r="L2158" s="23"/>
      <c r="M2158" s="22">
        <v>0</v>
      </c>
      <c r="N2158" s="74">
        <v>2.5000000000000001E-2</v>
      </c>
      <c r="O2158" s="22">
        <v>99665.875</v>
      </c>
      <c r="P2158" s="21">
        <v>4644429.7750000004</v>
      </c>
      <c r="S2158" s="108" t="b">
        <f>OR(COUNTIF(Tabla2[[#This Row],[PROVEEDOR]],"*"&amp;'Palabra no opera'!$A$2&amp;"*"))</f>
        <v>0</v>
      </c>
      <c r="T2158" s="139">
        <f>+$W$5-Tabla2[[#This Row],[FECHA DE FACTURACIÓN]]</f>
        <v>750</v>
      </c>
      <c r="U2158" t="str">
        <f>+IF(Tabla2[[#This Row],[dias de credito]]&gt;=Tabla2[[#This Row],[PLAZO Días]],"venc", "No venc")</f>
        <v>venc</v>
      </c>
      <c r="V2158" t="str">
        <f>+IF(Tabla2[[#This Row],[FECHA DE PAGO]]&gt;0,"pagada","por pagar")</f>
        <v>pagada</v>
      </c>
      <c r="W2158" s="141" t="str">
        <f>+IF(AND(Tabla2[[#This Row],[venc]]="venc",Tabla2[[#This Row],[Columna1]]="por pagar"),"vencida","no")</f>
        <v>no</v>
      </c>
    </row>
    <row r="2159" spans="1:23" ht="15.6" hidden="1" x14ac:dyDescent="0.3">
      <c r="A2159" s="20">
        <v>30</v>
      </c>
      <c r="B2159" s="25">
        <v>0</v>
      </c>
      <c r="C2159" s="25"/>
      <c r="D2159" s="56" t="s">
        <v>107</v>
      </c>
      <c r="E2159" s="426">
        <v>44632</v>
      </c>
      <c r="F2159" s="26" t="s">
        <v>378</v>
      </c>
      <c r="G2159" s="426">
        <v>44632</v>
      </c>
      <c r="H2159" s="35" t="s">
        <v>380</v>
      </c>
      <c r="I2159" s="21">
        <v>450000</v>
      </c>
      <c r="J2159" s="21"/>
      <c r="K2159" s="22">
        <v>0</v>
      </c>
      <c r="L2159" s="23"/>
      <c r="M2159" s="22">
        <v>0</v>
      </c>
      <c r="N2159" s="74">
        <v>0</v>
      </c>
      <c r="O2159" s="22">
        <v>0</v>
      </c>
      <c r="P2159" s="21">
        <v>450000</v>
      </c>
      <c r="S2159" s="108" t="b">
        <f>OR(COUNTIF(Tabla2[[#This Row],[PROVEEDOR]],"*"&amp;'Palabra no opera'!$A$2&amp;"*"))</f>
        <v>0</v>
      </c>
      <c r="T2159" s="139">
        <f>+$W$5-Tabla2[[#This Row],[FECHA DE FACTURACIÓN]]</f>
        <v>659</v>
      </c>
      <c r="U2159" t="str">
        <f>+IF(Tabla2[[#This Row],[dias de credito]]&gt;=Tabla2[[#This Row],[PLAZO Días]],"venc", "No venc")</f>
        <v>venc</v>
      </c>
      <c r="V2159" t="str">
        <f>+IF(Tabla2[[#This Row],[FECHA DE PAGO]]&gt;0,"pagada","por pagar")</f>
        <v>pagada</v>
      </c>
      <c r="W2159" s="141" t="str">
        <f>+IF(AND(Tabla2[[#This Row],[venc]]="venc",Tabla2[[#This Row],[Columna1]]="por pagar"),"vencida","no")</f>
        <v>no</v>
      </c>
    </row>
    <row r="2160" spans="1:23" ht="15.6" hidden="1" x14ac:dyDescent="0.3">
      <c r="A2160" s="20">
        <v>30</v>
      </c>
      <c r="B2160" s="25">
        <v>0</v>
      </c>
      <c r="C2160" s="25"/>
      <c r="D2160" s="56" t="s">
        <v>107</v>
      </c>
      <c r="E2160" s="426">
        <v>44632</v>
      </c>
      <c r="F2160" s="26" t="s">
        <v>390</v>
      </c>
      <c r="G2160" s="426">
        <v>44632</v>
      </c>
      <c r="H2160" s="35"/>
      <c r="I2160" s="21">
        <v>1000000</v>
      </c>
      <c r="J2160" s="21"/>
      <c r="K2160" s="22">
        <v>0</v>
      </c>
      <c r="L2160" s="23"/>
      <c r="M2160" s="22">
        <v>0</v>
      </c>
      <c r="N2160" s="74">
        <v>0</v>
      </c>
      <c r="O2160" s="22">
        <v>0</v>
      </c>
      <c r="P2160" s="21">
        <v>1000000</v>
      </c>
      <c r="S2160" s="108" t="b">
        <f>OR(COUNTIF(Tabla2[[#This Row],[PROVEEDOR]],"*"&amp;'Palabra no opera'!$A$2&amp;"*"))</f>
        <v>0</v>
      </c>
      <c r="T2160" s="139">
        <f>+$W$5-Tabla2[[#This Row],[FECHA DE FACTURACIÓN]]</f>
        <v>659</v>
      </c>
      <c r="U2160" t="str">
        <f>+IF(Tabla2[[#This Row],[dias de credito]]&gt;=Tabla2[[#This Row],[PLAZO Días]],"venc", "No venc")</f>
        <v>venc</v>
      </c>
      <c r="V2160" t="str">
        <f>+IF(Tabla2[[#This Row],[FECHA DE PAGO]]&gt;0,"pagada","por pagar")</f>
        <v>pagada</v>
      </c>
      <c r="W2160" s="141" t="str">
        <f>+IF(AND(Tabla2[[#This Row],[venc]]="venc",Tabla2[[#This Row],[Columna1]]="por pagar"),"vencida","no")</f>
        <v>no</v>
      </c>
    </row>
    <row r="2161" spans="1:23" ht="15.6" hidden="1" x14ac:dyDescent="0.3">
      <c r="A2161" s="20">
        <v>30</v>
      </c>
      <c r="B2161" s="25">
        <v>0</v>
      </c>
      <c r="C2161" s="25"/>
      <c r="D2161" s="56" t="s">
        <v>107</v>
      </c>
      <c r="E2161" s="426">
        <v>44632</v>
      </c>
      <c r="F2161" s="26" t="s">
        <v>409</v>
      </c>
      <c r="G2161" s="426">
        <v>44631</v>
      </c>
      <c r="H2161" s="35" t="s">
        <v>410</v>
      </c>
      <c r="I2161" s="21">
        <v>1180100</v>
      </c>
      <c r="J2161" s="21"/>
      <c r="K2161" s="22">
        <v>0</v>
      </c>
      <c r="L2161" s="23"/>
      <c r="M2161" s="22">
        <v>0</v>
      </c>
      <c r="N2161" s="74">
        <v>0</v>
      </c>
      <c r="O2161" s="22">
        <v>0</v>
      </c>
      <c r="P2161" s="21">
        <v>1180100</v>
      </c>
      <c r="S2161" s="108" t="b">
        <f>OR(COUNTIF(Tabla2[[#This Row],[PROVEEDOR]],"*"&amp;'Palabra no opera'!$A$2&amp;"*"))</f>
        <v>0</v>
      </c>
      <c r="T2161" s="139">
        <f>+$W$5-Tabla2[[#This Row],[FECHA DE FACTURACIÓN]]</f>
        <v>660</v>
      </c>
      <c r="U2161" t="str">
        <f>+IF(Tabla2[[#This Row],[dias de credito]]&gt;=Tabla2[[#This Row],[PLAZO Días]],"venc", "No venc")</f>
        <v>venc</v>
      </c>
      <c r="V2161" t="str">
        <f>+IF(Tabla2[[#This Row],[FECHA DE PAGO]]&gt;0,"pagada","por pagar")</f>
        <v>pagada</v>
      </c>
      <c r="W2161" s="141" t="str">
        <f>+IF(AND(Tabla2[[#This Row],[venc]]="venc",Tabla2[[#This Row],[Columna1]]="por pagar"),"vencida","no")</f>
        <v>no</v>
      </c>
    </row>
    <row r="2162" spans="1:23" ht="15.6" hidden="1" x14ac:dyDescent="0.3">
      <c r="A2162" s="20">
        <v>30</v>
      </c>
      <c r="B2162" s="25">
        <v>0</v>
      </c>
      <c r="C2162" s="25"/>
      <c r="D2162" s="56" t="s">
        <v>237</v>
      </c>
      <c r="E2162" s="426">
        <v>44631</v>
      </c>
      <c r="F2162" s="26" t="s">
        <v>56</v>
      </c>
      <c r="G2162" s="426">
        <v>44630</v>
      </c>
      <c r="H2162" s="35" t="s">
        <v>415</v>
      </c>
      <c r="I2162" s="21">
        <v>404189</v>
      </c>
      <c r="J2162" s="21"/>
      <c r="K2162" s="22">
        <v>33232</v>
      </c>
      <c r="L2162" s="23"/>
      <c r="M2162" s="22">
        <v>0</v>
      </c>
      <c r="N2162" s="74">
        <v>0</v>
      </c>
      <c r="O2162" s="22">
        <v>0</v>
      </c>
      <c r="P2162" s="21">
        <v>3505560</v>
      </c>
      <c r="S2162" s="108" t="b">
        <f>OR(COUNTIF(Tabla2[[#This Row],[PROVEEDOR]],"*"&amp;'Palabra no opera'!$A$2&amp;"*"))</f>
        <v>0</v>
      </c>
      <c r="T2162" s="139">
        <f>+$W$5-Tabla2[[#This Row],[FECHA DE FACTURACIÓN]]</f>
        <v>661</v>
      </c>
      <c r="U2162" t="str">
        <f>+IF(Tabla2[[#This Row],[dias de credito]]&gt;=Tabla2[[#This Row],[PLAZO Días]],"venc", "No venc")</f>
        <v>venc</v>
      </c>
      <c r="V2162" t="str">
        <f>+IF(Tabla2[[#This Row],[FECHA DE PAGO]]&gt;0,"pagada","por pagar")</f>
        <v>pagada</v>
      </c>
      <c r="W2162" s="141" t="str">
        <f>+IF(AND(Tabla2[[#This Row],[venc]]="venc",Tabla2[[#This Row],[Columna1]]="por pagar"),"vencida","no")</f>
        <v>no</v>
      </c>
    </row>
    <row r="2163" spans="1:23" ht="15.6" hidden="1" x14ac:dyDescent="0.3">
      <c r="A2163" s="20">
        <v>30</v>
      </c>
      <c r="B2163" s="25">
        <v>342000</v>
      </c>
      <c r="C2163" s="25"/>
      <c r="D2163" s="56" t="s">
        <v>107</v>
      </c>
      <c r="E2163" s="426">
        <v>44630</v>
      </c>
      <c r="F2163" s="26" t="s">
        <v>344</v>
      </c>
      <c r="G2163" s="426">
        <v>44630</v>
      </c>
      <c r="H2163" s="35" t="s">
        <v>1009</v>
      </c>
      <c r="I2163" s="21">
        <v>95000</v>
      </c>
      <c r="J2163" s="21"/>
      <c r="K2163" s="22">
        <v>0</v>
      </c>
      <c r="L2163" s="23"/>
      <c r="M2163" s="22">
        <v>0</v>
      </c>
      <c r="N2163" s="74">
        <v>0</v>
      </c>
      <c r="O2163" s="22">
        <v>0</v>
      </c>
      <c r="P2163" s="21">
        <v>95000</v>
      </c>
      <c r="S2163" s="108" t="b">
        <f>OR(COUNTIF(Tabla2[[#This Row],[PROVEEDOR]],"*"&amp;'Palabra no opera'!$A$2&amp;"*"))</f>
        <v>0</v>
      </c>
      <c r="T2163" s="139">
        <f>+$W$5-Tabla2[[#This Row],[FECHA DE FACTURACIÓN]]</f>
        <v>661</v>
      </c>
      <c r="U2163" t="str">
        <f>+IF(Tabla2[[#This Row],[dias de credito]]&gt;=Tabla2[[#This Row],[PLAZO Días]],"venc", "No venc")</f>
        <v>venc</v>
      </c>
      <c r="V2163" t="str">
        <f>+IF(Tabla2[[#This Row],[FECHA DE PAGO]]&gt;0,"pagada","por pagar")</f>
        <v>pagada</v>
      </c>
      <c r="W2163" s="141" t="str">
        <f>+IF(AND(Tabla2[[#This Row],[venc]]="venc",Tabla2[[#This Row],[Columna1]]="por pagar"),"vencida","no")</f>
        <v>no</v>
      </c>
    </row>
    <row r="2164" spans="1:23" ht="15.6" hidden="1" x14ac:dyDescent="0.3">
      <c r="A2164" s="20">
        <v>30</v>
      </c>
      <c r="B2164" s="25">
        <v>0</v>
      </c>
      <c r="C2164" s="25"/>
      <c r="D2164" s="56" t="s">
        <v>107</v>
      </c>
      <c r="E2164" s="426">
        <v>44630</v>
      </c>
      <c r="F2164" s="26" t="s">
        <v>832</v>
      </c>
      <c r="G2164" s="426">
        <v>44630</v>
      </c>
      <c r="H2164" s="35" t="s">
        <v>392</v>
      </c>
      <c r="I2164" s="21">
        <v>70000</v>
      </c>
      <c r="J2164" s="21"/>
      <c r="K2164" s="22">
        <v>0</v>
      </c>
      <c r="L2164" s="23"/>
      <c r="M2164" s="22">
        <v>0</v>
      </c>
      <c r="N2164" s="74">
        <v>0</v>
      </c>
      <c r="O2164" s="22">
        <v>0</v>
      </c>
      <c r="P2164" s="21">
        <v>70000</v>
      </c>
      <c r="S2164" s="108" t="b">
        <f>OR(COUNTIF(Tabla2[[#This Row],[PROVEEDOR]],"*"&amp;'Palabra no opera'!$A$2&amp;"*"))</f>
        <v>1</v>
      </c>
      <c r="T2164" s="139">
        <f>+$W$5-Tabla2[[#This Row],[FECHA DE FACTURACIÓN]]</f>
        <v>661</v>
      </c>
      <c r="U2164" t="str">
        <f>+IF(Tabla2[[#This Row],[dias de credito]]&gt;=Tabla2[[#This Row],[PLAZO Días]],"venc", "No venc")</f>
        <v>venc</v>
      </c>
      <c r="V2164" t="str">
        <f>+IF(Tabla2[[#This Row],[FECHA DE PAGO]]&gt;0,"pagada","por pagar")</f>
        <v>pagada</v>
      </c>
      <c r="W2164" s="141" t="str">
        <f>+IF(AND(Tabla2[[#This Row],[venc]]="venc",Tabla2[[#This Row],[Columna1]]="por pagar"),"vencida","no")</f>
        <v>no</v>
      </c>
    </row>
    <row r="2165" spans="1:23" ht="15.6" hidden="1" x14ac:dyDescent="0.3">
      <c r="A2165" s="20">
        <v>30</v>
      </c>
      <c r="B2165" s="25">
        <v>352505.48</v>
      </c>
      <c r="C2165" s="25"/>
      <c r="D2165" s="56" t="s">
        <v>393</v>
      </c>
      <c r="E2165" s="426">
        <v>44630</v>
      </c>
      <c r="F2165" s="26" t="s">
        <v>650</v>
      </c>
      <c r="G2165" s="426">
        <v>44621</v>
      </c>
      <c r="H2165" s="35">
        <v>66543</v>
      </c>
      <c r="I2165" s="21">
        <v>284467</v>
      </c>
      <c r="J2165" s="21"/>
      <c r="K2165" s="22">
        <v>0</v>
      </c>
      <c r="L2165" s="23"/>
      <c r="M2165" s="22">
        <v>0</v>
      </c>
      <c r="N2165" s="74">
        <v>0</v>
      </c>
      <c r="O2165" s="22">
        <v>0</v>
      </c>
      <c r="P2165" s="21">
        <v>275944.33</v>
      </c>
      <c r="S2165" s="108" t="b">
        <f>OR(COUNTIF(Tabla2[[#This Row],[PROVEEDOR]],"*"&amp;'Palabra no opera'!$A$2&amp;"*"))</f>
        <v>1</v>
      </c>
      <c r="T2165" s="139">
        <f>+$W$5-Tabla2[[#This Row],[FECHA DE FACTURACIÓN]]</f>
        <v>670</v>
      </c>
      <c r="U2165" t="str">
        <f>+IF(Tabla2[[#This Row],[dias de credito]]&gt;=Tabla2[[#This Row],[PLAZO Días]],"venc", "No venc")</f>
        <v>venc</v>
      </c>
      <c r="V2165" t="str">
        <f>+IF(Tabla2[[#This Row],[FECHA DE PAGO]]&gt;0,"pagada","por pagar")</f>
        <v>pagada</v>
      </c>
      <c r="W2165" s="141" t="str">
        <f>+IF(AND(Tabla2[[#This Row],[venc]]="venc",Tabla2[[#This Row],[Columna1]]="por pagar"),"vencida","no")</f>
        <v>no</v>
      </c>
    </row>
    <row r="2166" spans="1:23" ht="15.6" hidden="1" x14ac:dyDescent="0.3">
      <c r="A2166" s="20">
        <v>30</v>
      </c>
      <c r="B2166" s="25">
        <v>0</v>
      </c>
      <c r="C2166" s="25"/>
      <c r="D2166" s="56" t="s">
        <v>740</v>
      </c>
      <c r="E2166" s="426">
        <v>44630</v>
      </c>
      <c r="F2166" s="26" t="s">
        <v>637</v>
      </c>
      <c r="G2166" s="426">
        <v>44621</v>
      </c>
      <c r="H2166" s="35" t="s">
        <v>219</v>
      </c>
      <c r="I2166" s="21">
        <v>800264</v>
      </c>
      <c r="J2166" s="21"/>
      <c r="K2166" s="22">
        <v>0</v>
      </c>
      <c r="L2166" s="23"/>
      <c r="M2166" s="22">
        <v>0</v>
      </c>
      <c r="N2166" s="74">
        <v>0</v>
      </c>
      <c r="O2166" s="22">
        <v>0</v>
      </c>
      <c r="P2166" s="21">
        <v>800264</v>
      </c>
      <c r="S2166" s="108" t="b">
        <f>OR(COUNTIF(Tabla2[[#This Row],[PROVEEDOR]],"*"&amp;'Palabra no opera'!$A$2&amp;"*"))</f>
        <v>1</v>
      </c>
      <c r="T2166" s="139">
        <f>+$W$5-Tabla2[[#This Row],[FECHA DE FACTURACIÓN]]</f>
        <v>670</v>
      </c>
      <c r="U2166" t="str">
        <f>+IF(Tabla2[[#This Row],[dias de credito]]&gt;=Tabla2[[#This Row],[PLAZO Días]],"venc", "No venc")</f>
        <v>venc</v>
      </c>
      <c r="V2166" t="str">
        <f>+IF(Tabla2[[#This Row],[FECHA DE PAGO]]&gt;0,"pagada","por pagar")</f>
        <v>pagada</v>
      </c>
      <c r="W2166" s="141" t="str">
        <f>+IF(AND(Tabla2[[#This Row],[venc]]="venc",Tabla2[[#This Row],[Columna1]]="por pagar"),"vencida","no")</f>
        <v>no</v>
      </c>
    </row>
    <row r="2167" spans="1:23" ht="15.6" hidden="1" x14ac:dyDescent="0.3">
      <c r="A2167" s="20">
        <v>30</v>
      </c>
      <c r="B2167" s="25">
        <v>0</v>
      </c>
      <c r="C2167" s="25"/>
      <c r="D2167" s="56" t="s">
        <v>740</v>
      </c>
      <c r="E2167" s="426">
        <v>44630</v>
      </c>
      <c r="F2167" s="26" t="s">
        <v>637</v>
      </c>
      <c r="G2167" s="426">
        <v>44621</v>
      </c>
      <c r="H2167" s="35" t="s">
        <v>220</v>
      </c>
      <c r="I2167" s="21">
        <v>818874</v>
      </c>
      <c r="J2167" s="21"/>
      <c r="K2167" s="22">
        <v>0</v>
      </c>
      <c r="L2167" s="23"/>
      <c r="M2167" s="22">
        <v>0</v>
      </c>
      <c r="N2167" s="74">
        <v>0</v>
      </c>
      <c r="O2167" s="22">
        <v>0</v>
      </c>
      <c r="P2167" s="21">
        <v>818874</v>
      </c>
      <c r="S2167" s="108" t="b">
        <f>OR(COUNTIF(Tabla2[[#This Row],[PROVEEDOR]],"*"&amp;'Palabra no opera'!$A$2&amp;"*"))</f>
        <v>1</v>
      </c>
      <c r="T2167" s="139">
        <f>+$W$5-Tabla2[[#This Row],[FECHA DE FACTURACIÓN]]</f>
        <v>670</v>
      </c>
      <c r="U2167" t="str">
        <f>+IF(Tabla2[[#This Row],[dias de credito]]&gt;=Tabla2[[#This Row],[PLAZO Días]],"venc", "No venc")</f>
        <v>venc</v>
      </c>
      <c r="V2167" t="str">
        <f>+IF(Tabla2[[#This Row],[FECHA DE PAGO]]&gt;0,"pagada","por pagar")</f>
        <v>pagada</v>
      </c>
      <c r="W2167" s="141" t="str">
        <f>+IF(AND(Tabla2[[#This Row],[venc]]="venc",Tabla2[[#This Row],[Columna1]]="por pagar"),"vencida","no")</f>
        <v>no</v>
      </c>
    </row>
    <row r="2168" spans="1:23" ht="15.6" hidden="1" x14ac:dyDescent="0.3">
      <c r="A2168" s="20">
        <v>30</v>
      </c>
      <c r="B2168" s="25">
        <v>0</v>
      </c>
      <c r="C2168" s="25"/>
      <c r="D2168" s="56">
        <v>0</v>
      </c>
      <c r="E2168" s="426">
        <v>44630</v>
      </c>
      <c r="F2168" s="26" t="s">
        <v>642</v>
      </c>
      <c r="G2168" s="426">
        <v>44621</v>
      </c>
      <c r="H2168" s="35" t="s">
        <v>217</v>
      </c>
      <c r="I2168" s="21">
        <v>282057</v>
      </c>
      <c r="J2168" s="21"/>
      <c r="K2168" s="22">
        <v>0</v>
      </c>
      <c r="L2168" s="23"/>
      <c r="M2168" s="22">
        <v>0</v>
      </c>
      <c r="N2168" s="74">
        <v>0</v>
      </c>
      <c r="O2168" s="22">
        <v>0</v>
      </c>
      <c r="P2168" s="21">
        <v>282057</v>
      </c>
      <c r="S2168" s="108" t="b">
        <f>OR(COUNTIF(Tabla2[[#This Row],[PROVEEDOR]],"*"&amp;'Palabra no opera'!$A$2&amp;"*"))</f>
        <v>1</v>
      </c>
      <c r="T2168" s="139">
        <f>+$W$5-Tabla2[[#This Row],[FECHA DE FACTURACIÓN]]</f>
        <v>670</v>
      </c>
      <c r="U2168" t="str">
        <f>+IF(Tabla2[[#This Row],[dias de credito]]&gt;=Tabla2[[#This Row],[PLAZO Días]],"venc", "No venc")</f>
        <v>venc</v>
      </c>
      <c r="V2168" t="str">
        <f>+IF(Tabla2[[#This Row],[FECHA DE PAGO]]&gt;0,"pagada","por pagar")</f>
        <v>pagada</v>
      </c>
      <c r="W2168" s="141" t="str">
        <f>+IF(AND(Tabla2[[#This Row],[venc]]="venc",Tabla2[[#This Row],[Columna1]]="por pagar"),"vencida","no")</f>
        <v>no</v>
      </c>
    </row>
    <row r="2169" spans="1:23" ht="15.6" hidden="1" x14ac:dyDescent="0.3">
      <c r="A2169" s="20">
        <v>13</v>
      </c>
      <c r="B2169" s="25">
        <v>0</v>
      </c>
      <c r="C2169" s="25"/>
      <c r="D2169" s="56">
        <v>0</v>
      </c>
      <c r="E2169" s="426">
        <v>44630</v>
      </c>
      <c r="F2169" s="26" t="s">
        <v>644</v>
      </c>
      <c r="G2169" s="426">
        <v>44621</v>
      </c>
      <c r="H2169" s="35"/>
      <c r="I2169" s="21">
        <v>941847</v>
      </c>
      <c r="J2169" s="21"/>
      <c r="K2169" s="22">
        <v>0</v>
      </c>
      <c r="L2169" s="23"/>
      <c r="M2169" s="22">
        <v>0</v>
      </c>
      <c r="N2169" s="74">
        <v>0</v>
      </c>
      <c r="O2169" s="22">
        <v>0</v>
      </c>
      <c r="P2169" s="21">
        <v>941847</v>
      </c>
      <c r="S2169" s="108" t="b">
        <f>OR(COUNTIF(Tabla2[[#This Row],[PROVEEDOR]],"*"&amp;'Palabra no opera'!$A$2&amp;"*"))</f>
        <v>1</v>
      </c>
      <c r="T2169" s="139">
        <f>+$W$5-Tabla2[[#This Row],[FECHA DE FACTURACIÓN]]</f>
        <v>670</v>
      </c>
      <c r="U2169" t="str">
        <f>+IF(Tabla2[[#This Row],[dias de credito]]&gt;=Tabla2[[#This Row],[PLAZO Días]],"venc", "No venc")</f>
        <v>venc</v>
      </c>
      <c r="V2169" t="str">
        <f>+IF(Tabla2[[#This Row],[FECHA DE PAGO]]&gt;0,"pagada","por pagar")</f>
        <v>pagada</v>
      </c>
      <c r="W2169" s="141" t="str">
        <f>+IF(AND(Tabla2[[#This Row],[venc]]="venc",Tabla2[[#This Row],[Columna1]]="por pagar"),"vencida","no")</f>
        <v>no</v>
      </c>
    </row>
    <row r="2170" spans="1:23" ht="15.6" hidden="1" x14ac:dyDescent="0.3">
      <c r="A2170" s="20">
        <v>30</v>
      </c>
      <c r="B2170" s="25">
        <v>352505.48</v>
      </c>
      <c r="C2170" s="25"/>
      <c r="D2170" s="56" t="s">
        <v>393</v>
      </c>
      <c r="E2170" s="426">
        <v>44630</v>
      </c>
      <c r="F2170" s="26" t="s">
        <v>650</v>
      </c>
      <c r="G2170" s="426">
        <v>44607</v>
      </c>
      <c r="H2170" s="35" t="s">
        <v>436</v>
      </c>
      <c r="I2170" s="21">
        <v>-8522.67</v>
      </c>
      <c r="J2170" s="21"/>
      <c r="K2170" s="22">
        <v>0</v>
      </c>
      <c r="L2170" s="23"/>
      <c r="M2170" s="22">
        <v>0</v>
      </c>
      <c r="N2170" s="74">
        <v>0</v>
      </c>
      <c r="O2170" s="22">
        <v>0</v>
      </c>
      <c r="P2170" s="21">
        <v>-8522.67</v>
      </c>
      <c r="S2170" s="108" t="b">
        <f>OR(COUNTIF(Tabla2[[#This Row],[PROVEEDOR]],"*"&amp;'Palabra no opera'!$A$2&amp;"*"))</f>
        <v>1</v>
      </c>
      <c r="T2170" s="139">
        <f>+$W$5-Tabla2[[#This Row],[FECHA DE FACTURACIÓN]]</f>
        <v>684</v>
      </c>
      <c r="U2170" t="str">
        <f>+IF(Tabla2[[#This Row],[dias de credito]]&gt;=Tabla2[[#This Row],[PLAZO Días]],"venc", "No venc")</f>
        <v>venc</v>
      </c>
      <c r="V2170" t="str">
        <f>+IF(Tabla2[[#This Row],[FECHA DE PAGO]]&gt;0,"pagada","por pagar")</f>
        <v>pagada</v>
      </c>
      <c r="W2170" s="141" t="str">
        <f>+IF(AND(Tabla2[[#This Row],[venc]]="venc",Tabla2[[#This Row],[Columna1]]="por pagar"),"vencida","no")</f>
        <v>no</v>
      </c>
    </row>
    <row r="2171" spans="1:23" ht="15.6" hidden="1" x14ac:dyDescent="0.3">
      <c r="A2171" s="20">
        <v>30</v>
      </c>
      <c r="B2171" s="25">
        <v>0</v>
      </c>
      <c r="C2171" s="25"/>
      <c r="D2171" s="56">
        <v>0</v>
      </c>
      <c r="E2171" s="426">
        <v>44630</v>
      </c>
      <c r="F2171" s="26" t="s">
        <v>633</v>
      </c>
      <c r="G2171" s="426">
        <v>44562</v>
      </c>
      <c r="H2171" s="35" t="s">
        <v>882</v>
      </c>
      <c r="I2171" s="21">
        <v>263948</v>
      </c>
      <c r="J2171" s="21"/>
      <c r="K2171" s="22">
        <v>0</v>
      </c>
      <c r="L2171" s="23"/>
      <c r="M2171" s="22">
        <v>0</v>
      </c>
      <c r="N2171" s="74">
        <v>0</v>
      </c>
      <c r="O2171" s="22">
        <v>0</v>
      </c>
      <c r="P2171" s="21">
        <v>263948</v>
      </c>
      <c r="S2171" s="108" t="b">
        <f>OR(COUNTIF(Tabla2[[#This Row],[PROVEEDOR]],"*"&amp;'Palabra no opera'!$A$2&amp;"*"))</f>
        <v>1</v>
      </c>
      <c r="T2171" s="139">
        <f>+$W$5-Tabla2[[#This Row],[FECHA DE FACTURACIÓN]]</f>
        <v>729</v>
      </c>
      <c r="U2171" t="str">
        <f>+IF(Tabla2[[#This Row],[dias de credito]]&gt;=Tabla2[[#This Row],[PLAZO Días]],"venc", "No venc")</f>
        <v>venc</v>
      </c>
      <c r="V2171" t="str">
        <f>+IF(Tabla2[[#This Row],[FECHA DE PAGO]]&gt;0,"pagada","por pagar")</f>
        <v>pagada</v>
      </c>
      <c r="W2171" s="141" t="str">
        <f>+IF(AND(Tabla2[[#This Row],[venc]]="venc",Tabla2[[#This Row],[Columna1]]="por pagar"),"vencida","no")</f>
        <v>no</v>
      </c>
    </row>
    <row r="2172" spans="1:23" ht="15.6" hidden="1" x14ac:dyDescent="0.3">
      <c r="A2172" s="20">
        <v>30</v>
      </c>
      <c r="B2172" s="25">
        <v>0</v>
      </c>
      <c r="C2172" s="25"/>
      <c r="D2172" s="56">
        <v>0</v>
      </c>
      <c r="E2172" s="426">
        <v>44630</v>
      </c>
      <c r="F2172" s="26" t="s">
        <v>633</v>
      </c>
      <c r="G2172" s="426">
        <v>44562</v>
      </c>
      <c r="H2172" s="35" t="s">
        <v>883</v>
      </c>
      <c r="I2172" s="21">
        <v>1591380</v>
      </c>
      <c r="J2172" s="21"/>
      <c r="K2172" s="22">
        <v>0</v>
      </c>
      <c r="L2172" s="23"/>
      <c r="M2172" s="22">
        <v>0</v>
      </c>
      <c r="N2172" s="74">
        <v>0</v>
      </c>
      <c r="O2172" s="22">
        <v>0</v>
      </c>
      <c r="P2172" s="21">
        <v>1591380</v>
      </c>
      <c r="S2172" s="108" t="b">
        <f>OR(COUNTIF(Tabla2[[#This Row],[PROVEEDOR]],"*"&amp;'Palabra no opera'!$A$2&amp;"*"))</f>
        <v>1</v>
      </c>
      <c r="T2172" s="139">
        <f>+$W$5-Tabla2[[#This Row],[FECHA DE FACTURACIÓN]]</f>
        <v>729</v>
      </c>
      <c r="U2172" t="str">
        <f>+IF(Tabla2[[#This Row],[dias de credito]]&gt;=Tabla2[[#This Row],[PLAZO Días]],"venc", "No venc")</f>
        <v>venc</v>
      </c>
      <c r="V2172" t="str">
        <f>+IF(Tabla2[[#This Row],[FECHA DE PAGO]]&gt;0,"pagada","por pagar")</f>
        <v>pagada</v>
      </c>
      <c r="W2172" s="141" t="str">
        <f>+IF(AND(Tabla2[[#This Row],[venc]]="venc",Tabla2[[#This Row],[Columna1]]="por pagar"),"vencida","no")</f>
        <v>no</v>
      </c>
    </row>
    <row r="2173" spans="1:23" ht="15.6" hidden="1" x14ac:dyDescent="0.3">
      <c r="A2173" s="20">
        <v>30</v>
      </c>
      <c r="B2173" s="25">
        <v>22881826.27</v>
      </c>
      <c r="C2173" s="25"/>
      <c r="D2173" s="56" t="s">
        <v>197</v>
      </c>
      <c r="E2173" s="426">
        <v>44629</v>
      </c>
      <c r="F2173" s="26" t="s">
        <v>9</v>
      </c>
      <c r="G2173" s="426">
        <v>44629</v>
      </c>
      <c r="H2173" s="35">
        <v>75251</v>
      </c>
      <c r="I2173" s="21">
        <v>180307</v>
      </c>
      <c r="J2173" s="21"/>
      <c r="K2173" s="22">
        <v>34258.33</v>
      </c>
      <c r="L2173" s="23"/>
      <c r="M2173" s="22">
        <v>0</v>
      </c>
      <c r="N2173" s="74">
        <v>0</v>
      </c>
      <c r="O2173" s="22">
        <v>0</v>
      </c>
      <c r="P2173" s="21">
        <v>214565.33000000002</v>
      </c>
      <c r="S2173" s="108" t="b">
        <f>OR(COUNTIF(Tabla2[[#This Row],[PROVEEDOR]],"*"&amp;'Palabra no opera'!$A$2&amp;"*"))</f>
        <v>0</v>
      </c>
      <c r="T2173" s="139">
        <f>+$W$5-Tabla2[[#This Row],[FECHA DE FACTURACIÓN]]</f>
        <v>662</v>
      </c>
      <c r="U2173" t="str">
        <f>+IF(Tabla2[[#This Row],[dias de credito]]&gt;=Tabla2[[#This Row],[PLAZO Días]],"venc", "No venc")</f>
        <v>venc</v>
      </c>
      <c r="V2173" t="str">
        <f>+IF(Tabla2[[#This Row],[FECHA DE PAGO]]&gt;0,"pagada","por pagar")</f>
        <v>pagada</v>
      </c>
      <c r="W2173" s="141" t="str">
        <f>+IF(AND(Tabla2[[#This Row],[venc]]="venc",Tabla2[[#This Row],[Columna1]]="por pagar"),"vencida","no")</f>
        <v>no</v>
      </c>
    </row>
    <row r="2174" spans="1:23" ht="15.6" hidden="1" x14ac:dyDescent="0.3">
      <c r="A2174" s="20">
        <v>30</v>
      </c>
      <c r="B2174" s="25">
        <v>0</v>
      </c>
      <c r="C2174" s="25"/>
      <c r="D2174" s="56" t="s">
        <v>107</v>
      </c>
      <c r="E2174" s="426">
        <v>44628</v>
      </c>
      <c r="F2174" s="26" t="s">
        <v>396</v>
      </c>
      <c r="G2174" s="426">
        <v>44628</v>
      </c>
      <c r="H2174" s="35" t="s">
        <v>1008</v>
      </c>
      <c r="I2174" s="21">
        <v>630000</v>
      </c>
      <c r="J2174" s="21"/>
      <c r="K2174" s="22">
        <v>0</v>
      </c>
      <c r="L2174" s="23"/>
      <c r="M2174" s="22">
        <v>0</v>
      </c>
      <c r="N2174" s="74">
        <v>0</v>
      </c>
      <c r="O2174" s="22">
        <v>0</v>
      </c>
      <c r="P2174" s="21">
        <v>630000</v>
      </c>
      <c r="S2174" s="108" t="b">
        <f>OR(COUNTIF(Tabla2[[#This Row],[PROVEEDOR]],"*"&amp;'Palabra no opera'!$A$2&amp;"*"))</f>
        <v>0</v>
      </c>
      <c r="T2174" s="139">
        <f>+$W$5-Tabla2[[#This Row],[FECHA DE FACTURACIÓN]]</f>
        <v>663</v>
      </c>
      <c r="U2174" t="str">
        <f>+IF(Tabla2[[#This Row],[dias de credito]]&gt;=Tabla2[[#This Row],[PLAZO Días]],"venc", "No venc")</f>
        <v>venc</v>
      </c>
      <c r="V2174" t="str">
        <f>+IF(Tabla2[[#This Row],[FECHA DE PAGO]]&gt;0,"pagada","por pagar")</f>
        <v>pagada</v>
      </c>
      <c r="W2174" s="141" t="str">
        <f>+IF(AND(Tabla2[[#This Row],[venc]]="venc",Tabla2[[#This Row],[Columna1]]="por pagar"),"vencida","no")</f>
        <v>no</v>
      </c>
    </row>
    <row r="2175" spans="1:23" ht="15.6" hidden="1" x14ac:dyDescent="0.3">
      <c r="A2175" s="20">
        <v>30</v>
      </c>
      <c r="B2175" s="25">
        <v>0</v>
      </c>
      <c r="C2175" s="25"/>
      <c r="D2175" s="56" t="s">
        <v>107</v>
      </c>
      <c r="E2175" s="426">
        <v>44628</v>
      </c>
      <c r="F2175" s="26" t="s">
        <v>396</v>
      </c>
      <c r="G2175" s="426">
        <v>44602</v>
      </c>
      <c r="H2175" s="35" t="s">
        <v>1001</v>
      </c>
      <c r="I2175" s="21">
        <v>360000</v>
      </c>
      <c r="J2175" s="21"/>
      <c r="K2175" s="22">
        <v>0</v>
      </c>
      <c r="L2175" s="23"/>
      <c r="M2175" s="22">
        <v>0</v>
      </c>
      <c r="N2175" s="74">
        <v>0</v>
      </c>
      <c r="O2175" s="22">
        <v>0</v>
      </c>
      <c r="P2175" s="21">
        <v>360000</v>
      </c>
      <c r="S2175" s="108" t="b">
        <f>OR(COUNTIF(Tabla2[[#This Row],[PROVEEDOR]],"*"&amp;'Palabra no opera'!$A$2&amp;"*"))</f>
        <v>0</v>
      </c>
      <c r="T2175" s="139">
        <f>+$W$5-Tabla2[[#This Row],[FECHA DE FACTURACIÓN]]</f>
        <v>689</v>
      </c>
      <c r="U2175" t="str">
        <f>+IF(Tabla2[[#This Row],[dias de credito]]&gt;=Tabla2[[#This Row],[PLAZO Días]],"venc", "No venc")</f>
        <v>venc</v>
      </c>
      <c r="V2175" t="str">
        <f>+IF(Tabla2[[#This Row],[FECHA DE PAGO]]&gt;0,"pagada","por pagar")</f>
        <v>pagada</v>
      </c>
      <c r="W2175" s="141" t="str">
        <f>+IF(AND(Tabla2[[#This Row],[venc]]="venc",Tabla2[[#This Row],[Columna1]]="por pagar"),"vencida","no")</f>
        <v>no</v>
      </c>
    </row>
    <row r="2176" spans="1:23" ht="15.6" hidden="1" x14ac:dyDescent="0.3">
      <c r="A2176" s="20">
        <v>30</v>
      </c>
      <c r="B2176" s="25">
        <v>0</v>
      </c>
      <c r="C2176" s="25"/>
      <c r="D2176" s="56" t="s">
        <v>107</v>
      </c>
      <c r="E2176" s="426">
        <v>44627</v>
      </c>
      <c r="F2176" s="26" t="s">
        <v>378</v>
      </c>
      <c r="G2176" s="426">
        <v>44627</v>
      </c>
      <c r="H2176" s="35" t="s">
        <v>379</v>
      </c>
      <c r="I2176" s="21">
        <v>540000</v>
      </c>
      <c r="J2176" s="21"/>
      <c r="K2176" s="22">
        <v>0</v>
      </c>
      <c r="L2176" s="23"/>
      <c r="M2176" s="22">
        <v>0</v>
      </c>
      <c r="N2176" s="74">
        <v>0</v>
      </c>
      <c r="O2176" s="22">
        <v>0</v>
      </c>
      <c r="P2176" s="21">
        <v>540000</v>
      </c>
      <c r="S2176" s="108" t="b">
        <f>OR(COUNTIF(Tabla2[[#This Row],[PROVEEDOR]],"*"&amp;'Palabra no opera'!$A$2&amp;"*"))</f>
        <v>0</v>
      </c>
      <c r="T2176" s="139">
        <f>+$W$5-Tabla2[[#This Row],[FECHA DE FACTURACIÓN]]</f>
        <v>664</v>
      </c>
      <c r="U2176" t="str">
        <f>+IF(Tabla2[[#This Row],[dias de credito]]&gt;=Tabla2[[#This Row],[PLAZO Días]],"venc", "No venc")</f>
        <v>venc</v>
      </c>
      <c r="V2176" t="str">
        <f>+IF(Tabla2[[#This Row],[FECHA DE PAGO]]&gt;0,"pagada","por pagar")</f>
        <v>pagada</v>
      </c>
      <c r="W2176" s="141" t="str">
        <f>+IF(AND(Tabla2[[#This Row],[venc]]="venc",Tabla2[[#This Row],[Columna1]]="por pagar"),"vencida","no")</f>
        <v>no</v>
      </c>
    </row>
    <row r="2177" spans="1:23" ht="15.6" hidden="1" x14ac:dyDescent="0.3">
      <c r="A2177" s="20">
        <v>30</v>
      </c>
      <c r="B2177" s="25">
        <v>0</v>
      </c>
      <c r="C2177" s="25"/>
      <c r="D2177" s="56" t="s">
        <v>107</v>
      </c>
      <c r="E2177" s="426">
        <v>44627</v>
      </c>
      <c r="F2177" s="26" t="s">
        <v>401</v>
      </c>
      <c r="G2177" s="426">
        <v>44589</v>
      </c>
      <c r="H2177" s="35">
        <v>2371</v>
      </c>
      <c r="I2177" s="21">
        <v>1036500</v>
      </c>
      <c r="J2177" s="21"/>
      <c r="K2177" s="22">
        <v>0</v>
      </c>
      <c r="L2177" s="23"/>
      <c r="M2177" s="22">
        <v>0</v>
      </c>
      <c r="N2177" s="74">
        <v>0</v>
      </c>
      <c r="O2177" s="22">
        <v>0</v>
      </c>
      <c r="P2177" s="21">
        <v>1329000</v>
      </c>
      <c r="S2177" s="108" t="b">
        <f>OR(COUNTIF(Tabla2[[#This Row],[PROVEEDOR]],"*"&amp;'Palabra no opera'!$A$2&amp;"*"))</f>
        <v>0</v>
      </c>
      <c r="T2177" s="139">
        <f>+$W$5-Tabla2[[#This Row],[FECHA DE FACTURACIÓN]]</f>
        <v>702</v>
      </c>
      <c r="U2177" t="str">
        <f>+IF(Tabla2[[#This Row],[dias de credito]]&gt;=Tabla2[[#This Row],[PLAZO Días]],"venc", "No venc")</f>
        <v>venc</v>
      </c>
      <c r="V2177" t="str">
        <f>+IF(Tabla2[[#This Row],[FECHA DE PAGO]]&gt;0,"pagada","por pagar")</f>
        <v>pagada</v>
      </c>
      <c r="W2177" s="141" t="str">
        <f>+IF(AND(Tabla2[[#This Row],[venc]]="venc",Tabla2[[#This Row],[Columna1]]="por pagar"),"vencida","no")</f>
        <v>no</v>
      </c>
    </row>
    <row r="2178" spans="1:23" ht="15.6" hidden="1" x14ac:dyDescent="0.3">
      <c r="A2178" s="20">
        <v>30</v>
      </c>
      <c r="B2178" s="25">
        <v>0</v>
      </c>
      <c r="C2178" s="25"/>
      <c r="D2178" s="56" t="s">
        <v>659</v>
      </c>
      <c r="E2178" s="426">
        <v>44624</v>
      </c>
      <c r="F2178" s="26" t="s">
        <v>335</v>
      </c>
      <c r="G2178" s="426">
        <v>44603</v>
      </c>
      <c r="H2178" s="35" t="s">
        <v>457</v>
      </c>
      <c r="I2178" s="21">
        <v>182658.72</v>
      </c>
      <c r="J2178" s="21"/>
      <c r="K2178" s="22">
        <v>0</v>
      </c>
      <c r="L2178" s="23"/>
      <c r="M2178" s="22">
        <v>0</v>
      </c>
      <c r="N2178" s="74">
        <v>0</v>
      </c>
      <c r="O2178" s="22">
        <v>0</v>
      </c>
      <c r="P2178" s="21">
        <v>182658.72</v>
      </c>
      <c r="S2178" s="108" t="b">
        <f>OR(COUNTIF(Tabla2[[#This Row],[PROVEEDOR]],"*"&amp;'Palabra no opera'!$A$2&amp;"*"))</f>
        <v>0</v>
      </c>
      <c r="T2178" s="139">
        <f>+$W$5-Tabla2[[#This Row],[FECHA DE FACTURACIÓN]]</f>
        <v>688</v>
      </c>
      <c r="U2178" t="str">
        <f>+IF(Tabla2[[#This Row],[dias de credito]]&gt;=Tabla2[[#This Row],[PLAZO Días]],"venc", "No venc")</f>
        <v>venc</v>
      </c>
      <c r="V2178" t="str">
        <f>+IF(Tabla2[[#This Row],[FECHA DE PAGO]]&gt;0,"pagada","por pagar")</f>
        <v>pagada</v>
      </c>
      <c r="W2178" s="141" t="str">
        <f>+IF(AND(Tabla2[[#This Row],[venc]]="venc",Tabla2[[#This Row],[Columna1]]="por pagar"),"vencida","no")</f>
        <v>no</v>
      </c>
    </row>
    <row r="2179" spans="1:23" ht="15.6" hidden="1" x14ac:dyDescent="0.3">
      <c r="A2179" s="20">
        <v>30</v>
      </c>
      <c r="B2179" s="25">
        <v>0</v>
      </c>
      <c r="C2179" s="25"/>
      <c r="D2179" s="56" t="s">
        <v>190</v>
      </c>
      <c r="E2179" s="426">
        <v>44624</v>
      </c>
      <c r="F2179" s="26" t="s">
        <v>964</v>
      </c>
      <c r="G2179" s="426">
        <v>44589</v>
      </c>
      <c r="H2179" s="35">
        <v>26650</v>
      </c>
      <c r="I2179" s="21">
        <v>4800000</v>
      </c>
      <c r="J2179" s="21"/>
      <c r="K2179" s="22">
        <v>912000</v>
      </c>
      <c r="L2179" s="23"/>
      <c r="M2179" s="22">
        <v>0</v>
      </c>
      <c r="N2179" s="74">
        <v>2.5000000000000001E-2</v>
      </c>
      <c r="O2179" s="22">
        <v>120000</v>
      </c>
      <c r="P2179" s="21">
        <v>5592000</v>
      </c>
      <c r="S2179" s="108" t="b">
        <f>OR(COUNTIF(Tabla2[[#This Row],[PROVEEDOR]],"*"&amp;'Palabra no opera'!$A$2&amp;"*"))</f>
        <v>0</v>
      </c>
      <c r="T2179" s="139">
        <f>+$W$5-Tabla2[[#This Row],[FECHA DE FACTURACIÓN]]</f>
        <v>702</v>
      </c>
      <c r="U2179" t="str">
        <f>+IF(Tabla2[[#This Row],[dias de credito]]&gt;=Tabla2[[#This Row],[PLAZO Días]],"venc", "No venc")</f>
        <v>venc</v>
      </c>
      <c r="V2179" t="str">
        <f>+IF(Tabla2[[#This Row],[FECHA DE PAGO]]&gt;0,"pagada","por pagar")</f>
        <v>pagada</v>
      </c>
      <c r="W2179" s="141" t="str">
        <f>+IF(AND(Tabla2[[#This Row],[venc]]="venc",Tabla2[[#This Row],[Columna1]]="por pagar"),"vencida","no")</f>
        <v>no</v>
      </c>
    </row>
    <row r="2180" spans="1:23" ht="15.6" hidden="1" x14ac:dyDescent="0.3">
      <c r="A2180" s="20">
        <v>45</v>
      </c>
      <c r="B2180" s="25">
        <v>15770594</v>
      </c>
      <c r="C2180" s="25"/>
      <c r="D2180" s="56" t="s">
        <v>594</v>
      </c>
      <c r="E2180" s="426">
        <v>44624</v>
      </c>
      <c r="F2180" s="26" t="s">
        <v>19</v>
      </c>
      <c r="G2180" s="426">
        <v>44581</v>
      </c>
      <c r="H2180" s="35" t="s">
        <v>464</v>
      </c>
      <c r="I2180" s="21">
        <v>3491200</v>
      </c>
      <c r="J2180" s="21"/>
      <c r="K2180" s="22">
        <v>663328</v>
      </c>
      <c r="L2180" s="23"/>
      <c r="M2180" s="22">
        <v>0</v>
      </c>
      <c r="N2180" s="74">
        <v>0</v>
      </c>
      <c r="O2180" s="22">
        <v>0</v>
      </c>
      <c r="P2180" s="21">
        <v>4154528</v>
      </c>
      <c r="S2180" s="108" t="b">
        <f>OR(COUNTIF(Tabla2[[#This Row],[PROVEEDOR]],"*"&amp;'Palabra no opera'!$A$2&amp;"*"))</f>
        <v>0</v>
      </c>
      <c r="T2180" s="139">
        <f>+$W$5-Tabla2[[#This Row],[FECHA DE FACTURACIÓN]]</f>
        <v>710</v>
      </c>
      <c r="U2180" t="str">
        <f>+IF(Tabla2[[#This Row],[dias de credito]]&gt;=Tabla2[[#This Row],[PLAZO Días]],"venc", "No venc")</f>
        <v>venc</v>
      </c>
      <c r="V2180" t="str">
        <f>+IF(Tabla2[[#This Row],[FECHA DE PAGO]]&gt;0,"pagada","por pagar")</f>
        <v>pagada</v>
      </c>
      <c r="W2180" s="141" t="str">
        <f>+IF(AND(Tabla2[[#This Row],[venc]]="venc",Tabla2[[#This Row],[Columna1]]="por pagar"),"vencida","no")</f>
        <v>no</v>
      </c>
    </row>
    <row r="2181" spans="1:23" ht="15.6" hidden="1" x14ac:dyDescent="0.3">
      <c r="A2181" s="20">
        <v>30</v>
      </c>
      <c r="B2181" s="25">
        <v>-139600.09</v>
      </c>
      <c r="C2181" s="25"/>
      <c r="D2181" s="56" t="s">
        <v>728</v>
      </c>
      <c r="E2181" s="426">
        <v>44624</v>
      </c>
      <c r="F2181" s="26" t="s">
        <v>32</v>
      </c>
      <c r="G2181" s="426">
        <v>44579</v>
      </c>
      <c r="H2181" s="35" t="s">
        <v>339</v>
      </c>
      <c r="I2181" s="21">
        <v>2379411.12</v>
      </c>
      <c r="J2181" s="21"/>
      <c r="K2181" s="22">
        <v>452088.1128</v>
      </c>
      <c r="L2181" s="23"/>
      <c r="M2181" s="22">
        <v>0</v>
      </c>
      <c r="N2181" s="74">
        <v>2.5000000000000001E-2</v>
      </c>
      <c r="O2181" s="22">
        <v>59485.278000000006</v>
      </c>
      <c r="P2181" s="21">
        <v>2772013.9548000004</v>
      </c>
      <c r="S2181" s="108" t="b">
        <f>OR(COUNTIF(Tabla2[[#This Row],[PROVEEDOR]],"*"&amp;'Palabra no opera'!$A$2&amp;"*"))</f>
        <v>0</v>
      </c>
      <c r="T2181" s="139">
        <f>+$W$5-Tabla2[[#This Row],[FECHA DE FACTURACIÓN]]</f>
        <v>712</v>
      </c>
      <c r="U2181" t="str">
        <f>+IF(Tabla2[[#This Row],[dias de credito]]&gt;=Tabla2[[#This Row],[PLAZO Días]],"venc", "No venc")</f>
        <v>venc</v>
      </c>
      <c r="V2181" t="str">
        <f>+IF(Tabla2[[#This Row],[FECHA DE PAGO]]&gt;0,"pagada","por pagar")</f>
        <v>pagada</v>
      </c>
      <c r="W2181" s="141" t="str">
        <f>+IF(AND(Tabla2[[#This Row],[venc]]="venc",Tabla2[[#This Row],[Columna1]]="por pagar"),"vencida","no")</f>
        <v>no</v>
      </c>
    </row>
    <row r="2182" spans="1:23" ht="15.6" hidden="1" x14ac:dyDescent="0.3">
      <c r="A2182" s="20">
        <v>30</v>
      </c>
      <c r="B2182" s="25">
        <v>18444236.894999996</v>
      </c>
      <c r="C2182" s="25"/>
      <c r="D2182" s="56" t="s">
        <v>731</v>
      </c>
      <c r="E2182" s="426">
        <v>44624</v>
      </c>
      <c r="F2182" s="26" t="s">
        <v>11</v>
      </c>
      <c r="G2182" s="426">
        <v>44579</v>
      </c>
      <c r="H2182" s="35" t="s">
        <v>336</v>
      </c>
      <c r="I2182" s="21">
        <v>2740840</v>
      </c>
      <c r="J2182" s="21"/>
      <c r="K2182" s="22">
        <v>520759.60000000003</v>
      </c>
      <c r="L2182" s="23"/>
      <c r="M2182" s="22">
        <v>0</v>
      </c>
      <c r="N2182" s="74">
        <v>2.5000000000000001E-2</v>
      </c>
      <c r="O2182" s="22">
        <v>68521</v>
      </c>
      <c r="P2182" s="21">
        <v>3193078.6</v>
      </c>
      <c r="S2182" s="108" t="b">
        <f>OR(COUNTIF(Tabla2[[#This Row],[PROVEEDOR]],"*"&amp;'Palabra no opera'!$A$2&amp;"*"))</f>
        <v>0</v>
      </c>
      <c r="T2182" s="139">
        <f>+$W$5-Tabla2[[#This Row],[FECHA DE FACTURACIÓN]]</f>
        <v>712</v>
      </c>
      <c r="U2182" t="str">
        <f>+IF(Tabla2[[#This Row],[dias de credito]]&gt;=Tabla2[[#This Row],[PLAZO Días]],"venc", "No venc")</f>
        <v>venc</v>
      </c>
      <c r="V2182" t="str">
        <f>+IF(Tabla2[[#This Row],[FECHA DE PAGO]]&gt;0,"pagada","por pagar")</f>
        <v>pagada</v>
      </c>
      <c r="W2182" s="141" t="str">
        <f>+IF(AND(Tabla2[[#This Row],[venc]]="venc",Tabla2[[#This Row],[Columna1]]="por pagar"),"vencida","no")</f>
        <v>no</v>
      </c>
    </row>
    <row r="2183" spans="1:23" ht="15.6" hidden="1" x14ac:dyDescent="0.3">
      <c r="A2183" s="20">
        <v>30</v>
      </c>
      <c r="B2183" s="25">
        <v>12030261.305</v>
      </c>
      <c r="C2183" s="25"/>
      <c r="D2183" s="56" t="s">
        <v>179</v>
      </c>
      <c r="E2183" s="426">
        <v>44624</v>
      </c>
      <c r="F2183" s="26" t="s">
        <v>12</v>
      </c>
      <c r="G2183" s="426">
        <v>44541</v>
      </c>
      <c r="H2183" s="35" t="s">
        <v>301</v>
      </c>
      <c r="I2183" s="21">
        <v>2907563</v>
      </c>
      <c r="J2183" s="21"/>
      <c r="K2183" s="22">
        <v>552436.97</v>
      </c>
      <c r="L2183" s="23"/>
      <c r="M2183" s="22">
        <v>0</v>
      </c>
      <c r="N2183" s="74">
        <v>2.5000000000000001E-2</v>
      </c>
      <c r="O2183" s="22">
        <v>72689.074999999997</v>
      </c>
      <c r="P2183" s="21">
        <v>3387310.8949999996</v>
      </c>
      <c r="S2183" s="108" t="b">
        <f>OR(COUNTIF(Tabla2[[#This Row],[PROVEEDOR]],"*"&amp;'Palabra no opera'!$A$2&amp;"*"))</f>
        <v>0</v>
      </c>
      <c r="T2183" s="139">
        <f>+$W$5-Tabla2[[#This Row],[FECHA DE FACTURACIÓN]]</f>
        <v>750</v>
      </c>
      <c r="U2183" t="str">
        <f>+IF(Tabla2[[#This Row],[dias de credito]]&gt;=Tabla2[[#This Row],[PLAZO Días]],"venc", "No venc")</f>
        <v>venc</v>
      </c>
      <c r="V2183" t="str">
        <f>+IF(Tabla2[[#This Row],[FECHA DE PAGO]]&gt;0,"pagada","por pagar")</f>
        <v>pagada</v>
      </c>
      <c r="W2183" s="141" t="str">
        <f>+IF(AND(Tabla2[[#This Row],[venc]]="venc",Tabla2[[#This Row],[Columna1]]="por pagar"),"vencida","no")</f>
        <v>no</v>
      </c>
    </row>
    <row r="2184" spans="1:23" ht="15.6" hidden="1" x14ac:dyDescent="0.3">
      <c r="A2184" s="20">
        <v>30</v>
      </c>
      <c r="B2184" s="25">
        <v>12030261.305</v>
      </c>
      <c r="C2184" s="25"/>
      <c r="D2184" s="56" t="s">
        <v>179</v>
      </c>
      <c r="E2184" s="426">
        <v>44624</v>
      </c>
      <c r="F2184" s="26" t="s">
        <v>12</v>
      </c>
      <c r="G2184" s="426">
        <v>44541</v>
      </c>
      <c r="H2184" s="35" t="s">
        <v>300</v>
      </c>
      <c r="I2184" s="21">
        <v>7164707</v>
      </c>
      <c r="J2184" s="21"/>
      <c r="K2184" s="22">
        <v>1361294.33</v>
      </c>
      <c r="L2184" s="23"/>
      <c r="M2184" s="22">
        <v>0</v>
      </c>
      <c r="N2184" s="74">
        <v>2.5000000000000001E-2</v>
      </c>
      <c r="O2184" s="22">
        <v>179117.67500000002</v>
      </c>
      <c r="P2184" s="21">
        <v>8346883.6550000003</v>
      </c>
      <c r="S2184" s="108" t="b">
        <f>OR(COUNTIF(Tabla2[[#This Row],[PROVEEDOR]],"*"&amp;'Palabra no opera'!$A$2&amp;"*"))</f>
        <v>0</v>
      </c>
      <c r="T2184" s="139">
        <f>+$W$5-Tabla2[[#This Row],[FECHA DE FACTURACIÓN]]</f>
        <v>750</v>
      </c>
      <c r="U2184" t="str">
        <f>+IF(Tabla2[[#This Row],[dias de credito]]&gt;=Tabla2[[#This Row],[PLAZO Días]],"venc", "No venc")</f>
        <v>venc</v>
      </c>
      <c r="V2184" t="str">
        <f>+IF(Tabla2[[#This Row],[FECHA DE PAGO]]&gt;0,"pagada","por pagar")</f>
        <v>pagada</v>
      </c>
      <c r="W2184" s="141" t="str">
        <f>+IF(AND(Tabla2[[#This Row],[venc]]="venc",Tabla2[[#This Row],[Columna1]]="por pagar"),"vencida","no")</f>
        <v>no</v>
      </c>
    </row>
    <row r="2185" spans="1:23" ht="15.6" hidden="1" x14ac:dyDescent="0.3">
      <c r="A2185" s="20">
        <v>10</v>
      </c>
      <c r="B2185" s="25">
        <v>0</v>
      </c>
      <c r="C2185" s="25"/>
      <c r="D2185" s="56" t="s">
        <v>332</v>
      </c>
      <c r="E2185" s="426">
        <v>44623</v>
      </c>
      <c r="F2185" s="26" t="s">
        <v>614</v>
      </c>
      <c r="G2185" s="426">
        <v>44623</v>
      </c>
      <c r="H2185" s="35" t="s">
        <v>333</v>
      </c>
      <c r="I2185" s="21">
        <v>2400000</v>
      </c>
      <c r="J2185" s="21"/>
      <c r="K2185" s="22">
        <v>0</v>
      </c>
      <c r="L2185" s="23"/>
      <c r="M2185" s="22">
        <v>0</v>
      </c>
      <c r="N2185" s="74">
        <v>0</v>
      </c>
      <c r="O2185" s="22">
        <v>0</v>
      </c>
      <c r="P2185" s="21">
        <v>2400000</v>
      </c>
      <c r="S2185" s="108" t="b">
        <f>OR(COUNTIF(Tabla2[[#This Row],[PROVEEDOR]],"*"&amp;'Palabra no opera'!$A$2&amp;"*"))</f>
        <v>1</v>
      </c>
      <c r="T2185" s="139">
        <f>+$W$5-Tabla2[[#This Row],[FECHA DE FACTURACIÓN]]</f>
        <v>668</v>
      </c>
      <c r="U2185" t="str">
        <f>+IF(Tabla2[[#This Row],[dias de credito]]&gt;=Tabla2[[#This Row],[PLAZO Días]],"venc", "No venc")</f>
        <v>venc</v>
      </c>
      <c r="V2185" t="str">
        <f>+IF(Tabla2[[#This Row],[FECHA DE PAGO]]&gt;0,"pagada","por pagar")</f>
        <v>pagada</v>
      </c>
      <c r="W2185" s="141" t="str">
        <f>+IF(AND(Tabla2[[#This Row],[venc]]="venc",Tabla2[[#This Row],[Columna1]]="por pagar"),"vencida","no")</f>
        <v>no</v>
      </c>
    </row>
    <row r="2186" spans="1:23" ht="15.6" hidden="1" x14ac:dyDescent="0.3">
      <c r="A2186" s="20">
        <v>30</v>
      </c>
      <c r="B2186" s="25">
        <v>0</v>
      </c>
      <c r="C2186" s="25"/>
      <c r="D2186" s="56" t="s">
        <v>107</v>
      </c>
      <c r="E2186" s="426">
        <v>44623</v>
      </c>
      <c r="F2186" s="26" t="s">
        <v>390</v>
      </c>
      <c r="G2186" s="426">
        <v>44623</v>
      </c>
      <c r="H2186" s="35"/>
      <c r="I2186" s="21">
        <v>1000000</v>
      </c>
      <c r="J2186" s="21"/>
      <c r="K2186" s="22">
        <v>0</v>
      </c>
      <c r="L2186" s="23"/>
      <c r="M2186" s="22">
        <v>0</v>
      </c>
      <c r="N2186" s="74">
        <v>0</v>
      </c>
      <c r="O2186" s="22">
        <v>0</v>
      </c>
      <c r="P2186" s="21">
        <v>1000000</v>
      </c>
      <c r="S2186" s="108" t="b">
        <f>OR(COUNTIF(Tabla2[[#This Row],[PROVEEDOR]],"*"&amp;'Palabra no opera'!$A$2&amp;"*"))</f>
        <v>0</v>
      </c>
      <c r="T2186" s="139">
        <f>+$W$5-Tabla2[[#This Row],[FECHA DE FACTURACIÓN]]</f>
        <v>668</v>
      </c>
      <c r="U2186" t="str">
        <f>+IF(Tabla2[[#This Row],[dias de credito]]&gt;=Tabla2[[#This Row],[PLAZO Días]],"venc", "No venc")</f>
        <v>venc</v>
      </c>
      <c r="V2186" t="str">
        <f>+IF(Tabla2[[#This Row],[FECHA DE PAGO]]&gt;0,"pagada","por pagar")</f>
        <v>pagada</v>
      </c>
      <c r="W2186" s="141" t="str">
        <f>+IF(AND(Tabla2[[#This Row],[venc]]="venc",Tabla2[[#This Row],[Columna1]]="por pagar"),"vencida","no")</f>
        <v>no</v>
      </c>
    </row>
    <row r="2187" spans="1:23" ht="15.6" hidden="1" x14ac:dyDescent="0.3">
      <c r="A2187" s="20">
        <v>30</v>
      </c>
      <c r="B2187" s="25">
        <v>0</v>
      </c>
      <c r="C2187" s="25"/>
      <c r="D2187" s="56">
        <v>0</v>
      </c>
      <c r="E2187" s="426">
        <v>44623</v>
      </c>
      <c r="F2187" s="26" t="s">
        <v>413</v>
      </c>
      <c r="G2187" s="426">
        <v>44611</v>
      </c>
      <c r="H2187" s="35" t="s">
        <v>1004</v>
      </c>
      <c r="I2187" s="21">
        <v>637000</v>
      </c>
      <c r="J2187" s="21"/>
      <c r="K2187" s="22">
        <v>0</v>
      </c>
      <c r="L2187" s="23"/>
      <c r="M2187" s="22">
        <v>0</v>
      </c>
      <c r="N2187" s="74">
        <v>0</v>
      </c>
      <c r="O2187" s="22">
        <v>0</v>
      </c>
      <c r="P2187" s="21">
        <v>637000</v>
      </c>
      <c r="S2187" s="108" t="b">
        <f>OR(COUNTIF(Tabla2[[#This Row],[PROVEEDOR]],"*"&amp;'Palabra no opera'!$A$2&amp;"*"))</f>
        <v>0</v>
      </c>
      <c r="T2187" s="139">
        <f>+$W$5-Tabla2[[#This Row],[FECHA DE FACTURACIÓN]]</f>
        <v>680</v>
      </c>
      <c r="U2187" t="str">
        <f>+IF(Tabla2[[#This Row],[dias de credito]]&gt;=Tabla2[[#This Row],[PLAZO Días]],"venc", "No venc")</f>
        <v>venc</v>
      </c>
      <c r="V2187" t="str">
        <f>+IF(Tabla2[[#This Row],[FECHA DE PAGO]]&gt;0,"pagada","por pagar")</f>
        <v>pagada</v>
      </c>
      <c r="W2187" s="141" t="str">
        <f>+IF(AND(Tabla2[[#This Row],[venc]]="venc",Tabla2[[#This Row],[Columna1]]="por pagar"),"vencida","no")</f>
        <v>no</v>
      </c>
    </row>
    <row r="2188" spans="1:23" ht="15.6" hidden="1" x14ac:dyDescent="0.3">
      <c r="A2188" s="20">
        <v>45</v>
      </c>
      <c r="B2188" s="25">
        <v>0</v>
      </c>
      <c r="C2188" s="25"/>
      <c r="D2188" s="56" t="s">
        <v>1482</v>
      </c>
      <c r="E2188" s="426">
        <v>44623</v>
      </c>
      <c r="F2188" s="26" t="s">
        <v>288</v>
      </c>
      <c r="G2188" s="426">
        <v>44587</v>
      </c>
      <c r="H2188" s="35" t="s">
        <v>419</v>
      </c>
      <c r="I2188" s="21">
        <v>2706000</v>
      </c>
      <c r="J2188" s="21"/>
      <c r="K2188" s="22">
        <v>0</v>
      </c>
      <c r="L2188" s="23"/>
      <c r="M2188" s="22">
        <v>0</v>
      </c>
      <c r="N2188" s="74">
        <v>0</v>
      </c>
      <c r="O2188" s="22">
        <v>0</v>
      </c>
      <c r="P2188" s="21">
        <v>2706000</v>
      </c>
      <c r="S2188" s="108" t="b">
        <f>OR(COUNTIF(Tabla2[[#This Row],[PROVEEDOR]],"*"&amp;'Palabra no opera'!$A$2&amp;"*"))</f>
        <v>0</v>
      </c>
      <c r="T2188" s="139">
        <f>+$W$5-Tabla2[[#This Row],[FECHA DE FACTURACIÓN]]</f>
        <v>704</v>
      </c>
      <c r="U2188" t="str">
        <f>+IF(Tabla2[[#This Row],[dias de credito]]&gt;=Tabla2[[#This Row],[PLAZO Días]],"venc", "No venc")</f>
        <v>venc</v>
      </c>
      <c r="V2188" t="str">
        <f>+IF(Tabla2[[#This Row],[FECHA DE PAGO]]&gt;0,"pagada","por pagar")</f>
        <v>pagada</v>
      </c>
      <c r="W2188" s="141" t="str">
        <f>+IF(AND(Tabla2[[#This Row],[venc]]="venc",Tabla2[[#This Row],[Columna1]]="por pagar"),"vencida","no")</f>
        <v>no</v>
      </c>
    </row>
    <row r="2189" spans="1:23" ht="15.6" hidden="1" x14ac:dyDescent="0.3">
      <c r="A2189" s="20">
        <v>60</v>
      </c>
      <c r="B2189" s="25">
        <v>395600</v>
      </c>
      <c r="C2189" s="25"/>
      <c r="D2189" s="56" t="s">
        <v>1482</v>
      </c>
      <c r="E2189" s="426">
        <v>44623</v>
      </c>
      <c r="F2189" s="26" t="s">
        <v>287</v>
      </c>
      <c r="G2189" s="426">
        <v>44586</v>
      </c>
      <c r="H2189" s="35" t="s">
        <v>994</v>
      </c>
      <c r="I2189" s="21">
        <v>180400</v>
      </c>
      <c r="J2189" s="21"/>
      <c r="K2189" s="22">
        <v>0</v>
      </c>
      <c r="L2189" s="23"/>
      <c r="M2189" s="22">
        <v>0</v>
      </c>
      <c r="N2189" s="74">
        <v>0</v>
      </c>
      <c r="O2189" s="22">
        <v>0</v>
      </c>
      <c r="P2189" s="21">
        <v>180400</v>
      </c>
      <c r="S2189" s="108" t="b">
        <f>OR(COUNTIF(Tabla2[[#This Row],[PROVEEDOR]],"*"&amp;'Palabra no opera'!$A$2&amp;"*"))</f>
        <v>0</v>
      </c>
      <c r="T2189" s="139">
        <f>+$W$5-Tabla2[[#This Row],[FECHA DE FACTURACIÓN]]</f>
        <v>705</v>
      </c>
      <c r="U2189" t="str">
        <f>+IF(Tabla2[[#This Row],[dias de credito]]&gt;=Tabla2[[#This Row],[PLAZO Días]],"venc", "No venc")</f>
        <v>venc</v>
      </c>
      <c r="V2189" t="str">
        <f>+IF(Tabla2[[#This Row],[FECHA DE PAGO]]&gt;0,"pagada","por pagar")</f>
        <v>pagada</v>
      </c>
      <c r="W2189" s="141" t="str">
        <f>+IF(AND(Tabla2[[#This Row],[venc]]="venc",Tabla2[[#This Row],[Columna1]]="por pagar"),"vencida","no")</f>
        <v>no</v>
      </c>
    </row>
    <row r="2190" spans="1:23" ht="15.6" hidden="1" x14ac:dyDescent="0.3">
      <c r="A2190" s="20">
        <v>30</v>
      </c>
      <c r="B2190" s="25">
        <v>342000</v>
      </c>
      <c r="C2190" s="25"/>
      <c r="D2190" s="56" t="s">
        <v>107</v>
      </c>
      <c r="E2190" s="426">
        <v>44623</v>
      </c>
      <c r="F2190" s="26" t="s">
        <v>344</v>
      </c>
      <c r="G2190" s="426">
        <v>44582</v>
      </c>
      <c r="H2190" s="35" t="s">
        <v>991</v>
      </c>
      <c r="I2190" s="21">
        <v>811000</v>
      </c>
      <c r="J2190" s="21"/>
      <c r="K2190" s="22">
        <v>0</v>
      </c>
      <c r="L2190" s="23"/>
      <c r="M2190" s="22">
        <v>0</v>
      </c>
      <c r="N2190" s="74">
        <v>0</v>
      </c>
      <c r="O2190" s="22">
        <v>0</v>
      </c>
      <c r="P2190" s="21">
        <v>811000</v>
      </c>
      <c r="S2190" s="108" t="b">
        <f>OR(COUNTIF(Tabla2[[#This Row],[PROVEEDOR]],"*"&amp;'Palabra no opera'!$A$2&amp;"*"))</f>
        <v>0</v>
      </c>
      <c r="T2190" s="139">
        <f>+$W$5-Tabla2[[#This Row],[FECHA DE FACTURACIÓN]]</f>
        <v>709</v>
      </c>
      <c r="U2190" t="str">
        <f>+IF(Tabla2[[#This Row],[dias de credito]]&gt;=Tabla2[[#This Row],[PLAZO Días]],"venc", "No venc")</f>
        <v>venc</v>
      </c>
      <c r="V2190" t="str">
        <f>+IF(Tabla2[[#This Row],[FECHA DE PAGO]]&gt;0,"pagada","por pagar")</f>
        <v>pagada</v>
      </c>
      <c r="W2190" s="141" t="str">
        <f>+IF(AND(Tabla2[[#This Row],[venc]]="venc",Tabla2[[#This Row],[Columna1]]="por pagar"),"vencida","no")</f>
        <v>no</v>
      </c>
    </row>
    <row r="2191" spans="1:23" ht="15.6" hidden="1" x14ac:dyDescent="0.3">
      <c r="A2191" s="20">
        <v>60</v>
      </c>
      <c r="B2191" s="25">
        <v>395600</v>
      </c>
      <c r="C2191" s="25"/>
      <c r="D2191" s="56" t="s">
        <v>1482</v>
      </c>
      <c r="E2191" s="426">
        <v>44623</v>
      </c>
      <c r="F2191" s="26" t="s">
        <v>287</v>
      </c>
      <c r="G2191" s="426">
        <v>44557</v>
      </c>
      <c r="H2191" s="35">
        <v>1293</v>
      </c>
      <c r="I2191" s="21">
        <v>235200</v>
      </c>
      <c r="J2191" s="21"/>
      <c r="K2191" s="22">
        <v>0</v>
      </c>
      <c r="L2191" s="23"/>
      <c r="M2191" s="22">
        <v>0</v>
      </c>
      <c r="N2191" s="74">
        <v>0</v>
      </c>
      <c r="O2191" s="22">
        <v>0</v>
      </c>
      <c r="P2191" s="21">
        <v>235200</v>
      </c>
      <c r="S2191" s="108" t="b">
        <f>OR(COUNTIF(Tabla2[[#This Row],[PROVEEDOR]],"*"&amp;'Palabra no opera'!$A$2&amp;"*"))</f>
        <v>0</v>
      </c>
      <c r="T2191" s="139">
        <f>+$W$5-Tabla2[[#This Row],[FECHA DE FACTURACIÓN]]</f>
        <v>734</v>
      </c>
      <c r="U2191" t="str">
        <f>+IF(Tabla2[[#This Row],[dias de credito]]&gt;=Tabla2[[#This Row],[PLAZO Días]],"venc", "No venc")</f>
        <v>venc</v>
      </c>
      <c r="V2191" t="str">
        <f>+IF(Tabla2[[#This Row],[FECHA DE PAGO]]&gt;0,"pagada","por pagar")</f>
        <v>pagada</v>
      </c>
      <c r="W2191" s="141" t="str">
        <f>+IF(AND(Tabla2[[#This Row],[venc]]="venc",Tabla2[[#This Row],[Columna1]]="por pagar"),"vencida","no")</f>
        <v>no</v>
      </c>
    </row>
    <row r="2192" spans="1:23" ht="15.6" hidden="1" x14ac:dyDescent="0.3">
      <c r="A2192" s="20">
        <v>60</v>
      </c>
      <c r="B2192" s="25">
        <v>395600</v>
      </c>
      <c r="C2192" s="25"/>
      <c r="D2192" s="56" t="s">
        <v>1482</v>
      </c>
      <c r="E2192" s="426">
        <v>44623</v>
      </c>
      <c r="F2192" s="26" t="s">
        <v>287</v>
      </c>
      <c r="G2192" s="426">
        <v>44557</v>
      </c>
      <c r="H2192" s="35">
        <v>1294</v>
      </c>
      <c r="I2192" s="21">
        <v>252000</v>
      </c>
      <c r="J2192" s="21"/>
      <c r="K2192" s="22">
        <v>0</v>
      </c>
      <c r="L2192" s="23"/>
      <c r="M2192" s="22">
        <v>0</v>
      </c>
      <c r="N2192" s="74">
        <v>0</v>
      </c>
      <c r="O2192" s="22">
        <v>0</v>
      </c>
      <c r="P2192" s="21">
        <v>252000</v>
      </c>
      <c r="S2192" s="108" t="b">
        <f>OR(COUNTIF(Tabla2[[#This Row],[PROVEEDOR]],"*"&amp;'Palabra no opera'!$A$2&amp;"*"))</f>
        <v>0</v>
      </c>
      <c r="T2192" s="139">
        <f>+$W$5-Tabla2[[#This Row],[FECHA DE FACTURACIÓN]]</f>
        <v>734</v>
      </c>
      <c r="U2192" t="str">
        <f>+IF(Tabla2[[#This Row],[dias de credito]]&gt;=Tabla2[[#This Row],[PLAZO Días]],"venc", "No venc")</f>
        <v>venc</v>
      </c>
      <c r="V2192" t="str">
        <f>+IF(Tabla2[[#This Row],[FECHA DE PAGO]]&gt;0,"pagada","por pagar")</f>
        <v>pagada</v>
      </c>
      <c r="W2192" s="141" t="str">
        <f>+IF(AND(Tabla2[[#This Row],[venc]]="venc",Tabla2[[#This Row],[Columna1]]="por pagar"),"vencida","no")</f>
        <v>no</v>
      </c>
    </row>
    <row r="2193" spans="1:23" ht="15.6" hidden="1" x14ac:dyDescent="0.3">
      <c r="A2193" s="20">
        <v>45</v>
      </c>
      <c r="B2193" s="25">
        <v>0</v>
      </c>
      <c r="C2193" s="25"/>
      <c r="D2193" s="56" t="s">
        <v>1482</v>
      </c>
      <c r="E2193" s="426">
        <v>44623</v>
      </c>
      <c r="F2193" s="26" t="s">
        <v>320</v>
      </c>
      <c r="G2193" s="426">
        <v>44557</v>
      </c>
      <c r="H2193" s="35" t="s">
        <v>321</v>
      </c>
      <c r="I2193" s="21">
        <v>2919000</v>
      </c>
      <c r="J2193" s="21"/>
      <c r="K2193" s="22">
        <v>0</v>
      </c>
      <c r="L2193" s="23"/>
      <c r="M2193" s="22">
        <v>0</v>
      </c>
      <c r="N2193" s="74">
        <v>0</v>
      </c>
      <c r="O2193" s="22">
        <v>0</v>
      </c>
      <c r="P2193" s="21">
        <v>2919000</v>
      </c>
      <c r="S2193" s="108" t="b">
        <f>OR(COUNTIF(Tabla2[[#This Row],[PROVEEDOR]],"*"&amp;'Palabra no opera'!$A$2&amp;"*"))</f>
        <v>0</v>
      </c>
      <c r="T2193" s="139">
        <f>+$W$5-Tabla2[[#This Row],[FECHA DE FACTURACIÓN]]</f>
        <v>734</v>
      </c>
      <c r="U2193" t="str">
        <f>+IF(Tabla2[[#This Row],[dias de credito]]&gt;=Tabla2[[#This Row],[PLAZO Días]],"venc", "No venc")</f>
        <v>venc</v>
      </c>
      <c r="V2193" t="str">
        <f>+IF(Tabla2[[#This Row],[FECHA DE PAGO]]&gt;0,"pagada","por pagar")</f>
        <v>pagada</v>
      </c>
      <c r="W2193" s="141" t="str">
        <f>+IF(AND(Tabla2[[#This Row],[venc]]="venc",Tabla2[[#This Row],[Columna1]]="por pagar"),"vencida","no")</f>
        <v>no</v>
      </c>
    </row>
    <row r="2194" spans="1:23" ht="15.6" hidden="1" x14ac:dyDescent="0.3">
      <c r="A2194" s="20">
        <v>60</v>
      </c>
      <c r="B2194" s="25">
        <v>395600</v>
      </c>
      <c r="C2194" s="25"/>
      <c r="D2194" s="56" t="s">
        <v>1482</v>
      </c>
      <c r="E2194" s="426">
        <v>44623</v>
      </c>
      <c r="F2194" s="26" t="s">
        <v>287</v>
      </c>
      <c r="G2194" s="426">
        <v>44552</v>
      </c>
      <c r="H2194" s="35" t="s">
        <v>982</v>
      </c>
      <c r="I2194" s="21">
        <v>319200</v>
      </c>
      <c r="J2194" s="21"/>
      <c r="K2194" s="22">
        <v>0</v>
      </c>
      <c r="L2194" s="23"/>
      <c r="M2194" s="22">
        <v>0</v>
      </c>
      <c r="N2194" s="74">
        <v>0</v>
      </c>
      <c r="O2194" s="22">
        <v>0</v>
      </c>
      <c r="P2194" s="21">
        <v>319200</v>
      </c>
      <c r="S2194" s="108" t="b">
        <f>OR(COUNTIF(Tabla2[[#This Row],[PROVEEDOR]],"*"&amp;'Palabra no opera'!$A$2&amp;"*"))</f>
        <v>0</v>
      </c>
      <c r="T2194" s="139">
        <f>+$W$5-Tabla2[[#This Row],[FECHA DE FACTURACIÓN]]</f>
        <v>739</v>
      </c>
      <c r="U2194" t="str">
        <f>+IF(Tabla2[[#This Row],[dias de credito]]&gt;=Tabla2[[#This Row],[PLAZO Días]],"venc", "No venc")</f>
        <v>venc</v>
      </c>
      <c r="V2194" t="str">
        <f>+IF(Tabla2[[#This Row],[FECHA DE PAGO]]&gt;0,"pagada","por pagar")</f>
        <v>pagada</v>
      </c>
      <c r="W2194" s="141" t="str">
        <f>+IF(AND(Tabla2[[#This Row],[venc]]="venc",Tabla2[[#This Row],[Columna1]]="por pagar"),"vencida","no")</f>
        <v>no</v>
      </c>
    </row>
    <row r="2195" spans="1:23" ht="15.6" hidden="1" x14ac:dyDescent="0.3">
      <c r="A2195" s="20">
        <v>30</v>
      </c>
      <c r="B2195" s="25">
        <v>0</v>
      </c>
      <c r="C2195" s="25"/>
      <c r="D2195" s="56" t="s">
        <v>107</v>
      </c>
      <c r="E2195" s="426">
        <v>44622</v>
      </c>
      <c r="F2195" s="26" t="s">
        <v>356</v>
      </c>
      <c r="G2195" s="426">
        <v>44621</v>
      </c>
      <c r="H2195" s="35" t="s">
        <v>358</v>
      </c>
      <c r="I2195" s="21">
        <v>1850000</v>
      </c>
      <c r="J2195" s="21"/>
      <c r="K2195" s="22">
        <v>0</v>
      </c>
      <c r="L2195" s="23"/>
      <c r="M2195" s="22">
        <v>0</v>
      </c>
      <c r="N2195" s="74">
        <v>0</v>
      </c>
      <c r="O2195" s="22">
        <v>0</v>
      </c>
      <c r="P2195" s="21">
        <v>1850000</v>
      </c>
      <c r="S2195" s="108" t="b">
        <f>OR(COUNTIF(Tabla2[[#This Row],[PROVEEDOR]],"*"&amp;'Palabra no opera'!$A$2&amp;"*"))</f>
        <v>0</v>
      </c>
      <c r="T2195" s="139">
        <f>+$W$5-Tabla2[[#This Row],[FECHA DE FACTURACIÓN]]</f>
        <v>670</v>
      </c>
      <c r="U2195" t="str">
        <f>+IF(Tabla2[[#This Row],[dias de credito]]&gt;=Tabla2[[#This Row],[PLAZO Días]],"venc", "No venc")</f>
        <v>venc</v>
      </c>
      <c r="V2195" t="str">
        <f>+IF(Tabla2[[#This Row],[FECHA DE PAGO]]&gt;0,"pagada","por pagar")</f>
        <v>pagada</v>
      </c>
      <c r="W2195" s="141" t="str">
        <f>+IF(AND(Tabla2[[#This Row],[venc]]="venc",Tabla2[[#This Row],[Columna1]]="por pagar"),"vencida","no")</f>
        <v>no</v>
      </c>
    </row>
    <row r="2196" spans="1:23" ht="15.6" hidden="1" x14ac:dyDescent="0.3">
      <c r="A2196" s="20">
        <v>30</v>
      </c>
      <c r="B2196" s="25">
        <v>0</v>
      </c>
      <c r="C2196" s="25"/>
      <c r="D2196" s="56" t="s">
        <v>258</v>
      </c>
      <c r="E2196" s="426">
        <v>44621</v>
      </c>
      <c r="F2196" s="26" t="s">
        <v>394</v>
      </c>
      <c r="G2196" s="426">
        <v>44585</v>
      </c>
      <c r="H2196" s="35" t="s">
        <v>993</v>
      </c>
      <c r="I2196" s="21">
        <v>2420000</v>
      </c>
      <c r="J2196" s="21"/>
      <c r="K2196" s="22">
        <v>0</v>
      </c>
      <c r="L2196" s="23"/>
      <c r="M2196" s="22">
        <v>0</v>
      </c>
      <c r="N2196" s="74">
        <v>0</v>
      </c>
      <c r="O2196" s="22">
        <v>0</v>
      </c>
      <c r="P2196" s="21">
        <v>2420000</v>
      </c>
      <c r="S2196" s="108" t="b">
        <f>OR(COUNTIF(Tabla2[[#This Row],[PROVEEDOR]],"*"&amp;'Palabra no opera'!$A$2&amp;"*"))</f>
        <v>0</v>
      </c>
      <c r="T2196" s="139">
        <f>+$W$5-Tabla2[[#This Row],[FECHA DE FACTURACIÓN]]</f>
        <v>706</v>
      </c>
      <c r="U2196" t="str">
        <f>+IF(Tabla2[[#This Row],[dias de credito]]&gt;=Tabla2[[#This Row],[PLAZO Días]],"venc", "No venc")</f>
        <v>venc</v>
      </c>
      <c r="V2196" t="str">
        <f>+IF(Tabla2[[#This Row],[FECHA DE PAGO]]&gt;0,"pagada","por pagar")</f>
        <v>pagada</v>
      </c>
      <c r="W2196" s="141" t="str">
        <f>+IF(AND(Tabla2[[#This Row],[venc]]="venc",Tabla2[[#This Row],[Columna1]]="por pagar"),"vencida","no")</f>
        <v>no</v>
      </c>
    </row>
    <row r="2197" spans="1:23" ht="15.6" hidden="1" x14ac:dyDescent="0.3">
      <c r="A2197" s="20">
        <v>30</v>
      </c>
      <c r="B2197" s="25">
        <v>0</v>
      </c>
      <c r="C2197" s="25"/>
      <c r="D2197" s="56" t="s">
        <v>107</v>
      </c>
      <c r="E2197" s="426">
        <v>44620</v>
      </c>
      <c r="F2197" s="26" t="s">
        <v>362</v>
      </c>
      <c r="G2197" s="426">
        <v>44620</v>
      </c>
      <c r="H2197" s="35" t="s">
        <v>318</v>
      </c>
      <c r="I2197" s="21">
        <v>442</v>
      </c>
      <c r="J2197" s="21"/>
      <c r="K2197" s="22">
        <v>0</v>
      </c>
      <c r="L2197" s="23"/>
      <c r="M2197" s="22">
        <v>0</v>
      </c>
      <c r="N2197" s="74">
        <v>0</v>
      </c>
      <c r="O2197" s="22">
        <v>0</v>
      </c>
      <c r="P2197" s="21">
        <v>442</v>
      </c>
      <c r="S2197" s="108" t="b">
        <f>OR(COUNTIF(Tabla2[[#This Row],[PROVEEDOR]],"*"&amp;'Palabra no opera'!$A$2&amp;"*"))</f>
        <v>0</v>
      </c>
      <c r="T2197" s="139">
        <f>+$W$5-Tabla2[[#This Row],[FECHA DE FACTURACIÓN]]</f>
        <v>671</v>
      </c>
      <c r="U2197" t="str">
        <f>+IF(Tabla2[[#This Row],[dias de credito]]&gt;=Tabla2[[#This Row],[PLAZO Días]],"venc", "No venc")</f>
        <v>venc</v>
      </c>
      <c r="V2197" t="str">
        <f>+IF(Tabla2[[#This Row],[FECHA DE PAGO]]&gt;0,"pagada","por pagar")</f>
        <v>pagada</v>
      </c>
      <c r="W2197" s="141" t="str">
        <f>+IF(AND(Tabla2[[#This Row],[venc]]="venc",Tabla2[[#This Row],[Columna1]]="por pagar"),"vencida","no")</f>
        <v>no</v>
      </c>
    </row>
    <row r="2198" spans="1:23" ht="15.6" hidden="1" x14ac:dyDescent="0.3">
      <c r="A2198" s="20">
        <v>30</v>
      </c>
      <c r="B2198" s="25">
        <v>0</v>
      </c>
      <c r="C2198" s="25"/>
      <c r="D2198" s="56" t="s">
        <v>107</v>
      </c>
      <c r="E2198" s="426">
        <v>44620</v>
      </c>
      <c r="F2198" s="26" t="s">
        <v>362</v>
      </c>
      <c r="G2198" s="426">
        <v>44620</v>
      </c>
      <c r="H2198" s="35" t="s">
        <v>317</v>
      </c>
      <c r="I2198" s="21">
        <v>45000</v>
      </c>
      <c r="J2198" s="21"/>
      <c r="K2198" s="22">
        <v>0</v>
      </c>
      <c r="L2198" s="23"/>
      <c r="M2198" s="22">
        <v>0</v>
      </c>
      <c r="N2198" s="74">
        <v>0</v>
      </c>
      <c r="O2198" s="22">
        <v>0</v>
      </c>
      <c r="P2198" s="21">
        <v>45000</v>
      </c>
      <c r="S2198" s="108" t="b">
        <f>OR(COUNTIF(Tabla2[[#This Row],[PROVEEDOR]],"*"&amp;'Palabra no opera'!$A$2&amp;"*"))</f>
        <v>0</v>
      </c>
      <c r="T2198" s="139">
        <f>+$W$5-Tabla2[[#This Row],[FECHA DE FACTURACIÓN]]</f>
        <v>671</v>
      </c>
      <c r="U2198" t="str">
        <f>+IF(Tabla2[[#This Row],[dias de credito]]&gt;=Tabla2[[#This Row],[PLAZO Días]],"venc", "No venc")</f>
        <v>venc</v>
      </c>
      <c r="V2198" t="str">
        <f>+IF(Tabla2[[#This Row],[FECHA DE PAGO]]&gt;0,"pagada","por pagar")</f>
        <v>pagada</v>
      </c>
      <c r="W2198" s="141" t="str">
        <f>+IF(AND(Tabla2[[#This Row],[venc]]="venc",Tabla2[[#This Row],[Columna1]]="por pagar"),"vencida","no")</f>
        <v>no</v>
      </c>
    </row>
    <row r="2199" spans="1:23" ht="15.6" hidden="1" x14ac:dyDescent="0.3">
      <c r="A2199" s="20">
        <v>30</v>
      </c>
      <c r="B2199" s="25">
        <v>0</v>
      </c>
      <c r="C2199" s="25"/>
      <c r="D2199" s="56" t="s">
        <v>107</v>
      </c>
      <c r="E2199" s="426">
        <v>44620</v>
      </c>
      <c r="F2199" s="26" t="s">
        <v>362</v>
      </c>
      <c r="G2199" s="426">
        <v>44620</v>
      </c>
      <c r="H2199" s="35" t="s">
        <v>319</v>
      </c>
      <c r="I2199" s="21">
        <v>218000</v>
      </c>
      <c r="J2199" s="21"/>
      <c r="K2199" s="22">
        <v>0</v>
      </c>
      <c r="L2199" s="23"/>
      <c r="M2199" s="22">
        <v>0</v>
      </c>
      <c r="N2199" s="74">
        <v>0</v>
      </c>
      <c r="O2199" s="22">
        <v>0</v>
      </c>
      <c r="P2199" s="21">
        <v>218000</v>
      </c>
      <c r="S2199" s="108" t="b">
        <f>OR(COUNTIF(Tabla2[[#This Row],[PROVEEDOR]],"*"&amp;'Palabra no opera'!$A$2&amp;"*"))</f>
        <v>0</v>
      </c>
      <c r="T2199" s="139">
        <f>+$W$5-Tabla2[[#This Row],[FECHA DE FACTURACIÓN]]</f>
        <v>671</v>
      </c>
      <c r="U2199" t="str">
        <f>+IF(Tabla2[[#This Row],[dias de credito]]&gt;=Tabla2[[#This Row],[PLAZO Días]],"venc", "No venc")</f>
        <v>venc</v>
      </c>
      <c r="V2199" t="str">
        <f>+IF(Tabla2[[#This Row],[FECHA DE PAGO]]&gt;0,"pagada","por pagar")</f>
        <v>pagada</v>
      </c>
      <c r="W2199" s="141" t="str">
        <f>+IF(AND(Tabla2[[#This Row],[venc]]="venc",Tabla2[[#This Row],[Columna1]]="por pagar"),"vencida","no")</f>
        <v>no</v>
      </c>
    </row>
    <row r="2200" spans="1:23" ht="15.6" hidden="1" x14ac:dyDescent="0.3">
      <c r="A2200" s="20">
        <v>30</v>
      </c>
      <c r="B2200" s="25">
        <v>0</v>
      </c>
      <c r="C2200" s="25"/>
      <c r="D2200" s="56" t="s">
        <v>107</v>
      </c>
      <c r="E2200" s="426">
        <v>44620</v>
      </c>
      <c r="F2200" s="26" t="s">
        <v>362</v>
      </c>
      <c r="G2200" s="426">
        <v>44620</v>
      </c>
      <c r="H2200" s="35" t="s">
        <v>363</v>
      </c>
      <c r="I2200" s="21">
        <v>220000</v>
      </c>
      <c r="J2200" s="21"/>
      <c r="K2200" s="22">
        <v>0</v>
      </c>
      <c r="L2200" s="23"/>
      <c r="M2200" s="22">
        <v>0</v>
      </c>
      <c r="N2200" s="74">
        <v>0</v>
      </c>
      <c r="O2200" s="22">
        <v>0</v>
      </c>
      <c r="P2200" s="21">
        <v>220000</v>
      </c>
      <c r="S2200" s="108" t="b">
        <f>OR(COUNTIF(Tabla2[[#This Row],[PROVEEDOR]],"*"&amp;'Palabra no opera'!$A$2&amp;"*"))</f>
        <v>0</v>
      </c>
      <c r="T2200" s="139">
        <f>+$W$5-Tabla2[[#This Row],[FECHA DE FACTURACIÓN]]</f>
        <v>671</v>
      </c>
      <c r="U2200" t="str">
        <f>+IF(Tabla2[[#This Row],[dias de credito]]&gt;=Tabla2[[#This Row],[PLAZO Días]],"venc", "No venc")</f>
        <v>venc</v>
      </c>
      <c r="V2200" t="str">
        <f>+IF(Tabla2[[#This Row],[FECHA DE PAGO]]&gt;0,"pagada","por pagar")</f>
        <v>pagada</v>
      </c>
      <c r="W2200" s="141" t="str">
        <f>+IF(AND(Tabla2[[#This Row],[venc]]="venc",Tabla2[[#This Row],[Columna1]]="por pagar"),"vencida","no")</f>
        <v>no</v>
      </c>
    </row>
    <row r="2201" spans="1:23" ht="15.6" hidden="1" x14ac:dyDescent="0.3">
      <c r="A2201" s="20">
        <v>30</v>
      </c>
      <c r="B2201" s="25">
        <v>0</v>
      </c>
      <c r="C2201" s="25"/>
      <c r="D2201" s="56" t="s">
        <v>107</v>
      </c>
      <c r="E2201" s="426">
        <v>44620</v>
      </c>
      <c r="F2201" s="26" t="s">
        <v>362</v>
      </c>
      <c r="G2201" s="426">
        <v>44620</v>
      </c>
      <c r="H2201" s="35" t="s">
        <v>139</v>
      </c>
      <c r="I2201" s="21">
        <v>320000</v>
      </c>
      <c r="J2201" s="21"/>
      <c r="K2201" s="22">
        <v>0</v>
      </c>
      <c r="L2201" s="23"/>
      <c r="M2201" s="22">
        <v>0</v>
      </c>
      <c r="N2201" s="74">
        <v>0</v>
      </c>
      <c r="O2201" s="22">
        <v>0</v>
      </c>
      <c r="P2201" s="21">
        <v>320000</v>
      </c>
      <c r="S2201" s="108" t="b">
        <f>OR(COUNTIF(Tabla2[[#This Row],[PROVEEDOR]],"*"&amp;'Palabra no opera'!$A$2&amp;"*"))</f>
        <v>0</v>
      </c>
      <c r="T2201" s="139">
        <f>+$W$5-Tabla2[[#This Row],[FECHA DE FACTURACIÓN]]</f>
        <v>671</v>
      </c>
      <c r="U2201" t="str">
        <f>+IF(Tabla2[[#This Row],[dias de credito]]&gt;=Tabla2[[#This Row],[PLAZO Días]],"venc", "No venc")</f>
        <v>venc</v>
      </c>
      <c r="V2201" t="str">
        <f>+IF(Tabla2[[#This Row],[FECHA DE PAGO]]&gt;0,"pagada","por pagar")</f>
        <v>pagada</v>
      </c>
      <c r="W2201" s="141" t="str">
        <f>+IF(AND(Tabla2[[#This Row],[venc]]="venc",Tabla2[[#This Row],[Columna1]]="por pagar"),"vencida","no")</f>
        <v>no</v>
      </c>
    </row>
    <row r="2202" spans="1:23" ht="15.6" hidden="1" x14ac:dyDescent="0.3">
      <c r="A2202" s="20">
        <v>30</v>
      </c>
      <c r="B2202" s="25">
        <v>0</v>
      </c>
      <c r="C2202" s="25"/>
      <c r="D2202" s="56" t="s">
        <v>107</v>
      </c>
      <c r="E2202" s="426">
        <v>44620</v>
      </c>
      <c r="F2202" s="26" t="s">
        <v>362</v>
      </c>
      <c r="G2202" s="426">
        <v>44620</v>
      </c>
      <c r="H2202" s="35" t="s">
        <v>316</v>
      </c>
      <c r="I2202" s="21">
        <v>4028650</v>
      </c>
      <c r="J2202" s="21"/>
      <c r="K2202" s="22">
        <v>0</v>
      </c>
      <c r="L2202" s="23"/>
      <c r="M2202" s="22">
        <v>0</v>
      </c>
      <c r="N2202" s="74">
        <v>0</v>
      </c>
      <c r="O2202" s="22">
        <v>0</v>
      </c>
      <c r="P2202" s="21">
        <v>4028650</v>
      </c>
      <c r="S2202" s="108" t="b">
        <f>OR(COUNTIF(Tabla2[[#This Row],[PROVEEDOR]],"*"&amp;'Palabra no opera'!$A$2&amp;"*"))</f>
        <v>0</v>
      </c>
      <c r="T2202" s="139">
        <f>+$W$5-Tabla2[[#This Row],[FECHA DE FACTURACIÓN]]</f>
        <v>671</v>
      </c>
      <c r="U2202" t="str">
        <f>+IF(Tabla2[[#This Row],[dias de credito]]&gt;=Tabla2[[#This Row],[PLAZO Días]],"venc", "No venc")</f>
        <v>venc</v>
      </c>
      <c r="V2202" t="str">
        <f>+IF(Tabla2[[#This Row],[FECHA DE PAGO]]&gt;0,"pagada","por pagar")</f>
        <v>pagada</v>
      </c>
      <c r="W2202" s="141" t="str">
        <f>+IF(AND(Tabla2[[#This Row],[venc]]="venc",Tabla2[[#This Row],[Columna1]]="por pagar"),"vencida","no")</f>
        <v>no</v>
      </c>
    </row>
    <row r="2203" spans="1:23" ht="15.6" hidden="1" x14ac:dyDescent="0.3">
      <c r="A2203" s="20">
        <v>30</v>
      </c>
      <c r="B2203" s="25">
        <v>0</v>
      </c>
      <c r="C2203" s="25"/>
      <c r="D2203" s="56" t="s">
        <v>107</v>
      </c>
      <c r="E2203" s="426">
        <v>44620</v>
      </c>
      <c r="F2203" s="26" t="s">
        <v>370</v>
      </c>
      <c r="G2203" s="426">
        <v>44619</v>
      </c>
      <c r="H2203" s="35" t="s">
        <v>371</v>
      </c>
      <c r="I2203" s="21">
        <v>360000</v>
      </c>
      <c r="J2203" s="21"/>
      <c r="K2203" s="22">
        <v>0</v>
      </c>
      <c r="L2203" s="23"/>
      <c r="M2203" s="22">
        <v>0</v>
      </c>
      <c r="N2203" s="74">
        <v>0</v>
      </c>
      <c r="O2203" s="22">
        <v>0</v>
      </c>
      <c r="P2203" s="21">
        <v>360000</v>
      </c>
      <c r="S2203" s="108" t="b">
        <f>OR(COUNTIF(Tabla2[[#This Row],[PROVEEDOR]],"*"&amp;'Palabra no opera'!$A$2&amp;"*"))</f>
        <v>0</v>
      </c>
      <c r="T2203" s="139">
        <f>+$W$5-Tabla2[[#This Row],[FECHA DE FACTURACIÓN]]</f>
        <v>672</v>
      </c>
      <c r="U2203" t="str">
        <f>+IF(Tabla2[[#This Row],[dias de credito]]&gt;=Tabla2[[#This Row],[PLAZO Días]],"venc", "No venc")</f>
        <v>venc</v>
      </c>
      <c r="V2203" t="str">
        <f>+IF(Tabla2[[#This Row],[FECHA DE PAGO]]&gt;0,"pagada","por pagar")</f>
        <v>pagada</v>
      </c>
      <c r="W2203" s="141" t="str">
        <f>+IF(AND(Tabla2[[#This Row],[venc]]="venc",Tabla2[[#This Row],[Columna1]]="por pagar"),"vencida","no")</f>
        <v>no</v>
      </c>
    </row>
    <row r="2204" spans="1:23" ht="15.6" hidden="1" x14ac:dyDescent="0.3">
      <c r="A2204" s="20">
        <v>30</v>
      </c>
      <c r="B2204" s="25">
        <v>0</v>
      </c>
      <c r="C2204" s="25"/>
      <c r="D2204" s="56" t="s">
        <v>434</v>
      </c>
      <c r="E2204" s="426">
        <v>44620</v>
      </c>
      <c r="F2204" s="26" t="s">
        <v>648</v>
      </c>
      <c r="G2204" s="426">
        <v>44616</v>
      </c>
      <c r="H2204" s="35" t="s">
        <v>435</v>
      </c>
      <c r="I2204" s="21">
        <v>2400000</v>
      </c>
      <c r="J2204" s="21"/>
      <c r="K2204" s="22">
        <v>456000</v>
      </c>
      <c r="L2204" s="23"/>
      <c r="M2204" s="22">
        <v>0</v>
      </c>
      <c r="N2204" s="74">
        <v>3.5000000000000003E-2</v>
      </c>
      <c r="O2204" s="22">
        <v>84000.000000000015</v>
      </c>
      <c r="P2204" s="21">
        <v>2772000</v>
      </c>
      <c r="S2204" s="108" t="b">
        <f>OR(COUNTIF(Tabla2[[#This Row],[PROVEEDOR]],"*"&amp;'Palabra no opera'!$A$2&amp;"*"))</f>
        <v>1</v>
      </c>
      <c r="T2204" s="139">
        <f>+$W$5-Tabla2[[#This Row],[FECHA DE FACTURACIÓN]]</f>
        <v>675</v>
      </c>
      <c r="U2204" t="str">
        <f>+IF(Tabla2[[#This Row],[dias de credito]]&gt;=Tabla2[[#This Row],[PLAZO Días]],"venc", "No venc")</f>
        <v>venc</v>
      </c>
      <c r="V2204" t="str">
        <f>+IF(Tabla2[[#This Row],[FECHA DE PAGO]]&gt;0,"pagada","por pagar")</f>
        <v>pagada</v>
      </c>
      <c r="W2204" s="141" t="str">
        <f>+IF(AND(Tabla2[[#This Row],[venc]]="venc",Tabla2[[#This Row],[Columna1]]="por pagar"),"vencida","no")</f>
        <v>no</v>
      </c>
    </row>
    <row r="2205" spans="1:23" ht="15.6" hidden="1" x14ac:dyDescent="0.3">
      <c r="A2205" s="20">
        <v>30</v>
      </c>
      <c r="B2205" s="25">
        <v>0</v>
      </c>
      <c r="C2205" s="25"/>
      <c r="D2205" s="56" t="s">
        <v>574</v>
      </c>
      <c r="E2205" s="426">
        <v>44620</v>
      </c>
      <c r="F2205" s="26" t="s">
        <v>352</v>
      </c>
      <c r="G2205" s="426">
        <v>44587</v>
      </c>
      <c r="H2205" s="35" t="s">
        <v>995</v>
      </c>
      <c r="I2205" s="21">
        <v>1412800</v>
      </c>
      <c r="J2205" s="21"/>
      <c r="K2205" s="22">
        <v>0</v>
      </c>
      <c r="L2205" s="23"/>
      <c r="M2205" s="22">
        <v>0</v>
      </c>
      <c r="N2205" s="74">
        <v>0</v>
      </c>
      <c r="O2205" s="22">
        <v>0</v>
      </c>
      <c r="P2205" s="21">
        <v>1412800</v>
      </c>
      <c r="S2205" s="108" t="b">
        <f>OR(COUNTIF(Tabla2[[#This Row],[PROVEEDOR]],"*"&amp;'Palabra no opera'!$A$2&amp;"*"))</f>
        <v>0</v>
      </c>
      <c r="T2205" s="139">
        <f>+$W$5-Tabla2[[#This Row],[FECHA DE FACTURACIÓN]]</f>
        <v>704</v>
      </c>
      <c r="U2205" t="str">
        <f>+IF(Tabla2[[#This Row],[dias de credito]]&gt;=Tabla2[[#This Row],[PLAZO Días]],"venc", "No venc")</f>
        <v>venc</v>
      </c>
      <c r="V2205" t="str">
        <f>+IF(Tabla2[[#This Row],[FECHA DE PAGO]]&gt;0,"pagada","por pagar")</f>
        <v>pagada</v>
      </c>
      <c r="W2205" s="141" t="str">
        <f>+IF(AND(Tabla2[[#This Row],[venc]]="venc",Tabla2[[#This Row],[Columna1]]="por pagar"),"vencida","no")</f>
        <v>no</v>
      </c>
    </row>
    <row r="2206" spans="1:23" ht="15.6" hidden="1" x14ac:dyDescent="0.3">
      <c r="A2206" s="20">
        <v>30</v>
      </c>
      <c r="B2206" s="25">
        <v>0</v>
      </c>
      <c r="C2206" s="25"/>
      <c r="D2206" s="56" t="s">
        <v>107</v>
      </c>
      <c r="E2206" s="426">
        <v>44620</v>
      </c>
      <c r="F2206" s="26" t="s">
        <v>388</v>
      </c>
      <c r="G2206" s="426">
        <v>44545</v>
      </c>
      <c r="H2206" s="35" t="s">
        <v>886</v>
      </c>
      <c r="I2206" s="21">
        <v>7060000</v>
      </c>
      <c r="J2206" s="21"/>
      <c r="K2206" s="22">
        <v>0</v>
      </c>
      <c r="L2206" s="23"/>
      <c r="M2206" s="22">
        <v>0</v>
      </c>
      <c r="N2206" s="74">
        <v>0</v>
      </c>
      <c r="O2206" s="22">
        <v>0</v>
      </c>
      <c r="P2206" s="21">
        <v>7060000</v>
      </c>
      <c r="S2206" s="108" t="b">
        <f>OR(COUNTIF(Tabla2[[#This Row],[PROVEEDOR]],"*"&amp;'Palabra no opera'!$A$2&amp;"*"))</f>
        <v>0</v>
      </c>
      <c r="T2206" s="139">
        <f>+$W$5-Tabla2[[#This Row],[FECHA DE FACTURACIÓN]]</f>
        <v>746</v>
      </c>
      <c r="U2206" t="str">
        <f>+IF(Tabla2[[#This Row],[dias de credito]]&gt;=Tabla2[[#This Row],[PLAZO Días]],"venc", "No venc")</f>
        <v>venc</v>
      </c>
      <c r="V2206" t="str">
        <f>+IF(Tabla2[[#This Row],[FECHA DE PAGO]]&gt;0,"pagada","por pagar")</f>
        <v>pagada</v>
      </c>
      <c r="W2206" s="141" t="str">
        <f>+IF(AND(Tabla2[[#This Row],[venc]]="venc",Tabla2[[#This Row],[Columna1]]="por pagar"),"vencida","no")</f>
        <v>no</v>
      </c>
    </row>
    <row r="2207" spans="1:23" ht="15.6" hidden="1" x14ac:dyDescent="0.3">
      <c r="A2207" s="20">
        <v>30</v>
      </c>
      <c r="B2207" s="25">
        <v>0</v>
      </c>
      <c r="C2207" s="25"/>
      <c r="D2207" s="56" t="s">
        <v>368</v>
      </c>
      <c r="E2207" s="426">
        <v>44617</v>
      </c>
      <c r="F2207" s="26" t="s">
        <v>623</v>
      </c>
      <c r="G2207" s="426">
        <v>44593</v>
      </c>
      <c r="H2207" s="35" t="s">
        <v>428</v>
      </c>
      <c r="I2207" s="21">
        <v>716544</v>
      </c>
      <c r="J2207" s="21"/>
      <c r="K2207" s="22">
        <v>136143.36000000002</v>
      </c>
      <c r="L2207" s="23"/>
      <c r="M2207" s="22">
        <v>0</v>
      </c>
      <c r="N2207" s="74">
        <v>0</v>
      </c>
      <c r="O2207" s="22">
        <v>0</v>
      </c>
      <c r="P2207" s="21">
        <v>852687.35999999999</v>
      </c>
      <c r="S2207" s="108" t="b">
        <f>OR(COUNTIF(Tabla2[[#This Row],[PROVEEDOR]],"*"&amp;'Palabra no opera'!$A$2&amp;"*"))</f>
        <v>1</v>
      </c>
      <c r="T2207" s="139">
        <f>+$W$5-Tabla2[[#This Row],[FECHA DE FACTURACIÓN]]</f>
        <v>698</v>
      </c>
      <c r="U2207" t="str">
        <f>+IF(Tabla2[[#This Row],[dias de credito]]&gt;=Tabla2[[#This Row],[PLAZO Días]],"venc", "No venc")</f>
        <v>venc</v>
      </c>
      <c r="V2207" t="str">
        <f>+IF(Tabla2[[#This Row],[FECHA DE PAGO]]&gt;0,"pagada","por pagar")</f>
        <v>pagada</v>
      </c>
      <c r="W2207" s="141" t="str">
        <f>+IF(AND(Tabla2[[#This Row],[venc]]="venc",Tabla2[[#This Row],[Columna1]]="por pagar"),"vencida","no")</f>
        <v>no</v>
      </c>
    </row>
    <row r="2208" spans="1:23" ht="15.6" hidden="1" x14ac:dyDescent="0.3">
      <c r="A2208" s="20">
        <v>30</v>
      </c>
      <c r="B2208" s="25">
        <v>0</v>
      </c>
      <c r="C2208" s="25"/>
      <c r="D2208" s="56" t="s">
        <v>368</v>
      </c>
      <c r="E2208" s="426">
        <v>44617</v>
      </c>
      <c r="F2208" s="26" t="s">
        <v>623</v>
      </c>
      <c r="G2208" s="426">
        <v>44593</v>
      </c>
      <c r="H2208" s="35" t="s">
        <v>429</v>
      </c>
      <c r="I2208" s="21">
        <v>3642787</v>
      </c>
      <c r="J2208" s="21"/>
      <c r="K2208" s="22">
        <v>692129.53</v>
      </c>
      <c r="L2208" s="23"/>
      <c r="M2208" s="22">
        <v>0</v>
      </c>
      <c r="N2208" s="74">
        <v>0</v>
      </c>
      <c r="O2208" s="22">
        <v>0</v>
      </c>
      <c r="P2208" s="21">
        <v>4334916.53</v>
      </c>
      <c r="S2208" s="108" t="b">
        <f>OR(COUNTIF(Tabla2[[#This Row],[PROVEEDOR]],"*"&amp;'Palabra no opera'!$A$2&amp;"*"))</f>
        <v>1</v>
      </c>
      <c r="T2208" s="139">
        <f>+$W$5-Tabla2[[#This Row],[FECHA DE FACTURACIÓN]]</f>
        <v>698</v>
      </c>
      <c r="U2208" t="str">
        <f>+IF(Tabla2[[#This Row],[dias de credito]]&gt;=Tabla2[[#This Row],[PLAZO Días]],"venc", "No venc")</f>
        <v>venc</v>
      </c>
      <c r="V2208" t="str">
        <f>+IF(Tabla2[[#This Row],[FECHA DE PAGO]]&gt;0,"pagada","por pagar")</f>
        <v>pagada</v>
      </c>
      <c r="W2208" s="141" t="str">
        <f>+IF(AND(Tabla2[[#This Row],[venc]]="venc",Tabla2[[#This Row],[Columna1]]="por pagar"),"vencida","no")</f>
        <v>no</v>
      </c>
    </row>
    <row r="2209" spans="1:23" ht="15.6" hidden="1" x14ac:dyDescent="0.3">
      <c r="A2209" s="20">
        <v>30</v>
      </c>
      <c r="B2209" s="25">
        <v>0</v>
      </c>
      <c r="C2209" s="25"/>
      <c r="D2209" s="56" t="s">
        <v>185</v>
      </c>
      <c r="E2209" s="426">
        <v>44617</v>
      </c>
      <c r="F2209" s="26" t="s">
        <v>628</v>
      </c>
      <c r="G2209" s="426">
        <v>44593</v>
      </c>
      <c r="H2209" s="35">
        <v>9918</v>
      </c>
      <c r="I2209" s="21">
        <v>1634691</v>
      </c>
      <c r="J2209" s="21"/>
      <c r="K2209" s="22">
        <v>0</v>
      </c>
      <c r="L2209" s="23"/>
      <c r="M2209" s="22">
        <v>0</v>
      </c>
      <c r="N2209" s="74">
        <v>0</v>
      </c>
      <c r="O2209" s="22">
        <v>0</v>
      </c>
      <c r="P2209" s="21">
        <v>1634691</v>
      </c>
      <c r="S2209" s="108" t="b">
        <f>OR(COUNTIF(Tabla2[[#This Row],[PROVEEDOR]],"*"&amp;'Palabra no opera'!$A$2&amp;"*"))</f>
        <v>1</v>
      </c>
      <c r="T2209" s="139">
        <f>+$W$5-Tabla2[[#This Row],[FECHA DE FACTURACIÓN]]</f>
        <v>698</v>
      </c>
      <c r="U2209" t="str">
        <f>+IF(Tabla2[[#This Row],[dias de credito]]&gt;=Tabla2[[#This Row],[PLAZO Días]],"venc", "No venc")</f>
        <v>venc</v>
      </c>
      <c r="V2209" t="str">
        <f>+IF(Tabla2[[#This Row],[FECHA DE PAGO]]&gt;0,"pagada","por pagar")</f>
        <v>pagada</v>
      </c>
      <c r="W2209" s="141" t="str">
        <f>+IF(AND(Tabla2[[#This Row],[venc]]="venc",Tabla2[[#This Row],[Columna1]]="por pagar"),"vencida","no")</f>
        <v>no</v>
      </c>
    </row>
    <row r="2210" spans="1:23" ht="15.6" hidden="1" x14ac:dyDescent="0.3">
      <c r="A2210" s="20">
        <v>30</v>
      </c>
      <c r="B2210" s="25">
        <v>0</v>
      </c>
      <c r="C2210" s="25"/>
      <c r="D2210" s="56" t="s">
        <v>260</v>
      </c>
      <c r="E2210" s="426">
        <v>44617</v>
      </c>
      <c r="F2210" s="26" t="s">
        <v>635</v>
      </c>
      <c r="G2210" s="426">
        <v>44593</v>
      </c>
      <c r="H2210" s="35">
        <v>2200</v>
      </c>
      <c r="I2210" s="21">
        <v>2789636</v>
      </c>
      <c r="J2210" s="21"/>
      <c r="K2210" s="22">
        <v>0</v>
      </c>
      <c r="L2210" s="23"/>
      <c r="M2210" s="22">
        <v>0</v>
      </c>
      <c r="N2210" s="74">
        <v>3.5000000000000003E-2</v>
      </c>
      <c r="O2210" s="22">
        <v>97637.260000000009</v>
      </c>
      <c r="P2210" s="21">
        <v>2691998.74</v>
      </c>
      <c r="S2210" s="108" t="b">
        <f>OR(COUNTIF(Tabla2[[#This Row],[PROVEEDOR]],"*"&amp;'Palabra no opera'!$A$2&amp;"*"))</f>
        <v>1</v>
      </c>
      <c r="T2210" s="139">
        <f>+$W$5-Tabla2[[#This Row],[FECHA DE FACTURACIÓN]]</f>
        <v>698</v>
      </c>
      <c r="U2210" t="str">
        <f>+IF(Tabla2[[#This Row],[dias de credito]]&gt;=Tabla2[[#This Row],[PLAZO Días]],"venc", "No venc")</f>
        <v>venc</v>
      </c>
      <c r="V2210" t="str">
        <f>+IF(Tabla2[[#This Row],[FECHA DE PAGO]]&gt;0,"pagada","por pagar")</f>
        <v>pagada</v>
      </c>
      <c r="W2210" s="141" t="str">
        <f>+IF(AND(Tabla2[[#This Row],[venc]]="venc",Tabla2[[#This Row],[Columna1]]="por pagar"),"vencida","no")</f>
        <v>no</v>
      </c>
    </row>
    <row r="2211" spans="1:23" ht="15.6" hidden="1" x14ac:dyDescent="0.3">
      <c r="A2211" s="20">
        <v>30</v>
      </c>
      <c r="B2211" s="25">
        <v>0</v>
      </c>
      <c r="C2211" s="25"/>
      <c r="D2211" s="56" t="s">
        <v>1116</v>
      </c>
      <c r="E2211" s="426">
        <v>44617</v>
      </c>
      <c r="F2211" s="26" t="s">
        <v>638</v>
      </c>
      <c r="G2211" s="426">
        <v>44593</v>
      </c>
      <c r="H2211" s="35" t="s">
        <v>437</v>
      </c>
      <c r="I2211" s="21">
        <v>3958317</v>
      </c>
      <c r="J2211" s="21"/>
      <c r="K2211" s="22">
        <v>752080.23</v>
      </c>
      <c r="L2211" s="23"/>
      <c r="M2211" s="22">
        <v>0</v>
      </c>
      <c r="N2211" s="74">
        <v>3.5000000000000003E-2</v>
      </c>
      <c r="O2211" s="22">
        <v>138541.095</v>
      </c>
      <c r="P2211" s="21">
        <v>3819775.9049999998</v>
      </c>
      <c r="S2211" s="108" t="b">
        <f>OR(COUNTIF(Tabla2[[#This Row],[PROVEEDOR]],"*"&amp;'Palabra no opera'!$A$2&amp;"*"))</f>
        <v>1</v>
      </c>
      <c r="T2211" s="139">
        <f>+$W$5-Tabla2[[#This Row],[FECHA DE FACTURACIÓN]]</f>
        <v>698</v>
      </c>
      <c r="U2211" t="str">
        <f>+IF(Tabla2[[#This Row],[dias de credito]]&gt;=Tabla2[[#This Row],[PLAZO Días]],"venc", "No venc")</f>
        <v>venc</v>
      </c>
      <c r="V2211" t="str">
        <f>+IF(Tabla2[[#This Row],[FECHA DE PAGO]]&gt;0,"pagada","por pagar")</f>
        <v>pagada</v>
      </c>
      <c r="W2211" s="141" t="str">
        <f>+IF(AND(Tabla2[[#This Row],[venc]]="venc",Tabla2[[#This Row],[Columna1]]="por pagar"),"vencida","no")</f>
        <v>no</v>
      </c>
    </row>
    <row r="2212" spans="1:23" ht="15.6" hidden="1" x14ac:dyDescent="0.3">
      <c r="A2212" s="20">
        <v>30</v>
      </c>
      <c r="B2212" s="25">
        <v>0</v>
      </c>
      <c r="C2212" s="25"/>
      <c r="D2212" s="56" t="s">
        <v>193</v>
      </c>
      <c r="E2212" s="426">
        <v>44617</v>
      </c>
      <c r="F2212" s="26" t="s">
        <v>651</v>
      </c>
      <c r="G2212" s="426">
        <v>44593</v>
      </c>
      <c r="H2212" s="35">
        <v>4124</v>
      </c>
      <c r="I2212" s="21">
        <v>215356</v>
      </c>
      <c r="J2212" s="21"/>
      <c r="K2212" s="22">
        <v>40917.64</v>
      </c>
      <c r="L2212" s="23"/>
      <c r="M2212" s="22">
        <v>0</v>
      </c>
      <c r="N2212" s="74">
        <v>3.5000000000000003E-2</v>
      </c>
      <c r="O2212" s="22">
        <v>7537.4600000000009</v>
      </c>
      <c r="P2212" s="21">
        <v>248736.18000000002</v>
      </c>
      <c r="S2212" s="108" t="b">
        <f>OR(COUNTIF(Tabla2[[#This Row],[PROVEEDOR]],"*"&amp;'Palabra no opera'!$A$2&amp;"*"))</f>
        <v>1</v>
      </c>
      <c r="T2212" s="139">
        <f>+$W$5-Tabla2[[#This Row],[FECHA DE FACTURACIÓN]]</f>
        <v>698</v>
      </c>
      <c r="U2212" t="str">
        <f>+IF(Tabla2[[#This Row],[dias de credito]]&gt;=Tabla2[[#This Row],[PLAZO Días]],"venc", "No venc")</f>
        <v>venc</v>
      </c>
      <c r="V2212" t="str">
        <f>+IF(Tabla2[[#This Row],[FECHA DE PAGO]]&gt;0,"pagada","por pagar")</f>
        <v>pagada</v>
      </c>
      <c r="W2212" s="141" t="str">
        <f>+IF(AND(Tabla2[[#This Row],[venc]]="venc",Tabla2[[#This Row],[Columna1]]="por pagar"),"vencida","no")</f>
        <v>no</v>
      </c>
    </row>
    <row r="2213" spans="1:23" ht="15.6" hidden="1" x14ac:dyDescent="0.3">
      <c r="A2213" s="20">
        <v>20</v>
      </c>
      <c r="B2213" s="25">
        <v>0</v>
      </c>
      <c r="C2213" s="25"/>
      <c r="D2213" s="56" t="s">
        <v>201</v>
      </c>
      <c r="E2213" s="426">
        <v>44617</v>
      </c>
      <c r="F2213" s="26" t="s">
        <v>652</v>
      </c>
      <c r="G2213" s="426">
        <v>44593</v>
      </c>
      <c r="H2213" s="35">
        <v>41982</v>
      </c>
      <c r="I2213" s="21">
        <v>4430000</v>
      </c>
      <c r="J2213" s="21"/>
      <c r="K2213" s="22">
        <v>841700</v>
      </c>
      <c r="L2213" s="23"/>
      <c r="M2213" s="22">
        <v>0</v>
      </c>
      <c r="N2213" s="74">
        <v>3.5000000000000003E-2</v>
      </c>
      <c r="O2213" s="22">
        <v>155050.00000000003</v>
      </c>
      <c r="P2213" s="21">
        <v>5116650</v>
      </c>
      <c r="S2213" s="108" t="b">
        <f>OR(COUNTIF(Tabla2[[#This Row],[PROVEEDOR]],"*"&amp;'Palabra no opera'!$A$2&amp;"*"))</f>
        <v>1</v>
      </c>
      <c r="T2213" s="139">
        <f>+$W$5-Tabla2[[#This Row],[FECHA DE FACTURACIÓN]]</f>
        <v>698</v>
      </c>
      <c r="U2213" t="str">
        <f>+IF(Tabla2[[#This Row],[dias de credito]]&gt;=Tabla2[[#This Row],[PLAZO Días]],"venc", "No venc")</f>
        <v>venc</v>
      </c>
      <c r="V2213" t="str">
        <f>+IF(Tabla2[[#This Row],[FECHA DE PAGO]]&gt;0,"pagada","por pagar")</f>
        <v>pagada</v>
      </c>
      <c r="W2213" s="141" t="str">
        <f>+IF(AND(Tabla2[[#This Row],[venc]]="venc",Tabla2[[#This Row],[Columna1]]="por pagar"),"vencida","no")</f>
        <v>no</v>
      </c>
    </row>
    <row r="2214" spans="1:23" ht="15.6" hidden="1" x14ac:dyDescent="0.3">
      <c r="A2214" s="20">
        <v>30</v>
      </c>
      <c r="B2214" s="25">
        <v>1316890.8900000001</v>
      </c>
      <c r="C2214" s="25"/>
      <c r="D2214" s="56" t="s">
        <v>188</v>
      </c>
      <c r="E2214" s="426">
        <v>44617</v>
      </c>
      <c r="F2214" s="26" t="s">
        <v>17</v>
      </c>
      <c r="G2214" s="426">
        <v>44580</v>
      </c>
      <c r="H2214" s="35">
        <v>1864904</v>
      </c>
      <c r="I2214" s="21">
        <v>1440260</v>
      </c>
      <c r="J2214" s="21"/>
      <c r="K2214" s="22">
        <v>273649.40000000002</v>
      </c>
      <c r="L2214" s="23"/>
      <c r="M2214" s="22">
        <v>0</v>
      </c>
      <c r="N2214" s="74">
        <v>0</v>
      </c>
      <c r="O2214" s="22">
        <v>0</v>
      </c>
      <c r="P2214" s="21">
        <v>1713909.4</v>
      </c>
      <c r="S2214" s="108" t="b">
        <f>OR(COUNTIF(Tabla2[[#This Row],[PROVEEDOR]],"*"&amp;'Palabra no opera'!$A$2&amp;"*"))</f>
        <v>0</v>
      </c>
      <c r="T2214" s="139">
        <f>+$W$5-Tabla2[[#This Row],[FECHA DE FACTURACIÓN]]</f>
        <v>711</v>
      </c>
      <c r="U2214" t="str">
        <f>+IF(Tabla2[[#This Row],[dias de credito]]&gt;=Tabla2[[#This Row],[PLAZO Días]],"venc", "No venc")</f>
        <v>venc</v>
      </c>
      <c r="V2214" t="str">
        <f>+IF(Tabla2[[#This Row],[FECHA DE PAGO]]&gt;0,"pagada","por pagar")</f>
        <v>pagada</v>
      </c>
      <c r="W2214" s="141" t="str">
        <f>+IF(AND(Tabla2[[#This Row],[venc]]="venc",Tabla2[[#This Row],[Columna1]]="por pagar"),"vencida","no")</f>
        <v>no</v>
      </c>
    </row>
    <row r="2215" spans="1:23" ht="15.6" hidden="1" x14ac:dyDescent="0.3">
      <c r="A2215" s="20">
        <v>30</v>
      </c>
      <c r="B2215" s="25">
        <v>17870934.149999999</v>
      </c>
      <c r="C2215" s="25"/>
      <c r="D2215" s="56" t="s">
        <v>182</v>
      </c>
      <c r="E2215" s="426">
        <v>44617</v>
      </c>
      <c r="F2215" s="26" t="s">
        <v>18</v>
      </c>
      <c r="G2215" s="426">
        <v>44574</v>
      </c>
      <c r="H2215" s="35">
        <v>1048362</v>
      </c>
      <c r="I2215" s="21">
        <v>7141767.0800000001</v>
      </c>
      <c r="J2215" s="21"/>
      <c r="K2215" s="22">
        <v>1356935.7452</v>
      </c>
      <c r="L2215" s="23"/>
      <c r="M2215" s="22">
        <v>0</v>
      </c>
      <c r="N2215" s="74">
        <v>2.5000000000000001E-2</v>
      </c>
      <c r="O2215" s="22">
        <v>178544.17700000003</v>
      </c>
      <c r="P2215" s="21">
        <v>8320158.6482000006</v>
      </c>
      <c r="S2215" s="108" t="b">
        <f>OR(COUNTIF(Tabla2[[#This Row],[PROVEEDOR]],"*"&amp;'Palabra no opera'!$A$2&amp;"*"))</f>
        <v>0</v>
      </c>
      <c r="T2215" s="139">
        <f>+$W$5-Tabla2[[#This Row],[FECHA DE FACTURACIÓN]]</f>
        <v>717</v>
      </c>
      <c r="U2215" t="str">
        <f>+IF(Tabla2[[#This Row],[dias de credito]]&gt;=Tabla2[[#This Row],[PLAZO Días]],"venc", "No venc")</f>
        <v>venc</v>
      </c>
      <c r="V2215" t="str">
        <f>+IF(Tabla2[[#This Row],[FECHA DE PAGO]]&gt;0,"pagada","por pagar")</f>
        <v>pagada</v>
      </c>
      <c r="W2215" s="141" t="str">
        <f>+IF(AND(Tabla2[[#This Row],[venc]]="venc",Tabla2[[#This Row],[Columna1]]="por pagar"),"vencida","no")</f>
        <v>no</v>
      </c>
    </row>
    <row r="2216" spans="1:23" ht="15.6" hidden="1" x14ac:dyDescent="0.3">
      <c r="A2216" s="20">
        <v>30</v>
      </c>
      <c r="B2216" s="25">
        <v>1125118.8199999998</v>
      </c>
      <c r="C2216" s="25"/>
      <c r="D2216" s="56" t="s">
        <v>431</v>
      </c>
      <c r="E2216" s="426">
        <v>44617</v>
      </c>
      <c r="F2216" s="26" t="s">
        <v>279</v>
      </c>
      <c r="G2216" s="426">
        <v>44574</v>
      </c>
      <c r="H2216" s="35" t="s">
        <v>338</v>
      </c>
      <c r="I2216" s="21">
        <v>1420170</v>
      </c>
      <c r="J2216" s="21"/>
      <c r="K2216" s="22">
        <v>269832.3</v>
      </c>
      <c r="L2216" s="23"/>
      <c r="M2216" s="22">
        <v>0</v>
      </c>
      <c r="N2216" s="74">
        <v>2.5000000000000001E-2</v>
      </c>
      <c r="O2216" s="22">
        <v>35504.25</v>
      </c>
      <c r="P2216" s="21">
        <v>1654498.05</v>
      </c>
      <c r="S2216" s="108" t="b">
        <f>OR(COUNTIF(Tabla2[[#This Row],[PROVEEDOR]],"*"&amp;'Palabra no opera'!$A$2&amp;"*"))</f>
        <v>0</v>
      </c>
      <c r="T2216" s="139">
        <f>+$W$5-Tabla2[[#This Row],[FECHA DE FACTURACIÓN]]</f>
        <v>717</v>
      </c>
      <c r="U2216" t="str">
        <f>+IF(Tabla2[[#This Row],[dias de credito]]&gt;=Tabla2[[#This Row],[PLAZO Días]],"venc", "No venc")</f>
        <v>venc</v>
      </c>
      <c r="V2216" t="str">
        <f>+IF(Tabla2[[#This Row],[FECHA DE PAGO]]&gt;0,"pagada","por pagar")</f>
        <v>pagada</v>
      </c>
      <c r="W2216" s="141" t="str">
        <f>+IF(AND(Tabla2[[#This Row],[venc]]="venc",Tabla2[[#This Row],[Columna1]]="por pagar"),"vencida","no")</f>
        <v>no</v>
      </c>
    </row>
    <row r="2217" spans="1:23" ht="15.6" hidden="1" x14ac:dyDescent="0.3">
      <c r="A2217" s="20">
        <v>30</v>
      </c>
      <c r="B2217" s="25">
        <v>0</v>
      </c>
      <c r="C2217" s="25"/>
      <c r="D2217" s="56" t="s">
        <v>107</v>
      </c>
      <c r="E2217" s="426">
        <v>44616</v>
      </c>
      <c r="F2217" s="26" t="s">
        <v>390</v>
      </c>
      <c r="G2217" s="426">
        <v>44616</v>
      </c>
      <c r="H2217" s="35"/>
      <c r="I2217" s="21">
        <v>1000000</v>
      </c>
      <c r="J2217" s="21"/>
      <c r="K2217" s="22">
        <v>0</v>
      </c>
      <c r="L2217" s="23"/>
      <c r="M2217" s="22">
        <v>0</v>
      </c>
      <c r="N2217" s="74">
        <v>0</v>
      </c>
      <c r="O2217" s="22">
        <v>0</v>
      </c>
      <c r="P2217" s="21">
        <v>1000000</v>
      </c>
      <c r="S2217" s="108" t="b">
        <f>OR(COUNTIF(Tabla2[[#This Row],[PROVEEDOR]],"*"&amp;'Palabra no opera'!$A$2&amp;"*"))</f>
        <v>0</v>
      </c>
      <c r="T2217" s="139">
        <f>+$W$5-Tabla2[[#This Row],[FECHA DE FACTURACIÓN]]</f>
        <v>675</v>
      </c>
      <c r="U2217" t="str">
        <f>+IF(Tabla2[[#This Row],[dias de credito]]&gt;=Tabla2[[#This Row],[PLAZO Días]],"venc", "No venc")</f>
        <v>venc</v>
      </c>
      <c r="V2217" t="str">
        <f>+IF(Tabla2[[#This Row],[FECHA DE PAGO]]&gt;0,"pagada","por pagar")</f>
        <v>pagada</v>
      </c>
      <c r="W2217" s="141" t="str">
        <f>+IF(AND(Tabla2[[#This Row],[venc]]="venc",Tabla2[[#This Row],[Columna1]]="por pagar"),"vencida","no")</f>
        <v>no</v>
      </c>
    </row>
    <row r="2218" spans="1:23" ht="15.6" hidden="1" x14ac:dyDescent="0.3">
      <c r="A2218" s="20">
        <v>30</v>
      </c>
      <c r="B2218" s="25">
        <v>0</v>
      </c>
      <c r="C2218" s="25"/>
      <c r="D2218" s="56" t="s">
        <v>740</v>
      </c>
      <c r="E2218" s="426">
        <v>44616</v>
      </c>
      <c r="F2218" s="26" t="s">
        <v>637</v>
      </c>
      <c r="G2218" s="426">
        <v>44593</v>
      </c>
      <c r="H2218" s="35">
        <v>13188</v>
      </c>
      <c r="I2218" s="21">
        <v>800264</v>
      </c>
      <c r="J2218" s="21"/>
      <c r="K2218" s="22">
        <v>0</v>
      </c>
      <c r="L2218" s="23"/>
      <c r="M2218" s="22">
        <v>0</v>
      </c>
      <c r="N2218" s="74">
        <v>0</v>
      </c>
      <c r="O2218" s="22">
        <v>0</v>
      </c>
      <c r="P2218" s="21">
        <v>800264</v>
      </c>
      <c r="S2218" s="108" t="b">
        <f>OR(COUNTIF(Tabla2[[#This Row],[PROVEEDOR]],"*"&amp;'Palabra no opera'!$A$2&amp;"*"))</f>
        <v>1</v>
      </c>
      <c r="T2218" s="139">
        <f>+$W$5-Tabla2[[#This Row],[FECHA DE FACTURACIÓN]]</f>
        <v>698</v>
      </c>
      <c r="U2218" t="str">
        <f>+IF(Tabla2[[#This Row],[dias de credito]]&gt;=Tabla2[[#This Row],[PLAZO Días]],"venc", "No venc")</f>
        <v>venc</v>
      </c>
      <c r="V2218" t="str">
        <f>+IF(Tabla2[[#This Row],[FECHA DE PAGO]]&gt;0,"pagada","por pagar")</f>
        <v>pagada</v>
      </c>
      <c r="W2218" s="141" t="str">
        <f>+IF(AND(Tabla2[[#This Row],[venc]]="venc",Tabla2[[#This Row],[Columna1]]="por pagar"),"vencida","no")</f>
        <v>no</v>
      </c>
    </row>
    <row r="2219" spans="1:23" ht="15.6" hidden="1" x14ac:dyDescent="0.3">
      <c r="A2219" s="20">
        <v>30</v>
      </c>
      <c r="B2219" s="25">
        <v>0</v>
      </c>
      <c r="C2219" s="25"/>
      <c r="D2219" s="56" t="s">
        <v>740</v>
      </c>
      <c r="E2219" s="426">
        <v>44616</v>
      </c>
      <c r="F2219" s="26" t="s">
        <v>637</v>
      </c>
      <c r="G2219" s="426">
        <v>44593</v>
      </c>
      <c r="H2219" s="35">
        <v>13229</v>
      </c>
      <c r="I2219" s="21">
        <v>818874</v>
      </c>
      <c r="J2219" s="21"/>
      <c r="K2219" s="22">
        <v>0</v>
      </c>
      <c r="L2219" s="23"/>
      <c r="M2219" s="22">
        <v>0</v>
      </c>
      <c r="N2219" s="74">
        <v>0</v>
      </c>
      <c r="O2219" s="22">
        <v>0</v>
      </c>
      <c r="P2219" s="21">
        <v>818874</v>
      </c>
      <c r="S2219" s="108" t="b">
        <f>OR(COUNTIF(Tabla2[[#This Row],[PROVEEDOR]],"*"&amp;'Palabra no opera'!$A$2&amp;"*"))</f>
        <v>1</v>
      </c>
      <c r="T2219" s="139">
        <f>+$W$5-Tabla2[[#This Row],[FECHA DE FACTURACIÓN]]</f>
        <v>698</v>
      </c>
      <c r="U2219" t="str">
        <f>+IF(Tabla2[[#This Row],[dias de credito]]&gt;=Tabla2[[#This Row],[PLAZO Días]],"venc", "No venc")</f>
        <v>venc</v>
      </c>
      <c r="V2219" t="str">
        <f>+IF(Tabla2[[#This Row],[FECHA DE PAGO]]&gt;0,"pagada","por pagar")</f>
        <v>pagada</v>
      </c>
      <c r="W2219" s="141" t="str">
        <f>+IF(AND(Tabla2[[#This Row],[venc]]="venc",Tabla2[[#This Row],[Columna1]]="por pagar"),"vencida","no")</f>
        <v>no</v>
      </c>
    </row>
    <row r="2220" spans="1:23" ht="15.6" hidden="1" x14ac:dyDescent="0.3">
      <c r="A2220" s="20">
        <v>30</v>
      </c>
      <c r="B2220" s="25">
        <v>0</v>
      </c>
      <c r="C2220" s="25"/>
      <c r="D2220" s="56">
        <v>0</v>
      </c>
      <c r="E2220" s="426">
        <v>44615</v>
      </c>
      <c r="F2220" s="26" t="s">
        <v>641</v>
      </c>
      <c r="G2220" s="426">
        <v>44610</v>
      </c>
      <c r="H2220" s="35">
        <v>94613621</v>
      </c>
      <c r="I2220" s="21">
        <v>130900</v>
      </c>
      <c r="J2220" s="21"/>
      <c r="K2220" s="22">
        <v>24871</v>
      </c>
      <c r="L2220" s="23"/>
      <c r="M2220" s="22">
        <v>0</v>
      </c>
      <c r="N2220" s="74">
        <v>3.5000000000000003E-2</v>
      </c>
      <c r="O2220" s="22">
        <v>4581.5</v>
      </c>
      <c r="P2220" s="21">
        <v>155771</v>
      </c>
      <c r="S2220" s="108" t="b">
        <f>OR(COUNTIF(Tabla2[[#This Row],[PROVEEDOR]],"*"&amp;'Palabra no opera'!$A$2&amp;"*"))</f>
        <v>1</v>
      </c>
      <c r="T2220" s="139">
        <f>+$W$5-Tabla2[[#This Row],[FECHA DE FACTURACIÓN]]</f>
        <v>681</v>
      </c>
      <c r="U2220" t="str">
        <f>+IF(Tabla2[[#This Row],[dias de credito]]&gt;=Tabla2[[#This Row],[PLAZO Días]],"venc", "No venc")</f>
        <v>venc</v>
      </c>
      <c r="V2220" t="str">
        <f>+IF(Tabla2[[#This Row],[FECHA DE PAGO]]&gt;0,"pagada","por pagar")</f>
        <v>pagada</v>
      </c>
      <c r="W2220" s="141" t="str">
        <f>+IF(AND(Tabla2[[#This Row],[venc]]="venc",Tabla2[[#This Row],[Columna1]]="por pagar"),"vencida","no")</f>
        <v>no</v>
      </c>
    </row>
    <row r="2221" spans="1:23" ht="15.6" hidden="1" x14ac:dyDescent="0.3">
      <c r="A2221" s="20">
        <v>0</v>
      </c>
      <c r="B2221" s="25">
        <v>0</v>
      </c>
      <c r="C2221" s="25"/>
      <c r="D2221" s="56" t="s">
        <v>136</v>
      </c>
      <c r="E2221" s="426">
        <v>44614</v>
      </c>
      <c r="F2221" s="26" t="s">
        <v>649</v>
      </c>
      <c r="G2221" s="426">
        <v>44596</v>
      </c>
      <c r="H2221" s="35">
        <v>915</v>
      </c>
      <c r="I2221" s="21">
        <v>600000</v>
      </c>
      <c r="J2221" s="21"/>
      <c r="K2221" s="22">
        <v>0</v>
      </c>
      <c r="L2221" s="23"/>
      <c r="M2221" s="22">
        <v>0</v>
      </c>
      <c r="N2221" s="74">
        <v>0</v>
      </c>
      <c r="O2221" s="22">
        <v>0</v>
      </c>
      <c r="P2221" s="21">
        <v>600000</v>
      </c>
      <c r="S2221" s="108" t="b">
        <f>OR(COUNTIF(Tabla2[[#This Row],[PROVEEDOR]],"*"&amp;'Palabra no opera'!$A$2&amp;"*"))</f>
        <v>1</v>
      </c>
      <c r="T2221" s="139">
        <f>+$W$5-Tabla2[[#This Row],[FECHA DE FACTURACIÓN]]</f>
        <v>695</v>
      </c>
      <c r="U2221" t="str">
        <f>+IF(Tabla2[[#This Row],[dias de credito]]&gt;=Tabla2[[#This Row],[PLAZO Días]],"venc", "No venc")</f>
        <v>venc</v>
      </c>
      <c r="V2221" t="str">
        <f>+IF(Tabla2[[#This Row],[FECHA DE PAGO]]&gt;0,"pagada","por pagar")</f>
        <v>pagada</v>
      </c>
      <c r="W2221" s="141" t="str">
        <f>+IF(AND(Tabla2[[#This Row],[venc]]="venc",Tabla2[[#This Row],[Columna1]]="por pagar"),"vencida","no")</f>
        <v>no</v>
      </c>
    </row>
    <row r="2222" spans="1:23" ht="15.6" hidden="1" x14ac:dyDescent="0.3">
      <c r="A2222" s="20">
        <v>30</v>
      </c>
      <c r="B2222" s="25">
        <v>-101001.25</v>
      </c>
      <c r="C2222" s="25"/>
      <c r="D2222" s="56" t="s">
        <v>200</v>
      </c>
      <c r="E2222" s="426">
        <v>44614</v>
      </c>
      <c r="F2222" s="26" t="s">
        <v>14</v>
      </c>
      <c r="G2222" s="426">
        <v>44581</v>
      </c>
      <c r="H2222" s="35" t="s">
        <v>483</v>
      </c>
      <c r="I2222" s="21">
        <v>509250</v>
      </c>
      <c r="J2222" s="21"/>
      <c r="K2222" s="22">
        <v>96757.5</v>
      </c>
      <c r="L2222" s="23">
        <v>0.02</v>
      </c>
      <c r="M2222" s="22">
        <v>10185</v>
      </c>
      <c r="N2222" s="74">
        <v>0</v>
      </c>
      <c r="O2222" s="22">
        <v>0</v>
      </c>
      <c r="P2222" s="21">
        <v>595822.5</v>
      </c>
      <c r="S2222" s="108" t="b">
        <f>OR(COUNTIF(Tabla2[[#This Row],[PROVEEDOR]],"*"&amp;'Palabra no opera'!$A$2&amp;"*"))</f>
        <v>0</v>
      </c>
      <c r="T2222" s="139">
        <f>+$W$5-Tabla2[[#This Row],[FECHA DE FACTURACIÓN]]</f>
        <v>710</v>
      </c>
      <c r="U2222" t="str">
        <f>+IF(Tabla2[[#This Row],[dias de credito]]&gt;=Tabla2[[#This Row],[PLAZO Días]],"venc", "No venc")</f>
        <v>venc</v>
      </c>
      <c r="V2222" t="str">
        <f>+IF(Tabla2[[#This Row],[FECHA DE PAGO]]&gt;0,"pagada","por pagar")</f>
        <v>pagada</v>
      </c>
      <c r="W2222" s="141" t="str">
        <f>+IF(AND(Tabla2[[#This Row],[venc]]="venc",Tabla2[[#This Row],[Columna1]]="por pagar"),"vencida","no")</f>
        <v>no</v>
      </c>
    </row>
    <row r="2223" spans="1:23" ht="15.6" hidden="1" x14ac:dyDescent="0.3">
      <c r="A2223" s="20">
        <v>30</v>
      </c>
      <c r="B2223" s="25">
        <v>10321993.199999999</v>
      </c>
      <c r="C2223" s="25"/>
      <c r="D2223" s="56" t="s">
        <v>189</v>
      </c>
      <c r="E2223" s="426">
        <v>44614</v>
      </c>
      <c r="F2223" s="26" t="s">
        <v>1068</v>
      </c>
      <c r="G2223" s="426">
        <v>44579</v>
      </c>
      <c r="H2223" s="35">
        <v>24344</v>
      </c>
      <c r="I2223" s="21">
        <v>640000</v>
      </c>
      <c r="J2223" s="21"/>
      <c r="K2223" s="22">
        <v>121600</v>
      </c>
      <c r="L2223" s="23"/>
      <c r="M2223" s="22">
        <v>0</v>
      </c>
      <c r="N2223" s="74">
        <v>0</v>
      </c>
      <c r="O2223" s="22">
        <v>0</v>
      </c>
      <c r="P2223" s="21">
        <v>761600</v>
      </c>
      <c r="S2223" s="108" t="b">
        <f>OR(COUNTIF(Tabla2[[#This Row],[PROVEEDOR]],"*"&amp;'Palabra no opera'!$A$2&amp;"*"))</f>
        <v>0</v>
      </c>
      <c r="T2223" s="139">
        <f>+$W$5-Tabla2[[#This Row],[FECHA DE FACTURACIÓN]]</f>
        <v>712</v>
      </c>
      <c r="U2223" t="str">
        <f>+IF(Tabla2[[#This Row],[dias de credito]]&gt;=Tabla2[[#This Row],[PLAZO Días]],"venc", "No venc")</f>
        <v>venc</v>
      </c>
      <c r="V2223" t="str">
        <f>+IF(Tabla2[[#This Row],[FECHA DE PAGO]]&gt;0,"pagada","por pagar")</f>
        <v>pagada</v>
      </c>
      <c r="W2223" s="141" t="str">
        <f>+IF(AND(Tabla2[[#This Row],[venc]]="venc",Tabla2[[#This Row],[Columna1]]="por pagar"),"vencida","no")</f>
        <v>no</v>
      </c>
    </row>
    <row r="2224" spans="1:23" ht="15.6" hidden="1" x14ac:dyDescent="0.3">
      <c r="A2224" s="20">
        <v>30</v>
      </c>
      <c r="B2224" s="25">
        <v>10321993.199999999</v>
      </c>
      <c r="C2224" s="25"/>
      <c r="D2224" s="56" t="s">
        <v>189</v>
      </c>
      <c r="E2224" s="426">
        <v>44614</v>
      </c>
      <c r="F2224" s="26" t="s">
        <v>1068</v>
      </c>
      <c r="G2224" s="426">
        <v>44550</v>
      </c>
      <c r="H2224" s="35">
        <v>24019</v>
      </c>
      <c r="I2224" s="21">
        <v>2885740</v>
      </c>
      <c r="J2224" s="21"/>
      <c r="K2224" s="22">
        <v>548290.6</v>
      </c>
      <c r="L2224" s="23"/>
      <c r="M2224" s="22">
        <v>0</v>
      </c>
      <c r="N2224" s="74">
        <v>2.5000000000000001E-2</v>
      </c>
      <c r="O2224" s="22">
        <v>72143.5</v>
      </c>
      <c r="P2224" s="21">
        <v>3361887.1</v>
      </c>
      <c r="S2224" s="108" t="b">
        <f>OR(COUNTIF(Tabla2[[#This Row],[PROVEEDOR]],"*"&amp;'Palabra no opera'!$A$2&amp;"*"))</f>
        <v>0</v>
      </c>
      <c r="T2224" s="139">
        <f>+$W$5-Tabla2[[#This Row],[FECHA DE FACTURACIÓN]]</f>
        <v>741</v>
      </c>
      <c r="U2224" t="str">
        <f>+IF(Tabla2[[#This Row],[dias de credito]]&gt;=Tabla2[[#This Row],[PLAZO Días]],"venc", "No venc")</f>
        <v>venc</v>
      </c>
      <c r="V2224" t="str">
        <f>+IF(Tabla2[[#This Row],[FECHA DE PAGO]]&gt;0,"pagada","por pagar")</f>
        <v>pagada</v>
      </c>
      <c r="W2224" s="141" t="str">
        <f>+IF(AND(Tabla2[[#This Row],[venc]]="venc",Tabla2[[#This Row],[Columna1]]="por pagar"),"vencida","no")</f>
        <v>no</v>
      </c>
    </row>
    <row r="2225" spans="1:23" ht="15.6" hidden="1" x14ac:dyDescent="0.3">
      <c r="A2225" s="20">
        <v>30</v>
      </c>
      <c r="B2225" s="25">
        <v>0</v>
      </c>
      <c r="C2225" s="25"/>
      <c r="D2225" s="56" t="s">
        <v>107</v>
      </c>
      <c r="E2225" s="426">
        <v>44609</v>
      </c>
      <c r="F2225" s="26" t="s">
        <v>390</v>
      </c>
      <c r="G2225" s="426">
        <v>44609</v>
      </c>
      <c r="H2225" s="35"/>
      <c r="I2225" s="21">
        <v>1000000</v>
      </c>
      <c r="J2225" s="21"/>
      <c r="K2225" s="22">
        <v>0</v>
      </c>
      <c r="L2225" s="23"/>
      <c r="M2225" s="22">
        <v>0</v>
      </c>
      <c r="N2225" s="74">
        <v>0</v>
      </c>
      <c r="O2225" s="22">
        <v>0</v>
      </c>
      <c r="P2225" s="21">
        <v>1000000</v>
      </c>
      <c r="S2225" s="108" t="b">
        <f>OR(COUNTIF(Tabla2[[#This Row],[PROVEEDOR]],"*"&amp;'Palabra no opera'!$A$2&amp;"*"))</f>
        <v>0</v>
      </c>
      <c r="T2225" s="139">
        <f>+$W$5-Tabla2[[#This Row],[FECHA DE FACTURACIÓN]]</f>
        <v>682</v>
      </c>
      <c r="U2225" t="str">
        <f>+IF(Tabla2[[#This Row],[dias de credito]]&gt;=Tabla2[[#This Row],[PLAZO Días]],"venc", "No venc")</f>
        <v>venc</v>
      </c>
      <c r="V2225" t="str">
        <f>+IF(Tabla2[[#This Row],[FECHA DE PAGO]]&gt;0,"pagada","por pagar")</f>
        <v>pagada</v>
      </c>
      <c r="W2225" s="141" t="str">
        <f>+IF(AND(Tabla2[[#This Row],[venc]]="venc",Tabla2[[#This Row],[Columna1]]="por pagar"),"vencida","no")</f>
        <v>no</v>
      </c>
    </row>
    <row r="2226" spans="1:23" ht="15.6" hidden="1" x14ac:dyDescent="0.3">
      <c r="A2226" s="20">
        <v>30</v>
      </c>
      <c r="B2226" s="25">
        <v>0</v>
      </c>
      <c r="C2226" s="25"/>
      <c r="D2226" s="56" t="s">
        <v>107</v>
      </c>
      <c r="E2226" s="426">
        <v>44609</v>
      </c>
      <c r="F2226" s="26" t="s">
        <v>832</v>
      </c>
      <c r="G2226" s="426">
        <v>44603</v>
      </c>
      <c r="H2226" s="35" t="s">
        <v>391</v>
      </c>
      <c r="I2226" s="21">
        <v>331400</v>
      </c>
      <c r="J2226" s="21"/>
      <c r="K2226" s="22">
        <v>0</v>
      </c>
      <c r="L2226" s="23"/>
      <c r="M2226" s="22">
        <v>0</v>
      </c>
      <c r="N2226" s="74">
        <v>0</v>
      </c>
      <c r="O2226" s="22">
        <v>0</v>
      </c>
      <c r="P2226" s="21">
        <v>331400</v>
      </c>
      <c r="S2226" s="108" t="b">
        <f>OR(COUNTIF(Tabla2[[#This Row],[PROVEEDOR]],"*"&amp;'Palabra no opera'!$A$2&amp;"*"))</f>
        <v>1</v>
      </c>
      <c r="T2226" s="139">
        <f>+$W$5-Tabla2[[#This Row],[FECHA DE FACTURACIÓN]]</f>
        <v>688</v>
      </c>
      <c r="U2226" t="str">
        <f>+IF(Tabla2[[#This Row],[dias de credito]]&gt;=Tabla2[[#This Row],[PLAZO Días]],"venc", "No venc")</f>
        <v>venc</v>
      </c>
      <c r="V2226" t="str">
        <f>+IF(Tabla2[[#This Row],[FECHA DE PAGO]]&gt;0,"pagada","por pagar")</f>
        <v>pagada</v>
      </c>
      <c r="W2226" s="141" t="str">
        <f>+IF(AND(Tabla2[[#This Row],[venc]]="venc",Tabla2[[#This Row],[Columna1]]="por pagar"),"vencida","no")</f>
        <v>no</v>
      </c>
    </row>
    <row r="2227" spans="1:23" ht="15.6" hidden="1" x14ac:dyDescent="0.3">
      <c r="A2227" s="20">
        <v>30</v>
      </c>
      <c r="B2227" s="25">
        <v>0</v>
      </c>
      <c r="C2227" s="25"/>
      <c r="D2227" s="56" t="s">
        <v>176</v>
      </c>
      <c r="E2227" s="426">
        <v>44609</v>
      </c>
      <c r="F2227" s="26" t="s">
        <v>966</v>
      </c>
      <c r="G2227" s="426">
        <v>44600</v>
      </c>
      <c r="H2227" s="35">
        <v>329</v>
      </c>
      <c r="I2227" s="21">
        <v>420000</v>
      </c>
      <c r="J2227" s="21"/>
      <c r="K2227" s="22">
        <v>0</v>
      </c>
      <c r="L2227" s="23"/>
      <c r="M2227" s="22">
        <v>0</v>
      </c>
      <c r="N2227" s="74">
        <v>0</v>
      </c>
      <c r="O2227" s="22">
        <v>0</v>
      </c>
      <c r="P2227" s="21">
        <v>420000</v>
      </c>
      <c r="S2227" s="108" t="b">
        <f>OR(COUNTIF(Tabla2[[#This Row],[PROVEEDOR]],"*"&amp;'Palabra no opera'!$A$2&amp;"*"))</f>
        <v>0</v>
      </c>
      <c r="T2227" s="139">
        <f>+$W$5-Tabla2[[#This Row],[FECHA DE FACTURACIÓN]]</f>
        <v>691</v>
      </c>
      <c r="U2227" t="str">
        <f>+IF(Tabla2[[#This Row],[dias de credito]]&gt;=Tabla2[[#This Row],[PLAZO Días]],"venc", "No venc")</f>
        <v>venc</v>
      </c>
      <c r="V2227" t="str">
        <f>+IF(Tabla2[[#This Row],[FECHA DE PAGO]]&gt;0,"pagada","por pagar")</f>
        <v>pagada</v>
      </c>
      <c r="W2227" s="141" t="str">
        <f>+IF(AND(Tabla2[[#This Row],[venc]]="venc",Tabla2[[#This Row],[Columna1]]="por pagar"),"vencida","no")</f>
        <v>no</v>
      </c>
    </row>
    <row r="2228" spans="1:23" ht="15.6" hidden="1" x14ac:dyDescent="0.3">
      <c r="A2228" s="20">
        <v>20</v>
      </c>
      <c r="B2228" s="25">
        <v>0</v>
      </c>
      <c r="C2228" s="25"/>
      <c r="D2228" s="56" t="s">
        <v>218</v>
      </c>
      <c r="E2228" s="426">
        <v>44609</v>
      </c>
      <c r="F2228" s="26" t="s">
        <v>241</v>
      </c>
      <c r="G2228" s="426">
        <v>44593</v>
      </c>
      <c r="H2228" s="35" t="s">
        <v>469</v>
      </c>
      <c r="I2228" s="21">
        <v>155400</v>
      </c>
      <c r="J2228" s="21"/>
      <c r="K2228" s="22">
        <v>0</v>
      </c>
      <c r="L2228" s="23"/>
      <c r="M2228" s="22">
        <v>0</v>
      </c>
      <c r="N2228" s="74">
        <v>0.01</v>
      </c>
      <c r="O2228" s="22">
        <v>1554</v>
      </c>
      <c r="P2228" s="21">
        <v>153846</v>
      </c>
      <c r="S2228" s="108" t="b">
        <f>OR(COUNTIF(Tabla2[[#This Row],[PROVEEDOR]],"*"&amp;'Palabra no opera'!$A$2&amp;"*"))</f>
        <v>0</v>
      </c>
      <c r="T2228" s="139">
        <f>+$W$5-Tabla2[[#This Row],[FECHA DE FACTURACIÓN]]</f>
        <v>698</v>
      </c>
      <c r="U2228" t="str">
        <f>+IF(Tabla2[[#This Row],[dias de credito]]&gt;=Tabla2[[#This Row],[PLAZO Días]],"venc", "No venc")</f>
        <v>venc</v>
      </c>
      <c r="V2228" t="str">
        <f>+IF(Tabla2[[#This Row],[FECHA DE PAGO]]&gt;0,"pagada","por pagar")</f>
        <v>pagada</v>
      </c>
      <c r="W2228" s="141" t="str">
        <f>+IF(AND(Tabla2[[#This Row],[venc]]="venc",Tabla2[[#This Row],[Columna1]]="por pagar"),"vencida","no")</f>
        <v>no</v>
      </c>
    </row>
    <row r="2229" spans="1:23" ht="15.6" hidden="1" x14ac:dyDescent="0.3">
      <c r="A2229" s="20">
        <v>30</v>
      </c>
      <c r="B2229" s="25">
        <v>0</v>
      </c>
      <c r="C2229" s="25"/>
      <c r="D2229" s="56" t="s">
        <v>107</v>
      </c>
      <c r="E2229" s="426">
        <v>44609</v>
      </c>
      <c r="F2229" s="26" t="s">
        <v>832</v>
      </c>
      <c r="G2229" s="426">
        <v>44587</v>
      </c>
      <c r="H2229" s="35" t="s">
        <v>391</v>
      </c>
      <c r="I2229" s="21">
        <v>271500</v>
      </c>
      <c r="J2229" s="21"/>
      <c r="K2229" s="22">
        <v>0</v>
      </c>
      <c r="L2229" s="23"/>
      <c r="M2229" s="22">
        <v>0</v>
      </c>
      <c r="N2229" s="74">
        <v>0</v>
      </c>
      <c r="O2229" s="22">
        <v>0</v>
      </c>
      <c r="P2229" s="21">
        <v>271500</v>
      </c>
      <c r="S2229" s="108" t="b">
        <f>OR(COUNTIF(Tabla2[[#This Row],[PROVEEDOR]],"*"&amp;'Palabra no opera'!$A$2&amp;"*"))</f>
        <v>1</v>
      </c>
      <c r="T2229" s="139">
        <f>+$W$5-Tabla2[[#This Row],[FECHA DE FACTURACIÓN]]</f>
        <v>704</v>
      </c>
      <c r="U2229" t="str">
        <f>+IF(Tabla2[[#This Row],[dias de credito]]&gt;=Tabla2[[#This Row],[PLAZO Días]],"venc", "No venc")</f>
        <v>venc</v>
      </c>
      <c r="V2229" t="str">
        <f>+IF(Tabla2[[#This Row],[FECHA DE PAGO]]&gt;0,"pagada","por pagar")</f>
        <v>pagada</v>
      </c>
      <c r="W2229" s="141" t="str">
        <f>+IF(AND(Tabla2[[#This Row],[venc]]="venc",Tabla2[[#This Row],[Columna1]]="por pagar"),"vencida","no")</f>
        <v>no</v>
      </c>
    </row>
    <row r="2230" spans="1:23" ht="15.6" hidden="1" x14ac:dyDescent="0.3">
      <c r="A2230" s="20">
        <v>30</v>
      </c>
      <c r="B2230" s="25">
        <v>0</v>
      </c>
      <c r="C2230" s="25"/>
      <c r="D2230" s="56" t="s">
        <v>107</v>
      </c>
      <c r="E2230" s="426">
        <v>44608</v>
      </c>
      <c r="F2230" s="26" t="s">
        <v>356</v>
      </c>
      <c r="G2230" s="426">
        <v>44607</v>
      </c>
      <c r="H2230" s="35" t="s">
        <v>357</v>
      </c>
      <c r="I2230" s="21">
        <v>5363000</v>
      </c>
      <c r="J2230" s="21"/>
      <c r="K2230" s="22">
        <v>0</v>
      </c>
      <c r="L2230" s="23"/>
      <c r="M2230" s="22">
        <v>0</v>
      </c>
      <c r="N2230" s="74">
        <v>0</v>
      </c>
      <c r="O2230" s="22">
        <v>0</v>
      </c>
      <c r="P2230" s="21">
        <v>5363000</v>
      </c>
      <c r="S2230" s="108" t="b">
        <f>OR(COUNTIF(Tabla2[[#This Row],[PROVEEDOR]],"*"&amp;'Palabra no opera'!$A$2&amp;"*"))</f>
        <v>0</v>
      </c>
      <c r="T2230" s="139">
        <f>+$W$5-Tabla2[[#This Row],[FECHA DE FACTURACIÓN]]</f>
        <v>684</v>
      </c>
      <c r="U2230" t="str">
        <f>+IF(Tabla2[[#This Row],[dias de credito]]&gt;=Tabla2[[#This Row],[PLAZO Días]],"venc", "No venc")</f>
        <v>venc</v>
      </c>
      <c r="V2230" t="str">
        <f>+IF(Tabla2[[#This Row],[FECHA DE PAGO]]&gt;0,"pagada","por pagar")</f>
        <v>pagada</v>
      </c>
      <c r="W2230" s="141" t="str">
        <f>+IF(AND(Tabla2[[#This Row],[venc]]="venc",Tabla2[[#This Row],[Columna1]]="por pagar"),"vencida","no")</f>
        <v>no</v>
      </c>
    </row>
    <row r="2231" spans="1:23" ht="15.6" hidden="1" x14ac:dyDescent="0.3">
      <c r="A2231" s="20">
        <v>30</v>
      </c>
      <c r="B2231" s="25">
        <v>0</v>
      </c>
      <c r="C2231" s="25"/>
      <c r="D2231" s="56" t="s">
        <v>176</v>
      </c>
      <c r="E2231" s="426">
        <v>44608</v>
      </c>
      <c r="F2231" s="26" t="s">
        <v>967</v>
      </c>
      <c r="G2231" s="426">
        <v>44601</v>
      </c>
      <c r="H2231" s="35">
        <v>201</v>
      </c>
      <c r="I2231" s="21">
        <v>420000</v>
      </c>
      <c r="J2231" s="21"/>
      <c r="K2231" s="22">
        <v>0</v>
      </c>
      <c r="L2231" s="23"/>
      <c r="M2231" s="22">
        <v>0</v>
      </c>
      <c r="N2231" s="74">
        <v>0.01</v>
      </c>
      <c r="O2231" s="22">
        <v>4200</v>
      </c>
      <c r="P2231" s="21">
        <v>415800</v>
      </c>
      <c r="S2231" s="108" t="b">
        <f>OR(COUNTIF(Tabla2[[#This Row],[PROVEEDOR]],"*"&amp;'Palabra no opera'!$A$2&amp;"*"))</f>
        <v>0</v>
      </c>
      <c r="T2231" s="139">
        <f>+$W$5-Tabla2[[#This Row],[FECHA DE FACTURACIÓN]]</f>
        <v>690</v>
      </c>
      <c r="U2231" t="str">
        <f>+IF(Tabla2[[#This Row],[dias de credito]]&gt;=Tabla2[[#This Row],[PLAZO Días]],"venc", "No venc")</f>
        <v>venc</v>
      </c>
      <c r="V2231" t="str">
        <f>+IF(Tabla2[[#This Row],[FECHA DE PAGO]]&gt;0,"pagada","por pagar")</f>
        <v>pagada</v>
      </c>
      <c r="W2231" s="141" t="str">
        <f>+IF(AND(Tabla2[[#This Row],[venc]]="venc",Tabla2[[#This Row],[Columna1]]="por pagar"),"vencida","no")</f>
        <v>no</v>
      </c>
    </row>
    <row r="2232" spans="1:23" ht="15.6" hidden="1" x14ac:dyDescent="0.3">
      <c r="A2232" s="20">
        <v>30</v>
      </c>
      <c r="B2232" s="25">
        <v>0</v>
      </c>
      <c r="C2232" s="25"/>
      <c r="D2232" s="56" t="s">
        <v>176</v>
      </c>
      <c r="E2232" s="426">
        <v>44608</v>
      </c>
      <c r="F2232" s="26" t="s">
        <v>967</v>
      </c>
      <c r="G2232" s="426">
        <v>44567</v>
      </c>
      <c r="H2232" s="35" t="s">
        <v>322</v>
      </c>
      <c r="I2232" s="21">
        <v>-37730</v>
      </c>
      <c r="J2232" s="21"/>
      <c r="K2232" s="22">
        <v>0</v>
      </c>
      <c r="L2232" s="23"/>
      <c r="M2232" s="22">
        <v>0</v>
      </c>
      <c r="N2232" s="74">
        <v>0</v>
      </c>
      <c r="O2232" s="22">
        <v>0</v>
      </c>
      <c r="P2232" s="21">
        <v>-37730</v>
      </c>
      <c r="S2232" s="108" t="b">
        <f>OR(COUNTIF(Tabla2[[#This Row],[PROVEEDOR]],"*"&amp;'Palabra no opera'!$A$2&amp;"*"))</f>
        <v>0</v>
      </c>
      <c r="T2232" s="139">
        <f>+$W$5-Tabla2[[#This Row],[FECHA DE FACTURACIÓN]]</f>
        <v>724</v>
      </c>
      <c r="U2232" t="str">
        <f>+IF(Tabla2[[#This Row],[dias de credito]]&gt;=Tabla2[[#This Row],[PLAZO Días]],"venc", "No venc")</f>
        <v>venc</v>
      </c>
      <c r="V2232" t="str">
        <f>+IF(Tabla2[[#This Row],[FECHA DE PAGO]]&gt;0,"pagada","por pagar")</f>
        <v>pagada</v>
      </c>
      <c r="W2232" s="141" t="str">
        <f>+IF(AND(Tabla2[[#This Row],[venc]]="venc",Tabla2[[#This Row],[Columna1]]="por pagar"),"vencida","no")</f>
        <v>no</v>
      </c>
    </row>
    <row r="2233" spans="1:23" ht="15.6" hidden="1" x14ac:dyDescent="0.3">
      <c r="A2233" s="20">
        <v>45</v>
      </c>
      <c r="B2233" s="25">
        <v>15770594</v>
      </c>
      <c r="C2233" s="25"/>
      <c r="D2233" s="56" t="s">
        <v>594</v>
      </c>
      <c r="E2233" s="426">
        <v>44608</v>
      </c>
      <c r="F2233" s="26" t="s">
        <v>19</v>
      </c>
      <c r="G2233" s="426">
        <v>44551</v>
      </c>
      <c r="H2233" s="35" t="s">
        <v>307</v>
      </c>
      <c r="I2233" s="21">
        <v>10867200</v>
      </c>
      <c r="J2233" s="21"/>
      <c r="K2233" s="22">
        <v>2064768</v>
      </c>
      <c r="L2233" s="23"/>
      <c r="M2233" s="22">
        <v>0</v>
      </c>
      <c r="N2233" s="74">
        <v>0</v>
      </c>
      <c r="O2233" s="22">
        <v>0</v>
      </c>
      <c r="P2233" s="21">
        <v>12931968</v>
      </c>
      <c r="S2233" s="108" t="b">
        <f>OR(COUNTIF(Tabla2[[#This Row],[PROVEEDOR]],"*"&amp;'Palabra no opera'!$A$2&amp;"*"))</f>
        <v>0</v>
      </c>
      <c r="T2233" s="139">
        <f>+$W$5-Tabla2[[#This Row],[FECHA DE FACTURACIÓN]]</f>
        <v>740</v>
      </c>
      <c r="U2233" t="str">
        <f>+IF(Tabla2[[#This Row],[dias de credito]]&gt;=Tabla2[[#This Row],[PLAZO Días]],"venc", "No venc")</f>
        <v>venc</v>
      </c>
      <c r="V2233" t="str">
        <f>+IF(Tabla2[[#This Row],[FECHA DE PAGO]]&gt;0,"pagada","por pagar")</f>
        <v>pagada</v>
      </c>
      <c r="W2233" s="141" t="str">
        <f>+IF(AND(Tabla2[[#This Row],[venc]]="venc",Tabla2[[#This Row],[Columna1]]="por pagar"),"vencida","no")</f>
        <v>no</v>
      </c>
    </row>
    <row r="2234" spans="1:23" ht="15.6" hidden="1" x14ac:dyDescent="0.3">
      <c r="A2234" s="20">
        <v>30</v>
      </c>
      <c r="B2234" s="25">
        <v>4282200</v>
      </c>
      <c r="C2234" s="25"/>
      <c r="D2234" s="56" t="s">
        <v>244</v>
      </c>
      <c r="E2234" s="426">
        <v>44607</v>
      </c>
      <c r="F2234" s="26" t="s">
        <v>406</v>
      </c>
      <c r="G2234" s="426">
        <v>44882</v>
      </c>
      <c r="H2234" s="35" t="s">
        <v>1288</v>
      </c>
      <c r="I2234" s="21">
        <v>340000</v>
      </c>
      <c r="J2234" s="21"/>
      <c r="K2234" s="22">
        <v>0</v>
      </c>
      <c r="L2234" s="23"/>
      <c r="M2234" s="22">
        <v>0</v>
      </c>
      <c r="N2234" s="74">
        <v>0</v>
      </c>
      <c r="O2234" s="22">
        <v>0</v>
      </c>
      <c r="P2234" s="21">
        <v>340000</v>
      </c>
      <c r="S2234" s="108" t="b">
        <f>OR(COUNTIF(Tabla2[[#This Row],[PROVEEDOR]],"*"&amp;'Palabra no opera'!$A$2&amp;"*"))</f>
        <v>0</v>
      </c>
      <c r="T2234" s="139">
        <f>+$W$5-Tabla2[[#This Row],[FECHA DE FACTURACIÓN]]</f>
        <v>409</v>
      </c>
      <c r="U2234" t="str">
        <f>+IF(Tabla2[[#This Row],[dias de credito]]&gt;=Tabla2[[#This Row],[PLAZO Días]],"venc", "No venc")</f>
        <v>venc</v>
      </c>
      <c r="V2234" t="str">
        <f>+IF(Tabla2[[#This Row],[FECHA DE PAGO]]&gt;0,"pagada","por pagar")</f>
        <v>pagada</v>
      </c>
      <c r="W2234" s="141" t="str">
        <f>+IF(AND(Tabla2[[#This Row],[venc]]="venc",Tabla2[[#This Row],[Columna1]]="por pagar"),"vencida","no")</f>
        <v>no</v>
      </c>
    </row>
    <row r="2235" spans="1:23" ht="15.6" hidden="1" x14ac:dyDescent="0.3">
      <c r="A2235" s="20">
        <v>30</v>
      </c>
      <c r="B2235" s="25">
        <v>352505.48</v>
      </c>
      <c r="C2235" s="25"/>
      <c r="D2235" s="56" t="s">
        <v>393</v>
      </c>
      <c r="E2235" s="426">
        <v>44607</v>
      </c>
      <c r="F2235" s="26" t="s">
        <v>650</v>
      </c>
      <c r="G2235" s="426">
        <v>44593</v>
      </c>
      <c r="H2235" s="35">
        <v>66158</v>
      </c>
      <c r="I2235" s="21">
        <v>284467</v>
      </c>
      <c r="J2235" s="21"/>
      <c r="K2235" s="22">
        <v>0</v>
      </c>
      <c r="L2235" s="23"/>
      <c r="M2235" s="22">
        <v>0</v>
      </c>
      <c r="N2235" s="74">
        <v>0</v>
      </c>
      <c r="O2235" s="22">
        <v>0</v>
      </c>
      <c r="P2235" s="21">
        <v>284467</v>
      </c>
      <c r="S2235" s="108" t="b">
        <f>OR(COUNTIF(Tabla2[[#This Row],[PROVEEDOR]],"*"&amp;'Palabra no opera'!$A$2&amp;"*"))</f>
        <v>1</v>
      </c>
      <c r="T2235" s="139">
        <f>+$W$5-Tabla2[[#This Row],[FECHA DE FACTURACIÓN]]</f>
        <v>698</v>
      </c>
      <c r="U2235" t="str">
        <f>+IF(Tabla2[[#This Row],[dias de credito]]&gt;=Tabla2[[#This Row],[PLAZO Días]],"venc", "No venc")</f>
        <v>venc</v>
      </c>
      <c r="V2235" t="str">
        <f>+IF(Tabla2[[#This Row],[FECHA DE PAGO]]&gt;0,"pagada","por pagar")</f>
        <v>pagada</v>
      </c>
      <c r="W2235" s="141" t="str">
        <f>+IF(AND(Tabla2[[#This Row],[venc]]="venc",Tabla2[[#This Row],[Columna1]]="por pagar"),"vencida","no")</f>
        <v>no</v>
      </c>
    </row>
    <row r="2236" spans="1:23" ht="15.6" hidden="1" x14ac:dyDescent="0.3">
      <c r="A2236" s="20">
        <v>30</v>
      </c>
      <c r="B2236" s="25">
        <v>0</v>
      </c>
      <c r="C2236" s="25"/>
      <c r="D2236" s="56">
        <v>0</v>
      </c>
      <c r="E2236" s="426">
        <v>44607</v>
      </c>
      <c r="F2236" s="26" t="s">
        <v>642</v>
      </c>
      <c r="G2236" s="426">
        <v>44593</v>
      </c>
      <c r="H2236" s="35" t="s">
        <v>217</v>
      </c>
      <c r="I2236" s="21">
        <v>313385</v>
      </c>
      <c r="J2236" s="21"/>
      <c r="K2236" s="22">
        <v>0</v>
      </c>
      <c r="L2236" s="23"/>
      <c r="M2236" s="22">
        <v>0</v>
      </c>
      <c r="N2236" s="74">
        <v>0</v>
      </c>
      <c r="O2236" s="22">
        <v>0</v>
      </c>
      <c r="P2236" s="21">
        <v>313385</v>
      </c>
      <c r="S2236" s="108" t="b">
        <f>OR(COUNTIF(Tabla2[[#This Row],[PROVEEDOR]],"*"&amp;'Palabra no opera'!$A$2&amp;"*"))</f>
        <v>1</v>
      </c>
      <c r="T2236" s="139">
        <f>+$W$5-Tabla2[[#This Row],[FECHA DE FACTURACIÓN]]</f>
        <v>698</v>
      </c>
      <c r="U2236" t="str">
        <f>+IF(Tabla2[[#This Row],[dias de credito]]&gt;=Tabla2[[#This Row],[PLAZO Días]],"venc", "No venc")</f>
        <v>venc</v>
      </c>
      <c r="V2236" t="str">
        <f>+IF(Tabla2[[#This Row],[FECHA DE PAGO]]&gt;0,"pagada","por pagar")</f>
        <v>pagada</v>
      </c>
      <c r="W2236" s="141" t="str">
        <f>+IF(AND(Tabla2[[#This Row],[venc]]="venc",Tabla2[[#This Row],[Columna1]]="por pagar"),"vencida","no")</f>
        <v>no</v>
      </c>
    </row>
    <row r="2237" spans="1:23" ht="15.6" hidden="1" x14ac:dyDescent="0.3">
      <c r="A2237" s="20">
        <v>30</v>
      </c>
      <c r="B2237" s="25">
        <v>0</v>
      </c>
      <c r="C2237" s="25"/>
      <c r="D2237" s="56" t="s">
        <v>109</v>
      </c>
      <c r="E2237" s="426">
        <v>44607</v>
      </c>
      <c r="F2237" s="26" t="s">
        <v>645</v>
      </c>
      <c r="G2237" s="426">
        <v>44593</v>
      </c>
      <c r="H2237" s="35"/>
      <c r="I2237" s="21">
        <v>326243</v>
      </c>
      <c r="J2237" s="21"/>
      <c r="K2237" s="22">
        <v>0</v>
      </c>
      <c r="L2237" s="23"/>
      <c r="M2237" s="22">
        <v>0</v>
      </c>
      <c r="N2237" s="74">
        <v>0</v>
      </c>
      <c r="O2237" s="22">
        <v>0</v>
      </c>
      <c r="P2237" s="21">
        <v>326243</v>
      </c>
      <c r="S2237" s="108" t="b">
        <f>OR(COUNTIF(Tabla2[[#This Row],[PROVEEDOR]],"*"&amp;'Palabra no opera'!$A$2&amp;"*"))</f>
        <v>1</v>
      </c>
      <c r="T2237" s="139">
        <f>+$W$5-Tabla2[[#This Row],[FECHA DE FACTURACIÓN]]</f>
        <v>698</v>
      </c>
      <c r="U2237" t="str">
        <f>+IF(Tabla2[[#This Row],[dias de credito]]&gt;=Tabla2[[#This Row],[PLAZO Días]],"venc", "No venc")</f>
        <v>venc</v>
      </c>
      <c r="V2237" t="str">
        <f>+IF(Tabla2[[#This Row],[FECHA DE PAGO]]&gt;0,"pagada","por pagar")</f>
        <v>pagada</v>
      </c>
      <c r="W2237" s="141" t="str">
        <f>+IF(AND(Tabla2[[#This Row],[venc]]="venc",Tabla2[[#This Row],[Columna1]]="por pagar"),"vencida","no")</f>
        <v>no</v>
      </c>
    </row>
    <row r="2238" spans="1:23" ht="15.6" hidden="1" x14ac:dyDescent="0.3">
      <c r="A2238" s="20">
        <v>30</v>
      </c>
      <c r="B2238" s="25">
        <v>2100000</v>
      </c>
      <c r="C2238" s="25"/>
      <c r="D2238" s="56" t="s">
        <v>107</v>
      </c>
      <c r="E2238" s="426">
        <v>44606</v>
      </c>
      <c r="F2238" s="26" t="s">
        <v>349</v>
      </c>
      <c r="G2238" s="426">
        <v>44576</v>
      </c>
      <c r="H2238" s="35" t="s">
        <v>894</v>
      </c>
      <c r="I2238" s="21">
        <v>560000</v>
      </c>
      <c r="J2238" s="21"/>
      <c r="K2238" s="22">
        <v>0</v>
      </c>
      <c r="L2238" s="23"/>
      <c r="M2238" s="22">
        <v>0</v>
      </c>
      <c r="N2238" s="74">
        <v>0</v>
      </c>
      <c r="O2238" s="22">
        <v>0</v>
      </c>
      <c r="P2238" s="21">
        <v>560000</v>
      </c>
      <c r="S2238" s="108" t="b">
        <f>OR(COUNTIF(Tabla2[[#This Row],[PROVEEDOR]],"*"&amp;'Palabra no opera'!$A$2&amp;"*"))</f>
        <v>0</v>
      </c>
      <c r="T2238" s="139">
        <f>+$W$5-Tabla2[[#This Row],[FECHA DE FACTURACIÓN]]</f>
        <v>715</v>
      </c>
      <c r="U2238" t="str">
        <f>+IF(Tabla2[[#This Row],[dias de credito]]&gt;=Tabla2[[#This Row],[PLAZO Días]],"venc", "No venc")</f>
        <v>venc</v>
      </c>
      <c r="V2238" t="str">
        <f>+IF(Tabla2[[#This Row],[FECHA DE PAGO]]&gt;0,"pagada","por pagar")</f>
        <v>pagada</v>
      </c>
      <c r="W2238" s="141" t="str">
        <f>+IF(AND(Tabla2[[#This Row],[venc]]="venc",Tabla2[[#This Row],[Columna1]]="por pagar"),"vencida","no")</f>
        <v>no</v>
      </c>
    </row>
    <row r="2239" spans="1:23" ht="15.6" hidden="1" x14ac:dyDescent="0.3">
      <c r="A2239" s="20">
        <v>30</v>
      </c>
      <c r="B2239" s="25">
        <v>2100000</v>
      </c>
      <c r="C2239" s="25"/>
      <c r="D2239" s="56" t="s">
        <v>107</v>
      </c>
      <c r="E2239" s="426">
        <v>44606</v>
      </c>
      <c r="F2239" s="26" t="s">
        <v>349</v>
      </c>
      <c r="G2239" s="426">
        <v>44576</v>
      </c>
      <c r="H2239" s="35" t="s">
        <v>895</v>
      </c>
      <c r="I2239" s="21">
        <v>1306000</v>
      </c>
      <c r="J2239" s="21"/>
      <c r="K2239" s="22">
        <v>0</v>
      </c>
      <c r="L2239" s="23"/>
      <c r="M2239" s="22">
        <v>0</v>
      </c>
      <c r="N2239" s="74">
        <v>0</v>
      </c>
      <c r="O2239" s="22">
        <v>0</v>
      </c>
      <c r="P2239" s="21">
        <v>1306000</v>
      </c>
      <c r="S2239" s="108" t="b">
        <f>OR(COUNTIF(Tabla2[[#This Row],[PROVEEDOR]],"*"&amp;'Palabra no opera'!$A$2&amp;"*"))</f>
        <v>0</v>
      </c>
      <c r="T2239" s="139">
        <f>+$W$5-Tabla2[[#This Row],[FECHA DE FACTURACIÓN]]</f>
        <v>715</v>
      </c>
      <c r="U2239" t="str">
        <f>+IF(Tabla2[[#This Row],[dias de credito]]&gt;=Tabla2[[#This Row],[PLAZO Días]],"venc", "No venc")</f>
        <v>venc</v>
      </c>
      <c r="V2239" t="str">
        <f>+IF(Tabla2[[#This Row],[FECHA DE PAGO]]&gt;0,"pagada","por pagar")</f>
        <v>pagada</v>
      </c>
      <c r="W2239" s="141" t="str">
        <f>+IF(AND(Tabla2[[#This Row],[venc]]="venc",Tabla2[[#This Row],[Columna1]]="por pagar"),"vencida","no")</f>
        <v>no</v>
      </c>
    </row>
    <row r="2240" spans="1:23" ht="15.6" hidden="1" x14ac:dyDescent="0.3">
      <c r="A2240" s="20">
        <v>13</v>
      </c>
      <c r="B2240" s="25">
        <v>0</v>
      </c>
      <c r="C2240" s="25"/>
      <c r="D2240" s="56">
        <v>0</v>
      </c>
      <c r="E2240" s="426">
        <v>44603</v>
      </c>
      <c r="F2240" s="26" t="s">
        <v>644</v>
      </c>
      <c r="G2240" s="426">
        <v>44593</v>
      </c>
      <c r="H2240" s="35"/>
      <c r="I2240" s="21">
        <v>945022</v>
      </c>
      <c r="J2240" s="21"/>
      <c r="K2240" s="22">
        <v>0</v>
      </c>
      <c r="L2240" s="23"/>
      <c r="M2240" s="22">
        <v>0</v>
      </c>
      <c r="N2240" s="74">
        <v>0</v>
      </c>
      <c r="O2240" s="22">
        <v>0</v>
      </c>
      <c r="P2240" s="21">
        <v>945022</v>
      </c>
      <c r="S2240" s="108" t="b">
        <f>OR(COUNTIF(Tabla2[[#This Row],[PROVEEDOR]],"*"&amp;'Palabra no opera'!$A$2&amp;"*"))</f>
        <v>1</v>
      </c>
      <c r="T2240" s="139">
        <f>+$W$5-Tabla2[[#This Row],[FECHA DE FACTURACIÓN]]</f>
        <v>698</v>
      </c>
      <c r="U2240" t="str">
        <f>+IF(Tabla2[[#This Row],[dias de credito]]&gt;=Tabla2[[#This Row],[PLAZO Días]],"venc", "No venc")</f>
        <v>venc</v>
      </c>
      <c r="V2240" t="str">
        <f>+IF(Tabla2[[#This Row],[FECHA DE PAGO]]&gt;0,"pagada","por pagar")</f>
        <v>pagada</v>
      </c>
      <c r="W2240" s="141" t="str">
        <f>+IF(AND(Tabla2[[#This Row],[venc]]="venc",Tabla2[[#This Row],[Columna1]]="por pagar"),"vencida","no")</f>
        <v>no</v>
      </c>
    </row>
    <row r="2241" spans="1:23" ht="15.6" hidden="1" x14ac:dyDescent="0.3">
      <c r="A2241" s="20">
        <v>30</v>
      </c>
      <c r="B2241" s="25">
        <v>0</v>
      </c>
      <c r="C2241" s="25"/>
      <c r="D2241" s="56" t="s">
        <v>659</v>
      </c>
      <c r="E2241" s="426">
        <v>44602</v>
      </c>
      <c r="F2241" s="26" t="s">
        <v>246</v>
      </c>
      <c r="G2241" s="426">
        <v>44596</v>
      </c>
      <c r="H2241" s="35" t="s">
        <v>455</v>
      </c>
      <c r="I2241" s="21">
        <v>3400</v>
      </c>
      <c r="J2241" s="21"/>
      <c r="K2241" s="22">
        <v>0</v>
      </c>
      <c r="L2241" s="23"/>
      <c r="M2241" s="22">
        <v>0</v>
      </c>
      <c r="N2241" s="74">
        <v>0</v>
      </c>
      <c r="O2241" s="22">
        <v>0</v>
      </c>
      <c r="P2241" s="21">
        <v>3400</v>
      </c>
      <c r="S2241" s="108" t="b">
        <f>OR(COUNTIF(Tabla2[[#This Row],[PROVEEDOR]],"*"&amp;'Palabra no opera'!$A$2&amp;"*"))</f>
        <v>0</v>
      </c>
      <c r="T2241" s="139">
        <f>+$W$5-Tabla2[[#This Row],[FECHA DE FACTURACIÓN]]</f>
        <v>695</v>
      </c>
      <c r="U2241" t="str">
        <f>+IF(Tabla2[[#This Row],[dias de credito]]&gt;=Tabla2[[#This Row],[PLAZO Días]],"venc", "No venc")</f>
        <v>venc</v>
      </c>
      <c r="V2241" t="str">
        <f>+IF(Tabla2[[#This Row],[FECHA DE PAGO]]&gt;0,"pagada","por pagar")</f>
        <v>pagada</v>
      </c>
      <c r="W2241" s="141" t="str">
        <f>+IF(AND(Tabla2[[#This Row],[venc]]="venc",Tabla2[[#This Row],[Columna1]]="por pagar"),"vencida","no")</f>
        <v>no</v>
      </c>
    </row>
    <row r="2242" spans="1:23" ht="15.6" hidden="1" x14ac:dyDescent="0.3">
      <c r="A2242" s="20">
        <v>30</v>
      </c>
      <c r="B2242" s="25">
        <v>0</v>
      </c>
      <c r="C2242" s="25"/>
      <c r="D2242" s="56" t="s">
        <v>659</v>
      </c>
      <c r="E2242" s="426">
        <v>44602</v>
      </c>
      <c r="F2242" s="26" t="s">
        <v>227</v>
      </c>
      <c r="G2242" s="426">
        <v>44593</v>
      </c>
      <c r="H2242" s="35" t="s">
        <v>458</v>
      </c>
      <c r="I2242" s="21">
        <v>3402</v>
      </c>
      <c r="J2242" s="21"/>
      <c r="K2242" s="22">
        <v>0</v>
      </c>
      <c r="L2242" s="23"/>
      <c r="M2242" s="22">
        <v>0</v>
      </c>
      <c r="N2242" s="74">
        <v>0</v>
      </c>
      <c r="O2242" s="22">
        <v>0</v>
      </c>
      <c r="P2242" s="21">
        <v>3402</v>
      </c>
      <c r="S2242" s="108" t="b">
        <f>OR(COUNTIF(Tabla2[[#This Row],[PROVEEDOR]],"*"&amp;'Palabra no opera'!$A$2&amp;"*"))</f>
        <v>0</v>
      </c>
      <c r="T2242" s="139">
        <f>+$W$5-Tabla2[[#This Row],[FECHA DE FACTURACIÓN]]</f>
        <v>698</v>
      </c>
      <c r="U2242" t="str">
        <f>+IF(Tabla2[[#This Row],[dias de credito]]&gt;=Tabla2[[#This Row],[PLAZO Días]],"venc", "No venc")</f>
        <v>venc</v>
      </c>
      <c r="V2242" t="str">
        <f>+IF(Tabla2[[#This Row],[FECHA DE PAGO]]&gt;0,"pagada","por pagar")</f>
        <v>pagada</v>
      </c>
      <c r="W2242" s="141" t="str">
        <f>+IF(AND(Tabla2[[#This Row],[venc]]="venc",Tabla2[[#This Row],[Columna1]]="por pagar"),"vencida","no")</f>
        <v>no</v>
      </c>
    </row>
    <row r="2243" spans="1:23" ht="15.6" hidden="1" x14ac:dyDescent="0.3">
      <c r="A2243" s="20">
        <v>30</v>
      </c>
      <c r="B2243" s="25">
        <v>0</v>
      </c>
      <c r="C2243" s="25"/>
      <c r="D2243" s="56" t="s">
        <v>659</v>
      </c>
      <c r="E2243" s="426">
        <v>44602</v>
      </c>
      <c r="F2243" s="26" t="s">
        <v>335</v>
      </c>
      <c r="G2243" s="426">
        <v>44592</v>
      </c>
      <c r="H2243" s="35" t="s">
        <v>456</v>
      </c>
      <c r="I2243" s="21">
        <v>253315.8</v>
      </c>
      <c r="J2243" s="21"/>
      <c r="K2243" s="22">
        <v>0</v>
      </c>
      <c r="L2243" s="23"/>
      <c r="M2243" s="22">
        <v>0</v>
      </c>
      <c r="N2243" s="74">
        <v>0</v>
      </c>
      <c r="O2243" s="22">
        <v>0</v>
      </c>
      <c r="P2243" s="21">
        <v>253315.8</v>
      </c>
      <c r="S2243" s="108" t="b">
        <f>OR(COUNTIF(Tabla2[[#This Row],[PROVEEDOR]],"*"&amp;'Palabra no opera'!$A$2&amp;"*"))</f>
        <v>0</v>
      </c>
      <c r="T2243" s="139">
        <f>+$W$5-Tabla2[[#This Row],[FECHA DE FACTURACIÓN]]</f>
        <v>699</v>
      </c>
      <c r="U2243" t="str">
        <f>+IF(Tabla2[[#This Row],[dias de credito]]&gt;=Tabla2[[#This Row],[PLAZO Días]],"venc", "No venc")</f>
        <v>venc</v>
      </c>
      <c r="V2243" t="str">
        <f>+IF(Tabla2[[#This Row],[FECHA DE PAGO]]&gt;0,"pagada","por pagar")</f>
        <v>pagada</v>
      </c>
      <c r="W2243" s="141" t="str">
        <f>+IF(AND(Tabla2[[#This Row],[venc]]="venc",Tabla2[[#This Row],[Columna1]]="por pagar"),"vencida","no")</f>
        <v>no</v>
      </c>
    </row>
    <row r="2244" spans="1:23" ht="15.6" hidden="1" x14ac:dyDescent="0.3">
      <c r="A2244" s="20">
        <v>30</v>
      </c>
      <c r="B2244" s="25">
        <v>18444236.894999996</v>
      </c>
      <c r="C2244" s="25"/>
      <c r="D2244" s="56" t="s">
        <v>731</v>
      </c>
      <c r="E2244" s="426">
        <v>44602</v>
      </c>
      <c r="F2244" s="26" t="s">
        <v>11</v>
      </c>
      <c r="G2244" s="426">
        <v>44567</v>
      </c>
      <c r="H2244" s="35" t="s">
        <v>337</v>
      </c>
      <c r="I2244" s="21">
        <v>2776134</v>
      </c>
      <c r="J2244" s="21"/>
      <c r="K2244" s="22">
        <v>527465.46</v>
      </c>
      <c r="L2244" s="23"/>
      <c r="M2244" s="22">
        <v>0</v>
      </c>
      <c r="N2244" s="74">
        <v>2.5000000000000001E-2</v>
      </c>
      <c r="O2244" s="22">
        <v>69403.350000000006</v>
      </c>
      <c r="P2244" s="21">
        <v>3234196.11</v>
      </c>
      <c r="S2244" s="108" t="b">
        <f>OR(COUNTIF(Tabla2[[#This Row],[PROVEEDOR]],"*"&amp;'Palabra no opera'!$A$2&amp;"*"))</f>
        <v>0</v>
      </c>
      <c r="T2244" s="139">
        <f>+$W$5-Tabla2[[#This Row],[FECHA DE FACTURACIÓN]]</f>
        <v>724</v>
      </c>
      <c r="U2244" t="str">
        <f>+IF(Tabla2[[#This Row],[dias de credito]]&gt;=Tabla2[[#This Row],[PLAZO Días]],"venc", "No venc")</f>
        <v>venc</v>
      </c>
      <c r="V2244" t="str">
        <f>+IF(Tabla2[[#This Row],[FECHA DE PAGO]]&gt;0,"pagada","por pagar")</f>
        <v>pagada</v>
      </c>
      <c r="W2244" s="141" t="str">
        <f>+IF(AND(Tabla2[[#This Row],[venc]]="venc",Tabla2[[#This Row],[Columna1]]="por pagar"),"vencida","no")</f>
        <v>no</v>
      </c>
    </row>
    <row r="2245" spans="1:23" ht="15.6" hidden="1" x14ac:dyDescent="0.3">
      <c r="A2245" s="20">
        <v>30</v>
      </c>
      <c r="B2245" s="25">
        <v>0</v>
      </c>
      <c r="C2245" s="25"/>
      <c r="D2245" s="56" t="s">
        <v>107</v>
      </c>
      <c r="E2245" s="426">
        <v>44600</v>
      </c>
      <c r="F2245" s="26" t="s">
        <v>378</v>
      </c>
      <c r="G2245" s="426">
        <v>44600</v>
      </c>
      <c r="H2245" s="35" t="s">
        <v>902</v>
      </c>
      <c r="I2245" s="21">
        <v>1000000</v>
      </c>
      <c r="J2245" s="21"/>
      <c r="K2245" s="22">
        <v>0</v>
      </c>
      <c r="L2245" s="23"/>
      <c r="M2245" s="22">
        <v>0</v>
      </c>
      <c r="N2245" s="74">
        <v>0</v>
      </c>
      <c r="O2245" s="22">
        <v>0</v>
      </c>
      <c r="P2245" s="21">
        <v>1000000</v>
      </c>
      <c r="S2245" s="108" t="b">
        <f>OR(COUNTIF(Tabla2[[#This Row],[PROVEEDOR]],"*"&amp;'Palabra no opera'!$A$2&amp;"*"))</f>
        <v>0</v>
      </c>
      <c r="T2245" s="139">
        <f>+$W$5-Tabla2[[#This Row],[FECHA DE FACTURACIÓN]]</f>
        <v>691</v>
      </c>
      <c r="U2245" t="str">
        <f>+IF(Tabla2[[#This Row],[dias de credito]]&gt;=Tabla2[[#This Row],[PLAZO Días]],"venc", "No venc")</f>
        <v>venc</v>
      </c>
      <c r="V2245" t="str">
        <f>+IF(Tabla2[[#This Row],[FECHA DE PAGO]]&gt;0,"pagada","por pagar")</f>
        <v>pagada</v>
      </c>
      <c r="W2245" s="141" t="str">
        <f>+IF(AND(Tabla2[[#This Row],[venc]]="venc",Tabla2[[#This Row],[Columna1]]="por pagar"),"vencida","no")</f>
        <v>no</v>
      </c>
    </row>
    <row r="2246" spans="1:23" ht="15.6" hidden="1" x14ac:dyDescent="0.3">
      <c r="A2246" s="20">
        <v>30</v>
      </c>
      <c r="B2246" s="25">
        <v>0</v>
      </c>
      <c r="C2246" s="25"/>
      <c r="D2246" s="56" t="s">
        <v>107</v>
      </c>
      <c r="E2246" s="426">
        <v>44600</v>
      </c>
      <c r="F2246" s="26" t="s">
        <v>390</v>
      </c>
      <c r="G2246" s="426">
        <v>44600</v>
      </c>
      <c r="H2246" s="35"/>
      <c r="I2246" s="21">
        <v>2000000</v>
      </c>
      <c r="J2246" s="21"/>
      <c r="K2246" s="22">
        <v>0</v>
      </c>
      <c r="L2246" s="23"/>
      <c r="M2246" s="22">
        <v>0</v>
      </c>
      <c r="N2246" s="74">
        <v>0</v>
      </c>
      <c r="O2246" s="22">
        <v>0</v>
      </c>
      <c r="P2246" s="21">
        <v>2000000</v>
      </c>
      <c r="S2246" s="108" t="b">
        <f>OR(COUNTIF(Tabla2[[#This Row],[PROVEEDOR]],"*"&amp;'Palabra no opera'!$A$2&amp;"*"))</f>
        <v>0</v>
      </c>
      <c r="T2246" s="139">
        <f>+$W$5-Tabla2[[#This Row],[FECHA DE FACTURACIÓN]]</f>
        <v>691</v>
      </c>
      <c r="U2246" t="str">
        <f>+IF(Tabla2[[#This Row],[dias de credito]]&gt;=Tabla2[[#This Row],[PLAZO Días]],"venc", "No venc")</f>
        <v>venc</v>
      </c>
      <c r="V2246" t="str">
        <f>+IF(Tabla2[[#This Row],[FECHA DE PAGO]]&gt;0,"pagada","por pagar")</f>
        <v>pagada</v>
      </c>
      <c r="W2246" s="141" t="str">
        <f>+IF(AND(Tabla2[[#This Row],[venc]]="venc",Tabla2[[#This Row],[Columna1]]="por pagar"),"vencida","no")</f>
        <v>no</v>
      </c>
    </row>
    <row r="2247" spans="1:23" ht="15.6" hidden="1" x14ac:dyDescent="0.3">
      <c r="A2247" s="20">
        <v>30</v>
      </c>
      <c r="B2247" s="25">
        <v>0</v>
      </c>
      <c r="C2247" s="25"/>
      <c r="D2247" s="56" t="s">
        <v>277</v>
      </c>
      <c r="E2247" s="426">
        <v>44600</v>
      </c>
      <c r="F2247" s="26" t="s">
        <v>248</v>
      </c>
      <c r="G2247" s="426">
        <v>44574</v>
      </c>
      <c r="H2247" s="35">
        <v>162642</v>
      </c>
      <c r="I2247" s="21">
        <v>4279357</v>
      </c>
      <c r="J2247" s="21">
        <v>107523</v>
      </c>
      <c r="K2247" s="22">
        <v>792648.46</v>
      </c>
      <c r="L2247" s="23"/>
      <c r="M2247" s="22">
        <v>0</v>
      </c>
      <c r="N2247" s="74">
        <v>0</v>
      </c>
      <c r="O2247" s="22">
        <v>0</v>
      </c>
      <c r="P2247" s="21">
        <v>4984911.83</v>
      </c>
      <c r="S2247" s="108" t="b">
        <f>OR(COUNTIF(Tabla2[[#This Row],[PROVEEDOR]],"*"&amp;'Palabra no opera'!$A$2&amp;"*"))</f>
        <v>0</v>
      </c>
      <c r="T2247" s="139">
        <f>+$W$5-Tabla2[[#This Row],[FECHA DE FACTURACIÓN]]</f>
        <v>717</v>
      </c>
      <c r="U2247" t="str">
        <f>+IF(Tabla2[[#This Row],[dias de credito]]&gt;=Tabla2[[#This Row],[PLAZO Días]],"venc", "No venc")</f>
        <v>venc</v>
      </c>
      <c r="V2247" t="str">
        <f>+IF(Tabla2[[#This Row],[FECHA DE PAGO]]&gt;0,"pagada","por pagar")</f>
        <v>pagada</v>
      </c>
      <c r="W2247" s="141" t="str">
        <f>+IF(AND(Tabla2[[#This Row],[venc]]="venc",Tabla2[[#This Row],[Columna1]]="por pagar"),"vencida","no")</f>
        <v>no</v>
      </c>
    </row>
    <row r="2248" spans="1:23" ht="15.6" hidden="1" x14ac:dyDescent="0.3">
      <c r="A2248" s="20">
        <v>30</v>
      </c>
      <c r="B2248" s="25">
        <v>0</v>
      </c>
      <c r="C2248" s="25"/>
      <c r="D2248" s="56" t="s">
        <v>258</v>
      </c>
      <c r="E2248" s="426">
        <v>44600</v>
      </c>
      <c r="F2248" s="26" t="s">
        <v>394</v>
      </c>
      <c r="G2248" s="426">
        <v>44567</v>
      </c>
      <c r="H2248" s="35" t="s">
        <v>984</v>
      </c>
      <c r="I2248" s="21">
        <v>1350000</v>
      </c>
      <c r="J2248" s="21"/>
      <c r="K2248" s="22">
        <v>0</v>
      </c>
      <c r="L2248" s="23"/>
      <c r="M2248" s="22">
        <v>0</v>
      </c>
      <c r="N2248" s="74">
        <v>0</v>
      </c>
      <c r="O2248" s="22">
        <v>0</v>
      </c>
      <c r="P2248" s="21">
        <v>1350000</v>
      </c>
      <c r="S2248" s="108" t="b">
        <f>OR(COUNTIF(Tabla2[[#This Row],[PROVEEDOR]],"*"&amp;'Palabra no opera'!$A$2&amp;"*"))</f>
        <v>0</v>
      </c>
      <c r="T2248" s="139">
        <f>+$W$5-Tabla2[[#This Row],[FECHA DE FACTURACIÓN]]</f>
        <v>724</v>
      </c>
      <c r="U2248" t="str">
        <f>+IF(Tabla2[[#This Row],[dias de credito]]&gt;=Tabla2[[#This Row],[PLAZO Días]],"venc", "No venc")</f>
        <v>venc</v>
      </c>
      <c r="V2248" t="str">
        <f>+IF(Tabla2[[#This Row],[FECHA DE PAGO]]&gt;0,"pagada","por pagar")</f>
        <v>pagada</v>
      </c>
      <c r="W2248" s="141" t="str">
        <f>+IF(AND(Tabla2[[#This Row],[venc]]="venc",Tabla2[[#This Row],[Columna1]]="por pagar"),"vencida","no")</f>
        <v>no</v>
      </c>
    </row>
    <row r="2249" spans="1:23" ht="15.6" hidden="1" x14ac:dyDescent="0.3">
      <c r="A2249" s="20">
        <v>30</v>
      </c>
      <c r="B2249" s="25">
        <v>0</v>
      </c>
      <c r="C2249" s="25"/>
      <c r="D2249" s="56" t="s">
        <v>107</v>
      </c>
      <c r="E2249" s="426">
        <v>44600</v>
      </c>
      <c r="F2249" s="26" t="s">
        <v>396</v>
      </c>
      <c r="G2249" s="426">
        <v>44552</v>
      </c>
      <c r="H2249" s="35" t="s">
        <v>981</v>
      </c>
      <c r="I2249" s="21">
        <v>112000</v>
      </c>
      <c r="J2249" s="21"/>
      <c r="K2249" s="22">
        <v>0</v>
      </c>
      <c r="L2249" s="23"/>
      <c r="M2249" s="22">
        <v>0</v>
      </c>
      <c r="N2249" s="74">
        <v>0</v>
      </c>
      <c r="O2249" s="22">
        <v>0</v>
      </c>
      <c r="P2249" s="21">
        <v>112000</v>
      </c>
      <c r="S2249" s="108" t="b">
        <f>OR(COUNTIF(Tabla2[[#This Row],[PROVEEDOR]],"*"&amp;'Palabra no opera'!$A$2&amp;"*"))</f>
        <v>0</v>
      </c>
      <c r="T2249" s="139">
        <f>+$W$5-Tabla2[[#This Row],[FECHA DE FACTURACIÓN]]</f>
        <v>739</v>
      </c>
      <c r="U2249" t="str">
        <f>+IF(Tabla2[[#This Row],[dias de credito]]&gt;=Tabla2[[#This Row],[PLAZO Días]],"venc", "No venc")</f>
        <v>venc</v>
      </c>
      <c r="V2249" t="str">
        <f>+IF(Tabla2[[#This Row],[FECHA DE PAGO]]&gt;0,"pagada","por pagar")</f>
        <v>pagada</v>
      </c>
      <c r="W2249" s="141" t="str">
        <f>+IF(AND(Tabla2[[#This Row],[venc]]="venc",Tabla2[[#This Row],[Columna1]]="por pagar"),"vencida","no")</f>
        <v>no</v>
      </c>
    </row>
    <row r="2250" spans="1:23" ht="15.6" hidden="1" x14ac:dyDescent="0.3">
      <c r="A2250" s="20">
        <v>45</v>
      </c>
      <c r="B2250" s="25">
        <v>8072960</v>
      </c>
      <c r="C2250" s="25"/>
      <c r="D2250" s="56" t="s">
        <v>198</v>
      </c>
      <c r="E2250" s="426">
        <v>44600</v>
      </c>
      <c r="F2250" s="26" t="s">
        <v>10</v>
      </c>
      <c r="G2250" s="426">
        <v>44540</v>
      </c>
      <c r="H2250" s="35" t="s">
        <v>299</v>
      </c>
      <c r="I2250" s="21">
        <v>770000</v>
      </c>
      <c r="J2250" s="21"/>
      <c r="K2250" s="22">
        <v>146300</v>
      </c>
      <c r="L2250" s="23"/>
      <c r="M2250" s="22">
        <v>0</v>
      </c>
      <c r="N2250" s="74">
        <v>0</v>
      </c>
      <c r="O2250" s="22">
        <v>0</v>
      </c>
      <c r="P2250" s="21">
        <v>916300</v>
      </c>
      <c r="S2250" s="108" t="b">
        <f>OR(COUNTIF(Tabla2[[#This Row],[PROVEEDOR]],"*"&amp;'Palabra no opera'!$A$2&amp;"*"))</f>
        <v>0</v>
      </c>
      <c r="T2250" s="139">
        <f>+$W$5-Tabla2[[#This Row],[FECHA DE FACTURACIÓN]]</f>
        <v>751</v>
      </c>
      <c r="U2250" t="str">
        <f>+IF(Tabla2[[#This Row],[dias de credito]]&gt;=Tabla2[[#This Row],[PLAZO Días]],"venc", "No venc")</f>
        <v>venc</v>
      </c>
      <c r="V2250" t="str">
        <f>+IF(Tabla2[[#This Row],[FECHA DE PAGO]]&gt;0,"pagada","por pagar")</f>
        <v>pagada</v>
      </c>
      <c r="W2250" s="141" t="str">
        <f>+IF(AND(Tabla2[[#This Row],[venc]]="venc",Tabla2[[#This Row],[Columna1]]="por pagar"),"vencida","no")</f>
        <v>no</v>
      </c>
    </row>
    <row r="2251" spans="1:23" ht="15.6" hidden="1" x14ac:dyDescent="0.3">
      <c r="A2251" s="20">
        <v>30</v>
      </c>
      <c r="B2251" s="25">
        <v>0</v>
      </c>
      <c r="C2251" s="25"/>
      <c r="D2251" s="56" t="s">
        <v>277</v>
      </c>
      <c r="E2251" s="426">
        <v>44600</v>
      </c>
      <c r="F2251" s="26" t="s">
        <v>248</v>
      </c>
      <c r="G2251" s="426">
        <v>44533</v>
      </c>
      <c r="H2251" s="35" t="s">
        <v>470</v>
      </c>
      <c r="I2251" s="21">
        <v>-4503132.55</v>
      </c>
      <c r="J2251" s="21"/>
      <c r="K2251" s="22">
        <v>-855595.18449999997</v>
      </c>
      <c r="L2251" s="23"/>
      <c r="M2251" s="22">
        <v>0</v>
      </c>
      <c r="N2251" s="74">
        <v>0</v>
      </c>
      <c r="O2251" s="22">
        <v>0</v>
      </c>
      <c r="P2251" s="21">
        <v>-4503132.55</v>
      </c>
      <c r="S2251" s="108" t="b">
        <f>OR(COUNTIF(Tabla2[[#This Row],[PROVEEDOR]],"*"&amp;'Palabra no opera'!$A$2&amp;"*"))</f>
        <v>0</v>
      </c>
      <c r="T2251" s="139">
        <f>+$W$5-Tabla2[[#This Row],[FECHA DE FACTURACIÓN]]</f>
        <v>758</v>
      </c>
      <c r="U2251" t="str">
        <f>+IF(Tabla2[[#This Row],[dias de credito]]&gt;=Tabla2[[#This Row],[PLAZO Días]],"venc", "No venc")</f>
        <v>venc</v>
      </c>
      <c r="V2251" t="str">
        <f>+IF(Tabla2[[#This Row],[FECHA DE PAGO]]&gt;0,"pagada","por pagar")</f>
        <v>pagada</v>
      </c>
      <c r="W2251" s="141" t="str">
        <f>+IF(AND(Tabla2[[#This Row],[venc]]="venc",Tabla2[[#This Row],[Columna1]]="por pagar"),"vencida","no")</f>
        <v>no</v>
      </c>
    </row>
    <row r="2252" spans="1:23" ht="15.6" hidden="1" x14ac:dyDescent="0.3">
      <c r="A2252" s="20">
        <v>45</v>
      </c>
      <c r="B2252" s="25">
        <v>8072960</v>
      </c>
      <c r="C2252" s="25"/>
      <c r="D2252" s="56" t="s">
        <v>198</v>
      </c>
      <c r="E2252" s="426">
        <v>44600</v>
      </c>
      <c r="F2252" s="26" t="s">
        <v>10</v>
      </c>
      <c r="G2252" s="426">
        <v>44532</v>
      </c>
      <c r="H2252" s="35" t="s">
        <v>297</v>
      </c>
      <c r="I2252" s="21">
        <v>420000</v>
      </c>
      <c r="J2252" s="21"/>
      <c r="K2252" s="22">
        <v>79800</v>
      </c>
      <c r="L2252" s="23"/>
      <c r="M2252" s="22">
        <v>0</v>
      </c>
      <c r="N2252" s="74">
        <v>0</v>
      </c>
      <c r="O2252" s="22">
        <v>0</v>
      </c>
      <c r="P2252" s="21">
        <v>499800</v>
      </c>
      <c r="S2252" s="108" t="b">
        <f>OR(COUNTIF(Tabla2[[#This Row],[PROVEEDOR]],"*"&amp;'Palabra no opera'!$A$2&amp;"*"))</f>
        <v>0</v>
      </c>
      <c r="T2252" s="139">
        <f>+$W$5-Tabla2[[#This Row],[FECHA DE FACTURACIÓN]]</f>
        <v>759</v>
      </c>
      <c r="U2252" t="str">
        <f>+IF(Tabla2[[#This Row],[dias de credito]]&gt;=Tabla2[[#This Row],[PLAZO Días]],"venc", "No venc")</f>
        <v>venc</v>
      </c>
      <c r="V2252" t="str">
        <f>+IF(Tabla2[[#This Row],[FECHA DE PAGO]]&gt;0,"pagada","por pagar")</f>
        <v>pagada</v>
      </c>
      <c r="W2252" s="141" t="str">
        <f>+IF(AND(Tabla2[[#This Row],[venc]]="venc",Tabla2[[#This Row],[Columna1]]="por pagar"),"vencida","no")</f>
        <v>no</v>
      </c>
    </row>
    <row r="2253" spans="1:23" ht="15.6" hidden="1" x14ac:dyDescent="0.3">
      <c r="A2253" s="20">
        <v>30</v>
      </c>
      <c r="B2253" s="25">
        <v>0</v>
      </c>
      <c r="C2253" s="25"/>
      <c r="D2253" s="56" t="s">
        <v>259</v>
      </c>
      <c r="E2253" s="426">
        <v>44600</v>
      </c>
      <c r="F2253" s="26" t="s">
        <v>33</v>
      </c>
      <c r="G2253" s="426">
        <v>44527</v>
      </c>
      <c r="H2253" s="35">
        <v>1728</v>
      </c>
      <c r="I2253" s="21">
        <v>9365300</v>
      </c>
      <c r="J2253" s="21"/>
      <c r="K2253" s="22">
        <v>1779407</v>
      </c>
      <c r="L2253" s="23"/>
      <c r="M2253" s="22">
        <v>0</v>
      </c>
      <c r="N2253" s="74">
        <v>2.5000000000000001E-2</v>
      </c>
      <c r="O2253" s="22">
        <v>234132.5</v>
      </c>
      <c r="P2253" s="21">
        <v>10910574.5</v>
      </c>
      <c r="S2253" s="108" t="b">
        <f>OR(COUNTIF(Tabla2[[#This Row],[PROVEEDOR]],"*"&amp;'Palabra no opera'!$A$2&amp;"*"))</f>
        <v>0</v>
      </c>
      <c r="T2253" s="139">
        <f>+$W$5-Tabla2[[#This Row],[FECHA DE FACTURACIÓN]]</f>
        <v>764</v>
      </c>
      <c r="U2253" t="str">
        <f>+IF(Tabla2[[#This Row],[dias de credito]]&gt;=Tabla2[[#This Row],[PLAZO Días]],"venc", "No venc")</f>
        <v>venc</v>
      </c>
      <c r="V2253" t="str">
        <f>+IF(Tabla2[[#This Row],[FECHA DE PAGO]]&gt;0,"pagada","por pagar")</f>
        <v>pagada</v>
      </c>
      <c r="W2253" s="141" t="str">
        <f>+IF(AND(Tabla2[[#This Row],[venc]]="venc",Tabla2[[#This Row],[Columna1]]="por pagar"),"vencida","no")</f>
        <v>no</v>
      </c>
    </row>
    <row r="2254" spans="1:23" ht="15.6" hidden="1" x14ac:dyDescent="0.3">
      <c r="A2254" s="20">
        <v>30</v>
      </c>
      <c r="B2254" s="25">
        <v>0</v>
      </c>
      <c r="C2254" s="25"/>
      <c r="D2254" s="56" t="s">
        <v>194</v>
      </c>
      <c r="E2254" s="426">
        <v>44595</v>
      </c>
      <c r="F2254" s="26" t="s">
        <v>640</v>
      </c>
      <c r="G2254" s="426">
        <v>44593</v>
      </c>
      <c r="H2254" s="35">
        <v>805</v>
      </c>
      <c r="I2254" s="21">
        <v>239200</v>
      </c>
      <c r="J2254" s="21"/>
      <c r="K2254" s="22">
        <v>0</v>
      </c>
      <c r="L2254" s="23"/>
      <c r="M2254" s="22">
        <v>0</v>
      </c>
      <c r="N2254" s="74">
        <v>3.5000000000000003E-2</v>
      </c>
      <c r="O2254" s="22">
        <v>8372</v>
      </c>
      <c r="P2254" s="21">
        <v>0</v>
      </c>
      <c r="S2254" s="108" t="b">
        <f>OR(COUNTIF(Tabla2[[#This Row],[PROVEEDOR]],"*"&amp;'Palabra no opera'!$A$2&amp;"*"))</f>
        <v>1</v>
      </c>
      <c r="T2254" s="139">
        <f>+$W$5-Tabla2[[#This Row],[FECHA DE FACTURACIÓN]]</f>
        <v>698</v>
      </c>
      <c r="U2254" t="str">
        <f>+IF(Tabla2[[#This Row],[dias de credito]]&gt;=Tabla2[[#This Row],[PLAZO Días]],"venc", "No venc")</f>
        <v>venc</v>
      </c>
      <c r="V2254" t="str">
        <f>+IF(Tabla2[[#This Row],[FECHA DE PAGO]]&gt;0,"pagada","por pagar")</f>
        <v>pagada</v>
      </c>
      <c r="W2254" s="141" t="str">
        <f>+IF(AND(Tabla2[[#This Row],[venc]]="venc",Tabla2[[#This Row],[Columna1]]="por pagar"),"vencida","no")</f>
        <v>no</v>
      </c>
    </row>
    <row r="2255" spans="1:23" ht="15.6" hidden="1" x14ac:dyDescent="0.3">
      <c r="A2255" s="20">
        <v>30</v>
      </c>
      <c r="B2255" s="25">
        <v>0</v>
      </c>
      <c r="C2255" s="25"/>
      <c r="D2255" s="56" t="s">
        <v>659</v>
      </c>
      <c r="E2255" s="426">
        <v>44594</v>
      </c>
      <c r="F2255" s="26" t="s">
        <v>227</v>
      </c>
      <c r="G2255" s="426">
        <v>44805</v>
      </c>
      <c r="H2255" s="35" t="s">
        <v>1077</v>
      </c>
      <c r="I2255" s="21">
        <v>1876000</v>
      </c>
      <c r="J2255" s="21"/>
      <c r="K2255" s="22">
        <v>0</v>
      </c>
      <c r="L2255" s="23"/>
      <c r="M2255" s="22">
        <v>0</v>
      </c>
      <c r="N2255" s="74">
        <v>0</v>
      </c>
      <c r="O2255" s="22">
        <v>0</v>
      </c>
      <c r="P2255" s="21">
        <v>1876000</v>
      </c>
      <c r="S2255" s="108" t="b">
        <f>OR(COUNTIF(Tabla2[[#This Row],[PROVEEDOR]],"*"&amp;'Palabra no opera'!$A$2&amp;"*"))</f>
        <v>0</v>
      </c>
      <c r="T2255" s="139">
        <f>+$W$5-Tabla2[[#This Row],[FECHA DE FACTURACIÓN]]</f>
        <v>486</v>
      </c>
      <c r="U2255" t="str">
        <f>+IF(Tabla2[[#This Row],[dias de credito]]&gt;=Tabla2[[#This Row],[PLAZO Días]],"venc", "No venc")</f>
        <v>venc</v>
      </c>
      <c r="V2255" t="str">
        <f>+IF(Tabla2[[#This Row],[FECHA DE PAGO]]&gt;0,"pagada","por pagar")</f>
        <v>pagada</v>
      </c>
      <c r="W2255" s="141" t="str">
        <f>+IF(AND(Tabla2[[#This Row],[venc]]="venc",Tabla2[[#This Row],[Columna1]]="por pagar"),"vencida","no")</f>
        <v>no</v>
      </c>
    </row>
    <row r="2256" spans="1:23" ht="15.6" hidden="1" x14ac:dyDescent="0.3">
      <c r="A2256" s="20">
        <v>30</v>
      </c>
      <c r="B2256" s="25">
        <v>0</v>
      </c>
      <c r="C2256" s="25"/>
      <c r="D2256" s="56">
        <v>0</v>
      </c>
      <c r="E2256" s="426">
        <v>44594</v>
      </c>
      <c r="F2256" s="26" t="s">
        <v>413</v>
      </c>
      <c r="G2256" s="426">
        <v>44589</v>
      </c>
      <c r="H2256" s="35" t="s">
        <v>998</v>
      </c>
      <c r="I2256" s="21">
        <v>3418000</v>
      </c>
      <c r="J2256" s="21"/>
      <c r="K2256" s="22">
        <v>0</v>
      </c>
      <c r="L2256" s="23"/>
      <c r="M2256" s="22">
        <v>0</v>
      </c>
      <c r="N2256" s="74">
        <v>0</v>
      </c>
      <c r="O2256" s="22">
        <v>0</v>
      </c>
      <c r="P2256" s="21">
        <v>3418000</v>
      </c>
      <c r="S2256" s="108" t="b">
        <f>OR(COUNTIF(Tabla2[[#This Row],[PROVEEDOR]],"*"&amp;'Palabra no opera'!$A$2&amp;"*"))</f>
        <v>0</v>
      </c>
      <c r="T2256" s="139">
        <f>+$W$5-Tabla2[[#This Row],[FECHA DE FACTURACIÓN]]</f>
        <v>702</v>
      </c>
      <c r="U2256" t="str">
        <f>+IF(Tabla2[[#This Row],[dias de credito]]&gt;=Tabla2[[#This Row],[PLAZO Días]],"venc", "No venc")</f>
        <v>venc</v>
      </c>
      <c r="V2256" t="str">
        <f>+IF(Tabla2[[#This Row],[FECHA DE PAGO]]&gt;0,"pagada","por pagar")</f>
        <v>pagada</v>
      </c>
      <c r="W2256" s="141" t="str">
        <f>+IF(AND(Tabla2[[#This Row],[venc]]="venc",Tabla2[[#This Row],[Columna1]]="por pagar"),"vencida","no")</f>
        <v>no</v>
      </c>
    </row>
    <row r="2257" spans="1:23" ht="15.6" hidden="1" x14ac:dyDescent="0.3">
      <c r="A2257" s="20">
        <v>30</v>
      </c>
      <c r="B2257" s="25">
        <v>0</v>
      </c>
      <c r="C2257" s="25"/>
      <c r="D2257" s="56" t="s">
        <v>107</v>
      </c>
      <c r="E2257" s="426">
        <v>44593</v>
      </c>
      <c r="F2257" s="26" t="s">
        <v>390</v>
      </c>
      <c r="G2257" s="426">
        <v>44593</v>
      </c>
      <c r="H2257" s="35"/>
      <c r="I2257" s="21">
        <v>1000000</v>
      </c>
      <c r="J2257" s="21"/>
      <c r="K2257" s="22">
        <v>0</v>
      </c>
      <c r="L2257" s="23"/>
      <c r="M2257" s="22">
        <v>0</v>
      </c>
      <c r="N2257" s="74">
        <v>0</v>
      </c>
      <c r="O2257" s="22">
        <v>0</v>
      </c>
      <c r="P2257" s="21">
        <v>0</v>
      </c>
      <c r="S2257" s="108" t="b">
        <f>OR(COUNTIF(Tabla2[[#This Row],[PROVEEDOR]],"*"&amp;'Palabra no opera'!$A$2&amp;"*"))</f>
        <v>0</v>
      </c>
      <c r="T2257" s="139">
        <f>+$W$5-Tabla2[[#This Row],[FECHA DE FACTURACIÓN]]</f>
        <v>698</v>
      </c>
      <c r="U2257" t="str">
        <f>+IF(Tabla2[[#This Row],[dias de credito]]&gt;=Tabla2[[#This Row],[PLAZO Días]],"venc", "No venc")</f>
        <v>venc</v>
      </c>
      <c r="V2257" t="str">
        <f>+IF(Tabla2[[#This Row],[FECHA DE PAGO]]&gt;0,"pagada","por pagar")</f>
        <v>pagada</v>
      </c>
      <c r="W2257" s="141" t="str">
        <f>+IF(AND(Tabla2[[#This Row],[venc]]="venc",Tabla2[[#This Row],[Columna1]]="por pagar"),"vencida","no")</f>
        <v>no</v>
      </c>
    </row>
    <row r="2258" spans="1:23" ht="15.6" hidden="1" x14ac:dyDescent="0.3">
      <c r="A2258" s="20">
        <v>30</v>
      </c>
      <c r="B2258" s="25">
        <v>0</v>
      </c>
      <c r="C2258" s="25"/>
      <c r="D2258" s="56" t="s">
        <v>258</v>
      </c>
      <c r="E2258" s="426">
        <v>44593</v>
      </c>
      <c r="F2258" s="26" t="s">
        <v>394</v>
      </c>
      <c r="G2258" s="426">
        <v>44562</v>
      </c>
      <c r="H2258" s="35" t="s">
        <v>890</v>
      </c>
      <c r="I2258" s="21">
        <v>1400000</v>
      </c>
      <c r="J2258" s="21"/>
      <c r="K2258" s="22">
        <v>0</v>
      </c>
      <c r="L2258" s="23"/>
      <c r="M2258" s="22">
        <v>0</v>
      </c>
      <c r="N2258" s="74">
        <v>0</v>
      </c>
      <c r="O2258" s="22">
        <v>0</v>
      </c>
      <c r="P2258" s="21">
        <v>1400000</v>
      </c>
      <c r="S2258" s="108" t="b">
        <f>OR(COUNTIF(Tabla2[[#This Row],[PROVEEDOR]],"*"&amp;'Palabra no opera'!$A$2&amp;"*"))</f>
        <v>0</v>
      </c>
      <c r="T2258" s="139">
        <f>+$W$5-Tabla2[[#This Row],[FECHA DE FACTURACIÓN]]</f>
        <v>729</v>
      </c>
      <c r="U2258" t="str">
        <f>+IF(Tabla2[[#This Row],[dias de credito]]&gt;=Tabla2[[#This Row],[PLAZO Días]],"venc", "No venc")</f>
        <v>venc</v>
      </c>
      <c r="V2258" t="str">
        <f>+IF(Tabla2[[#This Row],[FECHA DE PAGO]]&gt;0,"pagada","por pagar")</f>
        <v>pagada</v>
      </c>
      <c r="W2258" s="141" t="str">
        <f>+IF(AND(Tabla2[[#This Row],[venc]]="venc",Tabla2[[#This Row],[Columna1]]="por pagar"),"vencida","no")</f>
        <v>no</v>
      </c>
    </row>
    <row r="2259" spans="1:23" ht="15.6" hidden="1" x14ac:dyDescent="0.3">
      <c r="A2259" s="20">
        <v>30</v>
      </c>
      <c r="B2259" s="25">
        <v>0</v>
      </c>
      <c r="C2259" s="25"/>
      <c r="D2259" s="56" t="s">
        <v>211</v>
      </c>
      <c r="E2259" s="426">
        <v>44592</v>
      </c>
      <c r="F2259" s="26" t="s">
        <v>400</v>
      </c>
      <c r="G2259" s="426">
        <v>44551</v>
      </c>
      <c r="H2259" s="35" t="s">
        <v>887</v>
      </c>
      <c r="I2259" s="21">
        <v>105000</v>
      </c>
      <c r="J2259" s="21"/>
      <c r="K2259" s="22">
        <v>0</v>
      </c>
      <c r="L2259" s="23"/>
      <c r="M2259" s="22">
        <v>0</v>
      </c>
      <c r="N2259" s="74">
        <v>0</v>
      </c>
      <c r="O2259" s="22">
        <v>0</v>
      </c>
      <c r="P2259" s="21">
        <v>105000</v>
      </c>
      <c r="S2259" s="108" t="b">
        <f>OR(COUNTIF(Tabla2[[#This Row],[PROVEEDOR]],"*"&amp;'Palabra no opera'!$A$2&amp;"*"))</f>
        <v>0</v>
      </c>
      <c r="T2259" s="139">
        <f>+$W$5-Tabla2[[#This Row],[FECHA DE FACTURACIÓN]]</f>
        <v>740</v>
      </c>
      <c r="U2259" t="str">
        <f>+IF(Tabla2[[#This Row],[dias de credito]]&gt;=Tabla2[[#This Row],[PLAZO Días]],"venc", "No venc")</f>
        <v>venc</v>
      </c>
      <c r="V2259" t="str">
        <f>+IF(Tabla2[[#This Row],[FECHA DE PAGO]]&gt;0,"pagada","por pagar")</f>
        <v>pagada</v>
      </c>
      <c r="W2259" s="141" t="str">
        <f>+IF(AND(Tabla2[[#This Row],[venc]]="venc",Tabla2[[#This Row],[Columna1]]="por pagar"),"vencida","no")</f>
        <v>no</v>
      </c>
    </row>
    <row r="2260" spans="1:23" ht="15.6" hidden="1" x14ac:dyDescent="0.3">
      <c r="A2260" s="20">
        <v>30</v>
      </c>
      <c r="B2260" s="25">
        <v>0</v>
      </c>
      <c r="C2260" s="25"/>
      <c r="D2260" s="56" t="s">
        <v>402</v>
      </c>
      <c r="E2260" s="426">
        <v>44592</v>
      </c>
      <c r="F2260" s="26" t="s">
        <v>403</v>
      </c>
      <c r="G2260" s="426">
        <v>44540</v>
      </c>
      <c r="H2260" s="35" t="s">
        <v>979</v>
      </c>
      <c r="I2260" s="21">
        <v>700000</v>
      </c>
      <c r="J2260" s="21"/>
      <c r="K2260" s="22">
        <v>0</v>
      </c>
      <c r="L2260" s="23"/>
      <c r="M2260" s="22">
        <v>0</v>
      </c>
      <c r="N2260" s="74">
        <v>0</v>
      </c>
      <c r="O2260" s="22">
        <v>0</v>
      </c>
      <c r="P2260" s="21">
        <v>700000</v>
      </c>
      <c r="S2260" s="108" t="b">
        <f>OR(COUNTIF(Tabla2[[#This Row],[PROVEEDOR]],"*"&amp;'Palabra no opera'!$A$2&amp;"*"))</f>
        <v>0</v>
      </c>
      <c r="T2260" s="139">
        <f>+$W$5-Tabla2[[#This Row],[FECHA DE FACTURACIÓN]]</f>
        <v>751</v>
      </c>
      <c r="U2260" t="str">
        <f>+IF(Tabla2[[#This Row],[dias de credito]]&gt;=Tabla2[[#This Row],[PLAZO Días]],"venc", "No venc")</f>
        <v>venc</v>
      </c>
      <c r="V2260" t="str">
        <f>+IF(Tabla2[[#This Row],[FECHA DE PAGO]]&gt;0,"pagada","por pagar")</f>
        <v>pagada</v>
      </c>
      <c r="W2260" s="141" t="str">
        <f>+IF(AND(Tabla2[[#This Row],[venc]]="venc",Tabla2[[#This Row],[Columna1]]="por pagar"),"vencida","no")</f>
        <v>no</v>
      </c>
    </row>
    <row r="2261" spans="1:23" ht="15.6" hidden="1" x14ac:dyDescent="0.3">
      <c r="A2261" s="20">
        <v>30</v>
      </c>
      <c r="B2261" s="25">
        <v>0</v>
      </c>
      <c r="C2261" s="25"/>
      <c r="D2261" s="56" t="s">
        <v>270</v>
      </c>
      <c r="E2261" s="426">
        <v>44592</v>
      </c>
      <c r="F2261" s="26" t="s">
        <v>247</v>
      </c>
      <c r="G2261" s="426">
        <v>44539</v>
      </c>
      <c r="H2261" s="35">
        <v>111</v>
      </c>
      <c r="I2261" s="21">
        <v>21679100</v>
      </c>
      <c r="J2261" s="21"/>
      <c r="K2261" s="22">
        <v>4119029</v>
      </c>
      <c r="L2261" s="23">
        <v>0.09</v>
      </c>
      <c r="M2261" s="22">
        <v>1951119</v>
      </c>
      <c r="N2261" s="74">
        <v>2.5000000000000001E-2</v>
      </c>
      <c r="O2261" s="22">
        <v>541977.5</v>
      </c>
      <c r="P2261" s="21">
        <v>23305032.5</v>
      </c>
      <c r="S2261" s="108" t="b">
        <f>OR(COUNTIF(Tabla2[[#This Row],[PROVEEDOR]],"*"&amp;'Palabra no opera'!$A$2&amp;"*"))</f>
        <v>0</v>
      </c>
      <c r="T2261" s="139">
        <f>+$W$5-Tabla2[[#This Row],[FECHA DE FACTURACIÓN]]</f>
        <v>752</v>
      </c>
      <c r="U2261" t="str">
        <f>+IF(Tabla2[[#This Row],[dias de credito]]&gt;=Tabla2[[#This Row],[PLAZO Días]],"venc", "No venc")</f>
        <v>venc</v>
      </c>
      <c r="V2261" t="str">
        <f>+IF(Tabla2[[#This Row],[FECHA DE PAGO]]&gt;0,"pagada","por pagar")</f>
        <v>pagada</v>
      </c>
      <c r="W2261" s="141" t="str">
        <f>+IF(AND(Tabla2[[#This Row],[venc]]="venc",Tabla2[[#This Row],[Columna1]]="por pagar"),"vencida","no")</f>
        <v>no</v>
      </c>
    </row>
    <row r="2262" spans="1:23" ht="15.6" hidden="1" x14ac:dyDescent="0.3">
      <c r="A2262" s="20">
        <v>30</v>
      </c>
      <c r="B2262" s="25">
        <v>0</v>
      </c>
      <c r="C2262" s="25"/>
      <c r="D2262" s="56" t="s">
        <v>107</v>
      </c>
      <c r="E2262" s="426">
        <v>44588</v>
      </c>
      <c r="F2262" s="26" t="s">
        <v>370</v>
      </c>
      <c r="G2262" s="426">
        <v>44588</v>
      </c>
      <c r="H2262" s="35" t="s">
        <v>996</v>
      </c>
      <c r="I2262" s="21">
        <v>280000</v>
      </c>
      <c r="J2262" s="21"/>
      <c r="K2262" s="22">
        <v>0</v>
      </c>
      <c r="L2262" s="23"/>
      <c r="M2262" s="22">
        <v>0</v>
      </c>
      <c r="N2262" s="74">
        <v>0</v>
      </c>
      <c r="O2262" s="22">
        <v>0</v>
      </c>
      <c r="P2262" s="21">
        <v>280000</v>
      </c>
      <c r="S2262" s="108" t="b">
        <f>OR(COUNTIF(Tabla2[[#This Row],[PROVEEDOR]],"*"&amp;'Palabra no opera'!$A$2&amp;"*"))</f>
        <v>0</v>
      </c>
      <c r="T2262" s="139">
        <f>+$W$5-Tabla2[[#This Row],[FECHA DE FACTURACIÓN]]</f>
        <v>703</v>
      </c>
      <c r="U2262" t="str">
        <f>+IF(Tabla2[[#This Row],[dias de credito]]&gt;=Tabla2[[#This Row],[PLAZO Días]],"venc", "No venc")</f>
        <v>venc</v>
      </c>
      <c r="V2262" t="str">
        <f>+IF(Tabla2[[#This Row],[FECHA DE PAGO]]&gt;0,"pagada","por pagar")</f>
        <v>pagada</v>
      </c>
      <c r="W2262" s="141" t="str">
        <f>+IF(AND(Tabla2[[#This Row],[venc]]="venc",Tabla2[[#This Row],[Columna1]]="por pagar"),"vencida","no")</f>
        <v>no</v>
      </c>
    </row>
    <row r="2263" spans="1:23" ht="15.6" hidden="1" x14ac:dyDescent="0.3">
      <c r="A2263" s="20">
        <v>30</v>
      </c>
      <c r="B2263" s="25">
        <v>0</v>
      </c>
      <c r="C2263" s="25"/>
      <c r="D2263" s="56">
        <v>0</v>
      </c>
      <c r="E2263" s="426">
        <v>44588</v>
      </c>
      <c r="F2263" s="26" t="s">
        <v>245</v>
      </c>
      <c r="G2263" s="426">
        <v>44587</v>
      </c>
      <c r="H2263" s="35">
        <v>130713</v>
      </c>
      <c r="I2263" s="21">
        <v>1874000</v>
      </c>
      <c r="J2263" s="21"/>
      <c r="K2263" s="22">
        <v>0</v>
      </c>
      <c r="L2263" s="23"/>
      <c r="M2263" s="22">
        <v>0</v>
      </c>
      <c r="N2263" s="74">
        <v>0</v>
      </c>
      <c r="O2263" s="22">
        <v>0</v>
      </c>
      <c r="P2263" s="21">
        <v>1874000</v>
      </c>
      <c r="S2263" s="108" t="b">
        <f>OR(COUNTIF(Tabla2[[#This Row],[PROVEEDOR]],"*"&amp;'Palabra no opera'!$A$2&amp;"*"))</f>
        <v>0</v>
      </c>
      <c r="T2263" s="139">
        <f>+$W$5-Tabla2[[#This Row],[FECHA DE FACTURACIÓN]]</f>
        <v>704</v>
      </c>
      <c r="U2263" t="str">
        <f>+IF(Tabla2[[#This Row],[dias de credito]]&gt;=Tabla2[[#This Row],[PLAZO Días]],"venc", "No venc")</f>
        <v>venc</v>
      </c>
      <c r="V2263" t="str">
        <f>+IF(Tabla2[[#This Row],[FECHA DE PAGO]]&gt;0,"pagada","por pagar")</f>
        <v>pagada</v>
      </c>
      <c r="W2263" s="141" t="str">
        <f>+IF(AND(Tabla2[[#This Row],[venc]]="venc",Tabla2[[#This Row],[Columna1]]="por pagar"),"vencida","no")</f>
        <v>no</v>
      </c>
    </row>
    <row r="2264" spans="1:23" ht="15.6" hidden="1" x14ac:dyDescent="0.3">
      <c r="A2264" s="20">
        <v>30</v>
      </c>
      <c r="B2264" s="25">
        <v>0</v>
      </c>
      <c r="C2264" s="25"/>
      <c r="D2264" s="56" t="s">
        <v>659</v>
      </c>
      <c r="E2264" s="426">
        <v>44588</v>
      </c>
      <c r="F2264" s="26" t="s">
        <v>246</v>
      </c>
      <c r="G2264" s="426">
        <v>44587</v>
      </c>
      <c r="H2264" s="35" t="s">
        <v>900</v>
      </c>
      <c r="I2264" s="21">
        <v>1919000</v>
      </c>
      <c r="J2264" s="21"/>
      <c r="K2264" s="22">
        <v>0</v>
      </c>
      <c r="L2264" s="23"/>
      <c r="M2264" s="22">
        <v>0</v>
      </c>
      <c r="N2264" s="74">
        <v>0</v>
      </c>
      <c r="O2264" s="22">
        <v>0</v>
      </c>
      <c r="P2264" s="21">
        <v>1919000</v>
      </c>
      <c r="S2264" s="108" t="b">
        <f>OR(COUNTIF(Tabla2[[#This Row],[PROVEEDOR]],"*"&amp;'Palabra no opera'!$A$2&amp;"*"))</f>
        <v>0</v>
      </c>
      <c r="T2264" s="139">
        <f>+$W$5-Tabla2[[#This Row],[FECHA DE FACTURACIÓN]]</f>
        <v>704</v>
      </c>
      <c r="U2264" t="str">
        <f>+IF(Tabla2[[#This Row],[dias de credito]]&gt;=Tabla2[[#This Row],[PLAZO Días]],"venc", "No venc")</f>
        <v>venc</v>
      </c>
      <c r="V2264" t="str">
        <f>+IF(Tabla2[[#This Row],[FECHA DE PAGO]]&gt;0,"pagada","por pagar")</f>
        <v>pagada</v>
      </c>
      <c r="W2264" s="141" t="str">
        <f>+IF(AND(Tabla2[[#This Row],[venc]]="venc",Tabla2[[#This Row],[Columna1]]="por pagar"),"vencida","no")</f>
        <v>no</v>
      </c>
    </row>
    <row r="2265" spans="1:23" ht="15.6" hidden="1" x14ac:dyDescent="0.3">
      <c r="A2265" s="20">
        <v>30</v>
      </c>
      <c r="B2265" s="25">
        <v>0</v>
      </c>
      <c r="C2265" s="25"/>
      <c r="D2265" s="56" t="s">
        <v>107</v>
      </c>
      <c r="E2265" s="426">
        <v>44588</v>
      </c>
      <c r="F2265" s="26" t="s">
        <v>401</v>
      </c>
      <c r="G2265" s="426">
        <v>44580</v>
      </c>
      <c r="H2265" s="35" t="s">
        <v>990</v>
      </c>
      <c r="I2265" s="21">
        <v>699000</v>
      </c>
      <c r="J2265" s="21"/>
      <c r="K2265" s="22">
        <v>0</v>
      </c>
      <c r="L2265" s="23"/>
      <c r="M2265" s="22">
        <v>0</v>
      </c>
      <c r="N2265" s="74">
        <v>0</v>
      </c>
      <c r="O2265" s="22">
        <v>0</v>
      </c>
      <c r="P2265" s="21">
        <v>699000</v>
      </c>
      <c r="S2265" s="108" t="b">
        <f>OR(COUNTIF(Tabla2[[#This Row],[PROVEEDOR]],"*"&amp;'Palabra no opera'!$A$2&amp;"*"))</f>
        <v>0</v>
      </c>
      <c r="T2265" s="139">
        <f>+$W$5-Tabla2[[#This Row],[FECHA DE FACTURACIÓN]]</f>
        <v>711</v>
      </c>
      <c r="U2265" t="str">
        <f>+IF(Tabla2[[#This Row],[dias de credito]]&gt;=Tabla2[[#This Row],[PLAZO Días]],"venc", "No venc")</f>
        <v>venc</v>
      </c>
      <c r="V2265" t="str">
        <f>+IF(Tabla2[[#This Row],[FECHA DE PAGO]]&gt;0,"pagada","por pagar")</f>
        <v>pagada</v>
      </c>
      <c r="W2265" s="141" t="str">
        <f>+IF(AND(Tabla2[[#This Row],[venc]]="venc",Tabla2[[#This Row],[Columna1]]="por pagar"),"vencida","no")</f>
        <v>no</v>
      </c>
    </row>
    <row r="2266" spans="1:23" ht="15.6" hidden="1" x14ac:dyDescent="0.3">
      <c r="A2266" s="20">
        <v>30</v>
      </c>
      <c r="B2266" s="25">
        <v>0</v>
      </c>
      <c r="C2266" s="25"/>
      <c r="D2266" s="56" t="s">
        <v>368</v>
      </c>
      <c r="E2266" s="426">
        <v>44588</v>
      </c>
      <c r="F2266" s="26" t="s">
        <v>623</v>
      </c>
      <c r="G2266" s="426">
        <v>44562</v>
      </c>
      <c r="H2266" s="35" t="s">
        <v>892</v>
      </c>
      <c r="I2266" s="21">
        <v>716544</v>
      </c>
      <c r="J2266" s="21"/>
      <c r="K2266" s="22">
        <v>136143.36000000002</v>
      </c>
      <c r="L2266" s="23"/>
      <c r="M2266" s="22">
        <v>0</v>
      </c>
      <c r="N2266" s="74">
        <v>0</v>
      </c>
      <c r="O2266" s="22">
        <v>0</v>
      </c>
      <c r="P2266" s="21">
        <v>852687.35999999999</v>
      </c>
      <c r="S2266" s="108" t="b">
        <f>OR(COUNTIF(Tabla2[[#This Row],[PROVEEDOR]],"*"&amp;'Palabra no opera'!$A$2&amp;"*"))</f>
        <v>1</v>
      </c>
      <c r="T2266" s="139">
        <f>+$W$5-Tabla2[[#This Row],[FECHA DE FACTURACIÓN]]</f>
        <v>729</v>
      </c>
      <c r="U2266" t="str">
        <f>+IF(Tabla2[[#This Row],[dias de credito]]&gt;=Tabla2[[#This Row],[PLAZO Días]],"venc", "No venc")</f>
        <v>venc</v>
      </c>
      <c r="V2266" t="str">
        <f>+IF(Tabla2[[#This Row],[FECHA DE PAGO]]&gt;0,"pagada","por pagar")</f>
        <v>pagada</v>
      </c>
      <c r="W2266" s="141" t="str">
        <f>+IF(AND(Tabla2[[#This Row],[venc]]="venc",Tabla2[[#This Row],[Columna1]]="por pagar"),"vencida","no")</f>
        <v>no</v>
      </c>
    </row>
    <row r="2267" spans="1:23" ht="15.6" hidden="1" x14ac:dyDescent="0.3">
      <c r="A2267" s="20">
        <v>30</v>
      </c>
      <c r="B2267" s="25">
        <v>0</v>
      </c>
      <c r="C2267" s="25"/>
      <c r="D2267" s="56" t="s">
        <v>368</v>
      </c>
      <c r="E2267" s="426">
        <v>44588</v>
      </c>
      <c r="F2267" s="26" t="s">
        <v>623</v>
      </c>
      <c r="G2267" s="426">
        <v>44562</v>
      </c>
      <c r="H2267" s="35" t="s">
        <v>891</v>
      </c>
      <c r="I2267" s="21">
        <v>3061166</v>
      </c>
      <c r="J2267" s="21"/>
      <c r="K2267" s="22">
        <v>581621.54</v>
      </c>
      <c r="L2267" s="23"/>
      <c r="M2267" s="22">
        <v>0</v>
      </c>
      <c r="N2267" s="74">
        <v>0</v>
      </c>
      <c r="O2267" s="22">
        <v>0</v>
      </c>
      <c r="P2267" s="21">
        <v>3642787.54</v>
      </c>
      <c r="S2267" s="108" t="b">
        <f>OR(COUNTIF(Tabla2[[#This Row],[PROVEEDOR]],"*"&amp;'Palabra no opera'!$A$2&amp;"*"))</f>
        <v>1</v>
      </c>
      <c r="T2267" s="139">
        <f>+$W$5-Tabla2[[#This Row],[FECHA DE FACTURACIÓN]]</f>
        <v>729</v>
      </c>
      <c r="U2267" t="str">
        <f>+IF(Tabla2[[#This Row],[dias de credito]]&gt;=Tabla2[[#This Row],[PLAZO Días]],"venc", "No venc")</f>
        <v>venc</v>
      </c>
      <c r="V2267" t="str">
        <f>+IF(Tabla2[[#This Row],[FECHA DE PAGO]]&gt;0,"pagada","por pagar")</f>
        <v>pagada</v>
      </c>
      <c r="W2267" s="141" t="str">
        <f>+IF(AND(Tabla2[[#This Row],[venc]]="venc",Tabla2[[#This Row],[Columna1]]="por pagar"),"vencida","no")</f>
        <v>no</v>
      </c>
    </row>
    <row r="2268" spans="1:23" ht="15.6" hidden="1" x14ac:dyDescent="0.3">
      <c r="A2268" s="20">
        <v>30</v>
      </c>
      <c r="B2268" s="25">
        <v>0</v>
      </c>
      <c r="C2268" s="25"/>
      <c r="D2268" s="56" t="s">
        <v>185</v>
      </c>
      <c r="E2268" s="426">
        <v>44588</v>
      </c>
      <c r="F2268" s="26" t="s">
        <v>628</v>
      </c>
      <c r="G2268" s="426">
        <v>44562</v>
      </c>
      <c r="H2268" s="35">
        <v>9719</v>
      </c>
      <c r="I2268" s="21">
        <v>1904519</v>
      </c>
      <c r="J2268" s="21"/>
      <c r="K2268" s="22">
        <v>0</v>
      </c>
      <c r="L2268" s="23"/>
      <c r="M2268" s="22">
        <v>0</v>
      </c>
      <c r="N2268" s="74">
        <v>0</v>
      </c>
      <c r="O2268" s="22">
        <v>0</v>
      </c>
      <c r="P2268" s="21">
        <v>1904519</v>
      </c>
      <c r="S2268" s="108" t="b">
        <f>OR(COUNTIF(Tabla2[[#This Row],[PROVEEDOR]],"*"&amp;'Palabra no opera'!$A$2&amp;"*"))</f>
        <v>1</v>
      </c>
      <c r="T2268" s="139">
        <f>+$W$5-Tabla2[[#This Row],[FECHA DE FACTURACIÓN]]</f>
        <v>729</v>
      </c>
      <c r="U2268" t="str">
        <f>+IF(Tabla2[[#This Row],[dias de credito]]&gt;=Tabla2[[#This Row],[PLAZO Días]],"venc", "No venc")</f>
        <v>venc</v>
      </c>
      <c r="V2268" t="str">
        <f>+IF(Tabla2[[#This Row],[FECHA DE PAGO]]&gt;0,"pagada","por pagar")</f>
        <v>pagada</v>
      </c>
      <c r="W2268" s="141" t="str">
        <f>+IF(AND(Tabla2[[#This Row],[venc]]="venc",Tabla2[[#This Row],[Columna1]]="por pagar"),"vencida","no")</f>
        <v>no</v>
      </c>
    </row>
    <row r="2269" spans="1:23" ht="15.6" hidden="1" x14ac:dyDescent="0.3">
      <c r="A2269" s="20">
        <v>30</v>
      </c>
      <c r="B2269" s="25">
        <v>0</v>
      </c>
      <c r="C2269" s="25"/>
      <c r="D2269" s="56" t="s">
        <v>260</v>
      </c>
      <c r="E2269" s="426">
        <v>44588</v>
      </c>
      <c r="F2269" s="26" t="s">
        <v>635</v>
      </c>
      <c r="G2269" s="426">
        <v>44562</v>
      </c>
      <c r="H2269" s="35" t="s">
        <v>893</v>
      </c>
      <c r="I2269" s="21">
        <v>2789636</v>
      </c>
      <c r="J2269" s="21"/>
      <c r="K2269" s="22">
        <v>0</v>
      </c>
      <c r="L2269" s="23"/>
      <c r="M2269" s="22">
        <v>0</v>
      </c>
      <c r="N2269" s="74">
        <v>3.5000000000000003E-2</v>
      </c>
      <c r="O2269" s="22">
        <v>97637.260000000009</v>
      </c>
      <c r="P2269" s="21">
        <v>2691998.74</v>
      </c>
      <c r="S2269" s="108" t="b">
        <f>OR(COUNTIF(Tabla2[[#This Row],[PROVEEDOR]],"*"&amp;'Palabra no opera'!$A$2&amp;"*"))</f>
        <v>1</v>
      </c>
      <c r="T2269" s="139">
        <f>+$W$5-Tabla2[[#This Row],[FECHA DE FACTURACIÓN]]</f>
        <v>729</v>
      </c>
      <c r="U2269" t="str">
        <f>+IF(Tabla2[[#This Row],[dias de credito]]&gt;=Tabla2[[#This Row],[PLAZO Días]],"venc", "No venc")</f>
        <v>venc</v>
      </c>
      <c r="V2269" t="str">
        <f>+IF(Tabla2[[#This Row],[FECHA DE PAGO]]&gt;0,"pagada","por pagar")</f>
        <v>pagada</v>
      </c>
      <c r="W2269" s="141" t="str">
        <f>+IF(AND(Tabla2[[#This Row],[venc]]="venc",Tabla2[[#This Row],[Columna1]]="por pagar"),"vencida","no")</f>
        <v>no</v>
      </c>
    </row>
    <row r="2270" spans="1:23" ht="15.6" hidden="1" x14ac:dyDescent="0.3">
      <c r="A2270" s="20">
        <v>30</v>
      </c>
      <c r="B2270" s="25">
        <v>0</v>
      </c>
      <c r="C2270" s="25"/>
      <c r="D2270" s="56" t="s">
        <v>1116</v>
      </c>
      <c r="E2270" s="426">
        <v>44588</v>
      </c>
      <c r="F2270" s="26" t="s">
        <v>638</v>
      </c>
      <c r="G2270" s="426">
        <v>44562</v>
      </c>
      <c r="H2270" s="35" t="s">
        <v>340</v>
      </c>
      <c r="I2270" s="21">
        <v>20664</v>
      </c>
      <c r="J2270" s="21"/>
      <c r="K2270" s="22">
        <v>3926.16</v>
      </c>
      <c r="L2270" s="23"/>
      <c r="M2270" s="22">
        <v>0</v>
      </c>
      <c r="N2270" s="74">
        <v>3.5000000000000003E-2</v>
      </c>
      <c r="O2270" s="22">
        <v>723.24000000000012</v>
      </c>
      <c r="P2270" s="21">
        <v>20664</v>
      </c>
      <c r="S2270" s="108" t="b">
        <f>OR(COUNTIF(Tabla2[[#This Row],[PROVEEDOR]],"*"&amp;'Palabra no opera'!$A$2&amp;"*"))</f>
        <v>1</v>
      </c>
      <c r="T2270" s="139">
        <f>+$W$5-Tabla2[[#This Row],[FECHA DE FACTURACIÓN]]</f>
        <v>729</v>
      </c>
      <c r="U2270" t="str">
        <f>+IF(Tabla2[[#This Row],[dias de credito]]&gt;=Tabla2[[#This Row],[PLAZO Días]],"venc", "No venc")</f>
        <v>venc</v>
      </c>
      <c r="V2270" t="str">
        <f>+IF(Tabla2[[#This Row],[FECHA DE PAGO]]&gt;0,"pagada","por pagar")</f>
        <v>pagada</v>
      </c>
      <c r="W2270" s="141" t="str">
        <f>+IF(AND(Tabla2[[#This Row],[venc]]="venc",Tabla2[[#This Row],[Columna1]]="por pagar"),"vencida","no")</f>
        <v>no</v>
      </c>
    </row>
    <row r="2271" spans="1:23" ht="15.6" hidden="1" x14ac:dyDescent="0.3">
      <c r="A2271" s="20">
        <v>30</v>
      </c>
      <c r="B2271" s="25">
        <v>0</v>
      </c>
      <c r="C2271" s="25"/>
      <c r="D2271" s="56" t="s">
        <v>1116</v>
      </c>
      <c r="E2271" s="426">
        <v>44588</v>
      </c>
      <c r="F2271" s="26" t="s">
        <v>638</v>
      </c>
      <c r="G2271" s="426">
        <v>44562</v>
      </c>
      <c r="H2271" s="35" t="s">
        <v>315</v>
      </c>
      <c r="I2271" s="21">
        <v>3937653</v>
      </c>
      <c r="J2271" s="21"/>
      <c r="K2271" s="22">
        <v>748154.07000000007</v>
      </c>
      <c r="L2271" s="23"/>
      <c r="M2271" s="22">
        <v>0</v>
      </c>
      <c r="N2271" s="74">
        <v>3.5000000000000003E-2</v>
      </c>
      <c r="O2271" s="22">
        <v>137817.85500000001</v>
      </c>
      <c r="P2271" s="21">
        <v>3799835.145</v>
      </c>
      <c r="S2271" s="108" t="b">
        <f>OR(COUNTIF(Tabla2[[#This Row],[PROVEEDOR]],"*"&amp;'Palabra no opera'!$A$2&amp;"*"))</f>
        <v>1</v>
      </c>
      <c r="T2271" s="139">
        <f>+$W$5-Tabla2[[#This Row],[FECHA DE FACTURACIÓN]]</f>
        <v>729</v>
      </c>
      <c r="U2271" t="str">
        <f>+IF(Tabla2[[#This Row],[dias de credito]]&gt;=Tabla2[[#This Row],[PLAZO Días]],"venc", "No venc")</f>
        <v>venc</v>
      </c>
      <c r="V2271" t="str">
        <f>+IF(Tabla2[[#This Row],[FECHA DE PAGO]]&gt;0,"pagada","por pagar")</f>
        <v>pagada</v>
      </c>
      <c r="W2271" s="141" t="str">
        <f>+IF(AND(Tabla2[[#This Row],[venc]]="venc",Tabla2[[#This Row],[Columna1]]="por pagar"),"vencida","no")</f>
        <v>no</v>
      </c>
    </row>
    <row r="2272" spans="1:23" ht="15.6" hidden="1" x14ac:dyDescent="0.3">
      <c r="A2272" s="20">
        <v>30</v>
      </c>
      <c r="B2272" s="25">
        <v>0</v>
      </c>
      <c r="C2272" s="25"/>
      <c r="D2272" s="56" t="s">
        <v>193</v>
      </c>
      <c r="E2272" s="426">
        <v>44588</v>
      </c>
      <c r="F2272" s="26" t="s">
        <v>651</v>
      </c>
      <c r="G2272" s="426">
        <v>44562</v>
      </c>
      <c r="H2272" s="35" t="s">
        <v>312</v>
      </c>
      <c r="I2272" s="21">
        <v>214622</v>
      </c>
      <c r="J2272" s="21"/>
      <c r="K2272" s="22">
        <v>40778.18</v>
      </c>
      <c r="L2272" s="23"/>
      <c r="M2272" s="22">
        <v>0</v>
      </c>
      <c r="N2272" s="74">
        <v>3.5000000000000003E-2</v>
      </c>
      <c r="O2272" s="22">
        <v>7511.77</v>
      </c>
      <c r="P2272" s="21">
        <v>247888.41</v>
      </c>
      <c r="S2272" s="108" t="b">
        <f>OR(COUNTIF(Tabla2[[#This Row],[PROVEEDOR]],"*"&amp;'Palabra no opera'!$A$2&amp;"*"))</f>
        <v>1</v>
      </c>
      <c r="T2272" s="139">
        <f>+$W$5-Tabla2[[#This Row],[FECHA DE FACTURACIÓN]]</f>
        <v>729</v>
      </c>
      <c r="U2272" t="str">
        <f>+IF(Tabla2[[#This Row],[dias de credito]]&gt;=Tabla2[[#This Row],[PLAZO Días]],"venc", "No venc")</f>
        <v>venc</v>
      </c>
      <c r="V2272" t="str">
        <f>+IF(Tabla2[[#This Row],[FECHA DE PAGO]]&gt;0,"pagada","por pagar")</f>
        <v>pagada</v>
      </c>
      <c r="W2272" s="141" t="str">
        <f>+IF(AND(Tabla2[[#This Row],[venc]]="venc",Tabla2[[#This Row],[Columna1]]="por pagar"),"vencida","no")</f>
        <v>no</v>
      </c>
    </row>
    <row r="2273" spans="1:23" ht="15.6" hidden="1" x14ac:dyDescent="0.3">
      <c r="A2273" s="20">
        <v>20</v>
      </c>
      <c r="B2273" s="25">
        <v>0</v>
      </c>
      <c r="C2273" s="25"/>
      <c r="D2273" s="56" t="s">
        <v>201</v>
      </c>
      <c r="E2273" s="426">
        <v>44588</v>
      </c>
      <c r="F2273" s="26" t="s">
        <v>652</v>
      </c>
      <c r="G2273" s="426">
        <v>44562</v>
      </c>
      <c r="H2273" s="35">
        <v>41630</v>
      </c>
      <c r="I2273" s="21">
        <v>4430000</v>
      </c>
      <c r="J2273" s="21"/>
      <c r="K2273" s="22">
        <v>841700</v>
      </c>
      <c r="L2273" s="23"/>
      <c r="M2273" s="22">
        <v>0</v>
      </c>
      <c r="N2273" s="74">
        <v>3.5000000000000003E-2</v>
      </c>
      <c r="O2273" s="22">
        <v>155050.00000000003</v>
      </c>
      <c r="P2273" s="21">
        <v>5116650</v>
      </c>
      <c r="S2273" s="108" t="b">
        <f>OR(COUNTIF(Tabla2[[#This Row],[PROVEEDOR]],"*"&amp;'Palabra no opera'!$A$2&amp;"*"))</f>
        <v>1</v>
      </c>
      <c r="T2273" s="139">
        <f>+$W$5-Tabla2[[#This Row],[FECHA DE FACTURACIÓN]]</f>
        <v>729</v>
      </c>
      <c r="U2273" t="str">
        <f>+IF(Tabla2[[#This Row],[dias de credito]]&gt;=Tabla2[[#This Row],[PLAZO Días]],"venc", "No venc")</f>
        <v>venc</v>
      </c>
      <c r="V2273" t="str">
        <f>+IF(Tabla2[[#This Row],[FECHA DE PAGO]]&gt;0,"pagada","por pagar")</f>
        <v>pagada</v>
      </c>
      <c r="W2273" s="141" t="str">
        <f>+IF(AND(Tabla2[[#This Row],[venc]]="venc",Tabla2[[#This Row],[Columna1]]="por pagar"),"vencida","no")</f>
        <v>no</v>
      </c>
    </row>
    <row r="2274" spans="1:23" ht="15.6" hidden="1" x14ac:dyDescent="0.3">
      <c r="A2274" s="20">
        <v>30</v>
      </c>
      <c r="B2274" s="25">
        <v>2773899.95</v>
      </c>
      <c r="C2274" s="25"/>
      <c r="D2274" s="56" t="s">
        <v>135</v>
      </c>
      <c r="E2274" s="426">
        <v>44588</v>
      </c>
      <c r="F2274" s="26" t="s">
        <v>20</v>
      </c>
      <c r="G2274" s="426">
        <v>44539</v>
      </c>
      <c r="H2274" s="35">
        <v>5819</v>
      </c>
      <c r="I2274" s="21">
        <v>1053853.1000000001</v>
      </c>
      <c r="J2274" s="21"/>
      <c r="K2274" s="22">
        <v>200232.08900000001</v>
      </c>
      <c r="L2274" s="23"/>
      <c r="M2274" s="22">
        <v>0</v>
      </c>
      <c r="N2274" s="74">
        <v>2.5000000000000001E-2</v>
      </c>
      <c r="O2274" s="22">
        <v>26346.327500000003</v>
      </c>
      <c r="P2274" s="21">
        <v>1227738.8615000001</v>
      </c>
      <c r="S2274" s="108" t="b">
        <f>OR(COUNTIF(Tabla2[[#This Row],[PROVEEDOR]],"*"&amp;'Palabra no opera'!$A$2&amp;"*"))</f>
        <v>0</v>
      </c>
      <c r="T2274" s="139">
        <f>+$W$5-Tabla2[[#This Row],[FECHA DE FACTURACIÓN]]</f>
        <v>752</v>
      </c>
      <c r="U2274" t="str">
        <f>+IF(Tabla2[[#This Row],[dias de credito]]&gt;=Tabla2[[#This Row],[PLAZO Días]],"venc", "No venc")</f>
        <v>venc</v>
      </c>
      <c r="V2274" t="str">
        <f>+IF(Tabla2[[#This Row],[FECHA DE PAGO]]&gt;0,"pagada","por pagar")</f>
        <v>pagada</v>
      </c>
      <c r="W2274" s="141" t="str">
        <f>+IF(AND(Tabla2[[#This Row],[venc]]="venc",Tabla2[[#This Row],[Columna1]]="por pagar"),"vencida","no")</f>
        <v>no</v>
      </c>
    </row>
    <row r="2275" spans="1:23" ht="15.6" hidden="1" x14ac:dyDescent="0.3">
      <c r="A2275" s="20">
        <v>30</v>
      </c>
      <c r="B2275" s="25">
        <v>2100000</v>
      </c>
      <c r="C2275" s="25"/>
      <c r="D2275" s="56" t="s">
        <v>107</v>
      </c>
      <c r="E2275" s="426">
        <v>44586</v>
      </c>
      <c r="F2275" s="26" t="s">
        <v>349</v>
      </c>
      <c r="G2275" s="426">
        <v>44552</v>
      </c>
      <c r="H2275" s="35" t="s">
        <v>888</v>
      </c>
      <c r="I2275" s="21">
        <v>2380000</v>
      </c>
      <c r="J2275" s="21"/>
      <c r="K2275" s="22">
        <v>0</v>
      </c>
      <c r="L2275" s="23"/>
      <c r="M2275" s="22">
        <v>0</v>
      </c>
      <c r="N2275" s="74">
        <v>0</v>
      </c>
      <c r="O2275" s="22">
        <v>0</v>
      </c>
      <c r="P2275" s="21">
        <v>2380000</v>
      </c>
      <c r="S2275" s="108" t="b">
        <f>OR(COUNTIF(Tabla2[[#This Row],[PROVEEDOR]],"*"&amp;'Palabra no opera'!$A$2&amp;"*"))</f>
        <v>0</v>
      </c>
      <c r="T2275" s="139">
        <f>+$W$5-Tabla2[[#This Row],[FECHA DE FACTURACIÓN]]</f>
        <v>739</v>
      </c>
      <c r="U2275" t="str">
        <f>+IF(Tabla2[[#This Row],[dias de credito]]&gt;=Tabla2[[#This Row],[PLAZO Días]],"venc", "No venc")</f>
        <v>venc</v>
      </c>
      <c r="V2275" t="str">
        <f>+IF(Tabla2[[#This Row],[FECHA DE PAGO]]&gt;0,"pagada","por pagar")</f>
        <v>pagada</v>
      </c>
      <c r="W2275" s="141" t="str">
        <f>+IF(AND(Tabla2[[#This Row],[venc]]="venc",Tabla2[[#This Row],[Columna1]]="por pagar"),"vencida","no")</f>
        <v>no</v>
      </c>
    </row>
    <row r="2276" spans="1:23" ht="15.6" hidden="1" x14ac:dyDescent="0.3">
      <c r="A2276" s="20">
        <v>30</v>
      </c>
      <c r="B2276" s="25">
        <v>0</v>
      </c>
      <c r="C2276" s="25"/>
      <c r="D2276" s="56" t="s">
        <v>107</v>
      </c>
      <c r="E2276" s="426">
        <v>44586</v>
      </c>
      <c r="F2276" s="26" t="s">
        <v>388</v>
      </c>
      <c r="G2276" s="426">
        <v>44552</v>
      </c>
      <c r="H2276" s="35" t="s">
        <v>889</v>
      </c>
      <c r="I2276" s="21">
        <v>4310000</v>
      </c>
      <c r="J2276" s="21"/>
      <c r="K2276" s="22">
        <v>0</v>
      </c>
      <c r="L2276" s="23"/>
      <c r="M2276" s="22">
        <v>0</v>
      </c>
      <c r="N2276" s="74">
        <v>0</v>
      </c>
      <c r="O2276" s="22">
        <v>0</v>
      </c>
      <c r="P2276" s="21">
        <v>4310000</v>
      </c>
      <c r="S2276" s="108" t="b">
        <f>OR(COUNTIF(Tabla2[[#This Row],[PROVEEDOR]],"*"&amp;'Palabra no opera'!$A$2&amp;"*"))</f>
        <v>0</v>
      </c>
      <c r="T2276" s="139">
        <f>+$W$5-Tabla2[[#This Row],[FECHA DE FACTURACIÓN]]</f>
        <v>739</v>
      </c>
      <c r="U2276" t="str">
        <f>+IF(Tabla2[[#This Row],[dias de credito]]&gt;=Tabla2[[#This Row],[PLAZO Días]],"venc", "No venc")</f>
        <v>venc</v>
      </c>
      <c r="V2276" t="str">
        <f>+IF(Tabla2[[#This Row],[FECHA DE PAGO]]&gt;0,"pagada","por pagar")</f>
        <v>pagada</v>
      </c>
      <c r="W2276" s="141" t="str">
        <f>+IF(AND(Tabla2[[#This Row],[venc]]="venc",Tabla2[[#This Row],[Columna1]]="por pagar"),"vencida","no")</f>
        <v>no</v>
      </c>
    </row>
    <row r="2277" spans="1:23" ht="15.6" hidden="1" x14ac:dyDescent="0.3">
      <c r="A2277" s="20">
        <v>45</v>
      </c>
      <c r="B2277" s="25">
        <v>3074500</v>
      </c>
      <c r="C2277" s="25"/>
      <c r="D2277" s="56" t="s">
        <v>1482</v>
      </c>
      <c r="E2277" s="426">
        <v>44586</v>
      </c>
      <c r="F2277" s="26" t="s">
        <v>289</v>
      </c>
      <c r="G2277" s="426">
        <v>44539</v>
      </c>
      <c r="H2277" s="35" t="s">
        <v>302</v>
      </c>
      <c r="I2277" s="21">
        <v>2352000</v>
      </c>
      <c r="J2277" s="21"/>
      <c r="K2277" s="22">
        <v>0</v>
      </c>
      <c r="L2277" s="23"/>
      <c r="M2277" s="22">
        <v>0</v>
      </c>
      <c r="N2277" s="74">
        <v>0</v>
      </c>
      <c r="O2277" s="22">
        <v>0</v>
      </c>
      <c r="P2277" s="21">
        <v>2352000</v>
      </c>
      <c r="S2277" s="108" t="b">
        <f>OR(COUNTIF(Tabla2[[#This Row],[PROVEEDOR]],"*"&amp;'Palabra no opera'!$A$2&amp;"*"))</f>
        <v>0</v>
      </c>
      <c r="T2277" s="139">
        <f>+$W$5-Tabla2[[#This Row],[FECHA DE FACTURACIÓN]]</f>
        <v>752</v>
      </c>
      <c r="U2277" t="str">
        <f>+IF(Tabla2[[#This Row],[dias de credito]]&gt;=Tabla2[[#This Row],[PLAZO Días]],"venc", "No venc")</f>
        <v>venc</v>
      </c>
      <c r="V2277" t="str">
        <f>+IF(Tabla2[[#This Row],[FECHA DE PAGO]]&gt;0,"pagada","por pagar")</f>
        <v>pagada</v>
      </c>
      <c r="W2277" s="141" t="str">
        <f>+IF(AND(Tabla2[[#This Row],[venc]]="venc",Tabla2[[#This Row],[Columna1]]="por pagar"),"vencida","no")</f>
        <v>no</v>
      </c>
    </row>
    <row r="2278" spans="1:23" ht="15.6" hidden="1" x14ac:dyDescent="0.3">
      <c r="A2278" s="20">
        <v>60</v>
      </c>
      <c r="B2278" s="25">
        <v>395600</v>
      </c>
      <c r="C2278" s="25"/>
      <c r="D2278" s="56" t="s">
        <v>1482</v>
      </c>
      <c r="E2278" s="426">
        <v>44586</v>
      </c>
      <c r="F2278" s="26" t="s">
        <v>287</v>
      </c>
      <c r="G2278" s="426">
        <v>44537</v>
      </c>
      <c r="H2278" s="35" t="s">
        <v>977</v>
      </c>
      <c r="I2278" s="21">
        <v>252000</v>
      </c>
      <c r="J2278" s="21"/>
      <c r="K2278" s="22">
        <v>0</v>
      </c>
      <c r="L2278" s="23"/>
      <c r="M2278" s="22">
        <v>0</v>
      </c>
      <c r="N2278" s="74">
        <v>0</v>
      </c>
      <c r="O2278" s="22">
        <v>0</v>
      </c>
      <c r="P2278" s="21">
        <v>252000</v>
      </c>
      <c r="S2278" s="108" t="b">
        <f>OR(COUNTIF(Tabla2[[#This Row],[PROVEEDOR]],"*"&amp;'Palabra no opera'!$A$2&amp;"*"))</f>
        <v>0</v>
      </c>
      <c r="T2278" s="139">
        <f>+$W$5-Tabla2[[#This Row],[FECHA DE FACTURACIÓN]]</f>
        <v>754</v>
      </c>
      <c r="U2278" t="str">
        <f>+IF(Tabla2[[#This Row],[dias de credito]]&gt;=Tabla2[[#This Row],[PLAZO Días]],"venc", "No venc")</f>
        <v>venc</v>
      </c>
      <c r="V2278" t="str">
        <f>+IF(Tabla2[[#This Row],[FECHA DE PAGO]]&gt;0,"pagada","por pagar")</f>
        <v>pagada</v>
      </c>
      <c r="W2278" s="141" t="str">
        <f>+IF(AND(Tabla2[[#This Row],[venc]]="venc",Tabla2[[#This Row],[Columna1]]="por pagar"),"vencida","no")</f>
        <v>no</v>
      </c>
    </row>
    <row r="2279" spans="1:23" ht="15.6" hidden="1" x14ac:dyDescent="0.3">
      <c r="A2279" s="20">
        <v>60</v>
      </c>
      <c r="B2279" s="25">
        <v>395600</v>
      </c>
      <c r="C2279" s="25"/>
      <c r="D2279" s="56" t="s">
        <v>1482</v>
      </c>
      <c r="E2279" s="426">
        <v>44586</v>
      </c>
      <c r="F2279" s="26" t="s">
        <v>287</v>
      </c>
      <c r="G2279" s="426">
        <v>44533</v>
      </c>
      <c r="H2279" s="35" t="s">
        <v>975</v>
      </c>
      <c r="I2279" s="21">
        <v>201600</v>
      </c>
      <c r="J2279" s="21"/>
      <c r="K2279" s="22">
        <v>0</v>
      </c>
      <c r="L2279" s="23"/>
      <c r="M2279" s="22">
        <v>0</v>
      </c>
      <c r="N2279" s="74">
        <v>0</v>
      </c>
      <c r="O2279" s="22">
        <v>0</v>
      </c>
      <c r="P2279" s="21">
        <v>201600</v>
      </c>
      <c r="S2279" s="108" t="b">
        <f>OR(COUNTIF(Tabla2[[#This Row],[PROVEEDOR]],"*"&amp;'Palabra no opera'!$A$2&amp;"*"))</f>
        <v>0</v>
      </c>
      <c r="T2279" s="139">
        <f>+$W$5-Tabla2[[#This Row],[FECHA DE FACTURACIÓN]]</f>
        <v>758</v>
      </c>
      <c r="U2279" t="str">
        <f>+IF(Tabla2[[#This Row],[dias de credito]]&gt;=Tabla2[[#This Row],[PLAZO Días]],"venc", "No venc")</f>
        <v>venc</v>
      </c>
      <c r="V2279" t="str">
        <f>+IF(Tabla2[[#This Row],[FECHA DE PAGO]]&gt;0,"pagada","por pagar")</f>
        <v>pagada</v>
      </c>
      <c r="W2279" s="141" t="str">
        <f>+IF(AND(Tabla2[[#This Row],[venc]]="venc",Tabla2[[#This Row],[Columna1]]="por pagar"),"vencida","no")</f>
        <v>no</v>
      </c>
    </row>
    <row r="2280" spans="1:23" ht="15.6" hidden="1" x14ac:dyDescent="0.3">
      <c r="A2280" s="20">
        <v>60</v>
      </c>
      <c r="B2280" s="25">
        <v>395600</v>
      </c>
      <c r="C2280" s="25"/>
      <c r="D2280" s="56" t="s">
        <v>1482</v>
      </c>
      <c r="E2280" s="426">
        <v>44586</v>
      </c>
      <c r="F2280" s="26" t="s">
        <v>287</v>
      </c>
      <c r="G2280" s="426">
        <v>44533</v>
      </c>
      <c r="H2280" s="35" t="s">
        <v>976</v>
      </c>
      <c r="I2280" s="21">
        <v>487200</v>
      </c>
      <c r="J2280" s="21"/>
      <c r="K2280" s="22">
        <v>0</v>
      </c>
      <c r="L2280" s="23"/>
      <c r="M2280" s="22">
        <v>0</v>
      </c>
      <c r="N2280" s="74">
        <v>0</v>
      </c>
      <c r="O2280" s="22">
        <v>0</v>
      </c>
      <c r="P2280" s="21">
        <v>487200</v>
      </c>
      <c r="S2280" s="108" t="b">
        <f>OR(COUNTIF(Tabla2[[#This Row],[PROVEEDOR]],"*"&amp;'Palabra no opera'!$A$2&amp;"*"))</f>
        <v>0</v>
      </c>
      <c r="T2280" s="139">
        <f>+$W$5-Tabla2[[#This Row],[FECHA DE FACTURACIÓN]]</f>
        <v>758</v>
      </c>
      <c r="U2280" t="str">
        <f>+IF(Tabla2[[#This Row],[dias de credito]]&gt;=Tabla2[[#This Row],[PLAZO Días]],"venc", "No venc")</f>
        <v>venc</v>
      </c>
      <c r="V2280" t="str">
        <f>+IF(Tabla2[[#This Row],[FECHA DE PAGO]]&gt;0,"pagada","por pagar")</f>
        <v>pagada</v>
      </c>
      <c r="W2280" s="141" t="str">
        <f>+IF(AND(Tabla2[[#This Row],[venc]]="venc",Tabla2[[#This Row],[Columna1]]="por pagar"),"vencida","no")</f>
        <v>no</v>
      </c>
    </row>
    <row r="2281" spans="1:23" ht="15.6" hidden="1" x14ac:dyDescent="0.3">
      <c r="A2281" s="20">
        <v>60</v>
      </c>
      <c r="B2281" s="25">
        <v>395600</v>
      </c>
      <c r="C2281" s="25"/>
      <c r="D2281" s="56" t="s">
        <v>1482</v>
      </c>
      <c r="E2281" s="426">
        <v>44586</v>
      </c>
      <c r="F2281" s="26" t="s">
        <v>287</v>
      </c>
      <c r="G2281" s="426">
        <v>44510</v>
      </c>
      <c r="H2281" s="35" t="s">
        <v>969</v>
      </c>
      <c r="I2281" s="21">
        <v>285600</v>
      </c>
      <c r="J2281" s="21"/>
      <c r="K2281" s="22">
        <v>0</v>
      </c>
      <c r="L2281" s="23"/>
      <c r="M2281" s="22">
        <v>0</v>
      </c>
      <c r="N2281" s="74">
        <v>0</v>
      </c>
      <c r="O2281" s="22">
        <v>0</v>
      </c>
      <c r="P2281" s="21">
        <v>0</v>
      </c>
      <c r="S2281" s="108" t="b">
        <f>OR(COUNTIF(Tabla2[[#This Row],[PROVEEDOR]],"*"&amp;'Palabra no opera'!$A$2&amp;"*"))</f>
        <v>0</v>
      </c>
      <c r="T2281" s="139">
        <f>+$W$5-Tabla2[[#This Row],[FECHA DE FACTURACIÓN]]</f>
        <v>781</v>
      </c>
      <c r="U2281" t="str">
        <f>+IF(Tabla2[[#This Row],[dias de credito]]&gt;=Tabla2[[#This Row],[PLAZO Días]],"venc", "No venc")</f>
        <v>venc</v>
      </c>
      <c r="V2281" t="str">
        <f>+IF(Tabla2[[#This Row],[FECHA DE PAGO]]&gt;0,"pagada","por pagar")</f>
        <v>pagada</v>
      </c>
      <c r="W2281" s="141" t="str">
        <f>+IF(AND(Tabla2[[#This Row],[venc]]="venc",Tabla2[[#This Row],[Columna1]]="por pagar"),"vencida","no")</f>
        <v>no</v>
      </c>
    </row>
    <row r="2282" spans="1:23" ht="15.6" hidden="1" x14ac:dyDescent="0.3">
      <c r="A2282" s="20">
        <v>60</v>
      </c>
      <c r="B2282" s="25">
        <v>395600</v>
      </c>
      <c r="C2282" s="25"/>
      <c r="D2282" s="56" t="s">
        <v>1482</v>
      </c>
      <c r="E2282" s="426">
        <v>44586</v>
      </c>
      <c r="F2282" s="26" t="s">
        <v>287</v>
      </c>
      <c r="G2282" s="426">
        <v>44501</v>
      </c>
      <c r="H2282" s="35" t="s">
        <v>968</v>
      </c>
      <c r="I2282" s="21">
        <v>235200</v>
      </c>
      <c r="J2282" s="21"/>
      <c r="K2282" s="22">
        <v>0</v>
      </c>
      <c r="L2282" s="23"/>
      <c r="M2282" s="22">
        <v>0</v>
      </c>
      <c r="N2282" s="74">
        <v>0</v>
      </c>
      <c r="O2282" s="22">
        <v>0</v>
      </c>
      <c r="P2282" s="21">
        <v>235200</v>
      </c>
      <c r="S2282" s="108" t="b">
        <f>OR(COUNTIF(Tabla2[[#This Row],[PROVEEDOR]],"*"&amp;'Palabra no opera'!$A$2&amp;"*"))</f>
        <v>0</v>
      </c>
      <c r="T2282" s="139">
        <f>+$W$5-Tabla2[[#This Row],[FECHA DE FACTURACIÓN]]</f>
        <v>790</v>
      </c>
      <c r="U2282" t="str">
        <f>+IF(Tabla2[[#This Row],[dias de credito]]&gt;=Tabla2[[#This Row],[PLAZO Días]],"venc", "No venc")</f>
        <v>venc</v>
      </c>
      <c r="V2282" t="str">
        <f>+IF(Tabla2[[#This Row],[FECHA DE PAGO]]&gt;0,"pagada","por pagar")</f>
        <v>pagada</v>
      </c>
      <c r="W2282" s="141" t="str">
        <f>+IF(AND(Tabla2[[#This Row],[venc]]="venc",Tabla2[[#This Row],[Columna1]]="por pagar"),"vencida","no")</f>
        <v>no</v>
      </c>
    </row>
    <row r="2283" spans="1:23" ht="15.6" hidden="1" x14ac:dyDescent="0.3">
      <c r="A2283" s="20">
        <v>30</v>
      </c>
      <c r="B2283" s="25">
        <v>0</v>
      </c>
      <c r="C2283" s="25"/>
      <c r="D2283" s="56" t="s">
        <v>107</v>
      </c>
      <c r="E2283" s="426">
        <v>44585</v>
      </c>
      <c r="F2283" s="26" t="s">
        <v>27</v>
      </c>
      <c r="G2283" s="426">
        <v>44580</v>
      </c>
      <c r="H2283" s="35">
        <v>130713</v>
      </c>
      <c r="I2283" s="21">
        <v>8864000</v>
      </c>
      <c r="J2283" s="21"/>
      <c r="K2283" s="22">
        <v>0</v>
      </c>
      <c r="L2283" s="23"/>
      <c r="M2283" s="22">
        <v>0</v>
      </c>
      <c r="N2283" s="74">
        <v>0</v>
      </c>
      <c r="O2283" s="22">
        <v>0</v>
      </c>
      <c r="P2283" s="21">
        <v>8864000</v>
      </c>
      <c r="S2283" s="108" t="b">
        <f>OR(COUNTIF(Tabla2[[#This Row],[PROVEEDOR]],"*"&amp;'Palabra no opera'!$A$2&amp;"*"))</f>
        <v>0</v>
      </c>
      <c r="T2283" s="139">
        <f>+$W$5-Tabla2[[#This Row],[FECHA DE FACTURACIÓN]]</f>
        <v>711</v>
      </c>
      <c r="U2283" t="str">
        <f>+IF(Tabla2[[#This Row],[dias de credito]]&gt;=Tabla2[[#This Row],[PLAZO Días]],"venc", "No venc")</f>
        <v>venc</v>
      </c>
      <c r="V2283" t="str">
        <f>+IF(Tabla2[[#This Row],[FECHA DE PAGO]]&gt;0,"pagada","por pagar")</f>
        <v>pagada</v>
      </c>
      <c r="W2283" s="141" t="str">
        <f>+IF(AND(Tabla2[[#This Row],[venc]]="venc",Tabla2[[#This Row],[Columna1]]="por pagar"),"vencida","no")</f>
        <v>no</v>
      </c>
    </row>
    <row r="2284" spans="1:23" ht="15.6" hidden="1" x14ac:dyDescent="0.3">
      <c r="A2284" s="20">
        <v>30</v>
      </c>
      <c r="B2284" s="25">
        <v>0</v>
      </c>
      <c r="C2284" s="25"/>
      <c r="D2284" s="56" t="s">
        <v>107</v>
      </c>
      <c r="E2284" s="426">
        <v>44583</v>
      </c>
      <c r="F2284" s="26" t="s">
        <v>353</v>
      </c>
      <c r="G2284" s="426">
        <v>44583</v>
      </c>
      <c r="H2284" s="35" t="s">
        <v>899</v>
      </c>
      <c r="I2284" s="21">
        <v>510000</v>
      </c>
      <c r="J2284" s="21"/>
      <c r="K2284" s="22">
        <v>0</v>
      </c>
      <c r="L2284" s="23"/>
      <c r="M2284" s="22">
        <v>0</v>
      </c>
      <c r="N2284" s="74">
        <v>0</v>
      </c>
      <c r="O2284" s="22">
        <v>0</v>
      </c>
      <c r="P2284" s="21">
        <v>510000</v>
      </c>
      <c r="S2284" s="108" t="b">
        <f>OR(COUNTIF(Tabla2[[#This Row],[PROVEEDOR]],"*"&amp;'Palabra no opera'!$A$2&amp;"*"))</f>
        <v>0</v>
      </c>
      <c r="T2284" s="139">
        <f>+$W$5-Tabla2[[#This Row],[FECHA DE FACTURACIÓN]]</f>
        <v>708</v>
      </c>
      <c r="U2284" t="str">
        <f>+IF(Tabla2[[#This Row],[dias de credito]]&gt;=Tabla2[[#This Row],[PLAZO Días]],"venc", "No venc")</f>
        <v>venc</v>
      </c>
      <c r="V2284" t="str">
        <f>+IF(Tabla2[[#This Row],[FECHA DE PAGO]]&gt;0,"pagada","por pagar")</f>
        <v>pagada</v>
      </c>
      <c r="W2284" s="141" t="str">
        <f>+IF(AND(Tabla2[[#This Row],[venc]]="venc",Tabla2[[#This Row],[Columna1]]="por pagar"),"vencida","no")</f>
        <v>no</v>
      </c>
    </row>
    <row r="2285" spans="1:23" ht="15.6" hidden="1" x14ac:dyDescent="0.3">
      <c r="A2285" s="20">
        <v>30</v>
      </c>
      <c r="B2285" s="25">
        <v>0</v>
      </c>
      <c r="C2285" s="25"/>
      <c r="D2285" s="56" t="s">
        <v>107</v>
      </c>
      <c r="E2285" s="426">
        <v>44582</v>
      </c>
      <c r="F2285" s="26" t="s">
        <v>390</v>
      </c>
      <c r="G2285" s="426">
        <v>44582</v>
      </c>
      <c r="H2285" s="35"/>
      <c r="I2285" s="21">
        <v>1000000</v>
      </c>
      <c r="J2285" s="21"/>
      <c r="K2285" s="22">
        <v>0</v>
      </c>
      <c r="L2285" s="23"/>
      <c r="M2285" s="22">
        <v>0</v>
      </c>
      <c r="N2285" s="74">
        <v>0</v>
      </c>
      <c r="O2285" s="22">
        <v>0</v>
      </c>
      <c r="P2285" s="21">
        <v>1000000</v>
      </c>
      <c r="S2285" s="108" t="b">
        <f>OR(COUNTIF(Tabla2[[#This Row],[PROVEEDOR]],"*"&amp;'Palabra no opera'!$A$2&amp;"*"))</f>
        <v>0</v>
      </c>
      <c r="T2285" s="139">
        <f>+$W$5-Tabla2[[#This Row],[FECHA DE FACTURACIÓN]]</f>
        <v>709</v>
      </c>
      <c r="U2285" t="str">
        <f>+IF(Tabla2[[#This Row],[dias de credito]]&gt;=Tabla2[[#This Row],[PLAZO Días]],"venc", "No venc")</f>
        <v>venc</v>
      </c>
      <c r="V2285" t="str">
        <f>+IF(Tabla2[[#This Row],[FECHA DE PAGO]]&gt;0,"pagada","por pagar")</f>
        <v>pagada</v>
      </c>
      <c r="W2285" s="141" t="str">
        <f>+IF(AND(Tabla2[[#This Row],[venc]]="venc",Tabla2[[#This Row],[Columna1]]="por pagar"),"vencida","no")</f>
        <v>no</v>
      </c>
    </row>
    <row r="2286" spans="1:23" ht="15.6" hidden="1" x14ac:dyDescent="0.3">
      <c r="A2286" s="20">
        <v>30</v>
      </c>
      <c r="B2286" s="25">
        <v>17870934.149999999</v>
      </c>
      <c r="C2286" s="25"/>
      <c r="D2286" s="56" t="s">
        <v>182</v>
      </c>
      <c r="E2286" s="426">
        <v>44582</v>
      </c>
      <c r="F2286" s="26" t="s">
        <v>18</v>
      </c>
      <c r="G2286" s="426">
        <v>44540</v>
      </c>
      <c r="H2286" s="35">
        <v>1047095</v>
      </c>
      <c r="I2286" s="21">
        <v>5212873.47</v>
      </c>
      <c r="J2286" s="21"/>
      <c r="K2286" s="22">
        <v>990445.95929999999</v>
      </c>
      <c r="L2286" s="23"/>
      <c r="M2286" s="22">
        <v>0</v>
      </c>
      <c r="N2286" s="74">
        <v>2.5000000000000001E-2</v>
      </c>
      <c r="O2286" s="22">
        <v>130321.83675</v>
      </c>
      <c r="P2286" s="21">
        <v>6072997.5925500002</v>
      </c>
      <c r="S2286" s="108" t="b">
        <f>OR(COUNTIF(Tabla2[[#This Row],[PROVEEDOR]],"*"&amp;'Palabra no opera'!$A$2&amp;"*"))</f>
        <v>0</v>
      </c>
      <c r="T2286" s="139">
        <f>+$W$5-Tabla2[[#This Row],[FECHA DE FACTURACIÓN]]</f>
        <v>751</v>
      </c>
      <c r="U2286" t="str">
        <f>+IF(Tabla2[[#This Row],[dias de credito]]&gt;=Tabla2[[#This Row],[PLAZO Días]],"venc", "No venc")</f>
        <v>venc</v>
      </c>
      <c r="V2286" t="str">
        <f>+IF(Tabla2[[#This Row],[FECHA DE PAGO]]&gt;0,"pagada","por pagar")</f>
        <v>pagada</v>
      </c>
      <c r="W2286" s="141" t="str">
        <f>+IF(AND(Tabla2[[#This Row],[venc]]="venc",Tabla2[[#This Row],[Columna1]]="por pagar"),"vencida","no")</f>
        <v>no</v>
      </c>
    </row>
    <row r="2287" spans="1:23" ht="15.6" hidden="1" x14ac:dyDescent="0.3">
      <c r="A2287" s="20">
        <v>30</v>
      </c>
      <c r="B2287" s="25">
        <v>0</v>
      </c>
      <c r="C2287" s="25"/>
      <c r="D2287" s="56" t="s">
        <v>107</v>
      </c>
      <c r="E2287" s="426">
        <v>44581</v>
      </c>
      <c r="F2287" s="26" t="s">
        <v>356</v>
      </c>
      <c r="G2287" s="426">
        <v>44581</v>
      </c>
      <c r="H2287" s="35" t="s">
        <v>898</v>
      </c>
      <c r="I2287" s="21">
        <v>1920000</v>
      </c>
      <c r="J2287" s="21"/>
      <c r="K2287" s="22">
        <v>0</v>
      </c>
      <c r="L2287" s="23"/>
      <c r="M2287" s="22">
        <v>0</v>
      </c>
      <c r="N2287" s="74">
        <v>0</v>
      </c>
      <c r="O2287" s="22">
        <v>0</v>
      </c>
      <c r="P2287" s="21">
        <v>0</v>
      </c>
      <c r="S2287" s="108" t="b">
        <f>OR(COUNTIF(Tabla2[[#This Row],[PROVEEDOR]],"*"&amp;'Palabra no opera'!$A$2&amp;"*"))</f>
        <v>0</v>
      </c>
      <c r="T2287" s="139">
        <f>+$W$5-Tabla2[[#This Row],[FECHA DE FACTURACIÓN]]</f>
        <v>710</v>
      </c>
      <c r="U2287" t="str">
        <f>+IF(Tabla2[[#This Row],[dias de credito]]&gt;=Tabla2[[#This Row],[PLAZO Días]],"venc", "No venc")</f>
        <v>venc</v>
      </c>
      <c r="V2287" t="str">
        <f>+IF(Tabla2[[#This Row],[FECHA DE PAGO]]&gt;0,"pagada","por pagar")</f>
        <v>pagada</v>
      </c>
      <c r="W2287" s="141" t="str">
        <f>+IF(AND(Tabla2[[#This Row],[venc]]="venc",Tabla2[[#This Row],[Columna1]]="por pagar"),"vencida","no")</f>
        <v>no</v>
      </c>
    </row>
    <row r="2288" spans="1:23" ht="15.6" hidden="1" x14ac:dyDescent="0.3">
      <c r="A2288" s="20">
        <v>30</v>
      </c>
      <c r="B2288" s="25">
        <v>0</v>
      </c>
      <c r="C2288" s="25"/>
      <c r="D2288" s="56" t="s">
        <v>107</v>
      </c>
      <c r="E2288" s="426">
        <v>44581</v>
      </c>
      <c r="F2288" s="26" t="s">
        <v>356</v>
      </c>
      <c r="G2288" s="426">
        <v>44576</v>
      </c>
      <c r="H2288" s="35" t="s">
        <v>896</v>
      </c>
      <c r="I2288" s="21">
        <v>2056000</v>
      </c>
      <c r="J2288" s="21"/>
      <c r="K2288" s="22">
        <v>0</v>
      </c>
      <c r="L2288" s="23"/>
      <c r="M2288" s="22">
        <v>0</v>
      </c>
      <c r="N2288" s="74">
        <v>0</v>
      </c>
      <c r="O2288" s="22">
        <v>0</v>
      </c>
      <c r="P2288" s="21">
        <v>2056000</v>
      </c>
      <c r="S2288" s="108" t="b">
        <f>OR(COUNTIF(Tabla2[[#This Row],[PROVEEDOR]],"*"&amp;'Palabra no opera'!$A$2&amp;"*"))</f>
        <v>0</v>
      </c>
      <c r="T2288" s="139">
        <f>+$W$5-Tabla2[[#This Row],[FECHA DE FACTURACIÓN]]</f>
        <v>715</v>
      </c>
      <c r="U2288" t="str">
        <f>+IF(Tabla2[[#This Row],[dias de credito]]&gt;=Tabla2[[#This Row],[PLAZO Días]],"venc", "No venc")</f>
        <v>venc</v>
      </c>
      <c r="V2288" t="str">
        <f>+IF(Tabla2[[#This Row],[FECHA DE PAGO]]&gt;0,"pagada","por pagar")</f>
        <v>pagada</v>
      </c>
      <c r="W2288" s="141" t="str">
        <f>+IF(AND(Tabla2[[#This Row],[venc]]="venc",Tabla2[[#This Row],[Columna1]]="por pagar"),"vencida","no")</f>
        <v>no</v>
      </c>
    </row>
    <row r="2289" spans="1:23" ht="15.6" hidden="1" x14ac:dyDescent="0.3">
      <c r="A2289" s="20">
        <v>30</v>
      </c>
      <c r="B2289" s="25">
        <v>0</v>
      </c>
      <c r="C2289" s="25"/>
      <c r="D2289" s="56" t="s">
        <v>107</v>
      </c>
      <c r="E2289" s="426">
        <v>44580</v>
      </c>
      <c r="F2289" s="26" t="s">
        <v>404</v>
      </c>
      <c r="G2289" s="426">
        <v>44610</v>
      </c>
      <c r="H2289" s="35" t="s">
        <v>405</v>
      </c>
      <c r="I2289" s="21">
        <v>2516240</v>
      </c>
      <c r="J2289" s="21"/>
      <c r="K2289" s="22">
        <v>0</v>
      </c>
      <c r="L2289" s="23"/>
      <c r="M2289" s="22">
        <v>0</v>
      </c>
      <c r="N2289" s="74">
        <v>0</v>
      </c>
      <c r="O2289" s="22">
        <v>0</v>
      </c>
      <c r="P2289" s="21">
        <v>2516240</v>
      </c>
      <c r="S2289" s="108" t="b">
        <f>OR(COUNTIF(Tabla2[[#This Row],[PROVEEDOR]],"*"&amp;'Palabra no opera'!$A$2&amp;"*"))</f>
        <v>0</v>
      </c>
      <c r="T2289" s="139">
        <f>+$W$5-Tabla2[[#This Row],[FECHA DE FACTURACIÓN]]</f>
        <v>681</v>
      </c>
      <c r="U2289" t="str">
        <f>+IF(Tabla2[[#This Row],[dias de credito]]&gt;=Tabla2[[#This Row],[PLAZO Días]],"venc", "No venc")</f>
        <v>venc</v>
      </c>
      <c r="V2289" t="str">
        <f>+IF(Tabla2[[#This Row],[FECHA DE PAGO]]&gt;0,"pagada","por pagar")</f>
        <v>pagada</v>
      </c>
      <c r="W2289" s="141" t="str">
        <f>+IF(AND(Tabla2[[#This Row],[venc]]="venc",Tabla2[[#This Row],[Columna1]]="por pagar"),"vencida","no")</f>
        <v>no</v>
      </c>
    </row>
    <row r="2290" spans="1:23" ht="15.6" hidden="1" x14ac:dyDescent="0.3">
      <c r="A2290" s="20">
        <v>30</v>
      </c>
      <c r="B2290" s="25">
        <v>0</v>
      </c>
      <c r="C2290" s="25"/>
      <c r="D2290" s="56" t="s">
        <v>107</v>
      </c>
      <c r="E2290" s="426">
        <v>44579</v>
      </c>
      <c r="F2290" s="26" t="s">
        <v>92</v>
      </c>
      <c r="G2290" s="426">
        <v>44578</v>
      </c>
      <c r="H2290" s="35" t="s">
        <v>334</v>
      </c>
      <c r="I2290" s="21">
        <v>6935000</v>
      </c>
      <c r="J2290" s="21"/>
      <c r="K2290" s="22">
        <v>0</v>
      </c>
      <c r="L2290" s="23"/>
      <c r="M2290" s="22">
        <v>0</v>
      </c>
      <c r="N2290" s="74">
        <v>0</v>
      </c>
      <c r="O2290" s="22">
        <v>0</v>
      </c>
      <c r="P2290" s="21">
        <v>6935000</v>
      </c>
      <c r="S2290" s="108" t="b">
        <f>OR(COUNTIF(Tabla2[[#This Row],[PROVEEDOR]],"*"&amp;'Palabra no opera'!$A$2&amp;"*"))</f>
        <v>0</v>
      </c>
      <c r="T2290" s="139">
        <f>+$W$5-Tabla2[[#This Row],[FECHA DE FACTURACIÓN]]</f>
        <v>713</v>
      </c>
      <c r="U2290" t="str">
        <f>+IF(Tabla2[[#This Row],[dias de credito]]&gt;=Tabla2[[#This Row],[PLAZO Días]],"venc", "No venc")</f>
        <v>venc</v>
      </c>
      <c r="V2290" t="str">
        <f>+IF(Tabla2[[#This Row],[FECHA DE PAGO]]&gt;0,"pagada","por pagar")</f>
        <v>pagada</v>
      </c>
      <c r="W2290" s="141" t="str">
        <f>+IF(AND(Tabla2[[#This Row],[venc]]="venc",Tabla2[[#This Row],[Columna1]]="por pagar"),"vencida","no")</f>
        <v>no</v>
      </c>
    </row>
    <row r="2291" spans="1:23" ht="15.6" hidden="1" x14ac:dyDescent="0.3">
      <c r="A2291" s="20">
        <v>30</v>
      </c>
      <c r="B2291" s="25">
        <v>0</v>
      </c>
      <c r="C2291" s="25"/>
      <c r="D2291" s="56" t="s">
        <v>659</v>
      </c>
      <c r="E2291" s="426">
        <v>44579</v>
      </c>
      <c r="F2291" s="26" t="s">
        <v>335</v>
      </c>
      <c r="G2291" s="426">
        <v>44578</v>
      </c>
      <c r="H2291" s="35" t="s">
        <v>897</v>
      </c>
      <c r="I2291" s="21">
        <v>1776000</v>
      </c>
      <c r="J2291" s="21"/>
      <c r="K2291" s="22">
        <v>0</v>
      </c>
      <c r="L2291" s="23"/>
      <c r="M2291" s="22">
        <v>0</v>
      </c>
      <c r="N2291" s="74">
        <v>0</v>
      </c>
      <c r="O2291" s="22">
        <v>0</v>
      </c>
      <c r="P2291" s="21">
        <v>1776000</v>
      </c>
      <c r="S2291" s="108" t="b">
        <f>OR(COUNTIF(Tabla2[[#This Row],[PROVEEDOR]],"*"&amp;'Palabra no opera'!$A$2&amp;"*"))</f>
        <v>0</v>
      </c>
      <c r="T2291" s="139">
        <f>+$W$5-Tabla2[[#This Row],[FECHA DE FACTURACIÓN]]</f>
        <v>713</v>
      </c>
      <c r="U2291" t="str">
        <f>+IF(Tabla2[[#This Row],[dias de credito]]&gt;=Tabla2[[#This Row],[PLAZO Días]],"venc", "No venc")</f>
        <v>venc</v>
      </c>
      <c r="V2291" t="str">
        <f>+IF(Tabla2[[#This Row],[FECHA DE PAGO]]&gt;0,"pagada","por pagar")</f>
        <v>pagada</v>
      </c>
      <c r="W2291" s="141" t="str">
        <f>+IF(AND(Tabla2[[#This Row],[venc]]="venc",Tabla2[[#This Row],[Columna1]]="por pagar"),"vencida","no")</f>
        <v>no</v>
      </c>
    </row>
    <row r="2292" spans="1:23" ht="15.6" hidden="1" x14ac:dyDescent="0.3">
      <c r="A2292" s="20">
        <v>10</v>
      </c>
      <c r="B2292" s="25">
        <v>0</v>
      </c>
      <c r="C2292" s="25"/>
      <c r="D2292" s="56" t="s">
        <v>332</v>
      </c>
      <c r="E2292" s="426">
        <v>44579</v>
      </c>
      <c r="F2292" s="26" t="s">
        <v>614</v>
      </c>
      <c r="G2292" s="426">
        <v>44574</v>
      </c>
      <c r="H2292" s="35" t="s">
        <v>333</v>
      </c>
      <c r="I2292" s="21">
        <v>372000</v>
      </c>
      <c r="J2292" s="21"/>
      <c r="K2292" s="22">
        <v>0</v>
      </c>
      <c r="L2292" s="23"/>
      <c r="M2292" s="22">
        <v>0</v>
      </c>
      <c r="N2292" s="74">
        <v>0</v>
      </c>
      <c r="O2292" s="22">
        <v>0</v>
      </c>
      <c r="P2292" s="21">
        <v>372</v>
      </c>
      <c r="S2292" s="108" t="b">
        <f>OR(COUNTIF(Tabla2[[#This Row],[PROVEEDOR]],"*"&amp;'Palabra no opera'!$A$2&amp;"*"))</f>
        <v>1</v>
      </c>
      <c r="T2292" s="139">
        <f>+$W$5-Tabla2[[#This Row],[FECHA DE FACTURACIÓN]]</f>
        <v>717</v>
      </c>
      <c r="U2292" t="str">
        <f>+IF(Tabla2[[#This Row],[dias de credito]]&gt;=Tabla2[[#This Row],[PLAZO Días]],"venc", "No venc")</f>
        <v>venc</v>
      </c>
      <c r="V2292" t="str">
        <f>+IF(Tabla2[[#This Row],[FECHA DE PAGO]]&gt;0,"pagada","por pagar")</f>
        <v>pagada</v>
      </c>
      <c r="W2292" s="141" t="str">
        <f>+IF(AND(Tabla2[[#This Row],[venc]]="venc",Tabla2[[#This Row],[Columna1]]="por pagar"),"vencida","no")</f>
        <v>no</v>
      </c>
    </row>
    <row r="2293" spans="1:23" ht="15.6" hidden="1" x14ac:dyDescent="0.3">
      <c r="A2293" s="20">
        <v>13</v>
      </c>
      <c r="B2293" s="25">
        <v>0</v>
      </c>
      <c r="C2293" s="25"/>
      <c r="D2293" s="56">
        <v>0</v>
      </c>
      <c r="E2293" s="426">
        <v>44579</v>
      </c>
      <c r="F2293" s="26" t="s">
        <v>644</v>
      </c>
      <c r="G2293" s="426">
        <v>44562</v>
      </c>
      <c r="H2293" s="35"/>
      <c r="I2293" s="21">
        <v>944086</v>
      </c>
      <c r="J2293" s="21"/>
      <c r="K2293" s="22">
        <v>0</v>
      </c>
      <c r="L2293" s="23"/>
      <c r="M2293" s="22">
        <v>0</v>
      </c>
      <c r="N2293" s="74">
        <v>0</v>
      </c>
      <c r="O2293" s="22">
        <v>0</v>
      </c>
      <c r="P2293" s="21">
        <v>944086</v>
      </c>
      <c r="S2293" s="108" t="b">
        <f>OR(COUNTIF(Tabla2[[#This Row],[PROVEEDOR]],"*"&amp;'Palabra no opera'!$A$2&amp;"*"))</f>
        <v>1</v>
      </c>
      <c r="T2293" s="139">
        <f>+$W$5-Tabla2[[#This Row],[FECHA DE FACTURACIÓN]]</f>
        <v>729</v>
      </c>
      <c r="U2293" t="str">
        <f>+IF(Tabla2[[#This Row],[dias de credito]]&gt;=Tabla2[[#This Row],[PLAZO Días]],"venc", "No venc")</f>
        <v>venc</v>
      </c>
      <c r="V2293" t="str">
        <f>+IF(Tabla2[[#This Row],[FECHA DE PAGO]]&gt;0,"pagada","por pagar")</f>
        <v>pagada</v>
      </c>
      <c r="W2293" s="141" t="str">
        <f>+IF(AND(Tabla2[[#This Row],[venc]]="venc",Tabla2[[#This Row],[Columna1]]="por pagar"),"vencida","no")</f>
        <v>no</v>
      </c>
    </row>
    <row r="2294" spans="1:23" ht="15.6" hidden="1" x14ac:dyDescent="0.3">
      <c r="A2294" s="20">
        <v>30</v>
      </c>
      <c r="B2294" s="25">
        <v>121187115</v>
      </c>
      <c r="C2294" s="25"/>
      <c r="D2294" s="56" t="s">
        <v>233</v>
      </c>
      <c r="E2294" s="426">
        <v>44578</v>
      </c>
      <c r="F2294" s="26" t="s">
        <v>31</v>
      </c>
      <c r="G2294" s="426">
        <v>44531</v>
      </c>
      <c r="H2294" s="35">
        <v>55546</v>
      </c>
      <c r="I2294" s="21">
        <v>57896217.960000001</v>
      </c>
      <c r="J2294" s="21"/>
      <c r="K2294" s="22">
        <v>0</v>
      </c>
      <c r="L2294" s="23"/>
      <c r="M2294" s="22">
        <v>0</v>
      </c>
      <c r="N2294" s="74">
        <v>0</v>
      </c>
      <c r="O2294" s="22">
        <v>0</v>
      </c>
      <c r="P2294" s="21">
        <v>57896217.960000001</v>
      </c>
      <c r="S2294" s="108" t="b">
        <f>OR(COUNTIF(Tabla2[[#This Row],[PROVEEDOR]],"*"&amp;'Palabra no opera'!$A$2&amp;"*"))</f>
        <v>0</v>
      </c>
      <c r="T2294" s="139">
        <f>+$W$5-Tabla2[[#This Row],[FECHA DE FACTURACIÓN]]</f>
        <v>760</v>
      </c>
      <c r="U2294" t="str">
        <f>+IF(Tabla2[[#This Row],[dias de credito]]&gt;=Tabla2[[#This Row],[PLAZO Días]],"venc", "No venc")</f>
        <v>venc</v>
      </c>
      <c r="V2294" t="str">
        <f>+IF(Tabla2[[#This Row],[FECHA DE PAGO]]&gt;0,"pagada","por pagar")</f>
        <v>pagada</v>
      </c>
      <c r="W2294" s="141" t="str">
        <f>+IF(AND(Tabla2[[#This Row],[venc]]="venc",Tabla2[[#This Row],[Columna1]]="por pagar"),"vencida","no")</f>
        <v>no</v>
      </c>
    </row>
    <row r="2295" spans="1:23" ht="15.6" hidden="1" x14ac:dyDescent="0.3">
      <c r="A2295" s="20">
        <v>30</v>
      </c>
      <c r="B2295" s="25">
        <v>0</v>
      </c>
      <c r="C2295" s="25"/>
      <c r="D2295" s="56" t="s">
        <v>107</v>
      </c>
      <c r="E2295" s="426">
        <v>44575</v>
      </c>
      <c r="F2295" s="26" t="s">
        <v>390</v>
      </c>
      <c r="G2295" s="426">
        <v>44575</v>
      </c>
      <c r="H2295" s="35"/>
      <c r="I2295" s="21">
        <v>1000000</v>
      </c>
      <c r="J2295" s="21"/>
      <c r="K2295" s="22">
        <v>0</v>
      </c>
      <c r="L2295" s="23"/>
      <c r="M2295" s="22">
        <v>0</v>
      </c>
      <c r="N2295" s="74">
        <v>0</v>
      </c>
      <c r="O2295" s="22">
        <v>0</v>
      </c>
      <c r="P2295" s="21">
        <v>1000000</v>
      </c>
      <c r="S2295" s="108" t="b">
        <f>OR(COUNTIF(Tabla2[[#This Row],[PROVEEDOR]],"*"&amp;'Palabra no opera'!$A$2&amp;"*"))</f>
        <v>0</v>
      </c>
      <c r="T2295" s="139">
        <f>+$W$5-Tabla2[[#This Row],[FECHA DE FACTURACIÓN]]</f>
        <v>716</v>
      </c>
      <c r="U2295" t="str">
        <f>+IF(Tabla2[[#This Row],[dias de credito]]&gt;=Tabla2[[#This Row],[PLAZO Días]],"venc", "No venc")</f>
        <v>venc</v>
      </c>
      <c r="V2295" t="str">
        <f>+IF(Tabla2[[#This Row],[FECHA DE PAGO]]&gt;0,"pagada","por pagar")</f>
        <v>pagada</v>
      </c>
      <c r="W2295" s="141" t="str">
        <f>+IF(AND(Tabla2[[#This Row],[venc]]="venc",Tabla2[[#This Row],[Columna1]]="por pagar"),"vencida","no")</f>
        <v>no</v>
      </c>
    </row>
    <row r="2296" spans="1:23" ht="15.6" hidden="1" x14ac:dyDescent="0.3">
      <c r="A2296" s="20">
        <v>10</v>
      </c>
      <c r="B2296" s="25">
        <v>0</v>
      </c>
      <c r="C2296" s="25"/>
      <c r="D2296" s="56" t="s">
        <v>328</v>
      </c>
      <c r="E2296" s="426">
        <v>44575</v>
      </c>
      <c r="F2296" s="26" t="s">
        <v>327</v>
      </c>
      <c r="G2296" s="426">
        <v>44574</v>
      </c>
      <c r="H2296" s="35" t="s">
        <v>329</v>
      </c>
      <c r="I2296" s="21">
        <v>3291827</v>
      </c>
      <c r="J2296" s="21"/>
      <c r="K2296" s="22">
        <v>625447.13</v>
      </c>
      <c r="L2296" s="23"/>
      <c r="M2296" s="22">
        <v>0</v>
      </c>
      <c r="N2296" s="74">
        <v>0.04</v>
      </c>
      <c r="O2296" s="22">
        <v>131673.08000000002</v>
      </c>
      <c r="P2296" s="21">
        <v>3917274.13</v>
      </c>
      <c r="S2296" s="108" t="b">
        <f>OR(COUNTIF(Tabla2[[#This Row],[PROVEEDOR]],"*"&amp;'Palabra no opera'!$A$2&amp;"*"))</f>
        <v>0</v>
      </c>
      <c r="T2296" s="139">
        <f>+$W$5-Tabla2[[#This Row],[FECHA DE FACTURACIÓN]]</f>
        <v>717</v>
      </c>
      <c r="U2296" t="str">
        <f>+IF(Tabla2[[#This Row],[dias de credito]]&gt;=Tabla2[[#This Row],[PLAZO Días]],"venc", "No venc")</f>
        <v>venc</v>
      </c>
      <c r="V2296" t="str">
        <f>+IF(Tabla2[[#This Row],[FECHA DE PAGO]]&gt;0,"pagada","por pagar")</f>
        <v>pagada</v>
      </c>
      <c r="W2296" s="141" t="str">
        <f>+IF(AND(Tabla2[[#This Row],[venc]]="venc",Tabla2[[#This Row],[Columna1]]="por pagar"),"vencida","no")</f>
        <v>no</v>
      </c>
    </row>
    <row r="2297" spans="1:23" ht="15.6" hidden="1" x14ac:dyDescent="0.3">
      <c r="A2297" s="20">
        <v>30</v>
      </c>
      <c r="B2297" s="25">
        <v>1316890.8900000001</v>
      </c>
      <c r="C2297" s="25"/>
      <c r="D2297" s="56" t="s">
        <v>188</v>
      </c>
      <c r="E2297" s="426">
        <v>44575</v>
      </c>
      <c r="F2297" s="26" t="s">
        <v>17</v>
      </c>
      <c r="G2297" s="426">
        <v>44562</v>
      </c>
      <c r="H2297" s="35">
        <v>1852120</v>
      </c>
      <c r="I2297" s="21">
        <v>285600</v>
      </c>
      <c r="J2297" s="21"/>
      <c r="K2297" s="22">
        <v>54264</v>
      </c>
      <c r="L2297" s="23"/>
      <c r="M2297" s="22">
        <v>0</v>
      </c>
      <c r="N2297" s="74">
        <v>0</v>
      </c>
      <c r="O2297" s="22">
        <v>0</v>
      </c>
      <c r="P2297" s="21">
        <v>339864</v>
      </c>
      <c r="S2297" s="108" t="b">
        <f>OR(COUNTIF(Tabla2[[#This Row],[PROVEEDOR]],"*"&amp;'Palabra no opera'!$A$2&amp;"*"))</f>
        <v>0</v>
      </c>
      <c r="T2297" s="139">
        <f>+$W$5-Tabla2[[#This Row],[FECHA DE FACTURACIÓN]]</f>
        <v>729</v>
      </c>
      <c r="U2297" t="str">
        <f>+IF(Tabla2[[#This Row],[dias de credito]]&gt;=Tabla2[[#This Row],[PLAZO Días]],"venc", "No venc")</f>
        <v>venc</v>
      </c>
      <c r="V2297" t="str">
        <f>+IF(Tabla2[[#This Row],[FECHA DE PAGO]]&gt;0,"pagada","por pagar")</f>
        <v>pagada</v>
      </c>
      <c r="W2297" s="141" t="str">
        <f>+IF(AND(Tabla2[[#This Row],[venc]]="venc",Tabla2[[#This Row],[Columna1]]="por pagar"),"vencida","no")</f>
        <v>no</v>
      </c>
    </row>
    <row r="2298" spans="1:23" ht="15.6" hidden="1" x14ac:dyDescent="0.3">
      <c r="A2298" s="20">
        <v>30</v>
      </c>
      <c r="B2298" s="25">
        <v>352505.48</v>
      </c>
      <c r="C2298" s="25"/>
      <c r="D2298" s="56" t="s">
        <v>393</v>
      </c>
      <c r="E2298" s="426">
        <v>44575</v>
      </c>
      <c r="F2298" s="26" t="s">
        <v>650</v>
      </c>
      <c r="G2298" s="426">
        <v>44562</v>
      </c>
      <c r="H2298" s="35">
        <v>65772</v>
      </c>
      <c r="I2298" s="21">
        <v>329920.96000000002</v>
      </c>
      <c r="J2298" s="21"/>
      <c r="K2298" s="22">
        <v>0</v>
      </c>
      <c r="L2298" s="23"/>
      <c r="M2298" s="22">
        <v>0</v>
      </c>
      <c r="N2298" s="74">
        <v>0</v>
      </c>
      <c r="O2298" s="22">
        <v>0</v>
      </c>
      <c r="P2298" s="21">
        <v>329920.96000000002</v>
      </c>
      <c r="S2298" s="108" t="b">
        <f>OR(COUNTIF(Tabla2[[#This Row],[PROVEEDOR]],"*"&amp;'Palabra no opera'!$A$2&amp;"*"))</f>
        <v>1</v>
      </c>
      <c r="T2298" s="139">
        <f>+$W$5-Tabla2[[#This Row],[FECHA DE FACTURACIÓN]]</f>
        <v>729</v>
      </c>
      <c r="U2298" t="str">
        <f>+IF(Tabla2[[#This Row],[dias de credito]]&gt;=Tabla2[[#This Row],[PLAZO Días]],"venc", "No venc")</f>
        <v>venc</v>
      </c>
      <c r="V2298" t="str">
        <f>+IF(Tabla2[[#This Row],[FECHA DE PAGO]]&gt;0,"pagada","por pagar")</f>
        <v>pagada</v>
      </c>
      <c r="W2298" s="141" t="str">
        <f>+IF(AND(Tabla2[[#This Row],[venc]]="venc",Tabla2[[#This Row],[Columna1]]="por pagar"),"vencida","no")</f>
        <v>no</v>
      </c>
    </row>
    <row r="2299" spans="1:23" ht="15.6" hidden="1" x14ac:dyDescent="0.3">
      <c r="A2299" s="20">
        <v>30</v>
      </c>
      <c r="B2299" s="25">
        <v>0</v>
      </c>
      <c r="C2299" s="25"/>
      <c r="D2299" s="56" t="s">
        <v>740</v>
      </c>
      <c r="E2299" s="426">
        <v>44575</v>
      </c>
      <c r="F2299" s="26" t="s">
        <v>637</v>
      </c>
      <c r="G2299" s="426">
        <v>44562</v>
      </c>
      <c r="H2299" s="35">
        <v>12657</v>
      </c>
      <c r="I2299" s="21">
        <v>800264</v>
      </c>
      <c r="J2299" s="21"/>
      <c r="K2299" s="22">
        <v>0</v>
      </c>
      <c r="L2299" s="23"/>
      <c r="M2299" s="22">
        <v>0</v>
      </c>
      <c r="N2299" s="74">
        <v>0</v>
      </c>
      <c r="O2299" s="22">
        <v>0</v>
      </c>
      <c r="P2299" s="21">
        <v>800264</v>
      </c>
      <c r="S2299" s="108" t="b">
        <f>OR(COUNTIF(Tabla2[[#This Row],[PROVEEDOR]],"*"&amp;'Palabra no opera'!$A$2&amp;"*"))</f>
        <v>1</v>
      </c>
      <c r="T2299" s="139">
        <f>+$W$5-Tabla2[[#This Row],[FECHA DE FACTURACIÓN]]</f>
        <v>729</v>
      </c>
      <c r="U2299" t="str">
        <f>+IF(Tabla2[[#This Row],[dias de credito]]&gt;=Tabla2[[#This Row],[PLAZO Días]],"venc", "No venc")</f>
        <v>venc</v>
      </c>
      <c r="V2299" t="str">
        <f>+IF(Tabla2[[#This Row],[FECHA DE PAGO]]&gt;0,"pagada","por pagar")</f>
        <v>pagada</v>
      </c>
      <c r="W2299" s="141" t="str">
        <f>+IF(AND(Tabla2[[#This Row],[venc]]="venc",Tabla2[[#This Row],[Columna1]]="por pagar"),"vencida","no")</f>
        <v>no</v>
      </c>
    </row>
    <row r="2300" spans="1:23" ht="15.6" hidden="1" x14ac:dyDescent="0.3">
      <c r="A2300" s="20">
        <v>30</v>
      </c>
      <c r="B2300" s="25">
        <v>0</v>
      </c>
      <c r="C2300" s="25"/>
      <c r="D2300" s="56" t="s">
        <v>740</v>
      </c>
      <c r="E2300" s="426">
        <v>44575</v>
      </c>
      <c r="F2300" s="26" t="s">
        <v>637</v>
      </c>
      <c r="G2300" s="426">
        <v>44562</v>
      </c>
      <c r="H2300" s="35">
        <v>12698</v>
      </c>
      <c r="I2300" s="21">
        <v>818874</v>
      </c>
      <c r="J2300" s="21"/>
      <c r="K2300" s="22">
        <v>0</v>
      </c>
      <c r="L2300" s="23"/>
      <c r="M2300" s="22">
        <v>0</v>
      </c>
      <c r="N2300" s="74">
        <v>0</v>
      </c>
      <c r="O2300" s="22">
        <v>0</v>
      </c>
      <c r="P2300" s="21">
        <v>818874</v>
      </c>
      <c r="S2300" s="108" t="b">
        <f>OR(COUNTIF(Tabla2[[#This Row],[PROVEEDOR]],"*"&amp;'Palabra no opera'!$A$2&amp;"*"))</f>
        <v>1</v>
      </c>
      <c r="T2300" s="139">
        <f>+$W$5-Tabla2[[#This Row],[FECHA DE FACTURACIÓN]]</f>
        <v>729</v>
      </c>
      <c r="U2300" t="str">
        <f>+IF(Tabla2[[#This Row],[dias de credito]]&gt;=Tabla2[[#This Row],[PLAZO Días]],"venc", "No venc")</f>
        <v>venc</v>
      </c>
      <c r="V2300" t="str">
        <f>+IF(Tabla2[[#This Row],[FECHA DE PAGO]]&gt;0,"pagada","por pagar")</f>
        <v>pagada</v>
      </c>
      <c r="W2300" s="141" t="str">
        <f>+IF(AND(Tabla2[[#This Row],[venc]]="venc",Tabla2[[#This Row],[Columna1]]="por pagar"),"vencida","no")</f>
        <v>no</v>
      </c>
    </row>
    <row r="2301" spans="1:23" ht="15.6" hidden="1" x14ac:dyDescent="0.3">
      <c r="A2301" s="20">
        <v>30</v>
      </c>
      <c r="B2301" s="25">
        <v>0</v>
      </c>
      <c r="C2301" s="25"/>
      <c r="D2301" s="56">
        <v>0</v>
      </c>
      <c r="E2301" s="426">
        <v>44575</v>
      </c>
      <c r="F2301" s="26" t="s">
        <v>642</v>
      </c>
      <c r="G2301" s="426">
        <v>44562</v>
      </c>
      <c r="H2301" s="35" t="s">
        <v>217</v>
      </c>
      <c r="I2301" s="21">
        <v>313385</v>
      </c>
      <c r="J2301" s="21"/>
      <c r="K2301" s="22">
        <v>0</v>
      </c>
      <c r="L2301" s="23"/>
      <c r="M2301" s="22">
        <v>0</v>
      </c>
      <c r="N2301" s="74">
        <v>0</v>
      </c>
      <c r="O2301" s="22">
        <v>0</v>
      </c>
      <c r="P2301" s="21">
        <v>313385</v>
      </c>
      <c r="S2301" s="108" t="b">
        <f>OR(COUNTIF(Tabla2[[#This Row],[PROVEEDOR]],"*"&amp;'Palabra no opera'!$A$2&amp;"*"))</f>
        <v>1</v>
      </c>
      <c r="T2301" s="139">
        <f>+$W$5-Tabla2[[#This Row],[FECHA DE FACTURACIÓN]]</f>
        <v>729</v>
      </c>
      <c r="U2301" t="str">
        <f>+IF(Tabla2[[#This Row],[dias de credito]]&gt;=Tabla2[[#This Row],[PLAZO Días]],"venc", "No venc")</f>
        <v>venc</v>
      </c>
      <c r="V2301" t="str">
        <f>+IF(Tabla2[[#This Row],[FECHA DE PAGO]]&gt;0,"pagada","por pagar")</f>
        <v>pagada</v>
      </c>
      <c r="W2301" s="141" t="str">
        <f>+IF(AND(Tabla2[[#This Row],[venc]]="venc",Tabla2[[#This Row],[Columna1]]="por pagar"),"vencida","no")</f>
        <v>no</v>
      </c>
    </row>
    <row r="2302" spans="1:23" ht="15.6" hidden="1" x14ac:dyDescent="0.3">
      <c r="A2302" s="20">
        <v>30</v>
      </c>
      <c r="B2302" s="25">
        <v>380979.69</v>
      </c>
      <c r="C2302" s="25"/>
      <c r="D2302" s="56" t="s">
        <v>296</v>
      </c>
      <c r="E2302" s="426">
        <v>44575</v>
      </c>
      <c r="F2302" s="26" t="s">
        <v>615</v>
      </c>
      <c r="G2302" s="426">
        <v>44519</v>
      </c>
      <c r="H2302" s="35" t="s">
        <v>291</v>
      </c>
      <c r="I2302" s="21">
        <v>6535284</v>
      </c>
      <c r="J2302" s="21"/>
      <c r="K2302" s="22">
        <v>1241703.96</v>
      </c>
      <c r="L2302" s="23"/>
      <c r="M2302" s="22">
        <v>0</v>
      </c>
      <c r="N2302" s="74">
        <v>0</v>
      </c>
      <c r="O2302" s="22">
        <v>0</v>
      </c>
      <c r="P2302" s="21">
        <v>7776987.96</v>
      </c>
      <c r="S2302" s="108" t="b">
        <f>OR(COUNTIF(Tabla2[[#This Row],[PROVEEDOR]],"*"&amp;'Palabra no opera'!$A$2&amp;"*"))</f>
        <v>1</v>
      </c>
      <c r="T2302" s="139">
        <f>+$W$5-Tabla2[[#This Row],[FECHA DE FACTURACIÓN]]</f>
        <v>772</v>
      </c>
      <c r="U2302" t="str">
        <f>+IF(Tabla2[[#This Row],[dias de credito]]&gt;=Tabla2[[#This Row],[PLAZO Días]],"venc", "No venc")</f>
        <v>venc</v>
      </c>
      <c r="V2302" t="str">
        <f>+IF(Tabla2[[#This Row],[FECHA DE PAGO]]&gt;0,"pagada","por pagar")</f>
        <v>pagada</v>
      </c>
      <c r="W2302" s="141" t="str">
        <f>+IF(AND(Tabla2[[#This Row],[venc]]="venc",Tabla2[[#This Row],[Columna1]]="por pagar"),"vencida","no")</f>
        <v>no</v>
      </c>
    </row>
    <row r="2303" spans="1:23" ht="15.6" hidden="1" x14ac:dyDescent="0.3">
      <c r="A2303" s="20">
        <v>30</v>
      </c>
      <c r="B2303" s="25">
        <v>380979.69</v>
      </c>
      <c r="C2303" s="25"/>
      <c r="D2303" s="56" t="s">
        <v>296</v>
      </c>
      <c r="E2303" s="426">
        <v>44575</v>
      </c>
      <c r="F2303" s="26" t="s">
        <v>615</v>
      </c>
      <c r="G2303" s="426">
        <v>44516</v>
      </c>
      <c r="H2303" s="35" t="s">
        <v>292</v>
      </c>
      <c r="I2303" s="21">
        <v>2576302</v>
      </c>
      <c r="J2303" s="21"/>
      <c r="K2303" s="22">
        <v>489497.38</v>
      </c>
      <c r="L2303" s="23"/>
      <c r="M2303" s="22">
        <v>0</v>
      </c>
      <c r="N2303" s="74">
        <v>0</v>
      </c>
      <c r="O2303" s="22">
        <v>0</v>
      </c>
      <c r="P2303" s="21">
        <v>3065799.38</v>
      </c>
      <c r="S2303" s="108" t="b">
        <f>OR(COUNTIF(Tabla2[[#This Row],[PROVEEDOR]],"*"&amp;'Palabra no opera'!$A$2&amp;"*"))</f>
        <v>1</v>
      </c>
      <c r="T2303" s="139">
        <f>+$W$5-Tabla2[[#This Row],[FECHA DE FACTURACIÓN]]</f>
        <v>775</v>
      </c>
      <c r="U2303" t="str">
        <f>+IF(Tabla2[[#This Row],[dias de credito]]&gt;=Tabla2[[#This Row],[PLAZO Días]],"venc", "No venc")</f>
        <v>venc</v>
      </c>
      <c r="V2303" t="str">
        <f>+IF(Tabla2[[#This Row],[FECHA DE PAGO]]&gt;0,"pagada","por pagar")</f>
        <v>pagada</v>
      </c>
      <c r="W2303" s="141" t="str">
        <f>+IF(AND(Tabla2[[#This Row],[venc]]="venc",Tabla2[[#This Row],[Columna1]]="por pagar"),"vencida","no")</f>
        <v>no</v>
      </c>
    </row>
    <row r="2304" spans="1:23" ht="15.6" hidden="1" x14ac:dyDescent="0.3">
      <c r="A2304" s="20">
        <v>30</v>
      </c>
      <c r="B2304" s="25">
        <v>1316890.8900000001</v>
      </c>
      <c r="C2304" s="25"/>
      <c r="D2304" s="56" t="s">
        <v>188</v>
      </c>
      <c r="E2304" s="426">
        <v>44574</v>
      </c>
      <c r="F2304" s="26" t="s">
        <v>17</v>
      </c>
      <c r="G2304" s="426">
        <v>44900</v>
      </c>
      <c r="H2304" s="35">
        <v>1990411</v>
      </c>
      <c r="I2304" s="21">
        <v>1143000</v>
      </c>
      <c r="J2304" s="21"/>
      <c r="K2304" s="22">
        <v>217170</v>
      </c>
      <c r="L2304" s="23"/>
      <c r="M2304" s="22">
        <v>0</v>
      </c>
      <c r="N2304" s="74">
        <v>0</v>
      </c>
      <c r="O2304" s="22">
        <v>0</v>
      </c>
      <c r="P2304" s="21">
        <v>1360170</v>
      </c>
      <c r="S2304" s="108" t="b">
        <f>OR(COUNTIF(Tabla2[[#This Row],[PROVEEDOR]],"*"&amp;'Palabra no opera'!$A$2&amp;"*"))</f>
        <v>0</v>
      </c>
      <c r="T2304" s="139">
        <f>+$W$5-Tabla2[[#This Row],[FECHA DE FACTURACIÓN]]</f>
        <v>391</v>
      </c>
      <c r="U2304" t="str">
        <f>+IF(Tabla2[[#This Row],[dias de credito]]&gt;=Tabla2[[#This Row],[PLAZO Días]],"venc", "No venc")</f>
        <v>venc</v>
      </c>
      <c r="V2304" t="str">
        <f>+IF(Tabla2[[#This Row],[FECHA DE PAGO]]&gt;0,"pagada","por pagar")</f>
        <v>pagada</v>
      </c>
      <c r="W2304" s="141" t="str">
        <f>+IF(AND(Tabla2[[#This Row],[venc]]="venc",Tabla2[[#This Row],[Columna1]]="por pagar"),"vencida","no")</f>
        <v>no</v>
      </c>
    </row>
    <row r="2305" spans="1:23" ht="15.6" hidden="1" x14ac:dyDescent="0.3">
      <c r="A2305" s="20">
        <v>10</v>
      </c>
      <c r="B2305" s="25">
        <v>0</v>
      </c>
      <c r="C2305" s="25"/>
      <c r="D2305" s="56" t="s">
        <v>330</v>
      </c>
      <c r="E2305" s="426">
        <v>44574</v>
      </c>
      <c r="F2305" s="26" t="s">
        <v>355</v>
      </c>
      <c r="G2305" s="426">
        <v>44562</v>
      </c>
      <c r="H2305" s="35"/>
      <c r="I2305" s="21">
        <v>1060000</v>
      </c>
      <c r="J2305" s="21"/>
      <c r="K2305" s="22">
        <v>0</v>
      </c>
      <c r="L2305" s="23"/>
      <c r="M2305" s="22">
        <v>0</v>
      </c>
      <c r="N2305" s="74">
        <v>0</v>
      </c>
      <c r="O2305" s="22">
        <v>0</v>
      </c>
      <c r="P2305" s="21">
        <v>1060000</v>
      </c>
      <c r="S2305" s="108" t="b">
        <f>OR(COUNTIF(Tabla2[[#This Row],[PROVEEDOR]],"*"&amp;'Palabra no opera'!$A$2&amp;"*"))</f>
        <v>0</v>
      </c>
      <c r="T2305" s="139">
        <f>+$W$5-Tabla2[[#This Row],[FECHA DE FACTURACIÓN]]</f>
        <v>729</v>
      </c>
      <c r="U2305" t="str">
        <f>+IF(Tabla2[[#This Row],[dias de credito]]&gt;=Tabla2[[#This Row],[PLAZO Días]],"venc", "No venc")</f>
        <v>venc</v>
      </c>
      <c r="V2305" t="str">
        <f>+IF(Tabla2[[#This Row],[FECHA DE PAGO]]&gt;0,"pagada","por pagar")</f>
        <v>pagada</v>
      </c>
      <c r="W2305" s="141" t="str">
        <f>+IF(AND(Tabla2[[#This Row],[venc]]="venc",Tabla2[[#This Row],[Columna1]]="por pagar"),"vencida","no")</f>
        <v>no</v>
      </c>
    </row>
    <row r="2306" spans="1:23" ht="15.6" hidden="1" x14ac:dyDescent="0.3">
      <c r="A2306" s="20">
        <v>30</v>
      </c>
      <c r="B2306" s="25">
        <v>0</v>
      </c>
      <c r="C2306" s="25"/>
      <c r="D2306" s="56" t="s">
        <v>270</v>
      </c>
      <c r="E2306" s="426">
        <v>44573</v>
      </c>
      <c r="F2306" s="26" t="s">
        <v>387</v>
      </c>
      <c r="G2306" s="426">
        <v>44539</v>
      </c>
      <c r="H2306" s="35" t="s">
        <v>978</v>
      </c>
      <c r="I2306" s="21">
        <v>9473700</v>
      </c>
      <c r="J2306" s="21"/>
      <c r="K2306" s="22">
        <v>0</v>
      </c>
      <c r="L2306" s="23">
        <v>0.09</v>
      </c>
      <c r="M2306" s="22">
        <v>852633</v>
      </c>
      <c r="N2306" s="74">
        <v>0</v>
      </c>
      <c r="O2306" s="22">
        <v>0</v>
      </c>
      <c r="P2306" s="21">
        <v>8621067</v>
      </c>
      <c r="S2306" s="108" t="b">
        <f>OR(COUNTIF(Tabla2[[#This Row],[PROVEEDOR]],"*"&amp;'Palabra no opera'!$A$2&amp;"*"))</f>
        <v>0</v>
      </c>
      <c r="T2306" s="139">
        <f>+$W$5-Tabla2[[#This Row],[FECHA DE FACTURACIÓN]]</f>
        <v>752</v>
      </c>
      <c r="U2306" t="str">
        <f>+IF(Tabla2[[#This Row],[dias de credito]]&gt;=Tabla2[[#This Row],[PLAZO Días]],"venc", "No venc")</f>
        <v>venc</v>
      </c>
      <c r="V2306" t="str">
        <f>+IF(Tabla2[[#This Row],[FECHA DE PAGO]]&gt;0,"pagada","por pagar")</f>
        <v>pagada</v>
      </c>
      <c r="W2306" s="141" t="str">
        <f>+IF(AND(Tabla2[[#This Row],[venc]]="venc",Tabla2[[#This Row],[Columna1]]="por pagar"),"vencida","no")</f>
        <v>no</v>
      </c>
    </row>
    <row r="2307" spans="1:23" ht="15.6" hidden="1" x14ac:dyDescent="0.3">
      <c r="A2307" s="20">
        <v>30</v>
      </c>
      <c r="B2307" s="25">
        <v>0</v>
      </c>
      <c r="C2307" s="25"/>
      <c r="D2307" s="56" t="s">
        <v>326</v>
      </c>
      <c r="E2307" s="426">
        <v>44572</v>
      </c>
      <c r="F2307" s="26" t="s">
        <v>38</v>
      </c>
      <c r="G2307" s="426">
        <v>44531</v>
      </c>
      <c r="H2307" s="35" t="s">
        <v>313</v>
      </c>
      <c r="I2307" s="21">
        <v>5091096</v>
      </c>
      <c r="J2307" s="21"/>
      <c r="K2307" s="22">
        <v>0</v>
      </c>
      <c r="L2307" s="23"/>
      <c r="M2307" s="22">
        <v>0</v>
      </c>
      <c r="N2307" s="74">
        <v>0</v>
      </c>
      <c r="O2307" s="22">
        <v>0</v>
      </c>
      <c r="P2307" s="21">
        <v>5091096</v>
      </c>
      <c r="S2307" s="108" t="b">
        <f>OR(COUNTIF(Tabla2[[#This Row],[PROVEEDOR]],"*"&amp;'Palabra no opera'!$A$2&amp;"*"))</f>
        <v>0</v>
      </c>
      <c r="T2307" s="139">
        <f>+$W$5-Tabla2[[#This Row],[FECHA DE FACTURACIÓN]]</f>
        <v>760</v>
      </c>
      <c r="U2307" t="str">
        <f>+IF(Tabla2[[#This Row],[dias de credito]]&gt;=Tabla2[[#This Row],[PLAZO Días]],"venc", "No venc")</f>
        <v>venc</v>
      </c>
      <c r="V2307" t="str">
        <f>+IF(Tabla2[[#This Row],[FECHA DE PAGO]]&gt;0,"pagada","por pagar")</f>
        <v>pagada</v>
      </c>
      <c r="W2307" s="141" t="str">
        <f>+IF(AND(Tabla2[[#This Row],[venc]]="venc",Tabla2[[#This Row],[Columna1]]="por pagar"),"vencida","no")</f>
        <v>no</v>
      </c>
    </row>
    <row r="2308" spans="1:23" ht="15.6" hidden="1" x14ac:dyDescent="0.3">
      <c r="A2308" s="20">
        <v>30</v>
      </c>
      <c r="B2308" s="25">
        <v>0</v>
      </c>
      <c r="C2308" s="25"/>
      <c r="D2308" s="56" t="s">
        <v>326</v>
      </c>
      <c r="E2308" s="426">
        <v>44572</v>
      </c>
      <c r="F2308" s="26" t="s">
        <v>38</v>
      </c>
      <c r="G2308" s="426">
        <v>44531</v>
      </c>
      <c r="H2308" s="35" t="s">
        <v>314</v>
      </c>
      <c r="I2308" s="21">
        <v>22083872</v>
      </c>
      <c r="J2308" s="21"/>
      <c r="K2308" s="22">
        <v>0</v>
      </c>
      <c r="L2308" s="23"/>
      <c r="M2308" s="22">
        <v>0</v>
      </c>
      <c r="N2308" s="74">
        <v>0</v>
      </c>
      <c r="O2308" s="22">
        <v>0</v>
      </c>
      <c r="P2308" s="21">
        <v>22083872</v>
      </c>
      <c r="S2308" s="108" t="b">
        <f>OR(COUNTIF(Tabla2[[#This Row],[PROVEEDOR]],"*"&amp;'Palabra no opera'!$A$2&amp;"*"))</f>
        <v>0</v>
      </c>
      <c r="T2308" s="139">
        <f>+$W$5-Tabla2[[#This Row],[FECHA DE FACTURACIÓN]]</f>
        <v>760</v>
      </c>
      <c r="U2308" t="str">
        <f>+IF(Tabla2[[#This Row],[dias de credito]]&gt;=Tabla2[[#This Row],[PLAZO Días]],"venc", "No venc")</f>
        <v>venc</v>
      </c>
      <c r="V2308" t="str">
        <f>+IF(Tabla2[[#This Row],[FECHA DE PAGO]]&gt;0,"pagada","por pagar")</f>
        <v>pagada</v>
      </c>
      <c r="W2308" s="141" t="str">
        <f>+IF(AND(Tabla2[[#This Row],[venc]]="venc",Tabla2[[#This Row],[Columna1]]="por pagar"),"vencida","no")</f>
        <v>no</v>
      </c>
    </row>
    <row r="2309" spans="1:23" ht="15.6" hidden="1" x14ac:dyDescent="0.3">
      <c r="A2309" s="20">
        <v>30</v>
      </c>
      <c r="B2309" s="25">
        <v>0</v>
      </c>
      <c r="C2309" s="25"/>
      <c r="D2309" s="56" t="s">
        <v>107</v>
      </c>
      <c r="E2309" s="426">
        <v>44568</v>
      </c>
      <c r="F2309" s="26" t="s">
        <v>397</v>
      </c>
      <c r="G2309" s="426">
        <v>44566</v>
      </c>
      <c r="H2309" s="35"/>
      <c r="I2309" s="21">
        <v>1411500</v>
      </c>
      <c r="J2309" s="21"/>
      <c r="K2309" s="22">
        <v>0</v>
      </c>
      <c r="L2309" s="23"/>
      <c r="M2309" s="22">
        <v>0</v>
      </c>
      <c r="N2309" s="74">
        <v>0</v>
      </c>
      <c r="O2309" s="22">
        <v>0</v>
      </c>
      <c r="P2309" s="21">
        <v>1411500</v>
      </c>
      <c r="S2309" s="108" t="b">
        <f>OR(COUNTIF(Tabla2[[#This Row],[PROVEEDOR]],"*"&amp;'Palabra no opera'!$A$2&amp;"*"))</f>
        <v>0</v>
      </c>
      <c r="T2309" s="139">
        <f>+$W$5-Tabla2[[#This Row],[FECHA DE FACTURACIÓN]]</f>
        <v>725</v>
      </c>
      <c r="U2309" t="str">
        <f>+IF(Tabla2[[#This Row],[dias de credito]]&gt;=Tabla2[[#This Row],[PLAZO Días]],"venc", "No venc")</f>
        <v>venc</v>
      </c>
      <c r="V2309" t="str">
        <f>+IF(Tabla2[[#This Row],[FECHA DE PAGO]]&gt;0,"pagada","por pagar")</f>
        <v>pagada</v>
      </c>
      <c r="W2309" s="141" t="str">
        <f>+IF(AND(Tabla2[[#This Row],[venc]]="venc",Tabla2[[#This Row],[Columna1]]="por pagar"),"vencida","no")</f>
        <v>no</v>
      </c>
    </row>
    <row r="2310" spans="1:23" ht="15.6" hidden="1" x14ac:dyDescent="0.3">
      <c r="A2310" s="20">
        <v>30</v>
      </c>
      <c r="B2310" s="25">
        <v>0</v>
      </c>
      <c r="C2310" s="25"/>
      <c r="D2310" s="56" t="s">
        <v>176</v>
      </c>
      <c r="E2310" s="426">
        <v>44568</v>
      </c>
      <c r="F2310" s="26" t="s">
        <v>966</v>
      </c>
      <c r="G2310" s="426">
        <v>44565</v>
      </c>
      <c r="H2310" s="35">
        <v>319</v>
      </c>
      <c r="I2310" s="21">
        <v>176000</v>
      </c>
      <c r="J2310" s="21"/>
      <c r="K2310" s="22">
        <v>0</v>
      </c>
      <c r="L2310" s="23"/>
      <c r="M2310" s="22">
        <v>0</v>
      </c>
      <c r="N2310" s="74">
        <v>0</v>
      </c>
      <c r="O2310" s="22">
        <v>0</v>
      </c>
      <c r="P2310" s="21">
        <v>125783.79000000001</v>
      </c>
      <c r="S2310" s="108" t="b">
        <f>OR(COUNTIF(Tabla2[[#This Row],[PROVEEDOR]],"*"&amp;'Palabra no opera'!$A$2&amp;"*"))</f>
        <v>0</v>
      </c>
      <c r="T2310" s="139">
        <f>+$W$5-Tabla2[[#This Row],[FECHA DE FACTURACIÓN]]</f>
        <v>726</v>
      </c>
      <c r="U2310" t="str">
        <f>+IF(Tabla2[[#This Row],[dias de credito]]&gt;=Tabla2[[#This Row],[PLAZO Días]],"venc", "No venc")</f>
        <v>venc</v>
      </c>
      <c r="V2310" t="str">
        <f>+IF(Tabla2[[#This Row],[FECHA DE PAGO]]&gt;0,"pagada","por pagar")</f>
        <v>pagada</v>
      </c>
      <c r="W2310" s="141" t="str">
        <f>+IF(AND(Tabla2[[#This Row],[venc]]="venc",Tabla2[[#This Row],[Columna1]]="por pagar"),"vencida","no")</f>
        <v>no</v>
      </c>
    </row>
    <row r="2311" spans="1:23" ht="15.6" hidden="1" x14ac:dyDescent="0.3">
      <c r="A2311" s="20">
        <v>30</v>
      </c>
      <c r="B2311" s="25">
        <v>0</v>
      </c>
      <c r="C2311" s="25"/>
      <c r="D2311" s="56" t="s">
        <v>211</v>
      </c>
      <c r="E2311" s="426">
        <v>44568</v>
      </c>
      <c r="F2311" s="26" t="s">
        <v>400</v>
      </c>
      <c r="G2311" s="426">
        <v>44529</v>
      </c>
      <c r="H2311" s="35" t="s">
        <v>884</v>
      </c>
      <c r="I2311" s="21">
        <v>1678000</v>
      </c>
      <c r="J2311" s="21"/>
      <c r="K2311" s="22">
        <v>0</v>
      </c>
      <c r="L2311" s="23"/>
      <c r="M2311" s="22">
        <v>0</v>
      </c>
      <c r="N2311" s="74">
        <v>0</v>
      </c>
      <c r="O2311" s="22">
        <v>0</v>
      </c>
      <c r="P2311" s="21">
        <v>1678000</v>
      </c>
      <c r="S2311" s="108" t="b">
        <f>OR(COUNTIF(Tabla2[[#This Row],[PROVEEDOR]],"*"&amp;'Palabra no opera'!$A$2&amp;"*"))</f>
        <v>0</v>
      </c>
      <c r="T2311" s="139">
        <f>+$W$5-Tabla2[[#This Row],[FECHA DE FACTURACIÓN]]</f>
        <v>762</v>
      </c>
      <c r="U2311" t="str">
        <f>+IF(Tabla2[[#This Row],[dias de credito]]&gt;=Tabla2[[#This Row],[PLAZO Días]],"venc", "No venc")</f>
        <v>venc</v>
      </c>
      <c r="V2311" t="str">
        <f>+IF(Tabla2[[#This Row],[FECHA DE PAGO]]&gt;0,"pagada","por pagar")</f>
        <v>pagada</v>
      </c>
      <c r="W2311" s="141" t="str">
        <f>+IF(AND(Tabla2[[#This Row],[venc]]="venc",Tabla2[[#This Row],[Columna1]]="por pagar"),"vencida","no")</f>
        <v>no</v>
      </c>
    </row>
    <row r="2312" spans="1:23" ht="15.6" hidden="1" x14ac:dyDescent="0.3">
      <c r="A2312" s="20">
        <v>30</v>
      </c>
      <c r="B2312" s="25">
        <v>680000</v>
      </c>
      <c r="C2312" s="25"/>
      <c r="D2312" s="56" t="s">
        <v>177</v>
      </c>
      <c r="E2312" s="426">
        <v>44568</v>
      </c>
      <c r="F2312" s="26" t="s">
        <v>412</v>
      </c>
      <c r="G2312" s="426">
        <v>44529</v>
      </c>
      <c r="H2312" s="35" t="s">
        <v>974</v>
      </c>
      <c r="I2312" s="21">
        <v>56250</v>
      </c>
      <c r="J2312" s="21"/>
      <c r="K2312" s="22">
        <v>0</v>
      </c>
      <c r="L2312" s="23"/>
      <c r="M2312" s="22">
        <v>0</v>
      </c>
      <c r="N2312" s="74">
        <v>0</v>
      </c>
      <c r="O2312" s="22">
        <v>0</v>
      </c>
      <c r="P2312" s="21">
        <v>56250</v>
      </c>
      <c r="S2312" s="108" t="b">
        <f>OR(COUNTIF(Tabla2[[#This Row],[PROVEEDOR]],"*"&amp;'Palabra no opera'!$A$2&amp;"*"))</f>
        <v>0</v>
      </c>
      <c r="T2312" s="139">
        <f>+$W$5-Tabla2[[#This Row],[FECHA DE FACTURACIÓN]]</f>
        <v>762</v>
      </c>
      <c r="U2312" t="str">
        <f>+IF(Tabla2[[#This Row],[dias de credito]]&gt;=Tabla2[[#This Row],[PLAZO Días]],"venc", "No venc")</f>
        <v>venc</v>
      </c>
      <c r="V2312" t="str">
        <f>+IF(Tabla2[[#This Row],[FECHA DE PAGO]]&gt;0,"pagada","por pagar")</f>
        <v>pagada</v>
      </c>
      <c r="W2312" s="141" t="str">
        <f>+IF(AND(Tabla2[[#This Row],[venc]]="venc",Tabla2[[#This Row],[Columna1]]="por pagar"),"vencida","no")</f>
        <v>no</v>
      </c>
    </row>
    <row r="2313" spans="1:23" ht="15.6" hidden="1" x14ac:dyDescent="0.3">
      <c r="A2313" s="20">
        <v>30</v>
      </c>
      <c r="B2313" s="25">
        <v>0</v>
      </c>
      <c r="C2313" s="25"/>
      <c r="D2313" s="56" t="s">
        <v>325</v>
      </c>
      <c r="E2313" s="426">
        <v>44568</v>
      </c>
      <c r="F2313" s="26" t="s">
        <v>341</v>
      </c>
      <c r="G2313" s="426">
        <v>44525</v>
      </c>
      <c r="H2313" s="35" t="s">
        <v>973</v>
      </c>
      <c r="I2313" s="21">
        <v>990000</v>
      </c>
      <c r="J2313" s="21"/>
      <c r="K2313" s="22">
        <v>0</v>
      </c>
      <c r="L2313" s="23"/>
      <c r="M2313" s="22">
        <v>0</v>
      </c>
      <c r="N2313" s="74">
        <v>0</v>
      </c>
      <c r="O2313" s="22">
        <v>0</v>
      </c>
      <c r="P2313" s="21">
        <v>990000</v>
      </c>
      <c r="S2313" s="108" t="b">
        <f>OR(COUNTIF(Tabla2[[#This Row],[PROVEEDOR]],"*"&amp;'Palabra no opera'!$A$2&amp;"*"))</f>
        <v>0</v>
      </c>
      <c r="T2313" s="139">
        <f>+$W$5-Tabla2[[#This Row],[FECHA DE FACTURACIÓN]]</f>
        <v>766</v>
      </c>
      <c r="U2313" t="str">
        <f>+IF(Tabla2[[#This Row],[dias de credito]]&gt;=Tabla2[[#This Row],[PLAZO Días]],"venc", "No venc")</f>
        <v>venc</v>
      </c>
      <c r="V2313" t="str">
        <f>+IF(Tabla2[[#This Row],[FECHA DE PAGO]]&gt;0,"pagada","por pagar")</f>
        <v>pagada</v>
      </c>
      <c r="W2313" s="141" t="str">
        <f>+IF(AND(Tabla2[[#This Row],[venc]]="venc",Tabla2[[#This Row],[Columna1]]="por pagar"),"vencida","no")</f>
        <v>no</v>
      </c>
    </row>
    <row r="2314" spans="1:23" ht="15.6" hidden="1" x14ac:dyDescent="0.3">
      <c r="A2314" s="20">
        <v>30</v>
      </c>
      <c r="B2314" s="25">
        <v>680000</v>
      </c>
      <c r="C2314" s="25"/>
      <c r="D2314" s="56" t="s">
        <v>177</v>
      </c>
      <c r="E2314" s="426">
        <v>44568</v>
      </c>
      <c r="F2314" s="26" t="s">
        <v>412</v>
      </c>
      <c r="G2314" s="426">
        <v>44511</v>
      </c>
      <c r="H2314" s="35" t="s">
        <v>970</v>
      </c>
      <c r="I2314" s="21">
        <v>942000</v>
      </c>
      <c r="J2314" s="21"/>
      <c r="K2314" s="22">
        <v>0</v>
      </c>
      <c r="L2314" s="23"/>
      <c r="M2314" s="22">
        <v>0</v>
      </c>
      <c r="N2314" s="74">
        <v>0</v>
      </c>
      <c r="O2314" s="22">
        <v>0</v>
      </c>
      <c r="P2314" s="21">
        <v>942000</v>
      </c>
      <c r="S2314" s="108" t="b">
        <f>OR(COUNTIF(Tabla2[[#This Row],[PROVEEDOR]],"*"&amp;'Palabra no opera'!$A$2&amp;"*"))</f>
        <v>0</v>
      </c>
      <c r="T2314" s="139">
        <f>+$W$5-Tabla2[[#This Row],[FECHA DE FACTURACIÓN]]</f>
        <v>780</v>
      </c>
      <c r="U2314" t="str">
        <f>+IF(Tabla2[[#This Row],[dias de credito]]&gt;=Tabla2[[#This Row],[PLAZO Días]],"venc", "No venc")</f>
        <v>venc</v>
      </c>
      <c r="V2314" t="str">
        <f>+IF(Tabla2[[#This Row],[FECHA DE PAGO]]&gt;0,"pagada","por pagar")</f>
        <v>pagada</v>
      </c>
      <c r="W2314" s="141" t="str">
        <f>+IF(AND(Tabla2[[#This Row],[venc]]="venc",Tabla2[[#This Row],[Columna1]]="por pagar"),"vencida","no")</f>
        <v>no</v>
      </c>
    </row>
    <row r="2315" spans="1:23" ht="15.6" hidden="1" x14ac:dyDescent="0.3">
      <c r="A2315" s="20">
        <v>30</v>
      </c>
      <c r="B2315" s="25">
        <v>12030261.305</v>
      </c>
      <c r="C2315" s="25"/>
      <c r="D2315" s="56" t="s">
        <v>179</v>
      </c>
      <c r="E2315" s="426">
        <v>44568</v>
      </c>
      <c r="F2315" s="26" t="s">
        <v>12</v>
      </c>
      <c r="G2315" s="426">
        <v>44495</v>
      </c>
      <c r="H2315" s="35" t="s">
        <v>310</v>
      </c>
      <c r="I2315" s="21">
        <v>-124370</v>
      </c>
      <c r="J2315" s="21"/>
      <c r="K2315" s="22">
        <v>-23630.3</v>
      </c>
      <c r="L2315" s="23"/>
      <c r="M2315" s="22">
        <v>0</v>
      </c>
      <c r="N2315" s="74">
        <v>0</v>
      </c>
      <c r="O2315" s="22">
        <v>0</v>
      </c>
      <c r="P2315" s="21">
        <v>-148000.29999999999</v>
      </c>
      <c r="S2315" s="108" t="b">
        <f>OR(COUNTIF(Tabla2[[#This Row],[PROVEEDOR]],"*"&amp;'Palabra no opera'!$A$2&amp;"*"))</f>
        <v>0</v>
      </c>
      <c r="T2315" s="139">
        <f>+$W$5-Tabla2[[#This Row],[FECHA DE FACTURACIÓN]]</f>
        <v>796</v>
      </c>
      <c r="U2315" t="str">
        <f>+IF(Tabla2[[#This Row],[dias de credito]]&gt;=Tabla2[[#This Row],[PLAZO Días]],"venc", "No venc")</f>
        <v>venc</v>
      </c>
      <c r="V2315" t="str">
        <f>+IF(Tabla2[[#This Row],[FECHA DE PAGO]]&gt;0,"pagada","por pagar")</f>
        <v>pagada</v>
      </c>
      <c r="W2315" s="141" t="str">
        <f>+IF(AND(Tabla2[[#This Row],[venc]]="venc",Tabla2[[#This Row],[Columna1]]="por pagar"),"vencida","no")</f>
        <v>no</v>
      </c>
    </row>
    <row r="2316" spans="1:23" ht="15.6" hidden="1" x14ac:dyDescent="0.3">
      <c r="A2316" s="20">
        <v>30</v>
      </c>
      <c r="B2316" s="25">
        <v>12030261.305</v>
      </c>
      <c r="C2316" s="25"/>
      <c r="D2316" s="56" t="s">
        <v>179</v>
      </c>
      <c r="E2316" s="426">
        <v>44568</v>
      </c>
      <c r="F2316" s="26" t="s">
        <v>12</v>
      </c>
      <c r="G2316" s="426">
        <v>44495</v>
      </c>
      <c r="H2316" s="35" t="s">
        <v>283</v>
      </c>
      <c r="I2316" s="21">
        <v>12134469</v>
      </c>
      <c r="J2316" s="21"/>
      <c r="K2316" s="22">
        <v>2305549.11</v>
      </c>
      <c r="L2316" s="23"/>
      <c r="M2316" s="22">
        <v>0</v>
      </c>
      <c r="N2316" s="74">
        <v>2.5000000000000001E-2</v>
      </c>
      <c r="O2316" s="22">
        <v>303361.72500000003</v>
      </c>
      <c r="P2316" s="21">
        <v>14136656.385</v>
      </c>
      <c r="S2316" s="108" t="b">
        <f>OR(COUNTIF(Tabla2[[#This Row],[PROVEEDOR]],"*"&amp;'Palabra no opera'!$A$2&amp;"*"))</f>
        <v>0</v>
      </c>
      <c r="T2316" s="139">
        <f>+$W$5-Tabla2[[#This Row],[FECHA DE FACTURACIÓN]]</f>
        <v>796</v>
      </c>
      <c r="U2316" t="str">
        <f>+IF(Tabla2[[#This Row],[dias de credito]]&gt;=Tabla2[[#This Row],[PLAZO Días]],"venc", "No venc")</f>
        <v>venc</v>
      </c>
      <c r="V2316" t="str">
        <f>+IF(Tabla2[[#This Row],[FECHA DE PAGO]]&gt;0,"pagada","por pagar")</f>
        <v>pagada</v>
      </c>
      <c r="W2316" s="141" t="str">
        <f>+IF(AND(Tabla2[[#This Row],[venc]]="venc",Tabla2[[#This Row],[Columna1]]="por pagar"),"vencida","no")</f>
        <v>no</v>
      </c>
    </row>
    <row r="2317" spans="1:23" ht="15.6" hidden="1" x14ac:dyDescent="0.3">
      <c r="A2317" s="20">
        <v>90</v>
      </c>
      <c r="B2317" s="25">
        <v>0</v>
      </c>
      <c r="C2317" s="25"/>
      <c r="D2317" s="56" t="s">
        <v>107</v>
      </c>
      <c r="E2317" s="426">
        <v>44567</v>
      </c>
      <c r="F2317" s="26" t="s">
        <v>374</v>
      </c>
      <c r="G2317" s="426">
        <v>44567</v>
      </c>
      <c r="H2317" s="35"/>
      <c r="I2317" s="21">
        <v>-6831935</v>
      </c>
      <c r="J2317" s="21"/>
      <c r="K2317" s="22">
        <v>0</v>
      </c>
      <c r="L2317" s="23"/>
      <c r="M2317" s="22">
        <v>0</v>
      </c>
      <c r="N2317" s="74">
        <v>0</v>
      </c>
      <c r="O2317" s="22">
        <v>0</v>
      </c>
      <c r="P2317" s="21">
        <v>650282</v>
      </c>
      <c r="S2317" s="108" t="b">
        <f>OR(COUNTIF(Tabla2[[#This Row],[PROVEEDOR]],"*"&amp;'Palabra no opera'!$A$2&amp;"*"))</f>
        <v>0</v>
      </c>
      <c r="T2317" s="139">
        <f>+$W$5-Tabla2[[#This Row],[FECHA DE FACTURACIÓN]]</f>
        <v>724</v>
      </c>
      <c r="U2317" t="str">
        <f>+IF(Tabla2[[#This Row],[dias de credito]]&gt;=Tabla2[[#This Row],[PLAZO Días]],"venc", "No venc")</f>
        <v>venc</v>
      </c>
      <c r="V2317" t="str">
        <f>+IF(Tabla2[[#This Row],[FECHA DE PAGO]]&gt;0,"pagada","por pagar")</f>
        <v>pagada</v>
      </c>
      <c r="W2317" s="141" t="str">
        <f>+IF(AND(Tabla2[[#This Row],[venc]]="venc",Tabla2[[#This Row],[Columna1]]="por pagar"),"vencida","no")</f>
        <v>no</v>
      </c>
    </row>
    <row r="2318" spans="1:23" ht="15.6" hidden="1" x14ac:dyDescent="0.3">
      <c r="A2318" s="20">
        <v>30</v>
      </c>
      <c r="B2318" s="25">
        <v>0</v>
      </c>
      <c r="C2318" s="25"/>
      <c r="D2318" s="56" t="s">
        <v>107</v>
      </c>
      <c r="E2318" s="426">
        <v>44567</v>
      </c>
      <c r="F2318" s="26" t="s">
        <v>390</v>
      </c>
      <c r="G2318" s="426">
        <v>44567</v>
      </c>
      <c r="H2318" s="35"/>
      <c r="I2318" s="21">
        <v>1000000</v>
      </c>
      <c r="J2318" s="21"/>
      <c r="K2318" s="22">
        <v>0</v>
      </c>
      <c r="L2318" s="23"/>
      <c r="M2318" s="22">
        <v>349718</v>
      </c>
      <c r="N2318" s="74">
        <v>0</v>
      </c>
      <c r="O2318" s="22">
        <v>0</v>
      </c>
      <c r="P2318" s="21">
        <v>-6701435</v>
      </c>
      <c r="S2318" s="108" t="b">
        <f>OR(COUNTIF(Tabla2[[#This Row],[PROVEEDOR]],"*"&amp;'Palabra no opera'!$A$2&amp;"*"))</f>
        <v>0</v>
      </c>
      <c r="T2318" s="139">
        <f>+$W$5-Tabla2[[#This Row],[FECHA DE FACTURACIÓN]]</f>
        <v>724</v>
      </c>
      <c r="U2318" t="str">
        <f>+IF(Tabla2[[#This Row],[dias de credito]]&gt;=Tabla2[[#This Row],[PLAZO Días]],"venc", "No venc")</f>
        <v>venc</v>
      </c>
      <c r="V2318" t="str">
        <f>+IF(Tabla2[[#This Row],[FECHA DE PAGO]]&gt;0,"pagada","por pagar")</f>
        <v>pagada</v>
      </c>
      <c r="W2318" s="141" t="str">
        <f>+IF(AND(Tabla2[[#This Row],[venc]]="venc",Tabla2[[#This Row],[Columna1]]="por pagar"),"vencida","no")</f>
        <v>no</v>
      </c>
    </row>
    <row r="2319" spans="1:23" ht="15.6" hidden="1" x14ac:dyDescent="0.3">
      <c r="A2319" s="20">
        <v>30</v>
      </c>
      <c r="B2319" s="25">
        <v>0</v>
      </c>
      <c r="C2319" s="25"/>
      <c r="D2319" s="56" t="s">
        <v>176</v>
      </c>
      <c r="E2319" s="426">
        <v>44567</v>
      </c>
      <c r="F2319" s="26" t="s">
        <v>967</v>
      </c>
      <c r="G2319" s="426">
        <v>44567</v>
      </c>
      <c r="H2319" s="35" t="s">
        <v>323</v>
      </c>
      <c r="I2319" s="21">
        <v>-135000</v>
      </c>
      <c r="J2319" s="21"/>
      <c r="K2319" s="22">
        <v>0</v>
      </c>
      <c r="L2319" s="23"/>
      <c r="M2319" s="22">
        <v>0</v>
      </c>
      <c r="N2319" s="74">
        <v>0</v>
      </c>
      <c r="O2319" s="22">
        <v>0</v>
      </c>
      <c r="P2319" s="21">
        <v>-135000</v>
      </c>
      <c r="S2319" s="108" t="b">
        <f>OR(COUNTIF(Tabla2[[#This Row],[PROVEEDOR]],"*"&amp;'Palabra no opera'!$A$2&amp;"*"))</f>
        <v>0</v>
      </c>
      <c r="T2319" s="139">
        <f>+$W$5-Tabla2[[#This Row],[FECHA DE FACTURACIÓN]]</f>
        <v>724</v>
      </c>
      <c r="U2319" t="str">
        <f>+IF(Tabla2[[#This Row],[dias de credito]]&gt;=Tabla2[[#This Row],[PLAZO Días]],"venc", "No venc")</f>
        <v>venc</v>
      </c>
      <c r="V2319" t="str">
        <f>+IF(Tabla2[[#This Row],[FECHA DE PAGO]]&gt;0,"pagada","por pagar")</f>
        <v>pagada</v>
      </c>
      <c r="W2319" s="141" t="str">
        <f>+IF(AND(Tabla2[[#This Row],[venc]]="venc",Tabla2[[#This Row],[Columna1]]="por pagar"),"vencida","no")</f>
        <v>no</v>
      </c>
    </row>
    <row r="2320" spans="1:23" ht="15.6" hidden="1" x14ac:dyDescent="0.3">
      <c r="A2320" s="20">
        <v>30</v>
      </c>
      <c r="B2320" s="25">
        <v>0</v>
      </c>
      <c r="C2320" s="25"/>
      <c r="D2320" s="56" t="s">
        <v>107</v>
      </c>
      <c r="E2320" s="426">
        <v>44567</v>
      </c>
      <c r="F2320" s="26" t="s">
        <v>37</v>
      </c>
      <c r="G2320" s="426">
        <v>44566</v>
      </c>
      <c r="H2320" s="35" t="s">
        <v>983</v>
      </c>
      <c r="I2320" s="21">
        <v>-190000</v>
      </c>
      <c r="J2320" s="21"/>
      <c r="K2320" s="22">
        <v>-36100</v>
      </c>
      <c r="L2320" s="23"/>
      <c r="M2320" s="22">
        <v>0</v>
      </c>
      <c r="N2320" s="74">
        <v>0</v>
      </c>
      <c r="O2320" s="22">
        <v>0</v>
      </c>
      <c r="P2320" s="21">
        <v>-190000</v>
      </c>
      <c r="S2320" s="108" t="b">
        <f>OR(COUNTIF(Tabla2[[#This Row],[PROVEEDOR]],"*"&amp;'Palabra no opera'!$A$2&amp;"*"))</f>
        <v>0</v>
      </c>
      <c r="T2320" s="139">
        <f>+$W$5-Tabla2[[#This Row],[FECHA DE FACTURACIÓN]]</f>
        <v>725</v>
      </c>
      <c r="U2320" t="str">
        <f>+IF(Tabla2[[#This Row],[dias de credito]]&gt;=Tabla2[[#This Row],[PLAZO Días]],"venc", "No venc")</f>
        <v>venc</v>
      </c>
      <c r="V2320" t="str">
        <f>+IF(Tabla2[[#This Row],[FECHA DE PAGO]]&gt;0,"pagada","por pagar")</f>
        <v>pagada</v>
      </c>
      <c r="W2320" s="141" t="str">
        <f>+IF(AND(Tabla2[[#This Row],[venc]]="venc",Tabla2[[#This Row],[Columna1]]="por pagar"),"vencida","no")</f>
        <v>no</v>
      </c>
    </row>
    <row r="2321" spans="1:23" ht="15.6" hidden="1" x14ac:dyDescent="0.3">
      <c r="A2321" s="20">
        <v>30</v>
      </c>
      <c r="B2321" s="25">
        <v>0</v>
      </c>
      <c r="C2321" s="25"/>
      <c r="D2321" s="56" t="s">
        <v>176</v>
      </c>
      <c r="E2321" s="426">
        <v>44567</v>
      </c>
      <c r="F2321" s="26" t="s">
        <v>967</v>
      </c>
      <c r="G2321" s="426">
        <v>44565</v>
      </c>
      <c r="H2321" s="35">
        <v>192</v>
      </c>
      <c r="I2321" s="21">
        <v>135000</v>
      </c>
      <c r="J2321" s="21"/>
      <c r="K2321" s="22">
        <v>0</v>
      </c>
      <c r="L2321" s="23"/>
      <c r="M2321" s="22">
        <v>0</v>
      </c>
      <c r="N2321" s="74">
        <v>0</v>
      </c>
      <c r="O2321" s="22">
        <v>0</v>
      </c>
      <c r="P2321" s="21">
        <v>135000</v>
      </c>
      <c r="S2321" s="108" t="b">
        <f>OR(COUNTIF(Tabla2[[#This Row],[PROVEEDOR]],"*"&amp;'Palabra no opera'!$A$2&amp;"*"))</f>
        <v>0</v>
      </c>
      <c r="T2321" s="139">
        <f>+$W$5-Tabla2[[#This Row],[FECHA DE FACTURACIÓN]]</f>
        <v>726</v>
      </c>
      <c r="U2321" t="str">
        <f>+IF(Tabla2[[#This Row],[dias de credito]]&gt;=Tabla2[[#This Row],[PLAZO Días]],"venc", "No venc")</f>
        <v>venc</v>
      </c>
      <c r="V2321" t="str">
        <f>+IF(Tabla2[[#This Row],[FECHA DE PAGO]]&gt;0,"pagada","por pagar")</f>
        <v>pagada</v>
      </c>
      <c r="W2321" s="141" t="str">
        <f>+IF(AND(Tabla2[[#This Row],[venc]]="venc",Tabla2[[#This Row],[Columna1]]="por pagar"),"vencida","no")</f>
        <v>no</v>
      </c>
    </row>
    <row r="2322" spans="1:23" ht="15.6" hidden="1" x14ac:dyDescent="0.3">
      <c r="A2322" s="20">
        <v>90</v>
      </c>
      <c r="B2322" s="25">
        <v>0</v>
      </c>
      <c r="C2322" s="25"/>
      <c r="D2322" s="56" t="s">
        <v>107</v>
      </c>
      <c r="E2322" s="426">
        <v>44567</v>
      </c>
      <c r="F2322" s="26" t="s">
        <v>374</v>
      </c>
      <c r="G2322" s="426">
        <v>44561</v>
      </c>
      <c r="H2322" s="35"/>
      <c r="I2322" s="21">
        <v>-15184000</v>
      </c>
      <c r="J2322" s="21"/>
      <c r="K2322" s="22">
        <v>0</v>
      </c>
      <c r="L2322" s="23"/>
      <c r="M2322" s="22">
        <v>0</v>
      </c>
      <c r="N2322" s="74">
        <v>0</v>
      </c>
      <c r="O2322" s="22">
        <v>0</v>
      </c>
      <c r="P2322" s="21">
        <v>-15184000</v>
      </c>
      <c r="S2322" s="108" t="b">
        <f>OR(COUNTIF(Tabla2[[#This Row],[PROVEEDOR]],"*"&amp;'Palabra no opera'!$A$2&amp;"*"))</f>
        <v>0</v>
      </c>
      <c r="T2322" s="139">
        <f>+$W$5-Tabla2[[#This Row],[FECHA DE FACTURACIÓN]]</f>
        <v>730</v>
      </c>
      <c r="U2322" t="str">
        <f>+IF(Tabla2[[#This Row],[dias de credito]]&gt;=Tabla2[[#This Row],[PLAZO Días]],"venc", "No venc")</f>
        <v>venc</v>
      </c>
      <c r="V2322" t="str">
        <f>+IF(Tabla2[[#This Row],[FECHA DE PAGO]]&gt;0,"pagada","por pagar")</f>
        <v>pagada</v>
      </c>
      <c r="W2322" s="141" t="str">
        <f>+IF(AND(Tabla2[[#This Row],[venc]]="venc",Tabla2[[#This Row],[Columna1]]="por pagar"),"vencida","no")</f>
        <v>no</v>
      </c>
    </row>
    <row r="2323" spans="1:23" ht="15.6" hidden="1" x14ac:dyDescent="0.3">
      <c r="A2323" s="20">
        <v>30</v>
      </c>
      <c r="B2323" s="25">
        <v>5480000</v>
      </c>
      <c r="C2323" s="25"/>
      <c r="D2323" s="56" t="s">
        <v>107</v>
      </c>
      <c r="E2323" s="426">
        <v>44567</v>
      </c>
      <c r="F2323" s="26" t="s">
        <v>369</v>
      </c>
      <c r="G2323" s="426">
        <v>44517</v>
      </c>
      <c r="H2323" s="35" t="s">
        <v>972</v>
      </c>
      <c r="I2323" s="21">
        <v>8659500</v>
      </c>
      <c r="J2323" s="21"/>
      <c r="K2323" s="22">
        <v>0</v>
      </c>
      <c r="L2323" s="23"/>
      <c r="M2323" s="22">
        <v>0</v>
      </c>
      <c r="N2323" s="74">
        <v>0</v>
      </c>
      <c r="O2323" s="22">
        <v>0</v>
      </c>
      <c r="P2323" s="21">
        <v>8659500</v>
      </c>
      <c r="S2323" s="108" t="b">
        <f>OR(COUNTIF(Tabla2[[#This Row],[PROVEEDOR]],"*"&amp;'Palabra no opera'!$A$2&amp;"*"))</f>
        <v>0</v>
      </c>
      <c r="T2323" s="139">
        <f>+$W$5-Tabla2[[#This Row],[FECHA DE FACTURACIÓN]]</f>
        <v>774</v>
      </c>
      <c r="U2323" t="str">
        <f>+IF(Tabla2[[#This Row],[dias de credito]]&gt;=Tabla2[[#This Row],[PLAZO Días]],"venc", "No venc")</f>
        <v>venc</v>
      </c>
      <c r="V2323" t="str">
        <f>+IF(Tabla2[[#This Row],[FECHA DE PAGO]]&gt;0,"pagada","por pagar")</f>
        <v>pagada</v>
      </c>
      <c r="W2323" s="141" t="str">
        <f>+IF(AND(Tabla2[[#This Row],[venc]]="venc",Tabla2[[#This Row],[Columna1]]="por pagar"),"vencida","no")</f>
        <v>no</v>
      </c>
    </row>
    <row r="2324" spans="1:23" ht="15.6" hidden="1" x14ac:dyDescent="0.3">
      <c r="A2324" s="20">
        <v>90</v>
      </c>
      <c r="B2324" s="25">
        <v>0</v>
      </c>
      <c r="C2324" s="25"/>
      <c r="D2324" s="56" t="s">
        <v>107</v>
      </c>
      <c r="E2324" s="426">
        <v>44567</v>
      </c>
      <c r="F2324" s="26" t="s">
        <v>374</v>
      </c>
      <c r="G2324" s="426">
        <v>44203</v>
      </c>
      <c r="H2324" s="35"/>
      <c r="I2324" s="21">
        <v>-5180200</v>
      </c>
      <c r="J2324" s="21"/>
      <c r="K2324" s="22">
        <v>0</v>
      </c>
      <c r="L2324" s="23"/>
      <c r="M2324" s="22">
        <v>0</v>
      </c>
      <c r="N2324" s="74">
        <v>0</v>
      </c>
      <c r="O2324" s="22">
        <v>0</v>
      </c>
      <c r="P2324" s="21">
        <v>-5180200</v>
      </c>
      <c r="S2324" s="108" t="b">
        <f>OR(COUNTIF(Tabla2[[#This Row],[PROVEEDOR]],"*"&amp;'Palabra no opera'!$A$2&amp;"*"))</f>
        <v>0</v>
      </c>
      <c r="T2324" s="139">
        <f>+$W$5-Tabla2[[#This Row],[FECHA DE FACTURACIÓN]]</f>
        <v>1088</v>
      </c>
      <c r="U2324" t="str">
        <f>+IF(Tabla2[[#This Row],[dias de credito]]&gt;=Tabla2[[#This Row],[PLAZO Días]],"venc", "No venc")</f>
        <v>venc</v>
      </c>
      <c r="V2324" t="str">
        <f>+IF(Tabla2[[#This Row],[FECHA DE PAGO]]&gt;0,"pagada","por pagar")</f>
        <v>pagada</v>
      </c>
      <c r="W2324" s="141" t="str">
        <f>+IF(AND(Tabla2[[#This Row],[venc]]="venc",Tabla2[[#This Row],[Columna1]]="por pagar"),"vencida","no")</f>
        <v>no</v>
      </c>
    </row>
    <row r="2325" spans="1:23" ht="15.6" hidden="1" x14ac:dyDescent="0.3">
      <c r="A2325" s="20">
        <v>90</v>
      </c>
      <c r="B2325" s="25">
        <v>0</v>
      </c>
      <c r="C2325" s="25"/>
      <c r="D2325" s="56" t="s">
        <v>107</v>
      </c>
      <c r="E2325" s="426">
        <v>44567</v>
      </c>
      <c r="F2325" s="26" t="s">
        <v>374</v>
      </c>
      <c r="G2325" s="426">
        <v>44196</v>
      </c>
      <c r="H2325" s="35"/>
      <c r="I2325" s="21">
        <v>-20009300</v>
      </c>
      <c r="J2325" s="21"/>
      <c r="K2325" s="22">
        <v>0</v>
      </c>
      <c r="L2325" s="23"/>
      <c r="M2325" s="22">
        <v>0</v>
      </c>
      <c r="N2325" s="74">
        <v>0</v>
      </c>
      <c r="O2325" s="22">
        <v>0</v>
      </c>
      <c r="P2325" s="21">
        <v>-20009300</v>
      </c>
      <c r="S2325" s="108" t="b">
        <f>OR(COUNTIF(Tabla2[[#This Row],[PROVEEDOR]],"*"&amp;'Palabra no opera'!$A$2&amp;"*"))</f>
        <v>0</v>
      </c>
      <c r="T2325" s="139">
        <f>+$W$5-Tabla2[[#This Row],[FECHA DE FACTURACIÓN]]</f>
        <v>1095</v>
      </c>
      <c r="U2325" t="str">
        <f>+IF(Tabla2[[#This Row],[dias de credito]]&gt;=Tabla2[[#This Row],[PLAZO Días]],"venc", "No venc")</f>
        <v>venc</v>
      </c>
      <c r="V2325" t="str">
        <f>+IF(Tabla2[[#This Row],[FECHA DE PAGO]]&gt;0,"pagada","por pagar")</f>
        <v>pagada</v>
      </c>
      <c r="W2325" s="141" t="str">
        <f>+IF(AND(Tabla2[[#This Row],[venc]]="venc",Tabla2[[#This Row],[Columna1]]="por pagar"),"vencida","no")</f>
        <v>no</v>
      </c>
    </row>
    <row r="2326" spans="1:23" ht="15.6" hidden="1" x14ac:dyDescent="0.3">
      <c r="A2326" s="20">
        <v>90</v>
      </c>
      <c r="B2326" s="25">
        <v>0</v>
      </c>
      <c r="C2326" s="25"/>
      <c r="D2326" s="56" t="s">
        <v>107</v>
      </c>
      <c r="E2326" s="426">
        <v>44567</v>
      </c>
      <c r="F2326" s="26" t="s">
        <v>374</v>
      </c>
      <c r="G2326" s="426">
        <v>44166</v>
      </c>
      <c r="H2326" s="35"/>
      <c r="I2326" s="21">
        <v>47205435</v>
      </c>
      <c r="J2326" s="21"/>
      <c r="K2326" s="22">
        <v>0</v>
      </c>
      <c r="L2326" s="23"/>
      <c r="M2326" s="22">
        <v>0</v>
      </c>
      <c r="N2326" s="74">
        <v>0</v>
      </c>
      <c r="O2326" s="22">
        <v>0</v>
      </c>
      <c r="P2326" s="21">
        <v>47205435</v>
      </c>
      <c r="S2326" s="108" t="b">
        <f>OR(COUNTIF(Tabla2[[#This Row],[PROVEEDOR]],"*"&amp;'Palabra no opera'!$A$2&amp;"*"))</f>
        <v>0</v>
      </c>
      <c r="T2326" s="139">
        <f>+$W$5-Tabla2[[#This Row],[FECHA DE FACTURACIÓN]]</f>
        <v>1125</v>
      </c>
      <c r="U2326" t="str">
        <f>+IF(Tabla2[[#This Row],[dias de credito]]&gt;=Tabla2[[#This Row],[PLAZO Días]],"venc", "No venc")</f>
        <v>venc</v>
      </c>
      <c r="V2326" t="str">
        <f>+IF(Tabla2[[#This Row],[FECHA DE PAGO]]&gt;0,"pagada","por pagar")</f>
        <v>pagada</v>
      </c>
      <c r="W2326" s="141" t="str">
        <f>+IF(AND(Tabla2[[#This Row],[venc]]="venc",Tabla2[[#This Row],[Columna1]]="por pagar"),"vencida","no")</f>
        <v>no</v>
      </c>
    </row>
    <row r="2327" spans="1:23" ht="15.6" hidden="1" x14ac:dyDescent="0.3">
      <c r="A2327" s="20">
        <v>30</v>
      </c>
      <c r="B2327" s="25">
        <v>0</v>
      </c>
      <c r="C2327" s="25"/>
      <c r="D2327" s="56" t="s">
        <v>107</v>
      </c>
      <c r="E2327" s="426">
        <v>44565</v>
      </c>
      <c r="F2327" s="26" t="s">
        <v>37</v>
      </c>
      <c r="G2327" s="426">
        <v>44565</v>
      </c>
      <c r="H2327" s="35">
        <v>13042</v>
      </c>
      <c r="I2327" s="21">
        <v>42840</v>
      </c>
      <c r="J2327" s="21"/>
      <c r="K2327" s="22">
        <v>8139.6</v>
      </c>
      <c r="L2327" s="23"/>
      <c r="M2327" s="22">
        <v>0</v>
      </c>
      <c r="N2327" s="74">
        <v>0</v>
      </c>
      <c r="O2327" s="22">
        <v>0</v>
      </c>
      <c r="P2327" s="21">
        <v>50979.6</v>
      </c>
      <c r="S2327" s="108" t="b">
        <f>OR(COUNTIF(Tabla2[[#This Row],[PROVEEDOR]],"*"&amp;'Palabra no opera'!$A$2&amp;"*"))</f>
        <v>0</v>
      </c>
      <c r="T2327" s="139">
        <f>+$W$5-Tabla2[[#This Row],[FECHA DE FACTURACIÓN]]</f>
        <v>726</v>
      </c>
      <c r="U2327" t="str">
        <f>+IF(Tabla2[[#This Row],[dias de credito]]&gt;=Tabla2[[#This Row],[PLAZO Días]],"venc", "No venc")</f>
        <v>venc</v>
      </c>
      <c r="V2327" t="str">
        <f>+IF(Tabla2[[#This Row],[FECHA DE PAGO]]&gt;0,"pagada","por pagar")</f>
        <v>pagada</v>
      </c>
      <c r="W2327" s="141" t="str">
        <f>+IF(AND(Tabla2[[#This Row],[venc]]="venc",Tabla2[[#This Row],[Columna1]]="por pagar"),"vencida","no")</f>
        <v>no</v>
      </c>
    </row>
    <row r="2328" spans="1:23" ht="15.6" hidden="1" x14ac:dyDescent="0.3">
      <c r="A2328" s="20">
        <v>30</v>
      </c>
      <c r="B2328" s="25">
        <v>0</v>
      </c>
      <c r="C2328" s="25"/>
      <c r="D2328" s="56" t="s">
        <v>107</v>
      </c>
      <c r="E2328" s="426">
        <v>44565</v>
      </c>
      <c r="F2328" s="26" t="s">
        <v>409</v>
      </c>
      <c r="G2328" s="426">
        <v>44531</v>
      </c>
      <c r="H2328" s="35" t="s">
        <v>311</v>
      </c>
      <c r="I2328" s="21">
        <v>304800</v>
      </c>
      <c r="J2328" s="21"/>
      <c r="K2328" s="22">
        <v>0</v>
      </c>
      <c r="L2328" s="23"/>
      <c r="M2328" s="22">
        <v>0</v>
      </c>
      <c r="N2328" s="74">
        <v>0</v>
      </c>
      <c r="O2328" s="22">
        <v>0</v>
      </c>
      <c r="P2328" s="21">
        <v>304800</v>
      </c>
      <c r="S2328" s="108" t="b">
        <f>OR(COUNTIF(Tabla2[[#This Row],[PROVEEDOR]],"*"&amp;'Palabra no opera'!$A$2&amp;"*"))</f>
        <v>0</v>
      </c>
      <c r="T2328" s="139">
        <f>+$W$5-Tabla2[[#This Row],[FECHA DE FACTURACIÓN]]</f>
        <v>760</v>
      </c>
      <c r="U2328" t="str">
        <f>+IF(Tabla2[[#This Row],[dias de credito]]&gt;=Tabla2[[#This Row],[PLAZO Días]],"venc", "No venc")</f>
        <v>venc</v>
      </c>
      <c r="V2328" t="str">
        <f>+IF(Tabla2[[#This Row],[FECHA DE PAGO]]&gt;0,"pagada","por pagar")</f>
        <v>pagada</v>
      </c>
      <c r="W2328" s="141" t="str">
        <f>+IF(AND(Tabla2[[#This Row],[venc]]="venc",Tabla2[[#This Row],[Columna1]]="por pagar"),"vencida","no")</f>
        <v>no</v>
      </c>
    </row>
    <row r="2329" spans="1:23" ht="15.6" hidden="1" x14ac:dyDescent="0.3">
      <c r="A2329" s="20">
        <v>30</v>
      </c>
      <c r="B2329" s="25">
        <v>0</v>
      </c>
      <c r="C2329" s="25"/>
      <c r="D2329" s="56" t="s">
        <v>107</v>
      </c>
      <c r="E2329" s="68">
        <v>44562</v>
      </c>
      <c r="F2329" s="26" t="s">
        <v>356</v>
      </c>
      <c r="G2329" s="68">
        <v>44562</v>
      </c>
      <c r="H2329" s="35" t="s">
        <v>890</v>
      </c>
      <c r="I2329" s="21">
        <v>693200</v>
      </c>
      <c r="J2329" s="21"/>
      <c r="K2329" s="22">
        <v>0</v>
      </c>
      <c r="L2329" s="23"/>
      <c r="M2329" s="22">
        <v>0</v>
      </c>
      <c r="N2329" s="74">
        <v>0</v>
      </c>
      <c r="O2329" s="22">
        <v>0</v>
      </c>
      <c r="P2329" s="21">
        <v>693200</v>
      </c>
      <c r="S2329" s="108" t="b">
        <f>OR(COUNTIF(Tabla2[[#This Row],[PROVEEDOR]],"*"&amp;'Palabra no opera'!$A$2&amp;"*"))</f>
        <v>0</v>
      </c>
      <c r="T2329" s="139">
        <f>+$W$5-Tabla2[[#This Row],[FECHA DE FACTURACIÓN]]</f>
        <v>729</v>
      </c>
      <c r="U2329" t="str">
        <f>+IF(Tabla2[[#This Row],[dias de credito]]&gt;=Tabla2[[#This Row],[PLAZO Días]],"venc", "No venc")</f>
        <v>venc</v>
      </c>
      <c r="V2329" t="str">
        <f>+IF(Tabla2[[#This Row],[FECHA DE PAGO]]&gt;0,"pagada","por pagar")</f>
        <v>pagada</v>
      </c>
      <c r="W2329" s="141" t="str">
        <f>+IF(AND(Tabla2[[#This Row],[venc]]="venc",Tabla2[[#This Row],[Columna1]]="por pagar"),"vencida","no")</f>
        <v>no</v>
      </c>
    </row>
    <row r="2330" spans="1:23" ht="15.6" hidden="1" x14ac:dyDescent="0.3">
      <c r="A2330" s="20">
        <v>30</v>
      </c>
      <c r="B2330" s="25">
        <v>0</v>
      </c>
      <c r="C2330" s="25"/>
      <c r="D2330" s="56" t="s">
        <v>183</v>
      </c>
      <c r="E2330" s="426">
        <v>44562</v>
      </c>
      <c r="F2330" s="26" t="s">
        <v>34</v>
      </c>
      <c r="G2330" s="426">
        <v>44433</v>
      </c>
      <c r="H2330" s="35" t="s">
        <v>261</v>
      </c>
      <c r="I2330" s="21">
        <v>0</v>
      </c>
      <c r="J2330" s="21"/>
      <c r="K2330" s="22">
        <v>0</v>
      </c>
      <c r="L2330" s="23"/>
      <c r="M2330" s="22">
        <v>0</v>
      </c>
      <c r="N2330" s="74">
        <v>0</v>
      </c>
      <c r="O2330" s="22">
        <v>0</v>
      </c>
      <c r="P2330" s="21">
        <v>-12185</v>
      </c>
      <c r="S2330" s="108" t="b">
        <f>OR(COUNTIF(Tabla2[[#This Row],[PROVEEDOR]],"*"&amp;'Palabra no opera'!$A$2&amp;"*"))</f>
        <v>0</v>
      </c>
      <c r="T2330" s="139">
        <f>+$W$5-Tabla2[[#This Row],[FECHA DE FACTURACIÓN]]</f>
        <v>858</v>
      </c>
      <c r="U2330" t="str">
        <f>+IF(Tabla2[[#This Row],[dias de credito]]&gt;=Tabla2[[#This Row],[PLAZO Días]],"venc", "No venc")</f>
        <v>venc</v>
      </c>
      <c r="V2330" t="str">
        <f>+IF(Tabla2[[#This Row],[FECHA DE PAGO]]&gt;0,"pagada","por pagar")</f>
        <v>pagada</v>
      </c>
      <c r="W2330" s="141" t="str">
        <f>+IF(AND(Tabla2[[#This Row],[venc]]="venc",Tabla2[[#This Row],[Columna1]]="por pagar"),"vencida","no")</f>
        <v>no</v>
      </c>
    </row>
    <row r="2331" spans="1:23" ht="15.6" hidden="1" x14ac:dyDescent="0.3">
      <c r="A2331" s="20">
        <v>30</v>
      </c>
      <c r="B2331" s="25">
        <v>559000</v>
      </c>
      <c r="C2331" s="25"/>
      <c r="D2331" s="56" t="s">
        <v>107</v>
      </c>
      <c r="E2331" s="426"/>
      <c r="F2331" s="26" t="s">
        <v>1133</v>
      </c>
      <c r="G2331" s="426">
        <v>45289</v>
      </c>
      <c r="H2331" s="35" t="s">
        <v>2311</v>
      </c>
      <c r="I2331" s="21">
        <v>759000</v>
      </c>
      <c r="J2331" s="21">
        <v>200000</v>
      </c>
      <c r="K2331" s="22">
        <v>0</v>
      </c>
      <c r="L2331" s="23"/>
      <c r="M2331" s="22">
        <v>0</v>
      </c>
      <c r="N2331" s="74">
        <v>0</v>
      </c>
      <c r="O2331" s="22">
        <v>0</v>
      </c>
      <c r="P2331" s="21">
        <v>559000</v>
      </c>
      <c r="S2331" s="108" t="b">
        <f>OR(COUNTIF(Tabla2[[#This Row],[PROVEEDOR]],"*"&amp;'Palabra no opera'!$A$2&amp;"*"))</f>
        <v>0</v>
      </c>
      <c r="T2331" s="139">
        <f>+$W$5-Tabla2[[#This Row],[FECHA DE FACTURACIÓN]]</f>
        <v>2</v>
      </c>
      <c r="U2331" t="str">
        <f>+IF(Tabla2[[#This Row],[dias de credito]]&gt;=Tabla2[[#This Row],[PLAZO Días]],"venc", "No venc")</f>
        <v>No venc</v>
      </c>
      <c r="V2331" t="str">
        <f>+IF(Tabla2[[#This Row],[FECHA DE PAGO]]&gt;0,"pagada","por pagar")</f>
        <v>por pagar</v>
      </c>
      <c r="W2331" s="141" t="str">
        <f>+IF(AND(Tabla2[[#This Row],[venc]]="venc",Tabla2[[#This Row],[Columna1]]="por pagar"),"vencida","no")</f>
        <v>no</v>
      </c>
    </row>
    <row r="2332" spans="1:23" ht="15.6" hidden="1" x14ac:dyDescent="0.3">
      <c r="A2332" s="20">
        <v>30</v>
      </c>
      <c r="B2332" s="25">
        <v>5537221.7000000002</v>
      </c>
      <c r="C2332" s="25"/>
      <c r="D2332" s="56" t="s">
        <v>402</v>
      </c>
      <c r="E2332" s="426"/>
      <c r="F2332" s="26" t="s">
        <v>293</v>
      </c>
      <c r="G2332" s="426">
        <v>45289</v>
      </c>
      <c r="H2332" s="35" t="s">
        <v>2319</v>
      </c>
      <c r="I2332" s="21">
        <v>1274790</v>
      </c>
      <c r="J2332" s="21"/>
      <c r="K2332" s="22">
        <v>242210.1</v>
      </c>
      <c r="L2332" s="23"/>
      <c r="M2332" s="22">
        <v>0</v>
      </c>
      <c r="N2332" s="74">
        <v>2.5000000000000001E-2</v>
      </c>
      <c r="O2332" s="22">
        <v>31869.75</v>
      </c>
      <c r="P2332" s="21">
        <v>1485130.35</v>
      </c>
      <c r="S2332" s="108" t="b">
        <f>OR(COUNTIF(Tabla2[[#This Row],[PROVEEDOR]],"*"&amp;'Palabra no opera'!$A$2&amp;"*"))</f>
        <v>0</v>
      </c>
      <c r="T2332" s="139">
        <f>+$W$5-Tabla2[[#This Row],[FECHA DE FACTURACIÓN]]</f>
        <v>2</v>
      </c>
      <c r="U2332" t="str">
        <f>+IF(Tabla2[[#This Row],[dias de credito]]&gt;=Tabla2[[#This Row],[PLAZO Días]],"venc", "No venc")</f>
        <v>No venc</v>
      </c>
      <c r="V2332" t="str">
        <f>+IF(Tabla2[[#This Row],[FECHA DE PAGO]]&gt;0,"pagada","por pagar")</f>
        <v>por pagar</v>
      </c>
      <c r="W2332" s="141" t="str">
        <f>+IF(AND(Tabla2[[#This Row],[venc]]="venc",Tabla2[[#This Row],[Columna1]]="por pagar"),"vencida","no")</f>
        <v>no</v>
      </c>
    </row>
    <row r="2333" spans="1:23" ht="15.6" hidden="1" x14ac:dyDescent="0.3">
      <c r="A2333" s="20">
        <v>45</v>
      </c>
      <c r="B2333" s="25">
        <v>3074500</v>
      </c>
      <c r="C2333" s="25"/>
      <c r="D2333" s="56" t="s">
        <v>1482</v>
      </c>
      <c r="E2333" s="426"/>
      <c r="F2333" s="26" t="s">
        <v>289</v>
      </c>
      <c r="G2333" s="426">
        <v>45288</v>
      </c>
      <c r="H2333" s="35">
        <v>1882</v>
      </c>
      <c r="I2333" s="21">
        <v>3074500</v>
      </c>
      <c r="J2333" s="21"/>
      <c r="K2333" s="22">
        <v>0</v>
      </c>
      <c r="L2333" s="23"/>
      <c r="M2333" s="22">
        <v>0</v>
      </c>
      <c r="N2333" s="74">
        <v>0</v>
      </c>
      <c r="O2333" s="22">
        <v>0</v>
      </c>
      <c r="P2333" s="21">
        <v>3074500</v>
      </c>
      <c r="S2333" s="108" t="b">
        <f>OR(COUNTIF(Tabla2[[#This Row],[PROVEEDOR]],"*"&amp;'Palabra no opera'!$A$2&amp;"*"))</f>
        <v>0</v>
      </c>
      <c r="T2333" s="139">
        <f>+$W$5-Tabla2[[#This Row],[FECHA DE FACTURACIÓN]]</f>
        <v>3</v>
      </c>
      <c r="U2333" t="str">
        <f>+IF(Tabla2[[#This Row],[dias de credito]]&gt;=Tabla2[[#This Row],[PLAZO Días]],"venc", "No venc")</f>
        <v>No venc</v>
      </c>
      <c r="V2333" t="str">
        <f>+IF(Tabla2[[#This Row],[FECHA DE PAGO]]&gt;0,"pagada","por pagar")</f>
        <v>por pagar</v>
      </c>
      <c r="W2333" s="141" t="str">
        <f>+IF(AND(Tabla2[[#This Row],[venc]]="venc",Tabla2[[#This Row],[Columna1]]="por pagar"),"vencida","no")</f>
        <v>no</v>
      </c>
    </row>
    <row r="2334" spans="1:23" ht="15.6" hidden="1" x14ac:dyDescent="0.3">
      <c r="A2334" s="20">
        <v>45</v>
      </c>
      <c r="B2334" s="25">
        <v>8072960</v>
      </c>
      <c r="C2334" s="25"/>
      <c r="D2334" s="56" t="s">
        <v>198</v>
      </c>
      <c r="E2334" s="426"/>
      <c r="F2334" s="26" t="s">
        <v>10</v>
      </c>
      <c r="G2334" s="426">
        <v>45287</v>
      </c>
      <c r="H2334" s="35" t="s">
        <v>2298</v>
      </c>
      <c r="I2334" s="21">
        <v>2584000</v>
      </c>
      <c r="J2334" s="21"/>
      <c r="K2334" s="22">
        <v>490960</v>
      </c>
      <c r="L2334" s="23"/>
      <c r="M2334" s="22">
        <v>0</v>
      </c>
      <c r="N2334" s="74">
        <v>0</v>
      </c>
      <c r="O2334" s="22">
        <v>0</v>
      </c>
      <c r="P2334" s="21">
        <v>3074960</v>
      </c>
      <c r="S2334" s="108" t="b">
        <f>OR(COUNTIF(Tabla2[[#This Row],[PROVEEDOR]],"*"&amp;'Palabra no opera'!$A$2&amp;"*"))</f>
        <v>0</v>
      </c>
      <c r="T2334" s="139">
        <f>+$W$5-Tabla2[[#This Row],[FECHA DE FACTURACIÓN]]</f>
        <v>4</v>
      </c>
      <c r="U2334" t="str">
        <f>+IF(Tabla2[[#This Row],[dias de credito]]&gt;=Tabla2[[#This Row],[PLAZO Días]],"venc", "No venc")</f>
        <v>No venc</v>
      </c>
      <c r="V2334" t="str">
        <f>+IF(Tabla2[[#This Row],[FECHA DE PAGO]]&gt;0,"pagada","por pagar")</f>
        <v>por pagar</v>
      </c>
      <c r="W2334" s="141" t="str">
        <f>+IF(AND(Tabla2[[#This Row],[venc]]="venc",Tabla2[[#This Row],[Columna1]]="por pagar"),"vencida","no")</f>
        <v>no</v>
      </c>
    </row>
    <row r="2335" spans="1:23" ht="15.6" hidden="1" x14ac:dyDescent="0.3">
      <c r="A2335" s="20">
        <v>30</v>
      </c>
      <c r="B2335" s="25">
        <v>1320900</v>
      </c>
      <c r="C2335" s="25"/>
      <c r="D2335" s="56">
        <v>0</v>
      </c>
      <c r="E2335" s="426"/>
      <c r="F2335" s="26" t="s">
        <v>1765</v>
      </c>
      <c r="G2335" s="426">
        <v>45287</v>
      </c>
      <c r="H2335" s="35" t="s">
        <v>2303</v>
      </c>
      <c r="I2335" s="21">
        <v>1110000</v>
      </c>
      <c r="J2335" s="21"/>
      <c r="K2335" s="22">
        <v>210900</v>
      </c>
      <c r="L2335" s="23"/>
      <c r="M2335" s="22">
        <v>0</v>
      </c>
      <c r="N2335" s="74">
        <v>0</v>
      </c>
      <c r="O2335" s="22">
        <v>0</v>
      </c>
      <c r="P2335" s="21">
        <v>1320900</v>
      </c>
      <c r="S2335" s="108" t="b">
        <f>OR(COUNTIF(Tabla2[[#This Row],[PROVEEDOR]],"*"&amp;'Palabra no opera'!$A$2&amp;"*"))</f>
        <v>0</v>
      </c>
      <c r="T2335" s="139">
        <f>+$W$5-Tabla2[[#This Row],[FECHA DE FACTURACIÓN]]</f>
        <v>4</v>
      </c>
      <c r="U2335" t="str">
        <f>+IF(Tabla2[[#This Row],[dias de credito]]&gt;=Tabla2[[#This Row],[PLAZO Días]],"venc", "No venc")</f>
        <v>No venc</v>
      </c>
      <c r="V2335" t="str">
        <f>+IF(Tabla2[[#This Row],[FECHA DE PAGO]]&gt;0,"pagada","por pagar")</f>
        <v>por pagar</v>
      </c>
      <c r="W2335" s="141" t="str">
        <f>+IF(AND(Tabla2[[#This Row],[venc]]="venc",Tabla2[[#This Row],[Columna1]]="por pagar"),"vencida","no")</f>
        <v>no</v>
      </c>
    </row>
    <row r="2336" spans="1:23" ht="15.6" hidden="1" x14ac:dyDescent="0.3">
      <c r="A2336" s="20">
        <v>30</v>
      </c>
      <c r="B2336" s="25">
        <v>4248480.9550000001</v>
      </c>
      <c r="C2336" s="25"/>
      <c r="D2336" s="56" t="s">
        <v>107</v>
      </c>
      <c r="E2336" s="426"/>
      <c r="F2336" s="26" t="s">
        <v>78</v>
      </c>
      <c r="G2336" s="426">
        <v>45287</v>
      </c>
      <c r="H2336" s="35" t="s">
        <v>2306</v>
      </c>
      <c r="I2336" s="21">
        <v>128442</v>
      </c>
      <c r="J2336" s="21"/>
      <c r="K2336" s="22">
        <v>24403.98</v>
      </c>
      <c r="L2336" s="23"/>
      <c r="M2336" s="22">
        <v>0</v>
      </c>
      <c r="N2336" s="74">
        <v>0</v>
      </c>
      <c r="O2336" s="22">
        <v>0</v>
      </c>
      <c r="P2336" s="21">
        <v>152845.98000000001</v>
      </c>
      <c r="S2336" s="108" t="b">
        <f>OR(COUNTIF(Tabla2[[#This Row],[PROVEEDOR]],"*"&amp;'Palabra no opera'!$A$2&amp;"*"))</f>
        <v>0</v>
      </c>
      <c r="T2336" s="139">
        <f>+$W$5-Tabla2[[#This Row],[FECHA DE FACTURACIÓN]]</f>
        <v>4</v>
      </c>
      <c r="U2336" t="str">
        <f>+IF(Tabla2[[#This Row],[dias de credito]]&gt;=Tabla2[[#This Row],[PLAZO Días]],"venc", "No venc")</f>
        <v>No venc</v>
      </c>
      <c r="V2336" t="str">
        <f>+IF(Tabla2[[#This Row],[FECHA DE PAGO]]&gt;0,"pagada","por pagar")</f>
        <v>por pagar</v>
      </c>
      <c r="W2336" s="141" t="str">
        <f>+IF(AND(Tabla2[[#This Row],[venc]]="venc",Tabla2[[#This Row],[Columna1]]="por pagar"),"vencida","no")</f>
        <v>no</v>
      </c>
    </row>
    <row r="2337" spans="1:23" ht="15.6" hidden="1" x14ac:dyDescent="0.3">
      <c r="A2337" s="20">
        <v>30</v>
      </c>
      <c r="B2337" s="25">
        <v>17870934.149999999</v>
      </c>
      <c r="C2337" s="25"/>
      <c r="D2337" s="56" t="s">
        <v>182</v>
      </c>
      <c r="E2337" s="426"/>
      <c r="F2337" s="26" t="s">
        <v>18</v>
      </c>
      <c r="G2337" s="426">
        <v>45287</v>
      </c>
      <c r="H2337" s="35" t="s">
        <v>2308</v>
      </c>
      <c r="I2337" s="21">
        <v>6665062</v>
      </c>
      <c r="J2337" s="21"/>
      <c r="K2337" s="22">
        <v>1266361.78</v>
      </c>
      <c r="L2337" s="23"/>
      <c r="M2337" s="22">
        <v>0</v>
      </c>
      <c r="N2337" s="74">
        <v>2.5000000000000001E-2</v>
      </c>
      <c r="O2337" s="22">
        <v>166626.55000000002</v>
      </c>
      <c r="P2337" s="21">
        <v>7764797.2300000004</v>
      </c>
      <c r="S2337" s="108" t="b">
        <f>OR(COUNTIF(Tabla2[[#This Row],[PROVEEDOR]],"*"&amp;'Palabra no opera'!$A$2&amp;"*"))</f>
        <v>0</v>
      </c>
      <c r="T2337" s="139">
        <f>+$W$5-Tabla2[[#This Row],[FECHA DE FACTURACIÓN]]</f>
        <v>4</v>
      </c>
      <c r="U2337" t="str">
        <f>+IF(Tabla2[[#This Row],[dias de credito]]&gt;=Tabla2[[#This Row],[PLAZO Días]],"venc", "No venc")</f>
        <v>No venc</v>
      </c>
      <c r="V2337" t="str">
        <f>+IF(Tabla2[[#This Row],[FECHA DE PAGO]]&gt;0,"pagada","por pagar")</f>
        <v>por pagar</v>
      </c>
      <c r="W2337" s="141" t="str">
        <f>+IF(AND(Tabla2[[#This Row],[venc]]="venc",Tabla2[[#This Row],[Columna1]]="por pagar"),"vencida","no")</f>
        <v>no</v>
      </c>
    </row>
    <row r="2338" spans="1:23" ht="15.6" hidden="1" x14ac:dyDescent="0.3">
      <c r="A2338" s="20">
        <v>30</v>
      </c>
      <c r="B2338" s="25">
        <v>27189617.395</v>
      </c>
      <c r="C2338" s="25"/>
      <c r="D2338" s="56" t="s">
        <v>686</v>
      </c>
      <c r="E2338" s="426"/>
      <c r="F2338" s="26" t="s">
        <v>77</v>
      </c>
      <c r="G2338" s="426">
        <v>45287</v>
      </c>
      <c r="H2338" s="35" t="s">
        <v>2320</v>
      </c>
      <c r="I2338" s="21">
        <v>18270200</v>
      </c>
      <c r="J2338" s="21"/>
      <c r="K2338" s="22">
        <v>3471338</v>
      </c>
      <c r="L2338" s="23"/>
      <c r="M2338" s="22">
        <v>6400000</v>
      </c>
      <c r="N2338" s="74">
        <v>2.5000000000000001E-2</v>
      </c>
      <c r="O2338" s="22">
        <v>456755</v>
      </c>
      <c r="P2338" s="21">
        <v>14884783</v>
      </c>
      <c r="S2338" s="108" t="b">
        <f>OR(COUNTIF(Tabla2[[#This Row],[PROVEEDOR]],"*"&amp;'Palabra no opera'!$A$2&amp;"*"))</f>
        <v>0</v>
      </c>
      <c r="T2338" s="139">
        <f>+$W$5-Tabla2[[#This Row],[FECHA DE FACTURACIÓN]]</f>
        <v>4</v>
      </c>
      <c r="U2338" t="str">
        <f>+IF(Tabla2[[#This Row],[dias de credito]]&gt;=Tabla2[[#This Row],[PLAZO Días]],"venc", "No venc")</f>
        <v>No venc</v>
      </c>
      <c r="V2338" t="str">
        <f>+IF(Tabla2[[#This Row],[FECHA DE PAGO]]&gt;0,"pagada","por pagar")</f>
        <v>por pagar</v>
      </c>
      <c r="W2338" s="141" t="str">
        <f>+IF(AND(Tabla2[[#This Row],[venc]]="venc",Tabla2[[#This Row],[Columna1]]="por pagar"),"vencida","no")</f>
        <v>no</v>
      </c>
    </row>
    <row r="2339" spans="1:23" ht="15.6" hidden="1" x14ac:dyDescent="0.3">
      <c r="A2339" s="20">
        <v>30</v>
      </c>
      <c r="B2339" s="25">
        <v>22881826.27</v>
      </c>
      <c r="C2339" s="25"/>
      <c r="D2339" s="56" t="s">
        <v>197</v>
      </c>
      <c r="E2339" s="426"/>
      <c r="F2339" s="26" t="s">
        <v>9</v>
      </c>
      <c r="G2339" s="426">
        <v>45286</v>
      </c>
      <c r="H2339" s="35" t="s">
        <v>2295</v>
      </c>
      <c r="I2339" s="21">
        <v>487650</v>
      </c>
      <c r="J2339" s="21"/>
      <c r="K2339" s="22">
        <v>92653.5</v>
      </c>
      <c r="L2339" s="23"/>
      <c r="M2339" s="22">
        <v>0</v>
      </c>
      <c r="N2339" s="74">
        <v>0</v>
      </c>
      <c r="O2339" s="22">
        <v>0</v>
      </c>
      <c r="P2339" s="21">
        <v>580303.5</v>
      </c>
      <c r="S2339" s="108" t="b">
        <f>OR(COUNTIF(Tabla2[[#This Row],[PROVEEDOR]],"*"&amp;'Palabra no opera'!$A$2&amp;"*"))</f>
        <v>0</v>
      </c>
      <c r="T2339" s="139">
        <f>+$W$5-Tabla2[[#This Row],[FECHA DE FACTURACIÓN]]</f>
        <v>5</v>
      </c>
      <c r="U2339" t="str">
        <f>+IF(Tabla2[[#This Row],[dias de credito]]&gt;=Tabla2[[#This Row],[PLAZO Días]],"venc", "No venc")</f>
        <v>No venc</v>
      </c>
      <c r="V2339" t="str">
        <f>+IF(Tabla2[[#This Row],[FECHA DE PAGO]]&gt;0,"pagada","por pagar")</f>
        <v>por pagar</v>
      </c>
      <c r="W2339" s="141" t="str">
        <f>+IF(AND(Tabla2[[#This Row],[venc]]="venc",Tabla2[[#This Row],[Columna1]]="por pagar"),"vencida","no")</f>
        <v>no</v>
      </c>
    </row>
    <row r="2340" spans="1:23" ht="15.6" hidden="1" x14ac:dyDescent="0.3">
      <c r="A2340" s="20">
        <v>30</v>
      </c>
      <c r="B2340" s="25">
        <v>10321993.199999999</v>
      </c>
      <c r="C2340" s="25"/>
      <c r="D2340" s="56" t="s">
        <v>189</v>
      </c>
      <c r="E2340" s="426"/>
      <c r="F2340" s="26" t="s">
        <v>1068</v>
      </c>
      <c r="G2340" s="426">
        <v>45286</v>
      </c>
      <c r="H2340" s="35" t="s">
        <v>2304</v>
      </c>
      <c r="I2340" s="21">
        <v>4116710</v>
      </c>
      <c r="J2340" s="21">
        <v>316670</v>
      </c>
      <c r="K2340" s="22">
        <v>722007.6</v>
      </c>
      <c r="L2340" s="23"/>
      <c r="M2340" s="22">
        <v>0</v>
      </c>
      <c r="N2340" s="74">
        <v>2.5000000000000001E-2</v>
      </c>
      <c r="O2340" s="22">
        <v>95001</v>
      </c>
      <c r="P2340" s="21">
        <v>4427046.5999999996</v>
      </c>
      <c r="S2340" s="108" t="b">
        <f>OR(COUNTIF(Tabla2[[#This Row],[PROVEEDOR]],"*"&amp;'Palabra no opera'!$A$2&amp;"*"))</f>
        <v>0</v>
      </c>
      <c r="T2340" s="139">
        <f>+$W$5-Tabla2[[#This Row],[FECHA DE FACTURACIÓN]]</f>
        <v>5</v>
      </c>
      <c r="U2340" t="str">
        <f>+IF(Tabla2[[#This Row],[dias de credito]]&gt;=Tabla2[[#This Row],[PLAZO Días]],"venc", "No venc")</f>
        <v>No venc</v>
      </c>
      <c r="V2340" t="str">
        <f>+IF(Tabla2[[#This Row],[FECHA DE PAGO]]&gt;0,"pagada","por pagar")</f>
        <v>por pagar</v>
      </c>
      <c r="W2340" s="141" t="str">
        <f>+IF(AND(Tabla2[[#This Row],[venc]]="venc",Tabla2[[#This Row],[Columna1]]="por pagar"),"vencida","no")</f>
        <v>no</v>
      </c>
    </row>
    <row r="2341" spans="1:23" ht="15.6" hidden="1" x14ac:dyDescent="0.3">
      <c r="A2341" s="20">
        <v>60</v>
      </c>
      <c r="B2341" s="25">
        <v>395600</v>
      </c>
      <c r="C2341" s="25"/>
      <c r="D2341" s="56" t="s">
        <v>1482</v>
      </c>
      <c r="E2341" s="426"/>
      <c r="F2341" s="26" t="s">
        <v>287</v>
      </c>
      <c r="G2341" s="426">
        <v>45282</v>
      </c>
      <c r="H2341" s="35">
        <v>1873</v>
      </c>
      <c r="I2341" s="21">
        <v>395600</v>
      </c>
      <c r="J2341" s="21"/>
      <c r="K2341" s="22">
        <v>0</v>
      </c>
      <c r="L2341" s="23"/>
      <c r="M2341" s="22">
        <v>0</v>
      </c>
      <c r="N2341" s="74">
        <v>0</v>
      </c>
      <c r="O2341" s="22">
        <v>0</v>
      </c>
      <c r="P2341" s="21">
        <v>395600</v>
      </c>
      <c r="S2341" s="108" t="b">
        <f>OR(COUNTIF(Tabla2[[#This Row],[PROVEEDOR]],"*"&amp;'Palabra no opera'!$A$2&amp;"*"))</f>
        <v>0</v>
      </c>
      <c r="T2341" s="139">
        <f>+$W$5-Tabla2[[#This Row],[FECHA DE FACTURACIÓN]]</f>
        <v>9</v>
      </c>
      <c r="U2341" t="str">
        <f>+IF(Tabla2[[#This Row],[dias de credito]]&gt;=Tabla2[[#This Row],[PLAZO Días]],"venc", "No venc")</f>
        <v>No venc</v>
      </c>
      <c r="V2341" t="str">
        <f>+IF(Tabla2[[#This Row],[FECHA DE PAGO]]&gt;0,"pagada","por pagar")</f>
        <v>por pagar</v>
      </c>
      <c r="W2341" s="141" t="str">
        <f>+IF(AND(Tabla2[[#This Row],[venc]]="venc",Tabla2[[#This Row],[Columna1]]="por pagar"),"vencida","no")</f>
        <v>no</v>
      </c>
    </row>
    <row r="2342" spans="1:23" ht="15.6" hidden="1" x14ac:dyDescent="0.3">
      <c r="A2342" s="20">
        <v>30</v>
      </c>
      <c r="B2342" s="25">
        <v>2100000</v>
      </c>
      <c r="C2342" s="25"/>
      <c r="D2342" s="56" t="s">
        <v>107</v>
      </c>
      <c r="E2342" s="426"/>
      <c r="F2342" s="26" t="s">
        <v>349</v>
      </c>
      <c r="G2342" s="426">
        <v>45282</v>
      </c>
      <c r="H2342" s="35" t="s">
        <v>2290</v>
      </c>
      <c r="I2342" s="21">
        <v>1500000</v>
      </c>
      <c r="J2342" s="21"/>
      <c r="K2342" s="22">
        <v>0</v>
      </c>
      <c r="L2342" s="23"/>
      <c r="M2342" s="22">
        <v>0</v>
      </c>
      <c r="N2342" s="74">
        <v>0</v>
      </c>
      <c r="O2342" s="22">
        <v>0</v>
      </c>
      <c r="P2342" s="21">
        <v>1500000</v>
      </c>
      <c r="S2342" s="108" t="b">
        <f>OR(COUNTIF(Tabla2[[#This Row],[PROVEEDOR]],"*"&amp;'Palabra no opera'!$A$2&amp;"*"))</f>
        <v>0</v>
      </c>
      <c r="T2342" s="139">
        <f>+$W$5-Tabla2[[#This Row],[FECHA DE FACTURACIÓN]]</f>
        <v>9</v>
      </c>
      <c r="U2342" t="str">
        <f>+IF(Tabla2[[#This Row],[dias de credito]]&gt;=Tabla2[[#This Row],[PLAZO Días]],"venc", "No venc")</f>
        <v>No venc</v>
      </c>
      <c r="V2342" t="str">
        <f>+IF(Tabla2[[#This Row],[FECHA DE PAGO]]&gt;0,"pagada","por pagar")</f>
        <v>por pagar</v>
      </c>
      <c r="W2342" s="141" t="str">
        <f>+IF(AND(Tabla2[[#This Row],[venc]]="venc",Tabla2[[#This Row],[Columna1]]="por pagar"),"vencida","no")</f>
        <v>no</v>
      </c>
    </row>
    <row r="2343" spans="1:23" ht="15.6" hidden="1" x14ac:dyDescent="0.3">
      <c r="A2343" s="20">
        <v>30</v>
      </c>
      <c r="B2343" s="25">
        <v>4248480.9550000001</v>
      </c>
      <c r="C2343" s="25"/>
      <c r="D2343" s="56" t="s">
        <v>107</v>
      </c>
      <c r="E2343" s="426"/>
      <c r="F2343" s="26" t="s">
        <v>78</v>
      </c>
      <c r="G2343" s="426">
        <v>45282</v>
      </c>
      <c r="H2343" s="35" t="s">
        <v>2307</v>
      </c>
      <c r="I2343" s="21">
        <v>1308311</v>
      </c>
      <c r="J2343" s="21"/>
      <c r="K2343" s="22">
        <v>248579.09</v>
      </c>
      <c r="L2343" s="23"/>
      <c r="M2343" s="22">
        <v>0</v>
      </c>
      <c r="N2343" s="74">
        <v>2.5000000000000001E-2</v>
      </c>
      <c r="O2343" s="22">
        <v>32707.775000000001</v>
      </c>
      <c r="P2343" s="21">
        <v>1524182.3150000002</v>
      </c>
      <c r="S2343" s="108" t="b">
        <f>OR(COUNTIF(Tabla2[[#This Row],[PROVEEDOR]],"*"&amp;'Palabra no opera'!$A$2&amp;"*"))</f>
        <v>0</v>
      </c>
      <c r="T2343" s="139">
        <f>+$W$5-Tabla2[[#This Row],[FECHA DE FACTURACIÓN]]</f>
        <v>9</v>
      </c>
      <c r="U2343" t="str">
        <f>+IF(Tabla2[[#This Row],[dias de credito]]&gt;=Tabla2[[#This Row],[PLAZO Días]],"venc", "No venc")</f>
        <v>No venc</v>
      </c>
      <c r="V2343" t="str">
        <f>+IF(Tabla2[[#This Row],[FECHA DE PAGO]]&gt;0,"pagada","por pagar")</f>
        <v>por pagar</v>
      </c>
      <c r="W2343" s="141" t="str">
        <f>+IF(AND(Tabla2[[#This Row],[venc]]="venc",Tabla2[[#This Row],[Columna1]]="por pagar"),"vencida","no")</f>
        <v>no</v>
      </c>
    </row>
    <row r="2344" spans="1:23" ht="15.6" hidden="1" x14ac:dyDescent="0.3">
      <c r="A2344" s="20">
        <v>30</v>
      </c>
      <c r="B2344" s="25">
        <v>22881826.27</v>
      </c>
      <c r="C2344" s="25"/>
      <c r="D2344" s="56" t="s">
        <v>197</v>
      </c>
      <c r="E2344" s="426"/>
      <c r="F2344" s="26" t="s">
        <v>9</v>
      </c>
      <c r="G2344" s="426">
        <v>45281</v>
      </c>
      <c r="H2344" s="35" t="s">
        <v>2270</v>
      </c>
      <c r="I2344" s="21">
        <v>19142938</v>
      </c>
      <c r="J2344" s="21"/>
      <c r="K2344" s="22">
        <v>3637158.22</v>
      </c>
      <c r="L2344" s="23"/>
      <c r="M2344" s="22">
        <v>0</v>
      </c>
      <c r="N2344" s="74">
        <v>2.5000000000000001E-2</v>
      </c>
      <c r="O2344" s="22">
        <v>478573.45</v>
      </c>
      <c r="P2344" s="21">
        <v>22301522.77</v>
      </c>
      <c r="S2344" s="108" t="b">
        <f>OR(COUNTIF(Tabla2[[#This Row],[PROVEEDOR]],"*"&amp;'Palabra no opera'!$A$2&amp;"*"))</f>
        <v>0</v>
      </c>
      <c r="T2344" s="139">
        <f>+$W$5-Tabla2[[#This Row],[FECHA DE FACTURACIÓN]]</f>
        <v>10</v>
      </c>
      <c r="U2344" t="str">
        <f>+IF(Tabla2[[#This Row],[dias de credito]]&gt;=Tabla2[[#This Row],[PLAZO Días]],"venc", "No venc")</f>
        <v>No venc</v>
      </c>
      <c r="V2344" t="str">
        <f>+IF(Tabla2[[#This Row],[FECHA DE PAGO]]&gt;0,"pagada","por pagar")</f>
        <v>por pagar</v>
      </c>
      <c r="W2344" s="141" t="str">
        <f>+IF(AND(Tabla2[[#This Row],[venc]]="venc",Tabla2[[#This Row],[Columna1]]="por pagar"),"vencida","no")</f>
        <v>no</v>
      </c>
    </row>
    <row r="2345" spans="1:23" ht="15.6" hidden="1" x14ac:dyDescent="0.3">
      <c r="A2345" s="20">
        <v>30</v>
      </c>
      <c r="B2345" s="25">
        <v>2773899.95</v>
      </c>
      <c r="C2345" s="25"/>
      <c r="D2345" s="56" t="s">
        <v>135</v>
      </c>
      <c r="E2345" s="426"/>
      <c r="F2345" s="26" t="s">
        <v>20</v>
      </c>
      <c r="G2345" s="426">
        <v>45280</v>
      </c>
      <c r="H2345" s="35" t="s">
        <v>2274</v>
      </c>
      <c r="I2345" s="21">
        <v>2381030</v>
      </c>
      <c r="J2345" s="21"/>
      <c r="K2345" s="22">
        <v>452395.7</v>
      </c>
      <c r="L2345" s="23"/>
      <c r="M2345" s="22">
        <v>0</v>
      </c>
      <c r="N2345" s="74">
        <v>2.5000000000000001E-2</v>
      </c>
      <c r="O2345" s="22">
        <v>59525.75</v>
      </c>
      <c r="P2345" s="21">
        <v>2773899.95</v>
      </c>
      <c r="S2345" s="108" t="b">
        <f>OR(COUNTIF(Tabla2[[#This Row],[PROVEEDOR]],"*"&amp;'Palabra no opera'!$A$2&amp;"*"))</f>
        <v>0</v>
      </c>
      <c r="T2345" s="139">
        <f>+$W$5-Tabla2[[#This Row],[FECHA DE FACTURACIÓN]]</f>
        <v>11</v>
      </c>
      <c r="U2345" t="str">
        <f>+IF(Tabla2[[#This Row],[dias de credito]]&gt;=Tabla2[[#This Row],[PLAZO Días]],"venc", "No venc")</f>
        <v>No venc</v>
      </c>
      <c r="V2345" t="str">
        <f>+IF(Tabla2[[#This Row],[FECHA DE PAGO]]&gt;0,"pagada","por pagar")</f>
        <v>por pagar</v>
      </c>
      <c r="W2345" s="141" t="str">
        <f>+IF(AND(Tabla2[[#This Row],[venc]]="venc",Tabla2[[#This Row],[Columna1]]="por pagar"),"vencida","no")</f>
        <v>no</v>
      </c>
    </row>
    <row r="2346" spans="1:23" ht="15.6" hidden="1" x14ac:dyDescent="0.3">
      <c r="A2346" s="20">
        <v>30</v>
      </c>
      <c r="B2346" s="25">
        <v>18444236.894999996</v>
      </c>
      <c r="C2346" s="25"/>
      <c r="D2346" s="56" t="s">
        <v>731</v>
      </c>
      <c r="E2346" s="426"/>
      <c r="F2346" s="26" t="s">
        <v>11</v>
      </c>
      <c r="G2346" s="426">
        <v>45280</v>
      </c>
      <c r="H2346" s="35" t="s">
        <v>2293</v>
      </c>
      <c r="I2346" s="21">
        <v>3882361</v>
      </c>
      <c r="J2346" s="21"/>
      <c r="K2346" s="22">
        <v>737648.59</v>
      </c>
      <c r="L2346" s="23"/>
      <c r="M2346" s="22">
        <v>0</v>
      </c>
      <c r="N2346" s="74">
        <v>2.5000000000000001E-2</v>
      </c>
      <c r="O2346" s="22">
        <v>97059.025000000009</v>
      </c>
      <c r="P2346" s="21">
        <v>4522950.5649999995</v>
      </c>
      <c r="S2346" s="108" t="b">
        <f>OR(COUNTIF(Tabla2[[#This Row],[PROVEEDOR]],"*"&amp;'Palabra no opera'!$A$2&amp;"*"))</f>
        <v>0</v>
      </c>
      <c r="T2346" s="139">
        <f>+$W$5-Tabla2[[#This Row],[FECHA DE FACTURACIÓN]]</f>
        <v>11</v>
      </c>
      <c r="U2346" t="str">
        <f>+IF(Tabla2[[#This Row],[dias de credito]]&gt;=Tabla2[[#This Row],[PLAZO Días]],"venc", "No venc")</f>
        <v>No venc</v>
      </c>
      <c r="V2346" t="str">
        <f>+IF(Tabla2[[#This Row],[FECHA DE PAGO]]&gt;0,"pagada","por pagar")</f>
        <v>por pagar</v>
      </c>
      <c r="W2346" s="141" t="str">
        <f>+IF(AND(Tabla2[[#This Row],[venc]]="venc",Tabla2[[#This Row],[Columna1]]="por pagar"),"vencida","no")</f>
        <v>no</v>
      </c>
    </row>
    <row r="2347" spans="1:23" ht="15.6" hidden="1" x14ac:dyDescent="0.3">
      <c r="A2347" s="20">
        <v>30</v>
      </c>
      <c r="B2347" s="25">
        <v>18444236.894999996</v>
      </c>
      <c r="C2347" s="25"/>
      <c r="D2347" s="56" t="s">
        <v>731</v>
      </c>
      <c r="E2347" s="426"/>
      <c r="F2347" s="26" t="s">
        <v>11</v>
      </c>
      <c r="G2347" s="426">
        <v>45280</v>
      </c>
      <c r="H2347" s="35" t="s">
        <v>2294</v>
      </c>
      <c r="I2347" s="21">
        <v>3882361</v>
      </c>
      <c r="J2347" s="21"/>
      <c r="K2347" s="22">
        <v>737648.59</v>
      </c>
      <c r="L2347" s="23"/>
      <c r="M2347" s="22">
        <v>0</v>
      </c>
      <c r="N2347" s="74">
        <v>2.5000000000000001E-2</v>
      </c>
      <c r="O2347" s="22">
        <v>97059.025000000009</v>
      </c>
      <c r="P2347" s="21">
        <v>4522950.5649999995</v>
      </c>
      <c r="S2347" s="108" t="b">
        <f>OR(COUNTIF(Tabla2[[#This Row],[PROVEEDOR]],"*"&amp;'Palabra no opera'!$A$2&amp;"*"))</f>
        <v>0</v>
      </c>
      <c r="T2347" s="139">
        <f>+$W$5-Tabla2[[#This Row],[FECHA DE FACTURACIÓN]]</f>
        <v>11</v>
      </c>
      <c r="U2347" t="str">
        <f>+IF(Tabla2[[#This Row],[dias de credito]]&gt;=Tabla2[[#This Row],[PLAZO Días]],"venc", "No venc")</f>
        <v>No venc</v>
      </c>
      <c r="V2347" t="str">
        <f>+IF(Tabla2[[#This Row],[FECHA DE PAGO]]&gt;0,"pagada","por pagar")</f>
        <v>por pagar</v>
      </c>
      <c r="W2347" s="141" t="str">
        <f>+IF(AND(Tabla2[[#This Row],[venc]]="venc",Tabla2[[#This Row],[Columna1]]="por pagar"),"vencida","no")</f>
        <v>no</v>
      </c>
    </row>
    <row r="2348" spans="1:23" ht="15.6" hidden="1" x14ac:dyDescent="0.3">
      <c r="A2348" s="20">
        <v>30</v>
      </c>
      <c r="B2348" s="25">
        <v>4248480.9550000001</v>
      </c>
      <c r="C2348" s="25"/>
      <c r="D2348" s="56" t="s">
        <v>107</v>
      </c>
      <c r="E2348" s="426"/>
      <c r="F2348" s="26" t="s">
        <v>78</v>
      </c>
      <c r="G2348" s="426">
        <v>45280</v>
      </c>
      <c r="H2348" s="35" t="s">
        <v>2305</v>
      </c>
      <c r="I2348" s="21">
        <v>616355</v>
      </c>
      <c r="J2348" s="21"/>
      <c r="K2348" s="22">
        <v>117107.45</v>
      </c>
      <c r="L2348" s="23"/>
      <c r="M2348" s="22">
        <v>0</v>
      </c>
      <c r="N2348" s="74">
        <v>0</v>
      </c>
      <c r="O2348" s="22">
        <v>0</v>
      </c>
      <c r="P2348" s="21">
        <v>733462.45</v>
      </c>
      <c r="S2348" s="108" t="b">
        <f>OR(COUNTIF(Tabla2[[#This Row],[PROVEEDOR]],"*"&amp;'Palabra no opera'!$A$2&amp;"*"))</f>
        <v>0</v>
      </c>
      <c r="T2348" s="139">
        <f>+$W$5-Tabla2[[#This Row],[FECHA DE FACTURACIÓN]]</f>
        <v>11</v>
      </c>
      <c r="U2348" t="str">
        <f>+IF(Tabla2[[#This Row],[dias de credito]]&gt;=Tabla2[[#This Row],[PLAZO Días]],"venc", "No venc")</f>
        <v>No venc</v>
      </c>
      <c r="V2348" t="str">
        <f>+IF(Tabla2[[#This Row],[FECHA DE PAGO]]&gt;0,"pagada","por pagar")</f>
        <v>por pagar</v>
      </c>
      <c r="W2348" s="141" t="str">
        <f>+IF(AND(Tabla2[[#This Row],[venc]]="venc",Tabla2[[#This Row],[Columna1]]="por pagar"),"vencida","no")</f>
        <v>no</v>
      </c>
    </row>
    <row r="2349" spans="1:23" ht="15.6" hidden="1" x14ac:dyDescent="0.3">
      <c r="A2349" s="20">
        <v>30</v>
      </c>
      <c r="B2349" s="25">
        <v>1316890.8900000001</v>
      </c>
      <c r="C2349" s="25"/>
      <c r="D2349" s="56" t="s">
        <v>188</v>
      </c>
      <c r="E2349" s="426"/>
      <c r="F2349" s="26" t="s">
        <v>17</v>
      </c>
      <c r="G2349" s="426">
        <v>45279</v>
      </c>
      <c r="H2349" s="35" t="s">
        <v>2273</v>
      </c>
      <c r="I2349" s="21">
        <v>1106631</v>
      </c>
      <c r="J2349" s="21"/>
      <c r="K2349" s="22">
        <v>210259.89</v>
      </c>
      <c r="L2349" s="23"/>
      <c r="M2349" s="22">
        <v>0</v>
      </c>
      <c r="N2349" s="74">
        <v>0</v>
      </c>
      <c r="O2349" s="22">
        <v>0</v>
      </c>
      <c r="P2349" s="21">
        <v>1316890.8900000001</v>
      </c>
      <c r="S2349" s="108" t="b">
        <f>OR(COUNTIF(Tabla2[[#This Row],[PROVEEDOR]],"*"&amp;'Palabra no opera'!$A$2&amp;"*"))</f>
        <v>0</v>
      </c>
      <c r="T2349" s="139">
        <f>+$W$5-Tabla2[[#This Row],[FECHA DE FACTURACIÓN]]</f>
        <v>12</v>
      </c>
      <c r="U2349" t="str">
        <f>+IF(Tabla2[[#This Row],[dias de credito]]&gt;=Tabla2[[#This Row],[PLAZO Días]],"venc", "No venc")</f>
        <v>No venc</v>
      </c>
      <c r="V2349" t="str">
        <f>+IF(Tabla2[[#This Row],[FECHA DE PAGO]]&gt;0,"pagada","por pagar")</f>
        <v>por pagar</v>
      </c>
      <c r="W2349" s="141" t="str">
        <f>+IF(AND(Tabla2[[#This Row],[venc]]="venc",Tabla2[[#This Row],[Columna1]]="por pagar"),"vencida","no")</f>
        <v>no</v>
      </c>
    </row>
    <row r="2350" spans="1:23" ht="15.6" hidden="1" x14ac:dyDescent="0.3">
      <c r="A2350" s="20">
        <v>30</v>
      </c>
      <c r="B2350" s="25">
        <v>1034000.52</v>
      </c>
      <c r="C2350" s="25"/>
      <c r="D2350" s="56" t="s">
        <v>177</v>
      </c>
      <c r="E2350" s="426"/>
      <c r="F2350" s="26" t="s">
        <v>168</v>
      </c>
      <c r="G2350" s="426">
        <v>45278</v>
      </c>
      <c r="H2350" s="35" t="s">
        <v>2271</v>
      </c>
      <c r="I2350" s="21">
        <v>868908</v>
      </c>
      <c r="J2350" s="21"/>
      <c r="K2350" s="22">
        <v>165092.51999999999</v>
      </c>
      <c r="L2350" s="23"/>
      <c r="M2350" s="22">
        <v>0</v>
      </c>
      <c r="N2350" s="74">
        <v>0</v>
      </c>
      <c r="O2350" s="22">
        <v>0</v>
      </c>
      <c r="P2350" s="21">
        <v>1034000.52</v>
      </c>
      <c r="S2350" s="108" t="b">
        <f>OR(COUNTIF(Tabla2[[#This Row],[PROVEEDOR]],"*"&amp;'Palabra no opera'!$A$2&amp;"*"))</f>
        <v>0</v>
      </c>
      <c r="T2350" s="139">
        <f>+$W$5-Tabla2[[#This Row],[FECHA DE FACTURACIÓN]]</f>
        <v>13</v>
      </c>
      <c r="U2350" t="str">
        <f>+IF(Tabla2[[#This Row],[dias de credito]]&gt;=Tabla2[[#This Row],[PLAZO Días]],"venc", "No venc")</f>
        <v>No venc</v>
      </c>
      <c r="V2350" t="str">
        <f>+IF(Tabla2[[#This Row],[FECHA DE PAGO]]&gt;0,"pagada","por pagar")</f>
        <v>por pagar</v>
      </c>
      <c r="W2350" s="141" t="str">
        <f>+IF(AND(Tabla2[[#This Row],[venc]]="venc",Tabla2[[#This Row],[Columna1]]="por pagar"),"vencida","no")</f>
        <v>no</v>
      </c>
    </row>
    <row r="2351" spans="1:23" ht="15.6" hidden="1" x14ac:dyDescent="0.3">
      <c r="A2351" s="20">
        <v>30</v>
      </c>
      <c r="B2351" s="25">
        <v>17870934.149999999</v>
      </c>
      <c r="C2351" s="25"/>
      <c r="D2351" s="56" t="s">
        <v>182</v>
      </c>
      <c r="E2351" s="426"/>
      <c r="F2351" s="26" t="s">
        <v>18</v>
      </c>
      <c r="G2351" s="426">
        <v>45275</v>
      </c>
      <c r="H2351" s="35" t="s">
        <v>2275</v>
      </c>
      <c r="I2351" s="21">
        <v>5597576</v>
      </c>
      <c r="J2351" s="21"/>
      <c r="K2351" s="22">
        <v>1063539.44</v>
      </c>
      <c r="L2351" s="23"/>
      <c r="M2351" s="22">
        <v>0</v>
      </c>
      <c r="N2351" s="74">
        <v>2.5000000000000001E-2</v>
      </c>
      <c r="O2351" s="22">
        <v>139939.4</v>
      </c>
      <c r="P2351" s="21">
        <v>6521176.0399999991</v>
      </c>
      <c r="S2351" s="108" t="b">
        <f>OR(COUNTIF(Tabla2[[#This Row],[PROVEEDOR]],"*"&amp;'Palabra no opera'!$A$2&amp;"*"))</f>
        <v>0</v>
      </c>
      <c r="T2351" s="139">
        <f>+$W$5-Tabla2[[#This Row],[FECHA DE FACTURACIÓN]]</f>
        <v>16</v>
      </c>
      <c r="U2351" t="str">
        <f>+IF(Tabla2[[#This Row],[dias de credito]]&gt;=Tabla2[[#This Row],[PLAZO Días]],"venc", "No venc")</f>
        <v>No venc</v>
      </c>
      <c r="V2351" t="str">
        <f>+IF(Tabla2[[#This Row],[FECHA DE PAGO]]&gt;0,"pagada","por pagar")</f>
        <v>por pagar</v>
      </c>
      <c r="W2351" s="141" t="str">
        <f>+IF(AND(Tabla2[[#This Row],[venc]]="venc",Tabla2[[#This Row],[Columna1]]="por pagar"),"vencida","no")</f>
        <v>no</v>
      </c>
    </row>
    <row r="2352" spans="1:23" ht="15.6" hidden="1" x14ac:dyDescent="0.3">
      <c r="A2352" s="20">
        <v>30</v>
      </c>
      <c r="B2352" s="25">
        <v>5538410</v>
      </c>
      <c r="C2352" s="25"/>
      <c r="D2352" s="56" t="s">
        <v>1461</v>
      </c>
      <c r="E2352" s="426"/>
      <c r="F2352" s="26" t="s">
        <v>1460</v>
      </c>
      <c r="G2352" s="426">
        <v>45275</v>
      </c>
      <c r="H2352" s="35" t="s">
        <v>2281</v>
      </c>
      <c r="I2352" s="21">
        <v>4754000</v>
      </c>
      <c r="J2352" s="21"/>
      <c r="K2352" s="22">
        <v>903260</v>
      </c>
      <c r="L2352" s="23"/>
      <c r="M2352" s="22">
        <v>0</v>
      </c>
      <c r="N2352" s="74">
        <v>2.5000000000000001E-2</v>
      </c>
      <c r="O2352" s="22">
        <v>118850</v>
      </c>
      <c r="P2352" s="21">
        <v>5538410</v>
      </c>
      <c r="S2352" s="108" t="b">
        <f>OR(COUNTIF(Tabla2[[#This Row],[PROVEEDOR]],"*"&amp;'Palabra no opera'!$A$2&amp;"*"))</f>
        <v>0</v>
      </c>
      <c r="T2352" s="139">
        <f>+$W$5-Tabla2[[#This Row],[FECHA DE FACTURACIÓN]]</f>
        <v>16</v>
      </c>
      <c r="U2352" t="str">
        <f>+IF(Tabla2[[#This Row],[dias de credito]]&gt;=Tabla2[[#This Row],[PLAZO Días]],"venc", "No venc")</f>
        <v>No venc</v>
      </c>
      <c r="V2352" t="str">
        <f>+IF(Tabla2[[#This Row],[FECHA DE PAGO]]&gt;0,"pagada","por pagar")</f>
        <v>por pagar</v>
      </c>
      <c r="W2352" s="141" t="str">
        <f>+IF(AND(Tabla2[[#This Row],[venc]]="venc",Tabla2[[#This Row],[Columna1]]="por pagar"),"vencida","no")</f>
        <v>no</v>
      </c>
    </row>
    <row r="2353" spans="1:23" ht="15.6" hidden="1" x14ac:dyDescent="0.3">
      <c r="A2353" s="20">
        <v>45</v>
      </c>
      <c r="B2353" s="25">
        <v>15770594</v>
      </c>
      <c r="C2353" s="25"/>
      <c r="D2353" s="56" t="s">
        <v>594</v>
      </c>
      <c r="E2353" s="426"/>
      <c r="F2353" s="26" t="s">
        <v>19</v>
      </c>
      <c r="G2353" s="426">
        <v>45275</v>
      </c>
      <c r="H2353" s="35" t="s">
        <v>2322</v>
      </c>
      <c r="I2353" s="21">
        <v>13252600</v>
      </c>
      <c r="J2353" s="21"/>
      <c r="K2353" s="22">
        <v>2517994</v>
      </c>
      <c r="L2353" s="23"/>
      <c r="M2353" s="22">
        <v>0</v>
      </c>
      <c r="N2353" s="74">
        <v>0</v>
      </c>
      <c r="O2353" s="22">
        <v>0</v>
      </c>
      <c r="P2353" s="21">
        <v>15770594</v>
      </c>
      <c r="S2353" s="108" t="b">
        <f>OR(COUNTIF(Tabla2[[#This Row],[PROVEEDOR]],"*"&amp;'Palabra no opera'!$A$2&amp;"*"))</f>
        <v>0</v>
      </c>
      <c r="T2353" s="139">
        <f>+$W$5-Tabla2[[#This Row],[FECHA DE FACTURACIÓN]]</f>
        <v>16</v>
      </c>
      <c r="U2353" t="str">
        <f>+IF(Tabla2[[#This Row],[dias de credito]]&gt;=Tabla2[[#This Row],[PLAZO Días]],"venc", "No venc")</f>
        <v>No venc</v>
      </c>
      <c r="V2353" t="str">
        <f>+IF(Tabla2[[#This Row],[FECHA DE PAGO]]&gt;0,"pagada","por pagar")</f>
        <v>por pagar</v>
      </c>
      <c r="W2353" s="141" t="str">
        <f>+IF(AND(Tabla2[[#This Row],[venc]]="venc",Tabla2[[#This Row],[Columna1]]="por pagar"),"vencida","no")</f>
        <v>no</v>
      </c>
    </row>
    <row r="2354" spans="1:23" ht="15.6" hidden="1" x14ac:dyDescent="0.3">
      <c r="A2354" s="20">
        <v>30</v>
      </c>
      <c r="B2354" s="25">
        <v>2950000</v>
      </c>
      <c r="C2354" s="25"/>
      <c r="D2354" s="56">
        <v>0</v>
      </c>
      <c r="E2354" s="426"/>
      <c r="F2354" s="26" t="s">
        <v>1152</v>
      </c>
      <c r="G2354" s="426">
        <v>45274</v>
      </c>
      <c r="H2354" s="35" t="s">
        <v>2242</v>
      </c>
      <c r="I2354" s="21">
        <v>2700000</v>
      </c>
      <c r="J2354" s="21"/>
      <c r="K2354" s="22">
        <v>0</v>
      </c>
      <c r="L2354" s="23"/>
      <c r="M2354" s="22">
        <v>0</v>
      </c>
      <c r="N2354" s="74">
        <v>0</v>
      </c>
      <c r="O2354" s="22">
        <v>0</v>
      </c>
      <c r="P2354" s="21">
        <v>2700000</v>
      </c>
      <c r="S2354" s="108" t="b">
        <f>OR(COUNTIF(Tabla2[[#This Row],[PROVEEDOR]],"*"&amp;'Palabra no opera'!$A$2&amp;"*"))</f>
        <v>0</v>
      </c>
      <c r="T2354" s="139">
        <f>+$W$5-Tabla2[[#This Row],[FECHA DE FACTURACIÓN]]</f>
        <v>17</v>
      </c>
      <c r="U2354" t="str">
        <f>+IF(Tabla2[[#This Row],[dias de credito]]&gt;=Tabla2[[#This Row],[PLAZO Días]],"venc", "No venc")</f>
        <v>No venc</v>
      </c>
      <c r="V2354" t="str">
        <f>+IF(Tabla2[[#This Row],[FECHA DE PAGO]]&gt;0,"pagada","por pagar")</f>
        <v>por pagar</v>
      </c>
      <c r="W2354" s="141" t="str">
        <f>+IF(AND(Tabla2[[#This Row],[venc]]="venc",Tabla2[[#This Row],[Columna1]]="por pagar"),"vencida","no")</f>
        <v>no</v>
      </c>
    </row>
    <row r="2355" spans="1:23" ht="15.6" hidden="1" x14ac:dyDescent="0.3">
      <c r="A2355" s="20">
        <v>30</v>
      </c>
      <c r="B2355" s="25">
        <v>1125118.8199999998</v>
      </c>
      <c r="C2355" s="25"/>
      <c r="D2355" s="56" t="s">
        <v>431</v>
      </c>
      <c r="E2355" s="426"/>
      <c r="F2355" s="26" t="s">
        <v>279</v>
      </c>
      <c r="G2355" s="426">
        <v>45274</v>
      </c>
      <c r="H2355" s="35" t="s">
        <v>2277</v>
      </c>
      <c r="I2355" s="21">
        <v>79327</v>
      </c>
      <c r="J2355" s="21"/>
      <c r="K2355" s="22">
        <v>15072.130000000001</v>
      </c>
      <c r="L2355" s="23"/>
      <c r="M2355" s="22">
        <v>0</v>
      </c>
      <c r="N2355" s="74">
        <v>0</v>
      </c>
      <c r="O2355" s="22">
        <v>0</v>
      </c>
      <c r="P2355" s="21">
        <v>94399.13</v>
      </c>
      <c r="S2355" s="108" t="b">
        <f>OR(COUNTIF(Tabla2[[#This Row],[PROVEEDOR]],"*"&amp;'Palabra no opera'!$A$2&amp;"*"))</f>
        <v>0</v>
      </c>
      <c r="T2355" s="139">
        <f>+$W$5-Tabla2[[#This Row],[FECHA DE FACTURACIÓN]]</f>
        <v>17</v>
      </c>
      <c r="U2355" t="str">
        <f>+IF(Tabla2[[#This Row],[dias de credito]]&gt;=Tabla2[[#This Row],[PLAZO Días]],"venc", "No venc")</f>
        <v>No venc</v>
      </c>
      <c r="V2355" t="str">
        <f>+IF(Tabla2[[#This Row],[FECHA DE PAGO]]&gt;0,"pagada","por pagar")</f>
        <v>por pagar</v>
      </c>
      <c r="W2355" s="141" t="str">
        <f>+IF(AND(Tabla2[[#This Row],[venc]]="venc",Tabla2[[#This Row],[Columna1]]="por pagar"),"vencida","no")</f>
        <v>no</v>
      </c>
    </row>
    <row r="2356" spans="1:23" ht="15.6" hidden="1" x14ac:dyDescent="0.3">
      <c r="A2356" s="20">
        <v>30</v>
      </c>
      <c r="B2356" s="25">
        <v>27189617.395</v>
      </c>
      <c r="C2356" s="25"/>
      <c r="D2356" s="56" t="s">
        <v>686</v>
      </c>
      <c r="E2356" s="426"/>
      <c r="F2356" s="26" t="s">
        <v>77</v>
      </c>
      <c r="G2356" s="426">
        <v>45274</v>
      </c>
      <c r="H2356" s="35" t="s">
        <v>2279</v>
      </c>
      <c r="I2356" s="21">
        <v>10849593</v>
      </c>
      <c r="J2356" s="21"/>
      <c r="K2356" s="22">
        <v>2061422.67</v>
      </c>
      <c r="L2356" s="23"/>
      <c r="M2356" s="22">
        <v>12000000</v>
      </c>
      <c r="N2356" s="74">
        <v>2.5000000000000001E-2</v>
      </c>
      <c r="O2356" s="22">
        <v>271239.82500000001</v>
      </c>
      <c r="P2356" s="21">
        <v>639775.84499999997</v>
      </c>
      <c r="S2356" s="108" t="b">
        <f>OR(COUNTIF(Tabla2[[#This Row],[PROVEEDOR]],"*"&amp;'Palabra no opera'!$A$2&amp;"*"))</f>
        <v>0</v>
      </c>
      <c r="T2356" s="139">
        <f>+$W$5-Tabla2[[#This Row],[FECHA DE FACTURACIÓN]]</f>
        <v>17</v>
      </c>
      <c r="U2356" t="str">
        <f>+IF(Tabla2[[#This Row],[dias de credito]]&gt;=Tabla2[[#This Row],[PLAZO Días]],"venc", "No venc")</f>
        <v>No venc</v>
      </c>
      <c r="V2356" t="str">
        <f>+IF(Tabla2[[#This Row],[FECHA DE PAGO]]&gt;0,"pagada","por pagar")</f>
        <v>por pagar</v>
      </c>
      <c r="W2356" s="141" t="str">
        <f>+IF(AND(Tabla2[[#This Row],[venc]]="venc",Tabla2[[#This Row],[Columna1]]="por pagar"),"vencida","no")</f>
        <v>no</v>
      </c>
    </row>
    <row r="2357" spans="1:23" ht="15.6" hidden="1" x14ac:dyDescent="0.3">
      <c r="A2357" s="20">
        <v>30</v>
      </c>
      <c r="B2357" s="25">
        <v>3669750</v>
      </c>
      <c r="C2357" s="25"/>
      <c r="D2357" s="56" t="s">
        <v>1082</v>
      </c>
      <c r="E2357" s="426"/>
      <c r="F2357" s="26" t="s">
        <v>24</v>
      </c>
      <c r="G2357" s="426">
        <v>45274</v>
      </c>
      <c r="H2357" s="35" t="s">
        <v>2285</v>
      </c>
      <c r="I2357" s="21">
        <v>3150000</v>
      </c>
      <c r="J2357" s="21"/>
      <c r="K2357" s="22">
        <v>598500</v>
      </c>
      <c r="L2357" s="23"/>
      <c r="M2357" s="22">
        <v>0</v>
      </c>
      <c r="N2357" s="74">
        <v>2.5000000000000001E-2</v>
      </c>
      <c r="O2357" s="22">
        <v>78750</v>
      </c>
      <c r="P2357" s="21">
        <v>3669750</v>
      </c>
      <c r="S2357" s="108" t="b">
        <f>OR(COUNTIF(Tabla2[[#This Row],[PROVEEDOR]],"*"&amp;'Palabra no opera'!$A$2&amp;"*"))</f>
        <v>0</v>
      </c>
      <c r="T2357" s="139">
        <f>+$W$5-Tabla2[[#This Row],[FECHA DE FACTURACIÓN]]</f>
        <v>17</v>
      </c>
      <c r="U2357" t="str">
        <f>+IF(Tabla2[[#This Row],[dias de credito]]&gt;=Tabla2[[#This Row],[PLAZO Días]],"venc", "No venc")</f>
        <v>No venc</v>
      </c>
      <c r="V2357" t="str">
        <f>+IF(Tabla2[[#This Row],[FECHA DE PAGO]]&gt;0,"pagada","por pagar")</f>
        <v>por pagar</v>
      </c>
      <c r="W2357" s="141" t="str">
        <f>+IF(AND(Tabla2[[#This Row],[venc]]="venc",Tabla2[[#This Row],[Columna1]]="por pagar"),"vencida","no")</f>
        <v>no</v>
      </c>
    </row>
    <row r="2358" spans="1:23" ht="15.6" hidden="1" x14ac:dyDescent="0.3">
      <c r="A2358" s="20">
        <v>30</v>
      </c>
      <c r="B2358" s="25">
        <v>1705000</v>
      </c>
      <c r="C2358" s="25"/>
      <c r="D2358" s="56">
        <v>0</v>
      </c>
      <c r="E2358" s="426"/>
      <c r="F2358" s="26" t="s">
        <v>2078</v>
      </c>
      <c r="G2358" s="426">
        <v>45274</v>
      </c>
      <c r="H2358" s="35" t="s">
        <v>2288</v>
      </c>
      <c r="I2358" s="21">
        <v>350000</v>
      </c>
      <c r="J2358" s="21"/>
      <c r="K2358" s="22">
        <v>0</v>
      </c>
      <c r="L2358" s="23"/>
      <c r="M2358" s="22">
        <v>0</v>
      </c>
      <c r="N2358" s="74">
        <v>0</v>
      </c>
      <c r="O2358" s="22">
        <v>0</v>
      </c>
      <c r="P2358" s="21">
        <v>350000</v>
      </c>
      <c r="S2358" s="108" t="b">
        <f>OR(COUNTIF(Tabla2[[#This Row],[PROVEEDOR]],"*"&amp;'Palabra no opera'!$A$2&amp;"*"))</f>
        <v>0</v>
      </c>
      <c r="T2358" s="139">
        <f>+$W$5-Tabla2[[#This Row],[FECHA DE FACTURACIÓN]]</f>
        <v>17</v>
      </c>
      <c r="U2358" t="str">
        <f>+IF(Tabla2[[#This Row],[dias de credito]]&gt;=Tabla2[[#This Row],[PLAZO Días]],"venc", "No venc")</f>
        <v>No venc</v>
      </c>
      <c r="V2358" t="str">
        <f>+IF(Tabla2[[#This Row],[FECHA DE PAGO]]&gt;0,"pagada","por pagar")</f>
        <v>por pagar</v>
      </c>
      <c r="W2358" s="141" t="str">
        <f>+IF(AND(Tabla2[[#This Row],[venc]]="venc",Tabla2[[#This Row],[Columna1]]="por pagar"),"vencida","no")</f>
        <v>no</v>
      </c>
    </row>
    <row r="2359" spans="1:23" ht="15.6" hidden="1" x14ac:dyDescent="0.3">
      <c r="A2359" s="20">
        <v>30</v>
      </c>
      <c r="B2359" s="25">
        <v>8306450</v>
      </c>
      <c r="C2359" s="25"/>
      <c r="D2359" s="56" t="s">
        <v>1607</v>
      </c>
      <c r="E2359" s="426"/>
      <c r="F2359" s="26" t="s">
        <v>1606</v>
      </c>
      <c r="G2359" s="426">
        <v>45273</v>
      </c>
      <c r="H2359" s="35" t="s">
        <v>2272</v>
      </c>
      <c r="I2359" s="21">
        <v>7130000</v>
      </c>
      <c r="J2359" s="21"/>
      <c r="K2359" s="22">
        <v>1354700</v>
      </c>
      <c r="L2359" s="23"/>
      <c r="M2359" s="22">
        <v>0</v>
      </c>
      <c r="N2359" s="74">
        <v>2.5000000000000001E-2</v>
      </c>
      <c r="O2359" s="22">
        <v>178250</v>
      </c>
      <c r="P2359" s="21">
        <v>8306450</v>
      </c>
      <c r="S2359" s="108" t="b">
        <f>OR(COUNTIF(Tabla2[[#This Row],[PROVEEDOR]],"*"&amp;'Palabra no opera'!$A$2&amp;"*"))</f>
        <v>0</v>
      </c>
      <c r="T2359" s="139">
        <f>+$W$5-Tabla2[[#This Row],[FECHA DE FACTURACIÓN]]</f>
        <v>18</v>
      </c>
      <c r="U2359" t="str">
        <f>+IF(Tabla2[[#This Row],[dias de credito]]&gt;=Tabla2[[#This Row],[PLAZO Días]],"venc", "No venc")</f>
        <v>No venc</v>
      </c>
      <c r="V2359" t="str">
        <f>+IF(Tabla2[[#This Row],[FECHA DE PAGO]]&gt;0,"pagada","por pagar")</f>
        <v>por pagar</v>
      </c>
      <c r="W2359" s="141" t="str">
        <f>+IF(AND(Tabla2[[#This Row],[venc]]="venc",Tabla2[[#This Row],[Columna1]]="por pagar"),"vencida","no")</f>
        <v>no</v>
      </c>
    </row>
    <row r="2360" spans="1:23" ht="15.6" hidden="1" x14ac:dyDescent="0.3">
      <c r="A2360" s="20">
        <v>30</v>
      </c>
      <c r="B2360" s="25">
        <v>1705000</v>
      </c>
      <c r="C2360" s="25"/>
      <c r="D2360" s="56">
        <v>0</v>
      </c>
      <c r="E2360" s="426"/>
      <c r="F2360" s="26" t="s">
        <v>2078</v>
      </c>
      <c r="G2360" s="426">
        <v>45273</v>
      </c>
      <c r="H2360" s="35" t="s">
        <v>2289</v>
      </c>
      <c r="I2360" s="21">
        <v>1355000</v>
      </c>
      <c r="J2360" s="21"/>
      <c r="K2360" s="22">
        <v>0</v>
      </c>
      <c r="L2360" s="23"/>
      <c r="M2360" s="22">
        <v>0</v>
      </c>
      <c r="N2360" s="74">
        <v>0</v>
      </c>
      <c r="O2360" s="22">
        <v>0</v>
      </c>
      <c r="P2360" s="21">
        <v>1355000</v>
      </c>
      <c r="S2360" s="108" t="b">
        <f>OR(COUNTIF(Tabla2[[#This Row],[PROVEEDOR]],"*"&amp;'Palabra no opera'!$A$2&amp;"*"))</f>
        <v>0</v>
      </c>
      <c r="T2360" s="139">
        <f>+$W$5-Tabla2[[#This Row],[FECHA DE FACTURACIÓN]]</f>
        <v>18</v>
      </c>
      <c r="U2360" t="str">
        <f>+IF(Tabla2[[#This Row],[dias de credito]]&gt;=Tabla2[[#This Row],[PLAZO Días]],"venc", "No venc")</f>
        <v>No venc</v>
      </c>
      <c r="V2360" t="str">
        <f>+IF(Tabla2[[#This Row],[FECHA DE PAGO]]&gt;0,"pagada","por pagar")</f>
        <v>por pagar</v>
      </c>
      <c r="W2360" s="141" t="str">
        <f>+IF(AND(Tabla2[[#This Row],[venc]]="venc",Tabla2[[#This Row],[Columna1]]="por pagar"),"vencida","no")</f>
        <v>no</v>
      </c>
    </row>
    <row r="2361" spans="1:23" ht="15.6" hidden="1" x14ac:dyDescent="0.3">
      <c r="A2361" s="20">
        <v>30</v>
      </c>
      <c r="B2361" s="25">
        <v>429590</v>
      </c>
      <c r="C2361" s="25"/>
      <c r="D2361" s="56" t="s">
        <v>196</v>
      </c>
      <c r="E2361" s="426"/>
      <c r="F2361" s="26" t="s">
        <v>39</v>
      </c>
      <c r="G2361" s="426">
        <v>45272</v>
      </c>
      <c r="H2361" s="35" t="s">
        <v>2253</v>
      </c>
      <c r="I2361" s="21">
        <v>361000</v>
      </c>
      <c r="J2361" s="21"/>
      <c r="K2361" s="22">
        <v>68590</v>
      </c>
      <c r="L2361" s="23"/>
      <c r="M2361" s="22">
        <v>0</v>
      </c>
      <c r="N2361" s="74">
        <v>0</v>
      </c>
      <c r="O2361" s="22">
        <v>0</v>
      </c>
      <c r="P2361" s="21">
        <v>429590</v>
      </c>
      <c r="S2361" s="108" t="b">
        <f>OR(COUNTIF(Tabla2[[#This Row],[PROVEEDOR]],"*"&amp;'Palabra no opera'!$A$2&amp;"*"))</f>
        <v>0</v>
      </c>
      <c r="T2361" s="139">
        <f>+$W$5-Tabla2[[#This Row],[FECHA DE FACTURACIÓN]]</f>
        <v>19</v>
      </c>
      <c r="U2361" t="str">
        <f>+IF(Tabla2[[#This Row],[dias de credito]]&gt;=Tabla2[[#This Row],[PLAZO Días]],"venc", "No venc")</f>
        <v>No venc</v>
      </c>
      <c r="V2361" t="str">
        <f>+IF(Tabla2[[#This Row],[FECHA DE PAGO]]&gt;0,"pagada","por pagar")</f>
        <v>por pagar</v>
      </c>
      <c r="W2361" s="141" t="str">
        <f>+IF(AND(Tabla2[[#This Row],[venc]]="venc",Tabla2[[#This Row],[Columna1]]="por pagar"),"vencida","no")</f>
        <v>no</v>
      </c>
    </row>
    <row r="2362" spans="1:23" ht="15.6" hidden="1" x14ac:dyDescent="0.3">
      <c r="A2362" s="20">
        <v>30</v>
      </c>
      <c r="B2362" s="25">
        <v>3209330.35</v>
      </c>
      <c r="C2362" s="25"/>
      <c r="D2362" s="56" t="s">
        <v>187</v>
      </c>
      <c r="E2362" s="426"/>
      <c r="F2362" s="26" t="s">
        <v>282</v>
      </c>
      <c r="G2362" s="426">
        <v>45272</v>
      </c>
      <c r="H2362" s="35" t="s">
        <v>2282</v>
      </c>
      <c r="I2362" s="21">
        <v>2754790</v>
      </c>
      <c r="J2362" s="21"/>
      <c r="K2362" s="22">
        <v>523410.10000000003</v>
      </c>
      <c r="L2362" s="23"/>
      <c r="M2362" s="22">
        <v>0</v>
      </c>
      <c r="N2362" s="74">
        <v>2.5000000000000001E-2</v>
      </c>
      <c r="O2362" s="22">
        <v>68869.75</v>
      </c>
      <c r="P2362" s="21">
        <v>3209330.35</v>
      </c>
      <c r="S2362" s="108" t="b">
        <f>OR(COUNTIF(Tabla2[[#This Row],[PROVEEDOR]],"*"&amp;'Palabra no opera'!$A$2&amp;"*"))</f>
        <v>0</v>
      </c>
      <c r="T2362" s="139">
        <f>+$W$5-Tabla2[[#This Row],[FECHA DE FACTURACIÓN]]</f>
        <v>19</v>
      </c>
      <c r="U2362" t="str">
        <f>+IF(Tabla2[[#This Row],[dias de credito]]&gt;=Tabla2[[#This Row],[PLAZO Días]],"venc", "No venc")</f>
        <v>No venc</v>
      </c>
      <c r="V2362" t="str">
        <f>+IF(Tabla2[[#This Row],[FECHA DE PAGO]]&gt;0,"pagada","por pagar")</f>
        <v>por pagar</v>
      </c>
      <c r="W2362" s="141" t="str">
        <f>+IF(AND(Tabla2[[#This Row],[venc]]="venc",Tabla2[[#This Row],[Columna1]]="por pagar"),"vencida","no")</f>
        <v>no</v>
      </c>
    </row>
    <row r="2363" spans="1:23" ht="15.6" hidden="1" x14ac:dyDescent="0.3">
      <c r="A2363" s="20">
        <v>30</v>
      </c>
      <c r="B2363" s="25">
        <v>380979.69</v>
      </c>
      <c r="C2363" s="25"/>
      <c r="D2363" s="56" t="s">
        <v>296</v>
      </c>
      <c r="E2363" s="426"/>
      <c r="F2363" s="26" t="s">
        <v>615</v>
      </c>
      <c r="G2363" s="426">
        <v>45272</v>
      </c>
      <c r="H2363" s="35" t="s">
        <v>2283</v>
      </c>
      <c r="I2363" s="21">
        <v>320151</v>
      </c>
      <c r="J2363" s="21"/>
      <c r="K2363" s="22">
        <v>60828.69</v>
      </c>
      <c r="L2363" s="23"/>
      <c r="M2363" s="22">
        <v>0</v>
      </c>
      <c r="N2363" s="74">
        <v>0</v>
      </c>
      <c r="O2363" s="22">
        <v>0</v>
      </c>
      <c r="P2363" s="21">
        <v>380979.69</v>
      </c>
      <c r="S2363" s="108" t="b">
        <f>OR(COUNTIF(Tabla2[[#This Row],[PROVEEDOR]],"*"&amp;'Palabra no opera'!$A$2&amp;"*"))</f>
        <v>1</v>
      </c>
      <c r="T2363" s="139">
        <f>+$W$5-Tabla2[[#This Row],[FECHA DE FACTURACIÓN]]</f>
        <v>19</v>
      </c>
      <c r="U2363" t="str">
        <f>+IF(Tabla2[[#This Row],[dias de credito]]&gt;=Tabla2[[#This Row],[PLAZO Días]],"venc", "No venc")</f>
        <v>No venc</v>
      </c>
      <c r="V2363" t="str">
        <f>+IF(Tabla2[[#This Row],[FECHA DE PAGO]]&gt;0,"pagada","por pagar")</f>
        <v>por pagar</v>
      </c>
      <c r="W2363" s="141" t="str">
        <f>+IF(AND(Tabla2[[#This Row],[venc]]="venc",Tabla2[[#This Row],[Columna1]]="por pagar"),"vencida","no")</f>
        <v>no</v>
      </c>
    </row>
    <row r="2364" spans="1:23" ht="15.6" hidden="1" x14ac:dyDescent="0.3">
      <c r="A2364" s="20">
        <v>30</v>
      </c>
      <c r="B2364" s="25">
        <v>4248480.9550000001</v>
      </c>
      <c r="C2364" s="25"/>
      <c r="D2364" s="56" t="s">
        <v>107</v>
      </c>
      <c r="E2364" s="426"/>
      <c r="F2364" s="26" t="s">
        <v>78</v>
      </c>
      <c r="G2364" s="426">
        <v>45272</v>
      </c>
      <c r="H2364" s="35" t="s">
        <v>2284</v>
      </c>
      <c r="I2364" s="21">
        <v>1577674</v>
      </c>
      <c r="J2364" s="21"/>
      <c r="K2364" s="22">
        <v>299758.06</v>
      </c>
      <c r="L2364" s="23"/>
      <c r="M2364" s="22">
        <v>0</v>
      </c>
      <c r="N2364" s="74">
        <v>2.5000000000000001E-2</v>
      </c>
      <c r="O2364" s="22">
        <v>39441.850000000006</v>
      </c>
      <c r="P2364" s="21">
        <v>1837990.21</v>
      </c>
      <c r="S2364" s="108" t="b">
        <f>OR(COUNTIF(Tabla2[[#This Row],[PROVEEDOR]],"*"&amp;'Palabra no opera'!$A$2&amp;"*"))</f>
        <v>0</v>
      </c>
      <c r="T2364" s="139">
        <f>+$W$5-Tabla2[[#This Row],[FECHA DE FACTURACIÓN]]</f>
        <v>19</v>
      </c>
      <c r="U2364" t="str">
        <f>+IF(Tabla2[[#This Row],[dias de credito]]&gt;=Tabla2[[#This Row],[PLAZO Días]],"venc", "No venc")</f>
        <v>No venc</v>
      </c>
      <c r="V2364" t="str">
        <f>+IF(Tabla2[[#This Row],[FECHA DE PAGO]]&gt;0,"pagada","por pagar")</f>
        <v>por pagar</v>
      </c>
      <c r="W2364" s="141" t="str">
        <f>+IF(AND(Tabla2[[#This Row],[venc]]="venc",Tabla2[[#This Row],[Columna1]]="por pagar"),"vencida","no")</f>
        <v>no</v>
      </c>
    </row>
    <row r="2365" spans="1:23" ht="15.6" hidden="1" x14ac:dyDescent="0.3">
      <c r="A2365" s="20">
        <v>30</v>
      </c>
      <c r="B2365" s="25">
        <v>1125118.8199999998</v>
      </c>
      <c r="C2365" s="25"/>
      <c r="D2365" s="56" t="s">
        <v>431</v>
      </c>
      <c r="E2365" s="426"/>
      <c r="F2365" s="26" t="s">
        <v>279</v>
      </c>
      <c r="G2365" s="426">
        <v>45271</v>
      </c>
      <c r="H2365" s="35" t="s">
        <v>2245</v>
      </c>
      <c r="I2365" s="21">
        <v>866151</v>
      </c>
      <c r="J2365" s="21"/>
      <c r="K2365" s="22">
        <v>164568.69</v>
      </c>
      <c r="L2365" s="23"/>
      <c r="M2365" s="22">
        <v>0</v>
      </c>
      <c r="N2365" s="74">
        <v>0</v>
      </c>
      <c r="O2365" s="22">
        <v>0</v>
      </c>
      <c r="P2365" s="21">
        <v>1030719.69</v>
      </c>
      <c r="S2365" s="108" t="b">
        <f>OR(COUNTIF(Tabla2[[#This Row],[PROVEEDOR]],"*"&amp;'Palabra no opera'!$A$2&amp;"*"))</f>
        <v>0</v>
      </c>
      <c r="T2365" s="139">
        <f>+$W$5-Tabla2[[#This Row],[FECHA DE FACTURACIÓN]]</f>
        <v>20</v>
      </c>
      <c r="U2365" t="str">
        <f>+IF(Tabla2[[#This Row],[dias de credito]]&gt;=Tabla2[[#This Row],[PLAZO Días]],"venc", "No venc")</f>
        <v>No venc</v>
      </c>
      <c r="V2365" t="str">
        <f>+IF(Tabla2[[#This Row],[FECHA DE PAGO]]&gt;0,"pagada","por pagar")</f>
        <v>por pagar</v>
      </c>
      <c r="W2365" s="141" t="str">
        <f>+IF(AND(Tabla2[[#This Row],[venc]]="venc",Tabla2[[#This Row],[Columna1]]="por pagar"),"vencida","no")</f>
        <v>no</v>
      </c>
    </row>
    <row r="2366" spans="1:23" ht="15.6" hidden="1" x14ac:dyDescent="0.3">
      <c r="A2366" s="20">
        <v>30</v>
      </c>
      <c r="B2366" s="25">
        <v>4282200</v>
      </c>
      <c r="C2366" s="25"/>
      <c r="D2366" s="56" t="s">
        <v>244</v>
      </c>
      <c r="E2366" s="426"/>
      <c r="F2366" s="26" t="s">
        <v>406</v>
      </c>
      <c r="G2366" s="426">
        <v>45271</v>
      </c>
      <c r="H2366" s="35" t="s">
        <v>2286</v>
      </c>
      <c r="I2366" s="21">
        <v>4925000</v>
      </c>
      <c r="J2366" s="21">
        <v>738750</v>
      </c>
      <c r="K2366" s="22">
        <v>0</v>
      </c>
      <c r="L2366" s="23"/>
      <c r="M2366" s="22">
        <v>0</v>
      </c>
      <c r="N2366" s="74">
        <v>0</v>
      </c>
      <c r="O2366" s="22">
        <v>0</v>
      </c>
      <c r="P2366" s="21">
        <v>4186250</v>
      </c>
      <c r="S2366" s="108" t="b">
        <f>OR(COUNTIF(Tabla2[[#This Row],[PROVEEDOR]],"*"&amp;'Palabra no opera'!$A$2&amp;"*"))</f>
        <v>0</v>
      </c>
      <c r="T2366" s="139">
        <f>+$W$5-Tabla2[[#This Row],[FECHA DE FACTURACIÓN]]</f>
        <v>20</v>
      </c>
      <c r="U2366" t="str">
        <f>+IF(Tabla2[[#This Row],[dias de credito]]&gt;=Tabla2[[#This Row],[PLAZO Días]],"venc", "No venc")</f>
        <v>No venc</v>
      </c>
      <c r="V2366" t="str">
        <f>+IF(Tabla2[[#This Row],[FECHA DE PAGO]]&gt;0,"pagada","por pagar")</f>
        <v>por pagar</v>
      </c>
      <c r="W2366" s="141" t="str">
        <f>+IF(AND(Tabla2[[#This Row],[venc]]="venc",Tabla2[[#This Row],[Columna1]]="por pagar"),"vencida","no")</f>
        <v>no</v>
      </c>
    </row>
    <row r="2367" spans="1:23" ht="15.6" hidden="1" x14ac:dyDescent="0.3">
      <c r="A2367" s="20">
        <v>30</v>
      </c>
      <c r="B2367" s="25">
        <v>4282200</v>
      </c>
      <c r="C2367" s="25"/>
      <c r="D2367" s="56" t="s">
        <v>244</v>
      </c>
      <c r="E2367" s="426"/>
      <c r="F2367" s="26" t="s">
        <v>406</v>
      </c>
      <c r="G2367" s="426">
        <v>45271</v>
      </c>
      <c r="H2367" s="35" t="s">
        <v>2287</v>
      </c>
      <c r="I2367" s="21">
        <v>101000</v>
      </c>
      <c r="J2367" s="21">
        <v>5050</v>
      </c>
      <c r="K2367" s="22">
        <v>0</v>
      </c>
      <c r="L2367" s="23"/>
      <c r="M2367" s="22">
        <v>0</v>
      </c>
      <c r="N2367" s="74">
        <v>0</v>
      </c>
      <c r="O2367" s="22">
        <v>0</v>
      </c>
      <c r="P2367" s="21">
        <v>95950</v>
      </c>
      <c r="S2367" s="108" t="b">
        <f>OR(COUNTIF(Tabla2[[#This Row],[PROVEEDOR]],"*"&amp;'Palabra no opera'!$A$2&amp;"*"))</f>
        <v>0</v>
      </c>
      <c r="T2367" s="139">
        <f>+$W$5-Tabla2[[#This Row],[FECHA DE FACTURACIÓN]]</f>
        <v>20</v>
      </c>
      <c r="U2367" t="str">
        <f>+IF(Tabla2[[#This Row],[dias de credito]]&gt;=Tabla2[[#This Row],[PLAZO Días]],"venc", "No venc")</f>
        <v>No venc</v>
      </c>
      <c r="V2367" t="str">
        <f>+IF(Tabla2[[#This Row],[FECHA DE PAGO]]&gt;0,"pagada","por pagar")</f>
        <v>por pagar</v>
      </c>
      <c r="W2367" s="141" t="str">
        <f>+IF(AND(Tabla2[[#This Row],[venc]]="venc",Tabla2[[#This Row],[Columna1]]="por pagar"),"vencida","no")</f>
        <v>no</v>
      </c>
    </row>
    <row r="2368" spans="1:23" ht="15.6" hidden="1" x14ac:dyDescent="0.3">
      <c r="A2368" s="20">
        <v>30</v>
      </c>
      <c r="B2368" s="25">
        <v>27189617.395</v>
      </c>
      <c r="C2368" s="25"/>
      <c r="D2368" s="56" t="s">
        <v>686</v>
      </c>
      <c r="E2368" s="426"/>
      <c r="F2368" s="26" t="s">
        <v>77</v>
      </c>
      <c r="G2368" s="426">
        <v>45271</v>
      </c>
      <c r="H2368" s="35" t="s">
        <v>2280</v>
      </c>
      <c r="I2368" s="21">
        <v>3963010</v>
      </c>
      <c r="J2368" s="21"/>
      <c r="K2368" s="22">
        <v>752971.9</v>
      </c>
      <c r="L2368" s="23"/>
      <c r="M2368" s="22">
        <v>0</v>
      </c>
      <c r="N2368" s="74">
        <v>2.5000000000000001E-2</v>
      </c>
      <c r="O2368" s="22">
        <v>99075.25</v>
      </c>
      <c r="P2368" s="21">
        <v>4616906.6500000004</v>
      </c>
      <c r="S2368" s="108" t="b">
        <f>OR(COUNTIF(Tabla2[[#This Row],[PROVEEDOR]],"*"&amp;'Palabra no opera'!$A$2&amp;"*"))</f>
        <v>0</v>
      </c>
      <c r="T2368" s="139">
        <f>+$W$5-Tabla2[[#This Row],[FECHA DE FACTURACIÓN]]</f>
        <v>20</v>
      </c>
      <c r="U2368" t="str">
        <f>+IF(Tabla2[[#This Row],[dias de credito]]&gt;=Tabla2[[#This Row],[PLAZO Días]],"venc", "No venc")</f>
        <v>No venc</v>
      </c>
      <c r="V2368" t="str">
        <f>+IF(Tabla2[[#This Row],[FECHA DE PAGO]]&gt;0,"pagada","por pagar")</f>
        <v>por pagar</v>
      </c>
      <c r="W2368" s="141" t="str">
        <f>+IF(AND(Tabla2[[#This Row],[venc]]="venc",Tabla2[[#This Row],[Columna1]]="por pagar"),"vencida","no")</f>
        <v>no</v>
      </c>
    </row>
    <row r="2369" spans="1:23" ht="15.6" hidden="1" x14ac:dyDescent="0.3">
      <c r="A2369" s="20">
        <v>30</v>
      </c>
      <c r="B2369" s="25">
        <v>342000</v>
      </c>
      <c r="C2369" s="25"/>
      <c r="D2369" s="56" t="s">
        <v>107</v>
      </c>
      <c r="E2369" s="426"/>
      <c r="F2369" s="26" t="s">
        <v>495</v>
      </c>
      <c r="G2369" s="426">
        <v>45267</v>
      </c>
      <c r="H2369" s="35" t="s">
        <v>2291</v>
      </c>
      <c r="I2369" s="21">
        <v>342000</v>
      </c>
      <c r="J2369" s="21"/>
      <c r="K2369" s="22">
        <v>0</v>
      </c>
      <c r="L2369" s="23"/>
      <c r="M2369" s="22">
        <v>0</v>
      </c>
      <c r="N2369" s="74">
        <v>0</v>
      </c>
      <c r="O2369" s="22">
        <v>0</v>
      </c>
      <c r="P2369" s="21">
        <v>342000</v>
      </c>
      <c r="S2369" s="108" t="b">
        <f>OR(COUNTIF(Tabla2[[#This Row],[PROVEEDOR]],"*"&amp;'Palabra no opera'!$A$2&amp;"*"))</f>
        <v>0</v>
      </c>
      <c r="T2369" s="139">
        <f>+$W$5-Tabla2[[#This Row],[FECHA DE FACTURACIÓN]]</f>
        <v>24</v>
      </c>
      <c r="U2369" t="str">
        <f>+IF(Tabla2[[#This Row],[dias de credito]]&gt;=Tabla2[[#This Row],[PLAZO Días]],"venc", "No venc")</f>
        <v>No venc</v>
      </c>
      <c r="V2369" t="str">
        <f>+IF(Tabla2[[#This Row],[FECHA DE PAGO]]&gt;0,"pagada","por pagar")</f>
        <v>por pagar</v>
      </c>
      <c r="W2369" s="141" t="str">
        <f>+IF(AND(Tabla2[[#This Row],[venc]]="venc",Tabla2[[#This Row],[Columna1]]="por pagar"),"vencida","no")</f>
        <v>no</v>
      </c>
    </row>
    <row r="2370" spans="1:23" ht="15.6" hidden="1" x14ac:dyDescent="0.3">
      <c r="A2370" s="20">
        <v>30</v>
      </c>
      <c r="B2370" s="25">
        <v>17870934.149999999</v>
      </c>
      <c r="C2370" s="25"/>
      <c r="D2370" s="56" t="s">
        <v>182</v>
      </c>
      <c r="E2370" s="426"/>
      <c r="F2370" s="26" t="s">
        <v>18</v>
      </c>
      <c r="G2370" s="426">
        <v>45266</v>
      </c>
      <c r="H2370" s="35" t="s">
        <v>2246</v>
      </c>
      <c r="I2370" s="21">
        <v>2050362</v>
      </c>
      <c r="J2370" s="21"/>
      <c r="K2370" s="22">
        <v>389568.78</v>
      </c>
      <c r="L2370" s="23"/>
      <c r="M2370" s="22">
        <v>0</v>
      </c>
      <c r="N2370" s="74">
        <v>2.5000000000000001E-2</v>
      </c>
      <c r="O2370" s="22">
        <v>51259.05</v>
      </c>
      <c r="P2370" s="21">
        <v>2388671.7300000004</v>
      </c>
      <c r="S2370" s="108" t="b">
        <f>OR(COUNTIF(Tabla2[[#This Row],[PROVEEDOR]],"*"&amp;'Palabra no opera'!$A$2&amp;"*"))</f>
        <v>0</v>
      </c>
      <c r="T2370" s="139">
        <f>+$W$5-Tabla2[[#This Row],[FECHA DE FACTURACIÓN]]</f>
        <v>25</v>
      </c>
      <c r="U2370" t="str">
        <f>+IF(Tabla2[[#This Row],[dias de credito]]&gt;=Tabla2[[#This Row],[PLAZO Días]],"venc", "No venc")</f>
        <v>No venc</v>
      </c>
      <c r="V2370" t="str">
        <f>+IF(Tabla2[[#This Row],[FECHA DE PAGO]]&gt;0,"pagada","por pagar")</f>
        <v>por pagar</v>
      </c>
      <c r="W2370" s="141" t="str">
        <f>+IF(AND(Tabla2[[#This Row],[venc]]="venc",Tabla2[[#This Row],[Columna1]]="por pagar"),"vencida","no")</f>
        <v>no</v>
      </c>
    </row>
    <row r="2371" spans="1:23" ht="15.6" hidden="1" x14ac:dyDescent="0.3">
      <c r="A2371" s="20">
        <v>45</v>
      </c>
      <c r="B2371" s="25">
        <v>8072960</v>
      </c>
      <c r="C2371" s="25"/>
      <c r="D2371" s="56" t="s">
        <v>198</v>
      </c>
      <c r="E2371" s="426"/>
      <c r="F2371" s="26" t="s">
        <v>10</v>
      </c>
      <c r="G2371" s="426">
        <v>45266</v>
      </c>
      <c r="H2371" s="35" t="s">
        <v>2254</v>
      </c>
      <c r="I2371" s="21">
        <v>4200000</v>
      </c>
      <c r="J2371" s="21"/>
      <c r="K2371" s="22">
        <v>798000</v>
      </c>
      <c r="L2371" s="23"/>
      <c r="M2371" s="22">
        <v>0</v>
      </c>
      <c r="N2371" s="74">
        <v>0</v>
      </c>
      <c r="O2371" s="22">
        <v>0</v>
      </c>
      <c r="P2371" s="21">
        <v>4998000</v>
      </c>
      <c r="S2371" s="108" t="b">
        <f>OR(COUNTIF(Tabla2[[#This Row],[PROVEEDOR]],"*"&amp;'Palabra no opera'!$A$2&amp;"*"))</f>
        <v>0</v>
      </c>
      <c r="T2371" s="139">
        <f>+$W$5-Tabla2[[#This Row],[FECHA DE FACTURACIÓN]]</f>
        <v>25</v>
      </c>
      <c r="U2371" t="str">
        <f>+IF(Tabla2[[#This Row],[dias de credito]]&gt;=Tabla2[[#This Row],[PLAZO Días]],"venc", "No venc")</f>
        <v>No venc</v>
      </c>
      <c r="V2371" t="str">
        <f>+IF(Tabla2[[#This Row],[FECHA DE PAGO]]&gt;0,"pagada","por pagar")</f>
        <v>por pagar</v>
      </c>
      <c r="W2371" s="141" t="str">
        <f>+IF(AND(Tabla2[[#This Row],[venc]]="venc",Tabla2[[#This Row],[Columna1]]="por pagar"),"vencida","no")</f>
        <v>no</v>
      </c>
    </row>
    <row r="2372" spans="1:23" ht="15.6" hidden="1" x14ac:dyDescent="0.3">
      <c r="A2372" s="20">
        <v>30</v>
      </c>
      <c r="B2372" s="25">
        <v>17870934.149999999</v>
      </c>
      <c r="C2372" s="25"/>
      <c r="D2372" s="56" t="s">
        <v>182</v>
      </c>
      <c r="E2372" s="426"/>
      <c r="F2372" s="26" t="s">
        <v>18</v>
      </c>
      <c r="G2372" s="426">
        <v>45266</v>
      </c>
      <c r="H2372" s="35" t="s">
        <v>2276</v>
      </c>
      <c r="I2372" s="21">
        <v>1005285</v>
      </c>
      <c r="J2372" s="21"/>
      <c r="K2372" s="22">
        <v>191004.15</v>
      </c>
      <c r="L2372" s="23"/>
      <c r="M2372" s="22">
        <v>0</v>
      </c>
      <c r="N2372" s="74">
        <v>0</v>
      </c>
      <c r="O2372" s="22">
        <v>0</v>
      </c>
      <c r="P2372" s="21">
        <v>1196289.1499999999</v>
      </c>
      <c r="S2372" s="108" t="b">
        <f>OR(COUNTIF(Tabla2[[#This Row],[PROVEEDOR]],"*"&amp;'Palabra no opera'!$A$2&amp;"*"))</f>
        <v>0</v>
      </c>
      <c r="T2372" s="139">
        <f>+$W$5-Tabla2[[#This Row],[FECHA DE FACTURACIÓN]]</f>
        <v>25</v>
      </c>
      <c r="U2372" t="str">
        <f>+IF(Tabla2[[#This Row],[dias de credito]]&gt;=Tabla2[[#This Row],[PLAZO Días]],"venc", "No venc")</f>
        <v>No venc</v>
      </c>
      <c r="V2372" t="str">
        <f>+IF(Tabla2[[#This Row],[FECHA DE PAGO]]&gt;0,"pagada","por pagar")</f>
        <v>por pagar</v>
      </c>
      <c r="W2372" s="141" t="str">
        <f>+IF(AND(Tabla2[[#This Row],[venc]]="venc",Tabla2[[#This Row],[Columna1]]="por pagar"),"vencida","no")</f>
        <v>no</v>
      </c>
    </row>
    <row r="2373" spans="1:23" ht="15.6" hidden="1" x14ac:dyDescent="0.3">
      <c r="A2373" s="20">
        <v>30</v>
      </c>
      <c r="B2373" s="25">
        <v>12030261.305</v>
      </c>
      <c r="C2373" s="25"/>
      <c r="D2373" s="56" t="s">
        <v>179</v>
      </c>
      <c r="E2373" s="426"/>
      <c r="F2373" s="26" t="s">
        <v>12</v>
      </c>
      <c r="G2373" s="426">
        <v>45265</v>
      </c>
      <c r="H2373" s="35" t="s">
        <v>2243</v>
      </c>
      <c r="I2373" s="21">
        <v>10294117</v>
      </c>
      <c r="J2373" s="21"/>
      <c r="K2373" s="22">
        <v>1955882.23</v>
      </c>
      <c r="L2373" s="23"/>
      <c r="M2373" s="22">
        <v>0</v>
      </c>
      <c r="N2373" s="74">
        <v>2.5000000000000001E-2</v>
      </c>
      <c r="O2373" s="22">
        <v>257352.92500000002</v>
      </c>
      <c r="P2373" s="21">
        <v>11992646.305</v>
      </c>
      <c r="S2373" s="108" t="b">
        <f>OR(COUNTIF(Tabla2[[#This Row],[PROVEEDOR]],"*"&amp;'Palabra no opera'!$A$2&amp;"*"))</f>
        <v>0</v>
      </c>
      <c r="T2373" s="139">
        <f>+$W$5-Tabla2[[#This Row],[FECHA DE FACTURACIÓN]]</f>
        <v>26</v>
      </c>
      <c r="U2373" t="str">
        <f>+IF(Tabla2[[#This Row],[dias de credito]]&gt;=Tabla2[[#This Row],[PLAZO Días]],"venc", "No venc")</f>
        <v>No venc</v>
      </c>
      <c r="V2373" t="str">
        <f>+IF(Tabla2[[#This Row],[FECHA DE PAGO]]&gt;0,"pagada","por pagar")</f>
        <v>por pagar</v>
      </c>
      <c r="W2373" s="141" t="str">
        <f>+IF(AND(Tabla2[[#This Row],[venc]]="venc",Tabla2[[#This Row],[Columna1]]="por pagar"),"vencida","no")</f>
        <v>no</v>
      </c>
    </row>
    <row r="2374" spans="1:23" ht="15.6" hidden="1" x14ac:dyDescent="0.3">
      <c r="A2374" s="20">
        <v>30</v>
      </c>
      <c r="B2374" s="25">
        <v>12030261.305</v>
      </c>
      <c r="C2374" s="25"/>
      <c r="D2374" s="56" t="s">
        <v>179</v>
      </c>
      <c r="E2374" s="426"/>
      <c r="F2374" s="26" t="s">
        <v>12</v>
      </c>
      <c r="G2374" s="426">
        <v>45265</v>
      </c>
      <c r="H2374" s="35" t="s">
        <v>2244</v>
      </c>
      <c r="I2374" s="21">
        <v>37615</v>
      </c>
      <c r="J2374" s="21"/>
      <c r="K2374" s="22">
        <v>0</v>
      </c>
      <c r="L2374" s="23"/>
      <c r="M2374" s="22">
        <v>0</v>
      </c>
      <c r="N2374" s="74">
        <v>0</v>
      </c>
      <c r="O2374" s="22">
        <v>0</v>
      </c>
      <c r="P2374" s="21">
        <v>37615</v>
      </c>
      <c r="S2374" s="108" t="b">
        <f>OR(COUNTIF(Tabla2[[#This Row],[PROVEEDOR]],"*"&amp;'Palabra no opera'!$A$2&amp;"*"))</f>
        <v>0</v>
      </c>
      <c r="T2374" s="139">
        <f>+$W$5-Tabla2[[#This Row],[FECHA DE FACTURACIÓN]]</f>
        <v>26</v>
      </c>
      <c r="U2374" t="str">
        <f>+IF(Tabla2[[#This Row],[dias de credito]]&gt;=Tabla2[[#This Row],[PLAZO Días]],"venc", "No venc")</f>
        <v>No venc</v>
      </c>
      <c r="V2374" t="str">
        <f>+IF(Tabla2[[#This Row],[FECHA DE PAGO]]&gt;0,"pagada","por pagar")</f>
        <v>por pagar</v>
      </c>
      <c r="W2374" s="141" t="str">
        <f>+IF(AND(Tabla2[[#This Row],[venc]]="venc",Tabla2[[#This Row],[Columna1]]="por pagar"),"vencida","no")</f>
        <v>no</v>
      </c>
    </row>
    <row r="2375" spans="1:23" ht="15.6" hidden="1" x14ac:dyDescent="0.3">
      <c r="A2375" s="20">
        <v>30</v>
      </c>
      <c r="B2375" s="25">
        <v>10321993.199999999</v>
      </c>
      <c r="C2375" s="25"/>
      <c r="D2375" s="56" t="s">
        <v>189</v>
      </c>
      <c r="E2375" s="426"/>
      <c r="F2375" s="26" t="s">
        <v>1068</v>
      </c>
      <c r="G2375" s="426">
        <v>45265</v>
      </c>
      <c r="H2375" s="35" t="s">
        <v>2249</v>
      </c>
      <c r="I2375" s="21">
        <v>1260000</v>
      </c>
      <c r="J2375" s="21"/>
      <c r="K2375" s="22">
        <v>239400</v>
      </c>
      <c r="L2375" s="23"/>
      <c r="M2375" s="22">
        <v>0</v>
      </c>
      <c r="N2375" s="74">
        <v>2.5000000000000001E-2</v>
      </c>
      <c r="O2375" s="22">
        <v>31500</v>
      </c>
      <c r="P2375" s="21">
        <v>1467900</v>
      </c>
      <c r="S2375" s="108" t="b">
        <f>OR(COUNTIF(Tabla2[[#This Row],[PROVEEDOR]],"*"&amp;'Palabra no opera'!$A$2&amp;"*"))</f>
        <v>0</v>
      </c>
      <c r="T2375" s="139">
        <f>+$W$5-Tabla2[[#This Row],[FECHA DE FACTURACIÓN]]</f>
        <v>26</v>
      </c>
      <c r="U2375" t="str">
        <f>+IF(Tabla2[[#This Row],[dias de credito]]&gt;=Tabla2[[#This Row],[PLAZO Días]],"venc", "No venc")</f>
        <v>No venc</v>
      </c>
      <c r="V2375" t="str">
        <f>+IF(Tabla2[[#This Row],[FECHA DE PAGO]]&gt;0,"pagada","por pagar")</f>
        <v>por pagar</v>
      </c>
      <c r="W2375" s="141" t="str">
        <f>+IF(AND(Tabla2[[#This Row],[venc]]="venc",Tabla2[[#This Row],[Columna1]]="por pagar"),"vencida","no")</f>
        <v>no</v>
      </c>
    </row>
    <row r="2376" spans="1:23" ht="15.6" hidden="1" x14ac:dyDescent="0.3">
      <c r="A2376" s="20">
        <v>30</v>
      </c>
      <c r="B2376" s="25">
        <v>5537221.7000000002</v>
      </c>
      <c r="C2376" s="25"/>
      <c r="D2376" s="56" t="s">
        <v>402</v>
      </c>
      <c r="E2376" s="426"/>
      <c r="F2376" s="26" t="s">
        <v>293</v>
      </c>
      <c r="G2376" s="426">
        <v>45265</v>
      </c>
      <c r="H2376" s="35" t="s">
        <v>2252</v>
      </c>
      <c r="I2376" s="21">
        <v>3478190</v>
      </c>
      <c r="J2376" s="21"/>
      <c r="K2376" s="22">
        <v>660856.1</v>
      </c>
      <c r="L2376" s="23"/>
      <c r="M2376" s="22">
        <v>0</v>
      </c>
      <c r="N2376" s="74">
        <v>2.5000000000000001E-2</v>
      </c>
      <c r="O2376" s="22">
        <v>86954.75</v>
      </c>
      <c r="P2376" s="21">
        <v>4052091.35</v>
      </c>
      <c r="S2376" s="108" t="b">
        <f>OR(COUNTIF(Tabla2[[#This Row],[PROVEEDOR]],"*"&amp;'Palabra no opera'!$A$2&amp;"*"))</f>
        <v>0</v>
      </c>
      <c r="T2376" s="139">
        <f>+$W$5-Tabla2[[#This Row],[FECHA DE FACTURACIÓN]]</f>
        <v>26</v>
      </c>
      <c r="U2376" t="str">
        <f>+IF(Tabla2[[#This Row],[dias de credito]]&gt;=Tabla2[[#This Row],[PLAZO Días]],"venc", "No venc")</f>
        <v>No venc</v>
      </c>
      <c r="V2376" t="str">
        <f>+IF(Tabla2[[#This Row],[FECHA DE PAGO]]&gt;0,"pagada","por pagar")</f>
        <v>por pagar</v>
      </c>
      <c r="W2376" s="141" t="str">
        <f>+IF(AND(Tabla2[[#This Row],[venc]]="venc",Tabla2[[#This Row],[Columna1]]="por pagar"),"vencida","no")</f>
        <v>no</v>
      </c>
    </row>
    <row r="2377" spans="1:23" ht="15.6" hidden="1" x14ac:dyDescent="0.3">
      <c r="A2377" s="20">
        <v>30</v>
      </c>
      <c r="B2377" s="25">
        <v>680000</v>
      </c>
      <c r="C2377" s="25"/>
      <c r="D2377" s="56" t="s">
        <v>177</v>
      </c>
      <c r="E2377" s="426"/>
      <c r="F2377" s="26" t="s">
        <v>412</v>
      </c>
      <c r="G2377" s="426">
        <v>45265</v>
      </c>
      <c r="H2377" s="35" t="s">
        <v>2301</v>
      </c>
      <c r="I2377" s="21">
        <v>680000</v>
      </c>
      <c r="J2377" s="21"/>
      <c r="K2377" s="22">
        <v>0</v>
      </c>
      <c r="L2377" s="23"/>
      <c r="M2377" s="22">
        <v>0</v>
      </c>
      <c r="N2377" s="74">
        <v>0</v>
      </c>
      <c r="O2377" s="22">
        <v>0</v>
      </c>
      <c r="P2377" s="21">
        <v>680000</v>
      </c>
      <c r="S2377" s="108" t="b">
        <f>OR(COUNTIF(Tabla2[[#This Row],[PROVEEDOR]],"*"&amp;'Palabra no opera'!$A$2&amp;"*"))</f>
        <v>0</v>
      </c>
      <c r="T2377" s="139">
        <f>+$W$5-Tabla2[[#This Row],[FECHA DE FACTURACIÓN]]</f>
        <v>26</v>
      </c>
      <c r="U2377" t="str">
        <f>+IF(Tabla2[[#This Row],[dias de credito]]&gt;=Tabla2[[#This Row],[PLAZO Días]],"venc", "No venc")</f>
        <v>No venc</v>
      </c>
      <c r="V2377" t="str">
        <f>+IF(Tabla2[[#This Row],[FECHA DE PAGO]]&gt;0,"pagada","por pagar")</f>
        <v>por pagar</v>
      </c>
      <c r="W2377" s="141" t="str">
        <f>+IF(AND(Tabla2[[#This Row],[venc]]="venc",Tabla2[[#This Row],[Columna1]]="por pagar"),"vencida","no")</f>
        <v>no</v>
      </c>
    </row>
    <row r="2378" spans="1:23" ht="15.6" hidden="1" x14ac:dyDescent="0.3">
      <c r="A2378" s="20">
        <v>30</v>
      </c>
      <c r="B2378" s="25">
        <v>2950000</v>
      </c>
      <c r="C2378" s="25"/>
      <c r="D2378" s="56">
        <v>0</v>
      </c>
      <c r="E2378" s="426"/>
      <c r="F2378" s="26" t="s">
        <v>1152</v>
      </c>
      <c r="G2378" s="426">
        <v>45265</v>
      </c>
      <c r="H2378" s="35" t="s">
        <v>2312</v>
      </c>
      <c r="I2378" s="21">
        <v>250000</v>
      </c>
      <c r="J2378" s="21"/>
      <c r="K2378" s="22">
        <v>0</v>
      </c>
      <c r="L2378" s="23"/>
      <c r="M2378" s="22">
        <v>0</v>
      </c>
      <c r="N2378" s="74">
        <v>0</v>
      </c>
      <c r="O2378" s="22">
        <v>0</v>
      </c>
      <c r="P2378" s="21">
        <v>250000</v>
      </c>
      <c r="S2378" s="108" t="b">
        <f>OR(COUNTIF(Tabla2[[#This Row],[PROVEEDOR]],"*"&amp;'Palabra no opera'!$A$2&amp;"*"))</f>
        <v>0</v>
      </c>
      <c r="T2378" s="139">
        <f>+$W$5-Tabla2[[#This Row],[FECHA DE FACTURACIÓN]]</f>
        <v>26</v>
      </c>
      <c r="U2378" t="str">
        <f>+IF(Tabla2[[#This Row],[dias de credito]]&gt;=Tabla2[[#This Row],[PLAZO Días]],"venc", "No venc")</f>
        <v>No venc</v>
      </c>
      <c r="V2378" t="str">
        <f>+IF(Tabla2[[#This Row],[FECHA DE PAGO]]&gt;0,"pagada","por pagar")</f>
        <v>por pagar</v>
      </c>
      <c r="W2378" s="141" t="str">
        <f>+IF(AND(Tabla2[[#This Row],[venc]]="venc",Tabla2[[#This Row],[Columna1]]="por pagar"),"vencida","no")</f>
        <v>no</v>
      </c>
    </row>
    <row r="2379" spans="1:23" ht="15.6" hidden="1" x14ac:dyDescent="0.3">
      <c r="A2379" s="20">
        <v>30</v>
      </c>
      <c r="B2379" s="25">
        <v>5480000</v>
      </c>
      <c r="C2379" s="25"/>
      <c r="D2379" s="56" t="s">
        <v>107</v>
      </c>
      <c r="E2379" s="426"/>
      <c r="F2379" s="26" t="s">
        <v>2057</v>
      </c>
      <c r="G2379" s="426">
        <v>45264</v>
      </c>
      <c r="H2379" s="35" t="s">
        <v>2313</v>
      </c>
      <c r="I2379" s="21">
        <v>5480000</v>
      </c>
      <c r="J2379" s="21"/>
      <c r="K2379" s="22">
        <v>0</v>
      </c>
      <c r="L2379" s="23"/>
      <c r="M2379" s="22">
        <v>0</v>
      </c>
      <c r="N2379" s="74">
        <v>0</v>
      </c>
      <c r="O2379" s="22">
        <v>0</v>
      </c>
      <c r="P2379" s="21">
        <v>5480000</v>
      </c>
      <c r="S2379" s="108" t="b">
        <f>OR(COUNTIF(Tabla2[[#This Row],[PROVEEDOR]],"*"&amp;'Palabra no opera'!$A$2&amp;"*"))</f>
        <v>0</v>
      </c>
      <c r="T2379" s="139">
        <f>+$W$5-Tabla2[[#This Row],[FECHA DE FACTURACIÓN]]</f>
        <v>27</v>
      </c>
      <c r="U2379" t="str">
        <f>+IF(Tabla2[[#This Row],[dias de credito]]&gt;=Tabla2[[#This Row],[PLAZO Días]],"venc", "No venc")</f>
        <v>No venc</v>
      </c>
      <c r="V2379" t="str">
        <f>+IF(Tabla2[[#This Row],[FECHA DE PAGO]]&gt;0,"pagada","por pagar")</f>
        <v>por pagar</v>
      </c>
      <c r="W2379" s="141" t="str">
        <f>+IF(AND(Tabla2[[#This Row],[venc]]="venc",Tabla2[[#This Row],[Columna1]]="por pagar"),"vencida","no")</f>
        <v>no</v>
      </c>
    </row>
    <row r="2380" spans="1:23" ht="15.6" x14ac:dyDescent="0.3">
      <c r="A2380" s="20">
        <v>30</v>
      </c>
      <c r="B2380" s="25">
        <v>229206</v>
      </c>
      <c r="C2380" s="25"/>
      <c r="D2380" s="56" t="s">
        <v>659</v>
      </c>
      <c r="E2380" s="426"/>
      <c r="F2380" s="26" t="s">
        <v>95</v>
      </c>
      <c r="G2380" s="426">
        <v>45261</v>
      </c>
      <c r="H2380" s="35" t="s">
        <v>2203</v>
      </c>
      <c r="I2380" s="21">
        <v>229206</v>
      </c>
      <c r="J2380" s="21"/>
      <c r="K2380" s="22">
        <v>0</v>
      </c>
      <c r="L2380" s="23"/>
      <c r="M2380" s="22">
        <v>0</v>
      </c>
      <c r="N2380" s="74">
        <v>0</v>
      </c>
      <c r="O2380" s="22">
        <v>0</v>
      </c>
      <c r="P2380" s="21">
        <v>229206</v>
      </c>
      <c r="S2380" s="108" t="b">
        <f>OR(COUNTIF(Tabla2[[#This Row],[PROVEEDOR]],"*"&amp;'Palabra no opera'!$A$2&amp;"*"))</f>
        <v>0</v>
      </c>
      <c r="T2380" s="139">
        <f>+$W$5-Tabla2[[#This Row],[FECHA DE FACTURACIÓN]]</f>
        <v>30</v>
      </c>
      <c r="U2380" t="str">
        <f>+IF(Tabla2[[#This Row],[dias de credito]]&gt;=Tabla2[[#This Row],[PLAZO Días]],"venc", "No venc")</f>
        <v>venc</v>
      </c>
      <c r="V2380" t="str">
        <f>+IF(Tabla2[[#This Row],[FECHA DE PAGO]]&gt;0,"pagada","por pagar")</f>
        <v>por pagar</v>
      </c>
      <c r="W2380" s="141" t="str">
        <f>+IF(AND(Tabla2[[#This Row],[venc]]="venc",Tabla2[[#This Row],[Columna1]]="por pagar"),"vencida","no")</f>
        <v>vencida</v>
      </c>
    </row>
    <row r="2381" spans="1:23" ht="15.6" x14ac:dyDescent="0.3">
      <c r="A2381" s="20">
        <v>30</v>
      </c>
      <c r="B2381" s="25">
        <v>10321993.199999999</v>
      </c>
      <c r="C2381" s="25"/>
      <c r="D2381" s="56" t="s">
        <v>189</v>
      </c>
      <c r="E2381" s="426"/>
      <c r="F2381" s="26" t="s">
        <v>1068</v>
      </c>
      <c r="G2381" s="426">
        <v>45261</v>
      </c>
      <c r="H2381" s="35" t="s">
        <v>2247</v>
      </c>
      <c r="I2381" s="21">
        <v>4116710</v>
      </c>
      <c r="J2381" s="21">
        <v>316670</v>
      </c>
      <c r="K2381" s="22">
        <v>722007.6</v>
      </c>
      <c r="L2381" s="23"/>
      <c r="M2381" s="22">
        <v>0</v>
      </c>
      <c r="N2381" s="74">
        <v>2.5000000000000001E-2</v>
      </c>
      <c r="O2381" s="22">
        <v>95001</v>
      </c>
      <c r="P2381" s="21">
        <v>4427046.5999999996</v>
      </c>
      <c r="S2381" s="108" t="b">
        <f>OR(COUNTIF(Tabla2[[#This Row],[PROVEEDOR]],"*"&amp;'Palabra no opera'!$A$2&amp;"*"))</f>
        <v>0</v>
      </c>
      <c r="T2381" s="139">
        <f>+$W$5-Tabla2[[#This Row],[FECHA DE FACTURACIÓN]]</f>
        <v>30</v>
      </c>
      <c r="U2381" t="str">
        <f>+IF(Tabla2[[#This Row],[dias de credito]]&gt;=Tabla2[[#This Row],[PLAZO Días]],"venc", "No venc")</f>
        <v>venc</v>
      </c>
      <c r="V2381" t="str">
        <f>+IF(Tabla2[[#This Row],[FECHA DE PAGO]]&gt;0,"pagada","por pagar")</f>
        <v>por pagar</v>
      </c>
      <c r="W2381" s="141" t="str">
        <f>+IF(AND(Tabla2[[#This Row],[venc]]="venc",Tabla2[[#This Row],[Columna1]]="por pagar"),"vencida","no")</f>
        <v>vencida</v>
      </c>
    </row>
    <row r="2382" spans="1:23" ht="15.6" x14ac:dyDescent="0.3">
      <c r="A2382" s="20">
        <v>30</v>
      </c>
      <c r="B2382" s="25">
        <v>-139600.09</v>
      </c>
      <c r="C2382" s="25"/>
      <c r="D2382" s="56" t="s">
        <v>728</v>
      </c>
      <c r="E2382" s="426"/>
      <c r="F2382" s="26" t="s">
        <v>32</v>
      </c>
      <c r="G2382" s="426">
        <v>45254</v>
      </c>
      <c r="H2382" s="35" t="s">
        <v>2165</v>
      </c>
      <c r="I2382" s="21">
        <v>-117311</v>
      </c>
      <c r="J2382" s="21"/>
      <c r="K2382" s="22">
        <v>-22289.09</v>
      </c>
      <c r="L2382" s="23"/>
      <c r="M2382" s="22">
        <v>0</v>
      </c>
      <c r="N2382" s="74">
        <v>0</v>
      </c>
      <c r="O2382" s="22">
        <v>0</v>
      </c>
      <c r="P2382" s="21">
        <v>-139600.09</v>
      </c>
      <c r="S2382" s="108" t="b">
        <f>OR(COUNTIF(Tabla2[[#This Row],[PROVEEDOR]],"*"&amp;'Palabra no opera'!$A$2&amp;"*"))</f>
        <v>0</v>
      </c>
      <c r="T2382" s="139">
        <f>+$W$5-Tabla2[[#This Row],[FECHA DE FACTURACIÓN]]</f>
        <v>37</v>
      </c>
      <c r="U2382" t="str">
        <f>+IF(Tabla2[[#This Row],[dias de credito]]&gt;=Tabla2[[#This Row],[PLAZO Días]],"venc", "No venc")</f>
        <v>venc</v>
      </c>
      <c r="V2382" t="str">
        <f>+IF(Tabla2[[#This Row],[FECHA DE PAGO]]&gt;0,"pagada","por pagar")</f>
        <v>por pagar</v>
      </c>
      <c r="W2382" s="141" t="str">
        <f>+IF(AND(Tabla2[[#This Row],[venc]]="venc",Tabla2[[#This Row],[Columna1]]="por pagar"),"vencida","no")</f>
        <v>vencida</v>
      </c>
    </row>
    <row r="2383" spans="1:23" ht="15.6" x14ac:dyDescent="0.3">
      <c r="A2383" s="20">
        <v>30</v>
      </c>
      <c r="B2383" s="25">
        <v>18444236.894999996</v>
      </c>
      <c r="C2383" s="25"/>
      <c r="D2383" s="56" t="s">
        <v>731</v>
      </c>
      <c r="E2383" s="426"/>
      <c r="F2383" s="26" t="s">
        <v>11</v>
      </c>
      <c r="G2383" s="426">
        <v>45253</v>
      </c>
      <c r="H2383" s="35" t="s">
        <v>2156</v>
      </c>
      <c r="I2383" s="21">
        <v>8067241</v>
      </c>
      <c r="J2383" s="21"/>
      <c r="K2383" s="22">
        <v>1532775.79</v>
      </c>
      <c r="L2383" s="23"/>
      <c r="M2383" s="22">
        <v>0</v>
      </c>
      <c r="N2383" s="74">
        <v>2.5000000000000001E-2</v>
      </c>
      <c r="O2383" s="22">
        <v>201681.02500000002</v>
      </c>
      <c r="P2383" s="21">
        <v>9398335.7649999987</v>
      </c>
      <c r="S2383" s="108" t="b">
        <f>OR(COUNTIF(Tabla2[[#This Row],[PROVEEDOR]],"*"&amp;'Palabra no opera'!$A$2&amp;"*"))</f>
        <v>0</v>
      </c>
      <c r="T2383" s="139">
        <f>+$W$5-Tabla2[[#This Row],[FECHA DE FACTURACIÓN]]</f>
        <v>38</v>
      </c>
      <c r="U2383" t="str">
        <f>+IF(Tabla2[[#This Row],[dias de credito]]&gt;=Tabla2[[#This Row],[PLAZO Días]],"venc", "No venc")</f>
        <v>venc</v>
      </c>
      <c r="V2383" t="str">
        <f>+IF(Tabla2[[#This Row],[FECHA DE PAGO]]&gt;0,"pagada","por pagar")</f>
        <v>por pagar</v>
      </c>
      <c r="W2383" s="141" t="str">
        <f>+IF(AND(Tabla2[[#This Row],[venc]]="venc",Tabla2[[#This Row],[Columna1]]="por pagar"),"vencida","no")</f>
        <v>vencida</v>
      </c>
    </row>
    <row r="2384" spans="1:23" ht="15.6" x14ac:dyDescent="0.3">
      <c r="A2384" s="20">
        <v>30</v>
      </c>
      <c r="B2384" s="25">
        <v>2100000</v>
      </c>
      <c r="C2384" s="25"/>
      <c r="D2384" s="56" t="s">
        <v>107</v>
      </c>
      <c r="E2384" s="426"/>
      <c r="F2384" s="26" t="s">
        <v>349</v>
      </c>
      <c r="G2384" s="426">
        <v>45251</v>
      </c>
      <c r="H2384" s="35" t="s">
        <v>2190</v>
      </c>
      <c r="I2384" s="21">
        <v>600000</v>
      </c>
      <c r="J2384" s="21"/>
      <c r="K2384" s="22">
        <v>0</v>
      </c>
      <c r="L2384" s="23"/>
      <c r="M2384" s="22">
        <v>0</v>
      </c>
      <c r="N2384" s="74">
        <v>0</v>
      </c>
      <c r="O2384" s="22">
        <v>0</v>
      </c>
      <c r="P2384" s="21">
        <v>600000</v>
      </c>
      <c r="S2384" s="108" t="b">
        <f>OR(COUNTIF(Tabla2[[#This Row],[PROVEEDOR]],"*"&amp;'Palabra no opera'!$A$2&amp;"*"))</f>
        <v>0</v>
      </c>
      <c r="T2384" s="139">
        <f>+$W$5-Tabla2[[#This Row],[FECHA DE FACTURACIÓN]]</f>
        <v>40</v>
      </c>
      <c r="U2384" t="str">
        <f>+IF(Tabla2[[#This Row],[dias de credito]]&gt;=Tabla2[[#This Row],[PLAZO Días]],"venc", "No venc")</f>
        <v>venc</v>
      </c>
      <c r="V2384" t="str">
        <f>+IF(Tabla2[[#This Row],[FECHA DE PAGO]]&gt;0,"pagada","por pagar")</f>
        <v>por pagar</v>
      </c>
      <c r="W2384" s="141" t="str">
        <f>+IF(AND(Tabla2[[#This Row],[venc]]="venc",Tabla2[[#This Row],[Columna1]]="por pagar"),"vencida","no")</f>
        <v>vencida</v>
      </c>
    </row>
    <row r="2385" spans="1:23" ht="15.6" x14ac:dyDescent="0.3">
      <c r="A2385" s="20">
        <v>30</v>
      </c>
      <c r="B2385" s="25">
        <v>27189617.395</v>
      </c>
      <c r="C2385" s="25"/>
      <c r="D2385" s="56" t="s">
        <v>686</v>
      </c>
      <c r="E2385" s="426"/>
      <c r="F2385" s="26" t="s">
        <v>77</v>
      </c>
      <c r="G2385" s="426">
        <v>45251</v>
      </c>
      <c r="H2385" s="35" t="s">
        <v>2179</v>
      </c>
      <c r="I2385" s="21">
        <v>8710860</v>
      </c>
      <c r="J2385" s="21"/>
      <c r="K2385" s="22">
        <v>1655063.4</v>
      </c>
      <c r="L2385" s="23"/>
      <c r="M2385" s="22">
        <v>3100000</v>
      </c>
      <c r="N2385" s="74">
        <v>2.5000000000000001E-2</v>
      </c>
      <c r="O2385" s="22">
        <v>217771.5</v>
      </c>
      <c r="P2385" s="21">
        <v>7048151.9000000004</v>
      </c>
      <c r="S2385" s="108" t="b">
        <f>OR(COUNTIF(Tabla2[[#This Row],[PROVEEDOR]],"*"&amp;'Palabra no opera'!$A$2&amp;"*"))</f>
        <v>0</v>
      </c>
      <c r="T2385" s="139">
        <f>+$W$5-Tabla2[[#This Row],[FECHA DE FACTURACIÓN]]</f>
        <v>40</v>
      </c>
      <c r="U2385" t="str">
        <f>+IF(Tabla2[[#This Row],[dias de credito]]&gt;=Tabla2[[#This Row],[PLAZO Días]],"venc", "No venc")</f>
        <v>venc</v>
      </c>
      <c r="V2385" t="str">
        <f>+IF(Tabla2[[#This Row],[FECHA DE PAGO]]&gt;0,"pagada","por pagar")</f>
        <v>por pagar</v>
      </c>
      <c r="W2385" s="141" t="str">
        <f>+IF(AND(Tabla2[[#This Row],[venc]]="venc",Tabla2[[#This Row],[Columna1]]="por pagar"),"vencida","no")</f>
        <v>vencida</v>
      </c>
    </row>
    <row r="2386" spans="1:23" ht="15.6" hidden="1" x14ac:dyDescent="0.3">
      <c r="A2386" s="20">
        <v>45</v>
      </c>
      <c r="B2386" s="25">
        <v>121187115</v>
      </c>
      <c r="C2386" s="25"/>
      <c r="D2386" s="56" t="s">
        <v>233</v>
      </c>
      <c r="E2386" s="426"/>
      <c r="F2386" s="26" t="s">
        <v>31</v>
      </c>
      <c r="G2386" s="426">
        <v>45250</v>
      </c>
      <c r="H2386" s="35" t="s">
        <v>2167</v>
      </c>
      <c r="I2386" s="21">
        <v>105430883</v>
      </c>
      <c r="J2386" s="21"/>
      <c r="K2386" s="22">
        <v>0</v>
      </c>
      <c r="L2386" s="23"/>
      <c r="M2386" s="22">
        <v>0</v>
      </c>
      <c r="N2386" s="74">
        <v>0</v>
      </c>
      <c r="O2386" s="22">
        <v>0</v>
      </c>
      <c r="P2386" s="21">
        <v>105430883</v>
      </c>
      <c r="S2386" s="108" t="b">
        <f>OR(COUNTIF(Tabla2[[#This Row],[PROVEEDOR]],"*"&amp;'Palabra no opera'!$A$2&amp;"*"))</f>
        <v>0</v>
      </c>
      <c r="T2386" s="139">
        <f>+$W$5-Tabla2[[#This Row],[FECHA DE FACTURACIÓN]]</f>
        <v>41</v>
      </c>
      <c r="U2386" t="str">
        <f>+IF(Tabla2[[#This Row],[dias de credito]]&gt;=Tabla2[[#This Row],[PLAZO Días]],"venc", "No venc")</f>
        <v>No venc</v>
      </c>
      <c r="V2386" t="str">
        <f>+IF(Tabla2[[#This Row],[FECHA DE PAGO]]&gt;0,"pagada","por pagar")</f>
        <v>por pagar</v>
      </c>
      <c r="W2386" s="141" t="str">
        <f>+IF(AND(Tabla2[[#This Row],[venc]]="venc",Tabla2[[#This Row],[Columna1]]="por pagar"),"vencida","no")</f>
        <v>no</v>
      </c>
    </row>
    <row r="2387" spans="1:23" ht="15.6" hidden="1" x14ac:dyDescent="0.3">
      <c r="A2387" s="20">
        <v>45</v>
      </c>
      <c r="B2387" s="25">
        <v>121187115</v>
      </c>
      <c r="C2387" s="25"/>
      <c r="D2387" s="56" t="s">
        <v>233</v>
      </c>
      <c r="E2387" s="426"/>
      <c r="F2387" s="26" t="s">
        <v>31</v>
      </c>
      <c r="G2387" s="426">
        <v>45247</v>
      </c>
      <c r="H2387" s="35" t="s">
        <v>2166</v>
      </c>
      <c r="I2387" s="21">
        <v>15756231.999999998</v>
      </c>
      <c r="J2387" s="21"/>
      <c r="K2387" s="22">
        <v>0</v>
      </c>
      <c r="L2387" s="23"/>
      <c r="M2387" s="22">
        <v>0</v>
      </c>
      <c r="N2387" s="74">
        <v>0</v>
      </c>
      <c r="O2387" s="22">
        <v>0</v>
      </c>
      <c r="P2387" s="21">
        <v>15756231.999999998</v>
      </c>
      <c r="S2387" s="108" t="b">
        <f>OR(COUNTIF(Tabla2[[#This Row],[PROVEEDOR]],"*"&amp;'Palabra no opera'!$A$2&amp;"*"))</f>
        <v>0</v>
      </c>
      <c r="T2387" s="139">
        <f>+$W$5-Tabla2[[#This Row],[FECHA DE FACTURACIÓN]]</f>
        <v>44</v>
      </c>
      <c r="U2387" t="str">
        <f>+IF(Tabla2[[#This Row],[dias de credito]]&gt;=Tabla2[[#This Row],[PLAZO Días]],"venc", "No venc")</f>
        <v>No venc</v>
      </c>
      <c r="V2387" t="str">
        <f>+IF(Tabla2[[#This Row],[FECHA DE PAGO]]&gt;0,"pagada","por pagar")</f>
        <v>por pagar</v>
      </c>
      <c r="W2387" s="141" t="str">
        <f>+IF(AND(Tabla2[[#This Row],[venc]]="venc",Tabla2[[#This Row],[Columna1]]="por pagar"),"vencida","no")</f>
        <v>no</v>
      </c>
    </row>
    <row r="2388" spans="1:23" ht="15.6" x14ac:dyDescent="0.3">
      <c r="A2388" s="20">
        <v>30</v>
      </c>
      <c r="B2388" s="25">
        <v>12198235.020000001</v>
      </c>
      <c r="C2388" s="25"/>
      <c r="D2388" s="56" t="s">
        <v>2129</v>
      </c>
      <c r="E2388" s="426"/>
      <c r="F2388" s="26" t="s">
        <v>2128</v>
      </c>
      <c r="G2388" s="426">
        <v>45234</v>
      </c>
      <c r="H2388" s="35" t="s">
        <v>2238</v>
      </c>
      <c r="I2388" s="21">
        <v>10470588</v>
      </c>
      <c r="J2388" s="21"/>
      <c r="K2388" s="22">
        <v>1989411.72</v>
      </c>
      <c r="L2388" s="23"/>
      <c r="M2388" s="22">
        <v>0</v>
      </c>
      <c r="N2388" s="74">
        <v>2.5000000000000001E-2</v>
      </c>
      <c r="O2388" s="22">
        <v>261764.7</v>
      </c>
      <c r="P2388" s="21">
        <v>12198235.020000001</v>
      </c>
      <c r="S2388" s="108" t="b">
        <f>OR(COUNTIF(Tabla2[[#This Row],[PROVEEDOR]],"*"&amp;'Palabra no opera'!$A$2&amp;"*"))</f>
        <v>0</v>
      </c>
      <c r="T2388" s="139">
        <f>+$W$5-Tabla2[[#This Row],[FECHA DE FACTURACIÓN]]</f>
        <v>57</v>
      </c>
      <c r="U2388" t="str">
        <f>+IF(Tabla2[[#This Row],[dias de credito]]&gt;=Tabla2[[#This Row],[PLAZO Días]],"venc", "No venc")</f>
        <v>venc</v>
      </c>
      <c r="V2388" t="str">
        <f>+IF(Tabla2[[#This Row],[FECHA DE PAGO]]&gt;0,"pagada","por pagar")</f>
        <v>por pagar</v>
      </c>
      <c r="W2388" s="141" t="str">
        <f>+IF(AND(Tabla2[[#This Row],[venc]]="venc",Tabla2[[#This Row],[Columna1]]="por pagar"),"vencida","no")</f>
        <v>vencida</v>
      </c>
    </row>
    <row r="2389" spans="1:23" ht="15.6" x14ac:dyDescent="0.3">
      <c r="A2389" s="20">
        <v>30</v>
      </c>
      <c r="B2389" s="25">
        <v>-66999.998800000001</v>
      </c>
      <c r="C2389" s="25"/>
      <c r="D2389" s="56" t="s">
        <v>187</v>
      </c>
      <c r="E2389" s="426"/>
      <c r="F2389" s="26" t="s">
        <v>459</v>
      </c>
      <c r="G2389" s="426">
        <v>44867</v>
      </c>
      <c r="H2389" s="35" t="s">
        <v>1263</v>
      </c>
      <c r="I2389" s="21">
        <v>-56302.52</v>
      </c>
      <c r="J2389" s="21"/>
      <c r="K2389" s="22">
        <v>-10697.478799999999</v>
      </c>
      <c r="L2389" s="23"/>
      <c r="M2389" s="22">
        <v>0</v>
      </c>
      <c r="N2389" s="74">
        <v>0</v>
      </c>
      <c r="O2389" s="22">
        <v>0</v>
      </c>
      <c r="P2389" s="21">
        <v>-66999.998800000001</v>
      </c>
      <c r="S2389" s="108" t="b">
        <f>OR(COUNTIF(Tabla2[[#This Row],[PROVEEDOR]],"*"&amp;'Palabra no opera'!$A$2&amp;"*"))</f>
        <v>0</v>
      </c>
      <c r="T2389" s="139">
        <f>+$W$5-Tabla2[[#This Row],[FECHA DE FACTURACIÓN]]</f>
        <v>424</v>
      </c>
      <c r="U2389" t="str">
        <f>+IF(Tabla2[[#This Row],[dias de credito]]&gt;=Tabla2[[#This Row],[PLAZO Días]],"venc", "No venc")</f>
        <v>venc</v>
      </c>
      <c r="V2389" t="str">
        <f>+IF(Tabla2[[#This Row],[FECHA DE PAGO]]&gt;0,"pagada","por pagar")</f>
        <v>por pagar</v>
      </c>
      <c r="W2389" s="141" t="str">
        <f>+IF(AND(Tabla2[[#This Row],[venc]]="venc",Tabla2[[#This Row],[Columna1]]="por pagar"),"vencida","no")</f>
        <v>vencida</v>
      </c>
    </row>
    <row r="2390" spans="1:23" ht="15.6" x14ac:dyDescent="0.3">
      <c r="A2390" s="20">
        <v>30</v>
      </c>
      <c r="B2390" s="25">
        <v>-101001.25</v>
      </c>
      <c r="C2390" s="25"/>
      <c r="D2390" s="56" t="s">
        <v>200</v>
      </c>
      <c r="E2390" s="426"/>
      <c r="F2390" s="26" t="s">
        <v>14</v>
      </c>
      <c r="G2390" s="426">
        <v>44810</v>
      </c>
      <c r="H2390" s="35" t="s">
        <v>1096</v>
      </c>
      <c r="I2390" s="21">
        <v>-84875</v>
      </c>
      <c r="J2390" s="21"/>
      <c r="K2390" s="22">
        <v>-16126.25</v>
      </c>
      <c r="L2390" s="23"/>
      <c r="M2390" s="22">
        <v>0</v>
      </c>
      <c r="N2390" s="74">
        <v>0</v>
      </c>
      <c r="O2390" s="22">
        <v>0</v>
      </c>
      <c r="P2390" s="21">
        <v>-101001.25</v>
      </c>
      <c r="S2390" s="108" t="b">
        <f>OR(COUNTIF(Tabla2[[#This Row],[PROVEEDOR]],"*"&amp;'Palabra no opera'!$A$2&amp;"*"))</f>
        <v>0</v>
      </c>
      <c r="T2390" s="139">
        <f>+$W$5-Tabla2[[#This Row],[FECHA DE FACTURACIÓN]]</f>
        <v>481</v>
      </c>
      <c r="U2390" t="str">
        <f>+IF(Tabla2[[#This Row],[dias de credito]]&gt;=Tabla2[[#This Row],[PLAZO Días]],"venc", "No venc")</f>
        <v>venc</v>
      </c>
      <c r="V2390" t="str">
        <f>+IF(Tabla2[[#This Row],[FECHA DE PAGO]]&gt;0,"pagada","por pagar")</f>
        <v>por pagar</v>
      </c>
      <c r="W2390" s="141" t="str">
        <f>+IF(AND(Tabla2[[#This Row],[venc]]="venc",Tabla2[[#This Row],[Columna1]]="por pagar"),"vencida","no")</f>
        <v>vencida</v>
      </c>
    </row>
  </sheetData>
  <mergeCells count="1">
    <mergeCell ref="W1:W2"/>
  </mergeCells>
  <phoneticPr fontId="2" type="noConversion"/>
  <conditionalFormatting sqref="A7:P2390">
    <cfRule type="expression" dxfId="25" priority="31" stopIfTrue="1">
      <formula>$S7="Por pagar"</formula>
    </cfRule>
    <cfRule type="expression" dxfId="24" priority="32" stopIfTrue="1">
      <formula>$S7="Vencida"</formula>
    </cfRule>
    <cfRule type="expression" dxfId="23" priority="33" stopIfTrue="1">
      <formula>$S7="Pagada"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1A6544-30B3-475E-8A6F-B99F8B88570A}">
          <x14:formula1>
            <xm:f>Terceros!$A:$A</xm:f>
          </x14:formula1>
          <xm:sqref>F7:F2390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1358-EE24-413F-8F86-32ADF309E9EE}">
  <sheetPr codeName="Hoja1"/>
  <dimension ref="B1:J30"/>
  <sheetViews>
    <sheetView topLeftCell="C4" workbookViewId="0">
      <selection activeCell="G25" sqref="G25"/>
    </sheetView>
  </sheetViews>
  <sheetFormatPr defaultColWidth="11.5546875" defaultRowHeight="14.4" x14ac:dyDescent="0.3"/>
  <cols>
    <col min="2" max="2" width="33.44140625" customWidth="1"/>
    <col min="3" max="3" width="16.5546875" style="108" bestFit="1" customWidth="1"/>
    <col min="4" max="4" width="29.44140625" customWidth="1"/>
    <col min="5" max="5" width="28.77734375" bestFit="1" customWidth="1"/>
    <col min="6" max="6" width="25.21875" customWidth="1"/>
    <col min="7" max="7" width="14.77734375" customWidth="1"/>
    <col min="8" max="8" width="14.77734375" style="178" customWidth="1"/>
    <col min="9" max="9" width="18.77734375" style="178" customWidth="1"/>
    <col min="10" max="10" width="14.77734375" style="178" customWidth="1"/>
  </cols>
  <sheetData>
    <row r="1" spans="3:10" x14ac:dyDescent="0.3">
      <c r="C1"/>
    </row>
    <row r="2" spans="3:10" x14ac:dyDescent="0.3">
      <c r="C2"/>
    </row>
    <row r="3" spans="3:10" x14ac:dyDescent="0.3">
      <c r="C3"/>
    </row>
    <row r="4" spans="3:10" x14ac:dyDescent="0.3">
      <c r="C4"/>
      <c r="F4" s="159" t="s">
        <v>1090</v>
      </c>
      <c r="G4" s="159"/>
      <c r="H4" s="195" t="s">
        <v>928</v>
      </c>
      <c r="I4" s="195" t="s">
        <v>82</v>
      </c>
      <c r="J4" s="195" t="s">
        <v>1088</v>
      </c>
    </row>
    <row r="5" spans="3:10" x14ac:dyDescent="0.3">
      <c r="C5"/>
      <c r="F5">
        <v>2555212532</v>
      </c>
      <c r="G5" s="108" t="s">
        <v>1087</v>
      </c>
      <c r="H5" s="178">
        <v>3687.69</v>
      </c>
      <c r="I5" s="178">
        <f>-H5</f>
        <v>-3687.69</v>
      </c>
      <c r="J5" s="178">
        <f>+H5+I5</f>
        <v>0</v>
      </c>
    </row>
    <row r="6" spans="3:10" x14ac:dyDescent="0.3">
      <c r="C6"/>
      <c r="F6">
        <v>2555235952</v>
      </c>
      <c r="G6" s="178" t="s">
        <v>1087</v>
      </c>
      <c r="H6" s="178">
        <v>14434.36</v>
      </c>
      <c r="I6" s="178">
        <f>+I7-I5</f>
        <v>-10312.31</v>
      </c>
      <c r="J6" s="178">
        <f>+H6+I6</f>
        <v>4122.0500000000011</v>
      </c>
    </row>
    <row r="7" spans="3:10" x14ac:dyDescent="0.3">
      <c r="F7" t="s">
        <v>1089</v>
      </c>
      <c r="I7" s="194">
        <v>-14000</v>
      </c>
    </row>
    <row r="8" spans="3:10" x14ac:dyDescent="0.3">
      <c r="C8"/>
      <c r="F8" s="108"/>
      <c r="G8" s="108"/>
    </row>
    <row r="9" spans="3:10" x14ac:dyDescent="0.3">
      <c r="C9"/>
      <c r="F9" s="108"/>
      <c r="G9" s="108"/>
    </row>
    <row r="10" spans="3:10" x14ac:dyDescent="0.3">
      <c r="C10"/>
      <c r="F10" s="108"/>
      <c r="G10" s="108"/>
    </row>
    <row r="11" spans="3:10" x14ac:dyDescent="0.3">
      <c r="C11"/>
    </row>
    <row r="12" spans="3:10" x14ac:dyDescent="0.3">
      <c r="C12"/>
    </row>
    <row r="13" spans="3:10" x14ac:dyDescent="0.3">
      <c r="C13" s="226" t="s">
        <v>1199</v>
      </c>
      <c r="D13" s="226" t="s">
        <v>167</v>
      </c>
      <c r="E13" s="226" t="s">
        <v>928</v>
      </c>
      <c r="F13" s="226" t="s">
        <v>1200</v>
      </c>
      <c r="G13" s="226" t="s">
        <v>1201</v>
      </c>
      <c r="H13" s="227" t="s">
        <v>80</v>
      </c>
      <c r="J13"/>
    </row>
    <row r="14" spans="3:10" ht="30.75" customHeight="1" x14ac:dyDescent="0.3">
      <c r="C14" s="228">
        <v>44846</v>
      </c>
      <c r="D14" s="159" t="s">
        <v>536</v>
      </c>
      <c r="E14" s="229">
        <v>836346</v>
      </c>
      <c r="F14" s="229">
        <v>463654</v>
      </c>
      <c r="G14" s="229">
        <v>1300000</v>
      </c>
      <c r="H14" s="195">
        <v>-45529022.199762128</v>
      </c>
      <c r="J14"/>
    </row>
    <row r="15" spans="3:10" x14ac:dyDescent="0.3">
      <c r="C15"/>
      <c r="J15"/>
    </row>
    <row r="16" spans="3:10" x14ac:dyDescent="0.3">
      <c r="C16"/>
      <c r="J16"/>
    </row>
    <row r="17" spans="2:10" x14ac:dyDescent="0.3">
      <c r="C17"/>
      <c r="J17"/>
    </row>
    <row r="18" spans="2:10" x14ac:dyDescent="0.3">
      <c r="C18"/>
      <c r="J18"/>
    </row>
    <row r="19" spans="2:10" x14ac:dyDescent="0.3">
      <c r="C19"/>
    </row>
    <row r="20" spans="2:10" x14ac:dyDescent="0.3">
      <c r="B20" t="s">
        <v>816</v>
      </c>
    </row>
    <row r="21" spans="2:10" x14ac:dyDescent="0.3">
      <c r="B21" t="s">
        <v>817</v>
      </c>
    </row>
    <row r="22" spans="2:10" x14ac:dyDescent="0.3">
      <c r="B22" t="s">
        <v>818</v>
      </c>
    </row>
    <row r="23" spans="2:10" x14ac:dyDescent="0.3">
      <c r="B23" t="s">
        <v>819</v>
      </c>
      <c r="J23"/>
    </row>
    <row r="24" spans="2:10" x14ac:dyDescent="0.3">
      <c r="B24" t="s">
        <v>820</v>
      </c>
      <c r="J24"/>
    </row>
    <row r="25" spans="2:10" x14ac:dyDescent="0.3">
      <c r="J25"/>
    </row>
    <row r="26" spans="2:10" x14ac:dyDescent="0.3">
      <c r="B26" t="s">
        <v>821</v>
      </c>
      <c r="J26"/>
    </row>
    <row r="27" spans="2:10" x14ac:dyDescent="0.3">
      <c r="J27"/>
    </row>
    <row r="28" spans="2:10" x14ac:dyDescent="0.3">
      <c r="J28"/>
    </row>
    <row r="29" spans="2:10" x14ac:dyDescent="0.3">
      <c r="J29"/>
    </row>
    <row r="30" spans="2:10" x14ac:dyDescent="0.3">
      <c r="J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no opera</vt:lpstr>
      <vt:lpstr>F.Proveedores</vt:lpstr>
      <vt:lpstr>USD</vt:lpstr>
      <vt:lpstr>Reporte</vt:lpstr>
      <vt:lpstr>Financiación</vt:lpstr>
      <vt:lpstr>Financiadores</vt:lpstr>
      <vt:lpstr>facturas vencidas</vt:lpstr>
      <vt:lpstr>Hoja1</vt:lpstr>
      <vt:lpstr>pagos!Extract</vt:lpstr>
      <vt:lpstr>info</vt:lpstr>
      <vt:lpstr>pagos!Print_Area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Escobar</cp:lastModifiedBy>
  <cp:lastPrinted>2024-01-09T17:57:05Z</cp:lastPrinted>
  <dcterms:created xsi:type="dcterms:W3CDTF">2019-09-20T14:37:58Z</dcterms:created>
  <dcterms:modified xsi:type="dcterms:W3CDTF">2024-01-09T22:31:51Z</dcterms:modified>
</cp:coreProperties>
</file>